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spreadsheetml.comments+xml" PartName="/xl/comments3.xml"/>
  <Override ContentType="application/vnd.openxmlformats-officedocument.spreadsheetml.comments+xml" PartName="/xl/comments4.xml"/>
  <Override ContentType="application/vnd.openxmlformats-officedocument.spreadsheetml.comments+xml" PartName="/xl/comments5.xml"/>
  <Override ContentType="application/vnd.openxmlformats-officedocument.spreadsheetml.comments+xml" PartName="/xl/comments6.xml"/>
  <Override ContentType="application/vnd.openxmlformats-officedocument.spreadsheetml.comments+xml" PartName="/xl/comments7.xml"/>
  <Override ContentType="application/vnd.openxmlformats-officedocument.spreadsheetml.comments+xml" PartName="/xl/comments8.xml"/>
  <Override ContentType="application/vnd.openxmlformats-officedocument.spreadsheetml.comments+xml" PartName="/xl/comments9.xml"/>
  <Override ContentType="application/vnd.openxmlformats-officedocument.spreadsheetml.comments+xml" PartName="/xl/comments10.xml"/>
  <Override ContentType="application/vnd.openxmlformats-officedocument.spreadsheetml.comments+xml" PartName="/xl/comments11.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spreadsheetml.externalLink+xml" PartName="/xl/externalLinks/externalLink1.xml"/>
  <Override ContentType="application/vnd.openxmlformats-officedocument.spreadsheetml.sheetMetadata+xml" PartName="/xl/metadata.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table+xml" PartName="/xl/tables/table1.xml"/>
  <Override ContentType="application/vnd.openxmlformats-officedocument.spreadsheetml.table+xml" PartName="/xl/tables/table2.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Types>
</file>

<file path=_rels/.rels><?xml version="1.0" encoding="UTF-8" standalone="yes"?>
<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defaultThemeVersion="124226"/>
  <workbookProtection workbookAlgorithmName="SHA-512" workbookHashValue="trvxGy9nRxdpjcoyGYU+ObOTk+CEHUuKmPlWFxekvRMIGUmugUJfYfZlB5OEFuL2US+JRw2BI+6cLFwblI9tLw==" workbookSaltValue="OJq8q9E8NMgSSk3E9i/71w==" workbookSpinCount="100000" lockStructure="true"/>
  <bookViews>
    <workbookView xWindow="-120" yWindow="-120" windowWidth="20730" windowHeight="11760" tabRatio="808"/>
  </bookViews>
  <sheets>
    <sheet name="00.Info" sheetId="1" r:id="rId1"/>
    <sheet name="01.Definición de ámbito" sheetId="2" r:id="rId2"/>
    <sheet name="02.Tecnologías" sheetId="23" r:id="rId3"/>
    <sheet name="03.Muestra" sheetId="4" r:id="rId4"/>
    <sheet name="R5.Genéricos" sheetId="13" r:id="rId5"/>
    <sheet name="R6.Voz" sheetId="14" r:id="rId6"/>
    <sheet name="R7.Video" sheetId="15" r:id="rId7"/>
    <sheet name="R9.Web" sheetId="22" r:id="rId8"/>
    <sheet name="R10.Documentos no web" sheetId="21" r:id="rId9"/>
    <sheet name="R11.Software" sheetId="5" r:id="rId10"/>
    <sheet name="R12.ServiciosApoyo" sheetId="18" r:id="rId11"/>
    <sheet name="RESULTADOS" sheetId="9" r:id="rId12"/>
    <sheet name="Change Log" sheetId="12" r:id="rId13"/>
    <sheet name="DATA - Oculta" sheetId="10" state="hidden" r:id="rId14"/>
    <sheet name="DatosBD - Oculta" sheetId="19" state="hidden" r:id="rId15"/>
  </sheets>
  <externalReferences>
    <externalReference r:id="rId16"/>
  </externalReferences>
  <definedNames>
    <definedName name="_xlnm.Print_Area" localSheetId="11">RESULTADOS!$C$2:$AH$55,RESULTADOS!#REF!</definedName>
    <definedName name="celdasP1">[1]P1.Perceptible!$D$19:$D$53,[1]P1.Perceptible!$D$57:$D$91,[1]P1.Perceptible!$D$95:$D$129,[1]P1.Perceptible!$D$133:$D$167,[1]P1.Perceptible!$D$171:$D$205,[1]P1.Perceptible!$D$209:$D$243,[1]P1.Perceptible!$D$247:$D$281,[1]P1.Perceptible!$D$285:$D$319,[1]P1.Perceptible!$D$323:$D$357,[1]P1.Perceptible!$D$361:$D$395,[1]P1.Perceptible!$D$399:$D$433,[1]P1.Perceptible!$D$437:$D$471,[1]P1.Perceptible!$D$475:$D$509,[1]P1.Perceptible!$D$513:$D$547,[1]P1.Perceptible!$D$551:$D$585,[1]P1.Perceptible!$D$589:$D$623,[1]P1.Perceptible!$D$627:$D$661,[1]P1.Perceptible!$D$665:$D$699,[1]P1.Perceptible!$D$703:$D$737,[1]P1.Perceptible!$D$741:$D$775</definedName>
    <definedName name="celdasP2">[1]P2.Operable!$D$19:$D$53,[1]P2.Operable!$D$57:$D$91,[1]P2.Operable!$D$95:$D$129,[1]P2.Operable!$D$133:$D$167,[1]P2.Operable!$D$171:$D$205,[1]P2.Operable!$D$209:$D$243,[1]P2.Operable!$D$247:$D$281,[1]P2.Operable!$D$285:$D$319,[1]P2.Operable!$D$323:$D$357,[1]P2.Operable!$D$361:$D$395,[1]P2.Operable!$D$399:$D$433,[1]P2.Operable!$D$437:$D$471,[1]P2.Operable!$D$475:$D$509,[1]P2.Operable!$D$513:$D$547,[1]P2.Operable!$D$551:$D$585,[1]P2.Operable!$D$589:$D$623,[1]P2.Operable!$D$627:$D$661</definedName>
    <definedName name="celdasP3">[1]P3.Comprensible!$D$19:$D$53,[1]P3.Comprensible!$D$57:$D$91,[1]P3.Comprensible!$D$95:$D$129,[1]P3.Comprensible!$D$133:$D$167,[1]P3.Comprensible!$D$171:$D$205,[1]P3.Comprensible!$D$209:$D$243,[1]P3.Comprensible!$D$247:$D$281,[1]P3.Comprensible!$D$285:$D$319,[1]P3.Comprensible!$D$323:$D$357,[1]P3.Comprensible!$D$361:$D$395</definedName>
    <definedName name="CeldasP4">[1]P4.Robusto!$D$19:$D$53,[1]P4.Robusto!$D$57:$D$91,[1]P4.Robusto!$D$95:$D$129</definedName>
  </definedNames>
  <calcPr calcId="145621"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4" i="9" l="1"/>
  <c r="F14" i="9" s="1"/>
  <c r="Z3" i="19" l="1" a="1"/>
  <c r="Z3" i="19" s="1"/>
  <c r="Y3" i="19" a="1"/>
  <c r="Y3" i="19" s="1"/>
  <c r="W3" i="19" a="1"/>
  <c r="W3" i="19" s="1"/>
  <c r="DU4" i="19" a="1"/>
  <c r="DU4" i="19" s="1"/>
  <c r="DU5" i="19" a="1"/>
  <c r="DU5" i="19" s="1"/>
  <c r="DU6" i="19" a="1"/>
  <c r="DU6" i="19" s="1"/>
  <c r="DU7" i="19" a="1"/>
  <c r="DU7" i="19" s="1"/>
  <c r="DU8" i="19" a="1"/>
  <c r="DU8" i="19" s="1"/>
  <c r="DU9" i="19" a="1"/>
  <c r="DU9" i="19" s="1"/>
  <c r="DU10" i="19" a="1"/>
  <c r="DU10" i="19" s="1"/>
  <c r="DU11" i="19" a="1"/>
  <c r="DU11" i="19" s="1"/>
  <c r="DU12" i="19" a="1"/>
  <c r="DU12" i="19" s="1"/>
  <c r="DU13" i="19" a="1"/>
  <c r="DU13" i="19" s="1"/>
  <c r="DU14" i="19" a="1"/>
  <c r="DU14" i="19" s="1"/>
  <c r="DU15" i="19" a="1"/>
  <c r="DU15" i="19" s="1"/>
  <c r="DU16" i="19" a="1"/>
  <c r="DU16" i="19" s="1"/>
  <c r="DU17" i="19" a="1"/>
  <c r="DU17" i="19" s="1"/>
  <c r="DU18" i="19" a="1"/>
  <c r="DU18" i="19" s="1"/>
  <c r="DU19" i="19" a="1"/>
  <c r="DU19" i="19" s="1"/>
  <c r="DU20" i="19" a="1"/>
  <c r="DU20" i="19" s="1"/>
  <c r="DU21" i="19" a="1"/>
  <c r="DU21" i="19" s="1"/>
  <c r="DU22" i="19" a="1"/>
  <c r="DU22" i="19" s="1"/>
  <c r="DU23" i="19" a="1"/>
  <c r="DU23" i="19" s="1"/>
  <c r="DU24" i="19" a="1"/>
  <c r="DU24" i="19" s="1"/>
  <c r="DU25" i="19" a="1"/>
  <c r="DU25" i="19" s="1"/>
  <c r="DU26" i="19" a="1"/>
  <c r="DU26" i="19" s="1"/>
  <c r="DU27" i="19" a="1"/>
  <c r="DU27" i="19" s="1"/>
  <c r="DU28" i="19" a="1"/>
  <c r="DU28" i="19" s="1"/>
  <c r="DU29" i="19" a="1"/>
  <c r="DU29" i="19" s="1"/>
  <c r="DU30" i="19" a="1"/>
  <c r="DU30" i="19" s="1"/>
  <c r="DU31" i="19" a="1"/>
  <c r="DU31" i="19"/>
  <c r="DU32" i="19" a="1"/>
  <c r="DU32" i="19" s="1"/>
  <c r="DU33" i="19" a="1"/>
  <c r="DU33" i="19" s="1"/>
  <c r="DU34" i="19" a="1"/>
  <c r="DU34" i="19" s="1"/>
  <c r="DU35" i="19" a="1"/>
  <c r="DU35" i="19" s="1"/>
  <c r="DU36" i="19" a="1"/>
  <c r="DU36" i="19" s="1"/>
  <c r="DU37" i="19" a="1"/>
  <c r="DU37" i="19"/>
  <c r="DU3" i="19" a="1"/>
  <c r="DU3" i="19" s="1"/>
  <c r="DT4" i="19" a="1"/>
  <c r="DT4" i="19" s="1"/>
  <c r="DT5" i="19" a="1"/>
  <c r="DT5" i="19" s="1"/>
  <c r="DT6" i="19" a="1"/>
  <c r="DT6" i="19" s="1"/>
  <c r="DT7" i="19" a="1"/>
  <c r="DT7" i="19" s="1"/>
  <c r="DT8" i="19" a="1"/>
  <c r="DT8" i="19" s="1"/>
  <c r="DT9" i="19" a="1"/>
  <c r="DT9" i="19" s="1"/>
  <c r="DT10" i="19" a="1"/>
  <c r="DT10" i="19" s="1"/>
  <c r="DT11" i="19" a="1"/>
  <c r="DT11" i="19" s="1"/>
  <c r="DT12" i="19" a="1"/>
  <c r="DT12" i="19" s="1"/>
  <c r="DT13" i="19" a="1"/>
  <c r="DT13" i="19" s="1"/>
  <c r="DT14" i="19" a="1"/>
  <c r="DT14" i="19" s="1"/>
  <c r="DT15" i="19" a="1"/>
  <c r="DT15" i="19" s="1"/>
  <c r="DT16" i="19" a="1"/>
  <c r="DT16" i="19" s="1"/>
  <c r="DT17" i="19" a="1"/>
  <c r="DT17" i="19" s="1"/>
  <c r="DT18" i="19" a="1"/>
  <c r="DT18" i="19" s="1"/>
  <c r="DT19" i="19" a="1"/>
  <c r="DT19" i="19" s="1"/>
  <c r="DT20" i="19" a="1"/>
  <c r="DT20" i="19" s="1"/>
  <c r="DT21" i="19" a="1"/>
  <c r="DT21" i="19" s="1"/>
  <c r="DT22" i="19" a="1"/>
  <c r="DT22" i="19" s="1"/>
  <c r="DT23" i="19" a="1"/>
  <c r="DT23" i="19" s="1"/>
  <c r="DT24" i="19" a="1"/>
  <c r="DT24" i="19" s="1"/>
  <c r="DT25" i="19" a="1"/>
  <c r="DT25" i="19" s="1"/>
  <c r="DT26" i="19" a="1"/>
  <c r="DT26" i="19" s="1"/>
  <c r="DT27" i="19" a="1"/>
  <c r="DT27" i="19" s="1"/>
  <c r="DT28" i="19" a="1"/>
  <c r="DT28" i="19" s="1"/>
  <c r="DT29" i="19" a="1"/>
  <c r="DT29" i="19" s="1"/>
  <c r="DT30" i="19" a="1"/>
  <c r="DT30" i="19" s="1"/>
  <c r="DT31" i="19" a="1"/>
  <c r="DT31" i="19" s="1"/>
  <c r="DT32" i="19" a="1"/>
  <c r="DT32" i="19" s="1"/>
  <c r="DT33" i="19" a="1"/>
  <c r="DT33" i="19" s="1"/>
  <c r="DT34" i="19" a="1"/>
  <c r="DT34" i="19" s="1"/>
  <c r="DT35" i="19" a="1"/>
  <c r="DT35" i="19" s="1"/>
  <c r="DT36" i="19" a="1"/>
  <c r="DT36" i="19" s="1"/>
  <c r="DT37" i="19" a="1"/>
  <c r="DT37" i="19" s="1"/>
  <c r="DT3" i="19" a="1"/>
  <c r="DT3" i="19" s="1"/>
  <c r="DR4" i="19" a="1"/>
  <c r="DR4" i="19" s="1"/>
  <c r="DR5" i="19" a="1"/>
  <c r="DR5" i="19"/>
  <c r="DR6" i="19" a="1"/>
  <c r="DR6" i="19" s="1"/>
  <c r="DR7" i="19" a="1"/>
  <c r="DR7" i="19" s="1"/>
  <c r="DR8" i="19" a="1"/>
  <c r="DR8" i="19" s="1"/>
  <c r="DR9" i="19" a="1"/>
  <c r="DR9" i="19" s="1"/>
  <c r="DR10" i="19" a="1"/>
  <c r="DR10" i="19" s="1"/>
  <c r="DR11" i="19" a="1"/>
  <c r="DR11" i="19" s="1"/>
  <c r="DR12" i="19" a="1"/>
  <c r="DR12" i="19" s="1"/>
  <c r="DR13" i="19" a="1"/>
  <c r="DR13" i="19" s="1"/>
  <c r="DR14" i="19" a="1"/>
  <c r="DR14" i="19" s="1"/>
  <c r="DR15" i="19" a="1"/>
  <c r="DR15" i="19" s="1"/>
  <c r="DR16" i="19" a="1"/>
  <c r="DR16" i="19" s="1"/>
  <c r="DR17" i="19" a="1"/>
  <c r="DR17" i="19" s="1"/>
  <c r="DR18" i="19" a="1"/>
  <c r="DR18" i="19" s="1"/>
  <c r="DR19" i="19" a="1"/>
  <c r="DR19" i="19" s="1"/>
  <c r="DR20" i="19" a="1"/>
  <c r="DR20" i="19" s="1"/>
  <c r="DR21" i="19" a="1"/>
  <c r="DR21" i="19" s="1"/>
  <c r="DR22" i="19" a="1"/>
  <c r="DR22" i="19" s="1"/>
  <c r="DR23" i="19" a="1"/>
  <c r="DR23" i="19" s="1"/>
  <c r="DR24" i="19" a="1"/>
  <c r="DR24" i="19" s="1"/>
  <c r="DR25" i="19" a="1"/>
  <c r="DR25" i="19" s="1"/>
  <c r="DR26" i="19" a="1"/>
  <c r="DR26" i="19" s="1"/>
  <c r="DR27" i="19" a="1"/>
  <c r="DR27" i="19" s="1"/>
  <c r="DR28" i="19" a="1"/>
  <c r="DR28" i="19" s="1"/>
  <c r="DR29" i="19" a="1"/>
  <c r="DR29" i="19" s="1"/>
  <c r="DR30" i="19" a="1"/>
  <c r="DR30" i="19" s="1"/>
  <c r="DR31" i="19" a="1"/>
  <c r="DR31" i="19" s="1"/>
  <c r="DR32" i="19" a="1"/>
  <c r="DR32" i="19" s="1"/>
  <c r="DR33" i="19" a="1"/>
  <c r="DR33" i="19"/>
  <c r="DR34" i="19" a="1"/>
  <c r="DR34" i="19" s="1"/>
  <c r="DR35" i="19" a="1"/>
  <c r="DR35" i="19" s="1"/>
  <c r="DR36" i="19" a="1"/>
  <c r="DR36" i="19" s="1"/>
  <c r="DR37" i="19" a="1"/>
  <c r="DR37" i="19" s="1"/>
  <c r="DR3" i="19" a="1"/>
  <c r="DR3" i="19" s="1"/>
  <c r="K1692" i="21"/>
  <c r="K1654" i="21"/>
  <c r="K1616" i="21"/>
  <c r="K1578" i="21"/>
  <c r="K1540" i="21"/>
  <c r="K1502" i="21"/>
  <c r="K1464" i="21"/>
  <c r="K1426" i="21"/>
  <c r="K1388" i="21"/>
  <c r="K1350" i="21"/>
  <c r="K1312" i="21"/>
  <c r="K1274" i="21"/>
  <c r="K1236" i="21"/>
  <c r="K1198" i="21"/>
  <c r="K1160" i="21"/>
  <c r="K1122" i="21"/>
  <c r="K1084" i="21"/>
  <c r="K1046" i="21"/>
  <c r="K1008" i="21"/>
  <c r="K970" i="21"/>
  <c r="K932" i="21"/>
  <c r="K894" i="21"/>
  <c r="K856" i="21"/>
  <c r="K818" i="21"/>
  <c r="K780" i="21"/>
  <c r="K742" i="21"/>
  <c r="K704" i="21"/>
  <c r="K666" i="21"/>
  <c r="K628" i="21"/>
  <c r="K590" i="21"/>
  <c r="K552" i="21"/>
  <c r="K514" i="21"/>
  <c r="K476" i="21"/>
  <c r="K438" i="21"/>
  <c r="K400" i="21"/>
  <c r="K362" i="21"/>
  <c r="K324" i="21"/>
  <c r="K286" i="21"/>
  <c r="K248" i="21"/>
  <c r="K210" i="21"/>
  <c r="K172" i="21"/>
  <c r="K134" i="21"/>
  <c r="K96" i="21"/>
  <c r="K58" i="21"/>
  <c r="K20" i="21"/>
  <c r="K172" i="18"/>
  <c r="K134" i="18"/>
  <c r="K96" i="18"/>
  <c r="K58" i="18"/>
  <c r="K20" i="18"/>
  <c r="K210" i="5"/>
  <c r="K172" i="5"/>
  <c r="K134" i="5"/>
  <c r="K96" i="5"/>
  <c r="K58" i="5"/>
  <c r="K20" i="5"/>
  <c r="K1882" i="22"/>
  <c r="K1844" i="22"/>
  <c r="K1806" i="22"/>
  <c r="K1768" i="22"/>
  <c r="K1730" i="22"/>
  <c r="K1692" i="22"/>
  <c r="K1654" i="22"/>
  <c r="K1616" i="22"/>
  <c r="K1578" i="22"/>
  <c r="K1540" i="22"/>
  <c r="K1502" i="22"/>
  <c r="K1464" i="22"/>
  <c r="K1426" i="22"/>
  <c r="K1388" i="22"/>
  <c r="K1350" i="22"/>
  <c r="K1312" i="22"/>
  <c r="K1274" i="22"/>
  <c r="K1236" i="22"/>
  <c r="K1198" i="22"/>
  <c r="K1160" i="22"/>
  <c r="K1122" i="22"/>
  <c r="K1084" i="22"/>
  <c r="K1046" i="22"/>
  <c r="K1008" i="22"/>
  <c r="K970" i="22"/>
  <c r="K932" i="22"/>
  <c r="K894" i="22"/>
  <c r="K856" i="22"/>
  <c r="K818" i="22"/>
  <c r="K780" i="22"/>
  <c r="K742" i="22"/>
  <c r="K704" i="22"/>
  <c r="K666" i="22"/>
  <c r="K628" i="22"/>
  <c r="K590" i="22"/>
  <c r="K552" i="22"/>
  <c r="K514" i="22"/>
  <c r="K476" i="22"/>
  <c r="K438" i="22"/>
  <c r="K400" i="22"/>
  <c r="K362" i="22"/>
  <c r="K324" i="22"/>
  <c r="K286" i="22"/>
  <c r="K248" i="22"/>
  <c r="K210" i="22"/>
  <c r="K172" i="22"/>
  <c r="K134" i="22"/>
  <c r="K96" i="22"/>
  <c r="K58" i="22"/>
  <c r="K20" i="22"/>
  <c r="K324" i="15"/>
  <c r="K286" i="15"/>
  <c r="K248" i="15"/>
  <c r="K210" i="15"/>
  <c r="K172" i="15"/>
  <c r="K134" i="15"/>
  <c r="K96" i="15"/>
  <c r="K58" i="15"/>
  <c r="K20" i="15"/>
  <c r="K704" i="14"/>
  <c r="K666" i="14"/>
  <c r="K628" i="14"/>
  <c r="K590" i="14"/>
  <c r="K552" i="14"/>
  <c r="K514" i="14"/>
  <c r="K476" i="14"/>
  <c r="K438" i="14"/>
  <c r="K400" i="14"/>
  <c r="K362" i="14"/>
  <c r="K324" i="14"/>
  <c r="K286" i="14"/>
  <c r="K248" i="14"/>
  <c r="K210" i="14"/>
  <c r="K172" i="14"/>
  <c r="K134" i="14"/>
  <c r="K96" i="14"/>
  <c r="K58" i="14"/>
  <c r="K20" i="14"/>
  <c r="K96" i="13"/>
  <c r="K58" i="13"/>
  <c r="K20" i="13"/>
  <c r="W18" i="19" l="1"/>
  <c r="W14" i="19"/>
  <c r="W10" i="19"/>
  <c r="Z34" i="19"/>
  <c r="Z30" i="19"/>
  <c r="Z26" i="19"/>
  <c r="Z18" i="19"/>
  <c r="W34" i="19"/>
  <c r="Z14" i="19"/>
  <c r="W30" i="19"/>
  <c r="Z10" i="19"/>
  <c r="W26" i="19"/>
  <c r="Y34" i="19"/>
  <c r="Y29" i="19"/>
  <c r="Y24" i="19"/>
  <c r="Y18" i="19"/>
  <c r="Y13" i="19"/>
  <c r="Y8" i="19"/>
  <c r="Y33" i="19"/>
  <c r="Y28" i="19"/>
  <c r="Y22" i="19"/>
  <c r="Y17" i="19"/>
  <c r="Y12" i="19"/>
  <c r="Y6" i="19"/>
  <c r="Y37" i="19"/>
  <c r="Y32" i="19"/>
  <c r="Y26" i="19"/>
  <c r="Y21" i="19"/>
  <c r="Y16" i="19"/>
  <c r="Y10" i="19"/>
  <c r="Y5" i="19"/>
  <c r="Y36" i="19"/>
  <c r="Y30" i="19"/>
  <c r="Y25" i="19"/>
  <c r="Y20" i="19"/>
  <c r="Y14" i="19"/>
  <c r="Y9" i="19"/>
  <c r="Y4" i="19"/>
  <c r="W22" i="19"/>
  <c r="W6" i="19"/>
  <c r="Z22" i="19"/>
  <c r="Z6" i="19"/>
  <c r="Z37" i="19"/>
  <c r="Z33" i="19"/>
  <c r="Z29" i="19"/>
  <c r="Z25" i="19"/>
  <c r="Z21" i="19"/>
  <c r="Z17" i="19"/>
  <c r="Z13" i="19"/>
  <c r="Z9" i="19"/>
  <c r="Z5" i="19"/>
  <c r="Z36" i="19"/>
  <c r="Z32" i="19"/>
  <c r="Z28" i="19"/>
  <c r="Z24" i="19"/>
  <c r="Z20" i="19"/>
  <c r="Z16" i="19"/>
  <c r="Z12" i="19"/>
  <c r="Z8" i="19"/>
  <c r="Z4" i="19"/>
  <c r="Z35" i="19"/>
  <c r="Z31" i="19"/>
  <c r="Z27" i="19"/>
  <c r="Z23" i="19"/>
  <c r="Z19" i="19"/>
  <c r="Z15" i="19"/>
  <c r="Z11" i="19"/>
  <c r="Z7" i="19"/>
  <c r="Y35" i="19"/>
  <c r="Y31" i="19"/>
  <c r="Y27" i="19"/>
  <c r="Y23" i="19"/>
  <c r="Y19" i="19"/>
  <c r="Y15" i="19"/>
  <c r="Y11" i="19"/>
  <c r="Y7" i="19"/>
  <c r="W37" i="19"/>
  <c r="W33" i="19"/>
  <c r="W29" i="19"/>
  <c r="W25" i="19"/>
  <c r="W21" i="19"/>
  <c r="W17" i="19"/>
  <c r="W13" i="19"/>
  <c r="W9" i="19"/>
  <c r="W5" i="19"/>
  <c r="W36" i="19"/>
  <c r="W32" i="19"/>
  <c r="W28" i="19"/>
  <c r="W24" i="19"/>
  <c r="W20" i="19"/>
  <c r="W16" i="19"/>
  <c r="W12" i="19"/>
  <c r="W8" i="19"/>
  <c r="W4" i="19"/>
  <c r="W35" i="19"/>
  <c r="W31" i="19"/>
  <c r="W27" i="19"/>
  <c r="W23" i="19"/>
  <c r="W19" i="19"/>
  <c r="W15" i="19"/>
  <c r="W11" i="19"/>
  <c r="W7" i="19"/>
  <c r="K14" i="5"/>
  <c r="K14" i="18"/>
  <c r="K14" i="22"/>
  <c r="K14" i="15"/>
  <c r="K14" i="21"/>
  <c r="D17" i="19"/>
  <c r="D16" i="19"/>
  <c r="D15" i="19"/>
  <c r="D14" i="19"/>
  <c r="D13" i="19"/>
  <c r="D12" i="19"/>
  <c r="D11" i="19"/>
  <c r="A1882" i="22" a="1"/>
  <c r="A1882" i="22" s="1"/>
  <c r="B1882" i="22" a="1"/>
  <c r="B1882" i="22" s="1"/>
  <c r="C1882" i="22" a="1"/>
  <c r="C1882" i="22" s="1"/>
  <c r="A1883" i="22" a="1"/>
  <c r="A1883" i="22" s="1"/>
  <c r="B1883" i="22" a="1"/>
  <c r="B1883" i="22" s="1"/>
  <c r="C1883" i="22" a="1"/>
  <c r="C1883" i="22" s="1"/>
  <c r="A1884" i="22" a="1"/>
  <c r="A1884" i="22" s="1"/>
  <c r="B1884" i="22" a="1"/>
  <c r="B1884" i="22" s="1"/>
  <c r="C1884" i="22" a="1"/>
  <c r="C1884" i="22" s="1"/>
  <c r="A1885" i="22" a="1"/>
  <c r="A1885" i="22" s="1"/>
  <c r="B1885" i="22" a="1"/>
  <c r="B1885" i="22" s="1"/>
  <c r="C1885" i="22" a="1"/>
  <c r="C1885" i="22" s="1"/>
  <c r="A1886" i="22" a="1"/>
  <c r="A1886" i="22" s="1"/>
  <c r="B1886" i="22" a="1"/>
  <c r="B1886" i="22" s="1"/>
  <c r="C1886" i="22" a="1"/>
  <c r="C1886" i="22" s="1"/>
  <c r="A1887" i="22" a="1"/>
  <c r="A1887" i="22" s="1"/>
  <c r="B1887" i="22" a="1"/>
  <c r="B1887" i="22" s="1"/>
  <c r="C1887" i="22" a="1"/>
  <c r="C1887" i="22" s="1"/>
  <c r="A1888" i="22" a="1"/>
  <c r="A1888" i="22" s="1"/>
  <c r="B1888" i="22" a="1"/>
  <c r="B1888" i="22" s="1"/>
  <c r="C1888" i="22" a="1"/>
  <c r="C1888" i="22" s="1"/>
  <c r="A1889" i="22" a="1"/>
  <c r="A1889" i="22" s="1"/>
  <c r="B1889" i="22" a="1"/>
  <c r="B1889" i="22" s="1"/>
  <c r="C1889" i="22" a="1"/>
  <c r="C1889" i="22" s="1"/>
  <c r="A1890" i="22" a="1"/>
  <c r="A1890" i="22" s="1"/>
  <c r="B1890" i="22" a="1"/>
  <c r="B1890" i="22" s="1"/>
  <c r="C1890" i="22" a="1"/>
  <c r="C1890" i="22" s="1"/>
  <c r="A1891" i="22" a="1"/>
  <c r="A1891" i="22" s="1"/>
  <c r="B1891" i="22" a="1"/>
  <c r="B1891" i="22" s="1"/>
  <c r="C1891" i="22" a="1"/>
  <c r="C1891" i="22" s="1"/>
  <c r="A1892" i="22" a="1"/>
  <c r="A1892" i="22" s="1"/>
  <c r="B1892" i="22" a="1"/>
  <c r="B1892" i="22" s="1"/>
  <c r="C1892" i="22" a="1"/>
  <c r="C1892" i="22" s="1"/>
  <c r="A1893" i="22" a="1"/>
  <c r="A1893" i="22" s="1"/>
  <c r="B1893" i="22" a="1"/>
  <c r="B1893" i="22" s="1"/>
  <c r="C1893" i="22" a="1"/>
  <c r="C1893" i="22" s="1"/>
  <c r="A1894" i="22" a="1"/>
  <c r="A1894" i="22" s="1"/>
  <c r="B1894" i="22" a="1"/>
  <c r="B1894" i="22" s="1"/>
  <c r="C1894" i="22" a="1"/>
  <c r="C1894" i="22" s="1"/>
  <c r="A1895" i="22" a="1"/>
  <c r="A1895" i="22" s="1"/>
  <c r="B1895" i="22" a="1"/>
  <c r="B1895" i="22" s="1"/>
  <c r="C1895" i="22" a="1"/>
  <c r="C1895" i="22" s="1"/>
  <c r="A1896" i="22" a="1"/>
  <c r="A1896" i="22" s="1"/>
  <c r="B1896" i="22" a="1"/>
  <c r="B1896" i="22" s="1"/>
  <c r="C1896" i="22" a="1"/>
  <c r="C1896" i="22" s="1"/>
  <c r="A1897" i="22" a="1"/>
  <c r="A1897" i="22" s="1"/>
  <c r="B1897" i="22" a="1"/>
  <c r="B1897" i="22" s="1"/>
  <c r="C1897" i="22" a="1"/>
  <c r="C1897" i="22" s="1"/>
  <c r="A1898" i="22" a="1"/>
  <c r="A1898" i="22" s="1"/>
  <c r="B1898" i="22" a="1"/>
  <c r="B1898" i="22" s="1"/>
  <c r="C1898" i="22" a="1"/>
  <c r="C1898" i="22" s="1"/>
  <c r="A1899" i="22" a="1"/>
  <c r="A1899" i="22" s="1"/>
  <c r="B1899" i="22" a="1"/>
  <c r="B1899" i="22" s="1"/>
  <c r="C1899" i="22" a="1"/>
  <c r="C1899" i="22" s="1"/>
  <c r="A1900" i="22" a="1"/>
  <c r="A1900" i="22" s="1"/>
  <c r="B1900" i="22" a="1"/>
  <c r="B1900" i="22" s="1"/>
  <c r="C1900" i="22" a="1"/>
  <c r="C1900" i="22" s="1"/>
  <c r="A1901" i="22" a="1"/>
  <c r="A1901" i="22" s="1"/>
  <c r="B1901" i="22" a="1"/>
  <c r="B1901" i="22" s="1"/>
  <c r="C1901" i="22" a="1"/>
  <c r="C1901" i="22" s="1"/>
  <c r="A1902" i="22" a="1"/>
  <c r="A1902" i="22" s="1"/>
  <c r="B1902" i="22" a="1"/>
  <c r="B1902" i="22" s="1"/>
  <c r="C1902" i="22" a="1"/>
  <c r="C1902" i="22" s="1"/>
  <c r="A1903" i="22" a="1"/>
  <c r="A1903" i="22" s="1"/>
  <c r="B1903" i="22" a="1"/>
  <c r="B1903" i="22" s="1"/>
  <c r="C1903" i="22" a="1"/>
  <c r="C1903" i="22" s="1"/>
  <c r="A1904" i="22" a="1"/>
  <c r="A1904" i="22" s="1"/>
  <c r="B1904" i="22" a="1"/>
  <c r="B1904" i="22" s="1"/>
  <c r="C1904" i="22" a="1"/>
  <c r="C1904" i="22" s="1"/>
  <c r="A1905" i="22" a="1"/>
  <c r="A1905" i="22" s="1"/>
  <c r="B1905" i="22" a="1"/>
  <c r="B1905" i="22" s="1"/>
  <c r="C1905" i="22" a="1"/>
  <c r="C1905" i="22" s="1"/>
  <c r="A1906" i="22" a="1"/>
  <c r="A1906" i="22" s="1"/>
  <c r="B1906" i="22" a="1"/>
  <c r="B1906" i="22" s="1"/>
  <c r="C1906" i="22" a="1"/>
  <c r="C1906" i="22" s="1"/>
  <c r="A1907" i="22" a="1"/>
  <c r="A1907" i="22" s="1"/>
  <c r="B1907" i="22" a="1"/>
  <c r="B1907" i="22" s="1"/>
  <c r="C1907" i="22" a="1"/>
  <c r="C1907" i="22" s="1"/>
  <c r="A1908" i="22" a="1"/>
  <c r="A1908" i="22" s="1"/>
  <c r="B1908" i="22" a="1"/>
  <c r="B1908" i="22" s="1"/>
  <c r="C1908" i="22" a="1"/>
  <c r="C1908" i="22" s="1"/>
  <c r="A1909" i="22" a="1"/>
  <c r="A1909" i="22" s="1"/>
  <c r="B1909" i="22" a="1"/>
  <c r="B1909" i="22" s="1"/>
  <c r="C1909" i="22" a="1"/>
  <c r="C1909" i="22" s="1"/>
  <c r="A1910" i="22" a="1"/>
  <c r="A1910" i="22" s="1"/>
  <c r="B1910" i="22" a="1"/>
  <c r="B1910" i="22" s="1"/>
  <c r="C1910" i="22" a="1"/>
  <c r="C1910" i="22" s="1"/>
  <c r="A1911" i="22" a="1"/>
  <c r="A1911" i="22" s="1"/>
  <c r="B1911" i="22" a="1"/>
  <c r="B1911" i="22" s="1"/>
  <c r="C1911" i="22" a="1"/>
  <c r="C1911" i="22" s="1"/>
  <c r="A1912" i="22" a="1"/>
  <c r="A1912" i="22" s="1"/>
  <c r="B1912" i="22" a="1"/>
  <c r="B1912" i="22" s="1"/>
  <c r="C1912" i="22" a="1"/>
  <c r="C1912" i="22" s="1"/>
  <c r="A1913" i="22" a="1"/>
  <c r="A1913" i="22" s="1"/>
  <c r="B1913" i="22" a="1"/>
  <c r="B1913" i="22" s="1"/>
  <c r="C1913" i="22" a="1"/>
  <c r="C1913" i="22" s="1"/>
  <c r="A1914" i="22" a="1"/>
  <c r="A1914" i="22" s="1"/>
  <c r="B1914" i="22" a="1"/>
  <c r="B1914" i="22" s="1"/>
  <c r="C1914" i="22" a="1"/>
  <c r="C1914" i="22" s="1"/>
  <c r="A1915" i="22" a="1"/>
  <c r="A1915" i="22" s="1"/>
  <c r="B1915" i="22" a="1"/>
  <c r="B1915" i="22" s="1"/>
  <c r="C1915" i="22" a="1"/>
  <c r="C1915" i="22" s="1"/>
  <c r="C1881" i="22" a="1"/>
  <c r="C1881" i="22" s="1"/>
  <c r="B1881" i="22" a="1"/>
  <c r="B1881" i="22" s="1"/>
  <c r="A1881" i="22" a="1"/>
  <c r="A1881" i="22" s="1"/>
  <c r="D1915" i="22" l="1"/>
  <c r="E1915" i="22" s="1"/>
  <c r="D1913" i="22"/>
  <c r="E1913" i="22" s="1"/>
  <c r="D1911" i="22"/>
  <c r="E1911" i="22" s="1"/>
  <c r="D1909" i="22"/>
  <c r="E1909" i="22" s="1"/>
  <c r="D1907" i="22"/>
  <c r="E1907" i="22" s="1"/>
  <c r="D1905" i="22"/>
  <c r="E1905" i="22" s="1"/>
  <c r="D1903" i="22"/>
  <c r="E1903" i="22" s="1"/>
  <c r="D1901" i="22"/>
  <c r="E1901" i="22" s="1"/>
  <c r="D1899" i="22"/>
  <c r="E1899" i="22" s="1"/>
  <c r="D1897" i="22"/>
  <c r="E1897" i="22" s="1"/>
  <c r="D1895" i="22"/>
  <c r="E1895" i="22" s="1"/>
  <c r="D1893" i="22"/>
  <c r="E1893" i="22" s="1"/>
  <c r="D1891" i="22"/>
  <c r="E1891" i="22" s="1"/>
  <c r="D1889" i="22"/>
  <c r="E1889" i="22" s="1"/>
  <c r="D1887" i="22"/>
  <c r="E1887" i="22" s="1"/>
  <c r="D1885" i="22"/>
  <c r="E1885" i="22" s="1"/>
  <c r="D1884" i="22"/>
  <c r="E1884" i="22" s="1"/>
  <c r="D1883" i="22"/>
  <c r="E1883" i="22" s="1"/>
  <c r="D1882" i="22"/>
  <c r="E1882" i="22" s="1"/>
  <c r="D1888" i="22" l="1"/>
  <c r="E1888" i="22" s="1"/>
  <c r="D1892" i="22"/>
  <c r="E1892" i="22" s="1"/>
  <c r="D1896" i="22"/>
  <c r="E1896" i="22" s="1"/>
  <c r="D1900" i="22"/>
  <c r="E1900" i="22" s="1"/>
  <c r="D1904" i="22"/>
  <c r="E1904" i="22" s="1"/>
  <c r="D1908" i="22"/>
  <c r="E1908" i="22" s="1"/>
  <c r="D1912" i="22"/>
  <c r="E1912" i="22" s="1"/>
  <c r="D1881" i="22"/>
  <c r="D1886" i="22"/>
  <c r="E1886" i="22" s="1"/>
  <c r="D1890" i="22"/>
  <c r="E1890" i="22" s="1"/>
  <c r="D1894" i="22"/>
  <c r="E1894" i="22" s="1"/>
  <c r="D1898" i="22"/>
  <c r="E1898" i="22" s="1"/>
  <c r="D1902" i="22"/>
  <c r="E1902" i="22" s="1"/>
  <c r="D1906" i="22"/>
  <c r="E1906" i="22" s="1"/>
  <c r="D1910" i="22"/>
  <c r="E1910" i="22" s="1"/>
  <c r="D1914" i="22"/>
  <c r="E1914" i="22" s="1"/>
  <c r="C205" i="18" a="1"/>
  <c r="C205" i="18" s="1"/>
  <c r="B205" i="18" a="1"/>
  <c r="B205" i="18" s="1"/>
  <c r="A205" i="18" a="1"/>
  <c r="A205" i="18" s="1"/>
  <c r="C204" i="18" a="1"/>
  <c r="C204" i="18" s="1"/>
  <c r="B204" i="18" a="1"/>
  <c r="B204" i="18" s="1"/>
  <c r="A204" i="18" a="1"/>
  <c r="A204" i="18" s="1"/>
  <c r="C203" i="18" a="1"/>
  <c r="C203" i="18" s="1"/>
  <c r="B203" i="18" a="1"/>
  <c r="B203" i="18" s="1"/>
  <c r="A203" i="18" a="1"/>
  <c r="A203" i="18" s="1"/>
  <c r="C202" i="18" a="1"/>
  <c r="C202" i="18" s="1"/>
  <c r="B202" i="18" a="1"/>
  <c r="B202" i="18" s="1"/>
  <c r="A202" i="18" a="1"/>
  <c r="A202" i="18" s="1"/>
  <c r="C201" i="18" a="1"/>
  <c r="C201" i="18" s="1"/>
  <c r="B201" i="18" a="1"/>
  <c r="B201" i="18" s="1"/>
  <c r="A201" i="18" a="1"/>
  <c r="A201" i="18" s="1"/>
  <c r="C200" i="18" a="1"/>
  <c r="C200" i="18" s="1"/>
  <c r="B200" i="18" a="1"/>
  <c r="B200" i="18" s="1"/>
  <c r="A200" i="18" a="1"/>
  <c r="A200" i="18" s="1"/>
  <c r="C199" i="18" a="1"/>
  <c r="C199" i="18" s="1"/>
  <c r="B199" i="18" a="1"/>
  <c r="B199" i="18" s="1"/>
  <c r="A199" i="18" a="1"/>
  <c r="A199" i="18" s="1"/>
  <c r="C198" i="18" a="1"/>
  <c r="C198" i="18" s="1"/>
  <c r="B198" i="18" a="1"/>
  <c r="B198" i="18" s="1"/>
  <c r="A198" i="18" a="1"/>
  <c r="A198" i="18" s="1"/>
  <c r="C197" i="18" a="1"/>
  <c r="C197" i="18" s="1"/>
  <c r="B197" i="18" a="1"/>
  <c r="B197" i="18" s="1"/>
  <c r="A197" i="18" a="1"/>
  <c r="A197" i="18" s="1"/>
  <c r="C196" i="18" a="1"/>
  <c r="C196" i="18" s="1"/>
  <c r="B196" i="18" a="1"/>
  <c r="B196" i="18" s="1"/>
  <c r="A196" i="18" a="1"/>
  <c r="A196" i="18" s="1"/>
  <c r="C195" i="18" a="1"/>
  <c r="C195" i="18" s="1"/>
  <c r="B195" i="18" a="1"/>
  <c r="B195" i="18" s="1"/>
  <c r="A195" i="18" a="1"/>
  <c r="A195" i="18" s="1"/>
  <c r="C194" i="18" a="1"/>
  <c r="C194" i="18" s="1"/>
  <c r="B194" i="18" a="1"/>
  <c r="B194" i="18" s="1"/>
  <c r="A194" i="18" a="1"/>
  <c r="A194" i="18" s="1"/>
  <c r="C193" i="18" a="1"/>
  <c r="C193" i="18" s="1"/>
  <c r="B193" i="18" a="1"/>
  <c r="B193" i="18" s="1"/>
  <c r="A193" i="18" a="1"/>
  <c r="A193" i="18" s="1"/>
  <c r="C192" i="18" a="1"/>
  <c r="C192" i="18" s="1"/>
  <c r="B192" i="18" a="1"/>
  <c r="B192" i="18" s="1"/>
  <c r="A192" i="18" a="1"/>
  <c r="A192" i="18" s="1"/>
  <c r="C191" i="18" a="1"/>
  <c r="C191" i="18" s="1"/>
  <c r="B191" i="18" a="1"/>
  <c r="B191" i="18" s="1"/>
  <c r="A191" i="18" a="1"/>
  <c r="A191" i="18" s="1"/>
  <c r="C190" i="18" a="1"/>
  <c r="C190" i="18" s="1"/>
  <c r="B190" i="18" a="1"/>
  <c r="B190" i="18" s="1"/>
  <c r="A190" i="18" a="1"/>
  <c r="A190" i="18" s="1"/>
  <c r="C189" i="18" a="1"/>
  <c r="C189" i="18" s="1"/>
  <c r="B189" i="18" a="1"/>
  <c r="B189" i="18" s="1"/>
  <c r="A189" i="18" a="1"/>
  <c r="A189" i="18" s="1"/>
  <c r="C188" i="18" a="1"/>
  <c r="C188" i="18" s="1"/>
  <c r="B188" i="18" a="1"/>
  <c r="B188" i="18" s="1"/>
  <c r="A188" i="18" a="1"/>
  <c r="A188" i="18" s="1"/>
  <c r="C187" i="18" a="1"/>
  <c r="C187" i="18" s="1"/>
  <c r="B187" i="18" a="1"/>
  <c r="B187" i="18" s="1"/>
  <c r="A187" i="18" a="1"/>
  <c r="A187" i="18" s="1"/>
  <c r="C186" i="18" a="1"/>
  <c r="C186" i="18" s="1"/>
  <c r="B186" i="18" a="1"/>
  <c r="B186" i="18" s="1"/>
  <c r="A186" i="18" a="1"/>
  <c r="A186" i="18" s="1"/>
  <c r="C185" i="18" a="1"/>
  <c r="C185" i="18" s="1"/>
  <c r="B185" i="18" a="1"/>
  <c r="B185" i="18" s="1"/>
  <c r="A185" i="18" a="1"/>
  <c r="A185" i="18" s="1"/>
  <c r="C184" i="18" a="1"/>
  <c r="C184" i="18" s="1"/>
  <c r="B184" i="18" a="1"/>
  <c r="B184" i="18" s="1"/>
  <c r="A184" i="18" a="1"/>
  <c r="A184" i="18" s="1"/>
  <c r="C183" i="18" a="1"/>
  <c r="C183" i="18" s="1"/>
  <c r="B183" i="18" a="1"/>
  <c r="B183" i="18" s="1"/>
  <c r="A183" i="18" a="1"/>
  <c r="A183" i="18" s="1"/>
  <c r="C182" i="18" a="1"/>
  <c r="C182" i="18" s="1"/>
  <c r="B182" i="18" a="1"/>
  <c r="B182" i="18" s="1"/>
  <c r="A182" i="18" a="1"/>
  <c r="A182" i="18" s="1"/>
  <c r="C181" i="18" a="1"/>
  <c r="C181" i="18" s="1"/>
  <c r="B181" i="18" a="1"/>
  <c r="B181" i="18" s="1"/>
  <c r="A181" i="18" a="1"/>
  <c r="A181" i="18" s="1"/>
  <c r="C180" i="18" a="1"/>
  <c r="C180" i="18" s="1"/>
  <c r="B180" i="18" a="1"/>
  <c r="B180" i="18" s="1"/>
  <c r="A180" i="18" a="1"/>
  <c r="A180" i="18" s="1"/>
  <c r="C179" i="18" a="1"/>
  <c r="C179" i="18" s="1"/>
  <c r="B179" i="18" a="1"/>
  <c r="B179" i="18" s="1"/>
  <c r="A179" i="18" a="1"/>
  <c r="A179" i="18" s="1"/>
  <c r="C178" i="18" a="1"/>
  <c r="C178" i="18" s="1"/>
  <c r="B178" i="18" a="1"/>
  <c r="B178" i="18" s="1"/>
  <c r="A178" i="18" a="1"/>
  <c r="A178" i="18" s="1"/>
  <c r="C177" i="18" a="1"/>
  <c r="C177" i="18" s="1"/>
  <c r="B177" i="18" a="1"/>
  <c r="B177" i="18" s="1"/>
  <c r="A177" i="18" a="1"/>
  <c r="A177" i="18" s="1"/>
  <c r="C176" i="18" a="1"/>
  <c r="C176" i="18" s="1"/>
  <c r="B176" i="18" a="1"/>
  <c r="B176" i="18" s="1"/>
  <c r="A176" i="18" a="1"/>
  <c r="A176" i="18" s="1"/>
  <c r="C175" i="18" a="1"/>
  <c r="C175" i="18" s="1"/>
  <c r="B175" i="18" a="1"/>
  <c r="B175" i="18" s="1"/>
  <c r="A175" i="18" a="1"/>
  <c r="A175" i="18" s="1"/>
  <c r="C174" i="18" a="1"/>
  <c r="C174" i="18" s="1"/>
  <c r="B174" i="18" a="1"/>
  <c r="B174" i="18" s="1"/>
  <c r="A174" i="18" a="1"/>
  <c r="A174" i="18" s="1"/>
  <c r="C173" i="18" a="1"/>
  <c r="C173" i="18" s="1"/>
  <c r="B173" i="18" a="1"/>
  <c r="B173" i="18" s="1"/>
  <c r="A173" i="18" a="1"/>
  <c r="A173" i="18" s="1"/>
  <c r="C172" i="18" a="1"/>
  <c r="C172" i="18" s="1"/>
  <c r="B172" i="18" a="1"/>
  <c r="B172" i="18" s="1"/>
  <c r="A172" i="18" a="1"/>
  <c r="A172" i="18" s="1"/>
  <c r="C171" i="18" a="1"/>
  <c r="C171" i="18" s="1"/>
  <c r="B171" i="18" a="1"/>
  <c r="B171" i="18" s="1"/>
  <c r="A171" i="18" a="1"/>
  <c r="A171" i="18" s="1"/>
  <c r="C167" i="18" a="1"/>
  <c r="C167" i="18" s="1"/>
  <c r="B167" i="18" a="1"/>
  <c r="B167" i="18" s="1"/>
  <c r="A167" i="18" a="1"/>
  <c r="A167" i="18" s="1"/>
  <c r="C166" i="18" a="1"/>
  <c r="C166" i="18" s="1"/>
  <c r="B166" i="18" a="1"/>
  <c r="B166" i="18" s="1"/>
  <c r="A166" i="18" a="1"/>
  <c r="A166" i="18" s="1"/>
  <c r="C165" i="18" a="1"/>
  <c r="C165" i="18" s="1"/>
  <c r="B165" i="18" a="1"/>
  <c r="B165" i="18" s="1"/>
  <c r="A165" i="18" a="1"/>
  <c r="A165" i="18" s="1"/>
  <c r="C164" i="18" a="1"/>
  <c r="C164" i="18" s="1"/>
  <c r="B164" i="18" a="1"/>
  <c r="B164" i="18" s="1"/>
  <c r="A164" i="18" a="1"/>
  <c r="A164" i="18" s="1"/>
  <c r="C163" i="18" a="1"/>
  <c r="C163" i="18" s="1"/>
  <c r="B163" i="18" a="1"/>
  <c r="B163" i="18" s="1"/>
  <c r="A163" i="18" a="1"/>
  <c r="A163" i="18" s="1"/>
  <c r="C162" i="18" a="1"/>
  <c r="C162" i="18" s="1"/>
  <c r="B162" i="18" a="1"/>
  <c r="B162" i="18" s="1"/>
  <c r="A162" i="18" a="1"/>
  <c r="A162" i="18" s="1"/>
  <c r="C161" i="18" a="1"/>
  <c r="C161" i="18" s="1"/>
  <c r="B161" i="18" a="1"/>
  <c r="B161" i="18" s="1"/>
  <c r="A161" i="18" a="1"/>
  <c r="A161" i="18" s="1"/>
  <c r="C160" i="18" a="1"/>
  <c r="C160" i="18" s="1"/>
  <c r="B160" i="18" a="1"/>
  <c r="B160" i="18" s="1"/>
  <c r="A160" i="18" a="1"/>
  <c r="A160" i="18" s="1"/>
  <c r="C159" i="18" a="1"/>
  <c r="C159" i="18" s="1"/>
  <c r="B159" i="18" a="1"/>
  <c r="B159" i="18" s="1"/>
  <c r="A159" i="18" a="1"/>
  <c r="A159" i="18" s="1"/>
  <c r="C158" i="18" a="1"/>
  <c r="C158" i="18" s="1"/>
  <c r="B158" i="18" a="1"/>
  <c r="B158" i="18" s="1"/>
  <c r="A158" i="18" a="1"/>
  <c r="A158" i="18" s="1"/>
  <c r="C157" i="18" a="1"/>
  <c r="C157" i="18" s="1"/>
  <c r="B157" i="18" a="1"/>
  <c r="B157" i="18" s="1"/>
  <c r="A157" i="18" a="1"/>
  <c r="A157" i="18" s="1"/>
  <c r="C156" i="18" a="1"/>
  <c r="C156" i="18" s="1"/>
  <c r="B156" i="18" a="1"/>
  <c r="B156" i="18" s="1"/>
  <c r="A156" i="18" a="1"/>
  <c r="A156" i="18" s="1"/>
  <c r="C155" i="18" a="1"/>
  <c r="C155" i="18" s="1"/>
  <c r="B155" i="18" a="1"/>
  <c r="B155" i="18" s="1"/>
  <c r="A155" i="18" a="1"/>
  <c r="A155" i="18" s="1"/>
  <c r="C154" i="18" a="1"/>
  <c r="C154" i="18" s="1"/>
  <c r="B154" i="18" a="1"/>
  <c r="B154" i="18" s="1"/>
  <c r="A154" i="18" a="1"/>
  <c r="A154" i="18" s="1"/>
  <c r="C153" i="18" a="1"/>
  <c r="C153" i="18" s="1"/>
  <c r="B153" i="18" a="1"/>
  <c r="B153" i="18" s="1"/>
  <c r="A153" i="18" a="1"/>
  <c r="A153" i="18" s="1"/>
  <c r="C152" i="18" a="1"/>
  <c r="C152" i="18" s="1"/>
  <c r="B152" i="18" a="1"/>
  <c r="B152" i="18" s="1"/>
  <c r="A152" i="18" a="1"/>
  <c r="A152" i="18" s="1"/>
  <c r="C151" i="18" a="1"/>
  <c r="C151" i="18" s="1"/>
  <c r="B151" i="18" a="1"/>
  <c r="B151" i="18" s="1"/>
  <c r="A151" i="18" a="1"/>
  <c r="A151" i="18" s="1"/>
  <c r="C150" i="18" a="1"/>
  <c r="C150" i="18" s="1"/>
  <c r="B150" i="18" a="1"/>
  <c r="B150" i="18" s="1"/>
  <c r="A150" i="18" a="1"/>
  <c r="A150" i="18" s="1"/>
  <c r="C149" i="18" a="1"/>
  <c r="C149" i="18" s="1"/>
  <c r="B149" i="18" a="1"/>
  <c r="B149" i="18" s="1"/>
  <c r="A149" i="18" a="1"/>
  <c r="A149" i="18" s="1"/>
  <c r="C148" i="18" a="1"/>
  <c r="C148" i="18" s="1"/>
  <c r="B148" i="18" a="1"/>
  <c r="B148" i="18" s="1"/>
  <c r="A148" i="18" a="1"/>
  <c r="A148" i="18" s="1"/>
  <c r="C147" i="18" a="1"/>
  <c r="C147" i="18" s="1"/>
  <c r="B147" i="18" a="1"/>
  <c r="B147" i="18" s="1"/>
  <c r="A147" i="18" a="1"/>
  <c r="A147" i="18" s="1"/>
  <c r="C146" i="18" a="1"/>
  <c r="C146" i="18" s="1"/>
  <c r="B146" i="18" a="1"/>
  <c r="B146" i="18" s="1"/>
  <c r="A146" i="18" a="1"/>
  <c r="A146" i="18" s="1"/>
  <c r="C145" i="18" a="1"/>
  <c r="C145" i="18" s="1"/>
  <c r="B145" i="18" a="1"/>
  <c r="B145" i="18" s="1"/>
  <c r="A145" i="18" a="1"/>
  <c r="A145" i="18" s="1"/>
  <c r="C144" i="18" a="1"/>
  <c r="C144" i="18" s="1"/>
  <c r="B144" i="18" a="1"/>
  <c r="B144" i="18" s="1"/>
  <c r="A144" i="18" a="1"/>
  <c r="A144" i="18" s="1"/>
  <c r="C143" i="18" a="1"/>
  <c r="C143" i="18" s="1"/>
  <c r="B143" i="18" a="1"/>
  <c r="B143" i="18" s="1"/>
  <c r="A143" i="18" a="1"/>
  <c r="A143" i="18" s="1"/>
  <c r="C142" i="18" a="1"/>
  <c r="C142" i="18" s="1"/>
  <c r="B142" i="18" a="1"/>
  <c r="B142" i="18" s="1"/>
  <c r="A142" i="18" a="1"/>
  <c r="A142" i="18" s="1"/>
  <c r="C141" i="18" a="1"/>
  <c r="C141" i="18" s="1"/>
  <c r="B141" i="18" a="1"/>
  <c r="B141" i="18" s="1"/>
  <c r="A141" i="18" a="1"/>
  <c r="A141" i="18" s="1"/>
  <c r="C140" i="18" a="1"/>
  <c r="C140" i="18" s="1"/>
  <c r="B140" i="18" a="1"/>
  <c r="B140" i="18" s="1"/>
  <c r="A140" i="18" a="1"/>
  <c r="A140" i="18" s="1"/>
  <c r="C139" i="18" a="1"/>
  <c r="C139" i="18" s="1"/>
  <c r="B139" i="18" a="1"/>
  <c r="B139" i="18" s="1"/>
  <c r="A139" i="18" a="1"/>
  <c r="A139" i="18" s="1"/>
  <c r="C138" i="18" a="1"/>
  <c r="C138" i="18" s="1"/>
  <c r="B138" i="18" a="1"/>
  <c r="B138" i="18" s="1"/>
  <c r="A138" i="18" a="1"/>
  <c r="A138" i="18" s="1"/>
  <c r="C137" i="18" a="1"/>
  <c r="C137" i="18" s="1"/>
  <c r="B137" i="18" a="1"/>
  <c r="B137" i="18" s="1"/>
  <c r="A137" i="18" a="1"/>
  <c r="A137" i="18" s="1"/>
  <c r="C136" i="18" a="1"/>
  <c r="C136" i="18" s="1"/>
  <c r="B136" i="18" a="1"/>
  <c r="B136" i="18" s="1"/>
  <c r="A136" i="18" a="1"/>
  <c r="A136" i="18" s="1"/>
  <c r="C135" i="18" a="1"/>
  <c r="C135" i="18" s="1"/>
  <c r="B135" i="18" a="1"/>
  <c r="B135" i="18" s="1"/>
  <c r="A135" i="18" a="1"/>
  <c r="A135" i="18" s="1"/>
  <c r="C134" i="18" a="1"/>
  <c r="C134" i="18" s="1"/>
  <c r="B134" i="18" a="1"/>
  <c r="B134" i="18" s="1"/>
  <c r="A134" i="18" a="1"/>
  <c r="A134" i="18" s="1"/>
  <c r="C133" i="18" a="1"/>
  <c r="C133" i="18" s="1"/>
  <c r="B133" i="18" a="1"/>
  <c r="B133" i="18" s="1"/>
  <c r="A133" i="18" a="1"/>
  <c r="A133" i="18" s="1"/>
  <c r="C129" i="18" a="1"/>
  <c r="C129" i="18" s="1"/>
  <c r="B129" i="18" a="1"/>
  <c r="B129" i="18" s="1"/>
  <c r="A129" i="18" a="1"/>
  <c r="A129" i="18" s="1"/>
  <c r="C128" i="18" a="1"/>
  <c r="C128" i="18" s="1"/>
  <c r="B128" i="18" a="1"/>
  <c r="B128" i="18" s="1"/>
  <c r="A128" i="18" a="1"/>
  <c r="A128" i="18" s="1"/>
  <c r="C127" i="18" a="1"/>
  <c r="C127" i="18" s="1"/>
  <c r="B127" i="18" a="1"/>
  <c r="B127" i="18" s="1"/>
  <c r="A127" i="18" a="1"/>
  <c r="A127" i="18" s="1"/>
  <c r="C126" i="18" a="1"/>
  <c r="C126" i="18" s="1"/>
  <c r="B126" i="18" a="1"/>
  <c r="B126" i="18" s="1"/>
  <c r="A126" i="18" a="1"/>
  <c r="A126" i="18" s="1"/>
  <c r="C125" i="18" a="1"/>
  <c r="C125" i="18" s="1"/>
  <c r="B125" i="18" a="1"/>
  <c r="B125" i="18" s="1"/>
  <c r="A125" i="18" a="1"/>
  <c r="A125" i="18" s="1"/>
  <c r="C124" i="18" a="1"/>
  <c r="C124" i="18" s="1"/>
  <c r="B124" i="18" a="1"/>
  <c r="B124" i="18" s="1"/>
  <c r="A124" i="18" a="1"/>
  <c r="A124" i="18" s="1"/>
  <c r="C123" i="18" a="1"/>
  <c r="C123" i="18" s="1"/>
  <c r="B123" i="18" a="1"/>
  <c r="B123" i="18" s="1"/>
  <c r="A123" i="18" a="1"/>
  <c r="A123" i="18" s="1"/>
  <c r="C122" i="18" a="1"/>
  <c r="C122" i="18" s="1"/>
  <c r="B122" i="18" a="1"/>
  <c r="B122" i="18" s="1"/>
  <c r="A122" i="18" a="1"/>
  <c r="A122" i="18" s="1"/>
  <c r="C121" i="18" a="1"/>
  <c r="C121" i="18" s="1"/>
  <c r="B121" i="18" a="1"/>
  <c r="B121" i="18" s="1"/>
  <c r="A121" i="18" a="1"/>
  <c r="A121" i="18" s="1"/>
  <c r="C120" i="18" a="1"/>
  <c r="C120" i="18" s="1"/>
  <c r="B120" i="18" a="1"/>
  <c r="B120" i="18" s="1"/>
  <c r="A120" i="18" a="1"/>
  <c r="A120" i="18" s="1"/>
  <c r="C119" i="18" a="1"/>
  <c r="C119" i="18" s="1"/>
  <c r="B119" i="18" a="1"/>
  <c r="B119" i="18" s="1"/>
  <c r="A119" i="18" a="1"/>
  <c r="A119" i="18" s="1"/>
  <c r="C118" i="18" a="1"/>
  <c r="C118" i="18" s="1"/>
  <c r="B118" i="18" a="1"/>
  <c r="B118" i="18" s="1"/>
  <c r="A118" i="18" a="1"/>
  <c r="A118" i="18" s="1"/>
  <c r="C117" i="18" a="1"/>
  <c r="C117" i="18" s="1"/>
  <c r="B117" i="18" a="1"/>
  <c r="B117" i="18" s="1"/>
  <c r="A117" i="18" a="1"/>
  <c r="A117" i="18" s="1"/>
  <c r="C116" i="18" a="1"/>
  <c r="C116" i="18" s="1"/>
  <c r="B116" i="18" a="1"/>
  <c r="B116" i="18" s="1"/>
  <c r="A116" i="18" a="1"/>
  <c r="A116" i="18" s="1"/>
  <c r="C115" i="18" a="1"/>
  <c r="C115" i="18" s="1"/>
  <c r="B115" i="18" a="1"/>
  <c r="B115" i="18" s="1"/>
  <c r="A115" i="18" a="1"/>
  <c r="A115" i="18" s="1"/>
  <c r="C114" i="18" a="1"/>
  <c r="C114" i="18" s="1"/>
  <c r="B114" i="18" a="1"/>
  <c r="B114" i="18" s="1"/>
  <c r="A114" i="18" a="1"/>
  <c r="A114" i="18" s="1"/>
  <c r="C113" i="18" a="1"/>
  <c r="C113" i="18" s="1"/>
  <c r="B113" i="18" a="1"/>
  <c r="B113" i="18" s="1"/>
  <c r="A113" i="18" a="1"/>
  <c r="A113" i="18" s="1"/>
  <c r="C112" i="18" a="1"/>
  <c r="C112" i="18" s="1"/>
  <c r="B112" i="18" a="1"/>
  <c r="B112" i="18" s="1"/>
  <c r="A112" i="18" a="1"/>
  <c r="A112" i="18" s="1"/>
  <c r="C111" i="18" a="1"/>
  <c r="C111" i="18" s="1"/>
  <c r="B111" i="18" a="1"/>
  <c r="B111" i="18" s="1"/>
  <c r="A111" i="18" a="1"/>
  <c r="A111" i="18" s="1"/>
  <c r="C110" i="18" a="1"/>
  <c r="C110" i="18" s="1"/>
  <c r="B110" i="18" a="1"/>
  <c r="B110" i="18" s="1"/>
  <c r="A110" i="18" a="1"/>
  <c r="A110" i="18" s="1"/>
  <c r="C109" i="18" a="1"/>
  <c r="C109" i="18" s="1"/>
  <c r="B109" i="18" a="1"/>
  <c r="B109" i="18" s="1"/>
  <c r="A109" i="18" a="1"/>
  <c r="A109" i="18" s="1"/>
  <c r="C108" i="18" a="1"/>
  <c r="C108" i="18" s="1"/>
  <c r="B108" i="18" a="1"/>
  <c r="B108" i="18" s="1"/>
  <c r="A108" i="18" a="1"/>
  <c r="A108" i="18" s="1"/>
  <c r="C107" i="18" a="1"/>
  <c r="C107" i="18" s="1"/>
  <c r="B107" i="18" a="1"/>
  <c r="B107" i="18" s="1"/>
  <c r="A107" i="18" a="1"/>
  <c r="A107" i="18" s="1"/>
  <c r="C106" i="18" a="1"/>
  <c r="C106" i="18" s="1"/>
  <c r="B106" i="18" a="1"/>
  <c r="B106" i="18" s="1"/>
  <c r="A106" i="18" a="1"/>
  <c r="A106" i="18" s="1"/>
  <c r="C105" i="18" a="1"/>
  <c r="C105" i="18" s="1"/>
  <c r="B105" i="18" a="1"/>
  <c r="B105" i="18" s="1"/>
  <c r="A105" i="18" a="1"/>
  <c r="A105" i="18" s="1"/>
  <c r="C104" i="18" a="1"/>
  <c r="C104" i="18" s="1"/>
  <c r="B104" i="18" a="1"/>
  <c r="B104" i="18" s="1"/>
  <c r="A104" i="18" a="1"/>
  <c r="A104" i="18" s="1"/>
  <c r="C103" i="18" a="1"/>
  <c r="C103" i="18" s="1"/>
  <c r="B103" i="18" a="1"/>
  <c r="B103" i="18" s="1"/>
  <c r="A103" i="18" a="1"/>
  <c r="A103" i="18" s="1"/>
  <c r="C102" i="18" a="1"/>
  <c r="C102" i="18" s="1"/>
  <c r="B102" i="18" a="1"/>
  <c r="B102" i="18" s="1"/>
  <c r="A102" i="18" a="1"/>
  <c r="A102" i="18" s="1"/>
  <c r="C101" i="18" a="1"/>
  <c r="C101" i="18" s="1"/>
  <c r="B101" i="18" a="1"/>
  <c r="B101" i="18" s="1"/>
  <c r="A101" i="18" a="1"/>
  <c r="A101" i="18" s="1"/>
  <c r="C100" i="18" a="1"/>
  <c r="C100" i="18" s="1"/>
  <c r="B100" i="18" a="1"/>
  <c r="B100" i="18" s="1"/>
  <c r="A100" i="18" a="1"/>
  <c r="A100" i="18" s="1"/>
  <c r="C99" i="18" a="1"/>
  <c r="C99" i="18" s="1"/>
  <c r="B99" i="18" a="1"/>
  <c r="B99" i="18" s="1"/>
  <c r="A99" i="18" a="1"/>
  <c r="A99" i="18" s="1"/>
  <c r="C98" i="18" a="1"/>
  <c r="C98" i="18" s="1"/>
  <c r="B98" i="18" a="1"/>
  <c r="B98" i="18" s="1"/>
  <c r="A98" i="18" a="1"/>
  <c r="A98" i="18" s="1"/>
  <c r="C97" i="18" a="1"/>
  <c r="C97" i="18" s="1"/>
  <c r="B97" i="18" a="1"/>
  <c r="B97" i="18" s="1"/>
  <c r="A97" i="18" a="1"/>
  <c r="A97" i="18" s="1"/>
  <c r="C96" i="18" a="1"/>
  <c r="C96" i="18" s="1"/>
  <c r="B96" i="18" a="1"/>
  <c r="B96" i="18" s="1"/>
  <c r="A96" i="18" a="1"/>
  <c r="A96" i="18" s="1"/>
  <c r="C95" i="18" a="1"/>
  <c r="C95" i="18" s="1"/>
  <c r="B95" i="18" a="1"/>
  <c r="B95" i="18" s="1"/>
  <c r="A95" i="18" a="1"/>
  <c r="A95" i="18" s="1"/>
  <c r="C91" i="18" a="1"/>
  <c r="C91" i="18" s="1"/>
  <c r="B91" i="18" a="1"/>
  <c r="B91" i="18" s="1"/>
  <c r="A91" i="18" a="1"/>
  <c r="A91" i="18" s="1"/>
  <c r="C90" i="18" a="1"/>
  <c r="C90" i="18" s="1"/>
  <c r="B90" i="18" a="1"/>
  <c r="B90" i="18" s="1"/>
  <c r="A90" i="18" a="1"/>
  <c r="A90" i="18" s="1"/>
  <c r="C89" i="18" a="1"/>
  <c r="C89" i="18" s="1"/>
  <c r="B89" i="18" a="1"/>
  <c r="B89" i="18" s="1"/>
  <c r="A89" i="18" a="1"/>
  <c r="A89" i="18" s="1"/>
  <c r="C88" i="18" a="1"/>
  <c r="C88" i="18" s="1"/>
  <c r="B88" i="18" a="1"/>
  <c r="B88" i="18" s="1"/>
  <c r="A88" i="18" a="1"/>
  <c r="A88" i="18" s="1"/>
  <c r="C87" i="18" a="1"/>
  <c r="C87" i="18" s="1"/>
  <c r="B87" i="18" a="1"/>
  <c r="B87" i="18" s="1"/>
  <c r="A87" i="18" a="1"/>
  <c r="A87" i="18" s="1"/>
  <c r="C86" i="18" a="1"/>
  <c r="C86" i="18" s="1"/>
  <c r="B86" i="18" a="1"/>
  <c r="B86" i="18" s="1"/>
  <c r="A86" i="18" a="1"/>
  <c r="A86" i="18" s="1"/>
  <c r="C85" i="18" a="1"/>
  <c r="C85" i="18" s="1"/>
  <c r="B85" i="18" a="1"/>
  <c r="B85" i="18" s="1"/>
  <c r="A85" i="18" a="1"/>
  <c r="A85" i="18" s="1"/>
  <c r="C84" i="18" a="1"/>
  <c r="C84" i="18" s="1"/>
  <c r="B84" i="18" a="1"/>
  <c r="B84" i="18" s="1"/>
  <c r="A84" i="18" a="1"/>
  <c r="A84" i="18" s="1"/>
  <c r="C83" i="18" a="1"/>
  <c r="C83" i="18" s="1"/>
  <c r="B83" i="18" a="1"/>
  <c r="B83" i="18" s="1"/>
  <c r="A83" i="18" a="1"/>
  <c r="A83" i="18" s="1"/>
  <c r="C82" i="18" a="1"/>
  <c r="C82" i="18" s="1"/>
  <c r="B82" i="18" a="1"/>
  <c r="B82" i="18" s="1"/>
  <c r="A82" i="18" a="1"/>
  <c r="A82" i="18" s="1"/>
  <c r="C81" i="18" a="1"/>
  <c r="C81" i="18" s="1"/>
  <c r="B81" i="18" a="1"/>
  <c r="B81" i="18" s="1"/>
  <c r="A81" i="18" a="1"/>
  <c r="A81" i="18" s="1"/>
  <c r="C80" i="18" a="1"/>
  <c r="C80" i="18" s="1"/>
  <c r="B80" i="18" a="1"/>
  <c r="B80" i="18" s="1"/>
  <c r="A80" i="18" a="1"/>
  <c r="A80" i="18" s="1"/>
  <c r="C79" i="18" a="1"/>
  <c r="C79" i="18" s="1"/>
  <c r="B79" i="18" a="1"/>
  <c r="B79" i="18" s="1"/>
  <c r="A79" i="18" a="1"/>
  <c r="A79" i="18" s="1"/>
  <c r="C78" i="18" a="1"/>
  <c r="C78" i="18" s="1"/>
  <c r="B78" i="18" a="1"/>
  <c r="B78" i="18" s="1"/>
  <c r="A78" i="18" a="1"/>
  <c r="A78" i="18" s="1"/>
  <c r="C77" i="18" a="1"/>
  <c r="C77" i="18" s="1"/>
  <c r="B77" i="18" a="1"/>
  <c r="B77" i="18" s="1"/>
  <c r="A77" i="18" a="1"/>
  <c r="A77" i="18" s="1"/>
  <c r="C76" i="18" a="1"/>
  <c r="C76" i="18" s="1"/>
  <c r="B76" i="18" a="1"/>
  <c r="B76" i="18" s="1"/>
  <c r="A76" i="18" a="1"/>
  <c r="A76" i="18" s="1"/>
  <c r="C75" i="18" a="1"/>
  <c r="C75" i="18" s="1"/>
  <c r="B75" i="18" a="1"/>
  <c r="B75" i="18" s="1"/>
  <c r="A75" i="18" a="1"/>
  <c r="A75" i="18" s="1"/>
  <c r="C74" i="18" a="1"/>
  <c r="C74" i="18" s="1"/>
  <c r="B74" i="18" a="1"/>
  <c r="B74" i="18" s="1"/>
  <c r="A74" i="18" a="1"/>
  <c r="A74" i="18" s="1"/>
  <c r="C73" i="18" a="1"/>
  <c r="C73" i="18" s="1"/>
  <c r="B73" i="18" a="1"/>
  <c r="B73" i="18" s="1"/>
  <c r="A73" i="18" a="1"/>
  <c r="A73" i="18" s="1"/>
  <c r="C72" i="18" a="1"/>
  <c r="C72" i="18" s="1"/>
  <c r="B72" i="18" a="1"/>
  <c r="B72" i="18" s="1"/>
  <c r="A72" i="18" a="1"/>
  <c r="A72" i="18" s="1"/>
  <c r="C71" i="18" a="1"/>
  <c r="C71" i="18" s="1"/>
  <c r="B71" i="18" a="1"/>
  <c r="B71" i="18" s="1"/>
  <c r="A71" i="18" a="1"/>
  <c r="A71" i="18" s="1"/>
  <c r="C70" i="18" a="1"/>
  <c r="C70" i="18" s="1"/>
  <c r="B70" i="18" a="1"/>
  <c r="B70" i="18" s="1"/>
  <c r="A70" i="18" a="1"/>
  <c r="A70" i="18" s="1"/>
  <c r="C69" i="18" a="1"/>
  <c r="C69" i="18" s="1"/>
  <c r="B69" i="18" a="1"/>
  <c r="B69" i="18" s="1"/>
  <c r="A69" i="18" a="1"/>
  <c r="A69" i="18" s="1"/>
  <c r="C68" i="18" a="1"/>
  <c r="C68" i="18" s="1"/>
  <c r="B68" i="18" a="1"/>
  <c r="B68" i="18" s="1"/>
  <c r="A68" i="18" a="1"/>
  <c r="A68" i="18" s="1"/>
  <c r="C67" i="18" a="1"/>
  <c r="C67" i="18" s="1"/>
  <c r="B67" i="18" a="1"/>
  <c r="B67" i="18" s="1"/>
  <c r="A67" i="18" a="1"/>
  <c r="A67" i="18" s="1"/>
  <c r="C66" i="18" a="1"/>
  <c r="C66" i="18" s="1"/>
  <c r="B66" i="18" a="1"/>
  <c r="B66" i="18" s="1"/>
  <c r="A66" i="18" a="1"/>
  <c r="A66" i="18" s="1"/>
  <c r="C65" i="18" a="1"/>
  <c r="C65" i="18" s="1"/>
  <c r="B65" i="18" a="1"/>
  <c r="B65" i="18" s="1"/>
  <c r="A65" i="18" a="1"/>
  <c r="A65" i="18" s="1"/>
  <c r="C64" i="18" a="1"/>
  <c r="C64" i="18" s="1"/>
  <c r="B64" i="18" a="1"/>
  <c r="B64" i="18" s="1"/>
  <c r="A64" i="18" a="1"/>
  <c r="A64" i="18" s="1"/>
  <c r="C63" i="18" a="1"/>
  <c r="C63" i="18" s="1"/>
  <c r="B63" i="18" a="1"/>
  <c r="B63" i="18" s="1"/>
  <c r="A63" i="18" a="1"/>
  <c r="A63" i="18" s="1"/>
  <c r="C62" i="18" a="1"/>
  <c r="C62" i="18" s="1"/>
  <c r="B62" i="18" a="1"/>
  <c r="B62" i="18" s="1"/>
  <c r="A62" i="18" a="1"/>
  <c r="A62" i="18" s="1"/>
  <c r="C61" i="18" a="1"/>
  <c r="C61" i="18" s="1"/>
  <c r="B61" i="18" a="1"/>
  <c r="B61" i="18" s="1"/>
  <c r="A61" i="18" a="1"/>
  <c r="A61" i="18" s="1"/>
  <c r="C60" i="18" a="1"/>
  <c r="C60" i="18" s="1"/>
  <c r="B60" i="18" a="1"/>
  <c r="B60" i="18" s="1"/>
  <c r="A60" i="18" a="1"/>
  <c r="A60" i="18" s="1"/>
  <c r="C59" i="18" a="1"/>
  <c r="C59" i="18" s="1"/>
  <c r="B59" i="18" a="1"/>
  <c r="B59" i="18" s="1"/>
  <c r="A59" i="18" a="1"/>
  <c r="A59" i="18" s="1"/>
  <c r="C58" i="18" a="1"/>
  <c r="C58" i="18" s="1"/>
  <c r="B58" i="18" a="1"/>
  <c r="B58" i="18" s="1"/>
  <c r="A58" i="18" a="1"/>
  <c r="A58" i="18" s="1"/>
  <c r="C57" i="18" a="1"/>
  <c r="C57" i="18" s="1"/>
  <c r="B57" i="18" a="1"/>
  <c r="B57" i="18" s="1"/>
  <c r="A57" i="18" a="1"/>
  <c r="A57" i="18" s="1"/>
  <c r="C53" i="18" a="1"/>
  <c r="C53" i="18" s="1"/>
  <c r="B53" i="18" a="1"/>
  <c r="B53" i="18" s="1"/>
  <c r="A53" i="18" a="1"/>
  <c r="A53" i="18" s="1"/>
  <c r="C52" i="18" a="1"/>
  <c r="C52" i="18" s="1"/>
  <c r="B52" i="18" a="1"/>
  <c r="B52" i="18" s="1"/>
  <c r="A52" i="18" a="1"/>
  <c r="A52" i="18" s="1"/>
  <c r="C51" i="18" a="1"/>
  <c r="C51" i="18" s="1"/>
  <c r="B51" i="18" a="1"/>
  <c r="B51" i="18" s="1"/>
  <c r="A51" i="18" a="1"/>
  <c r="A51" i="18" s="1"/>
  <c r="C50" i="18" a="1"/>
  <c r="C50" i="18" s="1"/>
  <c r="B50" i="18" a="1"/>
  <c r="B50" i="18" s="1"/>
  <c r="A50" i="18" a="1"/>
  <c r="A50" i="18" s="1"/>
  <c r="C49" i="18" a="1"/>
  <c r="C49" i="18" s="1"/>
  <c r="B49" i="18" a="1"/>
  <c r="B49" i="18" s="1"/>
  <c r="A49" i="18" a="1"/>
  <c r="A49" i="18" s="1"/>
  <c r="C48" i="18" a="1"/>
  <c r="C48" i="18" s="1"/>
  <c r="B48" i="18" a="1"/>
  <c r="B48" i="18" s="1"/>
  <c r="A48" i="18" a="1"/>
  <c r="A48" i="18" s="1"/>
  <c r="C47" i="18" a="1"/>
  <c r="C47" i="18" s="1"/>
  <c r="B47" i="18" a="1"/>
  <c r="B47" i="18" s="1"/>
  <c r="A47" i="18" a="1"/>
  <c r="A47" i="18" s="1"/>
  <c r="C46" i="18" a="1"/>
  <c r="C46" i="18" s="1"/>
  <c r="B46" i="18" a="1"/>
  <c r="B46" i="18" s="1"/>
  <c r="A46" i="18" a="1"/>
  <c r="A46" i="18" s="1"/>
  <c r="C45" i="18" a="1"/>
  <c r="C45" i="18" s="1"/>
  <c r="B45" i="18" a="1"/>
  <c r="B45" i="18" s="1"/>
  <c r="A45" i="18" a="1"/>
  <c r="A45" i="18" s="1"/>
  <c r="C44" i="18" a="1"/>
  <c r="C44" i="18" s="1"/>
  <c r="B44" i="18" a="1"/>
  <c r="B44" i="18" s="1"/>
  <c r="A44" i="18" a="1"/>
  <c r="A44" i="18" s="1"/>
  <c r="C43" i="18" a="1"/>
  <c r="C43" i="18" s="1"/>
  <c r="B43" i="18" a="1"/>
  <c r="B43" i="18" s="1"/>
  <c r="A43" i="18" a="1"/>
  <c r="A43" i="18" s="1"/>
  <c r="C42" i="18" a="1"/>
  <c r="C42" i="18" s="1"/>
  <c r="B42" i="18" a="1"/>
  <c r="B42" i="18" s="1"/>
  <c r="A42" i="18" a="1"/>
  <c r="A42" i="18" s="1"/>
  <c r="C41" i="18" a="1"/>
  <c r="C41" i="18" s="1"/>
  <c r="B41" i="18" a="1"/>
  <c r="B41" i="18" s="1"/>
  <c r="A41" i="18" a="1"/>
  <c r="A41" i="18" s="1"/>
  <c r="C40" i="18" a="1"/>
  <c r="C40" i="18" s="1"/>
  <c r="B40" i="18" a="1"/>
  <c r="B40" i="18" s="1"/>
  <c r="A40" i="18" a="1"/>
  <c r="A40" i="18" s="1"/>
  <c r="C39" i="18" a="1"/>
  <c r="C39" i="18" s="1"/>
  <c r="B39" i="18" a="1"/>
  <c r="B39" i="18" s="1"/>
  <c r="A39" i="18" a="1"/>
  <c r="A39" i="18" s="1"/>
  <c r="C38" i="18" a="1"/>
  <c r="C38" i="18" s="1"/>
  <c r="B38" i="18" a="1"/>
  <c r="B38" i="18" s="1"/>
  <c r="A38" i="18" a="1"/>
  <c r="A38" i="18" s="1"/>
  <c r="C37" i="18" a="1"/>
  <c r="C37" i="18" s="1"/>
  <c r="B37" i="18" a="1"/>
  <c r="B37" i="18" s="1"/>
  <c r="A37" i="18" a="1"/>
  <c r="A37" i="18" s="1"/>
  <c r="C36" i="18" a="1"/>
  <c r="C36" i="18" s="1"/>
  <c r="B36" i="18" a="1"/>
  <c r="B36" i="18" s="1"/>
  <c r="A36" i="18" a="1"/>
  <c r="A36" i="18" s="1"/>
  <c r="C35" i="18" a="1"/>
  <c r="C35" i="18" s="1"/>
  <c r="B35" i="18" a="1"/>
  <c r="B35" i="18" s="1"/>
  <c r="A35" i="18" a="1"/>
  <c r="A35" i="18" s="1"/>
  <c r="C34" i="18" a="1"/>
  <c r="C34" i="18" s="1"/>
  <c r="B34" i="18" a="1"/>
  <c r="B34" i="18" s="1"/>
  <c r="A34" i="18" a="1"/>
  <c r="A34" i="18" s="1"/>
  <c r="C33" i="18" a="1"/>
  <c r="C33" i="18" s="1"/>
  <c r="B33" i="18" a="1"/>
  <c r="B33" i="18" s="1"/>
  <c r="A33" i="18" a="1"/>
  <c r="A33" i="18" s="1"/>
  <c r="C32" i="18" a="1"/>
  <c r="C32" i="18" s="1"/>
  <c r="B32" i="18" a="1"/>
  <c r="B32" i="18" s="1"/>
  <c r="A32" i="18" a="1"/>
  <c r="A32" i="18" s="1"/>
  <c r="C31" i="18" a="1"/>
  <c r="C31" i="18" s="1"/>
  <c r="B31" i="18" a="1"/>
  <c r="B31" i="18" s="1"/>
  <c r="A31" i="18" a="1"/>
  <c r="A31" i="18" s="1"/>
  <c r="C30" i="18" a="1"/>
  <c r="C30" i="18" s="1"/>
  <c r="B30" i="18" a="1"/>
  <c r="B30" i="18" s="1"/>
  <c r="A30" i="18" a="1"/>
  <c r="A30" i="18" s="1"/>
  <c r="C29" i="18" a="1"/>
  <c r="C29" i="18" s="1"/>
  <c r="B29" i="18" a="1"/>
  <c r="B29" i="18" s="1"/>
  <c r="A29" i="18" a="1"/>
  <c r="A29" i="18" s="1"/>
  <c r="C28" i="18" a="1"/>
  <c r="C28" i="18" s="1"/>
  <c r="B28" i="18" a="1"/>
  <c r="B28" i="18" s="1"/>
  <c r="A28" i="18" a="1"/>
  <c r="A28" i="18" s="1"/>
  <c r="C27" i="18" a="1"/>
  <c r="C27" i="18" s="1"/>
  <c r="B27" i="18" a="1"/>
  <c r="B27" i="18" s="1"/>
  <c r="A27" i="18" a="1"/>
  <c r="A27" i="18" s="1"/>
  <c r="C26" i="18" a="1"/>
  <c r="C26" i="18" s="1"/>
  <c r="B26" i="18" a="1"/>
  <c r="B26" i="18" s="1"/>
  <c r="A26" i="18" a="1"/>
  <c r="A26" i="18" s="1"/>
  <c r="C25" i="18" a="1"/>
  <c r="C25" i="18" s="1"/>
  <c r="B25" i="18" a="1"/>
  <c r="B25" i="18" s="1"/>
  <c r="A25" i="18" a="1"/>
  <c r="A25" i="18" s="1"/>
  <c r="C24" i="18" a="1"/>
  <c r="C24" i="18" s="1"/>
  <c r="B24" i="18" a="1"/>
  <c r="B24" i="18" s="1"/>
  <c r="A24" i="18" a="1"/>
  <c r="A24" i="18" s="1"/>
  <c r="C23" i="18" a="1"/>
  <c r="C23" i="18" s="1"/>
  <c r="B23" i="18" a="1"/>
  <c r="B23" i="18" s="1"/>
  <c r="A23" i="18" a="1"/>
  <c r="A23" i="18" s="1"/>
  <c r="C22" i="18" a="1"/>
  <c r="C22" i="18" s="1"/>
  <c r="B22" i="18" a="1"/>
  <c r="B22" i="18" s="1"/>
  <c r="A22" i="18" a="1"/>
  <c r="A22" i="18" s="1"/>
  <c r="C21" i="18" a="1"/>
  <c r="C21" i="18" s="1"/>
  <c r="B21" i="18" a="1"/>
  <c r="B21" i="18" s="1"/>
  <c r="A21" i="18" a="1"/>
  <c r="A21" i="18" s="1"/>
  <c r="C20" i="18" a="1"/>
  <c r="C20" i="18" s="1"/>
  <c r="B20" i="18" a="1"/>
  <c r="B20" i="18" s="1"/>
  <c r="A20" i="18" a="1"/>
  <c r="A20" i="18" s="1"/>
  <c r="C19" i="18" a="1"/>
  <c r="C19" i="18" s="1"/>
  <c r="B19" i="18" a="1"/>
  <c r="B19" i="18" s="1"/>
  <c r="A19" i="18" a="1"/>
  <c r="A19" i="18" s="1"/>
  <c r="C243" i="5" a="1"/>
  <c r="C243" i="5" s="1"/>
  <c r="B243" i="5" a="1"/>
  <c r="B243" i="5" s="1"/>
  <c r="A243" i="5" a="1"/>
  <c r="A243" i="5" s="1"/>
  <c r="C242" i="5" a="1"/>
  <c r="C242" i="5" s="1"/>
  <c r="B242" i="5" a="1"/>
  <c r="B242" i="5" s="1"/>
  <c r="A242" i="5" a="1"/>
  <c r="A242" i="5" s="1"/>
  <c r="C241" i="5" a="1"/>
  <c r="C241" i="5" s="1"/>
  <c r="B241" i="5" a="1"/>
  <c r="B241" i="5" s="1"/>
  <c r="A241" i="5" a="1"/>
  <c r="A241" i="5" s="1"/>
  <c r="C240" i="5" a="1"/>
  <c r="C240" i="5" s="1"/>
  <c r="B240" i="5" a="1"/>
  <c r="B240" i="5" s="1"/>
  <c r="A240" i="5" a="1"/>
  <c r="A240" i="5" s="1"/>
  <c r="C239" i="5" a="1"/>
  <c r="C239" i="5" s="1"/>
  <c r="B239" i="5" a="1"/>
  <c r="B239" i="5" s="1"/>
  <c r="A239" i="5" a="1"/>
  <c r="A239" i="5" s="1"/>
  <c r="C238" i="5" a="1"/>
  <c r="C238" i="5" s="1"/>
  <c r="B238" i="5" a="1"/>
  <c r="B238" i="5" s="1"/>
  <c r="A238" i="5" a="1"/>
  <c r="A238" i="5" s="1"/>
  <c r="C237" i="5" a="1"/>
  <c r="C237" i="5" s="1"/>
  <c r="B237" i="5" a="1"/>
  <c r="B237" i="5" s="1"/>
  <c r="A237" i="5" a="1"/>
  <c r="A237" i="5" s="1"/>
  <c r="C236" i="5" a="1"/>
  <c r="C236" i="5" s="1"/>
  <c r="B236" i="5" a="1"/>
  <c r="B236" i="5" s="1"/>
  <c r="A236" i="5" a="1"/>
  <c r="A236" i="5" s="1"/>
  <c r="C235" i="5" a="1"/>
  <c r="C235" i="5" s="1"/>
  <c r="B235" i="5" a="1"/>
  <c r="B235" i="5" s="1"/>
  <c r="A235" i="5" a="1"/>
  <c r="A235" i="5" s="1"/>
  <c r="C234" i="5" a="1"/>
  <c r="C234" i="5" s="1"/>
  <c r="B234" i="5" a="1"/>
  <c r="B234" i="5" s="1"/>
  <c r="A234" i="5" a="1"/>
  <c r="A234" i="5" s="1"/>
  <c r="C233" i="5" a="1"/>
  <c r="C233" i="5" s="1"/>
  <c r="B233" i="5" a="1"/>
  <c r="B233" i="5" s="1"/>
  <c r="A233" i="5" a="1"/>
  <c r="A233" i="5" s="1"/>
  <c r="C232" i="5" a="1"/>
  <c r="C232" i="5" s="1"/>
  <c r="B232" i="5" a="1"/>
  <c r="B232" i="5" s="1"/>
  <c r="A232" i="5" a="1"/>
  <c r="A232" i="5" s="1"/>
  <c r="C231" i="5" a="1"/>
  <c r="C231" i="5" s="1"/>
  <c r="B231" i="5" a="1"/>
  <c r="B231" i="5" s="1"/>
  <c r="A231" i="5" a="1"/>
  <c r="A231" i="5" s="1"/>
  <c r="C230" i="5" a="1"/>
  <c r="C230" i="5" s="1"/>
  <c r="B230" i="5" a="1"/>
  <c r="B230" i="5" s="1"/>
  <c r="A230" i="5" a="1"/>
  <c r="A230" i="5" s="1"/>
  <c r="C229" i="5" a="1"/>
  <c r="C229" i="5" s="1"/>
  <c r="B229" i="5" a="1"/>
  <c r="B229" i="5" s="1"/>
  <c r="A229" i="5" a="1"/>
  <c r="A229" i="5" s="1"/>
  <c r="C228" i="5" a="1"/>
  <c r="C228" i="5" s="1"/>
  <c r="B228" i="5" a="1"/>
  <c r="B228" i="5" s="1"/>
  <c r="A228" i="5" a="1"/>
  <c r="A228" i="5" s="1"/>
  <c r="C227" i="5" a="1"/>
  <c r="C227" i="5" s="1"/>
  <c r="B227" i="5" a="1"/>
  <c r="B227" i="5" s="1"/>
  <c r="A227" i="5" a="1"/>
  <c r="A227" i="5" s="1"/>
  <c r="C226" i="5" a="1"/>
  <c r="C226" i="5" s="1"/>
  <c r="B226" i="5" a="1"/>
  <c r="B226" i="5" s="1"/>
  <c r="A226" i="5" a="1"/>
  <c r="A226" i="5" s="1"/>
  <c r="C225" i="5" a="1"/>
  <c r="C225" i="5" s="1"/>
  <c r="B225" i="5" a="1"/>
  <c r="B225" i="5" s="1"/>
  <c r="A225" i="5" a="1"/>
  <c r="A225" i="5" s="1"/>
  <c r="C224" i="5" a="1"/>
  <c r="C224" i="5" s="1"/>
  <c r="B224" i="5" a="1"/>
  <c r="B224" i="5" s="1"/>
  <c r="A224" i="5" a="1"/>
  <c r="A224" i="5" s="1"/>
  <c r="C223" i="5" a="1"/>
  <c r="C223" i="5" s="1"/>
  <c r="B223" i="5" a="1"/>
  <c r="B223" i="5" s="1"/>
  <c r="A223" i="5" a="1"/>
  <c r="A223" i="5" s="1"/>
  <c r="C222" i="5" a="1"/>
  <c r="C222" i="5" s="1"/>
  <c r="B222" i="5" a="1"/>
  <c r="B222" i="5" s="1"/>
  <c r="A222" i="5" a="1"/>
  <c r="A222" i="5" s="1"/>
  <c r="C221" i="5" a="1"/>
  <c r="C221" i="5" s="1"/>
  <c r="B221" i="5" a="1"/>
  <c r="B221" i="5" s="1"/>
  <c r="A221" i="5" a="1"/>
  <c r="A221" i="5" s="1"/>
  <c r="C220" i="5" a="1"/>
  <c r="C220" i="5" s="1"/>
  <c r="B220" i="5" a="1"/>
  <c r="B220" i="5" s="1"/>
  <c r="A220" i="5" a="1"/>
  <c r="A220" i="5" s="1"/>
  <c r="C219" i="5" a="1"/>
  <c r="C219" i="5" s="1"/>
  <c r="B219" i="5" a="1"/>
  <c r="B219" i="5" s="1"/>
  <c r="A219" i="5" a="1"/>
  <c r="A219" i="5" s="1"/>
  <c r="C218" i="5" a="1"/>
  <c r="C218" i="5" s="1"/>
  <c r="B218" i="5" a="1"/>
  <c r="B218" i="5" s="1"/>
  <c r="A218" i="5" a="1"/>
  <c r="A218" i="5" s="1"/>
  <c r="C217" i="5" a="1"/>
  <c r="C217" i="5" s="1"/>
  <c r="B217" i="5" a="1"/>
  <c r="B217" i="5" s="1"/>
  <c r="A217" i="5" a="1"/>
  <c r="A217" i="5" s="1"/>
  <c r="C216" i="5" a="1"/>
  <c r="C216" i="5" s="1"/>
  <c r="B216" i="5" a="1"/>
  <c r="B216" i="5" s="1"/>
  <c r="A216" i="5" a="1"/>
  <c r="A216" i="5" s="1"/>
  <c r="C215" i="5" a="1"/>
  <c r="C215" i="5" s="1"/>
  <c r="B215" i="5" a="1"/>
  <c r="B215" i="5" s="1"/>
  <c r="A215" i="5" a="1"/>
  <c r="A215" i="5" s="1"/>
  <c r="C214" i="5" a="1"/>
  <c r="C214" i="5" s="1"/>
  <c r="B214" i="5" a="1"/>
  <c r="B214" i="5" s="1"/>
  <c r="A214" i="5" a="1"/>
  <c r="A214" i="5" s="1"/>
  <c r="C213" i="5" a="1"/>
  <c r="C213" i="5" s="1"/>
  <c r="B213" i="5" a="1"/>
  <c r="B213" i="5" s="1"/>
  <c r="A213" i="5" a="1"/>
  <c r="A213" i="5" s="1"/>
  <c r="C212" i="5" a="1"/>
  <c r="C212" i="5" s="1"/>
  <c r="B212" i="5" a="1"/>
  <c r="B212" i="5" s="1"/>
  <c r="A212" i="5" a="1"/>
  <c r="A212" i="5" s="1"/>
  <c r="C211" i="5" a="1"/>
  <c r="C211" i="5" s="1"/>
  <c r="B211" i="5" a="1"/>
  <c r="B211" i="5" s="1"/>
  <c r="A211" i="5" a="1"/>
  <c r="A211" i="5" s="1"/>
  <c r="C210" i="5" a="1"/>
  <c r="C210" i="5" s="1"/>
  <c r="B210" i="5" a="1"/>
  <c r="B210" i="5" s="1"/>
  <c r="A210" i="5" a="1"/>
  <c r="A210" i="5" s="1"/>
  <c r="C209" i="5" a="1"/>
  <c r="C209" i="5" s="1"/>
  <c r="B209" i="5" a="1"/>
  <c r="B209" i="5" s="1"/>
  <c r="A209" i="5" a="1"/>
  <c r="A209" i="5" s="1"/>
  <c r="C205" i="5" a="1"/>
  <c r="C205" i="5" s="1"/>
  <c r="B205" i="5" a="1"/>
  <c r="B205" i="5" s="1"/>
  <c r="A205" i="5" a="1"/>
  <c r="A205" i="5" s="1"/>
  <c r="C204" i="5" a="1"/>
  <c r="C204" i="5" s="1"/>
  <c r="B204" i="5" a="1"/>
  <c r="B204" i="5" s="1"/>
  <c r="A204" i="5" a="1"/>
  <c r="A204" i="5" s="1"/>
  <c r="C203" i="5" a="1"/>
  <c r="C203" i="5" s="1"/>
  <c r="B203" i="5" a="1"/>
  <c r="B203" i="5" s="1"/>
  <c r="A203" i="5" a="1"/>
  <c r="A203" i="5" s="1"/>
  <c r="C202" i="5" a="1"/>
  <c r="C202" i="5" s="1"/>
  <c r="B202" i="5" a="1"/>
  <c r="B202" i="5" s="1"/>
  <c r="A202" i="5" a="1"/>
  <c r="A202" i="5" s="1"/>
  <c r="C201" i="5" a="1"/>
  <c r="C201" i="5" s="1"/>
  <c r="B201" i="5" a="1"/>
  <c r="B201" i="5" s="1"/>
  <c r="A201" i="5" a="1"/>
  <c r="A201" i="5" s="1"/>
  <c r="C200" i="5" a="1"/>
  <c r="C200" i="5" s="1"/>
  <c r="B200" i="5" a="1"/>
  <c r="B200" i="5" s="1"/>
  <c r="A200" i="5" a="1"/>
  <c r="A200" i="5" s="1"/>
  <c r="C199" i="5" a="1"/>
  <c r="C199" i="5" s="1"/>
  <c r="B199" i="5" a="1"/>
  <c r="B199" i="5" s="1"/>
  <c r="A199" i="5" a="1"/>
  <c r="A199" i="5" s="1"/>
  <c r="C198" i="5" a="1"/>
  <c r="C198" i="5" s="1"/>
  <c r="B198" i="5" a="1"/>
  <c r="B198" i="5" s="1"/>
  <c r="A198" i="5" a="1"/>
  <c r="A198" i="5" s="1"/>
  <c r="C197" i="5" a="1"/>
  <c r="C197" i="5" s="1"/>
  <c r="B197" i="5" a="1"/>
  <c r="B197" i="5" s="1"/>
  <c r="A197" i="5" a="1"/>
  <c r="A197" i="5" s="1"/>
  <c r="C196" i="5" a="1"/>
  <c r="C196" i="5" s="1"/>
  <c r="B196" i="5" a="1"/>
  <c r="B196" i="5" s="1"/>
  <c r="A196" i="5" a="1"/>
  <c r="A196" i="5" s="1"/>
  <c r="C195" i="5" a="1"/>
  <c r="C195" i="5" s="1"/>
  <c r="B195" i="5" a="1"/>
  <c r="B195" i="5" s="1"/>
  <c r="A195" i="5" a="1"/>
  <c r="A195" i="5" s="1"/>
  <c r="C194" i="5" a="1"/>
  <c r="C194" i="5" s="1"/>
  <c r="B194" i="5" a="1"/>
  <c r="B194" i="5" s="1"/>
  <c r="A194" i="5" a="1"/>
  <c r="A194" i="5" s="1"/>
  <c r="C193" i="5" a="1"/>
  <c r="C193" i="5" s="1"/>
  <c r="B193" i="5" a="1"/>
  <c r="B193" i="5" s="1"/>
  <c r="A193" i="5" a="1"/>
  <c r="A193" i="5" s="1"/>
  <c r="C192" i="5" a="1"/>
  <c r="C192" i="5" s="1"/>
  <c r="B192" i="5" a="1"/>
  <c r="B192" i="5" s="1"/>
  <c r="A192" i="5" a="1"/>
  <c r="A192" i="5" s="1"/>
  <c r="C191" i="5" a="1"/>
  <c r="C191" i="5" s="1"/>
  <c r="B191" i="5" a="1"/>
  <c r="B191" i="5" s="1"/>
  <c r="A191" i="5" a="1"/>
  <c r="A191" i="5" s="1"/>
  <c r="C190" i="5" a="1"/>
  <c r="C190" i="5" s="1"/>
  <c r="B190" i="5" a="1"/>
  <c r="B190" i="5" s="1"/>
  <c r="A190" i="5" a="1"/>
  <c r="A190" i="5" s="1"/>
  <c r="C189" i="5" a="1"/>
  <c r="C189" i="5" s="1"/>
  <c r="B189" i="5" a="1"/>
  <c r="B189" i="5" s="1"/>
  <c r="A189" i="5" a="1"/>
  <c r="A189" i="5" s="1"/>
  <c r="C188" i="5" a="1"/>
  <c r="C188" i="5" s="1"/>
  <c r="B188" i="5" a="1"/>
  <c r="B188" i="5" s="1"/>
  <c r="A188" i="5" a="1"/>
  <c r="A188" i="5" s="1"/>
  <c r="C187" i="5" a="1"/>
  <c r="C187" i="5" s="1"/>
  <c r="B187" i="5" a="1"/>
  <c r="B187" i="5" s="1"/>
  <c r="A187" i="5" a="1"/>
  <c r="A187" i="5" s="1"/>
  <c r="C186" i="5" a="1"/>
  <c r="C186" i="5" s="1"/>
  <c r="B186" i="5" a="1"/>
  <c r="B186" i="5" s="1"/>
  <c r="A186" i="5" a="1"/>
  <c r="A186" i="5" s="1"/>
  <c r="C185" i="5" a="1"/>
  <c r="C185" i="5" s="1"/>
  <c r="B185" i="5" a="1"/>
  <c r="B185" i="5" s="1"/>
  <c r="A185" i="5" a="1"/>
  <c r="A185" i="5" s="1"/>
  <c r="C184" i="5" a="1"/>
  <c r="C184" i="5" s="1"/>
  <c r="B184" i="5" a="1"/>
  <c r="B184" i="5" s="1"/>
  <c r="A184" i="5" a="1"/>
  <c r="A184" i="5" s="1"/>
  <c r="C183" i="5" a="1"/>
  <c r="C183" i="5" s="1"/>
  <c r="B183" i="5" a="1"/>
  <c r="B183" i="5" s="1"/>
  <c r="A183" i="5" a="1"/>
  <c r="A183" i="5" s="1"/>
  <c r="C182" i="5" a="1"/>
  <c r="C182" i="5" s="1"/>
  <c r="B182" i="5" a="1"/>
  <c r="B182" i="5" s="1"/>
  <c r="A182" i="5" a="1"/>
  <c r="A182" i="5" s="1"/>
  <c r="C181" i="5" a="1"/>
  <c r="C181" i="5" s="1"/>
  <c r="B181" i="5" a="1"/>
  <c r="B181" i="5" s="1"/>
  <c r="A181" i="5" a="1"/>
  <c r="A181" i="5" s="1"/>
  <c r="C180" i="5" a="1"/>
  <c r="C180" i="5" s="1"/>
  <c r="B180" i="5" a="1"/>
  <c r="B180" i="5" s="1"/>
  <c r="A180" i="5" a="1"/>
  <c r="A180" i="5" s="1"/>
  <c r="C179" i="5" a="1"/>
  <c r="C179" i="5" s="1"/>
  <c r="B179" i="5" a="1"/>
  <c r="B179" i="5" s="1"/>
  <c r="A179" i="5" a="1"/>
  <c r="A179" i="5" s="1"/>
  <c r="C178" i="5" a="1"/>
  <c r="C178" i="5" s="1"/>
  <c r="B178" i="5" a="1"/>
  <c r="B178" i="5" s="1"/>
  <c r="A178" i="5" a="1"/>
  <c r="A178" i="5" s="1"/>
  <c r="C177" i="5" a="1"/>
  <c r="C177" i="5" s="1"/>
  <c r="B177" i="5" a="1"/>
  <c r="B177" i="5" s="1"/>
  <c r="A177" i="5" a="1"/>
  <c r="A177" i="5" s="1"/>
  <c r="C176" i="5" a="1"/>
  <c r="C176" i="5" s="1"/>
  <c r="B176" i="5" a="1"/>
  <c r="B176" i="5" s="1"/>
  <c r="A176" i="5" a="1"/>
  <c r="A176" i="5" s="1"/>
  <c r="C175" i="5" a="1"/>
  <c r="C175" i="5" s="1"/>
  <c r="B175" i="5" a="1"/>
  <c r="B175" i="5" s="1"/>
  <c r="A175" i="5" a="1"/>
  <c r="A175" i="5" s="1"/>
  <c r="C174" i="5" a="1"/>
  <c r="C174" i="5" s="1"/>
  <c r="B174" i="5" a="1"/>
  <c r="B174" i="5" s="1"/>
  <c r="A174" i="5" a="1"/>
  <c r="A174" i="5" s="1"/>
  <c r="C173" i="5" a="1"/>
  <c r="C173" i="5" s="1"/>
  <c r="B173" i="5" a="1"/>
  <c r="B173" i="5" s="1"/>
  <c r="A173" i="5" a="1"/>
  <c r="A173" i="5" s="1"/>
  <c r="C172" i="5" a="1"/>
  <c r="C172" i="5" s="1"/>
  <c r="B172" i="5" a="1"/>
  <c r="B172" i="5" s="1"/>
  <c r="A172" i="5" a="1"/>
  <c r="A172" i="5" s="1"/>
  <c r="C171" i="5" a="1"/>
  <c r="C171" i="5" s="1"/>
  <c r="B171" i="5" a="1"/>
  <c r="B171" i="5" s="1"/>
  <c r="A171" i="5" a="1"/>
  <c r="A171" i="5" s="1"/>
  <c r="C167" i="5" a="1"/>
  <c r="C167" i="5" s="1"/>
  <c r="B167" i="5" a="1"/>
  <c r="B167" i="5" s="1"/>
  <c r="A167" i="5" a="1"/>
  <c r="A167" i="5" s="1"/>
  <c r="C166" i="5" a="1"/>
  <c r="C166" i="5" s="1"/>
  <c r="B166" i="5" a="1"/>
  <c r="B166" i="5" s="1"/>
  <c r="A166" i="5" a="1"/>
  <c r="A166" i="5" s="1"/>
  <c r="C165" i="5" a="1"/>
  <c r="C165" i="5" s="1"/>
  <c r="B165" i="5" a="1"/>
  <c r="B165" i="5" s="1"/>
  <c r="A165" i="5" a="1"/>
  <c r="A165" i="5" s="1"/>
  <c r="C164" i="5" a="1"/>
  <c r="C164" i="5" s="1"/>
  <c r="B164" i="5" a="1"/>
  <c r="B164" i="5" s="1"/>
  <c r="A164" i="5" a="1"/>
  <c r="A164" i="5" s="1"/>
  <c r="C163" i="5" a="1"/>
  <c r="C163" i="5" s="1"/>
  <c r="B163" i="5" a="1"/>
  <c r="B163" i="5" s="1"/>
  <c r="A163" i="5" a="1"/>
  <c r="A163" i="5" s="1"/>
  <c r="C162" i="5" a="1"/>
  <c r="C162" i="5" s="1"/>
  <c r="B162" i="5" a="1"/>
  <c r="B162" i="5" s="1"/>
  <c r="A162" i="5" a="1"/>
  <c r="A162" i="5" s="1"/>
  <c r="C161" i="5" a="1"/>
  <c r="C161" i="5" s="1"/>
  <c r="B161" i="5" a="1"/>
  <c r="B161" i="5" s="1"/>
  <c r="A161" i="5" a="1"/>
  <c r="A161" i="5" s="1"/>
  <c r="C160" i="5" a="1"/>
  <c r="C160" i="5" s="1"/>
  <c r="B160" i="5" a="1"/>
  <c r="B160" i="5" s="1"/>
  <c r="A160" i="5" a="1"/>
  <c r="A160" i="5" s="1"/>
  <c r="C159" i="5" a="1"/>
  <c r="C159" i="5" s="1"/>
  <c r="B159" i="5" a="1"/>
  <c r="B159" i="5" s="1"/>
  <c r="A159" i="5" a="1"/>
  <c r="A159" i="5" s="1"/>
  <c r="C158" i="5" a="1"/>
  <c r="C158" i="5" s="1"/>
  <c r="B158" i="5" a="1"/>
  <c r="B158" i="5" s="1"/>
  <c r="A158" i="5" a="1"/>
  <c r="A158" i="5" s="1"/>
  <c r="C157" i="5" a="1"/>
  <c r="C157" i="5" s="1"/>
  <c r="B157" i="5" a="1"/>
  <c r="B157" i="5" s="1"/>
  <c r="A157" i="5" a="1"/>
  <c r="A157" i="5" s="1"/>
  <c r="C156" i="5" a="1"/>
  <c r="C156" i="5" s="1"/>
  <c r="B156" i="5" a="1"/>
  <c r="B156" i="5" s="1"/>
  <c r="A156" i="5" a="1"/>
  <c r="A156" i="5" s="1"/>
  <c r="C155" i="5" a="1"/>
  <c r="C155" i="5" s="1"/>
  <c r="B155" i="5" a="1"/>
  <c r="B155" i="5" s="1"/>
  <c r="A155" i="5" a="1"/>
  <c r="A155" i="5" s="1"/>
  <c r="C154" i="5" a="1"/>
  <c r="C154" i="5" s="1"/>
  <c r="B154" i="5" a="1"/>
  <c r="B154" i="5" s="1"/>
  <c r="A154" i="5" a="1"/>
  <c r="A154" i="5" s="1"/>
  <c r="C153" i="5" a="1"/>
  <c r="C153" i="5" s="1"/>
  <c r="B153" i="5" a="1"/>
  <c r="B153" i="5" s="1"/>
  <c r="A153" i="5" a="1"/>
  <c r="A153" i="5" s="1"/>
  <c r="C152" i="5" a="1"/>
  <c r="C152" i="5" s="1"/>
  <c r="B152" i="5" a="1"/>
  <c r="B152" i="5" s="1"/>
  <c r="A152" i="5" a="1"/>
  <c r="A152" i="5" s="1"/>
  <c r="C151" i="5" a="1"/>
  <c r="C151" i="5" s="1"/>
  <c r="B151" i="5" a="1"/>
  <c r="B151" i="5" s="1"/>
  <c r="A151" i="5" a="1"/>
  <c r="A151" i="5" s="1"/>
  <c r="C150" i="5" a="1"/>
  <c r="C150" i="5" s="1"/>
  <c r="B150" i="5" a="1"/>
  <c r="B150" i="5" s="1"/>
  <c r="A150" i="5" a="1"/>
  <c r="A150" i="5" s="1"/>
  <c r="C149" i="5" a="1"/>
  <c r="C149" i="5" s="1"/>
  <c r="B149" i="5" a="1"/>
  <c r="B149" i="5" s="1"/>
  <c r="A149" i="5" a="1"/>
  <c r="A149" i="5" s="1"/>
  <c r="C148" i="5" a="1"/>
  <c r="C148" i="5" s="1"/>
  <c r="B148" i="5" a="1"/>
  <c r="B148" i="5" s="1"/>
  <c r="A148" i="5" a="1"/>
  <c r="A148" i="5" s="1"/>
  <c r="C147" i="5" a="1"/>
  <c r="C147" i="5" s="1"/>
  <c r="B147" i="5" a="1"/>
  <c r="B147" i="5" s="1"/>
  <c r="A147" i="5" a="1"/>
  <c r="A147" i="5" s="1"/>
  <c r="C146" i="5" a="1"/>
  <c r="C146" i="5" s="1"/>
  <c r="B146" i="5" a="1"/>
  <c r="B146" i="5" s="1"/>
  <c r="A146" i="5" a="1"/>
  <c r="A146" i="5" s="1"/>
  <c r="C145" i="5" a="1"/>
  <c r="C145" i="5" s="1"/>
  <c r="B145" i="5" a="1"/>
  <c r="B145" i="5" s="1"/>
  <c r="A145" i="5" a="1"/>
  <c r="A145" i="5" s="1"/>
  <c r="C144" i="5" a="1"/>
  <c r="C144" i="5" s="1"/>
  <c r="B144" i="5" a="1"/>
  <c r="B144" i="5" s="1"/>
  <c r="A144" i="5" a="1"/>
  <c r="A144" i="5" s="1"/>
  <c r="C143" i="5" a="1"/>
  <c r="C143" i="5" s="1"/>
  <c r="B143" i="5" a="1"/>
  <c r="B143" i="5" s="1"/>
  <c r="A143" i="5" a="1"/>
  <c r="A143" i="5" s="1"/>
  <c r="C142" i="5" a="1"/>
  <c r="C142" i="5" s="1"/>
  <c r="B142" i="5" a="1"/>
  <c r="B142" i="5" s="1"/>
  <c r="A142" i="5" a="1"/>
  <c r="A142" i="5" s="1"/>
  <c r="C141" i="5" a="1"/>
  <c r="C141" i="5" s="1"/>
  <c r="B141" i="5" a="1"/>
  <c r="B141" i="5" s="1"/>
  <c r="A141" i="5" a="1"/>
  <c r="A141" i="5" s="1"/>
  <c r="C140" i="5" a="1"/>
  <c r="C140" i="5" s="1"/>
  <c r="B140" i="5" a="1"/>
  <c r="B140" i="5" s="1"/>
  <c r="A140" i="5" a="1"/>
  <c r="A140" i="5" s="1"/>
  <c r="C139" i="5" a="1"/>
  <c r="C139" i="5" s="1"/>
  <c r="B139" i="5" a="1"/>
  <c r="B139" i="5" s="1"/>
  <c r="A139" i="5" a="1"/>
  <c r="A139" i="5" s="1"/>
  <c r="C138" i="5" a="1"/>
  <c r="C138" i="5" s="1"/>
  <c r="B138" i="5" a="1"/>
  <c r="B138" i="5" s="1"/>
  <c r="A138" i="5" a="1"/>
  <c r="A138" i="5" s="1"/>
  <c r="C137" i="5" a="1"/>
  <c r="C137" i="5" s="1"/>
  <c r="B137" i="5" a="1"/>
  <c r="B137" i="5" s="1"/>
  <c r="A137" i="5" a="1"/>
  <c r="A137" i="5" s="1"/>
  <c r="C136" i="5" a="1"/>
  <c r="C136" i="5" s="1"/>
  <c r="B136" i="5" a="1"/>
  <c r="B136" i="5" s="1"/>
  <c r="A136" i="5" a="1"/>
  <c r="A136" i="5" s="1"/>
  <c r="C135" i="5" a="1"/>
  <c r="C135" i="5" s="1"/>
  <c r="B135" i="5" a="1"/>
  <c r="B135" i="5" s="1"/>
  <c r="A135" i="5" a="1"/>
  <c r="A135" i="5" s="1"/>
  <c r="C134" i="5" a="1"/>
  <c r="C134" i="5" s="1"/>
  <c r="B134" i="5" a="1"/>
  <c r="B134" i="5" s="1"/>
  <c r="A134" i="5" a="1"/>
  <c r="A134" i="5" s="1"/>
  <c r="C133" i="5" a="1"/>
  <c r="C133" i="5" s="1"/>
  <c r="B133" i="5" a="1"/>
  <c r="B133" i="5" s="1"/>
  <c r="A133" i="5" a="1"/>
  <c r="A133" i="5" s="1"/>
  <c r="C129" i="5" a="1"/>
  <c r="C129" i="5" s="1"/>
  <c r="B129" i="5" a="1"/>
  <c r="B129" i="5" s="1"/>
  <c r="A129" i="5" a="1"/>
  <c r="A129" i="5" s="1"/>
  <c r="C128" i="5" a="1"/>
  <c r="C128" i="5" s="1"/>
  <c r="B128" i="5"/>
  <c r="B128" i="5" a="1"/>
  <c r="A128" i="5" a="1"/>
  <c r="A128" i="5" s="1"/>
  <c r="C127" i="5" a="1"/>
  <c r="C127" i="5" s="1"/>
  <c r="B127" i="5" a="1"/>
  <c r="B127" i="5" s="1"/>
  <c r="A127" i="5" a="1"/>
  <c r="A127" i="5" s="1"/>
  <c r="C126" i="5" a="1"/>
  <c r="C126" i="5" s="1"/>
  <c r="B126" i="5" a="1"/>
  <c r="B126" i="5" s="1"/>
  <c r="A126" i="5" a="1"/>
  <c r="A126" i="5" s="1"/>
  <c r="C125" i="5" a="1"/>
  <c r="C125" i="5" s="1"/>
  <c r="B125" i="5" a="1"/>
  <c r="B125" i="5" s="1"/>
  <c r="A125" i="5" a="1"/>
  <c r="A125" i="5" s="1"/>
  <c r="C124" i="5" a="1"/>
  <c r="C124" i="5" s="1"/>
  <c r="B124" i="5" a="1"/>
  <c r="B124" i="5" s="1"/>
  <c r="A124" i="5" a="1"/>
  <c r="A124" i="5" s="1"/>
  <c r="C123" i="5" a="1"/>
  <c r="C123" i="5" s="1"/>
  <c r="B123" i="5" a="1"/>
  <c r="B123" i="5" s="1"/>
  <c r="A123" i="5" a="1"/>
  <c r="A123" i="5" s="1"/>
  <c r="C122" i="5" a="1"/>
  <c r="C122" i="5" s="1"/>
  <c r="B122" i="5" a="1"/>
  <c r="B122" i="5" s="1"/>
  <c r="A122" i="5" a="1"/>
  <c r="A122" i="5" s="1"/>
  <c r="C121" i="5" a="1"/>
  <c r="C121" i="5" s="1"/>
  <c r="B121" i="5" a="1"/>
  <c r="B121" i="5" s="1"/>
  <c r="A121" i="5" a="1"/>
  <c r="A121" i="5" s="1"/>
  <c r="C120" i="5" a="1"/>
  <c r="C120" i="5" s="1"/>
  <c r="B120" i="5" a="1"/>
  <c r="B120" i="5" s="1"/>
  <c r="A120" i="5" a="1"/>
  <c r="A120" i="5" s="1"/>
  <c r="C119" i="5" a="1"/>
  <c r="C119" i="5" s="1"/>
  <c r="B119" i="5" a="1"/>
  <c r="B119" i="5" s="1"/>
  <c r="A119" i="5" a="1"/>
  <c r="A119" i="5" s="1"/>
  <c r="C118" i="5" a="1"/>
  <c r="C118" i="5" s="1"/>
  <c r="B118" i="5" a="1"/>
  <c r="B118" i="5" s="1"/>
  <c r="A118" i="5" a="1"/>
  <c r="A118" i="5" s="1"/>
  <c r="C117" i="5" a="1"/>
  <c r="C117" i="5" s="1"/>
  <c r="B117" i="5" a="1"/>
  <c r="B117" i="5" s="1"/>
  <c r="A117" i="5" a="1"/>
  <c r="A117" i="5" s="1"/>
  <c r="C116" i="5" a="1"/>
  <c r="C116" i="5" s="1"/>
  <c r="B116" i="5" a="1"/>
  <c r="B116" i="5" s="1"/>
  <c r="A116" i="5" a="1"/>
  <c r="A116" i="5" s="1"/>
  <c r="C115" i="5" a="1"/>
  <c r="C115" i="5" s="1"/>
  <c r="B115" i="5" a="1"/>
  <c r="B115" i="5" s="1"/>
  <c r="A115" i="5" a="1"/>
  <c r="A115" i="5" s="1"/>
  <c r="C114" i="5" a="1"/>
  <c r="C114" i="5" s="1"/>
  <c r="B114" i="5" a="1"/>
  <c r="B114" i="5" s="1"/>
  <c r="A114" i="5" a="1"/>
  <c r="A114" i="5" s="1"/>
  <c r="C113" i="5" a="1"/>
  <c r="C113" i="5" s="1"/>
  <c r="B113" i="5" a="1"/>
  <c r="B113" i="5" s="1"/>
  <c r="A113" i="5" a="1"/>
  <c r="A113" i="5" s="1"/>
  <c r="C112" i="5" a="1"/>
  <c r="C112" i="5" s="1"/>
  <c r="B112" i="5" a="1"/>
  <c r="B112" i="5" s="1"/>
  <c r="A112" i="5" a="1"/>
  <c r="A112" i="5" s="1"/>
  <c r="C111" i="5" a="1"/>
  <c r="C111" i="5" s="1"/>
  <c r="B111" i="5" a="1"/>
  <c r="B111" i="5" s="1"/>
  <c r="A111" i="5" a="1"/>
  <c r="A111" i="5" s="1"/>
  <c r="C110" i="5" a="1"/>
  <c r="C110" i="5" s="1"/>
  <c r="B110" i="5" a="1"/>
  <c r="B110" i="5" s="1"/>
  <c r="A110" i="5" a="1"/>
  <c r="A110" i="5" s="1"/>
  <c r="C109" i="5" a="1"/>
  <c r="C109" i="5" s="1"/>
  <c r="B109" i="5" a="1"/>
  <c r="B109" i="5" s="1"/>
  <c r="A109" i="5" a="1"/>
  <c r="A109" i="5" s="1"/>
  <c r="C108" i="5" a="1"/>
  <c r="C108" i="5" s="1"/>
  <c r="B108" i="5" a="1"/>
  <c r="B108" i="5" s="1"/>
  <c r="A108" i="5" a="1"/>
  <c r="A108" i="5" s="1"/>
  <c r="C107" i="5" a="1"/>
  <c r="C107" i="5" s="1"/>
  <c r="B107" i="5" a="1"/>
  <c r="B107" i="5" s="1"/>
  <c r="A107" i="5" a="1"/>
  <c r="A107" i="5" s="1"/>
  <c r="C106" i="5" a="1"/>
  <c r="C106" i="5" s="1"/>
  <c r="B106" i="5" a="1"/>
  <c r="B106" i="5" s="1"/>
  <c r="A106" i="5" a="1"/>
  <c r="A106" i="5" s="1"/>
  <c r="C105" i="5" a="1"/>
  <c r="C105" i="5" s="1"/>
  <c r="B105" i="5" a="1"/>
  <c r="B105" i="5" s="1"/>
  <c r="A105" i="5" a="1"/>
  <c r="A105" i="5" s="1"/>
  <c r="C104" i="5" a="1"/>
  <c r="C104" i="5" s="1"/>
  <c r="B104" i="5" a="1"/>
  <c r="B104" i="5" s="1"/>
  <c r="A104" i="5" a="1"/>
  <c r="A104" i="5" s="1"/>
  <c r="C103" i="5" a="1"/>
  <c r="C103" i="5" s="1"/>
  <c r="B103" i="5" a="1"/>
  <c r="B103" i="5" s="1"/>
  <c r="A103" i="5" a="1"/>
  <c r="A103" i="5" s="1"/>
  <c r="C102" i="5" a="1"/>
  <c r="C102" i="5" s="1"/>
  <c r="B102" i="5" a="1"/>
  <c r="B102" i="5" s="1"/>
  <c r="A102" i="5" a="1"/>
  <c r="A102" i="5" s="1"/>
  <c r="C101" i="5" a="1"/>
  <c r="C101" i="5" s="1"/>
  <c r="B101" i="5" a="1"/>
  <c r="B101" i="5" s="1"/>
  <c r="A101" i="5" a="1"/>
  <c r="A101" i="5" s="1"/>
  <c r="C100" i="5" a="1"/>
  <c r="C100" i="5" s="1"/>
  <c r="B100" i="5" a="1"/>
  <c r="B100" i="5" s="1"/>
  <c r="A100" i="5" a="1"/>
  <c r="A100" i="5" s="1"/>
  <c r="C99" i="5" a="1"/>
  <c r="C99" i="5" s="1"/>
  <c r="B99" i="5" a="1"/>
  <c r="B99" i="5" s="1"/>
  <c r="A99" i="5" a="1"/>
  <c r="A99" i="5" s="1"/>
  <c r="C98" i="5" a="1"/>
  <c r="C98" i="5" s="1"/>
  <c r="B98" i="5" a="1"/>
  <c r="B98" i="5" s="1"/>
  <c r="A98" i="5" a="1"/>
  <c r="A98" i="5" s="1"/>
  <c r="C97" i="5" a="1"/>
  <c r="C97" i="5" s="1"/>
  <c r="B97" i="5" a="1"/>
  <c r="B97" i="5" s="1"/>
  <c r="A97" i="5" a="1"/>
  <c r="A97" i="5" s="1"/>
  <c r="C96" i="5" a="1"/>
  <c r="C96" i="5" s="1"/>
  <c r="B96" i="5" a="1"/>
  <c r="B96" i="5" s="1"/>
  <c r="A96" i="5" a="1"/>
  <c r="A96" i="5" s="1"/>
  <c r="C95" i="5" a="1"/>
  <c r="C95" i="5" s="1"/>
  <c r="B95" i="5" a="1"/>
  <c r="B95" i="5" s="1"/>
  <c r="A95" i="5" a="1"/>
  <c r="A95" i="5" s="1"/>
  <c r="C91" i="5" a="1"/>
  <c r="C91" i="5" s="1"/>
  <c r="B91" i="5" a="1"/>
  <c r="B91" i="5" s="1"/>
  <c r="A91" i="5" a="1"/>
  <c r="A91" i="5" s="1"/>
  <c r="C90" i="5" a="1"/>
  <c r="C90" i="5" s="1"/>
  <c r="B90" i="5" a="1"/>
  <c r="B90" i="5" s="1"/>
  <c r="A90" i="5" a="1"/>
  <c r="A90" i="5" s="1"/>
  <c r="C89" i="5" a="1"/>
  <c r="C89" i="5" s="1"/>
  <c r="B89" i="5" a="1"/>
  <c r="B89" i="5" s="1"/>
  <c r="A89" i="5" a="1"/>
  <c r="A89" i="5" s="1"/>
  <c r="C88" i="5" a="1"/>
  <c r="C88" i="5" s="1"/>
  <c r="B88" i="5" a="1"/>
  <c r="B88" i="5" s="1"/>
  <c r="A88" i="5" a="1"/>
  <c r="A88" i="5" s="1"/>
  <c r="C87" i="5" a="1"/>
  <c r="C87" i="5" s="1"/>
  <c r="B87" i="5" a="1"/>
  <c r="B87" i="5" s="1"/>
  <c r="A87" i="5" a="1"/>
  <c r="A87" i="5" s="1"/>
  <c r="C86" i="5" a="1"/>
  <c r="C86" i="5" s="1"/>
  <c r="B86" i="5" a="1"/>
  <c r="B86" i="5" s="1"/>
  <c r="A86" i="5" a="1"/>
  <c r="A86" i="5" s="1"/>
  <c r="C85" i="5" a="1"/>
  <c r="C85" i="5" s="1"/>
  <c r="B85" i="5" a="1"/>
  <c r="B85" i="5" s="1"/>
  <c r="A85" i="5" a="1"/>
  <c r="A85" i="5" s="1"/>
  <c r="C84" i="5" a="1"/>
  <c r="C84" i="5" s="1"/>
  <c r="B84" i="5" a="1"/>
  <c r="B84" i="5" s="1"/>
  <c r="A84" i="5" a="1"/>
  <c r="A84" i="5" s="1"/>
  <c r="C83" i="5" a="1"/>
  <c r="C83" i="5" s="1"/>
  <c r="B83" i="5" a="1"/>
  <c r="B83" i="5" s="1"/>
  <c r="A83" i="5" a="1"/>
  <c r="A83" i="5" s="1"/>
  <c r="C82" i="5" a="1"/>
  <c r="C82" i="5" s="1"/>
  <c r="B82" i="5" a="1"/>
  <c r="B82" i="5" s="1"/>
  <c r="A82" i="5" a="1"/>
  <c r="A82" i="5" s="1"/>
  <c r="C81" i="5" a="1"/>
  <c r="C81" i="5" s="1"/>
  <c r="B81" i="5" a="1"/>
  <c r="B81" i="5" s="1"/>
  <c r="A81" i="5" a="1"/>
  <c r="A81" i="5" s="1"/>
  <c r="C80" i="5" a="1"/>
  <c r="C80" i="5" s="1"/>
  <c r="B80" i="5" a="1"/>
  <c r="B80" i="5" s="1"/>
  <c r="A80" i="5" a="1"/>
  <c r="A80" i="5" s="1"/>
  <c r="C79" i="5" a="1"/>
  <c r="C79" i="5" s="1"/>
  <c r="B79" i="5" a="1"/>
  <c r="B79" i="5" s="1"/>
  <c r="A79" i="5" a="1"/>
  <c r="A79" i="5" s="1"/>
  <c r="C78" i="5" a="1"/>
  <c r="C78" i="5" s="1"/>
  <c r="B78" i="5" a="1"/>
  <c r="B78" i="5" s="1"/>
  <c r="A78" i="5" a="1"/>
  <c r="A78" i="5" s="1"/>
  <c r="C77" i="5" a="1"/>
  <c r="C77" i="5" s="1"/>
  <c r="B77" i="5" a="1"/>
  <c r="B77" i="5" s="1"/>
  <c r="A77" i="5" a="1"/>
  <c r="A77" i="5" s="1"/>
  <c r="C76" i="5" a="1"/>
  <c r="C76" i="5" s="1"/>
  <c r="B76" i="5" a="1"/>
  <c r="B76" i="5" s="1"/>
  <c r="A76" i="5" a="1"/>
  <c r="A76" i="5" s="1"/>
  <c r="C75" i="5" a="1"/>
  <c r="C75" i="5" s="1"/>
  <c r="B75" i="5" a="1"/>
  <c r="B75" i="5" s="1"/>
  <c r="A75" i="5" a="1"/>
  <c r="A75" i="5" s="1"/>
  <c r="C74" i="5" a="1"/>
  <c r="C74" i="5" s="1"/>
  <c r="B74" i="5" a="1"/>
  <c r="B74" i="5" s="1"/>
  <c r="A74" i="5" a="1"/>
  <c r="A74" i="5" s="1"/>
  <c r="C73" i="5" a="1"/>
  <c r="C73" i="5" s="1"/>
  <c r="B73" i="5" a="1"/>
  <c r="B73" i="5" s="1"/>
  <c r="A73" i="5" a="1"/>
  <c r="A73" i="5" s="1"/>
  <c r="C72" i="5" a="1"/>
  <c r="C72" i="5" s="1"/>
  <c r="B72" i="5" a="1"/>
  <c r="B72" i="5" s="1"/>
  <c r="A72" i="5" a="1"/>
  <c r="A72" i="5" s="1"/>
  <c r="C71" i="5" a="1"/>
  <c r="C71" i="5" s="1"/>
  <c r="B71" i="5" a="1"/>
  <c r="B71" i="5" s="1"/>
  <c r="A71" i="5" a="1"/>
  <c r="A71" i="5" s="1"/>
  <c r="C70" i="5" a="1"/>
  <c r="C70" i="5" s="1"/>
  <c r="B70" i="5" a="1"/>
  <c r="B70" i="5" s="1"/>
  <c r="A70" i="5" a="1"/>
  <c r="A70" i="5" s="1"/>
  <c r="C69" i="5" a="1"/>
  <c r="C69" i="5" s="1"/>
  <c r="B69" i="5" a="1"/>
  <c r="B69" i="5" s="1"/>
  <c r="A69" i="5" a="1"/>
  <c r="A69" i="5" s="1"/>
  <c r="C68" i="5" a="1"/>
  <c r="C68" i="5" s="1"/>
  <c r="B68" i="5" a="1"/>
  <c r="B68" i="5" s="1"/>
  <c r="A68" i="5" a="1"/>
  <c r="A68" i="5" s="1"/>
  <c r="C67" i="5" a="1"/>
  <c r="C67" i="5" s="1"/>
  <c r="B67" i="5" a="1"/>
  <c r="B67" i="5" s="1"/>
  <c r="A67" i="5" a="1"/>
  <c r="A67" i="5" s="1"/>
  <c r="C66" i="5" a="1"/>
  <c r="C66" i="5" s="1"/>
  <c r="B66" i="5" a="1"/>
  <c r="B66" i="5" s="1"/>
  <c r="A66" i="5" a="1"/>
  <c r="A66" i="5" s="1"/>
  <c r="C65" i="5" a="1"/>
  <c r="C65" i="5" s="1"/>
  <c r="B65" i="5" a="1"/>
  <c r="B65" i="5" s="1"/>
  <c r="A65" i="5" a="1"/>
  <c r="A65" i="5" s="1"/>
  <c r="C64" i="5" a="1"/>
  <c r="C64" i="5" s="1"/>
  <c r="B64" i="5" a="1"/>
  <c r="B64" i="5" s="1"/>
  <c r="A64" i="5" a="1"/>
  <c r="A64" i="5" s="1"/>
  <c r="C63" i="5" a="1"/>
  <c r="C63" i="5" s="1"/>
  <c r="B63" i="5" a="1"/>
  <c r="B63" i="5" s="1"/>
  <c r="A63" i="5" a="1"/>
  <c r="A63" i="5" s="1"/>
  <c r="C62" i="5" a="1"/>
  <c r="C62" i="5" s="1"/>
  <c r="B62" i="5" a="1"/>
  <c r="B62" i="5" s="1"/>
  <c r="A62" i="5" a="1"/>
  <c r="A62" i="5" s="1"/>
  <c r="C61" i="5" a="1"/>
  <c r="C61" i="5" s="1"/>
  <c r="B61" i="5" a="1"/>
  <c r="B61" i="5" s="1"/>
  <c r="A61" i="5" a="1"/>
  <c r="A61" i="5" s="1"/>
  <c r="C60" i="5" a="1"/>
  <c r="C60" i="5" s="1"/>
  <c r="B60" i="5" a="1"/>
  <c r="B60" i="5" s="1"/>
  <c r="A60" i="5" a="1"/>
  <c r="A60" i="5" s="1"/>
  <c r="C59" i="5" a="1"/>
  <c r="C59" i="5" s="1"/>
  <c r="B59" i="5" a="1"/>
  <c r="B59" i="5" s="1"/>
  <c r="A59" i="5" a="1"/>
  <c r="A59" i="5" s="1"/>
  <c r="C58" i="5" a="1"/>
  <c r="C58" i="5" s="1"/>
  <c r="B58" i="5" a="1"/>
  <c r="B58" i="5" s="1"/>
  <c r="A58" i="5" a="1"/>
  <c r="A58" i="5" s="1"/>
  <c r="C57" i="5" a="1"/>
  <c r="C57" i="5" s="1"/>
  <c r="B57" i="5" a="1"/>
  <c r="B57" i="5" s="1"/>
  <c r="A57" i="5" a="1"/>
  <c r="A57" i="5" s="1"/>
  <c r="C53" i="5" a="1"/>
  <c r="C53" i="5" s="1"/>
  <c r="B53" i="5" a="1"/>
  <c r="B53" i="5" s="1"/>
  <c r="A53" i="5" a="1"/>
  <c r="A53" i="5" s="1"/>
  <c r="C52" i="5" a="1"/>
  <c r="C52" i="5" s="1"/>
  <c r="B52" i="5" a="1"/>
  <c r="B52" i="5" s="1"/>
  <c r="A52" i="5" a="1"/>
  <c r="A52" i="5" s="1"/>
  <c r="C51" i="5" a="1"/>
  <c r="C51" i="5" s="1"/>
  <c r="B51" i="5" a="1"/>
  <c r="B51" i="5" s="1"/>
  <c r="A51" i="5" a="1"/>
  <c r="A51" i="5" s="1"/>
  <c r="C50" i="5" a="1"/>
  <c r="C50" i="5" s="1"/>
  <c r="B50" i="5" a="1"/>
  <c r="B50" i="5" s="1"/>
  <c r="A50" i="5" a="1"/>
  <c r="A50" i="5" s="1"/>
  <c r="C49" i="5" a="1"/>
  <c r="C49" i="5" s="1"/>
  <c r="B49" i="5" a="1"/>
  <c r="B49" i="5" s="1"/>
  <c r="A49" i="5" a="1"/>
  <c r="A49" i="5" s="1"/>
  <c r="C48" i="5" a="1"/>
  <c r="C48" i="5" s="1"/>
  <c r="B48" i="5" a="1"/>
  <c r="B48" i="5" s="1"/>
  <c r="A48" i="5" a="1"/>
  <c r="A48" i="5" s="1"/>
  <c r="C47" i="5" a="1"/>
  <c r="C47" i="5" s="1"/>
  <c r="B47" i="5" a="1"/>
  <c r="B47" i="5" s="1"/>
  <c r="A47" i="5" a="1"/>
  <c r="A47" i="5" s="1"/>
  <c r="C46" i="5" a="1"/>
  <c r="C46" i="5" s="1"/>
  <c r="B46" i="5" a="1"/>
  <c r="B46" i="5" s="1"/>
  <c r="A46" i="5" a="1"/>
  <c r="A46" i="5" s="1"/>
  <c r="C45" i="5" a="1"/>
  <c r="C45" i="5" s="1"/>
  <c r="B45" i="5" a="1"/>
  <c r="B45" i="5" s="1"/>
  <c r="A45" i="5" a="1"/>
  <c r="A45" i="5" s="1"/>
  <c r="C44" i="5" a="1"/>
  <c r="C44" i="5" s="1"/>
  <c r="B44" i="5" a="1"/>
  <c r="B44" i="5" s="1"/>
  <c r="A44" i="5" a="1"/>
  <c r="A44" i="5" s="1"/>
  <c r="C43" i="5" a="1"/>
  <c r="C43" i="5" s="1"/>
  <c r="B43" i="5" a="1"/>
  <c r="B43" i="5" s="1"/>
  <c r="A43" i="5" a="1"/>
  <c r="A43" i="5" s="1"/>
  <c r="C42" i="5" a="1"/>
  <c r="C42" i="5" s="1"/>
  <c r="B42" i="5" a="1"/>
  <c r="B42" i="5" s="1"/>
  <c r="A42" i="5" a="1"/>
  <c r="A42" i="5" s="1"/>
  <c r="C41" i="5" a="1"/>
  <c r="C41" i="5" s="1"/>
  <c r="B41" i="5" a="1"/>
  <c r="B41" i="5" s="1"/>
  <c r="A41" i="5" a="1"/>
  <c r="A41" i="5" s="1"/>
  <c r="C40" i="5" a="1"/>
  <c r="C40" i="5" s="1"/>
  <c r="B40" i="5" a="1"/>
  <c r="B40" i="5" s="1"/>
  <c r="A40" i="5" a="1"/>
  <c r="A40" i="5" s="1"/>
  <c r="C39" i="5" a="1"/>
  <c r="C39" i="5" s="1"/>
  <c r="B39" i="5" a="1"/>
  <c r="B39" i="5" s="1"/>
  <c r="A39" i="5" a="1"/>
  <c r="A39" i="5" s="1"/>
  <c r="C38" i="5" a="1"/>
  <c r="C38" i="5" s="1"/>
  <c r="B38" i="5" a="1"/>
  <c r="B38" i="5" s="1"/>
  <c r="A38" i="5" a="1"/>
  <c r="A38" i="5" s="1"/>
  <c r="C37" i="5" a="1"/>
  <c r="C37" i="5" s="1"/>
  <c r="B37" i="5" a="1"/>
  <c r="B37" i="5" s="1"/>
  <c r="A37" i="5" a="1"/>
  <c r="A37" i="5" s="1"/>
  <c r="C36" i="5" a="1"/>
  <c r="C36" i="5" s="1"/>
  <c r="B36" i="5" a="1"/>
  <c r="B36" i="5" s="1"/>
  <c r="A36" i="5" a="1"/>
  <c r="A36" i="5" s="1"/>
  <c r="C35" i="5" a="1"/>
  <c r="C35" i="5" s="1"/>
  <c r="B35" i="5" a="1"/>
  <c r="B35" i="5" s="1"/>
  <c r="A35" i="5" a="1"/>
  <c r="A35" i="5" s="1"/>
  <c r="C34" i="5" a="1"/>
  <c r="C34" i="5" s="1"/>
  <c r="B34" i="5" a="1"/>
  <c r="B34" i="5" s="1"/>
  <c r="A34" i="5" a="1"/>
  <c r="A34" i="5" s="1"/>
  <c r="C33" i="5" a="1"/>
  <c r="C33" i="5" s="1"/>
  <c r="B33" i="5" a="1"/>
  <c r="B33" i="5" s="1"/>
  <c r="A33" i="5" a="1"/>
  <c r="A33" i="5" s="1"/>
  <c r="C32" i="5" a="1"/>
  <c r="C32" i="5" s="1"/>
  <c r="B32" i="5" a="1"/>
  <c r="B32" i="5" s="1"/>
  <c r="A32" i="5" a="1"/>
  <c r="A32" i="5" s="1"/>
  <c r="C31" i="5" a="1"/>
  <c r="C31" i="5" s="1"/>
  <c r="B31" i="5" a="1"/>
  <c r="B31" i="5" s="1"/>
  <c r="A31" i="5" a="1"/>
  <c r="A31" i="5" s="1"/>
  <c r="C30" i="5" a="1"/>
  <c r="C30" i="5" s="1"/>
  <c r="B30" i="5" a="1"/>
  <c r="B30" i="5" s="1"/>
  <c r="A30" i="5" a="1"/>
  <c r="A30" i="5" s="1"/>
  <c r="C29" i="5" a="1"/>
  <c r="C29" i="5" s="1"/>
  <c r="B29" i="5" a="1"/>
  <c r="B29" i="5" s="1"/>
  <c r="A29" i="5" a="1"/>
  <c r="A29" i="5" s="1"/>
  <c r="C28" i="5" a="1"/>
  <c r="C28" i="5" s="1"/>
  <c r="B28" i="5" a="1"/>
  <c r="B28" i="5" s="1"/>
  <c r="A28" i="5" a="1"/>
  <c r="A28" i="5" s="1"/>
  <c r="C27" i="5" a="1"/>
  <c r="C27" i="5" s="1"/>
  <c r="B27" i="5" a="1"/>
  <c r="B27" i="5" s="1"/>
  <c r="A27" i="5" a="1"/>
  <c r="A27" i="5" s="1"/>
  <c r="C26" i="5" a="1"/>
  <c r="C26" i="5" s="1"/>
  <c r="B26" i="5" a="1"/>
  <c r="B26" i="5" s="1"/>
  <c r="A26" i="5" a="1"/>
  <c r="A26" i="5" s="1"/>
  <c r="C25" i="5" a="1"/>
  <c r="C25" i="5" s="1"/>
  <c r="B25" i="5" a="1"/>
  <c r="B25" i="5" s="1"/>
  <c r="A25" i="5" a="1"/>
  <c r="A25" i="5" s="1"/>
  <c r="C24" i="5" a="1"/>
  <c r="C24" i="5" s="1"/>
  <c r="B24" i="5" a="1"/>
  <c r="B24" i="5" s="1"/>
  <c r="A24" i="5" a="1"/>
  <c r="A24" i="5" s="1"/>
  <c r="C23" i="5" a="1"/>
  <c r="C23" i="5" s="1"/>
  <c r="B23" i="5" a="1"/>
  <c r="B23" i="5" s="1"/>
  <c r="A23" i="5" a="1"/>
  <c r="A23" i="5" s="1"/>
  <c r="C22" i="5" a="1"/>
  <c r="C22" i="5" s="1"/>
  <c r="B22" i="5" a="1"/>
  <c r="B22" i="5" s="1"/>
  <c r="A22" i="5" a="1"/>
  <c r="A22" i="5" s="1"/>
  <c r="C21" i="5" a="1"/>
  <c r="C21" i="5" s="1"/>
  <c r="B21" i="5" a="1"/>
  <c r="B21" i="5" s="1"/>
  <c r="A21" i="5" a="1"/>
  <c r="A21" i="5" s="1"/>
  <c r="C20" i="5" a="1"/>
  <c r="C20" i="5" s="1"/>
  <c r="B20" i="5" a="1"/>
  <c r="B20" i="5" s="1"/>
  <c r="A20" i="5" a="1"/>
  <c r="A20" i="5" s="1"/>
  <c r="C19" i="5" a="1"/>
  <c r="C19" i="5" s="1"/>
  <c r="B19" i="5" a="1"/>
  <c r="B19" i="5" s="1"/>
  <c r="A19" i="5" a="1"/>
  <c r="A19" i="5" s="1"/>
  <c r="C1725" i="21" a="1"/>
  <c r="C1725" i="21" s="1"/>
  <c r="B1725" i="21" a="1"/>
  <c r="B1725" i="21" s="1"/>
  <c r="A1725" i="21" a="1"/>
  <c r="A1725" i="21" s="1"/>
  <c r="C1724" i="21" a="1"/>
  <c r="C1724" i="21" s="1"/>
  <c r="B1724" i="21" a="1"/>
  <c r="B1724" i="21" s="1"/>
  <c r="A1724" i="21" a="1"/>
  <c r="A1724" i="21" s="1"/>
  <c r="C1723" i="21" a="1"/>
  <c r="C1723" i="21" s="1"/>
  <c r="B1723" i="21" a="1"/>
  <c r="B1723" i="21" s="1"/>
  <c r="A1723" i="21" a="1"/>
  <c r="A1723" i="21" s="1"/>
  <c r="C1722" i="21" a="1"/>
  <c r="C1722" i="21" s="1"/>
  <c r="B1722" i="21" a="1"/>
  <c r="B1722" i="21" s="1"/>
  <c r="A1722" i="21" a="1"/>
  <c r="A1722" i="21" s="1"/>
  <c r="C1721" i="21" a="1"/>
  <c r="C1721" i="21" s="1"/>
  <c r="B1721" i="21" a="1"/>
  <c r="B1721" i="21" s="1"/>
  <c r="A1721" i="21" a="1"/>
  <c r="A1721" i="21" s="1"/>
  <c r="C1720" i="21" a="1"/>
  <c r="C1720" i="21" s="1"/>
  <c r="B1720" i="21" a="1"/>
  <c r="B1720" i="21" s="1"/>
  <c r="A1720" i="21" a="1"/>
  <c r="A1720" i="21" s="1"/>
  <c r="C1719" i="21" a="1"/>
  <c r="C1719" i="21" s="1"/>
  <c r="B1719" i="21" a="1"/>
  <c r="B1719" i="21" s="1"/>
  <c r="A1719" i="21" a="1"/>
  <c r="A1719" i="21" s="1"/>
  <c r="C1718" i="21" a="1"/>
  <c r="C1718" i="21" s="1"/>
  <c r="B1718" i="21" a="1"/>
  <c r="B1718" i="21" s="1"/>
  <c r="A1718" i="21" a="1"/>
  <c r="A1718" i="21" s="1"/>
  <c r="C1717" i="21" a="1"/>
  <c r="C1717" i="21" s="1"/>
  <c r="B1717" i="21" a="1"/>
  <c r="B1717" i="21" s="1"/>
  <c r="A1717" i="21" a="1"/>
  <c r="A1717" i="21" s="1"/>
  <c r="C1716" i="21" a="1"/>
  <c r="C1716" i="21" s="1"/>
  <c r="B1716" i="21" a="1"/>
  <c r="B1716" i="21" s="1"/>
  <c r="A1716" i="21" a="1"/>
  <c r="A1716" i="21" s="1"/>
  <c r="C1715" i="21" a="1"/>
  <c r="C1715" i="21" s="1"/>
  <c r="B1715" i="21" a="1"/>
  <c r="B1715" i="21" s="1"/>
  <c r="A1715" i="21" a="1"/>
  <c r="A1715" i="21" s="1"/>
  <c r="C1714" i="21" a="1"/>
  <c r="C1714" i="21" s="1"/>
  <c r="B1714" i="21" a="1"/>
  <c r="B1714" i="21" s="1"/>
  <c r="A1714" i="21" a="1"/>
  <c r="A1714" i="21" s="1"/>
  <c r="C1713" i="21" a="1"/>
  <c r="C1713" i="21" s="1"/>
  <c r="B1713" i="21" a="1"/>
  <c r="B1713" i="21" s="1"/>
  <c r="A1713" i="21" a="1"/>
  <c r="A1713" i="21" s="1"/>
  <c r="C1712" i="21" a="1"/>
  <c r="C1712" i="21" s="1"/>
  <c r="B1712" i="21" a="1"/>
  <c r="B1712" i="21" s="1"/>
  <c r="A1712" i="21" a="1"/>
  <c r="A1712" i="21" s="1"/>
  <c r="C1711" i="21" a="1"/>
  <c r="C1711" i="21" s="1"/>
  <c r="B1711" i="21" a="1"/>
  <c r="B1711" i="21" s="1"/>
  <c r="A1711" i="21" a="1"/>
  <c r="A1711" i="21" s="1"/>
  <c r="C1710" i="21" a="1"/>
  <c r="C1710" i="21" s="1"/>
  <c r="B1710" i="21" a="1"/>
  <c r="B1710" i="21" s="1"/>
  <c r="A1710" i="21" a="1"/>
  <c r="A1710" i="21" s="1"/>
  <c r="C1709" i="21" a="1"/>
  <c r="C1709" i="21" s="1"/>
  <c r="B1709" i="21" a="1"/>
  <c r="B1709" i="21" s="1"/>
  <c r="A1709" i="21" a="1"/>
  <c r="A1709" i="21" s="1"/>
  <c r="C1708" i="21" a="1"/>
  <c r="C1708" i="21" s="1"/>
  <c r="B1708" i="21" a="1"/>
  <c r="B1708" i="21" s="1"/>
  <c r="A1708" i="21" a="1"/>
  <c r="A1708" i="21" s="1"/>
  <c r="C1707" i="21" a="1"/>
  <c r="C1707" i="21" s="1"/>
  <c r="B1707" i="21" a="1"/>
  <c r="B1707" i="21" s="1"/>
  <c r="A1707" i="21" a="1"/>
  <c r="A1707" i="21" s="1"/>
  <c r="C1706" i="21" a="1"/>
  <c r="C1706" i="21" s="1"/>
  <c r="B1706" i="21" a="1"/>
  <c r="B1706" i="21" s="1"/>
  <c r="A1706" i="21" a="1"/>
  <c r="A1706" i="21" s="1"/>
  <c r="C1705" i="21" a="1"/>
  <c r="C1705" i="21" s="1"/>
  <c r="B1705" i="21" a="1"/>
  <c r="B1705" i="21" s="1"/>
  <c r="A1705" i="21" a="1"/>
  <c r="A1705" i="21" s="1"/>
  <c r="C1704" i="21" a="1"/>
  <c r="C1704" i="21" s="1"/>
  <c r="B1704" i="21" a="1"/>
  <c r="B1704" i="21" s="1"/>
  <c r="A1704" i="21" a="1"/>
  <c r="A1704" i="21" s="1"/>
  <c r="C1703" i="21" a="1"/>
  <c r="C1703" i="21" s="1"/>
  <c r="B1703" i="21" a="1"/>
  <c r="B1703" i="21" s="1"/>
  <c r="A1703" i="21" a="1"/>
  <c r="A1703" i="21" s="1"/>
  <c r="C1702" i="21" a="1"/>
  <c r="C1702" i="21" s="1"/>
  <c r="B1702" i="21" a="1"/>
  <c r="B1702" i="21" s="1"/>
  <c r="A1702" i="21" a="1"/>
  <c r="A1702" i="21" s="1"/>
  <c r="C1701" i="21" a="1"/>
  <c r="C1701" i="21" s="1"/>
  <c r="B1701" i="21" a="1"/>
  <c r="B1701" i="21" s="1"/>
  <c r="A1701" i="21" a="1"/>
  <c r="A1701" i="21" s="1"/>
  <c r="C1700" i="21" a="1"/>
  <c r="C1700" i="21" s="1"/>
  <c r="B1700" i="21" a="1"/>
  <c r="B1700" i="21" s="1"/>
  <c r="A1700" i="21" a="1"/>
  <c r="A1700" i="21" s="1"/>
  <c r="C1699" i="21" a="1"/>
  <c r="C1699" i="21" s="1"/>
  <c r="B1699" i="21" a="1"/>
  <c r="B1699" i="21" s="1"/>
  <c r="A1699" i="21" a="1"/>
  <c r="A1699" i="21" s="1"/>
  <c r="C1698" i="21" a="1"/>
  <c r="C1698" i="21" s="1"/>
  <c r="B1698" i="21" a="1"/>
  <c r="B1698" i="21" s="1"/>
  <c r="A1698" i="21" a="1"/>
  <c r="A1698" i="21" s="1"/>
  <c r="C1697" i="21" a="1"/>
  <c r="C1697" i="21" s="1"/>
  <c r="B1697" i="21" a="1"/>
  <c r="B1697" i="21" s="1"/>
  <c r="A1697" i="21" a="1"/>
  <c r="A1697" i="21" s="1"/>
  <c r="C1696" i="21" a="1"/>
  <c r="C1696" i="21" s="1"/>
  <c r="B1696" i="21" a="1"/>
  <c r="B1696" i="21" s="1"/>
  <c r="A1696" i="21" a="1"/>
  <c r="A1696" i="21" s="1"/>
  <c r="C1695" i="21" a="1"/>
  <c r="C1695" i="21" s="1"/>
  <c r="B1695" i="21" a="1"/>
  <c r="B1695" i="21" s="1"/>
  <c r="A1695" i="21" a="1"/>
  <c r="A1695" i="21" s="1"/>
  <c r="C1694" i="21" a="1"/>
  <c r="C1694" i="21" s="1"/>
  <c r="B1694" i="21" a="1"/>
  <c r="B1694" i="21" s="1"/>
  <c r="A1694" i="21" a="1"/>
  <c r="A1694" i="21" s="1"/>
  <c r="C1693" i="21" a="1"/>
  <c r="C1693" i="21" s="1"/>
  <c r="B1693" i="21" a="1"/>
  <c r="B1693" i="21" s="1"/>
  <c r="A1693" i="21" a="1"/>
  <c r="A1693" i="21" s="1"/>
  <c r="C1692" i="21" a="1"/>
  <c r="C1692" i="21" s="1"/>
  <c r="B1692" i="21" a="1"/>
  <c r="B1692" i="21" s="1"/>
  <c r="A1692" i="21" a="1"/>
  <c r="A1692" i="21" s="1"/>
  <c r="C1691" i="21" a="1"/>
  <c r="C1691" i="21" s="1"/>
  <c r="B1691" i="21" a="1"/>
  <c r="B1691" i="21" s="1"/>
  <c r="A1691" i="21" a="1"/>
  <c r="A1691" i="21" s="1"/>
  <c r="C1687" i="21" a="1"/>
  <c r="C1687" i="21" s="1"/>
  <c r="B1687" i="21" a="1"/>
  <c r="B1687" i="21" s="1"/>
  <c r="A1687" i="21" a="1"/>
  <c r="A1687" i="21" s="1"/>
  <c r="C1686" i="21" a="1"/>
  <c r="C1686" i="21" s="1"/>
  <c r="B1686" i="21" a="1"/>
  <c r="B1686" i="21" s="1"/>
  <c r="A1686" i="21" a="1"/>
  <c r="A1686" i="21" s="1"/>
  <c r="C1685" i="21" a="1"/>
  <c r="C1685" i="21" s="1"/>
  <c r="B1685" i="21" a="1"/>
  <c r="B1685" i="21" s="1"/>
  <c r="A1685" i="21" a="1"/>
  <c r="A1685" i="21" s="1"/>
  <c r="C1684" i="21" a="1"/>
  <c r="C1684" i="21" s="1"/>
  <c r="B1684" i="21" a="1"/>
  <c r="B1684" i="21" s="1"/>
  <c r="A1684" i="21" a="1"/>
  <c r="A1684" i="21" s="1"/>
  <c r="C1683" i="21" a="1"/>
  <c r="C1683" i="21" s="1"/>
  <c r="B1683" i="21" a="1"/>
  <c r="B1683" i="21" s="1"/>
  <c r="A1683" i="21" a="1"/>
  <c r="A1683" i="21" s="1"/>
  <c r="C1682" i="21" a="1"/>
  <c r="C1682" i="21" s="1"/>
  <c r="B1682" i="21" a="1"/>
  <c r="B1682" i="21" s="1"/>
  <c r="A1682" i="21" a="1"/>
  <c r="A1682" i="21" s="1"/>
  <c r="C1681" i="21" a="1"/>
  <c r="C1681" i="21" s="1"/>
  <c r="B1681" i="21" a="1"/>
  <c r="B1681" i="21" s="1"/>
  <c r="A1681" i="21" a="1"/>
  <c r="A1681" i="21" s="1"/>
  <c r="C1680" i="21" a="1"/>
  <c r="C1680" i="21" s="1"/>
  <c r="B1680" i="21" a="1"/>
  <c r="B1680" i="21" s="1"/>
  <c r="A1680" i="21" a="1"/>
  <c r="A1680" i="21" s="1"/>
  <c r="C1679" i="21" a="1"/>
  <c r="C1679" i="21" s="1"/>
  <c r="B1679" i="21" a="1"/>
  <c r="B1679" i="21" s="1"/>
  <c r="A1679" i="21" a="1"/>
  <c r="A1679" i="21" s="1"/>
  <c r="C1678" i="21" a="1"/>
  <c r="C1678" i="21" s="1"/>
  <c r="B1678" i="21" a="1"/>
  <c r="B1678" i="21" s="1"/>
  <c r="A1678" i="21" a="1"/>
  <c r="A1678" i="21" s="1"/>
  <c r="C1677" i="21" a="1"/>
  <c r="C1677" i="21" s="1"/>
  <c r="B1677" i="21" a="1"/>
  <c r="B1677" i="21" s="1"/>
  <c r="A1677" i="21" a="1"/>
  <c r="A1677" i="21" s="1"/>
  <c r="C1676" i="21" a="1"/>
  <c r="C1676" i="21" s="1"/>
  <c r="B1676" i="21" a="1"/>
  <c r="B1676" i="21" s="1"/>
  <c r="A1676" i="21" a="1"/>
  <c r="A1676" i="21" s="1"/>
  <c r="C1675" i="21" a="1"/>
  <c r="C1675" i="21" s="1"/>
  <c r="B1675" i="21" a="1"/>
  <c r="B1675" i="21" s="1"/>
  <c r="A1675" i="21" a="1"/>
  <c r="A1675" i="21" s="1"/>
  <c r="C1674" i="21" a="1"/>
  <c r="C1674" i="21" s="1"/>
  <c r="B1674" i="21" a="1"/>
  <c r="B1674" i="21" s="1"/>
  <c r="A1674" i="21" a="1"/>
  <c r="A1674" i="21" s="1"/>
  <c r="C1673" i="21" a="1"/>
  <c r="C1673" i="21" s="1"/>
  <c r="B1673" i="21" a="1"/>
  <c r="B1673" i="21" s="1"/>
  <c r="A1673" i="21" a="1"/>
  <c r="A1673" i="21" s="1"/>
  <c r="C1672" i="21" a="1"/>
  <c r="C1672" i="21" s="1"/>
  <c r="B1672" i="21" a="1"/>
  <c r="B1672" i="21" s="1"/>
  <c r="A1672" i="21" a="1"/>
  <c r="A1672" i="21" s="1"/>
  <c r="C1671" i="21" a="1"/>
  <c r="C1671" i="21" s="1"/>
  <c r="B1671" i="21" a="1"/>
  <c r="B1671" i="21" s="1"/>
  <c r="A1671" i="21" a="1"/>
  <c r="A1671" i="21" s="1"/>
  <c r="C1670" i="21" a="1"/>
  <c r="C1670" i="21" s="1"/>
  <c r="B1670" i="21" a="1"/>
  <c r="B1670" i="21" s="1"/>
  <c r="A1670" i="21" a="1"/>
  <c r="A1670" i="21" s="1"/>
  <c r="C1669" i="21" a="1"/>
  <c r="C1669" i="21" s="1"/>
  <c r="B1669" i="21" a="1"/>
  <c r="B1669" i="21" s="1"/>
  <c r="A1669" i="21" a="1"/>
  <c r="A1669" i="21" s="1"/>
  <c r="C1668" i="21" a="1"/>
  <c r="C1668" i="21" s="1"/>
  <c r="B1668" i="21" a="1"/>
  <c r="B1668" i="21" s="1"/>
  <c r="A1668" i="21" a="1"/>
  <c r="A1668" i="21" s="1"/>
  <c r="C1667" i="21" a="1"/>
  <c r="C1667" i="21" s="1"/>
  <c r="B1667" i="21" a="1"/>
  <c r="B1667" i="21" s="1"/>
  <c r="A1667" i="21" a="1"/>
  <c r="A1667" i="21" s="1"/>
  <c r="C1666" i="21" a="1"/>
  <c r="C1666" i="21" s="1"/>
  <c r="B1666" i="21" a="1"/>
  <c r="B1666" i="21" s="1"/>
  <c r="A1666" i="21" a="1"/>
  <c r="A1666" i="21" s="1"/>
  <c r="C1665" i="21" a="1"/>
  <c r="C1665" i="21" s="1"/>
  <c r="B1665" i="21" a="1"/>
  <c r="B1665" i="21" s="1"/>
  <c r="A1665" i="21" a="1"/>
  <c r="A1665" i="21" s="1"/>
  <c r="C1664" i="21" a="1"/>
  <c r="C1664" i="21" s="1"/>
  <c r="B1664" i="21" a="1"/>
  <c r="B1664" i="21" s="1"/>
  <c r="A1664" i="21" a="1"/>
  <c r="A1664" i="21" s="1"/>
  <c r="C1663" i="21" a="1"/>
  <c r="C1663" i="21" s="1"/>
  <c r="B1663" i="21" a="1"/>
  <c r="B1663" i="21" s="1"/>
  <c r="A1663" i="21" a="1"/>
  <c r="A1663" i="21" s="1"/>
  <c r="C1662" i="21" a="1"/>
  <c r="C1662" i="21" s="1"/>
  <c r="B1662" i="21" a="1"/>
  <c r="B1662" i="21" s="1"/>
  <c r="A1662" i="21" a="1"/>
  <c r="A1662" i="21" s="1"/>
  <c r="C1661" i="21" a="1"/>
  <c r="C1661" i="21" s="1"/>
  <c r="B1661" i="21" a="1"/>
  <c r="B1661" i="21" s="1"/>
  <c r="A1661" i="21" a="1"/>
  <c r="A1661" i="21" s="1"/>
  <c r="C1660" i="21" a="1"/>
  <c r="C1660" i="21" s="1"/>
  <c r="B1660" i="21" a="1"/>
  <c r="B1660" i="21" s="1"/>
  <c r="A1660" i="21" a="1"/>
  <c r="A1660" i="21" s="1"/>
  <c r="C1659" i="21" a="1"/>
  <c r="C1659" i="21" s="1"/>
  <c r="B1659" i="21" a="1"/>
  <c r="B1659" i="21" s="1"/>
  <c r="A1659" i="21" a="1"/>
  <c r="A1659" i="21" s="1"/>
  <c r="C1658" i="21" a="1"/>
  <c r="C1658" i="21" s="1"/>
  <c r="B1658" i="21" a="1"/>
  <c r="B1658" i="21" s="1"/>
  <c r="A1658" i="21" a="1"/>
  <c r="A1658" i="21" s="1"/>
  <c r="C1657" i="21" a="1"/>
  <c r="C1657" i="21" s="1"/>
  <c r="B1657" i="21" a="1"/>
  <c r="B1657" i="21" s="1"/>
  <c r="A1657" i="21" a="1"/>
  <c r="A1657" i="21" s="1"/>
  <c r="C1656" i="21" a="1"/>
  <c r="C1656" i="21" s="1"/>
  <c r="B1656" i="21" a="1"/>
  <c r="B1656" i="21" s="1"/>
  <c r="A1656" i="21" a="1"/>
  <c r="A1656" i="21" s="1"/>
  <c r="C1655" i="21" a="1"/>
  <c r="C1655" i="21" s="1"/>
  <c r="B1655" i="21" a="1"/>
  <c r="B1655" i="21" s="1"/>
  <c r="A1655" i="21" a="1"/>
  <c r="A1655" i="21" s="1"/>
  <c r="C1654" i="21" a="1"/>
  <c r="C1654" i="21" s="1"/>
  <c r="B1654" i="21" a="1"/>
  <c r="B1654" i="21" s="1"/>
  <c r="A1654" i="21" a="1"/>
  <c r="A1654" i="21" s="1"/>
  <c r="C1653" i="21" a="1"/>
  <c r="C1653" i="21" s="1"/>
  <c r="B1653" i="21" a="1"/>
  <c r="B1653" i="21" s="1"/>
  <c r="A1653" i="21" a="1"/>
  <c r="A1653" i="21" s="1"/>
  <c r="C1649" i="21" a="1"/>
  <c r="C1649" i="21" s="1"/>
  <c r="B1649" i="21" a="1"/>
  <c r="B1649" i="21" s="1"/>
  <c r="A1649" i="21" a="1"/>
  <c r="A1649" i="21" s="1"/>
  <c r="C1648" i="21" a="1"/>
  <c r="C1648" i="21" s="1"/>
  <c r="B1648" i="21" a="1"/>
  <c r="B1648" i="21" s="1"/>
  <c r="A1648" i="21" a="1"/>
  <c r="A1648" i="21" s="1"/>
  <c r="C1647" i="21" a="1"/>
  <c r="C1647" i="21" s="1"/>
  <c r="B1647" i="21" a="1"/>
  <c r="B1647" i="21" s="1"/>
  <c r="A1647" i="21" a="1"/>
  <c r="A1647" i="21" s="1"/>
  <c r="C1646" i="21" a="1"/>
  <c r="C1646" i="21" s="1"/>
  <c r="B1646" i="21" a="1"/>
  <c r="B1646" i="21" s="1"/>
  <c r="A1646" i="21" a="1"/>
  <c r="A1646" i="21" s="1"/>
  <c r="C1645" i="21" a="1"/>
  <c r="C1645" i="21" s="1"/>
  <c r="B1645" i="21" a="1"/>
  <c r="B1645" i="21" s="1"/>
  <c r="A1645" i="21" a="1"/>
  <c r="A1645" i="21" s="1"/>
  <c r="C1644" i="21" a="1"/>
  <c r="C1644" i="21" s="1"/>
  <c r="B1644" i="21" a="1"/>
  <c r="B1644" i="21" s="1"/>
  <c r="A1644" i="21" a="1"/>
  <c r="A1644" i="21" s="1"/>
  <c r="C1643" i="21" a="1"/>
  <c r="C1643" i="21" s="1"/>
  <c r="B1643" i="21" a="1"/>
  <c r="B1643" i="21" s="1"/>
  <c r="A1643" i="21" a="1"/>
  <c r="A1643" i="21" s="1"/>
  <c r="C1642" i="21" a="1"/>
  <c r="C1642" i="21" s="1"/>
  <c r="B1642" i="21" a="1"/>
  <c r="B1642" i="21" s="1"/>
  <c r="A1642" i="21" a="1"/>
  <c r="A1642" i="21" s="1"/>
  <c r="C1641" i="21" a="1"/>
  <c r="C1641" i="21" s="1"/>
  <c r="B1641" i="21" a="1"/>
  <c r="B1641" i="21" s="1"/>
  <c r="A1641" i="21" a="1"/>
  <c r="A1641" i="21" s="1"/>
  <c r="C1640" i="21" a="1"/>
  <c r="C1640" i="21" s="1"/>
  <c r="B1640" i="21" a="1"/>
  <c r="B1640" i="21" s="1"/>
  <c r="A1640" i="21" a="1"/>
  <c r="A1640" i="21" s="1"/>
  <c r="C1639" i="21" a="1"/>
  <c r="C1639" i="21" s="1"/>
  <c r="B1639" i="21" a="1"/>
  <c r="B1639" i="21" s="1"/>
  <c r="A1639" i="21" a="1"/>
  <c r="A1639" i="21" s="1"/>
  <c r="C1638" i="21" a="1"/>
  <c r="C1638" i="21" s="1"/>
  <c r="B1638" i="21" a="1"/>
  <c r="B1638" i="21" s="1"/>
  <c r="A1638" i="21" a="1"/>
  <c r="A1638" i="21" s="1"/>
  <c r="C1637" i="21" a="1"/>
  <c r="C1637" i="21" s="1"/>
  <c r="B1637" i="21" a="1"/>
  <c r="B1637" i="21" s="1"/>
  <c r="A1637" i="21" a="1"/>
  <c r="A1637" i="21" s="1"/>
  <c r="C1636" i="21" a="1"/>
  <c r="C1636" i="21" s="1"/>
  <c r="B1636" i="21" a="1"/>
  <c r="B1636" i="21" s="1"/>
  <c r="A1636" i="21" a="1"/>
  <c r="A1636" i="21" s="1"/>
  <c r="C1635" i="21" a="1"/>
  <c r="C1635" i="21" s="1"/>
  <c r="B1635" i="21" a="1"/>
  <c r="B1635" i="21" s="1"/>
  <c r="A1635" i="21" a="1"/>
  <c r="A1635" i="21" s="1"/>
  <c r="C1634" i="21" a="1"/>
  <c r="C1634" i="21" s="1"/>
  <c r="B1634" i="21" a="1"/>
  <c r="B1634" i="21" s="1"/>
  <c r="A1634" i="21" a="1"/>
  <c r="A1634" i="21" s="1"/>
  <c r="C1633" i="21" a="1"/>
  <c r="C1633" i="21" s="1"/>
  <c r="B1633" i="21" a="1"/>
  <c r="B1633" i="21" s="1"/>
  <c r="A1633" i="21" a="1"/>
  <c r="A1633" i="21" s="1"/>
  <c r="C1632" i="21" a="1"/>
  <c r="C1632" i="21" s="1"/>
  <c r="B1632" i="21" a="1"/>
  <c r="B1632" i="21" s="1"/>
  <c r="A1632" i="21" a="1"/>
  <c r="A1632" i="21" s="1"/>
  <c r="C1631" i="21" a="1"/>
  <c r="C1631" i="21" s="1"/>
  <c r="B1631" i="21" a="1"/>
  <c r="B1631" i="21" s="1"/>
  <c r="A1631" i="21" a="1"/>
  <c r="A1631" i="21" s="1"/>
  <c r="C1630" i="21" a="1"/>
  <c r="C1630" i="21" s="1"/>
  <c r="B1630" i="21" a="1"/>
  <c r="B1630" i="21" s="1"/>
  <c r="A1630" i="21" a="1"/>
  <c r="A1630" i="21" s="1"/>
  <c r="C1629" i="21" a="1"/>
  <c r="C1629" i="21" s="1"/>
  <c r="B1629" i="21" a="1"/>
  <c r="B1629" i="21" s="1"/>
  <c r="A1629" i="21" a="1"/>
  <c r="A1629" i="21" s="1"/>
  <c r="C1628" i="21" a="1"/>
  <c r="C1628" i="21" s="1"/>
  <c r="B1628" i="21" a="1"/>
  <c r="B1628" i="21" s="1"/>
  <c r="A1628" i="21" a="1"/>
  <c r="A1628" i="21" s="1"/>
  <c r="C1627" i="21" a="1"/>
  <c r="C1627" i="21" s="1"/>
  <c r="B1627" i="21" a="1"/>
  <c r="B1627" i="21" s="1"/>
  <c r="A1627" i="21" a="1"/>
  <c r="A1627" i="21" s="1"/>
  <c r="C1626" i="21" a="1"/>
  <c r="C1626" i="21" s="1"/>
  <c r="B1626" i="21" a="1"/>
  <c r="B1626" i="21" s="1"/>
  <c r="A1626" i="21" a="1"/>
  <c r="A1626" i="21" s="1"/>
  <c r="C1625" i="21" a="1"/>
  <c r="C1625" i="21" s="1"/>
  <c r="B1625" i="21" a="1"/>
  <c r="B1625" i="21" s="1"/>
  <c r="A1625" i="21" a="1"/>
  <c r="A1625" i="21" s="1"/>
  <c r="C1624" i="21" a="1"/>
  <c r="C1624" i="21" s="1"/>
  <c r="B1624" i="21" a="1"/>
  <c r="B1624" i="21" s="1"/>
  <c r="A1624" i="21" a="1"/>
  <c r="A1624" i="21" s="1"/>
  <c r="C1623" i="21" a="1"/>
  <c r="C1623" i="21" s="1"/>
  <c r="B1623" i="21" a="1"/>
  <c r="B1623" i="21" s="1"/>
  <c r="A1623" i="21" a="1"/>
  <c r="A1623" i="21" s="1"/>
  <c r="C1622" i="21" a="1"/>
  <c r="C1622" i="21" s="1"/>
  <c r="B1622" i="21" a="1"/>
  <c r="B1622" i="21" s="1"/>
  <c r="A1622" i="21" a="1"/>
  <c r="A1622" i="21" s="1"/>
  <c r="C1621" i="21" a="1"/>
  <c r="C1621" i="21" s="1"/>
  <c r="B1621" i="21" a="1"/>
  <c r="B1621" i="21" s="1"/>
  <c r="A1621" i="21" a="1"/>
  <c r="A1621" i="21" s="1"/>
  <c r="C1620" i="21" a="1"/>
  <c r="C1620" i="21" s="1"/>
  <c r="B1620" i="21" a="1"/>
  <c r="B1620" i="21" s="1"/>
  <c r="A1620" i="21" a="1"/>
  <c r="A1620" i="21" s="1"/>
  <c r="C1619" i="21" a="1"/>
  <c r="C1619" i="21" s="1"/>
  <c r="B1619" i="21" a="1"/>
  <c r="B1619" i="21" s="1"/>
  <c r="A1619" i="21" a="1"/>
  <c r="A1619" i="21" s="1"/>
  <c r="C1618" i="21" a="1"/>
  <c r="C1618" i="21" s="1"/>
  <c r="B1618" i="21" a="1"/>
  <c r="B1618" i="21" s="1"/>
  <c r="A1618" i="21" a="1"/>
  <c r="A1618" i="21" s="1"/>
  <c r="C1617" i="21" a="1"/>
  <c r="C1617" i="21" s="1"/>
  <c r="B1617" i="21" a="1"/>
  <c r="B1617" i="21" s="1"/>
  <c r="A1617" i="21" a="1"/>
  <c r="A1617" i="21" s="1"/>
  <c r="C1616" i="21" a="1"/>
  <c r="C1616" i="21" s="1"/>
  <c r="B1616" i="21" a="1"/>
  <c r="B1616" i="21" s="1"/>
  <c r="A1616" i="21" a="1"/>
  <c r="A1616" i="21" s="1"/>
  <c r="C1615" i="21" a="1"/>
  <c r="C1615" i="21" s="1"/>
  <c r="B1615" i="21" a="1"/>
  <c r="B1615" i="21" s="1"/>
  <c r="A1615" i="21" a="1"/>
  <c r="A1615" i="21" s="1"/>
  <c r="C1611" i="21" a="1"/>
  <c r="C1611" i="21" s="1"/>
  <c r="B1611" i="21" a="1"/>
  <c r="B1611" i="21" s="1"/>
  <c r="A1611" i="21" a="1"/>
  <c r="A1611" i="21" s="1"/>
  <c r="C1610" i="21" a="1"/>
  <c r="C1610" i="21" s="1"/>
  <c r="B1610" i="21" a="1"/>
  <c r="B1610" i="21" s="1"/>
  <c r="A1610" i="21" a="1"/>
  <c r="A1610" i="21" s="1"/>
  <c r="C1609" i="21" a="1"/>
  <c r="C1609" i="21" s="1"/>
  <c r="B1609" i="21" a="1"/>
  <c r="B1609" i="21" s="1"/>
  <c r="A1609" i="21" a="1"/>
  <c r="A1609" i="21" s="1"/>
  <c r="C1608" i="21" a="1"/>
  <c r="C1608" i="21" s="1"/>
  <c r="B1608" i="21" a="1"/>
  <c r="B1608" i="21" s="1"/>
  <c r="A1608" i="21" a="1"/>
  <c r="A1608" i="21" s="1"/>
  <c r="C1607" i="21" a="1"/>
  <c r="C1607" i="21" s="1"/>
  <c r="B1607" i="21" a="1"/>
  <c r="B1607" i="21" s="1"/>
  <c r="A1607" i="21" a="1"/>
  <c r="A1607" i="21" s="1"/>
  <c r="C1606" i="21" a="1"/>
  <c r="C1606" i="21" s="1"/>
  <c r="B1606" i="21" a="1"/>
  <c r="B1606" i="21" s="1"/>
  <c r="A1606" i="21" a="1"/>
  <c r="A1606" i="21" s="1"/>
  <c r="C1605" i="21" a="1"/>
  <c r="C1605" i="21" s="1"/>
  <c r="B1605" i="21" a="1"/>
  <c r="B1605" i="21" s="1"/>
  <c r="A1605" i="21" a="1"/>
  <c r="A1605" i="21" s="1"/>
  <c r="C1604" i="21" a="1"/>
  <c r="C1604" i="21" s="1"/>
  <c r="B1604" i="21" a="1"/>
  <c r="B1604" i="21" s="1"/>
  <c r="A1604" i="21" a="1"/>
  <c r="A1604" i="21" s="1"/>
  <c r="C1603" i="21" a="1"/>
  <c r="C1603" i="21" s="1"/>
  <c r="B1603" i="21" a="1"/>
  <c r="B1603" i="21" s="1"/>
  <c r="A1603" i="21" a="1"/>
  <c r="A1603" i="21" s="1"/>
  <c r="C1602" i="21" a="1"/>
  <c r="C1602" i="21" s="1"/>
  <c r="B1602" i="21" a="1"/>
  <c r="B1602" i="21" s="1"/>
  <c r="A1602" i="21" a="1"/>
  <c r="A1602" i="21" s="1"/>
  <c r="C1601" i="21" a="1"/>
  <c r="C1601" i="21" s="1"/>
  <c r="B1601" i="21" a="1"/>
  <c r="B1601" i="21" s="1"/>
  <c r="A1601" i="21" a="1"/>
  <c r="A1601" i="21" s="1"/>
  <c r="C1600" i="21" a="1"/>
  <c r="C1600" i="21" s="1"/>
  <c r="B1600" i="21" a="1"/>
  <c r="B1600" i="21" s="1"/>
  <c r="A1600" i="21" a="1"/>
  <c r="A1600" i="21" s="1"/>
  <c r="C1599" i="21" a="1"/>
  <c r="C1599" i="21" s="1"/>
  <c r="B1599" i="21" a="1"/>
  <c r="B1599" i="21" s="1"/>
  <c r="A1599" i="21" a="1"/>
  <c r="A1599" i="21" s="1"/>
  <c r="C1598" i="21" a="1"/>
  <c r="C1598" i="21" s="1"/>
  <c r="B1598" i="21" a="1"/>
  <c r="B1598" i="21" s="1"/>
  <c r="A1598" i="21" a="1"/>
  <c r="A1598" i="21" s="1"/>
  <c r="C1597" i="21" a="1"/>
  <c r="C1597" i="21" s="1"/>
  <c r="B1597" i="21" a="1"/>
  <c r="B1597" i="21" s="1"/>
  <c r="A1597" i="21" a="1"/>
  <c r="A1597" i="21" s="1"/>
  <c r="C1596" i="21" a="1"/>
  <c r="C1596" i="21" s="1"/>
  <c r="B1596" i="21" a="1"/>
  <c r="B1596" i="21" s="1"/>
  <c r="A1596" i="21" a="1"/>
  <c r="A1596" i="21" s="1"/>
  <c r="C1595" i="21" a="1"/>
  <c r="C1595" i="21" s="1"/>
  <c r="B1595" i="21" a="1"/>
  <c r="B1595" i="21" s="1"/>
  <c r="A1595" i="21" a="1"/>
  <c r="A1595" i="21" s="1"/>
  <c r="C1594" i="21" a="1"/>
  <c r="C1594" i="21" s="1"/>
  <c r="B1594" i="21" a="1"/>
  <c r="B1594" i="21" s="1"/>
  <c r="A1594" i="21" a="1"/>
  <c r="A1594" i="21" s="1"/>
  <c r="C1593" i="21" a="1"/>
  <c r="C1593" i="21" s="1"/>
  <c r="B1593" i="21" a="1"/>
  <c r="B1593" i="21" s="1"/>
  <c r="A1593" i="21" a="1"/>
  <c r="A1593" i="21" s="1"/>
  <c r="C1592" i="21" a="1"/>
  <c r="C1592" i="21" s="1"/>
  <c r="B1592" i="21" a="1"/>
  <c r="B1592" i="21" s="1"/>
  <c r="A1592" i="21" a="1"/>
  <c r="A1592" i="21" s="1"/>
  <c r="C1591" i="21" a="1"/>
  <c r="C1591" i="21" s="1"/>
  <c r="B1591" i="21" a="1"/>
  <c r="B1591" i="21" s="1"/>
  <c r="A1591" i="21" a="1"/>
  <c r="A1591" i="21" s="1"/>
  <c r="C1590" i="21" a="1"/>
  <c r="C1590" i="21" s="1"/>
  <c r="B1590" i="21" a="1"/>
  <c r="B1590" i="21" s="1"/>
  <c r="A1590" i="21" a="1"/>
  <c r="A1590" i="21" s="1"/>
  <c r="C1589" i="21" a="1"/>
  <c r="C1589" i="21" s="1"/>
  <c r="B1589" i="21" a="1"/>
  <c r="B1589" i="21" s="1"/>
  <c r="A1589" i="21" a="1"/>
  <c r="A1589" i="21" s="1"/>
  <c r="C1588" i="21" a="1"/>
  <c r="C1588" i="21" s="1"/>
  <c r="B1588" i="21" a="1"/>
  <c r="B1588" i="21" s="1"/>
  <c r="A1588" i="21" a="1"/>
  <c r="A1588" i="21" s="1"/>
  <c r="C1587" i="21" a="1"/>
  <c r="C1587" i="21" s="1"/>
  <c r="B1587" i="21" a="1"/>
  <c r="B1587" i="21" s="1"/>
  <c r="A1587" i="21" a="1"/>
  <c r="A1587" i="21" s="1"/>
  <c r="C1586" i="21" a="1"/>
  <c r="C1586" i="21" s="1"/>
  <c r="B1586" i="21" a="1"/>
  <c r="B1586" i="21" s="1"/>
  <c r="A1586" i="21" a="1"/>
  <c r="A1586" i="21" s="1"/>
  <c r="C1585" i="21" a="1"/>
  <c r="C1585" i="21" s="1"/>
  <c r="B1585" i="21" a="1"/>
  <c r="B1585" i="21" s="1"/>
  <c r="A1585" i="21" a="1"/>
  <c r="A1585" i="21" s="1"/>
  <c r="C1584" i="21" a="1"/>
  <c r="C1584" i="21" s="1"/>
  <c r="B1584" i="21" a="1"/>
  <c r="B1584" i="21" s="1"/>
  <c r="A1584" i="21" a="1"/>
  <c r="A1584" i="21" s="1"/>
  <c r="C1583" i="21" a="1"/>
  <c r="C1583" i="21" s="1"/>
  <c r="B1583" i="21" a="1"/>
  <c r="B1583" i="21" s="1"/>
  <c r="A1583" i="21" a="1"/>
  <c r="A1583" i="21" s="1"/>
  <c r="C1582" i="21" a="1"/>
  <c r="C1582" i="21" s="1"/>
  <c r="B1582" i="21" a="1"/>
  <c r="B1582" i="21" s="1"/>
  <c r="A1582" i="21" a="1"/>
  <c r="A1582" i="21" s="1"/>
  <c r="C1581" i="21" a="1"/>
  <c r="C1581" i="21" s="1"/>
  <c r="B1581" i="21" a="1"/>
  <c r="B1581" i="21" s="1"/>
  <c r="A1581" i="21" a="1"/>
  <c r="A1581" i="21" s="1"/>
  <c r="C1580" i="21" a="1"/>
  <c r="C1580" i="21" s="1"/>
  <c r="B1580" i="21" a="1"/>
  <c r="B1580" i="21" s="1"/>
  <c r="A1580" i="21" a="1"/>
  <c r="A1580" i="21" s="1"/>
  <c r="C1579" i="21" a="1"/>
  <c r="C1579" i="21" s="1"/>
  <c r="B1579" i="21" a="1"/>
  <c r="B1579" i="21" s="1"/>
  <c r="A1579" i="21" a="1"/>
  <c r="A1579" i="21" s="1"/>
  <c r="C1578" i="21" a="1"/>
  <c r="C1578" i="21" s="1"/>
  <c r="B1578" i="21" a="1"/>
  <c r="B1578" i="21" s="1"/>
  <c r="A1578" i="21" a="1"/>
  <c r="A1578" i="21" s="1"/>
  <c r="C1577" i="21" a="1"/>
  <c r="C1577" i="21" s="1"/>
  <c r="B1577" i="21" a="1"/>
  <c r="B1577" i="21" s="1"/>
  <c r="A1577" i="21" a="1"/>
  <c r="A1577" i="21" s="1"/>
  <c r="C1573" i="21" a="1"/>
  <c r="C1573" i="21" s="1"/>
  <c r="B1573" i="21" a="1"/>
  <c r="B1573" i="21" s="1"/>
  <c r="A1573" i="21" a="1"/>
  <c r="A1573" i="21" s="1"/>
  <c r="C1572" i="21" a="1"/>
  <c r="C1572" i="21" s="1"/>
  <c r="B1572" i="21" a="1"/>
  <c r="B1572" i="21" s="1"/>
  <c r="A1572" i="21" a="1"/>
  <c r="A1572" i="21" s="1"/>
  <c r="C1571" i="21" a="1"/>
  <c r="C1571" i="21" s="1"/>
  <c r="B1571" i="21" a="1"/>
  <c r="B1571" i="21" s="1"/>
  <c r="A1571" i="21" a="1"/>
  <c r="A1571" i="21" s="1"/>
  <c r="C1570" i="21" a="1"/>
  <c r="C1570" i="21" s="1"/>
  <c r="B1570" i="21" a="1"/>
  <c r="B1570" i="21" s="1"/>
  <c r="A1570" i="21" a="1"/>
  <c r="A1570" i="21" s="1"/>
  <c r="C1569" i="21" a="1"/>
  <c r="C1569" i="21" s="1"/>
  <c r="B1569" i="21" a="1"/>
  <c r="B1569" i="21" s="1"/>
  <c r="A1569" i="21" a="1"/>
  <c r="A1569" i="21" s="1"/>
  <c r="C1568" i="21" a="1"/>
  <c r="C1568" i="21" s="1"/>
  <c r="B1568" i="21" a="1"/>
  <c r="B1568" i="21" s="1"/>
  <c r="A1568" i="21" a="1"/>
  <c r="A1568" i="21" s="1"/>
  <c r="C1567" i="21" a="1"/>
  <c r="C1567" i="21" s="1"/>
  <c r="B1567" i="21" a="1"/>
  <c r="B1567" i="21" s="1"/>
  <c r="A1567" i="21" a="1"/>
  <c r="A1567" i="21" s="1"/>
  <c r="C1566" i="21" a="1"/>
  <c r="C1566" i="21" s="1"/>
  <c r="B1566" i="21" a="1"/>
  <c r="B1566" i="21" s="1"/>
  <c r="A1566" i="21" a="1"/>
  <c r="A1566" i="21" s="1"/>
  <c r="C1565" i="21" a="1"/>
  <c r="C1565" i="21" s="1"/>
  <c r="B1565" i="21" a="1"/>
  <c r="B1565" i="21" s="1"/>
  <c r="A1565" i="21" a="1"/>
  <c r="A1565" i="21" s="1"/>
  <c r="C1564" i="21" a="1"/>
  <c r="C1564" i="21" s="1"/>
  <c r="B1564" i="21" a="1"/>
  <c r="B1564" i="21" s="1"/>
  <c r="A1564" i="21" a="1"/>
  <c r="A1564" i="21" s="1"/>
  <c r="C1563" i="21" a="1"/>
  <c r="C1563" i="21" s="1"/>
  <c r="B1563" i="21" a="1"/>
  <c r="B1563" i="21" s="1"/>
  <c r="A1563" i="21" a="1"/>
  <c r="A1563" i="21" s="1"/>
  <c r="C1562" i="21" a="1"/>
  <c r="C1562" i="21" s="1"/>
  <c r="B1562" i="21" a="1"/>
  <c r="B1562" i="21" s="1"/>
  <c r="A1562" i="21" a="1"/>
  <c r="A1562" i="21" s="1"/>
  <c r="C1561" i="21" a="1"/>
  <c r="C1561" i="21" s="1"/>
  <c r="B1561" i="21" a="1"/>
  <c r="B1561" i="21" s="1"/>
  <c r="A1561" i="21" a="1"/>
  <c r="A1561" i="21" s="1"/>
  <c r="C1560" i="21" a="1"/>
  <c r="C1560" i="21" s="1"/>
  <c r="B1560" i="21" a="1"/>
  <c r="B1560" i="21" s="1"/>
  <c r="A1560" i="21" a="1"/>
  <c r="A1560" i="21" s="1"/>
  <c r="C1559" i="21" a="1"/>
  <c r="C1559" i="21" s="1"/>
  <c r="B1559" i="21" a="1"/>
  <c r="B1559" i="21" s="1"/>
  <c r="A1559" i="21" a="1"/>
  <c r="A1559" i="21" s="1"/>
  <c r="C1558" i="21" a="1"/>
  <c r="C1558" i="21" s="1"/>
  <c r="B1558" i="21" a="1"/>
  <c r="B1558" i="21" s="1"/>
  <c r="A1558" i="21" a="1"/>
  <c r="A1558" i="21" s="1"/>
  <c r="C1557" i="21" a="1"/>
  <c r="C1557" i="21" s="1"/>
  <c r="B1557" i="21" a="1"/>
  <c r="B1557" i="21" s="1"/>
  <c r="A1557" i="21" a="1"/>
  <c r="A1557" i="21" s="1"/>
  <c r="C1556" i="21" a="1"/>
  <c r="C1556" i="21" s="1"/>
  <c r="B1556" i="21" a="1"/>
  <c r="B1556" i="21" s="1"/>
  <c r="A1556" i="21" a="1"/>
  <c r="A1556" i="21" s="1"/>
  <c r="C1555" i="21" a="1"/>
  <c r="C1555" i="21" s="1"/>
  <c r="B1555" i="21" a="1"/>
  <c r="B1555" i="21" s="1"/>
  <c r="A1555" i="21" a="1"/>
  <c r="A1555" i="21" s="1"/>
  <c r="C1554" i="21" a="1"/>
  <c r="C1554" i="21" s="1"/>
  <c r="B1554" i="21" a="1"/>
  <c r="B1554" i="21" s="1"/>
  <c r="A1554" i="21" a="1"/>
  <c r="A1554" i="21" s="1"/>
  <c r="C1553" i="21" a="1"/>
  <c r="C1553" i="21" s="1"/>
  <c r="B1553" i="21" a="1"/>
  <c r="B1553" i="21" s="1"/>
  <c r="A1553" i="21" a="1"/>
  <c r="A1553" i="21" s="1"/>
  <c r="C1552" i="21" a="1"/>
  <c r="C1552" i="21" s="1"/>
  <c r="B1552" i="21" a="1"/>
  <c r="B1552" i="21" s="1"/>
  <c r="A1552" i="21" a="1"/>
  <c r="A1552" i="21" s="1"/>
  <c r="C1551" i="21" a="1"/>
  <c r="C1551" i="21" s="1"/>
  <c r="B1551" i="21" a="1"/>
  <c r="B1551" i="21" s="1"/>
  <c r="A1551" i="21" a="1"/>
  <c r="A1551" i="21" s="1"/>
  <c r="C1550" i="21" a="1"/>
  <c r="C1550" i="21" s="1"/>
  <c r="B1550" i="21" a="1"/>
  <c r="B1550" i="21" s="1"/>
  <c r="A1550" i="21" a="1"/>
  <c r="A1550" i="21" s="1"/>
  <c r="C1549" i="21" a="1"/>
  <c r="C1549" i="21" s="1"/>
  <c r="B1549" i="21" a="1"/>
  <c r="B1549" i="21" s="1"/>
  <c r="A1549" i="21" a="1"/>
  <c r="A1549" i="21" s="1"/>
  <c r="C1548" i="21" a="1"/>
  <c r="C1548" i="21" s="1"/>
  <c r="B1548" i="21" a="1"/>
  <c r="B1548" i="21" s="1"/>
  <c r="A1548" i="21" a="1"/>
  <c r="A1548" i="21" s="1"/>
  <c r="C1547" i="21" a="1"/>
  <c r="C1547" i="21" s="1"/>
  <c r="B1547" i="21" a="1"/>
  <c r="B1547" i="21" s="1"/>
  <c r="A1547" i="21" a="1"/>
  <c r="A1547" i="21" s="1"/>
  <c r="C1546" i="21" a="1"/>
  <c r="C1546" i="21" s="1"/>
  <c r="B1546" i="21" a="1"/>
  <c r="B1546" i="21" s="1"/>
  <c r="A1546" i="21" a="1"/>
  <c r="A1546" i="21" s="1"/>
  <c r="C1545" i="21" a="1"/>
  <c r="C1545" i="21" s="1"/>
  <c r="B1545" i="21" a="1"/>
  <c r="B1545" i="21" s="1"/>
  <c r="A1545" i="21" a="1"/>
  <c r="A1545" i="21" s="1"/>
  <c r="C1544" i="21" a="1"/>
  <c r="C1544" i="21" s="1"/>
  <c r="B1544" i="21" a="1"/>
  <c r="B1544" i="21" s="1"/>
  <c r="A1544" i="21" a="1"/>
  <c r="A1544" i="21" s="1"/>
  <c r="C1543" i="21" a="1"/>
  <c r="C1543" i="21" s="1"/>
  <c r="B1543" i="21" a="1"/>
  <c r="B1543" i="21" s="1"/>
  <c r="A1543" i="21" a="1"/>
  <c r="A1543" i="21" s="1"/>
  <c r="C1542" i="21" a="1"/>
  <c r="C1542" i="21" s="1"/>
  <c r="B1542" i="21" a="1"/>
  <c r="B1542" i="21" s="1"/>
  <c r="A1542" i="21" a="1"/>
  <c r="A1542" i="21" s="1"/>
  <c r="C1541" i="21" a="1"/>
  <c r="C1541" i="21" s="1"/>
  <c r="B1541" i="21" a="1"/>
  <c r="B1541" i="21" s="1"/>
  <c r="A1541" i="21" a="1"/>
  <c r="A1541" i="21" s="1"/>
  <c r="C1540" i="21" a="1"/>
  <c r="C1540" i="21" s="1"/>
  <c r="B1540" i="21" a="1"/>
  <c r="B1540" i="21" s="1"/>
  <c r="A1540" i="21" a="1"/>
  <c r="A1540" i="21" s="1"/>
  <c r="C1539" i="21" a="1"/>
  <c r="C1539" i="21" s="1"/>
  <c r="B1539" i="21" a="1"/>
  <c r="B1539" i="21" s="1"/>
  <c r="A1539" i="21" a="1"/>
  <c r="A1539" i="21" s="1"/>
  <c r="C1535" i="21" a="1"/>
  <c r="C1535" i="21" s="1"/>
  <c r="B1535" i="21" a="1"/>
  <c r="B1535" i="21" s="1"/>
  <c r="A1535" i="21" a="1"/>
  <c r="A1535" i="21" s="1"/>
  <c r="C1534" i="21" a="1"/>
  <c r="C1534" i="21" s="1"/>
  <c r="B1534" i="21" a="1"/>
  <c r="B1534" i="21" s="1"/>
  <c r="A1534" i="21" a="1"/>
  <c r="A1534" i="21" s="1"/>
  <c r="C1533" i="21" a="1"/>
  <c r="C1533" i="21" s="1"/>
  <c r="B1533" i="21" a="1"/>
  <c r="B1533" i="21" s="1"/>
  <c r="A1533" i="21" a="1"/>
  <c r="A1533" i="21" s="1"/>
  <c r="C1532" i="21" a="1"/>
  <c r="C1532" i="21" s="1"/>
  <c r="B1532" i="21" a="1"/>
  <c r="B1532" i="21" s="1"/>
  <c r="A1532" i="21" a="1"/>
  <c r="A1532" i="21" s="1"/>
  <c r="C1531" i="21" a="1"/>
  <c r="C1531" i="21" s="1"/>
  <c r="B1531" i="21" a="1"/>
  <c r="B1531" i="21" s="1"/>
  <c r="A1531" i="21" a="1"/>
  <c r="A1531" i="21" s="1"/>
  <c r="C1530" i="21" a="1"/>
  <c r="C1530" i="21" s="1"/>
  <c r="B1530" i="21" a="1"/>
  <c r="B1530" i="21" s="1"/>
  <c r="A1530" i="21" a="1"/>
  <c r="A1530" i="21" s="1"/>
  <c r="C1529" i="21" a="1"/>
  <c r="C1529" i="21" s="1"/>
  <c r="B1529" i="21" a="1"/>
  <c r="B1529" i="21" s="1"/>
  <c r="A1529" i="21" a="1"/>
  <c r="A1529" i="21" s="1"/>
  <c r="C1528" i="21" a="1"/>
  <c r="C1528" i="21" s="1"/>
  <c r="B1528" i="21" a="1"/>
  <c r="B1528" i="21" s="1"/>
  <c r="A1528" i="21" a="1"/>
  <c r="A1528" i="21" s="1"/>
  <c r="C1527" i="21" a="1"/>
  <c r="C1527" i="21" s="1"/>
  <c r="B1527" i="21" a="1"/>
  <c r="B1527" i="21" s="1"/>
  <c r="A1527" i="21" a="1"/>
  <c r="A1527" i="21" s="1"/>
  <c r="C1526" i="21" a="1"/>
  <c r="C1526" i="21" s="1"/>
  <c r="B1526" i="21" a="1"/>
  <c r="B1526" i="21" s="1"/>
  <c r="A1526" i="21" a="1"/>
  <c r="A1526" i="21" s="1"/>
  <c r="C1525" i="21" a="1"/>
  <c r="C1525" i="21" s="1"/>
  <c r="B1525" i="21" a="1"/>
  <c r="B1525" i="21" s="1"/>
  <c r="A1525" i="21" a="1"/>
  <c r="A1525" i="21" s="1"/>
  <c r="C1524" i="21" a="1"/>
  <c r="C1524" i="21" s="1"/>
  <c r="B1524" i="21" a="1"/>
  <c r="B1524" i="21" s="1"/>
  <c r="A1524" i="21" a="1"/>
  <c r="A1524" i="21" s="1"/>
  <c r="C1523" i="21" a="1"/>
  <c r="C1523" i="21" s="1"/>
  <c r="B1523" i="21" a="1"/>
  <c r="B1523" i="21" s="1"/>
  <c r="A1523" i="21" a="1"/>
  <c r="A1523" i="21" s="1"/>
  <c r="C1522" i="21" a="1"/>
  <c r="C1522" i="21" s="1"/>
  <c r="B1522" i="21" a="1"/>
  <c r="B1522" i="21" s="1"/>
  <c r="A1522" i="21" a="1"/>
  <c r="A1522" i="21" s="1"/>
  <c r="C1521" i="21" a="1"/>
  <c r="C1521" i="21" s="1"/>
  <c r="B1521" i="21" a="1"/>
  <c r="B1521" i="21" s="1"/>
  <c r="A1521" i="21" a="1"/>
  <c r="A1521" i="21" s="1"/>
  <c r="C1520" i="21" a="1"/>
  <c r="C1520" i="21" s="1"/>
  <c r="B1520" i="21" a="1"/>
  <c r="B1520" i="21" s="1"/>
  <c r="A1520" i="21" a="1"/>
  <c r="A1520" i="21" s="1"/>
  <c r="C1519" i="21" a="1"/>
  <c r="C1519" i="21" s="1"/>
  <c r="B1519" i="21" a="1"/>
  <c r="B1519" i="21" s="1"/>
  <c r="A1519" i="21" a="1"/>
  <c r="A1519" i="21" s="1"/>
  <c r="C1518" i="21" a="1"/>
  <c r="C1518" i="21" s="1"/>
  <c r="B1518" i="21" a="1"/>
  <c r="B1518" i="21" s="1"/>
  <c r="A1518" i="21" a="1"/>
  <c r="A1518" i="21" s="1"/>
  <c r="C1517" i="21" a="1"/>
  <c r="C1517" i="21" s="1"/>
  <c r="B1517" i="21" a="1"/>
  <c r="B1517" i="21" s="1"/>
  <c r="A1517" i="21" a="1"/>
  <c r="A1517" i="21" s="1"/>
  <c r="C1516" i="21" a="1"/>
  <c r="C1516" i="21" s="1"/>
  <c r="B1516" i="21" a="1"/>
  <c r="B1516" i="21" s="1"/>
  <c r="A1516" i="21" a="1"/>
  <c r="A1516" i="21" s="1"/>
  <c r="C1515" i="21" a="1"/>
  <c r="C1515" i="21" s="1"/>
  <c r="B1515" i="21" a="1"/>
  <c r="B1515" i="21" s="1"/>
  <c r="A1515" i="21" a="1"/>
  <c r="A1515" i="21" s="1"/>
  <c r="C1514" i="21" a="1"/>
  <c r="C1514" i="21" s="1"/>
  <c r="B1514" i="21" a="1"/>
  <c r="B1514" i="21" s="1"/>
  <c r="A1514" i="21" a="1"/>
  <c r="A1514" i="21" s="1"/>
  <c r="C1513" i="21" a="1"/>
  <c r="C1513" i="21" s="1"/>
  <c r="B1513" i="21" a="1"/>
  <c r="B1513" i="21" s="1"/>
  <c r="A1513" i="21" a="1"/>
  <c r="A1513" i="21" s="1"/>
  <c r="C1512" i="21" a="1"/>
  <c r="C1512" i="21" s="1"/>
  <c r="B1512" i="21" a="1"/>
  <c r="B1512" i="21" s="1"/>
  <c r="A1512" i="21" a="1"/>
  <c r="A1512" i="21" s="1"/>
  <c r="C1511" i="21" a="1"/>
  <c r="C1511" i="21" s="1"/>
  <c r="B1511" i="21" a="1"/>
  <c r="B1511" i="21" s="1"/>
  <c r="A1511" i="21" a="1"/>
  <c r="A1511" i="21" s="1"/>
  <c r="C1510" i="21" a="1"/>
  <c r="C1510" i="21" s="1"/>
  <c r="B1510" i="21" a="1"/>
  <c r="B1510" i="21" s="1"/>
  <c r="A1510" i="21" a="1"/>
  <c r="A1510" i="21" s="1"/>
  <c r="C1509" i="21" a="1"/>
  <c r="C1509" i="21" s="1"/>
  <c r="B1509" i="21" a="1"/>
  <c r="B1509" i="21" s="1"/>
  <c r="A1509" i="21" a="1"/>
  <c r="A1509" i="21" s="1"/>
  <c r="C1508" i="21" a="1"/>
  <c r="C1508" i="21" s="1"/>
  <c r="B1508" i="21" a="1"/>
  <c r="B1508" i="21" s="1"/>
  <c r="A1508" i="21" a="1"/>
  <c r="A1508" i="21" s="1"/>
  <c r="C1507" i="21" a="1"/>
  <c r="C1507" i="21" s="1"/>
  <c r="B1507" i="21" a="1"/>
  <c r="B1507" i="21" s="1"/>
  <c r="A1507" i="21" a="1"/>
  <c r="A1507" i="21" s="1"/>
  <c r="C1506" i="21" a="1"/>
  <c r="C1506" i="21" s="1"/>
  <c r="B1506" i="21" a="1"/>
  <c r="B1506" i="21" s="1"/>
  <c r="A1506" i="21" a="1"/>
  <c r="A1506" i="21" s="1"/>
  <c r="C1505" i="21" a="1"/>
  <c r="C1505" i="21" s="1"/>
  <c r="B1505" i="21" a="1"/>
  <c r="B1505" i="21" s="1"/>
  <c r="A1505" i="21" a="1"/>
  <c r="A1505" i="21" s="1"/>
  <c r="C1504" i="21" a="1"/>
  <c r="C1504" i="21" s="1"/>
  <c r="B1504" i="21" a="1"/>
  <c r="B1504" i="21" s="1"/>
  <c r="A1504" i="21" a="1"/>
  <c r="A1504" i="21" s="1"/>
  <c r="C1503" i="21" a="1"/>
  <c r="C1503" i="21" s="1"/>
  <c r="B1503" i="21" a="1"/>
  <c r="B1503" i="21" s="1"/>
  <c r="A1503" i="21" a="1"/>
  <c r="A1503" i="21" s="1"/>
  <c r="C1502" i="21" a="1"/>
  <c r="C1502" i="21" s="1"/>
  <c r="B1502" i="21" a="1"/>
  <c r="B1502" i="21" s="1"/>
  <c r="A1502" i="21" a="1"/>
  <c r="A1502" i="21" s="1"/>
  <c r="C1501" i="21" a="1"/>
  <c r="C1501" i="21" s="1"/>
  <c r="B1501" i="21" a="1"/>
  <c r="B1501" i="21" s="1"/>
  <c r="A1501" i="21" a="1"/>
  <c r="A1501" i="21" s="1"/>
  <c r="C1497" i="21" a="1"/>
  <c r="C1497" i="21" s="1"/>
  <c r="B1497" i="21" a="1"/>
  <c r="B1497" i="21" s="1"/>
  <c r="A1497" i="21" a="1"/>
  <c r="A1497" i="21" s="1"/>
  <c r="C1496" i="21" a="1"/>
  <c r="C1496" i="21" s="1"/>
  <c r="B1496" i="21" a="1"/>
  <c r="B1496" i="21" s="1"/>
  <c r="A1496" i="21" a="1"/>
  <c r="A1496" i="21" s="1"/>
  <c r="C1495" i="21" a="1"/>
  <c r="C1495" i="21" s="1"/>
  <c r="B1495" i="21" a="1"/>
  <c r="B1495" i="21" s="1"/>
  <c r="A1495" i="21" a="1"/>
  <c r="A1495" i="21" s="1"/>
  <c r="C1494" i="21" a="1"/>
  <c r="C1494" i="21" s="1"/>
  <c r="B1494" i="21" a="1"/>
  <c r="B1494" i="21" s="1"/>
  <c r="A1494" i="21" a="1"/>
  <c r="A1494" i="21" s="1"/>
  <c r="C1493" i="21" a="1"/>
  <c r="C1493" i="21" s="1"/>
  <c r="B1493" i="21" a="1"/>
  <c r="B1493" i="21" s="1"/>
  <c r="A1493" i="21" a="1"/>
  <c r="A1493" i="21" s="1"/>
  <c r="C1492" i="21" a="1"/>
  <c r="C1492" i="21" s="1"/>
  <c r="B1492" i="21" a="1"/>
  <c r="B1492" i="21" s="1"/>
  <c r="A1492" i="21" a="1"/>
  <c r="A1492" i="21" s="1"/>
  <c r="C1491" i="21" a="1"/>
  <c r="C1491" i="21" s="1"/>
  <c r="B1491" i="21" a="1"/>
  <c r="B1491" i="21" s="1"/>
  <c r="A1491" i="21" a="1"/>
  <c r="A1491" i="21" s="1"/>
  <c r="C1490" i="21" a="1"/>
  <c r="C1490" i="21" s="1"/>
  <c r="B1490" i="21" a="1"/>
  <c r="B1490" i="21" s="1"/>
  <c r="A1490" i="21" a="1"/>
  <c r="A1490" i="21" s="1"/>
  <c r="C1489" i="21" a="1"/>
  <c r="C1489" i="21" s="1"/>
  <c r="B1489" i="21" a="1"/>
  <c r="B1489" i="21" s="1"/>
  <c r="A1489" i="21" a="1"/>
  <c r="A1489" i="21" s="1"/>
  <c r="C1488" i="21" a="1"/>
  <c r="C1488" i="21" s="1"/>
  <c r="B1488" i="21" a="1"/>
  <c r="B1488" i="21" s="1"/>
  <c r="A1488" i="21" a="1"/>
  <c r="A1488" i="21" s="1"/>
  <c r="C1487" i="21" a="1"/>
  <c r="C1487" i="21" s="1"/>
  <c r="B1487" i="21" a="1"/>
  <c r="B1487" i="21" s="1"/>
  <c r="A1487" i="21" a="1"/>
  <c r="A1487" i="21" s="1"/>
  <c r="C1486" i="21" a="1"/>
  <c r="C1486" i="21" s="1"/>
  <c r="B1486" i="21" a="1"/>
  <c r="B1486" i="21" s="1"/>
  <c r="A1486" i="21" a="1"/>
  <c r="A1486" i="21" s="1"/>
  <c r="C1485" i="21" a="1"/>
  <c r="C1485" i="21" s="1"/>
  <c r="B1485" i="21" a="1"/>
  <c r="B1485" i="21" s="1"/>
  <c r="A1485" i="21" a="1"/>
  <c r="A1485" i="21" s="1"/>
  <c r="C1484" i="21" a="1"/>
  <c r="C1484" i="21" s="1"/>
  <c r="B1484" i="21" a="1"/>
  <c r="B1484" i="21" s="1"/>
  <c r="A1484" i="21" a="1"/>
  <c r="A1484" i="21" s="1"/>
  <c r="C1483" i="21" a="1"/>
  <c r="C1483" i="21" s="1"/>
  <c r="B1483" i="21" a="1"/>
  <c r="B1483" i="21" s="1"/>
  <c r="A1483" i="21" a="1"/>
  <c r="A1483" i="21" s="1"/>
  <c r="C1482" i="21" a="1"/>
  <c r="C1482" i="21" s="1"/>
  <c r="B1482" i="21" a="1"/>
  <c r="B1482" i="21" s="1"/>
  <c r="A1482" i="21" a="1"/>
  <c r="A1482" i="21" s="1"/>
  <c r="C1481" i="21" a="1"/>
  <c r="C1481" i="21" s="1"/>
  <c r="B1481" i="21" a="1"/>
  <c r="B1481" i="21" s="1"/>
  <c r="A1481" i="21" a="1"/>
  <c r="A1481" i="21" s="1"/>
  <c r="C1480" i="21" a="1"/>
  <c r="C1480" i="21" s="1"/>
  <c r="B1480" i="21" a="1"/>
  <c r="B1480" i="21" s="1"/>
  <c r="A1480" i="21" a="1"/>
  <c r="A1480" i="21" s="1"/>
  <c r="C1479" i="21" a="1"/>
  <c r="C1479" i="21" s="1"/>
  <c r="B1479" i="21" a="1"/>
  <c r="B1479" i="21" s="1"/>
  <c r="A1479" i="21" a="1"/>
  <c r="A1479" i="21" s="1"/>
  <c r="C1478" i="21" a="1"/>
  <c r="C1478" i="21" s="1"/>
  <c r="B1478" i="21" a="1"/>
  <c r="B1478" i="21" s="1"/>
  <c r="A1478" i="21" a="1"/>
  <c r="A1478" i="21" s="1"/>
  <c r="C1477" i="21" a="1"/>
  <c r="C1477" i="21" s="1"/>
  <c r="B1477" i="21" a="1"/>
  <c r="B1477" i="21" s="1"/>
  <c r="A1477" i="21" a="1"/>
  <c r="A1477" i="21" s="1"/>
  <c r="C1476" i="21" a="1"/>
  <c r="C1476" i="21" s="1"/>
  <c r="B1476" i="21" a="1"/>
  <c r="B1476" i="21" s="1"/>
  <c r="A1476" i="21" a="1"/>
  <c r="A1476" i="21" s="1"/>
  <c r="C1475" i="21" a="1"/>
  <c r="C1475" i="21" s="1"/>
  <c r="B1475" i="21" a="1"/>
  <c r="B1475" i="21" s="1"/>
  <c r="A1475" i="21" a="1"/>
  <c r="A1475" i="21" s="1"/>
  <c r="C1474" i="21" a="1"/>
  <c r="C1474" i="21" s="1"/>
  <c r="B1474" i="21" a="1"/>
  <c r="B1474" i="21" s="1"/>
  <c r="A1474" i="21" a="1"/>
  <c r="A1474" i="21" s="1"/>
  <c r="C1473" i="21" a="1"/>
  <c r="C1473" i="21" s="1"/>
  <c r="B1473" i="21" a="1"/>
  <c r="B1473" i="21" s="1"/>
  <c r="A1473" i="21" a="1"/>
  <c r="A1473" i="21" s="1"/>
  <c r="C1472" i="21" a="1"/>
  <c r="C1472" i="21" s="1"/>
  <c r="B1472" i="21" a="1"/>
  <c r="B1472" i="21" s="1"/>
  <c r="A1472" i="21" a="1"/>
  <c r="A1472" i="21" s="1"/>
  <c r="C1471" i="21" a="1"/>
  <c r="C1471" i="21" s="1"/>
  <c r="B1471" i="21" a="1"/>
  <c r="B1471" i="21" s="1"/>
  <c r="A1471" i="21" a="1"/>
  <c r="A1471" i="21" s="1"/>
  <c r="C1470" i="21" a="1"/>
  <c r="C1470" i="21" s="1"/>
  <c r="B1470" i="21" a="1"/>
  <c r="B1470" i="21" s="1"/>
  <c r="A1470" i="21" a="1"/>
  <c r="A1470" i="21" s="1"/>
  <c r="C1469" i="21" a="1"/>
  <c r="C1469" i="21" s="1"/>
  <c r="B1469" i="21" a="1"/>
  <c r="B1469" i="21" s="1"/>
  <c r="A1469" i="21" a="1"/>
  <c r="A1469" i="21" s="1"/>
  <c r="C1468" i="21" a="1"/>
  <c r="C1468" i="21" s="1"/>
  <c r="B1468" i="21" a="1"/>
  <c r="B1468" i="21" s="1"/>
  <c r="A1468" i="21" a="1"/>
  <c r="A1468" i="21" s="1"/>
  <c r="C1467" i="21" a="1"/>
  <c r="C1467" i="21" s="1"/>
  <c r="B1467" i="21" a="1"/>
  <c r="B1467" i="21" s="1"/>
  <c r="A1467" i="21" a="1"/>
  <c r="A1467" i="21" s="1"/>
  <c r="C1466" i="21" a="1"/>
  <c r="C1466" i="21" s="1"/>
  <c r="B1466" i="21" a="1"/>
  <c r="B1466" i="21" s="1"/>
  <c r="A1466" i="21" a="1"/>
  <c r="A1466" i="21" s="1"/>
  <c r="C1465" i="21" a="1"/>
  <c r="C1465" i="21" s="1"/>
  <c r="B1465" i="21" a="1"/>
  <c r="B1465" i="21" s="1"/>
  <c r="A1465" i="21" a="1"/>
  <c r="A1465" i="21" s="1"/>
  <c r="C1464" i="21" a="1"/>
  <c r="C1464" i="21" s="1"/>
  <c r="B1464" i="21" a="1"/>
  <c r="B1464" i="21" s="1"/>
  <c r="A1464" i="21" a="1"/>
  <c r="A1464" i="21" s="1"/>
  <c r="C1463" i="21" a="1"/>
  <c r="C1463" i="21" s="1"/>
  <c r="B1463" i="21" a="1"/>
  <c r="B1463" i="21" s="1"/>
  <c r="A1463" i="21" a="1"/>
  <c r="A1463" i="21" s="1"/>
  <c r="C1459" i="21" a="1"/>
  <c r="C1459" i="21" s="1"/>
  <c r="B1459" i="21" a="1"/>
  <c r="B1459" i="21" s="1"/>
  <c r="A1459" i="21" a="1"/>
  <c r="A1459" i="21" s="1"/>
  <c r="C1458" i="21" a="1"/>
  <c r="C1458" i="21" s="1"/>
  <c r="B1458" i="21" a="1"/>
  <c r="B1458" i="21" s="1"/>
  <c r="A1458" i="21" a="1"/>
  <c r="A1458" i="21" s="1"/>
  <c r="C1457" i="21" a="1"/>
  <c r="C1457" i="21" s="1"/>
  <c r="B1457" i="21" a="1"/>
  <c r="B1457" i="21" s="1"/>
  <c r="A1457" i="21" a="1"/>
  <c r="A1457" i="21" s="1"/>
  <c r="C1456" i="21" a="1"/>
  <c r="C1456" i="21" s="1"/>
  <c r="B1456" i="21" a="1"/>
  <c r="B1456" i="21" s="1"/>
  <c r="A1456" i="21" a="1"/>
  <c r="A1456" i="21" s="1"/>
  <c r="C1455" i="21" a="1"/>
  <c r="C1455" i="21" s="1"/>
  <c r="B1455" i="21" a="1"/>
  <c r="B1455" i="21" s="1"/>
  <c r="A1455" i="21" a="1"/>
  <c r="A1455" i="21" s="1"/>
  <c r="C1454" i="21" a="1"/>
  <c r="C1454" i="21" s="1"/>
  <c r="B1454" i="21" a="1"/>
  <c r="B1454" i="21" s="1"/>
  <c r="A1454" i="21" a="1"/>
  <c r="A1454" i="21" s="1"/>
  <c r="C1453" i="21" a="1"/>
  <c r="C1453" i="21" s="1"/>
  <c r="B1453" i="21" a="1"/>
  <c r="B1453" i="21" s="1"/>
  <c r="A1453" i="21" a="1"/>
  <c r="A1453" i="21" s="1"/>
  <c r="C1452" i="21" a="1"/>
  <c r="C1452" i="21" s="1"/>
  <c r="B1452" i="21" a="1"/>
  <c r="B1452" i="21" s="1"/>
  <c r="A1452" i="21" a="1"/>
  <c r="A1452" i="21" s="1"/>
  <c r="C1451" i="21" a="1"/>
  <c r="C1451" i="21" s="1"/>
  <c r="B1451" i="21" a="1"/>
  <c r="B1451" i="21" s="1"/>
  <c r="A1451" i="21" a="1"/>
  <c r="A1451" i="21" s="1"/>
  <c r="C1450" i="21" a="1"/>
  <c r="C1450" i="21" s="1"/>
  <c r="B1450" i="21" a="1"/>
  <c r="B1450" i="21" s="1"/>
  <c r="A1450" i="21" a="1"/>
  <c r="A1450" i="21" s="1"/>
  <c r="C1449" i="21" a="1"/>
  <c r="C1449" i="21" s="1"/>
  <c r="B1449" i="21" a="1"/>
  <c r="B1449" i="21" s="1"/>
  <c r="A1449" i="21" a="1"/>
  <c r="A1449" i="21" s="1"/>
  <c r="C1448" i="21" a="1"/>
  <c r="C1448" i="21" s="1"/>
  <c r="B1448" i="21" a="1"/>
  <c r="B1448" i="21" s="1"/>
  <c r="A1448" i="21" a="1"/>
  <c r="A1448" i="21" s="1"/>
  <c r="C1447" i="21" a="1"/>
  <c r="C1447" i="21" s="1"/>
  <c r="B1447" i="21" a="1"/>
  <c r="B1447" i="21" s="1"/>
  <c r="A1447" i="21" a="1"/>
  <c r="A1447" i="21" s="1"/>
  <c r="C1446" i="21" a="1"/>
  <c r="C1446" i="21" s="1"/>
  <c r="B1446" i="21" a="1"/>
  <c r="B1446" i="21" s="1"/>
  <c r="A1446" i="21" a="1"/>
  <c r="A1446" i="21" s="1"/>
  <c r="C1445" i="21" a="1"/>
  <c r="C1445" i="21" s="1"/>
  <c r="B1445" i="21" a="1"/>
  <c r="B1445" i="21" s="1"/>
  <c r="A1445" i="21" a="1"/>
  <c r="A1445" i="21" s="1"/>
  <c r="C1444" i="21" a="1"/>
  <c r="C1444" i="21" s="1"/>
  <c r="B1444" i="21" a="1"/>
  <c r="B1444" i="21" s="1"/>
  <c r="A1444" i="21" a="1"/>
  <c r="A1444" i="21" s="1"/>
  <c r="C1443" i="21" a="1"/>
  <c r="C1443" i="21" s="1"/>
  <c r="B1443" i="21" a="1"/>
  <c r="B1443" i="21" s="1"/>
  <c r="A1443" i="21" a="1"/>
  <c r="A1443" i="21" s="1"/>
  <c r="C1442" i="21" a="1"/>
  <c r="C1442" i="21" s="1"/>
  <c r="B1442" i="21" a="1"/>
  <c r="B1442" i="21" s="1"/>
  <c r="A1442" i="21" a="1"/>
  <c r="A1442" i="21" s="1"/>
  <c r="C1441" i="21" a="1"/>
  <c r="C1441" i="21" s="1"/>
  <c r="B1441" i="21" a="1"/>
  <c r="B1441" i="21" s="1"/>
  <c r="A1441" i="21" a="1"/>
  <c r="A1441" i="21" s="1"/>
  <c r="C1440" i="21" a="1"/>
  <c r="C1440" i="21" s="1"/>
  <c r="B1440" i="21" a="1"/>
  <c r="B1440" i="21" s="1"/>
  <c r="A1440" i="21" a="1"/>
  <c r="A1440" i="21" s="1"/>
  <c r="C1439" i="21" a="1"/>
  <c r="C1439" i="21" s="1"/>
  <c r="B1439" i="21" a="1"/>
  <c r="B1439" i="21" s="1"/>
  <c r="A1439" i="21" a="1"/>
  <c r="A1439" i="21" s="1"/>
  <c r="C1438" i="21" a="1"/>
  <c r="C1438" i="21" s="1"/>
  <c r="B1438" i="21" a="1"/>
  <c r="B1438" i="21" s="1"/>
  <c r="A1438" i="21" a="1"/>
  <c r="A1438" i="21" s="1"/>
  <c r="C1437" i="21" a="1"/>
  <c r="C1437" i="21" s="1"/>
  <c r="B1437" i="21" a="1"/>
  <c r="B1437" i="21" s="1"/>
  <c r="A1437" i="21" a="1"/>
  <c r="A1437" i="21" s="1"/>
  <c r="C1436" i="21" a="1"/>
  <c r="C1436" i="21" s="1"/>
  <c r="B1436" i="21" a="1"/>
  <c r="B1436" i="21" s="1"/>
  <c r="A1436" i="21" a="1"/>
  <c r="A1436" i="21" s="1"/>
  <c r="C1435" i="21" a="1"/>
  <c r="C1435" i="21" s="1"/>
  <c r="B1435" i="21" a="1"/>
  <c r="B1435" i="21" s="1"/>
  <c r="A1435" i="21" a="1"/>
  <c r="A1435" i="21" s="1"/>
  <c r="C1434" i="21" a="1"/>
  <c r="C1434" i="21" s="1"/>
  <c r="B1434" i="21" a="1"/>
  <c r="B1434" i="21" s="1"/>
  <c r="A1434" i="21" a="1"/>
  <c r="A1434" i="21" s="1"/>
  <c r="C1433" i="21" a="1"/>
  <c r="C1433" i="21" s="1"/>
  <c r="B1433" i="21" a="1"/>
  <c r="B1433" i="21" s="1"/>
  <c r="A1433" i="21" a="1"/>
  <c r="A1433" i="21" s="1"/>
  <c r="C1432" i="21" a="1"/>
  <c r="C1432" i="21" s="1"/>
  <c r="B1432" i="21" a="1"/>
  <c r="B1432" i="21" s="1"/>
  <c r="A1432" i="21" a="1"/>
  <c r="A1432" i="21" s="1"/>
  <c r="C1431" i="21" a="1"/>
  <c r="C1431" i="21" s="1"/>
  <c r="B1431" i="21" a="1"/>
  <c r="B1431" i="21" s="1"/>
  <c r="A1431" i="21" a="1"/>
  <c r="A1431" i="21" s="1"/>
  <c r="C1430" i="21" a="1"/>
  <c r="C1430" i="21" s="1"/>
  <c r="B1430" i="21" a="1"/>
  <c r="B1430" i="21" s="1"/>
  <c r="A1430" i="21" a="1"/>
  <c r="A1430" i="21" s="1"/>
  <c r="C1429" i="21" a="1"/>
  <c r="C1429" i="21" s="1"/>
  <c r="B1429" i="21" a="1"/>
  <c r="B1429" i="21" s="1"/>
  <c r="A1429" i="21" a="1"/>
  <c r="A1429" i="21" s="1"/>
  <c r="C1428" i="21" a="1"/>
  <c r="C1428" i="21" s="1"/>
  <c r="B1428" i="21" a="1"/>
  <c r="B1428" i="21" s="1"/>
  <c r="A1428" i="21" a="1"/>
  <c r="A1428" i="21" s="1"/>
  <c r="C1427" i="21" a="1"/>
  <c r="C1427" i="21" s="1"/>
  <c r="B1427" i="21" a="1"/>
  <c r="B1427" i="21" s="1"/>
  <c r="A1427" i="21" a="1"/>
  <c r="A1427" i="21" s="1"/>
  <c r="C1426" i="21" a="1"/>
  <c r="C1426" i="21" s="1"/>
  <c r="B1426" i="21" a="1"/>
  <c r="B1426" i="21" s="1"/>
  <c r="A1426" i="21" a="1"/>
  <c r="A1426" i="21" s="1"/>
  <c r="C1425" i="21" a="1"/>
  <c r="C1425" i="21" s="1"/>
  <c r="B1425" i="21" a="1"/>
  <c r="B1425" i="21" s="1"/>
  <c r="A1425" i="21" a="1"/>
  <c r="A1425" i="21" s="1"/>
  <c r="C1421" i="21" a="1"/>
  <c r="C1421" i="21" s="1"/>
  <c r="B1421" i="21" a="1"/>
  <c r="B1421" i="21" s="1"/>
  <c r="A1421" i="21" a="1"/>
  <c r="A1421" i="21" s="1"/>
  <c r="C1420" i="21" a="1"/>
  <c r="C1420" i="21" s="1"/>
  <c r="B1420" i="21" a="1"/>
  <c r="B1420" i="21" s="1"/>
  <c r="A1420" i="21" a="1"/>
  <c r="A1420" i="21" s="1"/>
  <c r="C1419" i="21" a="1"/>
  <c r="C1419" i="21" s="1"/>
  <c r="B1419" i="21" a="1"/>
  <c r="B1419" i="21" s="1"/>
  <c r="A1419" i="21" a="1"/>
  <c r="A1419" i="21" s="1"/>
  <c r="C1418" i="21" a="1"/>
  <c r="C1418" i="21" s="1"/>
  <c r="B1418" i="21" a="1"/>
  <c r="B1418" i="21" s="1"/>
  <c r="A1418" i="21" a="1"/>
  <c r="A1418" i="21" s="1"/>
  <c r="C1417" i="21" a="1"/>
  <c r="C1417" i="21" s="1"/>
  <c r="B1417" i="21" a="1"/>
  <c r="B1417" i="21" s="1"/>
  <c r="A1417" i="21" a="1"/>
  <c r="A1417" i="21" s="1"/>
  <c r="C1416" i="21" a="1"/>
  <c r="C1416" i="21" s="1"/>
  <c r="B1416" i="21" a="1"/>
  <c r="B1416" i="21" s="1"/>
  <c r="A1416" i="21" a="1"/>
  <c r="A1416" i="21" s="1"/>
  <c r="C1415" i="21" a="1"/>
  <c r="C1415" i="21" s="1"/>
  <c r="B1415" i="21" a="1"/>
  <c r="B1415" i="21" s="1"/>
  <c r="A1415" i="21" a="1"/>
  <c r="A1415" i="21" s="1"/>
  <c r="C1414" i="21" a="1"/>
  <c r="C1414" i="21" s="1"/>
  <c r="B1414" i="21" a="1"/>
  <c r="B1414" i="21" s="1"/>
  <c r="A1414" i="21" a="1"/>
  <c r="A1414" i="21" s="1"/>
  <c r="C1413" i="21" a="1"/>
  <c r="C1413" i="21" s="1"/>
  <c r="B1413" i="21" a="1"/>
  <c r="B1413" i="21" s="1"/>
  <c r="A1413" i="21" a="1"/>
  <c r="A1413" i="21" s="1"/>
  <c r="C1412" i="21" a="1"/>
  <c r="C1412" i="21" s="1"/>
  <c r="B1412" i="21" a="1"/>
  <c r="B1412" i="21" s="1"/>
  <c r="A1412" i="21" a="1"/>
  <c r="A1412" i="21" s="1"/>
  <c r="C1411" i="21" a="1"/>
  <c r="C1411" i="21" s="1"/>
  <c r="B1411" i="21" a="1"/>
  <c r="B1411" i="21" s="1"/>
  <c r="A1411" i="21" a="1"/>
  <c r="A1411" i="21" s="1"/>
  <c r="C1410" i="21" a="1"/>
  <c r="C1410" i="21" s="1"/>
  <c r="B1410" i="21" a="1"/>
  <c r="B1410" i="21" s="1"/>
  <c r="A1410" i="21" a="1"/>
  <c r="A1410" i="21" s="1"/>
  <c r="C1409" i="21" a="1"/>
  <c r="C1409" i="21" s="1"/>
  <c r="B1409" i="21" a="1"/>
  <c r="B1409" i="21" s="1"/>
  <c r="A1409" i="21" a="1"/>
  <c r="A1409" i="21" s="1"/>
  <c r="C1408" i="21" a="1"/>
  <c r="C1408" i="21" s="1"/>
  <c r="B1408" i="21" a="1"/>
  <c r="B1408" i="21" s="1"/>
  <c r="A1408" i="21" a="1"/>
  <c r="A1408" i="21" s="1"/>
  <c r="C1407" i="21" a="1"/>
  <c r="C1407" i="21" s="1"/>
  <c r="B1407" i="21" a="1"/>
  <c r="B1407" i="21" s="1"/>
  <c r="A1407" i="21" a="1"/>
  <c r="A1407" i="21" s="1"/>
  <c r="C1406" i="21" a="1"/>
  <c r="C1406" i="21" s="1"/>
  <c r="B1406" i="21" a="1"/>
  <c r="B1406" i="21" s="1"/>
  <c r="A1406" i="21" a="1"/>
  <c r="A1406" i="21" s="1"/>
  <c r="C1405" i="21" a="1"/>
  <c r="C1405" i="21" s="1"/>
  <c r="B1405" i="21" a="1"/>
  <c r="B1405" i="21" s="1"/>
  <c r="A1405" i="21" a="1"/>
  <c r="A1405" i="21" s="1"/>
  <c r="C1404" i="21" a="1"/>
  <c r="C1404" i="21" s="1"/>
  <c r="B1404" i="21" a="1"/>
  <c r="B1404" i="21" s="1"/>
  <c r="A1404" i="21" a="1"/>
  <c r="A1404" i="21" s="1"/>
  <c r="C1403" i="21" a="1"/>
  <c r="C1403" i="21" s="1"/>
  <c r="B1403" i="21" a="1"/>
  <c r="B1403" i="21" s="1"/>
  <c r="A1403" i="21" a="1"/>
  <c r="A1403" i="21" s="1"/>
  <c r="C1402" i="21" a="1"/>
  <c r="C1402" i="21" s="1"/>
  <c r="B1402" i="21" a="1"/>
  <c r="B1402" i="21" s="1"/>
  <c r="A1402" i="21" a="1"/>
  <c r="A1402" i="21" s="1"/>
  <c r="C1401" i="21" a="1"/>
  <c r="C1401" i="21" s="1"/>
  <c r="B1401" i="21" a="1"/>
  <c r="B1401" i="21" s="1"/>
  <c r="A1401" i="21" a="1"/>
  <c r="A1401" i="21" s="1"/>
  <c r="C1400" i="21" a="1"/>
  <c r="C1400" i="21" s="1"/>
  <c r="B1400" i="21" a="1"/>
  <c r="B1400" i="21" s="1"/>
  <c r="A1400" i="21" a="1"/>
  <c r="A1400" i="21" s="1"/>
  <c r="C1399" i="21" a="1"/>
  <c r="C1399" i="21" s="1"/>
  <c r="B1399" i="21" a="1"/>
  <c r="B1399" i="21" s="1"/>
  <c r="A1399" i="21" a="1"/>
  <c r="A1399" i="21" s="1"/>
  <c r="C1398" i="21" a="1"/>
  <c r="C1398" i="21" s="1"/>
  <c r="B1398" i="21" a="1"/>
  <c r="B1398" i="21" s="1"/>
  <c r="A1398" i="21" a="1"/>
  <c r="A1398" i="21" s="1"/>
  <c r="C1397" i="21" a="1"/>
  <c r="C1397" i="21" s="1"/>
  <c r="B1397" i="21" a="1"/>
  <c r="B1397" i="21" s="1"/>
  <c r="A1397" i="21" a="1"/>
  <c r="A1397" i="21" s="1"/>
  <c r="C1396" i="21" a="1"/>
  <c r="C1396" i="21" s="1"/>
  <c r="B1396" i="21" a="1"/>
  <c r="B1396" i="21" s="1"/>
  <c r="A1396" i="21" a="1"/>
  <c r="A1396" i="21" s="1"/>
  <c r="C1395" i="21" a="1"/>
  <c r="C1395" i="21" s="1"/>
  <c r="B1395" i="21" a="1"/>
  <c r="B1395" i="21" s="1"/>
  <c r="A1395" i="21" a="1"/>
  <c r="A1395" i="21" s="1"/>
  <c r="C1394" i="21" a="1"/>
  <c r="C1394" i="21" s="1"/>
  <c r="B1394" i="21" a="1"/>
  <c r="B1394" i="21" s="1"/>
  <c r="A1394" i="21" a="1"/>
  <c r="A1394" i="21" s="1"/>
  <c r="C1393" i="21" a="1"/>
  <c r="C1393" i="21" s="1"/>
  <c r="B1393" i="21" a="1"/>
  <c r="B1393" i="21" s="1"/>
  <c r="A1393" i="21" a="1"/>
  <c r="A1393" i="21" s="1"/>
  <c r="C1392" i="21" a="1"/>
  <c r="C1392" i="21" s="1"/>
  <c r="B1392" i="21" a="1"/>
  <c r="B1392" i="21" s="1"/>
  <c r="A1392" i="21" a="1"/>
  <c r="A1392" i="21" s="1"/>
  <c r="C1391" i="21" a="1"/>
  <c r="C1391" i="21" s="1"/>
  <c r="B1391" i="21" a="1"/>
  <c r="B1391" i="21" s="1"/>
  <c r="A1391" i="21" a="1"/>
  <c r="A1391" i="21" s="1"/>
  <c r="C1390" i="21" a="1"/>
  <c r="C1390" i="21" s="1"/>
  <c r="B1390" i="21" a="1"/>
  <c r="B1390" i="21" s="1"/>
  <c r="A1390" i="21" a="1"/>
  <c r="A1390" i="21" s="1"/>
  <c r="C1389" i="21" a="1"/>
  <c r="C1389" i="21" s="1"/>
  <c r="B1389" i="21" a="1"/>
  <c r="B1389" i="21" s="1"/>
  <c r="A1389" i="21" a="1"/>
  <c r="A1389" i="21" s="1"/>
  <c r="C1388" i="21" a="1"/>
  <c r="C1388" i="21" s="1"/>
  <c r="B1388" i="21" a="1"/>
  <c r="B1388" i="21" s="1"/>
  <c r="A1388" i="21" a="1"/>
  <c r="A1388" i="21" s="1"/>
  <c r="C1387" i="21" a="1"/>
  <c r="C1387" i="21" s="1"/>
  <c r="B1387" i="21" a="1"/>
  <c r="B1387" i="21" s="1"/>
  <c r="A1387" i="21" a="1"/>
  <c r="A1387" i="21" s="1"/>
  <c r="C1383" i="21" a="1"/>
  <c r="C1383" i="21" s="1"/>
  <c r="B1383" i="21" a="1"/>
  <c r="B1383" i="21" s="1"/>
  <c r="A1383" i="21" a="1"/>
  <c r="A1383" i="21" s="1"/>
  <c r="C1382" i="21" a="1"/>
  <c r="C1382" i="21" s="1"/>
  <c r="B1382" i="21" a="1"/>
  <c r="B1382" i="21" s="1"/>
  <c r="A1382" i="21" a="1"/>
  <c r="A1382" i="21" s="1"/>
  <c r="C1381" i="21" a="1"/>
  <c r="C1381" i="21" s="1"/>
  <c r="B1381" i="21" a="1"/>
  <c r="B1381" i="21" s="1"/>
  <c r="A1381" i="21" a="1"/>
  <c r="A1381" i="21" s="1"/>
  <c r="C1380" i="21" a="1"/>
  <c r="C1380" i="21" s="1"/>
  <c r="B1380" i="21" a="1"/>
  <c r="B1380" i="21" s="1"/>
  <c r="A1380" i="21" a="1"/>
  <c r="A1380" i="21" s="1"/>
  <c r="C1379" i="21" a="1"/>
  <c r="C1379" i="21" s="1"/>
  <c r="B1379" i="21" a="1"/>
  <c r="B1379" i="21" s="1"/>
  <c r="A1379" i="21" a="1"/>
  <c r="A1379" i="21" s="1"/>
  <c r="C1378" i="21" a="1"/>
  <c r="C1378" i="21" s="1"/>
  <c r="B1378" i="21" a="1"/>
  <c r="B1378" i="21" s="1"/>
  <c r="A1378" i="21" a="1"/>
  <c r="A1378" i="21" s="1"/>
  <c r="C1377" i="21" a="1"/>
  <c r="C1377" i="21" s="1"/>
  <c r="B1377" i="21" a="1"/>
  <c r="B1377" i="21" s="1"/>
  <c r="A1377" i="21" a="1"/>
  <c r="A1377" i="21" s="1"/>
  <c r="C1376" i="21" a="1"/>
  <c r="C1376" i="21" s="1"/>
  <c r="B1376" i="21" a="1"/>
  <c r="B1376" i="21" s="1"/>
  <c r="A1376" i="21" a="1"/>
  <c r="A1376" i="21" s="1"/>
  <c r="C1375" i="21" a="1"/>
  <c r="C1375" i="21" s="1"/>
  <c r="B1375" i="21" a="1"/>
  <c r="B1375" i="21" s="1"/>
  <c r="A1375" i="21" a="1"/>
  <c r="A1375" i="21" s="1"/>
  <c r="C1374" i="21" a="1"/>
  <c r="C1374" i="21" s="1"/>
  <c r="B1374" i="21" a="1"/>
  <c r="B1374" i="21" s="1"/>
  <c r="A1374" i="21" a="1"/>
  <c r="A1374" i="21" s="1"/>
  <c r="C1373" i="21" a="1"/>
  <c r="C1373" i="21" s="1"/>
  <c r="B1373" i="21" a="1"/>
  <c r="B1373" i="21" s="1"/>
  <c r="A1373" i="21" a="1"/>
  <c r="A1373" i="21" s="1"/>
  <c r="C1372" i="21" a="1"/>
  <c r="C1372" i="21" s="1"/>
  <c r="B1372" i="21" a="1"/>
  <c r="B1372" i="21" s="1"/>
  <c r="A1372" i="21" a="1"/>
  <c r="A1372" i="21" s="1"/>
  <c r="C1371" i="21" a="1"/>
  <c r="C1371" i="21" s="1"/>
  <c r="B1371" i="21" a="1"/>
  <c r="B1371" i="21" s="1"/>
  <c r="A1371" i="21" a="1"/>
  <c r="A1371" i="21" s="1"/>
  <c r="C1370" i="21" a="1"/>
  <c r="C1370" i="21" s="1"/>
  <c r="B1370" i="21" a="1"/>
  <c r="B1370" i="21" s="1"/>
  <c r="A1370" i="21" a="1"/>
  <c r="A1370" i="21" s="1"/>
  <c r="C1369" i="21" a="1"/>
  <c r="C1369" i="21" s="1"/>
  <c r="B1369" i="21" a="1"/>
  <c r="B1369" i="21" s="1"/>
  <c r="A1369" i="21" a="1"/>
  <c r="A1369" i="21" s="1"/>
  <c r="C1368" i="21" a="1"/>
  <c r="C1368" i="21" s="1"/>
  <c r="B1368" i="21" a="1"/>
  <c r="B1368" i="21" s="1"/>
  <c r="A1368" i="21" a="1"/>
  <c r="A1368" i="21" s="1"/>
  <c r="C1367" i="21" a="1"/>
  <c r="C1367" i="21" s="1"/>
  <c r="B1367" i="21" a="1"/>
  <c r="B1367" i="21" s="1"/>
  <c r="A1367" i="21" a="1"/>
  <c r="A1367" i="21" s="1"/>
  <c r="C1366" i="21" a="1"/>
  <c r="C1366" i="21" s="1"/>
  <c r="B1366" i="21" a="1"/>
  <c r="B1366" i="21" s="1"/>
  <c r="A1366" i="21" a="1"/>
  <c r="A1366" i="21" s="1"/>
  <c r="C1365" i="21" a="1"/>
  <c r="C1365" i="21" s="1"/>
  <c r="B1365" i="21" a="1"/>
  <c r="B1365" i="21" s="1"/>
  <c r="A1365" i="21" a="1"/>
  <c r="A1365" i="21" s="1"/>
  <c r="C1364" i="21" a="1"/>
  <c r="C1364" i="21" s="1"/>
  <c r="B1364" i="21" a="1"/>
  <c r="B1364" i="21" s="1"/>
  <c r="A1364" i="21" a="1"/>
  <c r="A1364" i="21" s="1"/>
  <c r="C1363" i="21" a="1"/>
  <c r="C1363" i="21" s="1"/>
  <c r="B1363" i="21" a="1"/>
  <c r="B1363" i="21" s="1"/>
  <c r="A1363" i="21" a="1"/>
  <c r="A1363" i="21" s="1"/>
  <c r="C1362" i="21" a="1"/>
  <c r="C1362" i="21" s="1"/>
  <c r="B1362" i="21" a="1"/>
  <c r="B1362" i="21" s="1"/>
  <c r="A1362" i="21" a="1"/>
  <c r="A1362" i="21" s="1"/>
  <c r="C1361" i="21" a="1"/>
  <c r="C1361" i="21" s="1"/>
  <c r="B1361" i="21" a="1"/>
  <c r="B1361" i="21" s="1"/>
  <c r="A1361" i="21" a="1"/>
  <c r="A1361" i="21" s="1"/>
  <c r="C1360" i="21" a="1"/>
  <c r="C1360" i="21" s="1"/>
  <c r="B1360" i="21" a="1"/>
  <c r="B1360" i="21" s="1"/>
  <c r="A1360" i="21" a="1"/>
  <c r="A1360" i="21" s="1"/>
  <c r="C1359" i="21" a="1"/>
  <c r="C1359" i="21" s="1"/>
  <c r="B1359" i="21" a="1"/>
  <c r="B1359" i="21" s="1"/>
  <c r="A1359" i="21" a="1"/>
  <c r="A1359" i="21" s="1"/>
  <c r="C1358" i="21" a="1"/>
  <c r="C1358" i="21" s="1"/>
  <c r="B1358" i="21" a="1"/>
  <c r="B1358" i="21" s="1"/>
  <c r="A1358" i="21" a="1"/>
  <c r="A1358" i="21" s="1"/>
  <c r="C1357" i="21" a="1"/>
  <c r="C1357" i="21" s="1"/>
  <c r="B1357" i="21" a="1"/>
  <c r="B1357" i="21" s="1"/>
  <c r="A1357" i="21" a="1"/>
  <c r="A1357" i="21" s="1"/>
  <c r="C1356" i="21" a="1"/>
  <c r="C1356" i="21" s="1"/>
  <c r="B1356" i="21" a="1"/>
  <c r="B1356" i="21" s="1"/>
  <c r="A1356" i="21" a="1"/>
  <c r="A1356" i="21" s="1"/>
  <c r="C1355" i="21" a="1"/>
  <c r="C1355" i="21" s="1"/>
  <c r="B1355" i="21" a="1"/>
  <c r="B1355" i="21" s="1"/>
  <c r="A1355" i="21" a="1"/>
  <c r="A1355" i="21" s="1"/>
  <c r="C1354" i="21" a="1"/>
  <c r="C1354" i="21" s="1"/>
  <c r="B1354" i="21" a="1"/>
  <c r="B1354" i="21" s="1"/>
  <c r="A1354" i="21" a="1"/>
  <c r="A1354" i="21" s="1"/>
  <c r="C1353" i="21" a="1"/>
  <c r="C1353" i="21" s="1"/>
  <c r="B1353" i="21" a="1"/>
  <c r="B1353" i="21" s="1"/>
  <c r="A1353" i="21" a="1"/>
  <c r="A1353" i="21" s="1"/>
  <c r="C1352" i="21" a="1"/>
  <c r="C1352" i="21" s="1"/>
  <c r="B1352" i="21" a="1"/>
  <c r="B1352" i="21" s="1"/>
  <c r="A1352" i="21" a="1"/>
  <c r="A1352" i="21" s="1"/>
  <c r="C1351" i="21" a="1"/>
  <c r="C1351" i="21" s="1"/>
  <c r="B1351" i="21" a="1"/>
  <c r="B1351" i="21" s="1"/>
  <c r="A1351" i="21" a="1"/>
  <c r="A1351" i="21" s="1"/>
  <c r="C1350" i="21" a="1"/>
  <c r="C1350" i="21" s="1"/>
  <c r="B1350" i="21" a="1"/>
  <c r="B1350" i="21" s="1"/>
  <c r="A1350" i="21" a="1"/>
  <c r="A1350" i="21" s="1"/>
  <c r="C1349" i="21" a="1"/>
  <c r="C1349" i="21" s="1"/>
  <c r="B1349" i="21" a="1"/>
  <c r="B1349" i="21" s="1"/>
  <c r="A1349" i="21" a="1"/>
  <c r="A1349" i="21" s="1"/>
  <c r="C1345" i="21" a="1"/>
  <c r="C1345" i="21" s="1"/>
  <c r="B1345" i="21" a="1"/>
  <c r="B1345" i="21" s="1"/>
  <c r="A1345" i="21" a="1"/>
  <c r="A1345" i="21" s="1"/>
  <c r="C1344" i="21" a="1"/>
  <c r="C1344" i="21" s="1"/>
  <c r="B1344" i="21" a="1"/>
  <c r="B1344" i="21" s="1"/>
  <c r="A1344" i="21" a="1"/>
  <c r="A1344" i="21" s="1"/>
  <c r="C1343" i="21" a="1"/>
  <c r="C1343" i="21" s="1"/>
  <c r="B1343" i="21" a="1"/>
  <c r="B1343" i="21" s="1"/>
  <c r="A1343" i="21" a="1"/>
  <c r="A1343" i="21" s="1"/>
  <c r="C1342" i="21" a="1"/>
  <c r="C1342" i="21" s="1"/>
  <c r="B1342" i="21" a="1"/>
  <c r="B1342" i="21" s="1"/>
  <c r="A1342" i="21" a="1"/>
  <c r="A1342" i="21" s="1"/>
  <c r="C1341" i="21" a="1"/>
  <c r="C1341" i="21" s="1"/>
  <c r="B1341" i="21" a="1"/>
  <c r="B1341" i="21" s="1"/>
  <c r="A1341" i="21" a="1"/>
  <c r="A1341" i="21" s="1"/>
  <c r="C1340" i="21" a="1"/>
  <c r="C1340" i="21" s="1"/>
  <c r="B1340" i="21" a="1"/>
  <c r="B1340" i="21" s="1"/>
  <c r="A1340" i="21" a="1"/>
  <c r="A1340" i="21" s="1"/>
  <c r="C1339" i="21" a="1"/>
  <c r="C1339" i="21" s="1"/>
  <c r="B1339" i="21" a="1"/>
  <c r="B1339" i="21" s="1"/>
  <c r="A1339" i="21" a="1"/>
  <c r="A1339" i="21" s="1"/>
  <c r="C1338" i="21" a="1"/>
  <c r="C1338" i="21" s="1"/>
  <c r="B1338" i="21" a="1"/>
  <c r="B1338" i="21" s="1"/>
  <c r="A1338" i="21" a="1"/>
  <c r="A1338" i="21" s="1"/>
  <c r="C1337" i="21" a="1"/>
  <c r="C1337" i="21" s="1"/>
  <c r="B1337" i="21" a="1"/>
  <c r="B1337" i="21" s="1"/>
  <c r="A1337" i="21" a="1"/>
  <c r="A1337" i="21" s="1"/>
  <c r="C1336" i="21" a="1"/>
  <c r="C1336" i="21" s="1"/>
  <c r="B1336" i="21" a="1"/>
  <c r="B1336" i="21" s="1"/>
  <c r="A1336" i="21" a="1"/>
  <c r="A1336" i="21" s="1"/>
  <c r="C1335" i="21" a="1"/>
  <c r="C1335" i="21" s="1"/>
  <c r="B1335" i="21" a="1"/>
  <c r="B1335" i="21" s="1"/>
  <c r="A1335" i="21" a="1"/>
  <c r="A1335" i="21" s="1"/>
  <c r="C1334" i="21" a="1"/>
  <c r="C1334" i="21" s="1"/>
  <c r="B1334" i="21" a="1"/>
  <c r="B1334" i="21" s="1"/>
  <c r="A1334" i="21" a="1"/>
  <c r="A1334" i="21" s="1"/>
  <c r="C1333" i="21" a="1"/>
  <c r="C1333" i="21" s="1"/>
  <c r="B1333" i="21" a="1"/>
  <c r="B1333" i="21" s="1"/>
  <c r="A1333" i="21" a="1"/>
  <c r="A1333" i="21" s="1"/>
  <c r="C1332" i="21" a="1"/>
  <c r="C1332" i="21" s="1"/>
  <c r="B1332" i="21" a="1"/>
  <c r="B1332" i="21" s="1"/>
  <c r="A1332" i="21" a="1"/>
  <c r="A1332" i="21" s="1"/>
  <c r="C1331" i="21" a="1"/>
  <c r="C1331" i="21" s="1"/>
  <c r="B1331" i="21" a="1"/>
  <c r="B1331" i="21" s="1"/>
  <c r="A1331" i="21" a="1"/>
  <c r="A1331" i="21" s="1"/>
  <c r="C1330" i="21" a="1"/>
  <c r="C1330" i="21" s="1"/>
  <c r="B1330" i="21" a="1"/>
  <c r="B1330" i="21" s="1"/>
  <c r="A1330" i="21" a="1"/>
  <c r="A1330" i="21" s="1"/>
  <c r="C1329" i="21" a="1"/>
  <c r="C1329" i="21" s="1"/>
  <c r="B1329" i="21" a="1"/>
  <c r="B1329" i="21" s="1"/>
  <c r="A1329" i="21" a="1"/>
  <c r="A1329" i="21" s="1"/>
  <c r="C1328" i="21" a="1"/>
  <c r="C1328" i="21" s="1"/>
  <c r="B1328" i="21" a="1"/>
  <c r="B1328" i="21" s="1"/>
  <c r="A1328" i="21" a="1"/>
  <c r="A1328" i="21" s="1"/>
  <c r="C1327" i="21" a="1"/>
  <c r="C1327" i="21" s="1"/>
  <c r="B1327" i="21" a="1"/>
  <c r="B1327" i="21" s="1"/>
  <c r="A1327" i="21" a="1"/>
  <c r="A1327" i="21" s="1"/>
  <c r="C1326" i="21" a="1"/>
  <c r="C1326" i="21" s="1"/>
  <c r="B1326" i="21" a="1"/>
  <c r="B1326" i="21" s="1"/>
  <c r="A1326" i="21" a="1"/>
  <c r="A1326" i="21" s="1"/>
  <c r="C1325" i="21" a="1"/>
  <c r="C1325" i="21" s="1"/>
  <c r="B1325" i="21" a="1"/>
  <c r="B1325" i="21" s="1"/>
  <c r="A1325" i="21" a="1"/>
  <c r="A1325" i="21" s="1"/>
  <c r="C1324" i="21" a="1"/>
  <c r="C1324" i="21" s="1"/>
  <c r="B1324" i="21" a="1"/>
  <c r="B1324" i="21" s="1"/>
  <c r="A1324" i="21" a="1"/>
  <c r="A1324" i="21" s="1"/>
  <c r="C1323" i="21" a="1"/>
  <c r="C1323" i="21" s="1"/>
  <c r="B1323" i="21" a="1"/>
  <c r="B1323" i="21" s="1"/>
  <c r="A1323" i="21" a="1"/>
  <c r="A1323" i="21" s="1"/>
  <c r="C1322" i="21" a="1"/>
  <c r="C1322" i="21" s="1"/>
  <c r="B1322" i="21" a="1"/>
  <c r="B1322" i="21" s="1"/>
  <c r="A1322" i="21" a="1"/>
  <c r="A1322" i="21" s="1"/>
  <c r="C1321" i="21" a="1"/>
  <c r="C1321" i="21" s="1"/>
  <c r="B1321" i="21" a="1"/>
  <c r="B1321" i="21" s="1"/>
  <c r="A1321" i="21" a="1"/>
  <c r="A1321" i="21" s="1"/>
  <c r="C1320" i="21" a="1"/>
  <c r="C1320" i="21" s="1"/>
  <c r="B1320" i="21" a="1"/>
  <c r="B1320" i="21" s="1"/>
  <c r="A1320" i="21" a="1"/>
  <c r="A1320" i="21" s="1"/>
  <c r="C1319" i="21" a="1"/>
  <c r="C1319" i="21" s="1"/>
  <c r="B1319" i="21" a="1"/>
  <c r="B1319" i="21" s="1"/>
  <c r="A1319" i="21" a="1"/>
  <c r="A1319" i="21" s="1"/>
  <c r="C1318" i="21" a="1"/>
  <c r="C1318" i="21" s="1"/>
  <c r="B1318" i="21" a="1"/>
  <c r="B1318" i="21" s="1"/>
  <c r="A1318" i="21" a="1"/>
  <c r="A1318" i="21" s="1"/>
  <c r="C1317" i="21" a="1"/>
  <c r="C1317" i="21" s="1"/>
  <c r="B1317" i="21" a="1"/>
  <c r="B1317" i="21" s="1"/>
  <c r="A1317" i="21" a="1"/>
  <c r="A1317" i="21" s="1"/>
  <c r="C1316" i="21" a="1"/>
  <c r="C1316" i="21" s="1"/>
  <c r="B1316" i="21" a="1"/>
  <c r="B1316" i="21" s="1"/>
  <c r="A1316" i="21" a="1"/>
  <c r="A1316" i="21" s="1"/>
  <c r="C1315" i="21" a="1"/>
  <c r="C1315" i="21" s="1"/>
  <c r="B1315" i="21" a="1"/>
  <c r="B1315" i="21" s="1"/>
  <c r="A1315" i="21" a="1"/>
  <c r="A1315" i="21" s="1"/>
  <c r="C1314" i="21" a="1"/>
  <c r="C1314" i="21" s="1"/>
  <c r="B1314" i="21" a="1"/>
  <c r="B1314" i="21" s="1"/>
  <c r="A1314" i="21" a="1"/>
  <c r="A1314" i="21" s="1"/>
  <c r="C1313" i="21" a="1"/>
  <c r="C1313" i="21" s="1"/>
  <c r="B1313" i="21" a="1"/>
  <c r="B1313" i="21" s="1"/>
  <c r="A1313" i="21" a="1"/>
  <c r="A1313" i="21" s="1"/>
  <c r="C1312" i="21" a="1"/>
  <c r="C1312" i="21" s="1"/>
  <c r="B1312" i="21" a="1"/>
  <c r="B1312" i="21" s="1"/>
  <c r="A1312" i="21" a="1"/>
  <c r="A1312" i="21" s="1"/>
  <c r="C1311" i="21" a="1"/>
  <c r="C1311" i="21" s="1"/>
  <c r="B1311" i="21" a="1"/>
  <c r="B1311" i="21" s="1"/>
  <c r="A1311" i="21" a="1"/>
  <c r="A1311" i="21" s="1"/>
  <c r="C1307" i="21" a="1"/>
  <c r="C1307" i="21" s="1"/>
  <c r="B1307" i="21" a="1"/>
  <c r="B1307" i="21" s="1"/>
  <c r="A1307" i="21" a="1"/>
  <c r="A1307" i="21" s="1"/>
  <c r="C1306" i="21" a="1"/>
  <c r="C1306" i="21" s="1"/>
  <c r="B1306" i="21" a="1"/>
  <c r="B1306" i="21" s="1"/>
  <c r="A1306" i="21" a="1"/>
  <c r="A1306" i="21" s="1"/>
  <c r="C1305" i="21" a="1"/>
  <c r="C1305" i="21" s="1"/>
  <c r="B1305" i="21" a="1"/>
  <c r="B1305" i="21" s="1"/>
  <c r="A1305" i="21" a="1"/>
  <c r="A1305" i="21" s="1"/>
  <c r="C1304" i="21" a="1"/>
  <c r="C1304" i="21" s="1"/>
  <c r="B1304" i="21" a="1"/>
  <c r="B1304" i="21" s="1"/>
  <c r="A1304" i="21" a="1"/>
  <c r="A1304" i="21" s="1"/>
  <c r="C1303" i="21" a="1"/>
  <c r="C1303" i="21" s="1"/>
  <c r="B1303" i="21" a="1"/>
  <c r="B1303" i="21" s="1"/>
  <c r="A1303" i="21" a="1"/>
  <c r="A1303" i="21" s="1"/>
  <c r="C1302" i="21" a="1"/>
  <c r="C1302" i="21" s="1"/>
  <c r="B1302" i="21" a="1"/>
  <c r="B1302" i="21" s="1"/>
  <c r="A1302" i="21" a="1"/>
  <c r="A1302" i="21" s="1"/>
  <c r="C1301" i="21" a="1"/>
  <c r="C1301" i="21" s="1"/>
  <c r="B1301" i="21" a="1"/>
  <c r="B1301" i="21" s="1"/>
  <c r="A1301" i="21" a="1"/>
  <c r="A1301" i="21" s="1"/>
  <c r="C1300" i="21" a="1"/>
  <c r="C1300" i="21" s="1"/>
  <c r="B1300" i="21" a="1"/>
  <c r="B1300" i="21" s="1"/>
  <c r="A1300" i="21" a="1"/>
  <c r="A1300" i="21" s="1"/>
  <c r="C1299" i="21" a="1"/>
  <c r="C1299" i="21" s="1"/>
  <c r="B1299" i="21" a="1"/>
  <c r="B1299" i="21" s="1"/>
  <c r="A1299" i="21" a="1"/>
  <c r="A1299" i="21" s="1"/>
  <c r="C1298" i="21" a="1"/>
  <c r="C1298" i="21" s="1"/>
  <c r="B1298" i="21" a="1"/>
  <c r="B1298" i="21" s="1"/>
  <c r="A1298" i="21" a="1"/>
  <c r="A1298" i="21" s="1"/>
  <c r="C1297" i="21" a="1"/>
  <c r="C1297" i="21" s="1"/>
  <c r="B1297" i="21" a="1"/>
  <c r="B1297" i="21" s="1"/>
  <c r="A1297" i="21" a="1"/>
  <c r="A1297" i="21" s="1"/>
  <c r="C1296" i="21" a="1"/>
  <c r="C1296" i="21" s="1"/>
  <c r="B1296" i="21" a="1"/>
  <c r="B1296" i="21" s="1"/>
  <c r="A1296" i="21" a="1"/>
  <c r="A1296" i="21" s="1"/>
  <c r="C1295" i="21" a="1"/>
  <c r="C1295" i="21" s="1"/>
  <c r="B1295" i="21" a="1"/>
  <c r="B1295" i="21" s="1"/>
  <c r="A1295" i="21" a="1"/>
  <c r="A1295" i="21" s="1"/>
  <c r="C1294" i="21" a="1"/>
  <c r="C1294" i="21" s="1"/>
  <c r="B1294" i="21" a="1"/>
  <c r="B1294" i="21" s="1"/>
  <c r="A1294" i="21" a="1"/>
  <c r="A1294" i="21" s="1"/>
  <c r="C1293" i="21" a="1"/>
  <c r="C1293" i="21" s="1"/>
  <c r="B1293" i="21" a="1"/>
  <c r="B1293" i="21" s="1"/>
  <c r="A1293" i="21" a="1"/>
  <c r="A1293" i="21" s="1"/>
  <c r="C1292" i="21" a="1"/>
  <c r="C1292" i="21" s="1"/>
  <c r="B1292" i="21" a="1"/>
  <c r="B1292" i="21" s="1"/>
  <c r="A1292" i="21" a="1"/>
  <c r="A1292" i="21" s="1"/>
  <c r="C1291" i="21" a="1"/>
  <c r="C1291" i="21" s="1"/>
  <c r="B1291" i="21" a="1"/>
  <c r="B1291" i="21" s="1"/>
  <c r="A1291" i="21" a="1"/>
  <c r="A1291" i="21" s="1"/>
  <c r="C1290" i="21" a="1"/>
  <c r="C1290" i="21" s="1"/>
  <c r="B1290" i="21" a="1"/>
  <c r="B1290" i="21" s="1"/>
  <c r="A1290" i="21" a="1"/>
  <c r="A1290" i="21" s="1"/>
  <c r="C1289" i="21" a="1"/>
  <c r="C1289" i="21" s="1"/>
  <c r="B1289" i="21" a="1"/>
  <c r="B1289" i="21" s="1"/>
  <c r="A1289" i="21" a="1"/>
  <c r="A1289" i="21" s="1"/>
  <c r="C1288" i="21" a="1"/>
  <c r="C1288" i="21" s="1"/>
  <c r="B1288" i="21" a="1"/>
  <c r="B1288" i="21" s="1"/>
  <c r="A1288" i="21" a="1"/>
  <c r="A1288" i="21" s="1"/>
  <c r="C1287" i="21" a="1"/>
  <c r="C1287" i="21" s="1"/>
  <c r="B1287" i="21" a="1"/>
  <c r="B1287" i="21" s="1"/>
  <c r="A1287" i="21" a="1"/>
  <c r="A1287" i="21" s="1"/>
  <c r="C1286" i="21" a="1"/>
  <c r="C1286" i="21" s="1"/>
  <c r="B1286" i="21" a="1"/>
  <c r="B1286" i="21" s="1"/>
  <c r="A1286" i="21" a="1"/>
  <c r="A1286" i="21" s="1"/>
  <c r="C1285" i="21" a="1"/>
  <c r="C1285" i="21" s="1"/>
  <c r="B1285" i="21" a="1"/>
  <c r="B1285" i="21" s="1"/>
  <c r="A1285" i="21" a="1"/>
  <c r="A1285" i="21" s="1"/>
  <c r="C1284" i="21" a="1"/>
  <c r="C1284" i="21" s="1"/>
  <c r="B1284" i="21" a="1"/>
  <c r="B1284" i="21" s="1"/>
  <c r="A1284" i="21" a="1"/>
  <c r="A1284" i="21" s="1"/>
  <c r="C1283" i="21" a="1"/>
  <c r="C1283" i="21" s="1"/>
  <c r="B1283" i="21" a="1"/>
  <c r="B1283" i="21" s="1"/>
  <c r="A1283" i="21" a="1"/>
  <c r="A1283" i="21" s="1"/>
  <c r="C1282" i="21" a="1"/>
  <c r="C1282" i="21" s="1"/>
  <c r="B1282" i="21" a="1"/>
  <c r="B1282" i="21" s="1"/>
  <c r="A1282" i="21" a="1"/>
  <c r="A1282" i="21" s="1"/>
  <c r="C1281" i="21" a="1"/>
  <c r="C1281" i="21" s="1"/>
  <c r="B1281" i="21" a="1"/>
  <c r="B1281" i="21" s="1"/>
  <c r="A1281" i="21" a="1"/>
  <c r="A1281" i="21" s="1"/>
  <c r="C1280" i="21" a="1"/>
  <c r="C1280" i="21" s="1"/>
  <c r="B1280" i="21" a="1"/>
  <c r="B1280" i="21" s="1"/>
  <c r="A1280" i="21" a="1"/>
  <c r="A1280" i="21" s="1"/>
  <c r="C1279" i="21" a="1"/>
  <c r="C1279" i="21" s="1"/>
  <c r="B1279" i="21" a="1"/>
  <c r="B1279" i="21" s="1"/>
  <c r="A1279" i="21" a="1"/>
  <c r="A1279" i="21" s="1"/>
  <c r="C1278" i="21" a="1"/>
  <c r="C1278" i="21" s="1"/>
  <c r="B1278" i="21" a="1"/>
  <c r="B1278" i="21" s="1"/>
  <c r="A1278" i="21" a="1"/>
  <c r="A1278" i="21" s="1"/>
  <c r="C1277" i="21" a="1"/>
  <c r="C1277" i="21" s="1"/>
  <c r="B1277" i="21" a="1"/>
  <c r="B1277" i="21" s="1"/>
  <c r="A1277" i="21" a="1"/>
  <c r="A1277" i="21" s="1"/>
  <c r="C1276" i="21" a="1"/>
  <c r="C1276" i="21" s="1"/>
  <c r="B1276" i="21" a="1"/>
  <c r="B1276" i="21" s="1"/>
  <c r="A1276" i="21" a="1"/>
  <c r="A1276" i="21" s="1"/>
  <c r="C1275" i="21" a="1"/>
  <c r="C1275" i="21" s="1"/>
  <c r="B1275" i="21" a="1"/>
  <c r="B1275" i="21" s="1"/>
  <c r="A1275" i="21" a="1"/>
  <c r="A1275" i="21" s="1"/>
  <c r="C1274" i="21" a="1"/>
  <c r="C1274" i="21" s="1"/>
  <c r="B1274" i="21" a="1"/>
  <c r="B1274" i="21" s="1"/>
  <c r="A1274" i="21" a="1"/>
  <c r="A1274" i="21" s="1"/>
  <c r="C1273" i="21" a="1"/>
  <c r="C1273" i="21" s="1"/>
  <c r="B1273" i="21" a="1"/>
  <c r="B1273" i="21" s="1"/>
  <c r="A1273" i="21" a="1"/>
  <c r="A1273" i="21" s="1"/>
  <c r="C1269" i="21" a="1"/>
  <c r="C1269" i="21" s="1"/>
  <c r="B1269" i="21" a="1"/>
  <c r="B1269" i="21" s="1"/>
  <c r="A1269" i="21" a="1"/>
  <c r="A1269" i="21" s="1"/>
  <c r="C1268" i="21" a="1"/>
  <c r="C1268" i="21" s="1"/>
  <c r="B1268" i="21" a="1"/>
  <c r="B1268" i="21" s="1"/>
  <c r="A1268" i="21" a="1"/>
  <c r="A1268" i="21" s="1"/>
  <c r="C1267" i="21" a="1"/>
  <c r="C1267" i="21" s="1"/>
  <c r="B1267" i="21" a="1"/>
  <c r="B1267" i="21" s="1"/>
  <c r="A1267" i="21" a="1"/>
  <c r="A1267" i="21" s="1"/>
  <c r="C1266" i="21" a="1"/>
  <c r="C1266" i="21" s="1"/>
  <c r="B1266" i="21" a="1"/>
  <c r="B1266" i="21" s="1"/>
  <c r="A1266" i="21" a="1"/>
  <c r="A1266" i="21" s="1"/>
  <c r="C1265" i="21" a="1"/>
  <c r="C1265" i="21" s="1"/>
  <c r="B1265" i="21" a="1"/>
  <c r="B1265" i="21" s="1"/>
  <c r="A1265" i="21" a="1"/>
  <c r="A1265" i="21" s="1"/>
  <c r="C1264" i="21" a="1"/>
  <c r="C1264" i="21" s="1"/>
  <c r="B1264" i="21" a="1"/>
  <c r="B1264" i="21" s="1"/>
  <c r="A1264" i="21" a="1"/>
  <c r="A1264" i="21" s="1"/>
  <c r="C1263" i="21" a="1"/>
  <c r="C1263" i="21" s="1"/>
  <c r="B1263" i="21" a="1"/>
  <c r="B1263" i="21" s="1"/>
  <c r="A1263" i="21" a="1"/>
  <c r="A1263" i="21" s="1"/>
  <c r="C1262" i="21" a="1"/>
  <c r="C1262" i="21" s="1"/>
  <c r="B1262" i="21" a="1"/>
  <c r="B1262" i="21" s="1"/>
  <c r="A1262" i="21" a="1"/>
  <c r="A1262" i="21" s="1"/>
  <c r="C1261" i="21" a="1"/>
  <c r="C1261" i="21" s="1"/>
  <c r="B1261" i="21" a="1"/>
  <c r="B1261" i="21" s="1"/>
  <c r="A1261" i="21" a="1"/>
  <c r="A1261" i="21" s="1"/>
  <c r="C1260" i="21" a="1"/>
  <c r="C1260" i="21" s="1"/>
  <c r="B1260" i="21" a="1"/>
  <c r="B1260" i="21" s="1"/>
  <c r="A1260" i="21" a="1"/>
  <c r="A1260" i="21" s="1"/>
  <c r="C1259" i="21" a="1"/>
  <c r="C1259" i="21" s="1"/>
  <c r="B1259" i="21" a="1"/>
  <c r="B1259" i="21" s="1"/>
  <c r="A1259" i="21" a="1"/>
  <c r="A1259" i="21" s="1"/>
  <c r="C1258" i="21" a="1"/>
  <c r="C1258" i="21" s="1"/>
  <c r="B1258" i="21" a="1"/>
  <c r="B1258" i="21" s="1"/>
  <c r="A1258" i="21" a="1"/>
  <c r="A1258" i="21" s="1"/>
  <c r="C1257" i="21" a="1"/>
  <c r="C1257" i="21" s="1"/>
  <c r="B1257" i="21" a="1"/>
  <c r="B1257" i="21" s="1"/>
  <c r="A1257" i="21" a="1"/>
  <c r="A1257" i="21" s="1"/>
  <c r="C1256" i="21" a="1"/>
  <c r="C1256" i="21" s="1"/>
  <c r="B1256" i="21" a="1"/>
  <c r="B1256" i="21" s="1"/>
  <c r="A1256" i="21" a="1"/>
  <c r="A1256" i="21" s="1"/>
  <c r="C1255" i="21" a="1"/>
  <c r="C1255" i="21" s="1"/>
  <c r="B1255" i="21" a="1"/>
  <c r="B1255" i="21" s="1"/>
  <c r="A1255" i="21" a="1"/>
  <c r="A1255" i="21" s="1"/>
  <c r="C1254" i="21" a="1"/>
  <c r="C1254" i="21" s="1"/>
  <c r="B1254" i="21" a="1"/>
  <c r="B1254" i="21" s="1"/>
  <c r="A1254" i="21" a="1"/>
  <c r="A1254" i="21" s="1"/>
  <c r="C1253" i="21" a="1"/>
  <c r="C1253" i="21" s="1"/>
  <c r="B1253" i="21" a="1"/>
  <c r="B1253" i="21" s="1"/>
  <c r="A1253" i="21" a="1"/>
  <c r="A1253" i="21" s="1"/>
  <c r="C1252" i="21" a="1"/>
  <c r="C1252" i="21" s="1"/>
  <c r="B1252" i="21" a="1"/>
  <c r="B1252" i="21" s="1"/>
  <c r="A1252" i="21" a="1"/>
  <c r="A1252" i="21" s="1"/>
  <c r="C1251" i="21" a="1"/>
  <c r="C1251" i="21" s="1"/>
  <c r="B1251" i="21" a="1"/>
  <c r="B1251" i="21" s="1"/>
  <c r="A1251" i="21" a="1"/>
  <c r="A1251" i="21" s="1"/>
  <c r="C1250" i="21" a="1"/>
  <c r="C1250" i="21" s="1"/>
  <c r="B1250" i="21" a="1"/>
  <c r="B1250" i="21" s="1"/>
  <c r="A1250" i="21" a="1"/>
  <c r="A1250" i="21" s="1"/>
  <c r="C1249" i="21" a="1"/>
  <c r="C1249" i="21" s="1"/>
  <c r="B1249" i="21" a="1"/>
  <c r="B1249" i="21" s="1"/>
  <c r="A1249" i="21" a="1"/>
  <c r="A1249" i="21" s="1"/>
  <c r="C1248" i="21" a="1"/>
  <c r="C1248" i="21" s="1"/>
  <c r="B1248" i="21" a="1"/>
  <c r="B1248" i="21" s="1"/>
  <c r="A1248" i="21" a="1"/>
  <c r="A1248" i="21" s="1"/>
  <c r="C1247" i="21" a="1"/>
  <c r="C1247" i="21" s="1"/>
  <c r="B1247" i="21" a="1"/>
  <c r="B1247" i="21" s="1"/>
  <c r="A1247" i="21" a="1"/>
  <c r="A1247" i="21" s="1"/>
  <c r="C1246" i="21" a="1"/>
  <c r="C1246" i="21" s="1"/>
  <c r="B1246" i="21" a="1"/>
  <c r="B1246" i="21" s="1"/>
  <c r="A1246" i="21" a="1"/>
  <c r="A1246" i="21" s="1"/>
  <c r="C1245" i="21" a="1"/>
  <c r="C1245" i="21" s="1"/>
  <c r="B1245" i="21" a="1"/>
  <c r="B1245" i="21" s="1"/>
  <c r="A1245" i="21" a="1"/>
  <c r="A1245" i="21" s="1"/>
  <c r="C1244" i="21" a="1"/>
  <c r="C1244" i="21" s="1"/>
  <c r="B1244" i="21" a="1"/>
  <c r="B1244" i="21" s="1"/>
  <c r="A1244" i="21" a="1"/>
  <c r="A1244" i="21" s="1"/>
  <c r="C1243" i="21" a="1"/>
  <c r="C1243" i="21" s="1"/>
  <c r="B1243" i="21" a="1"/>
  <c r="B1243" i="21" s="1"/>
  <c r="A1243" i="21" a="1"/>
  <c r="A1243" i="21" s="1"/>
  <c r="C1242" i="21" a="1"/>
  <c r="C1242" i="21" s="1"/>
  <c r="B1242" i="21" a="1"/>
  <c r="B1242" i="21" s="1"/>
  <c r="A1242" i="21" a="1"/>
  <c r="A1242" i="21" s="1"/>
  <c r="C1241" i="21" a="1"/>
  <c r="C1241" i="21" s="1"/>
  <c r="B1241" i="21" a="1"/>
  <c r="B1241" i="21" s="1"/>
  <c r="A1241" i="21" a="1"/>
  <c r="A1241" i="21" s="1"/>
  <c r="C1240" i="21" a="1"/>
  <c r="C1240" i="21" s="1"/>
  <c r="B1240" i="21" a="1"/>
  <c r="B1240" i="21" s="1"/>
  <c r="A1240" i="21" a="1"/>
  <c r="A1240" i="21" s="1"/>
  <c r="C1239" i="21" a="1"/>
  <c r="C1239" i="21" s="1"/>
  <c r="B1239" i="21" a="1"/>
  <c r="B1239" i="21" s="1"/>
  <c r="A1239" i="21" a="1"/>
  <c r="A1239" i="21" s="1"/>
  <c r="C1238" i="21" a="1"/>
  <c r="C1238" i="21" s="1"/>
  <c r="B1238" i="21" a="1"/>
  <c r="B1238" i="21" s="1"/>
  <c r="A1238" i="21" a="1"/>
  <c r="A1238" i="21" s="1"/>
  <c r="C1237" i="21" a="1"/>
  <c r="C1237" i="21" s="1"/>
  <c r="B1237" i="21" a="1"/>
  <c r="B1237" i="21" s="1"/>
  <c r="A1237" i="21" a="1"/>
  <c r="A1237" i="21" s="1"/>
  <c r="C1236" i="21" a="1"/>
  <c r="C1236" i="21" s="1"/>
  <c r="B1236" i="21" a="1"/>
  <c r="B1236" i="21" s="1"/>
  <c r="A1236" i="21" a="1"/>
  <c r="A1236" i="21" s="1"/>
  <c r="C1235" i="21" a="1"/>
  <c r="C1235" i="21" s="1"/>
  <c r="B1235" i="21" a="1"/>
  <c r="B1235" i="21" s="1"/>
  <c r="A1235" i="21" a="1"/>
  <c r="A1235" i="21" s="1"/>
  <c r="C1231" i="21" a="1"/>
  <c r="C1231" i="21" s="1"/>
  <c r="B1231" i="21" a="1"/>
  <c r="B1231" i="21" s="1"/>
  <c r="A1231" i="21" a="1"/>
  <c r="A1231" i="21" s="1"/>
  <c r="C1230" i="21" a="1"/>
  <c r="C1230" i="21" s="1"/>
  <c r="B1230" i="21" a="1"/>
  <c r="B1230" i="21" s="1"/>
  <c r="A1230" i="21" a="1"/>
  <c r="A1230" i="21" s="1"/>
  <c r="C1229" i="21" a="1"/>
  <c r="C1229" i="21" s="1"/>
  <c r="B1229" i="21" a="1"/>
  <c r="B1229" i="21" s="1"/>
  <c r="A1229" i="21" a="1"/>
  <c r="A1229" i="21" s="1"/>
  <c r="C1228" i="21" a="1"/>
  <c r="C1228" i="21" s="1"/>
  <c r="B1228" i="21" a="1"/>
  <c r="B1228" i="21" s="1"/>
  <c r="A1228" i="21" a="1"/>
  <c r="A1228" i="21" s="1"/>
  <c r="C1227" i="21" a="1"/>
  <c r="C1227" i="21" s="1"/>
  <c r="B1227" i="21" a="1"/>
  <c r="B1227" i="21" s="1"/>
  <c r="A1227" i="21" a="1"/>
  <c r="A1227" i="21" s="1"/>
  <c r="C1226" i="21" a="1"/>
  <c r="C1226" i="21" s="1"/>
  <c r="B1226" i="21" a="1"/>
  <c r="B1226" i="21" s="1"/>
  <c r="A1226" i="21" a="1"/>
  <c r="A1226" i="21" s="1"/>
  <c r="C1225" i="21" a="1"/>
  <c r="C1225" i="21" s="1"/>
  <c r="B1225" i="21" a="1"/>
  <c r="B1225" i="21" s="1"/>
  <c r="A1225" i="21" a="1"/>
  <c r="A1225" i="21" s="1"/>
  <c r="C1224" i="21" a="1"/>
  <c r="C1224" i="21" s="1"/>
  <c r="B1224" i="21" a="1"/>
  <c r="B1224" i="21" s="1"/>
  <c r="A1224" i="21" a="1"/>
  <c r="A1224" i="21" s="1"/>
  <c r="C1223" i="21" a="1"/>
  <c r="C1223" i="21" s="1"/>
  <c r="B1223" i="21" a="1"/>
  <c r="B1223" i="21" s="1"/>
  <c r="A1223" i="21" a="1"/>
  <c r="A1223" i="21" s="1"/>
  <c r="C1222" i="21" a="1"/>
  <c r="C1222" i="21" s="1"/>
  <c r="B1222" i="21" a="1"/>
  <c r="B1222" i="21" s="1"/>
  <c r="A1222" i="21" a="1"/>
  <c r="A1222" i="21" s="1"/>
  <c r="C1221" i="21" a="1"/>
  <c r="C1221" i="21" s="1"/>
  <c r="B1221" i="21" a="1"/>
  <c r="B1221" i="21" s="1"/>
  <c r="A1221" i="21" a="1"/>
  <c r="A1221" i="21" s="1"/>
  <c r="C1220" i="21" a="1"/>
  <c r="C1220" i="21" s="1"/>
  <c r="B1220" i="21" a="1"/>
  <c r="B1220" i="21" s="1"/>
  <c r="A1220" i="21" a="1"/>
  <c r="A1220" i="21" s="1"/>
  <c r="C1219" i="21" a="1"/>
  <c r="C1219" i="21" s="1"/>
  <c r="B1219" i="21" a="1"/>
  <c r="B1219" i="21" s="1"/>
  <c r="A1219" i="21" a="1"/>
  <c r="A1219" i="21" s="1"/>
  <c r="C1218" i="21" a="1"/>
  <c r="C1218" i="21" s="1"/>
  <c r="B1218" i="21" a="1"/>
  <c r="B1218" i="21" s="1"/>
  <c r="A1218" i="21" a="1"/>
  <c r="A1218" i="21" s="1"/>
  <c r="C1217" i="21" a="1"/>
  <c r="C1217" i="21" s="1"/>
  <c r="B1217" i="21" a="1"/>
  <c r="B1217" i="21" s="1"/>
  <c r="A1217" i="21" a="1"/>
  <c r="A1217" i="21" s="1"/>
  <c r="C1216" i="21" a="1"/>
  <c r="C1216" i="21" s="1"/>
  <c r="B1216" i="21" a="1"/>
  <c r="B1216" i="21" s="1"/>
  <c r="A1216" i="21" a="1"/>
  <c r="A1216" i="21" s="1"/>
  <c r="C1215" i="21" a="1"/>
  <c r="C1215" i="21" s="1"/>
  <c r="B1215" i="21" a="1"/>
  <c r="B1215" i="21" s="1"/>
  <c r="A1215" i="21" a="1"/>
  <c r="A1215" i="21" s="1"/>
  <c r="C1214" i="21" a="1"/>
  <c r="C1214" i="21" s="1"/>
  <c r="B1214" i="21" a="1"/>
  <c r="B1214" i="21" s="1"/>
  <c r="A1214" i="21" a="1"/>
  <c r="A1214" i="21" s="1"/>
  <c r="C1213" i="21" a="1"/>
  <c r="C1213" i="21" s="1"/>
  <c r="B1213" i="21" a="1"/>
  <c r="B1213" i="21" s="1"/>
  <c r="A1213" i="21" a="1"/>
  <c r="A1213" i="21" s="1"/>
  <c r="C1212" i="21" a="1"/>
  <c r="C1212" i="21" s="1"/>
  <c r="B1212" i="21" a="1"/>
  <c r="B1212" i="21" s="1"/>
  <c r="A1212" i="21" a="1"/>
  <c r="A1212" i="21" s="1"/>
  <c r="C1211" i="21" a="1"/>
  <c r="C1211" i="21" s="1"/>
  <c r="B1211" i="21" a="1"/>
  <c r="B1211" i="21" s="1"/>
  <c r="A1211" i="21" a="1"/>
  <c r="A1211" i="21" s="1"/>
  <c r="C1210" i="21" a="1"/>
  <c r="C1210" i="21" s="1"/>
  <c r="B1210" i="21" a="1"/>
  <c r="B1210" i="21" s="1"/>
  <c r="A1210" i="21" a="1"/>
  <c r="A1210" i="21" s="1"/>
  <c r="C1209" i="21" a="1"/>
  <c r="C1209" i="21" s="1"/>
  <c r="B1209" i="21" a="1"/>
  <c r="B1209" i="21" s="1"/>
  <c r="A1209" i="21" a="1"/>
  <c r="A1209" i="21" s="1"/>
  <c r="C1208" i="21" a="1"/>
  <c r="C1208" i="21" s="1"/>
  <c r="B1208" i="21" a="1"/>
  <c r="B1208" i="21" s="1"/>
  <c r="A1208" i="21" a="1"/>
  <c r="A1208" i="21" s="1"/>
  <c r="C1207" i="21" a="1"/>
  <c r="C1207" i="21" s="1"/>
  <c r="B1207" i="21" a="1"/>
  <c r="B1207" i="21" s="1"/>
  <c r="A1207" i="21" a="1"/>
  <c r="A1207" i="21" s="1"/>
  <c r="C1206" i="21" a="1"/>
  <c r="C1206" i="21" s="1"/>
  <c r="B1206" i="21" a="1"/>
  <c r="B1206" i="21" s="1"/>
  <c r="A1206" i="21" a="1"/>
  <c r="A1206" i="21" s="1"/>
  <c r="C1205" i="21" a="1"/>
  <c r="C1205" i="21" s="1"/>
  <c r="B1205" i="21" a="1"/>
  <c r="B1205" i="21" s="1"/>
  <c r="A1205" i="21" a="1"/>
  <c r="A1205" i="21" s="1"/>
  <c r="C1204" i="21" a="1"/>
  <c r="C1204" i="21" s="1"/>
  <c r="B1204" i="21" a="1"/>
  <c r="B1204" i="21" s="1"/>
  <c r="A1204" i="21" a="1"/>
  <c r="A1204" i="21" s="1"/>
  <c r="C1203" i="21" a="1"/>
  <c r="C1203" i="21" s="1"/>
  <c r="B1203" i="21" a="1"/>
  <c r="B1203" i="21" s="1"/>
  <c r="A1203" i="21" a="1"/>
  <c r="A1203" i="21" s="1"/>
  <c r="C1202" i="21" a="1"/>
  <c r="C1202" i="21" s="1"/>
  <c r="B1202" i="21" a="1"/>
  <c r="B1202" i="21" s="1"/>
  <c r="A1202" i="21" a="1"/>
  <c r="A1202" i="21" s="1"/>
  <c r="C1201" i="21" a="1"/>
  <c r="C1201" i="21" s="1"/>
  <c r="B1201" i="21" a="1"/>
  <c r="B1201" i="21" s="1"/>
  <c r="A1201" i="21" a="1"/>
  <c r="A1201" i="21" s="1"/>
  <c r="C1200" i="21" a="1"/>
  <c r="C1200" i="21" s="1"/>
  <c r="B1200" i="21" a="1"/>
  <c r="B1200" i="21" s="1"/>
  <c r="A1200" i="21" a="1"/>
  <c r="A1200" i="21" s="1"/>
  <c r="C1199" i="21" a="1"/>
  <c r="C1199" i="21" s="1"/>
  <c r="B1199" i="21" a="1"/>
  <c r="B1199" i="21" s="1"/>
  <c r="A1199" i="21" a="1"/>
  <c r="A1199" i="21" s="1"/>
  <c r="C1198" i="21" a="1"/>
  <c r="C1198" i="21" s="1"/>
  <c r="B1198" i="21" a="1"/>
  <c r="B1198" i="21" s="1"/>
  <c r="A1198" i="21" a="1"/>
  <c r="A1198" i="21" s="1"/>
  <c r="C1197" i="21" a="1"/>
  <c r="C1197" i="21" s="1"/>
  <c r="B1197" i="21" a="1"/>
  <c r="B1197" i="21" s="1"/>
  <c r="A1197" i="21" a="1"/>
  <c r="A1197" i="21" s="1"/>
  <c r="C1193" i="21" a="1"/>
  <c r="C1193" i="21" s="1"/>
  <c r="B1193" i="21" a="1"/>
  <c r="B1193" i="21" s="1"/>
  <c r="A1193" i="21" a="1"/>
  <c r="A1193" i="21" s="1"/>
  <c r="C1192" i="21" a="1"/>
  <c r="C1192" i="21" s="1"/>
  <c r="B1192" i="21" a="1"/>
  <c r="B1192" i="21" s="1"/>
  <c r="A1192" i="21" a="1"/>
  <c r="A1192" i="21" s="1"/>
  <c r="C1191" i="21" a="1"/>
  <c r="C1191" i="21" s="1"/>
  <c r="B1191" i="21" a="1"/>
  <c r="B1191" i="21" s="1"/>
  <c r="A1191" i="21" a="1"/>
  <c r="A1191" i="21" s="1"/>
  <c r="C1190" i="21" a="1"/>
  <c r="C1190" i="21" s="1"/>
  <c r="B1190" i="21" a="1"/>
  <c r="B1190" i="21" s="1"/>
  <c r="A1190" i="21" a="1"/>
  <c r="A1190" i="21" s="1"/>
  <c r="C1189" i="21" a="1"/>
  <c r="C1189" i="21" s="1"/>
  <c r="B1189" i="21" a="1"/>
  <c r="B1189" i="21" s="1"/>
  <c r="A1189" i="21" a="1"/>
  <c r="A1189" i="21" s="1"/>
  <c r="C1188" i="21" a="1"/>
  <c r="C1188" i="21" s="1"/>
  <c r="B1188" i="21" a="1"/>
  <c r="B1188" i="21" s="1"/>
  <c r="A1188" i="21" a="1"/>
  <c r="A1188" i="21" s="1"/>
  <c r="C1187" i="21" a="1"/>
  <c r="C1187" i="21" s="1"/>
  <c r="B1187" i="21" a="1"/>
  <c r="B1187" i="21" s="1"/>
  <c r="A1187" i="21" a="1"/>
  <c r="A1187" i="21" s="1"/>
  <c r="C1186" i="21" a="1"/>
  <c r="C1186" i="21" s="1"/>
  <c r="B1186" i="21" a="1"/>
  <c r="B1186" i="21" s="1"/>
  <c r="A1186" i="21" a="1"/>
  <c r="A1186" i="21" s="1"/>
  <c r="C1185" i="21" a="1"/>
  <c r="C1185" i="21" s="1"/>
  <c r="B1185" i="21" a="1"/>
  <c r="B1185" i="21" s="1"/>
  <c r="A1185" i="21" a="1"/>
  <c r="A1185" i="21" s="1"/>
  <c r="C1184" i="21" a="1"/>
  <c r="C1184" i="21" s="1"/>
  <c r="B1184" i="21" a="1"/>
  <c r="B1184" i="21" s="1"/>
  <c r="A1184" i="21" a="1"/>
  <c r="A1184" i="21" s="1"/>
  <c r="C1183" i="21" a="1"/>
  <c r="C1183" i="21" s="1"/>
  <c r="B1183" i="21" a="1"/>
  <c r="B1183" i="21" s="1"/>
  <c r="A1183" i="21" a="1"/>
  <c r="A1183" i="21" s="1"/>
  <c r="C1182" i="21" a="1"/>
  <c r="C1182" i="21" s="1"/>
  <c r="B1182" i="21" a="1"/>
  <c r="B1182" i="21" s="1"/>
  <c r="A1182" i="21" a="1"/>
  <c r="A1182" i="21" s="1"/>
  <c r="C1181" i="21" a="1"/>
  <c r="C1181" i="21" s="1"/>
  <c r="B1181" i="21" a="1"/>
  <c r="B1181" i="21" s="1"/>
  <c r="A1181" i="21" a="1"/>
  <c r="A1181" i="21" s="1"/>
  <c r="C1180" i="21" a="1"/>
  <c r="C1180" i="21" s="1"/>
  <c r="B1180" i="21" a="1"/>
  <c r="B1180" i="21" s="1"/>
  <c r="A1180" i="21" a="1"/>
  <c r="A1180" i="21" s="1"/>
  <c r="C1179" i="21" a="1"/>
  <c r="C1179" i="21" s="1"/>
  <c r="B1179" i="21" a="1"/>
  <c r="B1179" i="21" s="1"/>
  <c r="A1179" i="21" a="1"/>
  <c r="A1179" i="21" s="1"/>
  <c r="C1178" i="21" a="1"/>
  <c r="C1178" i="21" s="1"/>
  <c r="B1178" i="21" a="1"/>
  <c r="B1178" i="21" s="1"/>
  <c r="A1178" i="21" a="1"/>
  <c r="A1178" i="21" s="1"/>
  <c r="C1177" i="21" a="1"/>
  <c r="C1177" i="21" s="1"/>
  <c r="B1177" i="21" a="1"/>
  <c r="B1177" i="21" s="1"/>
  <c r="A1177" i="21" a="1"/>
  <c r="A1177" i="21" s="1"/>
  <c r="C1176" i="21" a="1"/>
  <c r="C1176" i="21" s="1"/>
  <c r="B1176" i="21" a="1"/>
  <c r="B1176" i="21" s="1"/>
  <c r="A1176" i="21" a="1"/>
  <c r="A1176" i="21" s="1"/>
  <c r="C1175" i="21" a="1"/>
  <c r="C1175" i="21" s="1"/>
  <c r="B1175" i="21" a="1"/>
  <c r="B1175" i="21" s="1"/>
  <c r="A1175" i="21" a="1"/>
  <c r="A1175" i="21" s="1"/>
  <c r="C1174" i="21" a="1"/>
  <c r="C1174" i="21" s="1"/>
  <c r="B1174" i="21" a="1"/>
  <c r="B1174" i="21" s="1"/>
  <c r="A1174" i="21" a="1"/>
  <c r="A1174" i="21" s="1"/>
  <c r="C1173" i="21" a="1"/>
  <c r="C1173" i="21" s="1"/>
  <c r="B1173" i="21" a="1"/>
  <c r="B1173" i="21" s="1"/>
  <c r="A1173" i="21" a="1"/>
  <c r="A1173" i="21" s="1"/>
  <c r="C1172" i="21" a="1"/>
  <c r="C1172" i="21" s="1"/>
  <c r="B1172" i="21" a="1"/>
  <c r="B1172" i="21" s="1"/>
  <c r="A1172" i="21" a="1"/>
  <c r="A1172" i="21" s="1"/>
  <c r="C1171" i="21" a="1"/>
  <c r="C1171" i="21" s="1"/>
  <c r="B1171" i="21" a="1"/>
  <c r="B1171" i="21" s="1"/>
  <c r="A1171" i="21" a="1"/>
  <c r="A1171" i="21" s="1"/>
  <c r="C1170" i="21" a="1"/>
  <c r="C1170" i="21" s="1"/>
  <c r="B1170" i="21" a="1"/>
  <c r="B1170" i="21" s="1"/>
  <c r="A1170" i="21" a="1"/>
  <c r="A1170" i="21" s="1"/>
  <c r="C1169" i="21" a="1"/>
  <c r="C1169" i="21" s="1"/>
  <c r="B1169" i="21" a="1"/>
  <c r="B1169" i="21" s="1"/>
  <c r="A1169" i="21" a="1"/>
  <c r="A1169" i="21" s="1"/>
  <c r="C1168" i="21" a="1"/>
  <c r="C1168" i="21" s="1"/>
  <c r="B1168" i="21" a="1"/>
  <c r="B1168" i="21" s="1"/>
  <c r="A1168" i="21" a="1"/>
  <c r="A1168" i="21" s="1"/>
  <c r="C1167" i="21" a="1"/>
  <c r="C1167" i="21" s="1"/>
  <c r="B1167" i="21" a="1"/>
  <c r="B1167" i="21" s="1"/>
  <c r="A1167" i="21" a="1"/>
  <c r="A1167" i="21" s="1"/>
  <c r="C1166" i="21" a="1"/>
  <c r="C1166" i="21" s="1"/>
  <c r="B1166" i="21" a="1"/>
  <c r="B1166" i="21" s="1"/>
  <c r="A1166" i="21" a="1"/>
  <c r="A1166" i="21" s="1"/>
  <c r="C1165" i="21" a="1"/>
  <c r="C1165" i="21" s="1"/>
  <c r="B1165" i="21" a="1"/>
  <c r="B1165" i="21" s="1"/>
  <c r="D1165" i="21" s="1"/>
  <c r="A1165" i="21" a="1"/>
  <c r="A1165" i="21" s="1"/>
  <c r="C1164" i="21" a="1"/>
  <c r="C1164" i="21" s="1"/>
  <c r="B1164" i="21" a="1"/>
  <c r="B1164" i="21" s="1"/>
  <c r="A1164" i="21" a="1"/>
  <c r="A1164" i="21" s="1"/>
  <c r="C1163" i="21" a="1"/>
  <c r="C1163" i="21" s="1"/>
  <c r="B1163" i="21" a="1"/>
  <c r="B1163" i="21" s="1"/>
  <c r="A1163" i="21" a="1"/>
  <c r="A1163" i="21" s="1"/>
  <c r="C1162" i="21" a="1"/>
  <c r="C1162" i="21" s="1"/>
  <c r="B1162" i="21" a="1"/>
  <c r="B1162" i="21" s="1"/>
  <c r="A1162" i="21" a="1"/>
  <c r="A1162" i="21" s="1"/>
  <c r="C1161" i="21" a="1"/>
  <c r="C1161" i="21" s="1"/>
  <c r="B1161" i="21" a="1"/>
  <c r="B1161" i="21" s="1"/>
  <c r="A1161" i="21" a="1"/>
  <c r="A1161" i="21" s="1"/>
  <c r="C1160" i="21" a="1"/>
  <c r="C1160" i="21" s="1"/>
  <c r="B1160" i="21" a="1"/>
  <c r="B1160" i="21" s="1"/>
  <c r="A1160" i="21" a="1"/>
  <c r="A1160" i="21" s="1"/>
  <c r="C1159" i="21" a="1"/>
  <c r="C1159" i="21" s="1"/>
  <c r="B1159" i="21" a="1"/>
  <c r="B1159" i="21" s="1"/>
  <c r="A1159" i="21" a="1"/>
  <c r="A1159" i="21" s="1"/>
  <c r="C1155" i="21" a="1"/>
  <c r="C1155" i="21" s="1"/>
  <c r="B1155" i="21" a="1"/>
  <c r="B1155" i="21" s="1"/>
  <c r="A1155" i="21" a="1"/>
  <c r="A1155" i="21" s="1"/>
  <c r="C1154" i="21" a="1"/>
  <c r="C1154" i="21" s="1"/>
  <c r="B1154" i="21" a="1"/>
  <c r="B1154" i="21" s="1"/>
  <c r="A1154" i="21" a="1"/>
  <c r="A1154" i="21" s="1"/>
  <c r="C1153" i="21" a="1"/>
  <c r="C1153" i="21" s="1"/>
  <c r="B1153" i="21" a="1"/>
  <c r="B1153" i="21" s="1"/>
  <c r="A1153" i="21" a="1"/>
  <c r="A1153" i="21" s="1"/>
  <c r="C1152" i="21" a="1"/>
  <c r="C1152" i="21" s="1"/>
  <c r="B1152" i="21" a="1"/>
  <c r="B1152" i="21" s="1"/>
  <c r="A1152" i="21" a="1"/>
  <c r="A1152" i="21" s="1"/>
  <c r="C1151" i="21" a="1"/>
  <c r="C1151" i="21" s="1"/>
  <c r="B1151" i="21" a="1"/>
  <c r="B1151" i="21" s="1"/>
  <c r="A1151" i="21" a="1"/>
  <c r="A1151" i="21" s="1"/>
  <c r="C1150" i="21" a="1"/>
  <c r="C1150" i="21" s="1"/>
  <c r="B1150" i="21" a="1"/>
  <c r="B1150" i="21" s="1"/>
  <c r="A1150" i="21" a="1"/>
  <c r="A1150" i="21" s="1"/>
  <c r="C1149" i="21" a="1"/>
  <c r="C1149" i="21" s="1"/>
  <c r="B1149" i="21" a="1"/>
  <c r="B1149" i="21" s="1"/>
  <c r="A1149" i="21" a="1"/>
  <c r="A1149" i="21" s="1"/>
  <c r="C1148" i="21" a="1"/>
  <c r="C1148" i="21" s="1"/>
  <c r="B1148" i="21" a="1"/>
  <c r="B1148" i="21" s="1"/>
  <c r="A1148" i="21" a="1"/>
  <c r="A1148" i="21" s="1"/>
  <c r="C1147" i="21" a="1"/>
  <c r="C1147" i="21" s="1"/>
  <c r="B1147" i="21" a="1"/>
  <c r="B1147" i="21" s="1"/>
  <c r="A1147" i="21" a="1"/>
  <c r="A1147" i="21" s="1"/>
  <c r="C1146" i="21" a="1"/>
  <c r="C1146" i="21" s="1"/>
  <c r="B1146" i="21" a="1"/>
  <c r="B1146" i="21" s="1"/>
  <c r="A1146" i="21" a="1"/>
  <c r="A1146" i="21" s="1"/>
  <c r="C1145" i="21" a="1"/>
  <c r="C1145" i="21" s="1"/>
  <c r="B1145" i="21" a="1"/>
  <c r="B1145" i="21" s="1"/>
  <c r="A1145" i="21" a="1"/>
  <c r="A1145" i="21" s="1"/>
  <c r="C1144" i="21" a="1"/>
  <c r="C1144" i="21" s="1"/>
  <c r="B1144" i="21" a="1"/>
  <c r="B1144" i="21" s="1"/>
  <c r="A1144" i="21" a="1"/>
  <c r="A1144" i="21" s="1"/>
  <c r="C1143" i="21" a="1"/>
  <c r="C1143" i="21" s="1"/>
  <c r="B1143" i="21" a="1"/>
  <c r="B1143" i="21" s="1"/>
  <c r="A1143" i="21" a="1"/>
  <c r="A1143" i="21" s="1"/>
  <c r="C1142" i="21" a="1"/>
  <c r="C1142" i="21" s="1"/>
  <c r="B1142" i="21" a="1"/>
  <c r="B1142" i="21" s="1"/>
  <c r="A1142" i="21" a="1"/>
  <c r="A1142" i="21" s="1"/>
  <c r="C1141" i="21" a="1"/>
  <c r="C1141" i="21" s="1"/>
  <c r="B1141" i="21" a="1"/>
  <c r="B1141" i="21" s="1"/>
  <c r="A1141" i="21" a="1"/>
  <c r="A1141" i="21" s="1"/>
  <c r="C1140" i="21" a="1"/>
  <c r="C1140" i="21" s="1"/>
  <c r="B1140" i="21" a="1"/>
  <c r="B1140" i="21" s="1"/>
  <c r="A1140" i="21" a="1"/>
  <c r="A1140" i="21" s="1"/>
  <c r="C1139" i="21" a="1"/>
  <c r="C1139" i="21" s="1"/>
  <c r="B1139" i="21" a="1"/>
  <c r="B1139" i="21" s="1"/>
  <c r="A1139" i="21" a="1"/>
  <c r="A1139" i="21" s="1"/>
  <c r="C1138" i="21" a="1"/>
  <c r="C1138" i="21" s="1"/>
  <c r="B1138" i="21" a="1"/>
  <c r="B1138" i="21" s="1"/>
  <c r="A1138" i="21" a="1"/>
  <c r="A1138" i="21" s="1"/>
  <c r="C1137" i="21" a="1"/>
  <c r="C1137" i="21" s="1"/>
  <c r="B1137" i="21" a="1"/>
  <c r="B1137" i="21" s="1"/>
  <c r="A1137" i="21" a="1"/>
  <c r="A1137" i="21" s="1"/>
  <c r="C1136" i="21" a="1"/>
  <c r="C1136" i="21" s="1"/>
  <c r="B1136" i="21" a="1"/>
  <c r="B1136" i="21" s="1"/>
  <c r="A1136" i="21" a="1"/>
  <c r="A1136" i="21" s="1"/>
  <c r="C1135" i="21" a="1"/>
  <c r="C1135" i="21" s="1"/>
  <c r="B1135" i="21" a="1"/>
  <c r="B1135" i="21" s="1"/>
  <c r="A1135" i="21" a="1"/>
  <c r="A1135" i="21" s="1"/>
  <c r="C1134" i="21" a="1"/>
  <c r="C1134" i="21" s="1"/>
  <c r="B1134" i="21" a="1"/>
  <c r="B1134" i="21" s="1"/>
  <c r="A1134" i="21" a="1"/>
  <c r="A1134" i="21" s="1"/>
  <c r="C1133" i="21" a="1"/>
  <c r="C1133" i="21" s="1"/>
  <c r="B1133" i="21" a="1"/>
  <c r="B1133" i="21" s="1"/>
  <c r="A1133" i="21" a="1"/>
  <c r="A1133" i="21" s="1"/>
  <c r="C1132" i="21" a="1"/>
  <c r="C1132" i="21" s="1"/>
  <c r="B1132" i="21" a="1"/>
  <c r="B1132" i="21" s="1"/>
  <c r="A1132" i="21" a="1"/>
  <c r="A1132" i="21" s="1"/>
  <c r="C1131" i="21" a="1"/>
  <c r="C1131" i="21" s="1"/>
  <c r="B1131" i="21" a="1"/>
  <c r="B1131" i="21" s="1"/>
  <c r="A1131" i="21" a="1"/>
  <c r="A1131" i="21" s="1"/>
  <c r="C1130" i="21" a="1"/>
  <c r="C1130" i="21" s="1"/>
  <c r="B1130" i="21" a="1"/>
  <c r="B1130" i="21" s="1"/>
  <c r="A1130" i="21" a="1"/>
  <c r="A1130" i="21" s="1"/>
  <c r="C1129" i="21" a="1"/>
  <c r="C1129" i="21" s="1"/>
  <c r="B1129" i="21" a="1"/>
  <c r="B1129" i="21" s="1"/>
  <c r="A1129" i="21" a="1"/>
  <c r="A1129" i="21" s="1"/>
  <c r="C1128" i="21" a="1"/>
  <c r="C1128" i="21" s="1"/>
  <c r="B1128" i="21" a="1"/>
  <c r="B1128" i="21" s="1"/>
  <c r="A1128" i="21" a="1"/>
  <c r="A1128" i="21" s="1"/>
  <c r="C1127" i="21" a="1"/>
  <c r="C1127" i="21" s="1"/>
  <c r="B1127" i="21" a="1"/>
  <c r="B1127" i="21" s="1"/>
  <c r="A1127" i="21" a="1"/>
  <c r="A1127" i="21" s="1"/>
  <c r="C1126" i="21" a="1"/>
  <c r="C1126" i="21" s="1"/>
  <c r="B1126" i="21" a="1"/>
  <c r="B1126" i="21" s="1"/>
  <c r="A1126" i="21" a="1"/>
  <c r="A1126" i="21" s="1"/>
  <c r="C1125" i="21" a="1"/>
  <c r="C1125" i="21" s="1"/>
  <c r="B1125" i="21" a="1"/>
  <c r="B1125" i="21" s="1"/>
  <c r="A1125" i="21" a="1"/>
  <c r="A1125" i="21" s="1"/>
  <c r="C1124" i="21" a="1"/>
  <c r="C1124" i="21" s="1"/>
  <c r="B1124" i="21" a="1"/>
  <c r="B1124" i="21" s="1"/>
  <c r="A1124" i="21" a="1"/>
  <c r="A1124" i="21" s="1"/>
  <c r="C1123" i="21" a="1"/>
  <c r="C1123" i="21" s="1"/>
  <c r="B1123" i="21" a="1"/>
  <c r="B1123" i="21" s="1"/>
  <c r="A1123" i="21" a="1"/>
  <c r="A1123" i="21" s="1"/>
  <c r="C1122" i="21" a="1"/>
  <c r="C1122" i="21" s="1"/>
  <c r="B1122" i="21" a="1"/>
  <c r="B1122" i="21" s="1"/>
  <c r="A1122" i="21" a="1"/>
  <c r="A1122" i="21" s="1"/>
  <c r="C1121" i="21" a="1"/>
  <c r="C1121" i="21" s="1"/>
  <c r="B1121" i="21" a="1"/>
  <c r="B1121" i="21" s="1"/>
  <c r="A1121" i="21" a="1"/>
  <c r="A1121" i="21" s="1"/>
  <c r="C1117" i="21" a="1"/>
  <c r="C1117" i="21" s="1"/>
  <c r="B1117" i="21" a="1"/>
  <c r="B1117" i="21" s="1"/>
  <c r="A1117" i="21" a="1"/>
  <c r="A1117" i="21" s="1"/>
  <c r="C1116" i="21" a="1"/>
  <c r="C1116" i="21" s="1"/>
  <c r="B1116" i="21" a="1"/>
  <c r="B1116" i="21" s="1"/>
  <c r="A1116" i="21" a="1"/>
  <c r="A1116" i="21" s="1"/>
  <c r="C1115" i="21" a="1"/>
  <c r="C1115" i="21" s="1"/>
  <c r="B1115" i="21" a="1"/>
  <c r="B1115" i="21" s="1"/>
  <c r="A1115" i="21" a="1"/>
  <c r="A1115" i="21" s="1"/>
  <c r="C1114" i="21" a="1"/>
  <c r="C1114" i="21" s="1"/>
  <c r="B1114" i="21" a="1"/>
  <c r="B1114" i="21" s="1"/>
  <c r="A1114" i="21" a="1"/>
  <c r="A1114" i="21" s="1"/>
  <c r="C1113" i="21" a="1"/>
  <c r="C1113" i="21" s="1"/>
  <c r="B1113" i="21" a="1"/>
  <c r="B1113" i="21" s="1"/>
  <c r="A1113" i="21" a="1"/>
  <c r="A1113" i="21" s="1"/>
  <c r="C1112" i="21" a="1"/>
  <c r="C1112" i="21" s="1"/>
  <c r="B1112" i="21" a="1"/>
  <c r="B1112" i="21" s="1"/>
  <c r="A1112" i="21" a="1"/>
  <c r="A1112" i="21" s="1"/>
  <c r="C1111" i="21" a="1"/>
  <c r="C1111" i="21" s="1"/>
  <c r="B1111" i="21" a="1"/>
  <c r="B1111" i="21" s="1"/>
  <c r="A1111" i="21" a="1"/>
  <c r="A1111" i="21" s="1"/>
  <c r="C1110" i="21" a="1"/>
  <c r="C1110" i="21" s="1"/>
  <c r="B1110" i="21" a="1"/>
  <c r="B1110" i="21" s="1"/>
  <c r="A1110" i="21" a="1"/>
  <c r="A1110" i="21" s="1"/>
  <c r="C1109" i="21" a="1"/>
  <c r="C1109" i="21" s="1"/>
  <c r="B1109" i="21" a="1"/>
  <c r="B1109" i="21" s="1"/>
  <c r="A1109" i="21" a="1"/>
  <c r="A1109" i="21" s="1"/>
  <c r="C1108" i="21" a="1"/>
  <c r="C1108" i="21" s="1"/>
  <c r="B1108" i="21" a="1"/>
  <c r="B1108" i="21" s="1"/>
  <c r="A1108" i="21" a="1"/>
  <c r="A1108" i="21" s="1"/>
  <c r="C1107" i="21" a="1"/>
  <c r="C1107" i="21" s="1"/>
  <c r="B1107" i="21" a="1"/>
  <c r="B1107" i="21" s="1"/>
  <c r="A1107" i="21" a="1"/>
  <c r="A1107" i="21" s="1"/>
  <c r="C1106" i="21" a="1"/>
  <c r="C1106" i="21" s="1"/>
  <c r="B1106" i="21" a="1"/>
  <c r="B1106" i="21" s="1"/>
  <c r="A1106" i="21" a="1"/>
  <c r="A1106" i="21" s="1"/>
  <c r="C1105" i="21" a="1"/>
  <c r="C1105" i="21" s="1"/>
  <c r="B1105" i="21" a="1"/>
  <c r="B1105" i="21" s="1"/>
  <c r="A1105" i="21" a="1"/>
  <c r="A1105" i="21" s="1"/>
  <c r="C1104" i="21" a="1"/>
  <c r="C1104" i="21" s="1"/>
  <c r="B1104" i="21" a="1"/>
  <c r="B1104" i="21" s="1"/>
  <c r="A1104" i="21" a="1"/>
  <c r="A1104" i="21" s="1"/>
  <c r="C1103" i="21" a="1"/>
  <c r="C1103" i="21" s="1"/>
  <c r="B1103" i="21" a="1"/>
  <c r="B1103" i="21" s="1"/>
  <c r="A1103" i="21" a="1"/>
  <c r="A1103" i="21" s="1"/>
  <c r="C1102" i="21" a="1"/>
  <c r="C1102" i="21" s="1"/>
  <c r="B1102" i="21" a="1"/>
  <c r="B1102" i="21" s="1"/>
  <c r="A1102" i="21" a="1"/>
  <c r="A1102" i="21" s="1"/>
  <c r="C1101" i="21" a="1"/>
  <c r="C1101" i="21" s="1"/>
  <c r="B1101" i="21" a="1"/>
  <c r="B1101" i="21" s="1"/>
  <c r="A1101" i="21" a="1"/>
  <c r="A1101" i="21" s="1"/>
  <c r="C1100" i="21" a="1"/>
  <c r="C1100" i="21" s="1"/>
  <c r="B1100" i="21" a="1"/>
  <c r="B1100" i="21" s="1"/>
  <c r="A1100" i="21" a="1"/>
  <c r="A1100" i="21" s="1"/>
  <c r="C1099" i="21" a="1"/>
  <c r="C1099" i="21" s="1"/>
  <c r="B1099" i="21" a="1"/>
  <c r="B1099" i="21" s="1"/>
  <c r="A1099" i="21" a="1"/>
  <c r="A1099" i="21" s="1"/>
  <c r="C1098" i="21" a="1"/>
  <c r="C1098" i="21" s="1"/>
  <c r="B1098" i="21" a="1"/>
  <c r="B1098" i="21" s="1"/>
  <c r="A1098" i="21" a="1"/>
  <c r="A1098" i="21" s="1"/>
  <c r="C1097" i="21" a="1"/>
  <c r="C1097" i="21" s="1"/>
  <c r="B1097" i="21" a="1"/>
  <c r="B1097" i="21" s="1"/>
  <c r="A1097" i="21" a="1"/>
  <c r="A1097" i="21" s="1"/>
  <c r="C1096" i="21" a="1"/>
  <c r="C1096" i="21" s="1"/>
  <c r="B1096" i="21" a="1"/>
  <c r="B1096" i="21" s="1"/>
  <c r="A1096" i="21" a="1"/>
  <c r="A1096" i="21" s="1"/>
  <c r="C1095" i="21" a="1"/>
  <c r="C1095" i="21" s="1"/>
  <c r="B1095" i="21" a="1"/>
  <c r="B1095" i="21" s="1"/>
  <c r="A1095" i="21" a="1"/>
  <c r="A1095" i="21" s="1"/>
  <c r="C1094" i="21" a="1"/>
  <c r="C1094" i="21" s="1"/>
  <c r="B1094" i="21" a="1"/>
  <c r="B1094" i="21" s="1"/>
  <c r="A1094" i="21" a="1"/>
  <c r="A1094" i="21" s="1"/>
  <c r="C1093" i="21" a="1"/>
  <c r="C1093" i="21" s="1"/>
  <c r="B1093" i="21" a="1"/>
  <c r="B1093" i="21" s="1"/>
  <c r="A1093" i="21" a="1"/>
  <c r="A1093" i="21" s="1"/>
  <c r="C1092" i="21" a="1"/>
  <c r="C1092" i="21" s="1"/>
  <c r="B1092" i="21" a="1"/>
  <c r="B1092" i="21" s="1"/>
  <c r="A1092" i="21" a="1"/>
  <c r="A1092" i="21" s="1"/>
  <c r="C1091" i="21" a="1"/>
  <c r="C1091" i="21" s="1"/>
  <c r="B1091" i="21" a="1"/>
  <c r="B1091" i="21" s="1"/>
  <c r="A1091" i="21" a="1"/>
  <c r="A1091" i="21" s="1"/>
  <c r="C1090" i="21" a="1"/>
  <c r="C1090" i="21" s="1"/>
  <c r="B1090" i="21" a="1"/>
  <c r="B1090" i="21" s="1"/>
  <c r="A1090" i="21" a="1"/>
  <c r="A1090" i="21" s="1"/>
  <c r="C1089" i="21" a="1"/>
  <c r="C1089" i="21" s="1"/>
  <c r="B1089" i="21" a="1"/>
  <c r="B1089" i="21" s="1"/>
  <c r="A1089" i="21" a="1"/>
  <c r="A1089" i="21" s="1"/>
  <c r="C1088" i="21" a="1"/>
  <c r="C1088" i="21" s="1"/>
  <c r="B1088" i="21" a="1"/>
  <c r="B1088" i="21" s="1"/>
  <c r="A1088" i="21" a="1"/>
  <c r="A1088" i="21" s="1"/>
  <c r="C1087" i="21" a="1"/>
  <c r="C1087" i="21" s="1"/>
  <c r="B1087" i="21" a="1"/>
  <c r="B1087" i="21" s="1"/>
  <c r="A1087" i="21" a="1"/>
  <c r="A1087" i="21" s="1"/>
  <c r="C1086" i="21" a="1"/>
  <c r="C1086" i="21" s="1"/>
  <c r="B1086" i="21" a="1"/>
  <c r="B1086" i="21" s="1"/>
  <c r="A1086" i="21" a="1"/>
  <c r="A1086" i="21" s="1"/>
  <c r="C1085" i="21" a="1"/>
  <c r="C1085" i="21" s="1"/>
  <c r="B1085" i="21" a="1"/>
  <c r="B1085" i="21" s="1"/>
  <c r="A1085" i="21" a="1"/>
  <c r="A1085" i="21" s="1"/>
  <c r="C1084" i="21" a="1"/>
  <c r="C1084" i="21" s="1"/>
  <c r="B1084" i="21" a="1"/>
  <c r="B1084" i="21" s="1"/>
  <c r="A1084" i="21" a="1"/>
  <c r="A1084" i="21" s="1"/>
  <c r="C1083" i="21" a="1"/>
  <c r="C1083" i="21" s="1"/>
  <c r="B1083" i="21" a="1"/>
  <c r="B1083" i="21" s="1"/>
  <c r="A1083" i="21" a="1"/>
  <c r="A1083" i="21" s="1"/>
  <c r="C1079" i="21" a="1"/>
  <c r="C1079" i="21" s="1"/>
  <c r="B1079" i="21" a="1"/>
  <c r="B1079" i="21" s="1"/>
  <c r="A1079" i="21" a="1"/>
  <c r="A1079" i="21" s="1"/>
  <c r="C1078" i="21" a="1"/>
  <c r="C1078" i="21" s="1"/>
  <c r="B1078" i="21" a="1"/>
  <c r="B1078" i="21" s="1"/>
  <c r="A1078" i="21" a="1"/>
  <c r="A1078" i="21" s="1"/>
  <c r="C1077" i="21" a="1"/>
  <c r="C1077" i="21" s="1"/>
  <c r="B1077" i="21" a="1"/>
  <c r="B1077" i="21" s="1"/>
  <c r="A1077" i="21" a="1"/>
  <c r="A1077" i="21" s="1"/>
  <c r="C1076" i="21" a="1"/>
  <c r="C1076" i="21" s="1"/>
  <c r="B1076" i="21" a="1"/>
  <c r="B1076" i="21" s="1"/>
  <c r="A1076" i="21" a="1"/>
  <c r="A1076" i="21" s="1"/>
  <c r="C1075" i="21" a="1"/>
  <c r="C1075" i="21" s="1"/>
  <c r="B1075" i="21" a="1"/>
  <c r="B1075" i="21" s="1"/>
  <c r="A1075" i="21" a="1"/>
  <c r="A1075" i="21" s="1"/>
  <c r="C1074" i="21" a="1"/>
  <c r="C1074" i="21" s="1"/>
  <c r="B1074" i="21" a="1"/>
  <c r="B1074" i="21" s="1"/>
  <c r="A1074" i="21" a="1"/>
  <c r="A1074" i="21" s="1"/>
  <c r="C1073" i="21" a="1"/>
  <c r="C1073" i="21" s="1"/>
  <c r="B1073" i="21" a="1"/>
  <c r="B1073" i="21" s="1"/>
  <c r="A1073" i="21" a="1"/>
  <c r="A1073" i="21" s="1"/>
  <c r="C1072" i="21" a="1"/>
  <c r="C1072" i="21" s="1"/>
  <c r="B1072" i="21" a="1"/>
  <c r="B1072" i="21" s="1"/>
  <c r="A1072" i="21" a="1"/>
  <c r="A1072" i="21" s="1"/>
  <c r="C1071" i="21" a="1"/>
  <c r="C1071" i="21" s="1"/>
  <c r="B1071" i="21" a="1"/>
  <c r="B1071" i="21" s="1"/>
  <c r="A1071" i="21" a="1"/>
  <c r="A1071" i="21" s="1"/>
  <c r="C1070" i="21" a="1"/>
  <c r="C1070" i="21" s="1"/>
  <c r="B1070" i="21" a="1"/>
  <c r="B1070" i="21" s="1"/>
  <c r="A1070" i="21" a="1"/>
  <c r="A1070" i="21" s="1"/>
  <c r="C1069" i="21" a="1"/>
  <c r="C1069" i="21" s="1"/>
  <c r="B1069" i="21" a="1"/>
  <c r="B1069" i="21" s="1"/>
  <c r="A1069" i="21" a="1"/>
  <c r="A1069" i="21" s="1"/>
  <c r="C1068" i="21" a="1"/>
  <c r="C1068" i="21" s="1"/>
  <c r="B1068" i="21" a="1"/>
  <c r="B1068" i="21" s="1"/>
  <c r="A1068" i="21" a="1"/>
  <c r="A1068" i="21" s="1"/>
  <c r="C1067" i="21" a="1"/>
  <c r="C1067" i="21" s="1"/>
  <c r="B1067" i="21" a="1"/>
  <c r="B1067" i="21" s="1"/>
  <c r="A1067" i="21" a="1"/>
  <c r="A1067" i="21" s="1"/>
  <c r="C1066" i="21" a="1"/>
  <c r="C1066" i="21" s="1"/>
  <c r="B1066" i="21" a="1"/>
  <c r="B1066" i="21" s="1"/>
  <c r="A1066" i="21" a="1"/>
  <c r="A1066" i="21" s="1"/>
  <c r="C1065" i="21" a="1"/>
  <c r="C1065" i="21" s="1"/>
  <c r="B1065" i="21" a="1"/>
  <c r="B1065" i="21" s="1"/>
  <c r="A1065" i="21" a="1"/>
  <c r="A1065" i="21" s="1"/>
  <c r="C1064" i="21" a="1"/>
  <c r="C1064" i="21" s="1"/>
  <c r="B1064" i="21" a="1"/>
  <c r="B1064" i="21" s="1"/>
  <c r="A1064" i="21" a="1"/>
  <c r="A1064" i="21" s="1"/>
  <c r="C1063" i="21" a="1"/>
  <c r="C1063" i="21" s="1"/>
  <c r="B1063" i="21" a="1"/>
  <c r="B1063" i="21" s="1"/>
  <c r="A1063" i="21" a="1"/>
  <c r="A1063" i="21" s="1"/>
  <c r="C1062" i="21" a="1"/>
  <c r="C1062" i="21" s="1"/>
  <c r="B1062" i="21" a="1"/>
  <c r="B1062" i="21" s="1"/>
  <c r="A1062" i="21" a="1"/>
  <c r="A1062" i="21" s="1"/>
  <c r="C1061" i="21" a="1"/>
  <c r="C1061" i="21" s="1"/>
  <c r="B1061" i="21" a="1"/>
  <c r="B1061" i="21" s="1"/>
  <c r="A1061" i="21" a="1"/>
  <c r="A1061" i="21" s="1"/>
  <c r="C1060" i="21" a="1"/>
  <c r="C1060" i="21" s="1"/>
  <c r="B1060" i="21" a="1"/>
  <c r="B1060" i="21" s="1"/>
  <c r="A1060" i="21" a="1"/>
  <c r="A1060" i="21" s="1"/>
  <c r="C1059" i="21" a="1"/>
  <c r="C1059" i="21" s="1"/>
  <c r="B1059" i="21" a="1"/>
  <c r="B1059" i="21" s="1"/>
  <c r="A1059" i="21" a="1"/>
  <c r="A1059" i="21" s="1"/>
  <c r="C1058" i="21" a="1"/>
  <c r="C1058" i="21" s="1"/>
  <c r="B1058" i="21" a="1"/>
  <c r="B1058" i="21" s="1"/>
  <c r="A1058" i="21" a="1"/>
  <c r="A1058" i="21" s="1"/>
  <c r="C1057" i="21" a="1"/>
  <c r="C1057" i="21" s="1"/>
  <c r="B1057" i="21" a="1"/>
  <c r="B1057" i="21" s="1"/>
  <c r="A1057" i="21" a="1"/>
  <c r="A1057" i="21" s="1"/>
  <c r="C1056" i="21" a="1"/>
  <c r="C1056" i="21" s="1"/>
  <c r="B1056" i="21" a="1"/>
  <c r="B1056" i="21" s="1"/>
  <c r="A1056" i="21" a="1"/>
  <c r="A1056" i="21" s="1"/>
  <c r="C1055" i="21" a="1"/>
  <c r="C1055" i="21" s="1"/>
  <c r="B1055" i="21" a="1"/>
  <c r="B1055" i="21" s="1"/>
  <c r="A1055" i="21" a="1"/>
  <c r="A1055" i="21" s="1"/>
  <c r="C1054" i="21" a="1"/>
  <c r="C1054" i="21" s="1"/>
  <c r="B1054" i="21" a="1"/>
  <c r="B1054" i="21" s="1"/>
  <c r="A1054" i="21" a="1"/>
  <c r="A1054" i="21" s="1"/>
  <c r="C1053" i="21" a="1"/>
  <c r="C1053" i="21" s="1"/>
  <c r="B1053" i="21" a="1"/>
  <c r="B1053" i="21" s="1"/>
  <c r="A1053" i="21" a="1"/>
  <c r="A1053" i="21" s="1"/>
  <c r="C1052" i="21" a="1"/>
  <c r="C1052" i="21" s="1"/>
  <c r="B1052" i="21" a="1"/>
  <c r="B1052" i="21" s="1"/>
  <c r="A1052" i="21" a="1"/>
  <c r="A1052" i="21" s="1"/>
  <c r="C1051" i="21" a="1"/>
  <c r="C1051" i="21" s="1"/>
  <c r="B1051" i="21" a="1"/>
  <c r="B1051" i="21" s="1"/>
  <c r="A1051" i="21" a="1"/>
  <c r="A1051" i="21" s="1"/>
  <c r="C1050" i="21" a="1"/>
  <c r="C1050" i="21" s="1"/>
  <c r="B1050" i="21" a="1"/>
  <c r="B1050" i="21" s="1"/>
  <c r="A1050" i="21"/>
  <c r="A1050" i="21" a="1"/>
  <c r="C1049" i="21" a="1"/>
  <c r="C1049" i="21" s="1"/>
  <c r="B1049" i="21" a="1"/>
  <c r="B1049" i="21" s="1"/>
  <c r="A1049" i="21" a="1"/>
  <c r="A1049" i="21" s="1"/>
  <c r="C1048" i="21" a="1"/>
  <c r="C1048" i="21" s="1"/>
  <c r="B1048" i="21" a="1"/>
  <c r="B1048" i="21" s="1"/>
  <c r="A1048" i="21" a="1"/>
  <c r="A1048" i="21" s="1"/>
  <c r="C1047" i="21" a="1"/>
  <c r="C1047" i="21" s="1"/>
  <c r="B1047" i="21" a="1"/>
  <c r="B1047" i="21" s="1"/>
  <c r="A1047" i="21" a="1"/>
  <c r="A1047" i="21" s="1"/>
  <c r="C1046" i="21" a="1"/>
  <c r="C1046" i="21" s="1"/>
  <c r="B1046" i="21" a="1"/>
  <c r="B1046" i="21" s="1"/>
  <c r="A1046" i="21" a="1"/>
  <c r="A1046" i="21" s="1"/>
  <c r="C1045" i="21" a="1"/>
  <c r="C1045" i="21" s="1"/>
  <c r="B1045" i="21" a="1"/>
  <c r="B1045" i="21" s="1"/>
  <c r="A1045" i="21" a="1"/>
  <c r="A1045" i="21" s="1"/>
  <c r="C1041" i="21" a="1"/>
  <c r="C1041" i="21" s="1"/>
  <c r="B1041" i="21" a="1"/>
  <c r="B1041" i="21" s="1"/>
  <c r="A1041" i="21" a="1"/>
  <c r="A1041" i="21" s="1"/>
  <c r="C1040" i="21" a="1"/>
  <c r="C1040" i="21" s="1"/>
  <c r="B1040" i="21" a="1"/>
  <c r="B1040" i="21" s="1"/>
  <c r="A1040" i="21" a="1"/>
  <c r="A1040" i="21" s="1"/>
  <c r="C1039" i="21" a="1"/>
  <c r="C1039" i="21" s="1"/>
  <c r="B1039" i="21" a="1"/>
  <c r="B1039" i="21" s="1"/>
  <c r="A1039" i="21" a="1"/>
  <c r="A1039" i="21" s="1"/>
  <c r="C1038" i="21" a="1"/>
  <c r="C1038" i="21" s="1"/>
  <c r="B1038" i="21" a="1"/>
  <c r="B1038" i="21" s="1"/>
  <c r="A1038" i="21" a="1"/>
  <c r="A1038" i="21" s="1"/>
  <c r="C1037" i="21" a="1"/>
  <c r="C1037" i="21" s="1"/>
  <c r="B1037" i="21" a="1"/>
  <c r="B1037" i="21" s="1"/>
  <c r="A1037" i="21" a="1"/>
  <c r="A1037" i="21" s="1"/>
  <c r="C1036" i="21" a="1"/>
  <c r="C1036" i="21" s="1"/>
  <c r="B1036" i="21" a="1"/>
  <c r="B1036" i="21" s="1"/>
  <c r="A1036" i="21" a="1"/>
  <c r="A1036" i="21" s="1"/>
  <c r="C1035" i="21" a="1"/>
  <c r="C1035" i="21" s="1"/>
  <c r="B1035" i="21" a="1"/>
  <c r="B1035" i="21" s="1"/>
  <c r="A1035" i="21" a="1"/>
  <c r="A1035" i="21" s="1"/>
  <c r="C1034" i="21" a="1"/>
  <c r="C1034" i="21" s="1"/>
  <c r="B1034" i="21" a="1"/>
  <c r="B1034" i="21" s="1"/>
  <c r="A1034" i="21" a="1"/>
  <c r="A1034" i="21" s="1"/>
  <c r="C1033" i="21" a="1"/>
  <c r="C1033" i="21" s="1"/>
  <c r="B1033" i="21" a="1"/>
  <c r="B1033" i="21" s="1"/>
  <c r="A1033" i="21" a="1"/>
  <c r="A1033" i="21" s="1"/>
  <c r="C1032" i="21" a="1"/>
  <c r="C1032" i="21" s="1"/>
  <c r="B1032" i="21" a="1"/>
  <c r="B1032" i="21" s="1"/>
  <c r="A1032" i="21" a="1"/>
  <c r="A1032" i="21" s="1"/>
  <c r="C1031" i="21" a="1"/>
  <c r="C1031" i="21" s="1"/>
  <c r="B1031" i="21" a="1"/>
  <c r="B1031" i="21" s="1"/>
  <c r="A1031" i="21" a="1"/>
  <c r="A1031" i="21" s="1"/>
  <c r="C1030" i="21" a="1"/>
  <c r="C1030" i="21" s="1"/>
  <c r="B1030" i="21" a="1"/>
  <c r="B1030" i="21" s="1"/>
  <c r="A1030" i="21" a="1"/>
  <c r="A1030" i="21" s="1"/>
  <c r="C1029" i="21" a="1"/>
  <c r="C1029" i="21" s="1"/>
  <c r="B1029" i="21" a="1"/>
  <c r="B1029" i="21" s="1"/>
  <c r="A1029" i="21" a="1"/>
  <c r="A1029" i="21" s="1"/>
  <c r="C1028" i="21" a="1"/>
  <c r="C1028" i="21" s="1"/>
  <c r="B1028" i="21" a="1"/>
  <c r="B1028" i="21" s="1"/>
  <c r="A1028" i="21" a="1"/>
  <c r="A1028" i="21" s="1"/>
  <c r="C1027" i="21" a="1"/>
  <c r="C1027" i="21" s="1"/>
  <c r="B1027" i="21" a="1"/>
  <c r="B1027" i="21" s="1"/>
  <c r="A1027" i="21" a="1"/>
  <c r="A1027" i="21" s="1"/>
  <c r="C1026" i="21" a="1"/>
  <c r="C1026" i="21" s="1"/>
  <c r="B1026" i="21" a="1"/>
  <c r="B1026" i="21" s="1"/>
  <c r="A1026" i="21" a="1"/>
  <c r="A1026" i="21" s="1"/>
  <c r="C1025" i="21" a="1"/>
  <c r="C1025" i="21" s="1"/>
  <c r="B1025" i="21" a="1"/>
  <c r="B1025" i="21" s="1"/>
  <c r="A1025" i="21" a="1"/>
  <c r="A1025" i="21" s="1"/>
  <c r="C1024" i="21" a="1"/>
  <c r="C1024" i="21" s="1"/>
  <c r="B1024" i="21" a="1"/>
  <c r="B1024" i="21" s="1"/>
  <c r="A1024" i="21" a="1"/>
  <c r="A1024" i="21" s="1"/>
  <c r="C1023" i="21" a="1"/>
  <c r="C1023" i="21" s="1"/>
  <c r="B1023" i="21" a="1"/>
  <c r="B1023" i="21" s="1"/>
  <c r="A1023" i="21" a="1"/>
  <c r="A1023" i="21" s="1"/>
  <c r="C1022" i="21" a="1"/>
  <c r="C1022" i="21" s="1"/>
  <c r="B1022" i="21" a="1"/>
  <c r="B1022" i="21" s="1"/>
  <c r="A1022" i="21" a="1"/>
  <c r="A1022" i="21" s="1"/>
  <c r="C1021" i="21" a="1"/>
  <c r="C1021" i="21" s="1"/>
  <c r="B1021" i="21" a="1"/>
  <c r="B1021" i="21" s="1"/>
  <c r="A1021" i="21" a="1"/>
  <c r="A1021" i="21" s="1"/>
  <c r="C1020" i="21" a="1"/>
  <c r="C1020" i="21" s="1"/>
  <c r="B1020" i="21" a="1"/>
  <c r="B1020" i="21" s="1"/>
  <c r="A1020" i="21" a="1"/>
  <c r="A1020" i="21" s="1"/>
  <c r="C1019" i="21" a="1"/>
  <c r="C1019" i="21" s="1"/>
  <c r="B1019" i="21" a="1"/>
  <c r="B1019" i="21" s="1"/>
  <c r="A1019" i="21" a="1"/>
  <c r="A1019" i="21" s="1"/>
  <c r="C1018" i="21" a="1"/>
  <c r="C1018" i="21" s="1"/>
  <c r="B1018" i="21" a="1"/>
  <c r="B1018" i="21" s="1"/>
  <c r="A1018" i="21" a="1"/>
  <c r="A1018" i="21" s="1"/>
  <c r="C1017" i="21" a="1"/>
  <c r="C1017" i="21" s="1"/>
  <c r="B1017" i="21" a="1"/>
  <c r="B1017" i="21" s="1"/>
  <c r="A1017" i="21" a="1"/>
  <c r="A1017" i="21" s="1"/>
  <c r="C1016" i="21" a="1"/>
  <c r="C1016" i="21" s="1"/>
  <c r="B1016" i="21" a="1"/>
  <c r="B1016" i="21" s="1"/>
  <c r="A1016" i="21" a="1"/>
  <c r="A1016" i="21" s="1"/>
  <c r="C1015" i="21" a="1"/>
  <c r="C1015" i="21" s="1"/>
  <c r="B1015" i="21" a="1"/>
  <c r="B1015" i="21" s="1"/>
  <c r="A1015" i="21" a="1"/>
  <c r="A1015" i="21" s="1"/>
  <c r="C1014" i="21" a="1"/>
  <c r="C1014" i="21" s="1"/>
  <c r="B1014" i="21" a="1"/>
  <c r="B1014" i="21" s="1"/>
  <c r="A1014" i="21" a="1"/>
  <c r="A1014" i="21" s="1"/>
  <c r="C1013" i="21" a="1"/>
  <c r="C1013" i="21" s="1"/>
  <c r="B1013" i="21" a="1"/>
  <c r="B1013" i="21" s="1"/>
  <c r="A1013" i="21" a="1"/>
  <c r="A1013" i="21" s="1"/>
  <c r="C1012" i="21" a="1"/>
  <c r="C1012" i="21" s="1"/>
  <c r="B1012" i="21" a="1"/>
  <c r="B1012" i="21" s="1"/>
  <c r="A1012" i="21" a="1"/>
  <c r="A1012" i="21" s="1"/>
  <c r="C1011" i="21" a="1"/>
  <c r="C1011" i="21" s="1"/>
  <c r="B1011" i="21" a="1"/>
  <c r="B1011" i="21" s="1"/>
  <c r="A1011" i="21" a="1"/>
  <c r="A1011" i="21" s="1"/>
  <c r="C1010" i="21" a="1"/>
  <c r="C1010" i="21" s="1"/>
  <c r="B1010" i="21" a="1"/>
  <c r="B1010" i="21" s="1"/>
  <c r="A1010" i="21" a="1"/>
  <c r="A1010" i="21" s="1"/>
  <c r="C1009" i="21" a="1"/>
  <c r="C1009" i="21" s="1"/>
  <c r="B1009" i="21" a="1"/>
  <c r="B1009" i="21" s="1"/>
  <c r="A1009" i="21" a="1"/>
  <c r="A1009" i="21" s="1"/>
  <c r="C1008" i="21" a="1"/>
  <c r="C1008" i="21" s="1"/>
  <c r="B1008" i="21" a="1"/>
  <c r="B1008" i="21" s="1"/>
  <c r="A1008" i="21" a="1"/>
  <c r="A1008" i="21" s="1"/>
  <c r="C1007" i="21" a="1"/>
  <c r="C1007" i="21" s="1"/>
  <c r="B1007" i="21" a="1"/>
  <c r="B1007" i="21" s="1"/>
  <c r="A1007" i="21" a="1"/>
  <c r="A1007" i="21" s="1"/>
  <c r="C1003" i="21" a="1"/>
  <c r="C1003" i="21" s="1"/>
  <c r="B1003" i="21" a="1"/>
  <c r="B1003" i="21" s="1"/>
  <c r="A1003" i="21" a="1"/>
  <c r="A1003" i="21" s="1"/>
  <c r="C1002" i="21" a="1"/>
  <c r="C1002" i="21" s="1"/>
  <c r="B1002" i="21" a="1"/>
  <c r="B1002" i="21" s="1"/>
  <c r="A1002" i="21" a="1"/>
  <c r="A1002" i="21" s="1"/>
  <c r="C1001" i="21" a="1"/>
  <c r="C1001" i="21" s="1"/>
  <c r="B1001" i="21" a="1"/>
  <c r="B1001" i="21" s="1"/>
  <c r="A1001" i="21" a="1"/>
  <c r="A1001" i="21" s="1"/>
  <c r="C1000" i="21" a="1"/>
  <c r="C1000" i="21" s="1"/>
  <c r="B1000" i="21" a="1"/>
  <c r="B1000" i="21" s="1"/>
  <c r="A1000" i="21" a="1"/>
  <c r="A1000" i="21" s="1"/>
  <c r="C999" i="21" a="1"/>
  <c r="C999" i="21" s="1"/>
  <c r="B999" i="21" a="1"/>
  <c r="B999" i="21" s="1"/>
  <c r="A999" i="21" a="1"/>
  <c r="A999" i="21" s="1"/>
  <c r="C998" i="21" a="1"/>
  <c r="C998" i="21" s="1"/>
  <c r="B998" i="21" a="1"/>
  <c r="B998" i="21" s="1"/>
  <c r="A998" i="21" a="1"/>
  <c r="A998" i="21" s="1"/>
  <c r="C997" i="21" a="1"/>
  <c r="C997" i="21" s="1"/>
  <c r="B997" i="21" a="1"/>
  <c r="B997" i="21" s="1"/>
  <c r="A997" i="21" a="1"/>
  <c r="A997" i="21" s="1"/>
  <c r="C996" i="21" a="1"/>
  <c r="C996" i="21" s="1"/>
  <c r="B996" i="21" a="1"/>
  <c r="B996" i="21" s="1"/>
  <c r="A996" i="21" a="1"/>
  <c r="A996" i="21" s="1"/>
  <c r="C995" i="21" a="1"/>
  <c r="C995" i="21" s="1"/>
  <c r="B995" i="21" a="1"/>
  <c r="B995" i="21" s="1"/>
  <c r="A995" i="21" a="1"/>
  <c r="A995" i="21" s="1"/>
  <c r="C994" i="21" a="1"/>
  <c r="C994" i="21" s="1"/>
  <c r="B994" i="21" a="1"/>
  <c r="B994" i="21" s="1"/>
  <c r="A994" i="21" a="1"/>
  <c r="A994" i="21" s="1"/>
  <c r="C993" i="21" a="1"/>
  <c r="C993" i="21" s="1"/>
  <c r="B993" i="21" a="1"/>
  <c r="B993" i="21" s="1"/>
  <c r="A993" i="21" a="1"/>
  <c r="A993" i="21" s="1"/>
  <c r="C992" i="21" a="1"/>
  <c r="C992" i="21" s="1"/>
  <c r="B992" i="21" a="1"/>
  <c r="B992" i="21" s="1"/>
  <c r="A992" i="21" a="1"/>
  <c r="A992" i="21" s="1"/>
  <c r="C991" i="21" a="1"/>
  <c r="C991" i="21" s="1"/>
  <c r="B991" i="21" a="1"/>
  <c r="B991" i="21" s="1"/>
  <c r="A991" i="21" a="1"/>
  <c r="A991" i="21" s="1"/>
  <c r="C990" i="21" a="1"/>
  <c r="C990" i="21" s="1"/>
  <c r="B990" i="21" a="1"/>
  <c r="B990" i="21" s="1"/>
  <c r="A990" i="21" a="1"/>
  <c r="A990" i="21" s="1"/>
  <c r="C989" i="21" a="1"/>
  <c r="C989" i="21" s="1"/>
  <c r="B989" i="21" a="1"/>
  <c r="B989" i="21" s="1"/>
  <c r="A989" i="21" a="1"/>
  <c r="A989" i="21" s="1"/>
  <c r="C988" i="21" a="1"/>
  <c r="C988" i="21" s="1"/>
  <c r="B988" i="21" a="1"/>
  <c r="B988" i="21" s="1"/>
  <c r="A988" i="21" a="1"/>
  <c r="A988" i="21" s="1"/>
  <c r="C987" i="21" a="1"/>
  <c r="C987" i="21" s="1"/>
  <c r="B987" i="21" a="1"/>
  <c r="B987" i="21" s="1"/>
  <c r="A987" i="21" a="1"/>
  <c r="A987" i="21" s="1"/>
  <c r="C986" i="21" a="1"/>
  <c r="C986" i="21" s="1"/>
  <c r="B986" i="21" a="1"/>
  <c r="B986" i="21" s="1"/>
  <c r="A986" i="21" a="1"/>
  <c r="A986" i="21" s="1"/>
  <c r="C985" i="21" a="1"/>
  <c r="C985" i="21" s="1"/>
  <c r="B985" i="21" a="1"/>
  <c r="B985" i="21" s="1"/>
  <c r="A985" i="21" a="1"/>
  <c r="A985" i="21" s="1"/>
  <c r="C984" i="21" a="1"/>
  <c r="C984" i="21" s="1"/>
  <c r="B984" i="21" a="1"/>
  <c r="B984" i="21" s="1"/>
  <c r="A984" i="21" a="1"/>
  <c r="A984" i="21" s="1"/>
  <c r="C983" i="21" a="1"/>
  <c r="C983" i="21" s="1"/>
  <c r="B983" i="21" a="1"/>
  <c r="B983" i="21" s="1"/>
  <c r="A983" i="21" a="1"/>
  <c r="A983" i="21" s="1"/>
  <c r="C982" i="21" a="1"/>
  <c r="C982" i="21" s="1"/>
  <c r="B982" i="21" a="1"/>
  <c r="B982" i="21" s="1"/>
  <c r="A982" i="21" a="1"/>
  <c r="A982" i="21" s="1"/>
  <c r="C981" i="21" a="1"/>
  <c r="C981" i="21" s="1"/>
  <c r="B981" i="21" a="1"/>
  <c r="B981" i="21" s="1"/>
  <c r="A981" i="21" a="1"/>
  <c r="A981" i="21" s="1"/>
  <c r="C980" i="21" a="1"/>
  <c r="C980" i="21" s="1"/>
  <c r="B980" i="21" a="1"/>
  <c r="B980" i="21" s="1"/>
  <c r="A980" i="21" a="1"/>
  <c r="A980" i="21" s="1"/>
  <c r="C979" i="21" a="1"/>
  <c r="C979" i="21" s="1"/>
  <c r="B979" i="21" a="1"/>
  <c r="B979" i="21" s="1"/>
  <c r="A979" i="21" a="1"/>
  <c r="A979" i="21" s="1"/>
  <c r="C978" i="21" a="1"/>
  <c r="C978" i="21" s="1"/>
  <c r="B978" i="21" a="1"/>
  <c r="B978" i="21" s="1"/>
  <c r="A978" i="21" a="1"/>
  <c r="A978" i="21" s="1"/>
  <c r="C977" i="21" a="1"/>
  <c r="C977" i="21" s="1"/>
  <c r="B977" i="21" a="1"/>
  <c r="B977" i="21" s="1"/>
  <c r="A977" i="21" a="1"/>
  <c r="A977" i="21" s="1"/>
  <c r="C976" i="21" a="1"/>
  <c r="C976" i="21" s="1"/>
  <c r="B976" i="21" a="1"/>
  <c r="B976" i="21" s="1"/>
  <c r="A976" i="21" a="1"/>
  <c r="A976" i="21" s="1"/>
  <c r="C975" i="21" a="1"/>
  <c r="C975" i="21" s="1"/>
  <c r="B975" i="21" a="1"/>
  <c r="B975" i="21" s="1"/>
  <c r="A975" i="21" a="1"/>
  <c r="A975" i="21" s="1"/>
  <c r="C974" i="21" a="1"/>
  <c r="C974" i="21" s="1"/>
  <c r="B974" i="21" a="1"/>
  <c r="B974" i="21" s="1"/>
  <c r="A974" i="21" a="1"/>
  <c r="A974" i="21" s="1"/>
  <c r="C973" i="21" a="1"/>
  <c r="C973" i="21" s="1"/>
  <c r="B973" i="21" a="1"/>
  <c r="B973" i="21" s="1"/>
  <c r="A973" i="21" a="1"/>
  <c r="A973" i="21" s="1"/>
  <c r="C972" i="21" a="1"/>
  <c r="C972" i="21" s="1"/>
  <c r="B972" i="21" a="1"/>
  <c r="B972" i="21" s="1"/>
  <c r="A972" i="21" a="1"/>
  <c r="A972" i="21" s="1"/>
  <c r="C971" i="21" a="1"/>
  <c r="C971" i="21" s="1"/>
  <c r="B971" i="21" a="1"/>
  <c r="B971" i="21" s="1"/>
  <c r="A971" i="21" a="1"/>
  <c r="A971" i="21" s="1"/>
  <c r="C970" i="21" a="1"/>
  <c r="C970" i="21" s="1"/>
  <c r="B970" i="21" a="1"/>
  <c r="B970" i="21" s="1"/>
  <c r="A970" i="21" a="1"/>
  <c r="A970" i="21" s="1"/>
  <c r="C969" i="21" a="1"/>
  <c r="C969" i="21" s="1"/>
  <c r="B969" i="21" a="1"/>
  <c r="B969" i="21" s="1"/>
  <c r="A969" i="21" a="1"/>
  <c r="A969" i="21" s="1"/>
  <c r="C965" i="21" a="1"/>
  <c r="C965" i="21" s="1"/>
  <c r="B965" i="21" a="1"/>
  <c r="B965" i="21" s="1"/>
  <c r="A965" i="21" a="1"/>
  <c r="A965" i="21" s="1"/>
  <c r="C964" i="21" a="1"/>
  <c r="C964" i="21" s="1"/>
  <c r="B964" i="21" a="1"/>
  <c r="B964" i="21" s="1"/>
  <c r="A964" i="21" a="1"/>
  <c r="A964" i="21" s="1"/>
  <c r="C963" i="21" a="1"/>
  <c r="C963" i="21" s="1"/>
  <c r="B963" i="21" a="1"/>
  <c r="B963" i="21" s="1"/>
  <c r="A963" i="21" a="1"/>
  <c r="A963" i="21" s="1"/>
  <c r="C962" i="21" a="1"/>
  <c r="C962" i="21" s="1"/>
  <c r="B962" i="21" a="1"/>
  <c r="B962" i="21" s="1"/>
  <c r="A962" i="21" a="1"/>
  <c r="A962" i="21" s="1"/>
  <c r="C961" i="21" a="1"/>
  <c r="C961" i="21" s="1"/>
  <c r="B961" i="21" a="1"/>
  <c r="B961" i="21" s="1"/>
  <c r="A961" i="21" a="1"/>
  <c r="A961" i="21" s="1"/>
  <c r="C960" i="21" a="1"/>
  <c r="C960" i="21" s="1"/>
  <c r="B960" i="21" a="1"/>
  <c r="B960" i="21" s="1"/>
  <c r="A960" i="21" a="1"/>
  <c r="A960" i="21" s="1"/>
  <c r="C959" i="21" a="1"/>
  <c r="C959" i="21" s="1"/>
  <c r="B959" i="21" a="1"/>
  <c r="B959" i="21" s="1"/>
  <c r="A959" i="21" a="1"/>
  <c r="A959" i="21" s="1"/>
  <c r="C958" i="21" a="1"/>
  <c r="C958" i="21" s="1"/>
  <c r="B958" i="21" a="1"/>
  <c r="B958" i="21" s="1"/>
  <c r="A958" i="21" a="1"/>
  <c r="A958" i="21" s="1"/>
  <c r="C957" i="21" a="1"/>
  <c r="C957" i="21" s="1"/>
  <c r="B957" i="21" a="1"/>
  <c r="B957" i="21" s="1"/>
  <c r="A957" i="21" a="1"/>
  <c r="A957" i="21" s="1"/>
  <c r="C956" i="21" a="1"/>
  <c r="C956" i="21" s="1"/>
  <c r="B956" i="21" a="1"/>
  <c r="B956" i="21" s="1"/>
  <c r="A956" i="21" a="1"/>
  <c r="A956" i="21" s="1"/>
  <c r="C955" i="21" a="1"/>
  <c r="C955" i="21" s="1"/>
  <c r="B955" i="21" a="1"/>
  <c r="B955" i="21" s="1"/>
  <c r="A955" i="21" a="1"/>
  <c r="A955" i="21" s="1"/>
  <c r="C954" i="21" a="1"/>
  <c r="C954" i="21" s="1"/>
  <c r="B954" i="21" a="1"/>
  <c r="B954" i="21" s="1"/>
  <c r="A954" i="21" a="1"/>
  <c r="A954" i="21" s="1"/>
  <c r="C953" i="21" a="1"/>
  <c r="C953" i="21" s="1"/>
  <c r="B953" i="21" a="1"/>
  <c r="B953" i="21" s="1"/>
  <c r="A953" i="21" a="1"/>
  <c r="A953" i="21" s="1"/>
  <c r="C952" i="21" a="1"/>
  <c r="C952" i="21" s="1"/>
  <c r="B952" i="21" a="1"/>
  <c r="B952" i="21" s="1"/>
  <c r="A952" i="21" a="1"/>
  <c r="A952" i="21" s="1"/>
  <c r="C951" i="21" a="1"/>
  <c r="C951" i="21" s="1"/>
  <c r="B951" i="21" a="1"/>
  <c r="B951" i="21" s="1"/>
  <c r="A951" i="21" a="1"/>
  <c r="A951" i="21" s="1"/>
  <c r="C950" i="21" a="1"/>
  <c r="C950" i="21" s="1"/>
  <c r="B950" i="21" a="1"/>
  <c r="B950" i="21" s="1"/>
  <c r="A950" i="21" a="1"/>
  <c r="A950" i="21" s="1"/>
  <c r="C949" i="21" a="1"/>
  <c r="C949" i="21" s="1"/>
  <c r="B949" i="21" a="1"/>
  <c r="B949" i="21" s="1"/>
  <c r="A949" i="21" a="1"/>
  <c r="A949" i="21" s="1"/>
  <c r="C948" i="21" a="1"/>
  <c r="C948" i="21" s="1"/>
  <c r="B948" i="21" a="1"/>
  <c r="B948" i="21" s="1"/>
  <c r="A948" i="21" a="1"/>
  <c r="A948" i="21" s="1"/>
  <c r="C947" i="21" a="1"/>
  <c r="C947" i="21" s="1"/>
  <c r="B947" i="21" a="1"/>
  <c r="B947" i="21" s="1"/>
  <c r="A947" i="21" a="1"/>
  <c r="A947" i="21" s="1"/>
  <c r="C946" i="21" a="1"/>
  <c r="C946" i="21" s="1"/>
  <c r="B946" i="21" a="1"/>
  <c r="B946" i="21" s="1"/>
  <c r="A946" i="21" a="1"/>
  <c r="A946" i="21" s="1"/>
  <c r="C945" i="21" a="1"/>
  <c r="C945" i="21" s="1"/>
  <c r="B945" i="21" a="1"/>
  <c r="B945" i="21" s="1"/>
  <c r="A945" i="21" a="1"/>
  <c r="A945" i="21" s="1"/>
  <c r="C944" i="21" a="1"/>
  <c r="C944" i="21" s="1"/>
  <c r="B944" i="21" a="1"/>
  <c r="B944" i="21" s="1"/>
  <c r="A944" i="21" a="1"/>
  <c r="A944" i="21" s="1"/>
  <c r="C943" i="21" a="1"/>
  <c r="C943" i="21" s="1"/>
  <c r="B943" i="21" a="1"/>
  <c r="B943" i="21" s="1"/>
  <c r="A943" i="21" a="1"/>
  <c r="A943" i="21" s="1"/>
  <c r="C942" i="21" a="1"/>
  <c r="C942" i="21" s="1"/>
  <c r="B942" i="21" a="1"/>
  <c r="B942" i="21" s="1"/>
  <c r="A942" i="21" a="1"/>
  <c r="A942" i="21" s="1"/>
  <c r="C941" i="21" a="1"/>
  <c r="C941" i="21" s="1"/>
  <c r="B941" i="21" a="1"/>
  <c r="B941" i="21" s="1"/>
  <c r="A941" i="21" a="1"/>
  <c r="A941" i="21" s="1"/>
  <c r="C940" i="21" a="1"/>
  <c r="C940" i="21" s="1"/>
  <c r="B940" i="21" a="1"/>
  <c r="B940" i="21" s="1"/>
  <c r="A940" i="21" a="1"/>
  <c r="A940" i="21" s="1"/>
  <c r="C939" i="21" a="1"/>
  <c r="C939" i="21" s="1"/>
  <c r="B939" i="21" a="1"/>
  <c r="B939" i="21" s="1"/>
  <c r="A939" i="21" a="1"/>
  <c r="A939" i="21" s="1"/>
  <c r="C938" i="21" a="1"/>
  <c r="C938" i="21" s="1"/>
  <c r="B938" i="21" a="1"/>
  <c r="B938" i="21" s="1"/>
  <c r="A938" i="21" a="1"/>
  <c r="A938" i="21" s="1"/>
  <c r="C937" i="21" a="1"/>
  <c r="C937" i="21" s="1"/>
  <c r="B937" i="21" a="1"/>
  <c r="B937" i="21" s="1"/>
  <c r="A937" i="21" a="1"/>
  <c r="A937" i="21" s="1"/>
  <c r="C936" i="21" a="1"/>
  <c r="C936" i="21" s="1"/>
  <c r="B936" i="21" a="1"/>
  <c r="B936" i="21" s="1"/>
  <c r="A936" i="21" a="1"/>
  <c r="A936" i="21" s="1"/>
  <c r="C935" i="21" a="1"/>
  <c r="C935" i="21" s="1"/>
  <c r="B935" i="21" a="1"/>
  <c r="B935" i="21" s="1"/>
  <c r="A935" i="21" a="1"/>
  <c r="A935" i="21" s="1"/>
  <c r="C934" i="21" a="1"/>
  <c r="C934" i="21" s="1"/>
  <c r="B934" i="21" a="1"/>
  <c r="B934" i="21" s="1"/>
  <c r="A934" i="21" a="1"/>
  <c r="A934" i="21" s="1"/>
  <c r="C933" i="21" a="1"/>
  <c r="C933" i="21" s="1"/>
  <c r="B933" i="21" a="1"/>
  <c r="B933" i="21" s="1"/>
  <c r="A933" i="21" a="1"/>
  <c r="A933" i="21" s="1"/>
  <c r="C932" i="21" a="1"/>
  <c r="C932" i="21" s="1"/>
  <c r="B932" i="21" a="1"/>
  <c r="B932" i="21" s="1"/>
  <c r="A932" i="21" a="1"/>
  <c r="A932" i="21" s="1"/>
  <c r="C931" i="21" a="1"/>
  <c r="C931" i="21" s="1"/>
  <c r="B931" i="21" a="1"/>
  <c r="B931" i="21" s="1"/>
  <c r="A931" i="21" a="1"/>
  <c r="A931" i="21" s="1"/>
  <c r="C927" i="21" a="1"/>
  <c r="C927" i="21" s="1"/>
  <c r="B927" i="21" a="1"/>
  <c r="B927" i="21" s="1"/>
  <c r="A927" i="21" a="1"/>
  <c r="A927" i="21" s="1"/>
  <c r="C926" i="21" a="1"/>
  <c r="C926" i="21" s="1"/>
  <c r="B926" i="21" a="1"/>
  <c r="B926" i="21" s="1"/>
  <c r="A926" i="21" a="1"/>
  <c r="A926" i="21" s="1"/>
  <c r="C925" i="21" a="1"/>
  <c r="C925" i="21" s="1"/>
  <c r="B925" i="21" a="1"/>
  <c r="B925" i="21" s="1"/>
  <c r="A925" i="21" a="1"/>
  <c r="A925" i="21" s="1"/>
  <c r="C924" i="21" a="1"/>
  <c r="C924" i="21" s="1"/>
  <c r="B924" i="21" a="1"/>
  <c r="B924" i="21" s="1"/>
  <c r="A924" i="21" a="1"/>
  <c r="A924" i="21" s="1"/>
  <c r="C923" i="21" a="1"/>
  <c r="C923" i="21" s="1"/>
  <c r="B923" i="21" a="1"/>
  <c r="B923" i="21" s="1"/>
  <c r="A923" i="21" a="1"/>
  <c r="A923" i="21" s="1"/>
  <c r="C922" i="21" a="1"/>
  <c r="C922" i="21" s="1"/>
  <c r="B922" i="21" a="1"/>
  <c r="B922" i="21" s="1"/>
  <c r="A922" i="21" a="1"/>
  <c r="A922" i="21" s="1"/>
  <c r="C921" i="21" a="1"/>
  <c r="C921" i="21" s="1"/>
  <c r="B921" i="21" a="1"/>
  <c r="B921" i="21" s="1"/>
  <c r="A921" i="21" a="1"/>
  <c r="A921" i="21" s="1"/>
  <c r="C920" i="21" a="1"/>
  <c r="C920" i="21" s="1"/>
  <c r="B920" i="21" a="1"/>
  <c r="B920" i="21" s="1"/>
  <c r="A920" i="21" a="1"/>
  <c r="A920" i="21" s="1"/>
  <c r="C919" i="21" a="1"/>
  <c r="C919" i="21" s="1"/>
  <c r="B919" i="21" a="1"/>
  <c r="B919" i="21" s="1"/>
  <c r="A919" i="21" a="1"/>
  <c r="A919" i="21" s="1"/>
  <c r="C918" i="21" a="1"/>
  <c r="C918" i="21" s="1"/>
  <c r="B918" i="21" a="1"/>
  <c r="B918" i="21" s="1"/>
  <c r="A918" i="21" a="1"/>
  <c r="A918" i="21" s="1"/>
  <c r="C917" i="21" a="1"/>
  <c r="C917" i="21" s="1"/>
  <c r="B917" i="21" a="1"/>
  <c r="B917" i="21" s="1"/>
  <c r="A917" i="21" a="1"/>
  <c r="A917" i="21" s="1"/>
  <c r="C916" i="21" a="1"/>
  <c r="C916" i="21" s="1"/>
  <c r="B916" i="21" a="1"/>
  <c r="B916" i="21" s="1"/>
  <c r="A916" i="21" a="1"/>
  <c r="A916" i="21" s="1"/>
  <c r="C915" i="21" a="1"/>
  <c r="C915" i="21" s="1"/>
  <c r="B915" i="21" a="1"/>
  <c r="B915" i="21" s="1"/>
  <c r="A915" i="21" a="1"/>
  <c r="A915" i="21" s="1"/>
  <c r="C914" i="21" a="1"/>
  <c r="C914" i="21" s="1"/>
  <c r="B914" i="21" a="1"/>
  <c r="B914" i="21" s="1"/>
  <c r="A914" i="21" a="1"/>
  <c r="A914" i="21" s="1"/>
  <c r="C913" i="21" a="1"/>
  <c r="C913" i="21" s="1"/>
  <c r="B913" i="21" a="1"/>
  <c r="B913" i="21" s="1"/>
  <c r="A913" i="21" a="1"/>
  <c r="A913" i="21" s="1"/>
  <c r="C912" i="21" a="1"/>
  <c r="C912" i="21" s="1"/>
  <c r="B912" i="21" a="1"/>
  <c r="B912" i="21" s="1"/>
  <c r="A912" i="21" a="1"/>
  <c r="A912" i="21" s="1"/>
  <c r="C911" i="21" a="1"/>
  <c r="C911" i="21" s="1"/>
  <c r="B911" i="21" a="1"/>
  <c r="B911" i="21" s="1"/>
  <c r="A911" i="21" a="1"/>
  <c r="A911" i="21" s="1"/>
  <c r="C910" i="21" a="1"/>
  <c r="C910" i="21" s="1"/>
  <c r="B910" i="21" a="1"/>
  <c r="B910" i="21" s="1"/>
  <c r="A910" i="21" a="1"/>
  <c r="A910" i="21" s="1"/>
  <c r="C909" i="21" a="1"/>
  <c r="C909" i="21" s="1"/>
  <c r="B909" i="21" a="1"/>
  <c r="B909" i="21" s="1"/>
  <c r="A909" i="21" a="1"/>
  <c r="A909" i="21" s="1"/>
  <c r="C908" i="21" a="1"/>
  <c r="C908" i="21" s="1"/>
  <c r="B908" i="21" a="1"/>
  <c r="B908" i="21" s="1"/>
  <c r="A908" i="21" a="1"/>
  <c r="A908" i="21" s="1"/>
  <c r="C907" i="21" a="1"/>
  <c r="C907" i="21" s="1"/>
  <c r="B907" i="21" a="1"/>
  <c r="B907" i="21" s="1"/>
  <c r="A907" i="21" a="1"/>
  <c r="A907" i="21" s="1"/>
  <c r="C906" i="21" a="1"/>
  <c r="C906" i="21" s="1"/>
  <c r="B906" i="21" a="1"/>
  <c r="B906" i="21" s="1"/>
  <c r="A906" i="21" a="1"/>
  <c r="A906" i="21" s="1"/>
  <c r="C905" i="21" a="1"/>
  <c r="C905" i="21" s="1"/>
  <c r="B905" i="21" a="1"/>
  <c r="B905" i="21" s="1"/>
  <c r="A905" i="21" a="1"/>
  <c r="A905" i="21" s="1"/>
  <c r="C904" i="21" a="1"/>
  <c r="C904" i="21" s="1"/>
  <c r="B904" i="21" a="1"/>
  <c r="B904" i="21" s="1"/>
  <c r="A904" i="21" a="1"/>
  <c r="A904" i="21" s="1"/>
  <c r="C903" i="21" a="1"/>
  <c r="C903" i="21" s="1"/>
  <c r="B903" i="21" a="1"/>
  <c r="B903" i="21" s="1"/>
  <c r="A903" i="21" a="1"/>
  <c r="A903" i="21" s="1"/>
  <c r="C902" i="21" a="1"/>
  <c r="C902" i="21" s="1"/>
  <c r="B902" i="21" a="1"/>
  <c r="B902" i="21" s="1"/>
  <c r="A902" i="21" a="1"/>
  <c r="A902" i="21" s="1"/>
  <c r="C901" i="21" a="1"/>
  <c r="C901" i="21" s="1"/>
  <c r="B901" i="21" a="1"/>
  <c r="B901" i="21" s="1"/>
  <c r="A901" i="21" a="1"/>
  <c r="A901" i="21" s="1"/>
  <c r="C900" i="21" a="1"/>
  <c r="C900" i="21" s="1"/>
  <c r="B900" i="21" a="1"/>
  <c r="B900" i="21" s="1"/>
  <c r="A900" i="21" a="1"/>
  <c r="A900" i="21" s="1"/>
  <c r="C899" i="21" a="1"/>
  <c r="C899" i="21" s="1"/>
  <c r="B899" i="21" a="1"/>
  <c r="B899" i="21" s="1"/>
  <c r="A899" i="21" a="1"/>
  <c r="A899" i="21" s="1"/>
  <c r="C898" i="21" a="1"/>
  <c r="C898" i="21" s="1"/>
  <c r="B898" i="21" a="1"/>
  <c r="B898" i="21" s="1"/>
  <c r="A898" i="21" a="1"/>
  <c r="A898" i="21" s="1"/>
  <c r="C897" i="21" a="1"/>
  <c r="C897" i="21" s="1"/>
  <c r="B897" i="21" a="1"/>
  <c r="B897" i="21" s="1"/>
  <c r="A897" i="21" a="1"/>
  <c r="A897" i="21" s="1"/>
  <c r="C896" i="21" a="1"/>
  <c r="C896" i="21" s="1"/>
  <c r="B896" i="21" a="1"/>
  <c r="B896" i="21" s="1"/>
  <c r="A896" i="21" a="1"/>
  <c r="A896" i="21" s="1"/>
  <c r="C895" i="21" a="1"/>
  <c r="C895" i="21" s="1"/>
  <c r="B895" i="21" a="1"/>
  <c r="B895" i="21" s="1"/>
  <c r="A895" i="21" a="1"/>
  <c r="A895" i="21" s="1"/>
  <c r="C894" i="21" a="1"/>
  <c r="C894" i="21" s="1"/>
  <c r="B894" i="21" a="1"/>
  <c r="B894" i="21" s="1"/>
  <c r="A894" i="21" a="1"/>
  <c r="A894" i="21" s="1"/>
  <c r="C893" i="21" a="1"/>
  <c r="C893" i="21" s="1"/>
  <c r="B893" i="21" a="1"/>
  <c r="B893" i="21" s="1"/>
  <c r="A893" i="21" a="1"/>
  <c r="A893" i="21" s="1"/>
  <c r="C889" i="21" a="1"/>
  <c r="C889" i="21" s="1"/>
  <c r="B889" i="21" a="1"/>
  <c r="B889" i="21" s="1"/>
  <c r="A889" i="21" a="1"/>
  <c r="A889" i="21" s="1"/>
  <c r="C888" i="21" a="1"/>
  <c r="C888" i="21" s="1"/>
  <c r="B888" i="21" a="1"/>
  <c r="B888" i="21" s="1"/>
  <c r="A888" i="21" a="1"/>
  <c r="A888" i="21" s="1"/>
  <c r="C887" i="21" a="1"/>
  <c r="C887" i="21" s="1"/>
  <c r="B887" i="21" a="1"/>
  <c r="B887" i="21" s="1"/>
  <c r="A887" i="21" a="1"/>
  <c r="A887" i="21" s="1"/>
  <c r="C886" i="21" a="1"/>
  <c r="C886" i="21" s="1"/>
  <c r="B886" i="21" a="1"/>
  <c r="B886" i="21" s="1"/>
  <c r="A886" i="21" a="1"/>
  <c r="A886" i="21" s="1"/>
  <c r="C885" i="21" a="1"/>
  <c r="C885" i="21" s="1"/>
  <c r="B885" i="21" a="1"/>
  <c r="B885" i="21" s="1"/>
  <c r="A885" i="21" a="1"/>
  <c r="A885" i="21" s="1"/>
  <c r="C884" i="21" a="1"/>
  <c r="C884" i="21" s="1"/>
  <c r="B884" i="21" a="1"/>
  <c r="B884" i="21" s="1"/>
  <c r="A884" i="21" a="1"/>
  <c r="A884" i="21" s="1"/>
  <c r="C883" i="21" a="1"/>
  <c r="C883" i="21" s="1"/>
  <c r="B883" i="21" a="1"/>
  <c r="B883" i="21" s="1"/>
  <c r="A883" i="21" a="1"/>
  <c r="A883" i="21" s="1"/>
  <c r="C882" i="21" a="1"/>
  <c r="C882" i="21" s="1"/>
  <c r="B882" i="21" a="1"/>
  <c r="B882" i="21" s="1"/>
  <c r="A882" i="21" a="1"/>
  <c r="A882" i="21" s="1"/>
  <c r="C881" i="21" a="1"/>
  <c r="C881" i="21" s="1"/>
  <c r="B881" i="21" a="1"/>
  <c r="B881" i="21" s="1"/>
  <c r="A881" i="21" a="1"/>
  <c r="A881" i="21" s="1"/>
  <c r="C880" i="21" a="1"/>
  <c r="C880" i="21" s="1"/>
  <c r="B880" i="21" a="1"/>
  <c r="B880" i="21" s="1"/>
  <c r="A880" i="21" a="1"/>
  <c r="A880" i="21" s="1"/>
  <c r="C879" i="21" a="1"/>
  <c r="C879" i="21" s="1"/>
  <c r="B879" i="21" a="1"/>
  <c r="B879" i="21" s="1"/>
  <c r="A879" i="21" a="1"/>
  <c r="A879" i="21" s="1"/>
  <c r="C878" i="21" a="1"/>
  <c r="C878" i="21" s="1"/>
  <c r="B878" i="21" a="1"/>
  <c r="B878" i="21" s="1"/>
  <c r="A878" i="21" a="1"/>
  <c r="A878" i="21" s="1"/>
  <c r="C877" i="21" a="1"/>
  <c r="C877" i="21" s="1"/>
  <c r="B877" i="21" a="1"/>
  <c r="B877" i="21" s="1"/>
  <c r="A877" i="21" a="1"/>
  <c r="A877" i="21" s="1"/>
  <c r="C876" i="21" a="1"/>
  <c r="C876" i="21" s="1"/>
  <c r="B876" i="21" a="1"/>
  <c r="B876" i="21" s="1"/>
  <c r="A876" i="21" a="1"/>
  <c r="A876" i="21" s="1"/>
  <c r="C875" i="21" a="1"/>
  <c r="C875" i="21" s="1"/>
  <c r="B875" i="21" a="1"/>
  <c r="B875" i="21" s="1"/>
  <c r="A875" i="21" a="1"/>
  <c r="A875" i="21" s="1"/>
  <c r="C874" i="21" a="1"/>
  <c r="C874" i="21" s="1"/>
  <c r="B874" i="21" a="1"/>
  <c r="B874" i="21" s="1"/>
  <c r="A874" i="21" a="1"/>
  <c r="A874" i="21" s="1"/>
  <c r="C873" i="21" a="1"/>
  <c r="C873" i="21" s="1"/>
  <c r="B873" i="21" a="1"/>
  <c r="B873" i="21" s="1"/>
  <c r="A873" i="21" a="1"/>
  <c r="A873" i="21" s="1"/>
  <c r="C872" i="21" a="1"/>
  <c r="C872" i="21" s="1"/>
  <c r="B872" i="21" a="1"/>
  <c r="B872" i="21" s="1"/>
  <c r="A872" i="21" a="1"/>
  <c r="A872" i="21" s="1"/>
  <c r="C871" i="21" a="1"/>
  <c r="C871" i="21" s="1"/>
  <c r="B871" i="21" a="1"/>
  <c r="B871" i="21" s="1"/>
  <c r="A871" i="21" a="1"/>
  <c r="A871" i="21" s="1"/>
  <c r="C870" i="21" a="1"/>
  <c r="C870" i="21" s="1"/>
  <c r="B870" i="21" a="1"/>
  <c r="B870" i="21" s="1"/>
  <c r="A870" i="21" a="1"/>
  <c r="A870" i="21" s="1"/>
  <c r="C869" i="21" a="1"/>
  <c r="C869" i="21" s="1"/>
  <c r="B869" i="21" a="1"/>
  <c r="B869" i="21" s="1"/>
  <c r="A869" i="21" a="1"/>
  <c r="A869" i="21" s="1"/>
  <c r="C868" i="21" a="1"/>
  <c r="C868" i="21" s="1"/>
  <c r="B868" i="21" a="1"/>
  <c r="B868" i="21" s="1"/>
  <c r="A868" i="21" a="1"/>
  <c r="A868" i="21" s="1"/>
  <c r="C867" i="21" a="1"/>
  <c r="C867" i="21" s="1"/>
  <c r="B867" i="21" a="1"/>
  <c r="B867" i="21" s="1"/>
  <c r="A867" i="21" a="1"/>
  <c r="A867" i="21" s="1"/>
  <c r="C866" i="21" a="1"/>
  <c r="C866" i="21" s="1"/>
  <c r="B866" i="21" a="1"/>
  <c r="B866" i="21" s="1"/>
  <c r="A866" i="21" a="1"/>
  <c r="A866" i="21" s="1"/>
  <c r="C865" i="21" a="1"/>
  <c r="C865" i="21" s="1"/>
  <c r="B865" i="21" a="1"/>
  <c r="B865" i="21" s="1"/>
  <c r="A865" i="21" a="1"/>
  <c r="A865" i="21" s="1"/>
  <c r="C864" i="21" a="1"/>
  <c r="C864" i="21" s="1"/>
  <c r="B864" i="21" a="1"/>
  <c r="B864" i="21" s="1"/>
  <c r="A864" i="21" a="1"/>
  <c r="A864" i="21" s="1"/>
  <c r="C863" i="21" a="1"/>
  <c r="C863" i="21" s="1"/>
  <c r="B863" i="21" a="1"/>
  <c r="B863" i="21" s="1"/>
  <c r="A863" i="21" a="1"/>
  <c r="A863" i="21" s="1"/>
  <c r="C862" i="21" a="1"/>
  <c r="C862" i="21" s="1"/>
  <c r="B862" i="21" a="1"/>
  <c r="B862" i="21" s="1"/>
  <c r="A862" i="21" a="1"/>
  <c r="A862" i="21" s="1"/>
  <c r="C861" i="21" a="1"/>
  <c r="C861" i="21" s="1"/>
  <c r="B861" i="21" a="1"/>
  <c r="B861" i="21" s="1"/>
  <c r="A861" i="21" a="1"/>
  <c r="A861" i="21" s="1"/>
  <c r="C860" i="21" a="1"/>
  <c r="C860" i="21" s="1"/>
  <c r="B860" i="21" a="1"/>
  <c r="B860" i="21" s="1"/>
  <c r="A860" i="21" a="1"/>
  <c r="A860" i="21" s="1"/>
  <c r="C859" i="21" a="1"/>
  <c r="C859" i="21" s="1"/>
  <c r="B859" i="21" a="1"/>
  <c r="B859" i="21" s="1"/>
  <c r="A859" i="21" a="1"/>
  <c r="A859" i="21" s="1"/>
  <c r="C858" i="21" a="1"/>
  <c r="C858" i="21" s="1"/>
  <c r="B858" i="21" a="1"/>
  <c r="B858" i="21" s="1"/>
  <c r="A858" i="21" a="1"/>
  <c r="A858" i="21" s="1"/>
  <c r="C857" i="21" a="1"/>
  <c r="C857" i="21" s="1"/>
  <c r="B857" i="21" a="1"/>
  <c r="B857" i="21" s="1"/>
  <c r="A857" i="21" a="1"/>
  <c r="A857" i="21" s="1"/>
  <c r="C856" i="21" a="1"/>
  <c r="C856" i="21" s="1"/>
  <c r="B856" i="21" a="1"/>
  <c r="B856" i="21" s="1"/>
  <c r="A856" i="21" a="1"/>
  <c r="A856" i="21" s="1"/>
  <c r="C855" i="21" a="1"/>
  <c r="C855" i="21" s="1"/>
  <c r="B855" i="21" a="1"/>
  <c r="B855" i="21" s="1"/>
  <c r="A855" i="21" a="1"/>
  <c r="A855" i="21" s="1"/>
  <c r="C851" i="21" a="1"/>
  <c r="C851" i="21" s="1"/>
  <c r="B851" i="21" a="1"/>
  <c r="B851" i="21" s="1"/>
  <c r="A851" i="21" a="1"/>
  <c r="A851" i="21" s="1"/>
  <c r="C850" i="21" a="1"/>
  <c r="C850" i="21" s="1"/>
  <c r="B850" i="21" a="1"/>
  <c r="B850" i="21" s="1"/>
  <c r="A850" i="21" a="1"/>
  <c r="A850" i="21" s="1"/>
  <c r="C849" i="21" a="1"/>
  <c r="C849" i="21" s="1"/>
  <c r="B849" i="21" a="1"/>
  <c r="B849" i="21" s="1"/>
  <c r="A849" i="21" a="1"/>
  <c r="A849" i="21" s="1"/>
  <c r="C848" i="21" a="1"/>
  <c r="C848" i="21" s="1"/>
  <c r="B848" i="21" a="1"/>
  <c r="B848" i="21" s="1"/>
  <c r="A848" i="21" a="1"/>
  <c r="A848" i="21" s="1"/>
  <c r="C847" i="21" a="1"/>
  <c r="C847" i="21" s="1"/>
  <c r="B847" i="21" a="1"/>
  <c r="B847" i="21" s="1"/>
  <c r="A847" i="21" a="1"/>
  <c r="A847" i="21" s="1"/>
  <c r="C846" i="21" a="1"/>
  <c r="C846" i="21" s="1"/>
  <c r="B846" i="21" a="1"/>
  <c r="B846" i="21" s="1"/>
  <c r="A846" i="21" a="1"/>
  <c r="A846" i="21" s="1"/>
  <c r="C845" i="21" a="1"/>
  <c r="C845" i="21" s="1"/>
  <c r="B845" i="21" a="1"/>
  <c r="B845" i="21" s="1"/>
  <c r="A845" i="21" a="1"/>
  <c r="A845" i="21" s="1"/>
  <c r="C844" i="21" a="1"/>
  <c r="C844" i="21" s="1"/>
  <c r="B844" i="21" a="1"/>
  <c r="B844" i="21" s="1"/>
  <c r="A844" i="21" a="1"/>
  <c r="A844" i="21" s="1"/>
  <c r="C843" i="21" a="1"/>
  <c r="C843" i="21" s="1"/>
  <c r="B843" i="21" a="1"/>
  <c r="B843" i="21" s="1"/>
  <c r="A843" i="21" a="1"/>
  <c r="A843" i="21" s="1"/>
  <c r="C842" i="21" a="1"/>
  <c r="C842" i="21" s="1"/>
  <c r="B842" i="21" a="1"/>
  <c r="B842" i="21" s="1"/>
  <c r="A842" i="21" a="1"/>
  <c r="A842" i="21" s="1"/>
  <c r="C841" i="21" a="1"/>
  <c r="C841" i="21" s="1"/>
  <c r="B841" i="21" a="1"/>
  <c r="B841" i="21" s="1"/>
  <c r="A841" i="21" a="1"/>
  <c r="A841" i="21" s="1"/>
  <c r="C840" i="21" a="1"/>
  <c r="C840" i="21" s="1"/>
  <c r="B840" i="21" a="1"/>
  <c r="B840" i="21" s="1"/>
  <c r="A840" i="21" a="1"/>
  <c r="A840" i="21" s="1"/>
  <c r="C839" i="21" a="1"/>
  <c r="C839" i="21" s="1"/>
  <c r="B839" i="21" a="1"/>
  <c r="B839" i="21" s="1"/>
  <c r="A839" i="21" a="1"/>
  <c r="A839" i="21" s="1"/>
  <c r="C838" i="21" a="1"/>
  <c r="C838" i="21" s="1"/>
  <c r="B838" i="21" a="1"/>
  <c r="B838" i="21" s="1"/>
  <c r="A838" i="21" a="1"/>
  <c r="A838" i="21" s="1"/>
  <c r="C837" i="21" a="1"/>
  <c r="C837" i="21" s="1"/>
  <c r="B837" i="21" a="1"/>
  <c r="B837" i="21" s="1"/>
  <c r="A837" i="21" a="1"/>
  <c r="A837" i="21" s="1"/>
  <c r="C836" i="21" a="1"/>
  <c r="C836" i="21" s="1"/>
  <c r="B836" i="21" a="1"/>
  <c r="B836" i="21" s="1"/>
  <c r="A836" i="21" a="1"/>
  <c r="A836" i="21" s="1"/>
  <c r="C835" i="21" a="1"/>
  <c r="C835" i="21" s="1"/>
  <c r="B835" i="21" a="1"/>
  <c r="B835" i="21" s="1"/>
  <c r="A835" i="21" a="1"/>
  <c r="A835" i="21" s="1"/>
  <c r="C834" i="21" a="1"/>
  <c r="C834" i="21" s="1"/>
  <c r="B834" i="21" a="1"/>
  <c r="B834" i="21" s="1"/>
  <c r="A834" i="21" a="1"/>
  <c r="A834" i="21" s="1"/>
  <c r="C833" i="21" a="1"/>
  <c r="C833" i="21" s="1"/>
  <c r="B833" i="21" a="1"/>
  <c r="B833" i="21" s="1"/>
  <c r="A833" i="21" a="1"/>
  <c r="A833" i="21" s="1"/>
  <c r="C832" i="21" a="1"/>
  <c r="C832" i="21" s="1"/>
  <c r="B832" i="21" a="1"/>
  <c r="B832" i="21" s="1"/>
  <c r="A832" i="21" a="1"/>
  <c r="A832" i="21" s="1"/>
  <c r="C831" i="21" a="1"/>
  <c r="C831" i="21" s="1"/>
  <c r="B831" i="21" a="1"/>
  <c r="B831" i="21" s="1"/>
  <c r="A831" i="21" a="1"/>
  <c r="A831" i="21" s="1"/>
  <c r="C830" i="21" a="1"/>
  <c r="C830" i="21" s="1"/>
  <c r="B830" i="21" a="1"/>
  <c r="B830" i="21" s="1"/>
  <c r="A830" i="21" a="1"/>
  <c r="A830" i="21" s="1"/>
  <c r="C829" i="21" a="1"/>
  <c r="C829" i="21" s="1"/>
  <c r="B829" i="21" a="1"/>
  <c r="B829" i="21" s="1"/>
  <c r="A829" i="21" a="1"/>
  <c r="A829" i="21" s="1"/>
  <c r="C828" i="21" a="1"/>
  <c r="C828" i="21" s="1"/>
  <c r="B828" i="21" a="1"/>
  <c r="B828" i="21" s="1"/>
  <c r="A828" i="21" a="1"/>
  <c r="A828" i="21" s="1"/>
  <c r="C827" i="21" a="1"/>
  <c r="C827" i="21" s="1"/>
  <c r="B827" i="21" a="1"/>
  <c r="B827" i="21" s="1"/>
  <c r="A827" i="21" a="1"/>
  <c r="A827" i="21" s="1"/>
  <c r="C826" i="21" a="1"/>
  <c r="C826" i="21" s="1"/>
  <c r="B826" i="21" a="1"/>
  <c r="B826" i="21" s="1"/>
  <c r="A826" i="21" a="1"/>
  <c r="A826" i="21" s="1"/>
  <c r="C825" i="21" a="1"/>
  <c r="C825" i="21" s="1"/>
  <c r="B825" i="21" a="1"/>
  <c r="B825" i="21" s="1"/>
  <c r="A825" i="21" a="1"/>
  <c r="A825" i="21" s="1"/>
  <c r="C824" i="21" a="1"/>
  <c r="C824" i="21" s="1"/>
  <c r="B824" i="21" a="1"/>
  <c r="B824" i="21" s="1"/>
  <c r="A824" i="21" a="1"/>
  <c r="A824" i="21" s="1"/>
  <c r="C823" i="21" a="1"/>
  <c r="C823" i="21" s="1"/>
  <c r="B823" i="21" a="1"/>
  <c r="B823" i="21" s="1"/>
  <c r="A823" i="21" a="1"/>
  <c r="A823" i="21" s="1"/>
  <c r="C822" i="21" a="1"/>
  <c r="C822" i="21" s="1"/>
  <c r="B822" i="21" a="1"/>
  <c r="B822" i="21" s="1"/>
  <c r="A822" i="21" a="1"/>
  <c r="A822" i="21" s="1"/>
  <c r="C821" i="21" a="1"/>
  <c r="C821" i="21" s="1"/>
  <c r="B821" i="21" a="1"/>
  <c r="B821" i="21" s="1"/>
  <c r="A821" i="21" a="1"/>
  <c r="A821" i="21" s="1"/>
  <c r="C820" i="21" a="1"/>
  <c r="C820" i="21" s="1"/>
  <c r="B820" i="21" a="1"/>
  <c r="B820" i="21" s="1"/>
  <c r="A820" i="21" a="1"/>
  <c r="A820" i="21" s="1"/>
  <c r="C819" i="21" a="1"/>
  <c r="C819" i="21" s="1"/>
  <c r="B819" i="21" a="1"/>
  <c r="B819" i="21" s="1"/>
  <c r="A819" i="21" a="1"/>
  <c r="A819" i="21" s="1"/>
  <c r="C818" i="21" a="1"/>
  <c r="C818" i="21" s="1"/>
  <c r="B818" i="21" a="1"/>
  <c r="B818" i="21" s="1"/>
  <c r="A818" i="21" a="1"/>
  <c r="A818" i="21" s="1"/>
  <c r="C817" i="21" a="1"/>
  <c r="C817" i="21" s="1"/>
  <c r="B817" i="21" a="1"/>
  <c r="B817" i="21" s="1"/>
  <c r="A817" i="21" a="1"/>
  <c r="A817" i="21" s="1"/>
  <c r="C813" i="21" a="1"/>
  <c r="C813" i="21" s="1"/>
  <c r="B813" i="21" a="1"/>
  <c r="B813" i="21" s="1"/>
  <c r="A813" i="21" a="1"/>
  <c r="A813" i="21" s="1"/>
  <c r="C812" i="21" a="1"/>
  <c r="C812" i="21" s="1"/>
  <c r="B812" i="21" a="1"/>
  <c r="B812" i="21" s="1"/>
  <c r="A812" i="21" a="1"/>
  <c r="A812" i="21" s="1"/>
  <c r="C811" i="21" a="1"/>
  <c r="C811" i="21" s="1"/>
  <c r="B811" i="21" a="1"/>
  <c r="B811" i="21" s="1"/>
  <c r="A811" i="21" a="1"/>
  <c r="A811" i="21" s="1"/>
  <c r="C810" i="21" a="1"/>
  <c r="C810" i="21" s="1"/>
  <c r="B810" i="21" a="1"/>
  <c r="B810" i="21" s="1"/>
  <c r="A810" i="21" a="1"/>
  <c r="A810" i="21" s="1"/>
  <c r="C809" i="21" a="1"/>
  <c r="C809" i="21" s="1"/>
  <c r="B809" i="21" a="1"/>
  <c r="B809" i="21" s="1"/>
  <c r="A809" i="21" a="1"/>
  <c r="A809" i="21" s="1"/>
  <c r="C808" i="21" a="1"/>
  <c r="C808" i="21" s="1"/>
  <c r="B808" i="21" a="1"/>
  <c r="B808" i="21" s="1"/>
  <c r="A808" i="21" a="1"/>
  <c r="A808" i="21" s="1"/>
  <c r="C807" i="21" a="1"/>
  <c r="C807" i="21" s="1"/>
  <c r="B807" i="21" a="1"/>
  <c r="B807" i="21" s="1"/>
  <c r="A807" i="21" a="1"/>
  <c r="A807" i="21" s="1"/>
  <c r="C806" i="21" a="1"/>
  <c r="C806" i="21" s="1"/>
  <c r="B806" i="21" a="1"/>
  <c r="B806" i="21" s="1"/>
  <c r="A806" i="21" a="1"/>
  <c r="A806" i="21" s="1"/>
  <c r="C805" i="21" a="1"/>
  <c r="C805" i="21" s="1"/>
  <c r="B805" i="21" a="1"/>
  <c r="B805" i="21" s="1"/>
  <c r="A805" i="21" a="1"/>
  <c r="A805" i="21" s="1"/>
  <c r="C804" i="21" a="1"/>
  <c r="C804" i="21" s="1"/>
  <c r="B804" i="21" a="1"/>
  <c r="B804" i="21" s="1"/>
  <c r="A804" i="21" a="1"/>
  <c r="A804" i="21" s="1"/>
  <c r="C803" i="21" a="1"/>
  <c r="C803" i="21" s="1"/>
  <c r="B803" i="21" a="1"/>
  <c r="B803" i="21" s="1"/>
  <c r="A803" i="21" a="1"/>
  <c r="A803" i="21" s="1"/>
  <c r="C802" i="21" a="1"/>
  <c r="C802" i="21" s="1"/>
  <c r="B802" i="21" a="1"/>
  <c r="B802" i="21" s="1"/>
  <c r="A802" i="21" a="1"/>
  <c r="A802" i="21" s="1"/>
  <c r="C801" i="21" a="1"/>
  <c r="C801" i="21" s="1"/>
  <c r="B801" i="21" a="1"/>
  <c r="B801" i="21" s="1"/>
  <c r="A801" i="21" a="1"/>
  <c r="A801" i="21" s="1"/>
  <c r="C800" i="21" a="1"/>
  <c r="C800" i="21" s="1"/>
  <c r="B800" i="21" a="1"/>
  <c r="B800" i="21" s="1"/>
  <c r="A800" i="21" a="1"/>
  <c r="A800" i="21" s="1"/>
  <c r="C799" i="21" a="1"/>
  <c r="C799" i="21" s="1"/>
  <c r="B799" i="21" a="1"/>
  <c r="B799" i="21" s="1"/>
  <c r="A799" i="21" a="1"/>
  <c r="A799" i="21" s="1"/>
  <c r="C798" i="21" a="1"/>
  <c r="C798" i="21" s="1"/>
  <c r="B798" i="21" a="1"/>
  <c r="B798" i="21" s="1"/>
  <c r="A798" i="21" a="1"/>
  <c r="A798" i="21" s="1"/>
  <c r="C797" i="21" a="1"/>
  <c r="C797" i="21" s="1"/>
  <c r="B797" i="21" a="1"/>
  <c r="B797" i="21" s="1"/>
  <c r="A797" i="21" a="1"/>
  <c r="A797" i="21" s="1"/>
  <c r="C796" i="21" a="1"/>
  <c r="C796" i="21" s="1"/>
  <c r="B796" i="21" a="1"/>
  <c r="B796" i="21" s="1"/>
  <c r="A796" i="21" a="1"/>
  <c r="A796" i="21" s="1"/>
  <c r="C795" i="21" a="1"/>
  <c r="C795" i="21" s="1"/>
  <c r="B795" i="21" a="1"/>
  <c r="B795" i="21" s="1"/>
  <c r="A795" i="21" a="1"/>
  <c r="A795" i="21" s="1"/>
  <c r="C794" i="21" a="1"/>
  <c r="C794" i="21" s="1"/>
  <c r="B794" i="21" a="1"/>
  <c r="B794" i="21" s="1"/>
  <c r="A794" i="21" a="1"/>
  <c r="A794" i="21" s="1"/>
  <c r="C793" i="21" a="1"/>
  <c r="C793" i="21" s="1"/>
  <c r="B793" i="21" a="1"/>
  <c r="B793" i="21" s="1"/>
  <c r="A793" i="21" a="1"/>
  <c r="A793" i="21" s="1"/>
  <c r="C792" i="21" a="1"/>
  <c r="C792" i="21" s="1"/>
  <c r="B792" i="21" a="1"/>
  <c r="B792" i="21" s="1"/>
  <c r="A792" i="21" a="1"/>
  <c r="A792" i="21" s="1"/>
  <c r="C791" i="21" a="1"/>
  <c r="C791" i="21" s="1"/>
  <c r="B791" i="21" a="1"/>
  <c r="B791" i="21" s="1"/>
  <c r="A791" i="21" a="1"/>
  <c r="A791" i="21" s="1"/>
  <c r="C790" i="21" a="1"/>
  <c r="C790" i="21" s="1"/>
  <c r="B790" i="21" a="1"/>
  <c r="B790" i="21" s="1"/>
  <c r="A790" i="21" a="1"/>
  <c r="A790" i="21" s="1"/>
  <c r="C789" i="21" a="1"/>
  <c r="C789" i="21" s="1"/>
  <c r="B789" i="21" a="1"/>
  <c r="B789" i="21" s="1"/>
  <c r="A789" i="21" a="1"/>
  <c r="A789" i="21" s="1"/>
  <c r="C788" i="21" a="1"/>
  <c r="C788" i="21" s="1"/>
  <c r="B788" i="21" a="1"/>
  <c r="B788" i="21" s="1"/>
  <c r="A788" i="21" a="1"/>
  <c r="A788" i="21" s="1"/>
  <c r="C787" i="21" a="1"/>
  <c r="C787" i="21" s="1"/>
  <c r="B787" i="21" a="1"/>
  <c r="B787" i="21" s="1"/>
  <c r="A787" i="21" a="1"/>
  <c r="A787" i="21" s="1"/>
  <c r="C786" i="21" a="1"/>
  <c r="C786" i="21" s="1"/>
  <c r="B786" i="21" a="1"/>
  <c r="B786" i="21" s="1"/>
  <c r="A786" i="21" a="1"/>
  <c r="A786" i="21" s="1"/>
  <c r="C785" i="21" a="1"/>
  <c r="C785" i="21" s="1"/>
  <c r="B785" i="21" a="1"/>
  <c r="B785" i="21" s="1"/>
  <c r="A785" i="21" a="1"/>
  <c r="A785" i="21" s="1"/>
  <c r="C784" i="21" a="1"/>
  <c r="C784" i="21" s="1"/>
  <c r="B784" i="21" a="1"/>
  <c r="B784" i="21" s="1"/>
  <c r="A784" i="21" a="1"/>
  <c r="A784" i="21" s="1"/>
  <c r="C783" i="21" a="1"/>
  <c r="C783" i="21" s="1"/>
  <c r="B783" i="21" a="1"/>
  <c r="B783" i="21" s="1"/>
  <c r="A783" i="21" a="1"/>
  <c r="A783" i="21" s="1"/>
  <c r="C782" i="21" a="1"/>
  <c r="C782" i="21" s="1"/>
  <c r="B782" i="21" a="1"/>
  <c r="B782" i="21" s="1"/>
  <c r="A782" i="21" a="1"/>
  <c r="A782" i="21" s="1"/>
  <c r="C781" i="21" a="1"/>
  <c r="C781" i="21" s="1"/>
  <c r="B781" i="21" a="1"/>
  <c r="B781" i="21" s="1"/>
  <c r="A781" i="21" a="1"/>
  <c r="A781" i="21" s="1"/>
  <c r="C780" i="21" a="1"/>
  <c r="C780" i="21" s="1"/>
  <c r="B780" i="21" a="1"/>
  <c r="B780" i="21" s="1"/>
  <c r="A780" i="21" a="1"/>
  <c r="A780" i="21" s="1"/>
  <c r="C779" i="21" a="1"/>
  <c r="C779" i="21" s="1"/>
  <c r="B779" i="21" a="1"/>
  <c r="B779" i="21" s="1"/>
  <c r="A779" i="21" a="1"/>
  <c r="A779" i="21" s="1"/>
  <c r="C775" i="21" a="1"/>
  <c r="C775" i="21" s="1"/>
  <c r="B775" i="21" a="1"/>
  <c r="B775" i="21" s="1"/>
  <c r="A775" i="21" a="1"/>
  <c r="A775" i="21" s="1"/>
  <c r="C774" i="21" a="1"/>
  <c r="C774" i="21" s="1"/>
  <c r="B774" i="21" a="1"/>
  <c r="B774" i="21" s="1"/>
  <c r="A774" i="21" a="1"/>
  <c r="A774" i="21" s="1"/>
  <c r="C773" i="21" a="1"/>
  <c r="C773" i="21" s="1"/>
  <c r="B773" i="21" a="1"/>
  <c r="B773" i="21" s="1"/>
  <c r="A773" i="21" a="1"/>
  <c r="A773" i="21" s="1"/>
  <c r="C772" i="21" a="1"/>
  <c r="C772" i="21" s="1"/>
  <c r="B772" i="21" a="1"/>
  <c r="B772" i="21" s="1"/>
  <c r="A772" i="21" a="1"/>
  <c r="A772" i="21" s="1"/>
  <c r="C771" i="21" a="1"/>
  <c r="C771" i="21" s="1"/>
  <c r="B771" i="21" a="1"/>
  <c r="B771" i="21" s="1"/>
  <c r="A771" i="21" a="1"/>
  <c r="A771" i="21" s="1"/>
  <c r="C770" i="21" a="1"/>
  <c r="C770" i="21" s="1"/>
  <c r="B770" i="21" a="1"/>
  <c r="B770" i="21" s="1"/>
  <c r="A770" i="21" a="1"/>
  <c r="A770" i="21" s="1"/>
  <c r="C769" i="21" a="1"/>
  <c r="C769" i="21" s="1"/>
  <c r="B769" i="21" a="1"/>
  <c r="B769" i="21" s="1"/>
  <c r="A769" i="21" a="1"/>
  <c r="A769" i="21" s="1"/>
  <c r="C768" i="21" a="1"/>
  <c r="C768" i="21" s="1"/>
  <c r="B768" i="21" a="1"/>
  <c r="B768" i="21" s="1"/>
  <c r="A768" i="21" a="1"/>
  <c r="A768" i="21" s="1"/>
  <c r="C767" i="21" a="1"/>
  <c r="C767" i="21" s="1"/>
  <c r="B767" i="21" a="1"/>
  <c r="B767" i="21" s="1"/>
  <c r="A767" i="21" a="1"/>
  <c r="A767" i="21" s="1"/>
  <c r="C766" i="21" a="1"/>
  <c r="C766" i="21" s="1"/>
  <c r="B766" i="21" a="1"/>
  <c r="B766" i="21" s="1"/>
  <c r="A766" i="21" a="1"/>
  <c r="A766" i="21" s="1"/>
  <c r="C765" i="21" a="1"/>
  <c r="C765" i="21" s="1"/>
  <c r="B765" i="21" a="1"/>
  <c r="B765" i="21" s="1"/>
  <c r="A765" i="21" a="1"/>
  <c r="A765" i="21" s="1"/>
  <c r="C764" i="21" a="1"/>
  <c r="C764" i="21" s="1"/>
  <c r="B764" i="21" a="1"/>
  <c r="B764" i="21" s="1"/>
  <c r="A764" i="21" a="1"/>
  <c r="A764" i="21" s="1"/>
  <c r="C763" i="21" a="1"/>
  <c r="C763" i="21" s="1"/>
  <c r="B763" i="21" a="1"/>
  <c r="B763" i="21" s="1"/>
  <c r="A763" i="21" a="1"/>
  <c r="A763" i="21" s="1"/>
  <c r="C762" i="21" a="1"/>
  <c r="C762" i="21" s="1"/>
  <c r="B762" i="21" a="1"/>
  <c r="B762" i="21" s="1"/>
  <c r="A762" i="21" a="1"/>
  <c r="A762" i="21" s="1"/>
  <c r="C761" i="21" a="1"/>
  <c r="C761" i="21" s="1"/>
  <c r="B761" i="21" a="1"/>
  <c r="B761" i="21" s="1"/>
  <c r="A761" i="21" a="1"/>
  <c r="A761" i="21" s="1"/>
  <c r="C760" i="21" a="1"/>
  <c r="C760" i="21" s="1"/>
  <c r="B760" i="21" a="1"/>
  <c r="B760" i="21" s="1"/>
  <c r="A760" i="21" a="1"/>
  <c r="A760" i="21" s="1"/>
  <c r="C759" i="21" a="1"/>
  <c r="C759" i="21" s="1"/>
  <c r="B759" i="21" a="1"/>
  <c r="B759" i="21" s="1"/>
  <c r="A759" i="21" a="1"/>
  <c r="A759" i="21" s="1"/>
  <c r="C758" i="21" a="1"/>
  <c r="C758" i="21" s="1"/>
  <c r="B758" i="21" a="1"/>
  <c r="B758" i="21" s="1"/>
  <c r="A758" i="21" a="1"/>
  <c r="A758" i="21" s="1"/>
  <c r="C757" i="21" a="1"/>
  <c r="C757" i="21" s="1"/>
  <c r="B757" i="21" a="1"/>
  <c r="B757" i="21" s="1"/>
  <c r="A757" i="21" a="1"/>
  <c r="A757" i="21" s="1"/>
  <c r="C756" i="21" a="1"/>
  <c r="C756" i="21" s="1"/>
  <c r="B756" i="21" a="1"/>
  <c r="B756" i="21" s="1"/>
  <c r="A756" i="21" a="1"/>
  <c r="A756" i="21" s="1"/>
  <c r="C755" i="21" a="1"/>
  <c r="C755" i="21" s="1"/>
  <c r="B755" i="21" a="1"/>
  <c r="B755" i="21" s="1"/>
  <c r="A755" i="21" a="1"/>
  <c r="A755" i="21" s="1"/>
  <c r="C754" i="21" a="1"/>
  <c r="C754" i="21" s="1"/>
  <c r="B754" i="21" a="1"/>
  <c r="B754" i="21" s="1"/>
  <c r="A754" i="21" a="1"/>
  <c r="A754" i="21" s="1"/>
  <c r="C753" i="21" a="1"/>
  <c r="C753" i="21" s="1"/>
  <c r="B753" i="21" a="1"/>
  <c r="B753" i="21" s="1"/>
  <c r="A753" i="21" a="1"/>
  <c r="A753" i="21" s="1"/>
  <c r="C752" i="21" a="1"/>
  <c r="C752" i="21" s="1"/>
  <c r="B752" i="21" a="1"/>
  <c r="B752" i="21" s="1"/>
  <c r="A752" i="21" a="1"/>
  <c r="A752" i="21" s="1"/>
  <c r="C751" i="21" a="1"/>
  <c r="C751" i="21" s="1"/>
  <c r="B751" i="21" a="1"/>
  <c r="B751" i="21" s="1"/>
  <c r="A751" i="21" a="1"/>
  <c r="A751" i="21" s="1"/>
  <c r="C750" i="21" a="1"/>
  <c r="C750" i="21" s="1"/>
  <c r="B750" i="21" a="1"/>
  <c r="B750" i="21" s="1"/>
  <c r="A750" i="21" a="1"/>
  <c r="A750" i="21" s="1"/>
  <c r="C749" i="21" a="1"/>
  <c r="C749" i="21" s="1"/>
  <c r="B749" i="21" a="1"/>
  <c r="B749" i="21" s="1"/>
  <c r="A749" i="21" a="1"/>
  <c r="A749" i="21" s="1"/>
  <c r="C748" i="21" a="1"/>
  <c r="C748" i="21" s="1"/>
  <c r="B748" i="21" a="1"/>
  <c r="B748" i="21" s="1"/>
  <c r="A748" i="21" a="1"/>
  <c r="A748" i="21" s="1"/>
  <c r="C747" i="21" a="1"/>
  <c r="C747" i="21" s="1"/>
  <c r="B747" i="21" a="1"/>
  <c r="B747" i="21" s="1"/>
  <c r="A747" i="21" a="1"/>
  <c r="A747" i="21" s="1"/>
  <c r="C746" i="21" a="1"/>
  <c r="C746" i="21" s="1"/>
  <c r="B746" i="21" a="1"/>
  <c r="B746" i="21" s="1"/>
  <c r="A746" i="21" a="1"/>
  <c r="A746" i="21" s="1"/>
  <c r="C745" i="21" a="1"/>
  <c r="C745" i="21" s="1"/>
  <c r="B745" i="21" a="1"/>
  <c r="B745" i="21" s="1"/>
  <c r="A745" i="21" a="1"/>
  <c r="A745" i="21" s="1"/>
  <c r="C744" i="21" a="1"/>
  <c r="C744" i="21" s="1"/>
  <c r="B744" i="21" a="1"/>
  <c r="B744" i="21" s="1"/>
  <c r="A744" i="21" a="1"/>
  <c r="A744" i="21" s="1"/>
  <c r="C743" i="21" a="1"/>
  <c r="C743" i="21" s="1"/>
  <c r="B743" i="21" a="1"/>
  <c r="B743" i="21" s="1"/>
  <c r="A743" i="21" a="1"/>
  <c r="A743" i="21" s="1"/>
  <c r="C742" i="21" a="1"/>
  <c r="C742" i="21" s="1"/>
  <c r="B742" i="21" a="1"/>
  <c r="B742" i="21" s="1"/>
  <c r="A742" i="21" a="1"/>
  <c r="A742" i="21" s="1"/>
  <c r="C741" i="21" a="1"/>
  <c r="C741" i="21" s="1"/>
  <c r="B741" i="21" a="1"/>
  <c r="B741" i="21" s="1"/>
  <c r="A741" i="21" a="1"/>
  <c r="A741" i="21" s="1"/>
  <c r="C737" i="21" a="1"/>
  <c r="C737" i="21" s="1"/>
  <c r="B737" i="21" a="1"/>
  <c r="B737" i="21" s="1"/>
  <c r="A737" i="21" a="1"/>
  <c r="A737" i="21" s="1"/>
  <c r="C736" i="21" a="1"/>
  <c r="C736" i="21" s="1"/>
  <c r="B736" i="21" a="1"/>
  <c r="B736" i="21" s="1"/>
  <c r="A736" i="21" a="1"/>
  <c r="A736" i="21" s="1"/>
  <c r="C735" i="21" a="1"/>
  <c r="C735" i="21" s="1"/>
  <c r="B735" i="21" a="1"/>
  <c r="B735" i="21" s="1"/>
  <c r="A735" i="21" a="1"/>
  <c r="A735" i="21" s="1"/>
  <c r="C734" i="21" a="1"/>
  <c r="C734" i="21" s="1"/>
  <c r="B734" i="21" a="1"/>
  <c r="B734" i="21" s="1"/>
  <c r="A734" i="21" a="1"/>
  <c r="A734" i="21" s="1"/>
  <c r="C733" i="21" a="1"/>
  <c r="C733" i="21" s="1"/>
  <c r="B733" i="21" a="1"/>
  <c r="B733" i="21" s="1"/>
  <c r="A733" i="21" a="1"/>
  <c r="A733" i="21" s="1"/>
  <c r="C732" i="21" a="1"/>
  <c r="C732" i="21" s="1"/>
  <c r="B732" i="21" a="1"/>
  <c r="B732" i="21" s="1"/>
  <c r="A732" i="21" a="1"/>
  <c r="A732" i="21" s="1"/>
  <c r="C731" i="21" a="1"/>
  <c r="C731" i="21" s="1"/>
  <c r="B731" i="21" a="1"/>
  <c r="B731" i="21" s="1"/>
  <c r="A731" i="21" a="1"/>
  <c r="A731" i="21" s="1"/>
  <c r="C730" i="21" a="1"/>
  <c r="C730" i="21" s="1"/>
  <c r="B730" i="21" a="1"/>
  <c r="B730" i="21" s="1"/>
  <c r="A730" i="21" a="1"/>
  <c r="A730" i="21" s="1"/>
  <c r="C729" i="21" a="1"/>
  <c r="C729" i="21" s="1"/>
  <c r="B729" i="21" a="1"/>
  <c r="B729" i="21" s="1"/>
  <c r="A729" i="21" a="1"/>
  <c r="A729" i="21" s="1"/>
  <c r="C728" i="21" a="1"/>
  <c r="C728" i="21" s="1"/>
  <c r="B728" i="21" a="1"/>
  <c r="B728" i="21" s="1"/>
  <c r="A728" i="21" a="1"/>
  <c r="A728" i="21" s="1"/>
  <c r="C727" i="21" a="1"/>
  <c r="C727" i="21" s="1"/>
  <c r="B727" i="21" a="1"/>
  <c r="B727" i="21" s="1"/>
  <c r="A727" i="21" a="1"/>
  <c r="A727" i="21" s="1"/>
  <c r="C726" i="21" a="1"/>
  <c r="C726" i="21" s="1"/>
  <c r="B726" i="21" a="1"/>
  <c r="B726" i="21" s="1"/>
  <c r="A726" i="21" a="1"/>
  <c r="A726" i="21" s="1"/>
  <c r="C725" i="21" a="1"/>
  <c r="C725" i="21" s="1"/>
  <c r="B725" i="21" a="1"/>
  <c r="B725" i="21" s="1"/>
  <c r="A725" i="21" a="1"/>
  <c r="A725" i="21" s="1"/>
  <c r="C724" i="21" a="1"/>
  <c r="C724" i="21" s="1"/>
  <c r="B724" i="21" a="1"/>
  <c r="B724" i="21" s="1"/>
  <c r="A724" i="21" a="1"/>
  <c r="A724" i="21" s="1"/>
  <c r="C723" i="21" a="1"/>
  <c r="C723" i="21" s="1"/>
  <c r="B723" i="21" a="1"/>
  <c r="B723" i="21" s="1"/>
  <c r="A723" i="21" a="1"/>
  <c r="A723" i="21" s="1"/>
  <c r="C722" i="21" a="1"/>
  <c r="C722" i="21" s="1"/>
  <c r="B722" i="21" a="1"/>
  <c r="B722" i="21" s="1"/>
  <c r="A722" i="21" a="1"/>
  <c r="A722" i="21" s="1"/>
  <c r="C721" i="21" a="1"/>
  <c r="C721" i="21" s="1"/>
  <c r="B721" i="21" a="1"/>
  <c r="B721" i="21" s="1"/>
  <c r="A721" i="21" a="1"/>
  <c r="A721" i="21" s="1"/>
  <c r="C720" i="21" a="1"/>
  <c r="C720" i="21" s="1"/>
  <c r="B720" i="21" a="1"/>
  <c r="B720" i="21" s="1"/>
  <c r="A720" i="21" a="1"/>
  <c r="A720" i="21" s="1"/>
  <c r="C719" i="21" a="1"/>
  <c r="C719" i="21" s="1"/>
  <c r="B719" i="21" a="1"/>
  <c r="B719" i="21" s="1"/>
  <c r="A719" i="21" a="1"/>
  <c r="A719" i="21" s="1"/>
  <c r="C718" i="21" a="1"/>
  <c r="C718" i="21" s="1"/>
  <c r="B718" i="21" a="1"/>
  <c r="B718" i="21" s="1"/>
  <c r="A718" i="21" a="1"/>
  <c r="A718" i="21" s="1"/>
  <c r="C717" i="21" a="1"/>
  <c r="C717" i="21" s="1"/>
  <c r="B717" i="21" a="1"/>
  <c r="B717" i="21" s="1"/>
  <c r="A717" i="21" a="1"/>
  <c r="A717" i="21" s="1"/>
  <c r="C716" i="21" a="1"/>
  <c r="C716" i="21" s="1"/>
  <c r="B716" i="21" a="1"/>
  <c r="B716" i="21" s="1"/>
  <c r="A716" i="21" a="1"/>
  <c r="A716" i="21" s="1"/>
  <c r="C715" i="21" a="1"/>
  <c r="C715" i="21" s="1"/>
  <c r="B715" i="21" a="1"/>
  <c r="B715" i="21" s="1"/>
  <c r="A715" i="21" a="1"/>
  <c r="A715" i="21" s="1"/>
  <c r="C714" i="21" a="1"/>
  <c r="C714" i="21" s="1"/>
  <c r="B714" i="21" a="1"/>
  <c r="B714" i="21" s="1"/>
  <c r="A714" i="21" a="1"/>
  <c r="A714" i="21" s="1"/>
  <c r="C713" i="21" a="1"/>
  <c r="C713" i="21" s="1"/>
  <c r="B713" i="21" a="1"/>
  <c r="B713" i="21" s="1"/>
  <c r="A713" i="21" a="1"/>
  <c r="A713" i="21" s="1"/>
  <c r="C712" i="21" a="1"/>
  <c r="C712" i="21" s="1"/>
  <c r="B712" i="21" a="1"/>
  <c r="B712" i="21" s="1"/>
  <c r="A712" i="21" a="1"/>
  <c r="A712" i="21" s="1"/>
  <c r="C711" i="21" a="1"/>
  <c r="C711" i="21" s="1"/>
  <c r="B711" i="21" a="1"/>
  <c r="B711" i="21" s="1"/>
  <c r="A711" i="21" a="1"/>
  <c r="A711" i="21" s="1"/>
  <c r="C710" i="21" a="1"/>
  <c r="C710" i="21" s="1"/>
  <c r="B710" i="21" a="1"/>
  <c r="B710" i="21" s="1"/>
  <c r="A710" i="21" a="1"/>
  <c r="A710" i="21" s="1"/>
  <c r="C709" i="21" a="1"/>
  <c r="C709" i="21" s="1"/>
  <c r="B709" i="21" a="1"/>
  <c r="B709" i="21" s="1"/>
  <c r="A709" i="21" a="1"/>
  <c r="A709" i="21" s="1"/>
  <c r="C708" i="21" a="1"/>
  <c r="C708" i="21" s="1"/>
  <c r="B708" i="21" a="1"/>
  <c r="B708" i="21" s="1"/>
  <c r="A708" i="21" a="1"/>
  <c r="A708" i="21" s="1"/>
  <c r="C707" i="21" a="1"/>
  <c r="C707" i="21" s="1"/>
  <c r="B707" i="21" a="1"/>
  <c r="B707" i="21" s="1"/>
  <c r="A707" i="21" a="1"/>
  <c r="A707" i="21" s="1"/>
  <c r="C706" i="21" a="1"/>
  <c r="C706" i="21" s="1"/>
  <c r="B706" i="21" a="1"/>
  <c r="B706" i="21" s="1"/>
  <c r="A706" i="21" a="1"/>
  <c r="A706" i="21" s="1"/>
  <c r="C705" i="21" a="1"/>
  <c r="C705" i="21" s="1"/>
  <c r="B705" i="21" a="1"/>
  <c r="B705" i="21" s="1"/>
  <c r="A705" i="21" a="1"/>
  <c r="A705" i="21" s="1"/>
  <c r="C704" i="21" a="1"/>
  <c r="C704" i="21" s="1"/>
  <c r="B704" i="21" a="1"/>
  <c r="B704" i="21" s="1"/>
  <c r="A704" i="21" a="1"/>
  <c r="A704" i="21" s="1"/>
  <c r="C703" i="21" a="1"/>
  <c r="C703" i="21" s="1"/>
  <c r="B703" i="21" a="1"/>
  <c r="B703" i="21" s="1"/>
  <c r="A703" i="21" a="1"/>
  <c r="A703" i="21" s="1"/>
  <c r="C699" i="21" a="1"/>
  <c r="C699" i="21" s="1"/>
  <c r="B699" i="21" a="1"/>
  <c r="B699" i="21" s="1"/>
  <c r="A699" i="21" a="1"/>
  <c r="A699" i="21" s="1"/>
  <c r="C698" i="21" a="1"/>
  <c r="C698" i="21" s="1"/>
  <c r="B698" i="21" a="1"/>
  <c r="B698" i="21" s="1"/>
  <c r="A698" i="21" a="1"/>
  <c r="A698" i="21" s="1"/>
  <c r="C697" i="21" a="1"/>
  <c r="C697" i="21" s="1"/>
  <c r="B697" i="21" a="1"/>
  <c r="B697" i="21" s="1"/>
  <c r="A697" i="21" a="1"/>
  <c r="A697" i="21" s="1"/>
  <c r="C696" i="21" a="1"/>
  <c r="C696" i="21" s="1"/>
  <c r="B696" i="21" a="1"/>
  <c r="B696" i="21" s="1"/>
  <c r="A696" i="21" a="1"/>
  <c r="A696" i="21" s="1"/>
  <c r="C695" i="21" a="1"/>
  <c r="C695" i="21" s="1"/>
  <c r="B695" i="21" a="1"/>
  <c r="B695" i="21" s="1"/>
  <c r="A695" i="21" a="1"/>
  <c r="A695" i="21" s="1"/>
  <c r="C694" i="21" a="1"/>
  <c r="C694" i="21" s="1"/>
  <c r="B694" i="21" a="1"/>
  <c r="B694" i="21" s="1"/>
  <c r="A694" i="21" a="1"/>
  <c r="A694" i="21" s="1"/>
  <c r="C693" i="21" a="1"/>
  <c r="C693" i="21" s="1"/>
  <c r="B693" i="21" a="1"/>
  <c r="B693" i="21" s="1"/>
  <c r="A693" i="21" a="1"/>
  <c r="A693" i="21" s="1"/>
  <c r="C692" i="21" a="1"/>
  <c r="C692" i="21" s="1"/>
  <c r="B692" i="21" a="1"/>
  <c r="B692" i="21" s="1"/>
  <c r="A692" i="21" a="1"/>
  <c r="A692" i="21" s="1"/>
  <c r="C691" i="21" a="1"/>
  <c r="C691" i="21" s="1"/>
  <c r="B691" i="21" a="1"/>
  <c r="B691" i="21" s="1"/>
  <c r="A691" i="21" a="1"/>
  <c r="A691" i="21" s="1"/>
  <c r="C690" i="21" a="1"/>
  <c r="C690" i="21" s="1"/>
  <c r="B690" i="21" a="1"/>
  <c r="B690" i="21" s="1"/>
  <c r="A690" i="21" a="1"/>
  <c r="A690" i="21" s="1"/>
  <c r="C689" i="21" a="1"/>
  <c r="C689" i="21" s="1"/>
  <c r="B689" i="21" a="1"/>
  <c r="B689" i="21" s="1"/>
  <c r="A689" i="21" a="1"/>
  <c r="A689" i="21" s="1"/>
  <c r="C688" i="21" a="1"/>
  <c r="C688" i="21" s="1"/>
  <c r="B688" i="21" a="1"/>
  <c r="B688" i="21" s="1"/>
  <c r="A688" i="21" a="1"/>
  <c r="A688" i="21" s="1"/>
  <c r="C687" i="21" a="1"/>
  <c r="C687" i="21" s="1"/>
  <c r="B687" i="21" a="1"/>
  <c r="B687" i="21" s="1"/>
  <c r="A687" i="21" a="1"/>
  <c r="A687" i="21" s="1"/>
  <c r="C686" i="21" a="1"/>
  <c r="C686" i="21" s="1"/>
  <c r="B686" i="21" a="1"/>
  <c r="B686" i="21" s="1"/>
  <c r="A686" i="21" a="1"/>
  <c r="A686" i="21" s="1"/>
  <c r="C685" i="21" a="1"/>
  <c r="C685" i="21" s="1"/>
  <c r="B685" i="21" a="1"/>
  <c r="B685" i="21" s="1"/>
  <c r="A685" i="21" a="1"/>
  <c r="A685" i="21" s="1"/>
  <c r="C684" i="21" a="1"/>
  <c r="C684" i="21" s="1"/>
  <c r="B684" i="21" a="1"/>
  <c r="B684" i="21" s="1"/>
  <c r="A684" i="21" a="1"/>
  <c r="A684" i="21" s="1"/>
  <c r="C683" i="21" a="1"/>
  <c r="C683" i="21" s="1"/>
  <c r="B683" i="21" a="1"/>
  <c r="B683" i="21" s="1"/>
  <c r="A683" i="21" a="1"/>
  <c r="A683" i="21" s="1"/>
  <c r="C682" i="21" a="1"/>
  <c r="C682" i="21" s="1"/>
  <c r="B682" i="21" a="1"/>
  <c r="B682" i="21" s="1"/>
  <c r="A682" i="21" a="1"/>
  <c r="A682" i="21" s="1"/>
  <c r="C681" i="21" a="1"/>
  <c r="C681" i="21" s="1"/>
  <c r="B681" i="21" a="1"/>
  <c r="B681" i="21" s="1"/>
  <c r="A681" i="21" a="1"/>
  <c r="A681" i="21" s="1"/>
  <c r="C680" i="21" a="1"/>
  <c r="C680" i="21" s="1"/>
  <c r="B680" i="21" a="1"/>
  <c r="B680" i="21" s="1"/>
  <c r="A680" i="21" a="1"/>
  <c r="A680" i="21" s="1"/>
  <c r="C679" i="21" a="1"/>
  <c r="C679" i="21" s="1"/>
  <c r="B679" i="21" a="1"/>
  <c r="B679" i="21" s="1"/>
  <c r="A679" i="21" a="1"/>
  <c r="A679" i="21" s="1"/>
  <c r="C678" i="21" a="1"/>
  <c r="C678" i="21" s="1"/>
  <c r="B678" i="21" a="1"/>
  <c r="B678" i="21" s="1"/>
  <c r="A678" i="21" a="1"/>
  <c r="A678" i="21" s="1"/>
  <c r="C677" i="21" a="1"/>
  <c r="C677" i="21" s="1"/>
  <c r="B677" i="21" a="1"/>
  <c r="B677" i="21" s="1"/>
  <c r="A677" i="21" a="1"/>
  <c r="A677" i="21" s="1"/>
  <c r="C676" i="21" a="1"/>
  <c r="C676" i="21" s="1"/>
  <c r="B676" i="21" a="1"/>
  <c r="B676" i="21" s="1"/>
  <c r="A676" i="21" a="1"/>
  <c r="A676" i="21" s="1"/>
  <c r="C675" i="21" a="1"/>
  <c r="C675" i="21" s="1"/>
  <c r="B675" i="21" a="1"/>
  <c r="B675" i="21" s="1"/>
  <c r="A675" i="21" a="1"/>
  <c r="A675" i="21" s="1"/>
  <c r="C674" i="21" a="1"/>
  <c r="C674" i="21" s="1"/>
  <c r="B674" i="21" a="1"/>
  <c r="B674" i="21" s="1"/>
  <c r="A674" i="21" a="1"/>
  <c r="A674" i="21" s="1"/>
  <c r="C673" i="21" a="1"/>
  <c r="C673" i="21" s="1"/>
  <c r="B673" i="21" a="1"/>
  <c r="B673" i="21" s="1"/>
  <c r="A673" i="21" a="1"/>
  <c r="A673" i="21" s="1"/>
  <c r="C672" i="21" a="1"/>
  <c r="C672" i="21" s="1"/>
  <c r="B672" i="21" a="1"/>
  <c r="B672" i="21" s="1"/>
  <c r="A672" i="21" a="1"/>
  <c r="A672" i="21" s="1"/>
  <c r="C671" i="21" a="1"/>
  <c r="C671" i="21" s="1"/>
  <c r="B671" i="21" a="1"/>
  <c r="B671" i="21" s="1"/>
  <c r="A671" i="21" a="1"/>
  <c r="A671" i="21" s="1"/>
  <c r="C670" i="21" a="1"/>
  <c r="C670" i="21" s="1"/>
  <c r="B670" i="21" a="1"/>
  <c r="B670" i="21" s="1"/>
  <c r="A670" i="21" a="1"/>
  <c r="A670" i="21" s="1"/>
  <c r="C669" i="21" a="1"/>
  <c r="C669" i="21" s="1"/>
  <c r="B669" i="21" a="1"/>
  <c r="B669" i="21" s="1"/>
  <c r="A669" i="21" a="1"/>
  <c r="A669" i="21" s="1"/>
  <c r="C668" i="21" a="1"/>
  <c r="C668" i="21" s="1"/>
  <c r="B668" i="21" a="1"/>
  <c r="B668" i="21" s="1"/>
  <c r="A668" i="21" a="1"/>
  <c r="A668" i="21" s="1"/>
  <c r="C667" i="21" a="1"/>
  <c r="C667" i="21" s="1"/>
  <c r="B667" i="21" a="1"/>
  <c r="B667" i="21" s="1"/>
  <c r="A667" i="21" a="1"/>
  <c r="A667" i="21" s="1"/>
  <c r="C666" i="21" a="1"/>
  <c r="C666" i="21" s="1"/>
  <c r="B666" i="21" a="1"/>
  <c r="B666" i="21" s="1"/>
  <c r="A666" i="21" a="1"/>
  <c r="A666" i="21" s="1"/>
  <c r="C665" i="21" a="1"/>
  <c r="C665" i="21" s="1"/>
  <c r="B665" i="21" a="1"/>
  <c r="B665" i="21" s="1"/>
  <c r="A665" i="21" a="1"/>
  <c r="A665" i="21" s="1"/>
  <c r="C661" i="21" a="1"/>
  <c r="C661" i="21" s="1"/>
  <c r="B661" i="21" a="1"/>
  <c r="B661" i="21" s="1"/>
  <c r="A661" i="21" a="1"/>
  <c r="A661" i="21" s="1"/>
  <c r="C660" i="21" a="1"/>
  <c r="C660" i="21" s="1"/>
  <c r="B660" i="21" a="1"/>
  <c r="B660" i="21" s="1"/>
  <c r="A660" i="21" a="1"/>
  <c r="A660" i="21" s="1"/>
  <c r="C659" i="21" a="1"/>
  <c r="C659" i="21" s="1"/>
  <c r="B659" i="21" a="1"/>
  <c r="B659" i="21" s="1"/>
  <c r="A659" i="21" a="1"/>
  <c r="A659" i="21" s="1"/>
  <c r="C658" i="21" a="1"/>
  <c r="C658" i="21" s="1"/>
  <c r="B658" i="21" a="1"/>
  <c r="B658" i="21" s="1"/>
  <c r="A658" i="21" a="1"/>
  <c r="A658" i="21" s="1"/>
  <c r="C657" i="21" a="1"/>
  <c r="C657" i="21" s="1"/>
  <c r="B657" i="21" a="1"/>
  <c r="B657" i="21" s="1"/>
  <c r="A657" i="21" a="1"/>
  <c r="A657" i="21" s="1"/>
  <c r="C656" i="21" a="1"/>
  <c r="C656" i="21" s="1"/>
  <c r="B656" i="21" a="1"/>
  <c r="B656" i="21" s="1"/>
  <c r="A656" i="21" a="1"/>
  <c r="A656" i="21" s="1"/>
  <c r="C655" i="21" a="1"/>
  <c r="C655" i="21" s="1"/>
  <c r="B655" i="21" a="1"/>
  <c r="B655" i="21" s="1"/>
  <c r="A655" i="21" a="1"/>
  <c r="A655" i="21" s="1"/>
  <c r="C654" i="21" a="1"/>
  <c r="C654" i="21" s="1"/>
  <c r="B654" i="21" a="1"/>
  <c r="B654" i="21" s="1"/>
  <c r="A654" i="21" a="1"/>
  <c r="A654" i="21" s="1"/>
  <c r="C653" i="21" a="1"/>
  <c r="C653" i="21" s="1"/>
  <c r="B653" i="21" a="1"/>
  <c r="B653" i="21" s="1"/>
  <c r="A653" i="21" a="1"/>
  <c r="A653" i="21" s="1"/>
  <c r="C652" i="21" a="1"/>
  <c r="C652" i="21" s="1"/>
  <c r="B652" i="21" a="1"/>
  <c r="B652" i="21" s="1"/>
  <c r="A652" i="21" a="1"/>
  <c r="A652" i="21" s="1"/>
  <c r="C651" i="21" a="1"/>
  <c r="C651" i="21" s="1"/>
  <c r="B651" i="21" a="1"/>
  <c r="B651" i="21" s="1"/>
  <c r="A651" i="21" a="1"/>
  <c r="A651" i="21" s="1"/>
  <c r="C650" i="21" a="1"/>
  <c r="C650" i="21" s="1"/>
  <c r="B650" i="21" a="1"/>
  <c r="B650" i="21" s="1"/>
  <c r="A650" i="21" a="1"/>
  <c r="A650" i="21" s="1"/>
  <c r="C649" i="21" a="1"/>
  <c r="C649" i="21" s="1"/>
  <c r="B649" i="21" a="1"/>
  <c r="B649" i="21" s="1"/>
  <c r="A649" i="21" a="1"/>
  <c r="A649" i="21" s="1"/>
  <c r="C648" i="21" a="1"/>
  <c r="C648" i="21" s="1"/>
  <c r="B648" i="21" a="1"/>
  <c r="B648" i="21" s="1"/>
  <c r="A648" i="21" a="1"/>
  <c r="A648" i="21" s="1"/>
  <c r="C647" i="21" a="1"/>
  <c r="C647" i="21" s="1"/>
  <c r="B647" i="21" a="1"/>
  <c r="B647" i="21" s="1"/>
  <c r="A647" i="21" a="1"/>
  <c r="A647" i="21" s="1"/>
  <c r="C646" i="21" a="1"/>
  <c r="C646" i="21" s="1"/>
  <c r="B646" i="21" a="1"/>
  <c r="B646" i="21" s="1"/>
  <c r="A646" i="21" a="1"/>
  <c r="A646" i="21" s="1"/>
  <c r="C645" i="21" a="1"/>
  <c r="C645" i="21" s="1"/>
  <c r="B645" i="21" a="1"/>
  <c r="B645" i="21" s="1"/>
  <c r="A645" i="21" a="1"/>
  <c r="A645" i="21" s="1"/>
  <c r="C644" i="21" a="1"/>
  <c r="C644" i="21" s="1"/>
  <c r="B644" i="21" a="1"/>
  <c r="B644" i="21" s="1"/>
  <c r="A644" i="21" a="1"/>
  <c r="A644" i="21" s="1"/>
  <c r="C643" i="21" a="1"/>
  <c r="C643" i="21" s="1"/>
  <c r="B643" i="21" a="1"/>
  <c r="B643" i="21" s="1"/>
  <c r="A643" i="21" a="1"/>
  <c r="A643" i="21" s="1"/>
  <c r="C642" i="21" a="1"/>
  <c r="C642" i="21" s="1"/>
  <c r="B642" i="21" a="1"/>
  <c r="B642" i="21" s="1"/>
  <c r="A642" i="21" a="1"/>
  <c r="A642" i="21" s="1"/>
  <c r="C641" i="21" a="1"/>
  <c r="C641" i="21" s="1"/>
  <c r="B641" i="21" a="1"/>
  <c r="B641" i="21" s="1"/>
  <c r="A641" i="21" a="1"/>
  <c r="A641" i="21" s="1"/>
  <c r="C640" i="21" a="1"/>
  <c r="C640" i="21" s="1"/>
  <c r="B640" i="21" a="1"/>
  <c r="B640" i="21" s="1"/>
  <c r="A640" i="21" a="1"/>
  <c r="A640" i="21" s="1"/>
  <c r="C639" i="21" a="1"/>
  <c r="C639" i="21" s="1"/>
  <c r="B639" i="21" a="1"/>
  <c r="B639" i="21" s="1"/>
  <c r="A639" i="21" a="1"/>
  <c r="A639" i="21" s="1"/>
  <c r="C638" i="21" a="1"/>
  <c r="C638" i="21" s="1"/>
  <c r="B638" i="21" a="1"/>
  <c r="B638" i="21" s="1"/>
  <c r="A638" i="21" a="1"/>
  <c r="A638" i="21" s="1"/>
  <c r="C637" i="21" a="1"/>
  <c r="C637" i="21" s="1"/>
  <c r="B637" i="21" a="1"/>
  <c r="B637" i="21" s="1"/>
  <c r="A637" i="21" a="1"/>
  <c r="A637" i="21" s="1"/>
  <c r="C636" i="21" a="1"/>
  <c r="C636" i="21" s="1"/>
  <c r="B636" i="21" a="1"/>
  <c r="B636" i="21" s="1"/>
  <c r="A636" i="21" a="1"/>
  <c r="A636" i="21" s="1"/>
  <c r="C635" i="21" a="1"/>
  <c r="C635" i="21" s="1"/>
  <c r="B635" i="21" a="1"/>
  <c r="B635" i="21" s="1"/>
  <c r="A635" i="21" a="1"/>
  <c r="A635" i="21" s="1"/>
  <c r="C634" i="21" a="1"/>
  <c r="C634" i="21" s="1"/>
  <c r="B634" i="21" a="1"/>
  <c r="B634" i="21" s="1"/>
  <c r="A634" i="21" a="1"/>
  <c r="A634" i="21" s="1"/>
  <c r="C633" i="21" a="1"/>
  <c r="C633" i="21" s="1"/>
  <c r="B633" i="21" a="1"/>
  <c r="B633" i="21" s="1"/>
  <c r="A633" i="21" a="1"/>
  <c r="A633" i="21" s="1"/>
  <c r="C632" i="21" a="1"/>
  <c r="C632" i="21" s="1"/>
  <c r="B632" i="21" a="1"/>
  <c r="B632" i="21" s="1"/>
  <c r="A632" i="21" a="1"/>
  <c r="A632" i="21" s="1"/>
  <c r="C631" i="21" a="1"/>
  <c r="C631" i="21" s="1"/>
  <c r="B631" i="21" a="1"/>
  <c r="B631" i="21" s="1"/>
  <c r="A631" i="21" a="1"/>
  <c r="A631" i="21" s="1"/>
  <c r="C630" i="21" a="1"/>
  <c r="C630" i="21" s="1"/>
  <c r="B630" i="21" a="1"/>
  <c r="B630" i="21" s="1"/>
  <c r="A630" i="21" a="1"/>
  <c r="A630" i="21" s="1"/>
  <c r="C629" i="21" a="1"/>
  <c r="C629" i="21" s="1"/>
  <c r="B629" i="21" a="1"/>
  <c r="B629" i="21" s="1"/>
  <c r="A629" i="21" a="1"/>
  <c r="A629" i="21" s="1"/>
  <c r="C628" i="21" a="1"/>
  <c r="C628" i="21" s="1"/>
  <c r="B628" i="21" a="1"/>
  <c r="B628" i="21" s="1"/>
  <c r="A628" i="21" a="1"/>
  <c r="A628" i="21" s="1"/>
  <c r="C627" i="21" a="1"/>
  <c r="C627" i="21" s="1"/>
  <c r="B627" i="21" a="1"/>
  <c r="B627" i="21" s="1"/>
  <c r="A627" i="21" a="1"/>
  <c r="A627" i="21" s="1"/>
  <c r="C623" i="21" a="1"/>
  <c r="C623" i="21" s="1"/>
  <c r="B623" i="21" a="1"/>
  <c r="B623" i="21" s="1"/>
  <c r="A623" i="21" a="1"/>
  <c r="A623" i="21" s="1"/>
  <c r="C622" i="21" a="1"/>
  <c r="C622" i="21" s="1"/>
  <c r="B622" i="21" a="1"/>
  <c r="B622" i="21" s="1"/>
  <c r="A622" i="21" a="1"/>
  <c r="A622" i="21" s="1"/>
  <c r="C621" i="21" a="1"/>
  <c r="C621" i="21" s="1"/>
  <c r="B621" i="21" a="1"/>
  <c r="B621" i="21" s="1"/>
  <c r="A621" i="21" a="1"/>
  <c r="A621" i="21" s="1"/>
  <c r="C620" i="21" a="1"/>
  <c r="C620" i="21" s="1"/>
  <c r="B620" i="21" a="1"/>
  <c r="B620" i="21" s="1"/>
  <c r="A620" i="21" a="1"/>
  <c r="A620" i="21" s="1"/>
  <c r="C619" i="21" a="1"/>
  <c r="C619" i="21" s="1"/>
  <c r="B619" i="21" a="1"/>
  <c r="B619" i="21" s="1"/>
  <c r="A619" i="21" a="1"/>
  <c r="A619" i="21" s="1"/>
  <c r="C618" i="21" a="1"/>
  <c r="C618" i="21" s="1"/>
  <c r="B618" i="21" a="1"/>
  <c r="B618" i="21" s="1"/>
  <c r="A618" i="21" a="1"/>
  <c r="A618" i="21" s="1"/>
  <c r="C617" i="21" a="1"/>
  <c r="C617" i="21" s="1"/>
  <c r="B617" i="21" a="1"/>
  <c r="B617" i="21" s="1"/>
  <c r="A617" i="21" a="1"/>
  <c r="A617" i="21" s="1"/>
  <c r="C616" i="21" a="1"/>
  <c r="C616" i="21" s="1"/>
  <c r="B616" i="21" a="1"/>
  <c r="B616" i="21" s="1"/>
  <c r="A616" i="21" a="1"/>
  <c r="A616" i="21" s="1"/>
  <c r="C615" i="21" a="1"/>
  <c r="C615" i="21" s="1"/>
  <c r="B615" i="21" a="1"/>
  <c r="B615" i="21" s="1"/>
  <c r="A615" i="21" a="1"/>
  <c r="A615" i="21" s="1"/>
  <c r="C614" i="21" a="1"/>
  <c r="C614" i="21" s="1"/>
  <c r="B614" i="21" a="1"/>
  <c r="B614" i="21" s="1"/>
  <c r="A614" i="21" a="1"/>
  <c r="A614" i="21" s="1"/>
  <c r="C613" i="21" a="1"/>
  <c r="C613" i="21" s="1"/>
  <c r="B613" i="21" a="1"/>
  <c r="B613" i="21" s="1"/>
  <c r="A613" i="21" a="1"/>
  <c r="A613" i="21" s="1"/>
  <c r="C612" i="21" a="1"/>
  <c r="C612" i="21" s="1"/>
  <c r="B612" i="21" a="1"/>
  <c r="B612" i="21" s="1"/>
  <c r="A612" i="21" a="1"/>
  <c r="A612" i="21" s="1"/>
  <c r="C611" i="21" a="1"/>
  <c r="C611" i="21" s="1"/>
  <c r="B611" i="21" a="1"/>
  <c r="B611" i="21" s="1"/>
  <c r="A611" i="21" a="1"/>
  <c r="A611" i="21" s="1"/>
  <c r="C610" i="21" a="1"/>
  <c r="C610" i="21" s="1"/>
  <c r="B610" i="21" a="1"/>
  <c r="B610" i="21" s="1"/>
  <c r="A610" i="21" a="1"/>
  <c r="A610" i="21" s="1"/>
  <c r="C609" i="21" a="1"/>
  <c r="C609" i="21" s="1"/>
  <c r="B609" i="21" a="1"/>
  <c r="B609" i="21" s="1"/>
  <c r="A609" i="21" a="1"/>
  <c r="A609" i="21" s="1"/>
  <c r="C608" i="21" a="1"/>
  <c r="C608" i="21" s="1"/>
  <c r="B608" i="21" a="1"/>
  <c r="B608" i="21" s="1"/>
  <c r="A608" i="21" a="1"/>
  <c r="A608" i="21" s="1"/>
  <c r="C607" i="21" a="1"/>
  <c r="C607" i="21" s="1"/>
  <c r="B607" i="21" a="1"/>
  <c r="B607" i="21" s="1"/>
  <c r="A607" i="21" a="1"/>
  <c r="A607" i="21" s="1"/>
  <c r="C606" i="21" a="1"/>
  <c r="C606" i="21" s="1"/>
  <c r="B606" i="21" a="1"/>
  <c r="B606" i="21" s="1"/>
  <c r="A606" i="21" a="1"/>
  <c r="A606" i="21" s="1"/>
  <c r="C605" i="21" a="1"/>
  <c r="C605" i="21" s="1"/>
  <c r="B605" i="21" a="1"/>
  <c r="B605" i="21" s="1"/>
  <c r="A605" i="21" a="1"/>
  <c r="A605" i="21" s="1"/>
  <c r="C604" i="21" a="1"/>
  <c r="C604" i="21" s="1"/>
  <c r="B604" i="21" a="1"/>
  <c r="B604" i="21" s="1"/>
  <c r="A604" i="21" a="1"/>
  <c r="A604" i="21" s="1"/>
  <c r="C603" i="21" a="1"/>
  <c r="C603" i="21" s="1"/>
  <c r="B603" i="21" a="1"/>
  <c r="B603" i="21" s="1"/>
  <c r="A603" i="21" a="1"/>
  <c r="A603" i="21" s="1"/>
  <c r="C602" i="21" a="1"/>
  <c r="C602" i="21" s="1"/>
  <c r="B602" i="21" a="1"/>
  <c r="B602" i="21" s="1"/>
  <c r="A602" i="21" a="1"/>
  <c r="A602" i="21" s="1"/>
  <c r="C601" i="21" a="1"/>
  <c r="C601" i="21" s="1"/>
  <c r="B601" i="21" a="1"/>
  <c r="B601" i="21" s="1"/>
  <c r="A601" i="21" a="1"/>
  <c r="A601" i="21" s="1"/>
  <c r="C600" i="21" a="1"/>
  <c r="C600" i="21" s="1"/>
  <c r="B600" i="21" a="1"/>
  <c r="B600" i="21" s="1"/>
  <c r="A600" i="21" a="1"/>
  <c r="A600" i="21" s="1"/>
  <c r="C599" i="21" a="1"/>
  <c r="C599" i="21" s="1"/>
  <c r="B599" i="21" a="1"/>
  <c r="B599" i="21" s="1"/>
  <c r="A599" i="21" a="1"/>
  <c r="A599" i="21" s="1"/>
  <c r="C598" i="21" a="1"/>
  <c r="C598" i="21" s="1"/>
  <c r="B598" i="21" a="1"/>
  <c r="B598" i="21" s="1"/>
  <c r="A598" i="21" a="1"/>
  <c r="A598" i="21" s="1"/>
  <c r="C597" i="21" a="1"/>
  <c r="C597" i="21" s="1"/>
  <c r="B597" i="21" a="1"/>
  <c r="B597" i="21" s="1"/>
  <c r="A597" i="21" a="1"/>
  <c r="A597" i="21" s="1"/>
  <c r="C596" i="21" a="1"/>
  <c r="C596" i="21" s="1"/>
  <c r="B596" i="21" a="1"/>
  <c r="B596" i="21" s="1"/>
  <c r="A596" i="21" a="1"/>
  <c r="A596" i="21" s="1"/>
  <c r="C595" i="21" a="1"/>
  <c r="C595" i="21" s="1"/>
  <c r="B595" i="21" a="1"/>
  <c r="B595" i="21" s="1"/>
  <c r="A595" i="21" a="1"/>
  <c r="A595" i="21" s="1"/>
  <c r="C594" i="21" a="1"/>
  <c r="C594" i="21" s="1"/>
  <c r="B594" i="21" a="1"/>
  <c r="B594" i="21" s="1"/>
  <c r="A594" i="21" a="1"/>
  <c r="A594" i="21" s="1"/>
  <c r="C593" i="21" a="1"/>
  <c r="C593" i="21" s="1"/>
  <c r="B593" i="21" a="1"/>
  <c r="B593" i="21" s="1"/>
  <c r="A593" i="21" a="1"/>
  <c r="A593" i="21" s="1"/>
  <c r="C592" i="21" a="1"/>
  <c r="C592" i="21" s="1"/>
  <c r="B592" i="21" a="1"/>
  <c r="B592" i="21" s="1"/>
  <c r="A592" i="21" a="1"/>
  <c r="A592" i="21" s="1"/>
  <c r="C591" i="21" a="1"/>
  <c r="C591" i="21" s="1"/>
  <c r="B591" i="21" a="1"/>
  <c r="B591" i="21" s="1"/>
  <c r="A591" i="21" a="1"/>
  <c r="A591" i="21" s="1"/>
  <c r="C590" i="21" a="1"/>
  <c r="C590" i="21" s="1"/>
  <c r="B590" i="21" a="1"/>
  <c r="B590" i="21" s="1"/>
  <c r="A590" i="21" a="1"/>
  <c r="A590" i="21" s="1"/>
  <c r="C589" i="21" a="1"/>
  <c r="C589" i="21" s="1"/>
  <c r="B589" i="21" a="1"/>
  <c r="B589" i="21" s="1"/>
  <c r="A589" i="21" a="1"/>
  <c r="A589" i="21" s="1"/>
  <c r="C585" i="21" a="1"/>
  <c r="C585" i="21" s="1"/>
  <c r="B585" i="21" a="1"/>
  <c r="B585" i="21" s="1"/>
  <c r="A585" i="21" a="1"/>
  <c r="A585" i="21" s="1"/>
  <c r="C584" i="21" a="1"/>
  <c r="C584" i="21" s="1"/>
  <c r="B584" i="21" a="1"/>
  <c r="B584" i="21" s="1"/>
  <c r="A584" i="21" a="1"/>
  <c r="A584" i="21" s="1"/>
  <c r="C583" i="21" a="1"/>
  <c r="C583" i="21" s="1"/>
  <c r="B583" i="21" a="1"/>
  <c r="B583" i="21" s="1"/>
  <c r="A583" i="21" a="1"/>
  <c r="A583" i="21" s="1"/>
  <c r="C582" i="21" a="1"/>
  <c r="C582" i="21" s="1"/>
  <c r="B582" i="21" a="1"/>
  <c r="B582" i="21" s="1"/>
  <c r="A582" i="21" a="1"/>
  <c r="A582" i="21" s="1"/>
  <c r="C581" i="21" a="1"/>
  <c r="C581" i="21" s="1"/>
  <c r="B581" i="21" a="1"/>
  <c r="B581" i="21" s="1"/>
  <c r="A581" i="21" a="1"/>
  <c r="A581" i="21" s="1"/>
  <c r="C580" i="21" a="1"/>
  <c r="C580" i="21" s="1"/>
  <c r="B580" i="21" a="1"/>
  <c r="B580" i="21" s="1"/>
  <c r="A580" i="21" a="1"/>
  <c r="A580" i="21" s="1"/>
  <c r="C579" i="21" a="1"/>
  <c r="C579" i="21" s="1"/>
  <c r="B579" i="21" a="1"/>
  <c r="B579" i="21" s="1"/>
  <c r="A579" i="21" a="1"/>
  <c r="A579" i="21" s="1"/>
  <c r="C578" i="21" a="1"/>
  <c r="C578" i="21" s="1"/>
  <c r="B578" i="21" a="1"/>
  <c r="B578" i="21" s="1"/>
  <c r="A578" i="21" a="1"/>
  <c r="A578" i="21" s="1"/>
  <c r="C577" i="21" a="1"/>
  <c r="C577" i="21" s="1"/>
  <c r="B577" i="21" a="1"/>
  <c r="B577" i="21" s="1"/>
  <c r="A577" i="21" a="1"/>
  <c r="A577" i="21" s="1"/>
  <c r="C576" i="21" a="1"/>
  <c r="C576" i="21" s="1"/>
  <c r="B576" i="21" a="1"/>
  <c r="B576" i="21" s="1"/>
  <c r="A576" i="21" a="1"/>
  <c r="A576" i="21" s="1"/>
  <c r="C575" i="21" a="1"/>
  <c r="C575" i="21" s="1"/>
  <c r="B575" i="21" a="1"/>
  <c r="B575" i="21" s="1"/>
  <c r="A575" i="21" a="1"/>
  <c r="A575" i="21" s="1"/>
  <c r="C574" i="21" a="1"/>
  <c r="C574" i="21" s="1"/>
  <c r="B574" i="21" a="1"/>
  <c r="B574" i="21" s="1"/>
  <c r="A574" i="21" a="1"/>
  <c r="A574" i="21" s="1"/>
  <c r="C573" i="21" a="1"/>
  <c r="C573" i="21" s="1"/>
  <c r="B573" i="21" a="1"/>
  <c r="B573" i="21" s="1"/>
  <c r="A573" i="21" a="1"/>
  <c r="A573" i="21" s="1"/>
  <c r="C572" i="21" a="1"/>
  <c r="C572" i="21" s="1"/>
  <c r="B572" i="21" a="1"/>
  <c r="B572" i="21" s="1"/>
  <c r="A572" i="21" a="1"/>
  <c r="A572" i="21" s="1"/>
  <c r="C571" i="21" a="1"/>
  <c r="C571" i="21" s="1"/>
  <c r="B571" i="21" a="1"/>
  <c r="B571" i="21" s="1"/>
  <c r="A571" i="21" a="1"/>
  <c r="A571" i="21" s="1"/>
  <c r="C570" i="21" a="1"/>
  <c r="C570" i="21" s="1"/>
  <c r="B570" i="21" a="1"/>
  <c r="B570" i="21" s="1"/>
  <c r="A570" i="21" a="1"/>
  <c r="A570" i="21" s="1"/>
  <c r="C569" i="21" a="1"/>
  <c r="C569" i="21" s="1"/>
  <c r="B569" i="21" a="1"/>
  <c r="B569" i="21" s="1"/>
  <c r="A569" i="21" a="1"/>
  <c r="A569" i="21" s="1"/>
  <c r="C568" i="21" a="1"/>
  <c r="C568" i="21" s="1"/>
  <c r="B568" i="21" a="1"/>
  <c r="B568" i="21" s="1"/>
  <c r="A568" i="21" a="1"/>
  <c r="A568" i="21" s="1"/>
  <c r="C567" i="21" a="1"/>
  <c r="C567" i="21" s="1"/>
  <c r="B567" i="21" a="1"/>
  <c r="B567" i="21" s="1"/>
  <c r="A567" i="21" a="1"/>
  <c r="A567" i="21" s="1"/>
  <c r="C566" i="21" a="1"/>
  <c r="C566" i="21" s="1"/>
  <c r="B566" i="21" a="1"/>
  <c r="B566" i="21" s="1"/>
  <c r="A566" i="21" a="1"/>
  <c r="A566" i="21" s="1"/>
  <c r="C565" i="21" a="1"/>
  <c r="C565" i="21" s="1"/>
  <c r="B565" i="21" a="1"/>
  <c r="B565" i="21" s="1"/>
  <c r="A565" i="21" a="1"/>
  <c r="A565" i="21" s="1"/>
  <c r="C564" i="21" a="1"/>
  <c r="C564" i="21" s="1"/>
  <c r="B564" i="21" a="1"/>
  <c r="B564" i="21" s="1"/>
  <c r="A564" i="21" a="1"/>
  <c r="A564" i="21" s="1"/>
  <c r="C563" i="21" a="1"/>
  <c r="C563" i="21" s="1"/>
  <c r="B563" i="21" a="1"/>
  <c r="B563" i="21" s="1"/>
  <c r="A563" i="21" a="1"/>
  <c r="A563" i="21" s="1"/>
  <c r="C562" i="21" a="1"/>
  <c r="C562" i="21" s="1"/>
  <c r="B562" i="21" a="1"/>
  <c r="B562" i="21" s="1"/>
  <c r="A562" i="21" a="1"/>
  <c r="A562" i="21" s="1"/>
  <c r="C561" i="21" a="1"/>
  <c r="C561" i="21" s="1"/>
  <c r="B561" i="21" a="1"/>
  <c r="B561" i="21" s="1"/>
  <c r="A561" i="21" a="1"/>
  <c r="A561" i="21" s="1"/>
  <c r="C560" i="21" a="1"/>
  <c r="C560" i="21" s="1"/>
  <c r="B560" i="21" a="1"/>
  <c r="B560" i="21" s="1"/>
  <c r="A560" i="21" a="1"/>
  <c r="A560" i="21" s="1"/>
  <c r="C559" i="21" a="1"/>
  <c r="C559" i="21" s="1"/>
  <c r="B559" i="21" a="1"/>
  <c r="B559" i="21" s="1"/>
  <c r="A559" i="21" a="1"/>
  <c r="A559" i="21" s="1"/>
  <c r="C558" i="21" a="1"/>
  <c r="C558" i="21" s="1"/>
  <c r="B558" i="21" a="1"/>
  <c r="B558" i="21" s="1"/>
  <c r="A558" i="21" a="1"/>
  <c r="A558" i="21" s="1"/>
  <c r="C557" i="21" a="1"/>
  <c r="C557" i="21" s="1"/>
  <c r="B557" i="21" a="1"/>
  <c r="B557" i="21" s="1"/>
  <c r="A557" i="21" a="1"/>
  <c r="A557" i="21" s="1"/>
  <c r="C556" i="21" a="1"/>
  <c r="C556" i="21" s="1"/>
  <c r="B556" i="21" a="1"/>
  <c r="B556" i="21" s="1"/>
  <c r="A556" i="21" a="1"/>
  <c r="A556" i="21" s="1"/>
  <c r="C555" i="21" a="1"/>
  <c r="C555" i="21" s="1"/>
  <c r="B555" i="21" a="1"/>
  <c r="B555" i="21" s="1"/>
  <c r="A555" i="21" a="1"/>
  <c r="A555" i="21" s="1"/>
  <c r="C554" i="21" a="1"/>
  <c r="C554" i="21" s="1"/>
  <c r="B554" i="21" a="1"/>
  <c r="B554" i="21" s="1"/>
  <c r="A554" i="21" a="1"/>
  <c r="A554" i="21" s="1"/>
  <c r="C553" i="21" a="1"/>
  <c r="C553" i="21" s="1"/>
  <c r="B553" i="21" a="1"/>
  <c r="B553" i="21" s="1"/>
  <c r="A553" i="21" a="1"/>
  <c r="A553" i="21" s="1"/>
  <c r="C552" i="21" a="1"/>
  <c r="C552" i="21" s="1"/>
  <c r="B552" i="21" a="1"/>
  <c r="B552" i="21" s="1"/>
  <c r="A552" i="21" a="1"/>
  <c r="A552" i="21" s="1"/>
  <c r="C551" i="21" a="1"/>
  <c r="C551" i="21" s="1"/>
  <c r="B551" i="21" a="1"/>
  <c r="B551" i="21" s="1"/>
  <c r="A551" i="21" a="1"/>
  <c r="A551" i="21" s="1"/>
  <c r="C547" i="21" a="1"/>
  <c r="C547" i="21" s="1"/>
  <c r="B547" i="21" a="1"/>
  <c r="B547" i="21" s="1"/>
  <c r="A547" i="21" a="1"/>
  <c r="A547" i="21" s="1"/>
  <c r="C546" i="21" a="1"/>
  <c r="C546" i="21" s="1"/>
  <c r="B546" i="21" a="1"/>
  <c r="B546" i="21" s="1"/>
  <c r="A546" i="21" a="1"/>
  <c r="A546" i="21" s="1"/>
  <c r="C545" i="21" a="1"/>
  <c r="C545" i="21" s="1"/>
  <c r="B545" i="21" a="1"/>
  <c r="B545" i="21" s="1"/>
  <c r="A545" i="21" a="1"/>
  <c r="A545" i="21" s="1"/>
  <c r="C544" i="21" a="1"/>
  <c r="C544" i="21" s="1"/>
  <c r="B544" i="21" a="1"/>
  <c r="B544" i="21" s="1"/>
  <c r="A544" i="21" a="1"/>
  <c r="A544" i="21" s="1"/>
  <c r="C543" i="21" a="1"/>
  <c r="C543" i="21" s="1"/>
  <c r="B543" i="21" a="1"/>
  <c r="B543" i="21" s="1"/>
  <c r="A543" i="21" a="1"/>
  <c r="A543" i="21" s="1"/>
  <c r="C542" i="21" a="1"/>
  <c r="C542" i="21" s="1"/>
  <c r="B542" i="21" a="1"/>
  <c r="B542" i="21" s="1"/>
  <c r="A542" i="21" a="1"/>
  <c r="A542" i="21" s="1"/>
  <c r="C541" i="21" a="1"/>
  <c r="C541" i="21" s="1"/>
  <c r="B541" i="21" a="1"/>
  <c r="B541" i="21" s="1"/>
  <c r="A541" i="21" a="1"/>
  <c r="A541" i="21" s="1"/>
  <c r="C540" i="21" a="1"/>
  <c r="C540" i="21" s="1"/>
  <c r="B540" i="21" a="1"/>
  <c r="B540" i="21" s="1"/>
  <c r="A540" i="21" a="1"/>
  <c r="A540" i="21" s="1"/>
  <c r="C539" i="21" a="1"/>
  <c r="C539" i="21" s="1"/>
  <c r="B539" i="21" a="1"/>
  <c r="B539" i="21" s="1"/>
  <c r="A539" i="21" a="1"/>
  <c r="A539" i="21" s="1"/>
  <c r="C538" i="21" a="1"/>
  <c r="C538" i="21" s="1"/>
  <c r="B538" i="21" a="1"/>
  <c r="B538" i="21" s="1"/>
  <c r="A538" i="21" a="1"/>
  <c r="A538" i="21" s="1"/>
  <c r="C537" i="21" a="1"/>
  <c r="C537" i="21" s="1"/>
  <c r="B537" i="21" a="1"/>
  <c r="B537" i="21" s="1"/>
  <c r="A537" i="21" a="1"/>
  <c r="A537" i="21" s="1"/>
  <c r="C536" i="21" a="1"/>
  <c r="C536" i="21" s="1"/>
  <c r="B536" i="21" a="1"/>
  <c r="B536" i="21" s="1"/>
  <c r="A536" i="21" a="1"/>
  <c r="A536" i="21" s="1"/>
  <c r="C535" i="21" a="1"/>
  <c r="C535" i="21" s="1"/>
  <c r="B535" i="21" a="1"/>
  <c r="B535" i="21" s="1"/>
  <c r="A535" i="21" a="1"/>
  <c r="A535" i="21" s="1"/>
  <c r="C534" i="21" a="1"/>
  <c r="C534" i="21" s="1"/>
  <c r="B534" i="21" a="1"/>
  <c r="B534" i="21" s="1"/>
  <c r="A534" i="21" a="1"/>
  <c r="A534" i="21" s="1"/>
  <c r="C533" i="21" a="1"/>
  <c r="C533" i="21" s="1"/>
  <c r="B533" i="21" a="1"/>
  <c r="B533" i="21" s="1"/>
  <c r="A533" i="21" a="1"/>
  <c r="A533" i="21" s="1"/>
  <c r="C532" i="21" a="1"/>
  <c r="C532" i="21" s="1"/>
  <c r="B532" i="21" a="1"/>
  <c r="B532" i="21" s="1"/>
  <c r="A532" i="21" a="1"/>
  <c r="A532" i="21" s="1"/>
  <c r="C531" i="21" a="1"/>
  <c r="C531" i="21" s="1"/>
  <c r="B531" i="21" a="1"/>
  <c r="B531" i="21" s="1"/>
  <c r="A531" i="21" a="1"/>
  <c r="A531" i="21" s="1"/>
  <c r="C530" i="21" a="1"/>
  <c r="C530" i="21" s="1"/>
  <c r="B530" i="21" a="1"/>
  <c r="B530" i="21" s="1"/>
  <c r="A530" i="21" a="1"/>
  <c r="A530" i="21" s="1"/>
  <c r="C529" i="21" a="1"/>
  <c r="C529" i="21" s="1"/>
  <c r="B529" i="21" a="1"/>
  <c r="B529" i="21" s="1"/>
  <c r="A529" i="21" a="1"/>
  <c r="A529" i="21" s="1"/>
  <c r="C528" i="21" a="1"/>
  <c r="C528" i="21" s="1"/>
  <c r="B528" i="21" a="1"/>
  <c r="B528" i="21" s="1"/>
  <c r="A528" i="21" a="1"/>
  <c r="A528" i="21" s="1"/>
  <c r="C527" i="21" a="1"/>
  <c r="C527" i="21" s="1"/>
  <c r="B527" i="21" a="1"/>
  <c r="B527" i="21" s="1"/>
  <c r="A527" i="21" a="1"/>
  <c r="A527" i="21" s="1"/>
  <c r="C526" i="21" a="1"/>
  <c r="C526" i="21" s="1"/>
  <c r="B526" i="21" a="1"/>
  <c r="B526" i="21" s="1"/>
  <c r="A526" i="21" a="1"/>
  <c r="A526" i="21" s="1"/>
  <c r="C525" i="21" a="1"/>
  <c r="C525" i="21" s="1"/>
  <c r="B525" i="21" a="1"/>
  <c r="B525" i="21" s="1"/>
  <c r="A525" i="21" a="1"/>
  <c r="A525" i="21" s="1"/>
  <c r="C524" i="21" a="1"/>
  <c r="C524" i="21" s="1"/>
  <c r="B524" i="21" a="1"/>
  <c r="B524" i="21" s="1"/>
  <c r="A524" i="21" a="1"/>
  <c r="A524" i="21" s="1"/>
  <c r="C523" i="21" a="1"/>
  <c r="C523" i="21" s="1"/>
  <c r="B523" i="21" a="1"/>
  <c r="B523" i="21" s="1"/>
  <c r="A523" i="21" a="1"/>
  <c r="A523" i="21" s="1"/>
  <c r="C522" i="21" a="1"/>
  <c r="C522" i="21" s="1"/>
  <c r="B522" i="21" a="1"/>
  <c r="B522" i="21" s="1"/>
  <c r="A522" i="21" a="1"/>
  <c r="A522" i="21" s="1"/>
  <c r="C521" i="21" a="1"/>
  <c r="C521" i="21" s="1"/>
  <c r="B521" i="21" a="1"/>
  <c r="B521" i="21" s="1"/>
  <c r="A521" i="21" a="1"/>
  <c r="A521" i="21" s="1"/>
  <c r="C520" i="21" a="1"/>
  <c r="C520" i="21" s="1"/>
  <c r="B520" i="21" a="1"/>
  <c r="B520" i="21" s="1"/>
  <c r="A520" i="21" a="1"/>
  <c r="A520" i="21" s="1"/>
  <c r="C519" i="21" a="1"/>
  <c r="C519" i="21" s="1"/>
  <c r="B519" i="21" a="1"/>
  <c r="B519" i="21" s="1"/>
  <c r="A519" i="21" a="1"/>
  <c r="A519" i="21" s="1"/>
  <c r="C518" i="21" a="1"/>
  <c r="C518" i="21" s="1"/>
  <c r="B518" i="21" a="1"/>
  <c r="B518" i="21" s="1"/>
  <c r="A518" i="21" a="1"/>
  <c r="A518" i="21" s="1"/>
  <c r="C517" i="21" a="1"/>
  <c r="C517" i="21" s="1"/>
  <c r="B517" i="21" a="1"/>
  <c r="B517" i="21" s="1"/>
  <c r="A517" i="21" a="1"/>
  <c r="A517" i="21" s="1"/>
  <c r="C516" i="21" a="1"/>
  <c r="C516" i="21" s="1"/>
  <c r="B516" i="21" a="1"/>
  <c r="B516" i="21" s="1"/>
  <c r="A516" i="21" a="1"/>
  <c r="A516" i="21" s="1"/>
  <c r="C515" i="21" a="1"/>
  <c r="C515" i="21" s="1"/>
  <c r="B515" i="21" a="1"/>
  <c r="B515" i="21" s="1"/>
  <c r="A515" i="21" a="1"/>
  <c r="A515" i="21" s="1"/>
  <c r="C514" i="21" a="1"/>
  <c r="C514" i="21" s="1"/>
  <c r="B514" i="21" a="1"/>
  <c r="B514" i="21" s="1"/>
  <c r="A514" i="21" a="1"/>
  <c r="A514" i="21" s="1"/>
  <c r="C513" i="21" a="1"/>
  <c r="C513" i="21" s="1"/>
  <c r="B513" i="21" a="1"/>
  <c r="B513" i="21" s="1"/>
  <c r="A513" i="21" a="1"/>
  <c r="A513" i="21" s="1"/>
  <c r="C509" i="21" a="1"/>
  <c r="C509" i="21" s="1"/>
  <c r="B509" i="21" a="1"/>
  <c r="B509" i="21" s="1"/>
  <c r="A509" i="21" a="1"/>
  <c r="A509" i="21" s="1"/>
  <c r="C508" i="21" a="1"/>
  <c r="C508" i="21" s="1"/>
  <c r="B508" i="21" a="1"/>
  <c r="B508" i="21" s="1"/>
  <c r="A508" i="21" a="1"/>
  <c r="A508" i="21" s="1"/>
  <c r="C507" i="21" a="1"/>
  <c r="C507" i="21" s="1"/>
  <c r="B507" i="21" a="1"/>
  <c r="B507" i="21" s="1"/>
  <c r="A507" i="21" a="1"/>
  <c r="A507" i="21" s="1"/>
  <c r="C506" i="21" a="1"/>
  <c r="C506" i="21" s="1"/>
  <c r="B506" i="21" a="1"/>
  <c r="B506" i="21" s="1"/>
  <c r="A506" i="21" a="1"/>
  <c r="A506" i="21" s="1"/>
  <c r="C505" i="21" a="1"/>
  <c r="C505" i="21" s="1"/>
  <c r="B505" i="21" a="1"/>
  <c r="B505" i="21" s="1"/>
  <c r="A505" i="21" a="1"/>
  <c r="A505" i="21" s="1"/>
  <c r="C504" i="21" a="1"/>
  <c r="C504" i="21" s="1"/>
  <c r="B504" i="21" a="1"/>
  <c r="B504" i="21" s="1"/>
  <c r="A504" i="21" a="1"/>
  <c r="A504" i="21" s="1"/>
  <c r="C503" i="21" a="1"/>
  <c r="C503" i="21" s="1"/>
  <c r="B503" i="21" a="1"/>
  <c r="B503" i="21" s="1"/>
  <c r="A503" i="21" a="1"/>
  <c r="A503" i="21" s="1"/>
  <c r="C502" i="21" a="1"/>
  <c r="C502" i="21" s="1"/>
  <c r="B502" i="21" a="1"/>
  <c r="B502" i="21" s="1"/>
  <c r="A502" i="21" a="1"/>
  <c r="A502" i="21" s="1"/>
  <c r="C501" i="21" a="1"/>
  <c r="C501" i="21" s="1"/>
  <c r="B501" i="21" a="1"/>
  <c r="B501" i="21" s="1"/>
  <c r="A501" i="21" a="1"/>
  <c r="A501" i="21" s="1"/>
  <c r="C500" i="21" a="1"/>
  <c r="C500" i="21" s="1"/>
  <c r="B500" i="21" a="1"/>
  <c r="B500" i="21" s="1"/>
  <c r="A500" i="21" a="1"/>
  <c r="A500" i="21" s="1"/>
  <c r="C499" i="21" a="1"/>
  <c r="C499" i="21" s="1"/>
  <c r="B499" i="21" a="1"/>
  <c r="B499" i="21" s="1"/>
  <c r="A499" i="21" a="1"/>
  <c r="A499" i="21" s="1"/>
  <c r="C498" i="21" a="1"/>
  <c r="C498" i="21" s="1"/>
  <c r="B498" i="21" a="1"/>
  <c r="B498" i="21" s="1"/>
  <c r="A498" i="21" a="1"/>
  <c r="A498" i="21" s="1"/>
  <c r="C497" i="21" a="1"/>
  <c r="C497" i="21" s="1"/>
  <c r="B497" i="21" a="1"/>
  <c r="B497" i="21" s="1"/>
  <c r="A497" i="21" a="1"/>
  <c r="A497" i="21" s="1"/>
  <c r="C496" i="21" a="1"/>
  <c r="C496" i="21" s="1"/>
  <c r="B496" i="21" a="1"/>
  <c r="B496" i="21" s="1"/>
  <c r="A496" i="21" a="1"/>
  <c r="A496" i="21" s="1"/>
  <c r="C495" i="21" a="1"/>
  <c r="C495" i="21" s="1"/>
  <c r="B495" i="21" a="1"/>
  <c r="B495" i="21" s="1"/>
  <c r="A495" i="21" a="1"/>
  <c r="A495" i="21" s="1"/>
  <c r="C494" i="21" a="1"/>
  <c r="C494" i="21" s="1"/>
  <c r="B494" i="21" a="1"/>
  <c r="B494" i="21" s="1"/>
  <c r="A494" i="21" a="1"/>
  <c r="A494" i="21" s="1"/>
  <c r="C493" i="21" a="1"/>
  <c r="C493" i="21" s="1"/>
  <c r="B493" i="21" a="1"/>
  <c r="B493" i="21" s="1"/>
  <c r="A493" i="21" a="1"/>
  <c r="A493" i="21" s="1"/>
  <c r="C492" i="21" a="1"/>
  <c r="C492" i="21" s="1"/>
  <c r="B492" i="21" a="1"/>
  <c r="B492" i="21" s="1"/>
  <c r="A492" i="21" a="1"/>
  <c r="A492" i="21" s="1"/>
  <c r="C491" i="21" a="1"/>
  <c r="C491" i="21" s="1"/>
  <c r="B491" i="21" a="1"/>
  <c r="B491" i="21" s="1"/>
  <c r="A491" i="21" a="1"/>
  <c r="A491" i="21" s="1"/>
  <c r="C490" i="21" a="1"/>
  <c r="C490" i="21" s="1"/>
  <c r="B490" i="21" a="1"/>
  <c r="B490" i="21" s="1"/>
  <c r="A490" i="21" a="1"/>
  <c r="A490" i="21" s="1"/>
  <c r="C489" i="21" a="1"/>
  <c r="C489" i="21" s="1"/>
  <c r="B489" i="21" a="1"/>
  <c r="B489" i="21" s="1"/>
  <c r="A489" i="21" a="1"/>
  <c r="A489" i="21" s="1"/>
  <c r="C488" i="21" a="1"/>
  <c r="C488" i="21" s="1"/>
  <c r="B488" i="21" a="1"/>
  <c r="B488" i="21" s="1"/>
  <c r="A488" i="21" a="1"/>
  <c r="A488" i="21" s="1"/>
  <c r="C487" i="21" a="1"/>
  <c r="C487" i="21" s="1"/>
  <c r="B487" i="21" a="1"/>
  <c r="B487" i="21" s="1"/>
  <c r="A487" i="21" a="1"/>
  <c r="A487" i="21" s="1"/>
  <c r="C486" i="21" a="1"/>
  <c r="C486" i="21" s="1"/>
  <c r="B486" i="21" a="1"/>
  <c r="B486" i="21" s="1"/>
  <c r="A486" i="21" a="1"/>
  <c r="A486" i="21" s="1"/>
  <c r="C485" i="21" a="1"/>
  <c r="C485" i="21" s="1"/>
  <c r="B485" i="21" a="1"/>
  <c r="B485" i="21" s="1"/>
  <c r="A485" i="21" a="1"/>
  <c r="A485" i="21" s="1"/>
  <c r="C484" i="21" a="1"/>
  <c r="C484" i="21" s="1"/>
  <c r="B484" i="21" a="1"/>
  <c r="B484" i="21" s="1"/>
  <c r="A484" i="21" a="1"/>
  <c r="A484" i="21" s="1"/>
  <c r="C483" i="21" a="1"/>
  <c r="C483" i="21" s="1"/>
  <c r="B483" i="21" a="1"/>
  <c r="B483" i="21" s="1"/>
  <c r="A483" i="21" a="1"/>
  <c r="A483" i="21" s="1"/>
  <c r="C482" i="21" a="1"/>
  <c r="C482" i="21" s="1"/>
  <c r="B482" i="21" a="1"/>
  <c r="B482" i="21" s="1"/>
  <c r="A482" i="21" a="1"/>
  <c r="A482" i="21" s="1"/>
  <c r="C481" i="21" a="1"/>
  <c r="C481" i="21" s="1"/>
  <c r="B481" i="21" a="1"/>
  <c r="B481" i="21" s="1"/>
  <c r="A481" i="21" a="1"/>
  <c r="A481" i="21" s="1"/>
  <c r="C480" i="21" a="1"/>
  <c r="C480" i="21" s="1"/>
  <c r="B480" i="21" a="1"/>
  <c r="B480" i="21" s="1"/>
  <c r="A480" i="21" a="1"/>
  <c r="A480" i="21" s="1"/>
  <c r="C479" i="21" a="1"/>
  <c r="C479" i="21" s="1"/>
  <c r="B479" i="21" a="1"/>
  <c r="B479" i="21" s="1"/>
  <c r="A479" i="21" a="1"/>
  <c r="A479" i="21" s="1"/>
  <c r="C478" i="21" a="1"/>
  <c r="C478" i="21" s="1"/>
  <c r="B478" i="21" a="1"/>
  <c r="B478" i="21" s="1"/>
  <c r="A478" i="21" a="1"/>
  <c r="A478" i="21" s="1"/>
  <c r="C477" i="21" a="1"/>
  <c r="C477" i="21" s="1"/>
  <c r="B477" i="21" a="1"/>
  <c r="B477" i="21" s="1"/>
  <c r="A477" i="21" a="1"/>
  <c r="A477" i="21" s="1"/>
  <c r="C476" i="21" a="1"/>
  <c r="C476" i="21" s="1"/>
  <c r="B476" i="21" a="1"/>
  <c r="B476" i="21" s="1"/>
  <c r="A476" i="21" a="1"/>
  <c r="A476" i="21" s="1"/>
  <c r="C475" i="21" a="1"/>
  <c r="C475" i="21" s="1"/>
  <c r="B475" i="21" a="1"/>
  <c r="B475" i="21" s="1"/>
  <c r="A475" i="21" a="1"/>
  <c r="A475" i="21" s="1"/>
  <c r="C471" i="21" a="1"/>
  <c r="C471" i="21" s="1"/>
  <c r="B471" i="21" a="1"/>
  <c r="B471" i="21" s="1"/>
  <c r="A471" i="21" a="1"/>
  <c r="A471" i="21" s="1"/>
  <c r="C470" i="21" a="1"/>
  <c r="C470" i="21" s="1"/>
  <c r="B470" i="21" a="1"/>
  <c r="B470" i="21" s="1"/>
  <c r="A470" i="21" a="1"/>
  <c r="A470" i="21" s="1"/>
  <c r="C469" i="21" a="1"/>
  <c r="C469" i="21" s="1"/>
  <c r="B469" i="21" a="1"/>
  <c r="B469" i="21" s="1"/>
  <c r="A469" i="21" a="1"/>
  <c r="A469" i="21" s="1"/>
  <c r="C468" i="21" a="1"/>
  <c r="C468" i="21" s="1"/>
  <c r="B468" i="21" a="1"/>
  <c r="B468" i="21" s="1"/>
  <c r="A468" i="21" a="1"/>
  <c r="A468" i="21" s="1"/>
  <c r="C467" i="21" a="1"/>
  <c r="C467" i="21" s="1"/>
  <c r="B467" i="21" a="1"/>
  <c r="B467" i="21" s="1"/>
  <c r="A467" i="21" a="1"/>
  <c r="A467" i="21" s="1"/>
  <c r="C466" i="21" a="1"/>
  <c r="C466" i="21" s="1"/>
  <c r="B466" i="21" a="1"/>
  <c r="B466" i="21" s="1"/>
  <c r="A466" i="21" a="1"/>
  <c r="A466" i="21" s="1"/>
  <c r="C465" i="21" a="1"/>
  <c r="C465" i="21" s="1"/>
  <c r="B465" i="21" a="1"/>
  <c r="B465" i="21" s="1"/>
  <c r="A465" i="21" a="1"/>
  <c r="A465" i="21" s="1"/>
  <c r="C464" i="21" a="1"/>
  <c r="C464" i="21" s="1"/>
  <c r="B464" i="21" a="1"/>
  <c r="B464" i="21" s="1"/>
  <c r="A464" i="21" a="1"/>
  <c r="A464" i="21" s="1"/>
  <c r="C463" i="21" a="1"/>
  <c r="C463" i="21" s="1"/>
  <c r="B463" i="21" a="1"/>
  <c r="B463" i="21" s="1"/>
  <c r="A463" i="21" a="1"/>
  <c r="A463" i="21" s="1"/>
  <c r="C462" i="21" a="1"/>
  <c r="C462" i="21" s="1"/>
  <c r="B462" i="21" a="1"/>
  <c r="B462" i="21" s="1"/>
  <c r="A462" i="21" a="1"/>
  <c r="A462" i="21" s="1"/>
  <c r="C461" i="21" a="1"/>
  <c r="C461" i="21" s="1"/>
  <c r="B461" i="21" a="1"/>
  <c r="B461" i="21" s="1"/>
  <c r="A461" i="21" a="1"/>
  <c r="A461" i="21" s="1"/>
  <c r="C460" i="21" a="1"/>
  <c r="C460" i="21" s="1"/>
  <c r="B460" i="21" a="1"/>
  <c r="B460" i="21" s="1"/>
  <c r="A460" i="21" a="1"/>
  <c r="A460" i="21" s="1"/>
  <c r="C459" i="21" a="1"/>
  <c r="C459" i="21" s="1"/>
  <c r="B459" i="21" a="1"/>
  <c r="B459" i="21" s="1"/>
  <c r="A459" i="21" a="1"/>
  <c r="A459" i="21" s="1"/>
  <c r="C458" i="21" a="1"/>
  <c r="C458" i="21" s="1"/>
  <c r="B458" i="21" a="1"/>
  <c r="B458" i="21" s="1"/>
  <c r="A458" i="21" a="1"/>
  <c r="A458" i="21" s="1"/>
  <c r="C457" i="21" a="1"/>
  <c r="C457" i="21" s="1"/>
  <c r="B457" i="21" a="1"/>
  <c r="B457" i="21" s="1"/>
  <c r="A457" i="21" a="1"/>
  <c r="A457" i="21" s="1"/>
  <c r="C456" i="21" a="1"/>
  <c r="C456" i="21" s="1"/>
  <c r="B456" i="21" a="1"/>
  <c r="B456" i="21" s="1"/>
  <c r="A456" i="21" a="1"/>
  <c r="A456" i="21" s="1"/>
  <c r="C455" i="21" a="1"/>
  <c r="C455" i="21" s="1"/>
  <c r="B455" i="21" a="1"/>
  <c r="B455" i="21" s="1"/>
  <c r="A455" i="21" a="1"/>
  <c r="A455" i="21" s="1"/>
  <c r="C454" i="21" a="1"/>
  <c r="C454" i="21" s="1"/>
  <c r="B454" i="21" a="1"/>
  <c r="B454" i="21" s="1"/>
  <c r="A454" i="21" a="1"/>
  <c r="A454" i="21" s="1"/>
  <c r="C453" i="21" a="1"/>
  <c r="C453" i="21" s="1"/>
  <c r="B453" i="21" a="1"/>
  <c r="B453" i="21" s="1"/>
  <c r="A453" i="21" a="1"/>
  <c r="A453" i="21" s="1"/>
  <c r="C452" i="21" a="1"/>
  <c r="C452" i="21" s="1"/>
  <c r="B452" i="21" a="1"/>
  <c r="B452" i="21" s="1"/>
  <c r="A452" i="21" a="1"/>
  <c r="A452" i="21" s="1"/>
  <c r="C451" i="21" a="1"/>
  <c r="C451" i="21" s="1"/>
  <c r="B451" i="21" a="1"/>
  <c r="B451" i="21" s="1"/>
  <c r="A451" i="21" a="1"/>
  <c r="A451" i="21" s="1"/>
  <c r="C450" i="21" a="1"/>
  <c r="C450" i="21" s="1"/>
  <c r="B450" i="21" a="1"/>
  <c r="B450" i="21" s="1"/>
  <c r="A450" i="21" a="1"/>
  <c r="A450" i="21" s="1"/>
  <c r="C449" i="21" a="1"/>
  <c r="C449" i="21" s="1"/>
  <c r="B449" i="21" a="1"/>
  <c r="B449" i="21" s="1"/>
  <c r="A449" i="21" a="1"/>
  <c r="A449" i="21" s="1"/>
  <c r="C448" i="21" a="1"/>
  <c r="C448" i="21" s="1"/>
  <c r="B448" i="21" a="1"/>
  <c r="B448" i="21" s="1"/>
  <c r="A448" i="21" a="1"/>
  <c r="A448" i="21" s="1"/>
  <c r="C447" i="21" a="1"/>
  <c r="C447" i="21" s="1"/>
  <c r="B447" i="21" a="1"/>
  <c r="B447" i="21" s="1"/>
  <c r="A447" i="21" a="1"/>
  <c r="A447" i="21" s="1"/>
  <c r="C446" i="21" a="1"/>
  <c r="C446" i="21" s="1"/>
  <c r="B446" i="21" a="1"/>
  <c r="B446" i="21" s="1"/>
  <c r="A446" i="21" a="1"/>
  <c r="A446" i="21" s="1"/>
  <c r="C445" i="21" a="1"/>
  <c r="C445" i="21" s="1"/>
  <c r="B445" i="21" a="1"/>
  <c r="B445" i="21" s="1"/>
  <c r="A445" i="21" a="1"/>
  <c r="A445" i="21" s="1"/>
  <c r="C444" i="21" a="1"/>
  <c r="C444" i="21" s="1"/>
  <c r="B444" i="21" a="1"/>
  <c r="B444" i="21" s="1"/>
  <c r="A444" i="21" a="1"/>
  <c r="A444" i="21" s="1"/>
  <c r="C443" i="21" a="1"/>
  <c r="C443" i="21" s="1"/>
  <c r="B443" i="21" a="1"/>
  <c r="B443" i="21" s="1"/>
  <c r="A443" i="21" a="1"/>
  <c r="A443" i="21" s="1"/>
  <c r="C442" i="21" a="1"/>
  <c r="C442" i="21" s="1"/>
  <c r="B442" i="21" a="1"/>
  <c r="B442" i="21" s="1"/>
  <c r="A442" i="21" a="1"/>
  <c r="A442" i="21" s="1"/>
  <c r="C441" i="21" a="1"/>
  <c r="C441" i="21" s="1"/>
  <c r="B441" i="21" a="1"/>
  <c r="B441" i="21" s="1"/>
  <c r="A441" i="21" a="1"/>
  <c r="A441" i="21" s="1"/>
  <c r="C440" i="21" a="1"/>
  <c r="C440" i="21" s="1"/>
  <c r="B440" i="21" a="1"/>
  <c r="B440" i="21" s="1"/>
  <c r="A440" i="21" a="1"/>
  <c r="A440" i="21" s="1"/>
  <c r="C439" i="21" a="1"/>
  <c r="C439" i="21" s="1"/>
  <c r="B439" i="21" a="1"/>
  <c r="B439" i="21" s="1"/>
  <c r="A439" i="21" a="1"/>
  <c r="A439" i="21" s="1"/>
  <c r="C438" i="21" a="1"/>
  <c r="C438" i="21" s="1"/>
  <c r="B438" i="21" a="1"/>
  <c r="B438" i="21" s="1"/>
  <c r="A438" i="21" a="1"/>
  <c r="A438" i="21" s="1"/>
  <c r="C437" i="21" a="1"/>
  <c r="C437" i="21" s="1"/>
  <c r="B437" i="21" a="1"/>
  <c r="B437" i="21" s="1"/>
  <c r="A437" i="21" a="1"/>
  <c r="A437" i="21" s="1"/>
  <c r="C433" i="21" a="1"/>
  <c r="C433" i="21" s="1"/>
  <c r="B433" i="21" a="1"/>
  <c r="B433" i="21" s="1"/>
  <c r="A433" i="21" a="1"/>
  <c r="A433" i="21" s="1"/>
  <c r="C432" i="21" a="1"/>
  <c r="C432" i="21" s="1"/>
  <c r="B432" i="21" a="1"/>
  <c r="B432" i="21" s="1"/>
  <c r="A432" i="21" a="1"/>
  <c r="A432" i="21" s="1"/>
  <c r="C431" i="21" a="1"/>
  <c r="C431" i="21" s="1"/>
  <c r="B431" i="21" a="1"/>
  <c r="B431" i="21" s="1"/>
  <c r="A431" i="21" a="1"/>
  <c r="A431" i="21" s="1"/>
  <c r="C430" i="21" a="1"/>
  <c r="C430" i="21" s="1"/>
  <c r="B430" i="21" a="1"/>
  <c r="B430" i="21" s="1"/>
  <c r="A430" i="21" a="1"/>
  <c r="A430" i="21" s="1"/>
  <c r="C429" i="21" a="1"/>
  <c r="C429" i="21" s="1"/>
  <c r="B429" i="21" a="1"/>
  <c r="B429" i="21" s="1"/>
  <c r="A429" i="21" a="1"/>
  <c r="A429" i="21" s="1"/>
  <c r="C428" i="21" a="1"/>
  <c r="C428" i="21" s="1"/>
  <c r="B428" i="21" a="1"/>
  <c r="B428" i="21" s="1"/>
  <c r="A428" i="21" a="1"/>
  <c r="A428" i="21" s="1"/>
  <c r="C427" i="21" a="1"/>
  <c r="C427" i="21" s="1"/>
  <c r="B427" i="21" a="1"/>
  <c r="B427" i="21" s="1"/>
  <c r="A427" i="21" a="1"/>
  <c r="A427" i="21" s="1"/>
  <c r="C426" i="21" a="1"/>
  <c r="C426" i="21" s="1"/>
  <c r="B426" i="21" a="1"/>
  <c r="B426" i="21" s="1"/>
  <c r="A426" i="21" a="1"/>
  <c r="A426" i="21" s="1"/>
  <c r="C425" i="21" a="1"/>
  <c r="C425" i="21" s="1"/>
  <c r="B425" i="21" a="1"/>
  <c r="B425" i="21" s="1"/>
  <c r="A425" i="21" a="1"/>
  <c r="A425" i="21" s="1"/>
  <c r="C424" i="21" a="1"/>
  <c r="C424" i="21" s="1"/>
  <c r="B424" i="21" a="1"/>
  <c r="B424" i="21" s="1"/>
  <c r="A424" i="21" a="1"/>
  <c r="A424" i="21" s="1"/>
  <c r="C423" i="21" a="1"/>
  <c r="C423" i="21" s="1"/>
  <c r="B423" i="21" a="1"/>
  <c r="B423" i="21" s="1"/>
  <c r="A423" i="21" a="1"/>
  <c r="A423" i="21" s="1"/>
  <c r="C422" i="21" a="1"/>
  <c r="C422" i="21" s="1"/>
  <c r="B422" i="21" a="1"/>
  <c r="B422" i="21" s="1"/>
  <c r="A422" i="21" a="1"/>
  <c r="A422" i="21" s="1"/>
  <c r="C421" i="21" a="1"/>
  <c r="C421" i="21" s="1"/>
  <c r="B421" i="21" a="1"/>
  <c r="B421" i="21" s="1"/>
  <c r="A421" i="21" a="1"/>
  <c r="A421" i="21" s="1"/>
  <c r="C420" i="21" a="1"/>
  <c r="C420" i="21" s="1"/>
  <c r="B420" i="21" a="1"/>
  <c r="B420" i="21" s="1"/>
  <c r="A420" i="21" a="1"/>
  <c r="A420" i="21" s="1"/>
  <c r="C419" i="21" a="1"/>
  <c r="C419" i="21" s="1"/>
  <c r="B419" i="21" a="1"/>
  <c r="B419" i="21" s="1"/>
  <c r="A419" i="21" a="1"/>
  <c r="A419" i="21" s="1"/>
  <c r="C418" i="21" a="1"/>
  <c r="C418" i="21" s="1"/>
  <c r="B418" i="21" a="1"/>
  <c r="B418" i="21" s="1"/>
  <c r="A418" i="21" a="1"/>
  <c r="A418" i="21" s="1"/>
  <c r="C417" i="21" a="1"/>
  <c r="C417" i="21" s="1"/>
  <c r="B417" i="21" a="1"/>
  <c r="B417" i="21" s="1"/>
  <c r="A417" i="21" a="1"/>
  <c r="A417" i="21" s="1"/>
  <c r="C416" i="21" a="1"/>
  <c r="C416" i="21" s="1"/>
  <c r="B416" i="21" a="1"/>
  <c r="B416" i="21" s="1"/>
  <c r="A416" i="21" a="1"/>
  <c r="A416" i="21" s="1"/>
  <c r="C415" i="21" a="1"/>
  <c r="C415" i="21" s="1"/>
  <c r="B415" i="21" a="1"/>
  <c r="B415" i="21" s="1"/>
  <c r="A415" i="21" a="1"/>
  <c r="A415" i="21" s="1"/>
  <c r="C414" i="21" a="1"/>
  <c r="C414" i="21" s="1"/>
  <c r="B414" i="21" a="1"/>
  <c r="B414" i="21" s="1"/>
  <c r="A414" i="21" a="1"/>
  <c r="A414" i="21" s="1"/>
  <c r="C413" i="21" a="1"/>
  <c r="C413" i="21" s="1"/>
  <c r="B413" i="21" a="1"/>
  <c r="B413" i="21" s="1"/>
  <c r="A413" i="21" a="1"/>
  <c r="A413" i="21" s="1"/>
  <c r="C412" i="21" a="1"/>
  <c r="C412" i="21" s="1"/>
  <c r="B412" i="21" a="1"/>
  <c r="B412" i="21" s="1"/>
  <c r="A412" i="21" a="1"/>
  <c r="A412" i="21" s="1"/>
  <c r="C411" i="21" a="1"/>
  <c r="C411" i="21" s="1"/>
  <c r="B411" i="21" a="1"/>
  <c r="B411" i="21" s="1"/>
  <c r="A411" i="21" a="1"/>
  <c r="A411" i="21" s="1"/>
  <c r="C410" i="21" a="1"/>
  <c r="C410" i="21" s="1"/>
  <c r="B410" i="21" a="1"/>
  <c r="B410" i="21" s="1"/>
  <c r="A410" i="21" a="1"/>
  <c r="A410" i="21" s="1"/>
  <c r="C409" i="21" a="1"/>
  <c r="C409" i="21" s="1"/>
  <c r="B409" i="21" a="1"/>
  <c r="B409" i="21" s="1"/>
  <c r="A409" i="21" a="1"/>
  <c r="A409" i="21" s="1"/>
  <c r="C408" i="21" a="1"/>
  <c r="C408" i="21" s="1"/>
  <c r="B408" i="21" a="1"/>
  <c r="B408" i="21" s="1"/>
  <c r="A408" i="21" a="1"/>
  <c r="A408" i="21" s="1"/>
  <c r="C407" i="21" a="1"/>
  <c r="C407" i="21" s="1"/>
  <c r="B407" i="21" a="1"/>
  <c r="B407" i="21" s="1"/>
  <c r="A407" i="21" a="1"/>
  <c r="A407" i="21" s="1"/>
  <c r="C406" i="21" a="1"/>
  <c r="C406" i="21" s="1"/>
  <c r="B406" i="21" a="1"/>
  <c r="B406" i="21" s="1"/>
  <c r="A406" i="21" a="1"/>
  <c r="A406" i="21" s="1"/>
  <c r="C405" i="21" a="1"/>
  <c r="C405" i="21" s="1"/>
  <c r="B405" i="21" a="1"/>
  <c r="B405" i="21" s="1"/>
  <c r="A405" i="21" a="1"/>
  <c r="A405" i="21" s="1"/>
  <c r="C404" i="21" a="1"/>
  <c r="C404" i="21" s="1"/>
  <c r="B404" i="21" a="1"/>
  <c r="B404" i="21" s="1"/>
  <c r="A404" i="21" a="1"/>
  <c r="A404" i="21" s="1"/>
  <c r="C403" i="21" a="1"/>
  <c r="C403" i="21" s="1"/>
  <c r="B403" i="21" a="1"/>
  <c r="B403" i="21" s="1"/>
  <c r="A403" i="21" a="1"/>
  <c r="A403" i="21" s="1"/>
  <c r="C402" i="21" a="1"/>
  <c r="C402" i="21" s="1"/>
  <c r="B402" i="21" a="1"/>
  <c r="B402" i="21" s="1"/>
  <c r="A402" i="21" a="1"/>
  <c r="A402" i="21" s="1"/>
  <c r="C401" i="21" a="1"/>
  <c r="C401" i="21" s="1"/>
  <c r="B401" i="21" a="1"/>
  <c r="B401" i="21" s="1"/>
  <c r="A401" i="21" a="1"/>
  <c r="A401" i="21" s="1"/>
  <c r="C400" i="21" a="1"/>
  <c r="C400" i="21" s="1"/>
  <c r="B400" i="21" a="1"/>
  <c r="B400" i="21" s="1"/>
  <c r="A400" i="21" a="1"/>
  <c r="A400" i="21" s="1"/>
  <c r="C399" i="21" a="1"/>
  <c r="C399" i="21" s="1"/>
  <c r="B399" i="21" a="1"/>
  <c r="B399" i="21" s="1"/>
  <c r="A399" i="21" a="1"/>
  <c r="A399" i="21" s="1"/>
  <c r="C395" i="21" a="1"/>
  <c r="C395" i="21" s="1"/>
  <c r="B395" i="21" a="1"/>
  <c r="B395" i="21" s="1"/>
  <c r="A395" i="21" a="1"/>
  <c r="A395" i="21" s="1"/>
  <c r="C394" i="21" a="1"/>
  <c r="C394" i="21" s="1"/>
  <c r="B394" i="21" a="1"/>
  <c r="B394" i="21" s="1"/>
  <c r="A394" i="21" a="1"/>
  <c r="A394" i="21" s="1"/>
  <c r="C393" i="21" a="1"/>
  <c r="C393" i="21" s="1"/>
  <c r="B393" i="21" a="1"/>
  <c r="B393" i="21" s="1"/>
  <c r="A393" i="21" a="1"/>
  <c r="A393" i="21" s="1"/>
  <c r="C392" i="21" a="1"/>
  <c r="C392" i="21" s="1"/>
  <c r="B392" i="21" a="1"/>
  <c r="B392" i="21" s="1"/>
  <c r="A392" i="21" a="1"/>
  <c r="A392" i="21" s="1"/>
  <c r="C391" i="21" a="1"/>
  <c r="C391" i="21" s="1"/>
  <c r="B391" i="21" a="1"/>
  <c r="B391" i="21" s="1"/>
  <c r="A391" i="21" a="1"/>
  <c r="A391" i="21" s="1"/>
  <c r="C390" i="21" a="1"/>
  <c r="C390" i="21" s="1"/>
  <c r="B390" i="21" a="1"/>
  <c r="B390" i="21" s="1"/>
  <c r="A390" i="21" a="1"/>
  <c r="A390" i="21" s="1"/>
  <c r="C389" i="21" a="1"/>
  <c r="C389" i="21" s="1"/>
  <c r="B389" i="21" a="1"/>
  <c r="B389" i="21" s="1"/>
  <c r="A389" i="21" a="1"/>
  <c r="A389" i="21" s="1"/>
  <c r="C388" i="21" a="1"/>
  <c r="C388" i="21" s="1"/>
  <c r="B388" i="21" a="1"/>
  <c r="B388" i="21" s="1"/>
  <c r="A388" i="21" a="1"/>
  <c r="A388" i="21" s="1"/>
  <c r="C387" i="21" a="1"/>
  <c r="C387" i="21" s="1"/>
  <c r="B387" i="21" a="1"/>
  <c r="B387" i="21" s="1"/>
  <c r="A387" i="21" a="1"/>
  <c r="A387" i="21" s="1"/>
  <c r="C386" i="21" a="1"/>
  <c r="C386" i="21" s="1"/>
  <c r="B386" i="21" a="1"/>
  <c r="B386" i="21" s="1"/>
  <c r="A386" i="21" a="1"/>
  <c r="A386" i="21" s="1"/>
  <c r="C385" i="21" a="1"/>
  <c r="C385" i="21" s="1"/>
  <c r="B385" i="21" a="1"/>
  <c r="B385" i="21" s="1"/>
  <c r="A385" i="21" a="1"/>
  <c r="A385" i="21" s="1"/>
  <c r="C384" i="21" a="1"/>
  <c r="C384" i="21" s="1"/>
  <c r="B384" i="21" a="1"/>
  <c r="B384" i="21" s="1"/>
  <c r="A384" i="21" a="1"/>
  <c r="A384" i="21" s="1"/>
  <c r="C383" i="21" a="1"/>
  <c r="C383" i="21" s="1"/>
  <c r="B383" i="21" a="1"/>
  <c r="B383" i="21" s="1"/>
  <c r="A383" i="21" a="1"/>
  <c r="A383" i="21" s="1"/>
  <c r="C382" i="21" a="1"/>
  <c r="C382" i="21" s="1"/>
  <c r="B382" i="21" a="1"/>
  <c r="B382" i="21" s="1"/>
  <c r="A382" i="21" a="1"/>
  <c r="A382" i="21" s="1"/>
  <c r="C381" i="21" a="1"/>
  <c r="C381" i="21" s="1"/>
  <c r="B381" i="21" a="1"/>
  <c r="B381" i="21" s="1"/>
  <c r="A381" i="21" a="1"/>
  <c r="A381" i="21" s="1"/>
  <c r="C380" i="21" a="1"/>
  <c r="C380" i="21" s="1"/>
  <c r="B380" i="21" a="1"/>
  <c r="B380" i="21" s="1"/>
  <c r="A380" i="21" a="1"/>
  <c r="A380" i="21" s="1"/>
  <c r="C379" i="21" a="1"/>
  <c r="C379" i="21" s="1"/>
  <c r="B379" i="21" a="1"/>
  <c r="B379" i="21" s="1"/>
  <c r="A379" i="21" a="1"/>
  <c r="A379" i="21" s="1"/>
  <c r="C378" i="21" a="1"/>
  <c r="C378" i="21" s="1"/>
  <c r="B378" i="21" a="1"/>
  <c r="B378" i="21" s="1"/>
  <c r="A378" i="21" a="1"/>
  <c r="A378" i="21" s="1"/>
  <c r="C377" i="21" a="1"/>
  <c r="C377" i="21" s="1"/>
  <c r="B377" i="21" a="1"/>
  <c r="B377" i="21" s="1"/>
  <c r="A377" i="21" a="1"/>
  <c r="A377" i="21" s="1"/>
  <c r="C376" i="21" a="1"/>
  <c r="C376" i="21" s="1"/>
  <c r="B376" i="21" a="1"/>
  <c r="B376" i="21" s="1"/>
  <c r="A376" i="21" a="1"/>
  <c r="A376" i="21" s="1"/>
  <c r="C375" i="21" a="1"/>
  <c r="C375" i="21" s="1"/>
  <c r="B375" i="21" a="1"/>
  <c r="B375" i="21" s="1"/>
  <c r="A375" i="21" a="1"/>
  <c r="A375" i="21" s="1"/>
  <c r="C374" i="21" a="1"/>
  <c r="C374" i="21" s="1"/>
  <c r="B374" i="21" a="1"/>
  <c r="B374" i="21" s="1"/>
  <c r="A374" i="21" a="1"/>
  <c r="A374" i="21" s="1"/>
  <c r="C373" i="21" a="1"/>
  <c r="C373" i="21" s="1"/>
  <c r="B373" i="21" a="1"/>
  <c r="B373" i="21" s="1"/>
  <c r="A373" i="21" a="1"/>
  <c r="A373" i="21" s="1"/>
  <c r="C372" i="21" a="1"/>
  <c r="C372" i="21" s="1"/>
  <c r="B372" i="21" a="1"/>
  <c r="B372" i="21" s="1"/>
  <c r="A372" i="21" a="1"/>
  <c r="A372" i="21" s="1"/>
  <c r="C371" i="21" a="1"/>
  <c r="C371" i="21" s="1"/>
  <c r="B371" i="21" a="1"/>
  <c r="B371" i="21" s="1"/>
  <c r="A371" i="21" a="1"/>
  <c r="A371" i="21" s="1"/>
  <c r="C370" i="21" a="1"/>
  <c r="C370" i="21" s="1"/>
  <c r="B370" i="21" a="1"/>
  <c r="B370" i="21" s="1"/>
  <c r="A370" i="21" a="1"/>
  <c r="A370" i="21" s="1"/>
  <c r="C369" i="21" a="1"/>
  <c r="C369" i="21" s="1"/>
  <c r="B369" i="21" a="1"/>
  <c r="B369" i="21" s="1"/>
  <c r="A369" i="21" a="1"/>
  <c r="A369" i="21" s="1"/>
  <c r="C368" i="21" a="1"/>
  <c r="C368" i="21" s="1"/>
  <c r="B368" i="21" a="1"/>
  <c r="B368" i="21" s="1"/>
  <c r="A368" i="21" a="1"/>
  <c r="A368" i="21" s="1"/>
  <c r="C367" i="21" a="1"/>
  <c r="C367" i="21" s="1"/>
  <c r="B367" i="21" a="1"/>
  <c r="B367" i="21" s="1"/>
  <c r="A367" i="21" a="1"/>
  <c r="A367" i="21" s="1"/>
  <c r="C366" i="21" a="1"/>
  <c r="C366" i="21" s="1"/>
  <c r="B366" i="21" a="1"/>
  <c r="B366" i="21" s="1"/>
  <c r="A366" i="21" a="1"/>
  <c r="A366" i="21" s="1"/>
  <c r="C365" i="21" a="1"/>
  <c r="C365" i="21" s="1"/>
  <c r="B365" i="21" a="1"/>
  <c r="B365" i="21" s="1"/>
  <c r="A365" i="21" a="1"/>
  <c r="A365" i="21" s="1"/>
  <c r="C364" i="21" a="1"/>
  <c r="C364" i="21" s="1"/>
  <c r="B364" i="21" a="1"/>
  <c r="B364" i="21" s="1"/>
  <c r="A364" i="21" a="1"/>
  <c r="A364" i="21" s="1"/>
  <c r="C363" i="21" a="1"/>
  <c r="C363" i="21" s="1"/>
  <c r="B363" i="21" a="1"/>
  <c r="B363" i="21" s="1"/>
  <c r="A363" i="21" a="1"/>
  <c r="A363" i="21" s="1"/>
  <c r="C362" i="21" a="1"/>
  <c r="C362" i="21" s="1"/>
  <c r="B362" i="21" a="1"/>
  <c r="B362" i="21" s="1"/>
  <c r="A362" i="21" a="1"/>
  <c r="A362" i="21" s="1"/>
  <c r="C361" i="21" a="1"/>
  <c r="C361" i="21" s="1"/>
  <c r="B361" i="21" a="1"/>
  <c r="B361" i="21" s="1"/>
  <c r="A361" i="21" a="1"/>
  <c r="A361" i="21" s="1"/>
  <c r="C357" i="21" a="1"/>
  <c r="C357" i="21" s="1"/>
  <c r="B357" i="21" a="1"/>
  <c r="B357" i="21" s="1"/>
  <c r="A357" i="21" a="1"/>
  <c r="A357" i="21" s="1"/>
  <c r="C356" i="21" a="1"/>
  <c r="C356" i="21" s="1"/>
  <c r="B356" i="21" a="1"/>
  <c r="B356" i="21" s="1"/>
  <c r="A356" i="21" a="1"/>
  <c r="A356" i="21" s="1"/>
  <c r="C355" i="21" a="1"/>
  <c r="C355" i="21" s="1"/>
  <c r="B355" i="21" a="1"/>
  <c r="B355" i="21" s="1"/>
  <c r="A355" i="21" a="1"/>
  <c r="A355" i="21" s="1"/>
  <c r="C354" i="21" a="1"/>
  <c r="C354" i="21" s="1"/>
  <c r="B354" i="21" a="1"/>
  <c r="B354" i="21" s="1"/>
  <c r="A354" i="21" a="1"/>
  <c r="A354" i="21" s="1"/>
  <c r="C353" i="21" a="1"/>
  <c r="C353" i="21" s="1"/>
  <c r="B353" i="21" a="1"/>
  <c r="B353" i="21" s="1"/>
  <c r="A353" i="21" a="1"/>
  <c r="A353" i="21" s="1"/>
  <c r="C352" i="21" a="1"/>
  <c r="C352" i="21" s="1"/>
  <c r="B352" i="21" a="1"/>
  <c r="B352" i="21" s="1"/>
  <c r="A352" i="21" a="1"/>
  <c r="A352" i="21" s="1"/>
  <c r="C351" i="21" a="1"/>
  <c r="C351" i="21" s="1"/>
  <c r="B351" i="21" a="1"/>
  <c r="B351" i="21" s="1"/>
  <c r="A351" i="21" a="1"/>
  <c r="A351" i="21" s="1"/>
  <c r="C350" i="21" a="1"/>
  <c r="C350" i="21" s="1"/>
  <c r="B350" i="21" a="1"/>
  <c r="B350" i="21" s="1"/>
  <c r="A350" i="21" a="1"/>
  <c r="A350" i="21" s="1"/>
  <c r="C349" i="21" a="1"/>
  <c r="C349" i="21" s="1"/>
  <c r="B349" i="21" a="1"/>
  <c r="B349" i="21" s="1"/>
  <c r="A349" i="21" a="1"/>
  <c r="A349" i="21" s="1"/>
  <c r="C348" i="21" a="1"/>
  <c r="C348" i="21" s="1"/>
  <c r="B348" i="21" a="1"/>
  <c r="B348" i="21" s="1"/>
  <c r="A348" i="21" a="1"/>
  <c r="A348" i="21" s="1"/>
  <c r="C347" i="21" a="1"/>
  <c r="C347" i="21" s="1"/>
  <c r="B347" i="21" a="1"/>
  <c r="B347" i="21" s="1"/>
  <c r="A347" i="21" a="1"/>
  <c r="A347" i="21" s="1"/>
  <c r="C346" i="21" a="1"/>
  <c r="C346" i="21" s="1"/>
  <c r="B346" i="21" a="1"/>
  <c r="B346" i="21" s="1"/>
  <c r="A346" i="21" a="1"/>
  <c r="A346" i="21" s="1"/>
  <c r="C345" i="21" a="1"/>
  <c r="C345" i="21" s="1"/>
  <c r="B345" i="21" a="1"/>
  <c r="B345" i="21" s="1"/>
  <c r="A345" i="21" a="1"/>
  <c r="A345" i="21" s="1"/>
  <c r="C344" i="21" a="1"/>
  <c r="C344" i="21" s="1"/>
  <c r="B344" i="21" a="1"/>
  <c r="B344" i="21" s="1"/>
  <c r="A344" i="21" a="1"/>
  <c r="A344" i="21" s="1"/>
  <c r="C343" i="21" a="1"/>
  <c r="C343" i="21" s="1"/>
  <c r="B343" i="21" a="1"/>
  <c r="B343" i="21" s="1"/>
  <c r="A343" i="21" a="1"/>
  <c r="A343" i="21" s="1"/>
  <c r="C342" i="21" a="1"/>
  <c r="C342" i="21" s="1"/>
  <c r="B342" i="21" a="1"/>
  <c r="B342" i="21" s="1"/>
  <c r="A342" i="21" a="1"/>
  <c r="A342" i="21" s="1"/>
  <c r="C341" i="21" a="1"/>
  <c r="C341" i="21" s="1"/>
  <c r="B341" i="21" a="1"/>
  <c r="B341" i="21" s="1"/>
  <c r="A341" i="21" a="1"/>
  <c r="A341" i="21" s="1"/>
  <c r="C340" i="21" a="1"/>
  <c r="C340" i="21" s="1"/>
  <c r="B340" i="21" a="1"/>
  <c r="B340" i="21" s="1"/>
  <c r="A340" i="21" a="1"/>
  <c r="A340" i="21" s="1"/>
  <c r="C339" i="21" a="1"/>
  <c r="C339" i="21" s="1"/>
  <c r="B339" i="21" a="1"/>
  <c r="B339" i="21" s="1"/>
  <c r="A339" i="21" a="1"/>
  <c r="A339" i="21" s="1"/>
  <c r="C338" i="21" a="1"/>
  <c r="C338" i="21" s="1"/>
  <c r="B338" i="21" a="1"/>
  <c r="B338" i="21" s="1"/>
  <c r="A338" i="21" a="1"/>
  <c r="A338" i="21" s="1"/>
  <c r="C337" i="21" a="1"/>
  <c r="C337" i="21" s="1"/>
  <c r="B337" i="21" a="1"/>
  <c r="B337" i="21" s="1"/>
  <c r="A337" i="21" a="1"/>
  <c r="A337" i="21" s="1"/>
  <c r="C336" i="21" a="1"/>
  <c r="C336" i="21" s="1"/>
  <c r="B336" i="21" a="1"/>
  <c r="B336" i="21" s="1"/>
  <c r="A336" i="21" a="1"/>
  <c r="A336" i="21" s="1"/>
  <c r="C335" i="21" a="1"/>
  <c r="C335" i="21" s="1"/>
  <c r="B335" i="21" a="1"/>
  <c r="B335" i="21" s="1"/>
  <c r="A335" i="21" a="1"/>
  <c r="A335" i="21" s="1"/>
  <c r="C334" i="21" a="1"/>
  <c r="C334" i="21" s="1"/>
  <c r="B334" i="21" a="1"/>
  <c r="B334" i="21" s="1"/>
  <c r="A334" i="21" a="1"/>
  <c r="A334" i="21" s="1"/>
  <c r="C333" i="21" a="1"/>
  <c r="C333" i="21" s="1"/>
  <c r="B333" i="21" a="1"/>
  <c r="B333" i="21" s="1"/>
  <c r="A333" i="21" a="1"/>
  <c r="A333" i="21" s="1"/>
  <c r="C332" i="21" a="1"/>
  <c r="C332" i="21" s="1"/>
  <c r="B332" i="21" a="1"/>
  <c r="B332" i="21" s="1"/>
  <c r="A332" i="21" a="1"/>
  <c r="A332" i="21" s="1"/>
  <c r="C331" i="21" a="1"/>
  <c r="C331" i="21" s="1"/>
  <c r="B331" i="21" a="1"/>
  <c r="B331" i="21" s="1"/>
  <c r="A331" i="21" a="1"/>
  <c r="A331" i="21" s="1"/>
  <c r="C330" i="21" a="1"/>
  <c r="C330" i="21" s="1"/>
  <c r="B330" i="21" a="1"/>
  <c r="B330" i="21" s="1"/>
  <c r="A330" i="21" a="1"/>
  <c r="A330" i="21" s="1"/>
  <c r="C329" i="21" a="1"/>
  <c r="C329" i="21" s="1"/>
  <c r="B329" i="21" a="1"/>
  <c r="B329" i="21" s="1"/>
  <c r="A329" i="21" a="1"/>
  <c r="A329" i="21" s="1"/>
  <c r="C328" i="21" a="1"/>
  <c r="C328" i="21" s="1"/>
  <c r="B328" i="21" a="1"/>
  <c r="B328" i="21" s="1"/>
  <c r="A328" i="21" a="1"/>
  <c r="A328" i="21" s="1"/>
  <c r="C327" i="21" a="1"/>
  <c r="C327" i="21" s="1"/>
  <c r="B327" i="21" a="1"/>
  <c r="B327" i="21" s="1"/>
  <c r="A327" i="21" a="1"/>
  <c r="A327" i="21" s="1"/>
  <c r="C326" i="21" a="1"/>
  <c r="C326" i="21" s="1"/>
  <c r="B326" i="21" a="1"/>
  <c r="B326" i="21" s="1"/>
  <c r="A326" i="21" a="1"/>
  <c r="A326" i="21" s="1"/>
  <c r="C325" i="21" a="1"/>
  <c r="C325" i="21" s="1"/>
  <c r="B325" i="21" a="1"/>
  <c r="B325" i="21" s="1"/>
  <c r="A325" i="21" a="1"/>
  <c r="A325" i="21" s="1"/>
  <c r="C324" i="21" a="1"/>
  <c r="C324" i="21" s="1"/>
  <c r="B324" i="21" a="1"/>
  <c r="B324" i="21" s="1"/>
  <c r="A324" i="21" a="1"/>
  <c r="A324" i="21" s="1"/>
  <c r="C323" i="21" a="1"/>
  <c r="C323" i="21" s="1"/>
  <c r="B323" i="21" a="1"/>
  <c r="B323" i="21" s="1"/>
  <c r="A323" i="21" a="1"/>
  <c r="A323" i="21" s="1"/>
  <c r="C319" i="21" a="1"/>
  <c r="C319" i="21" s="1"/>
  <c r="B319" i="21" a="1"/>
  <c r="B319" i="21" s="1"/>
  <c r="A319" i="21" a="1"/>
  <c r="A319" i="21" s="1"/>
  <c r="C318" i="21" a="1"/>
  <c r="C318" i="21" s="1"/>
  <c r="B318" i="21" a="1"/>
  <c r="B318" i="21" s="1"/>
  <c r="A318" i="21" a="1"/>
  <c r="A318" i="21" s="1"/>
  <c r="C317" i="21" a="1"/>
  <c r="C317" i="21" s="1"/>
  <c r="B317" i="21" a="1"/>
  <c r="B317" i="21" s="1"/>
  <c r="A317" i="21" a="1"/>
  <c r="A317" i="21" s="1"/>
  <c r="C316" i="21" a="1"/>
  <c r="C316" i="21" s="1"/>
  <c r="B316" i="21" a="1"/>
  <c r="B316" i="21" s="1"/>
  <c r="A316" i="21" a="1"/>
  <c r="A316" i="21" s="1"/>
  <c r="C315" i="21" a="1"/>
  <c r="C315" i="21" s="1"/>
  <c r="B315" i="21" a="1"/>
  <c r="B315" i="21" s="1"/>
  <c r="A315" i="21" a="1"/>
  <c r="A315" i="21" s="1"/>
  <c r="C314" i="21" a="1"/>
  <c r="C314" i="21" s="1"/>
  <c r="B314" i="21" a="1"/>
  <c r="B314" i="21" s="1"/>
  <c r="A314" i="21" a="1"/>
  <c r="A314" i="21" s="1"/>
  <c r="C313" i="21" a="1"/>
  <c r="C313" i="21" s="1"/>
  <c r="B313" i="21" a="1"/>
  <c r="B313" i="21" s="1"/>
  <c r="A313" i="21" a="1"/>
  <c r="A313" i="21" s="1"/>
  <c r="C312" i="21" a="1"/>
  <c r="C312" i="21" s="1"/>
  <c r="B312" i="21" a="1"/>
  <c r="B312" i="21" s="1"/>
  <c r="A312" i="21" a="1"/>
  <c r="A312" i="21" s="1"/>
  <c r="C311" i="21" a="1"/>
  <c r="C311" i="21" s="1"/>
  <c r="B311" i="21" a="1"/>
  <c r="B311" i="21" s="1"/>
  <c r="A311" i="21" a="1"/>
  <c r="A311" i="21" s="1"/>
  <c r="C310" i="21" a="1"/>
  <c r="C310" i="21" s="1"/>
  <c r="B310" i="21" a="1"/>
  <c r="B310" i="21" s="1"/>
  <c r="A310" i="21" a="1"/>
  <c r="A310" i="21" s="1"/>
  <c r="C309" i="21" a="1"/>
  <c r="C309" i="21" s="1"/>
  <c r="B309" i="21" a="1"/>
  <c r="B309" i="21" s="1"/>
  <c r="A309" i="21" a="1"/>
  <c r="A309" i="21" s="1"/>
  <c r="C308" i="21" a="1"/>
  <c r="C308" i="21" s="1"/>
  <c r="B308" i="21" a="1"/>
  <c r="B308" i="21" s="1"/>
  <c r="A308" i="21" a="1"/>
  <c r="A308" i="21" s="1"/>
  <c r="C307" i="21" a="1"/>
  <c r="C307" i="21" s="1"/>
  <c r="B307" i="21" a="1"/>
  <c r="B307" i="21" s="1"/>
  <c r="A307" i="21" a="1"/>
  <c r="A307" i="21" s="1"/>
  <c r="C306" i="21" a="1"/>
  <c r="C306" i="21" s="1"/>
  <c r="B306" i="21" a="1"/>
  <c r="B306" i="21" s="1"/>
  <c r="A306" i="21" a="1"/>
  <c r="A306" i="21" s="1"/>
  <c r="C305" i="21" a="1"/>
  <c r="C305" i="21" s="1"/>
  <c r="B305" i="21" a="1"/>
  <c r="B305" i="21" s="1"/>
  <c r="A305" i="21" a="1"/>
  <c r="A305" i="21" s="1"/>
  <c r="C304" i="21" a="1"/>
  <c r="C304" i="21" s="1"/>
  <c r="B304" i="21" a="1"/>
  <c r="B304" i="21" s="1"/>
  <c r="A304" i="21" a="1"/>
  <c r="A304" i="21" s="1"/>
  <c r="C303" i="21" a="1"/>
  <c r="C303" i="21" s="1"/>
  <c r="B303" i="21" a="1"/>
  <c r="B303" i="21" s="1"/>
  <c r="A303" i="21" a="1"/>
  <c r="A303" i="21" s="1"/>
  <c r="C302" i="21" a="1"/>
  <c r="C302" i="21" s="1"/>
  <c r="B302" i="21" a="1"/>
  <c r="B302" i="21" s="1"/>
  <c r="A302" i="21" a="1"/>
  <c r="A302" i="21" s="1"/>
  <c r="C301" i="21" a="1"/>
  <c r="C301" i="21" s="1"/>
  <c r="B301" i="21" a="1"/>
  <c r="B301" i="21" s="1"/>
  <c r="A301" i="21" a="1"/>
  <c r="A301" i="21" s="1"/>
  <c r="C300" i="21" a="1"/>
  <c r="C300" i="21" s="1"/>
  <c r="B300" i="21" a="1"/>
  <c r="B300" i="21" s="1"/>
  <c r="A300" i="21" a="1"/>
  <c r="A300" i="21" s="1"/>
  <c r="C299" i="21" a="1"/>
  <c r="C299" i="21" s="1"/>
  <c r="B299" i="21" a="1"/>
  <c r="B299" i="21" s="1"/>
  <c r="A299" i="21" a="1"/>
  <c r="A299" i="21" s="1"/>
  <c r="C298" i="21" a="1"/>
  <c r="C298" i="21" s="1"/>
  <c r="B298" i="21" a="1"/>
  <c r="B298" i="21" s="1"/>
  <c r="A298" i="21" a="1"/>
  <c r="A298" i="21" s="1"/>
  <c r="C297" i="21" a="1"/>
  <c r="C297" i="21" s="1"/>
  <c r="B297" i="21" a="1"/>
  <c r="B297" i="21" s="1"/>
  <c r="A297" i="21" a="1"/>
  <c r="A297" i="21" s="1"/>
  <c r="C296" i="21" a="1"/>
  <c r="C296" i="21" s="1"/>
  <c r="B296" i="21" a="1"/>
  <c r="B296" i="21" s="1"/>
  <c r="A296" i="21" a="1"/>
  <c r="A296" i="21" s="1"/>
  <c r="C295" i="21" a="1"/>
  <c r="C295" i="21" s="1"/>
  <c r="B295" i="21" a="1"/>
  <c r="B295" i="21" s="1"/>
  <c r="A295" i="21" a="1"/>
  <c r="A295" i="21" s="1"/>
  <c r="C294" i="21" a="1"/>
  <c r="C294" i="21" s="1"/>
  <c r="B294" i="21" a="1"/>
  <c r="B294" i="21" s="1"/>
  <c r="A294" i="21" a="1"/>
  <c r="A294" i="21" s="1"/>
  <c r="C293" i="21" a="1"/>
  <c r="C293" i="21" s="1"/>
  <c r="B293" i="21" a="1"/>
  <c r="B293" i="21" s="1"/>
  <c r="A293" i="21" a="1"/>
  <c r="A293" i="21" s="1"/>
  <c r="C292" i="21" a="1"/>
  <c r="C292" i="21" s="1"/>
  <c r="B292" i="21" a="1"/>
  <c r="B292" i="21" s="1"/>
  <c r="A292" i="21" a="1"/>
  <c r="A292" i="21" s="1"/>
  <c r="C291" i="21" a="1"/>
  <c r="C291" i="21" s="1"/>
  <c r="B291" i="21" a="1"/>
  <c r="B291" i="21" s="1"/>
  <c r="A291" i="21" a="1"/>
  <c r="A291" i="21" s="1"/>
  <c r="C290" i="21" a="1"/>
  <c r="C290" i="21" s="1"/>
  <c r="B290" i="21" a="1"/>
  <c r="B290" i="21" s="1"/>
  <c r="A290" i="21" a="1"/>
  <c r="A290" i="21" s="1"/>
  <c r="C289" i="21" a="1"/>
  <c r="C289" i="21" s="1"/>
  <c r="B289" i="21" a="1"/>
  <c r="B289" i="21" s="1"/>
  <c r="A289" i="21" a="1"/>
  <c r="A289" i="21" s="1"/>
  <c r="C288" i="21" a="1"/>
  <c r="C288" i="21" s="1"/>
  <c r="B288" i="21" a="1"/>
  <c r="B288" i="21" s="1"/>
  <c r="A288" i="21" a="1"/>
  <c r="A288" i="21" s="1"/>
  <c r="C287" i="21" a="1"/>
  <c r="C287" i="21" s="1"/>
  <c r="B287" i="21" a="1"/>
  <c r="B287" i="21" s="1"/>
  <c r="A287" i="21" a="1"/>
  <c r="A287" i="21" s="1"/>
  <c r="C286" i="21" a="1"/>
  <c r="C286" i="21" s="1"/>
  <c r="B286" i="21" a="1"/>
  <c r="B286" i="21" s="1"/>
  <c r="A286" i="21" a="1"/>
  <c r="A286" i="21" s="1"/>
  <c r="C285" i="21" a="1"/>
  <c r="C285" i="21" s="1"/>
  <c r="B285" i="21" a="1"/>
  <c r="B285" i="21" s="1"/>
  <c r="A285" i="21" a="1"/>
  <c r="A285" i="21" s="1"/>
  <c r="C281" i="21" a="1"/>
  <c r="C281" i="21" s="1"/>
  <c r="B281" i="21" a="1"/>
  <c r="B281" i="21" s="1"/>
  <c r="A281" i="21" a="1"/>
  <c r="A281" i="21" s="1"/>
  <c r="C280" i="21" a="1"/>
  <c r="C280" i="21" s="1"/>
  <c r="B280" i="21" a="1"/>
  <c r="B280" i="21" s="1"/>
  <c r="A280" i="21" a="1"/>
  <c r="A280" i="21" s="1"/>
  <c r="C279" i="21" a="1"/>
  <c r="C279" i="21" s="1"/>
  <c r="B279" i="21" a="1"/>
  <c r="B279" i="21" s="1"/>
  <c r="A279" i="21" a="1"/>
  <c r="A279" i="21" s="1"/>
  <c r="C278" i="21" a="1"/>
  <c r="C278" i="21" s="1"/>
  <c r="B278" i="21" a="1"/>
  <c r="B278" i="21" s="1"/>
  <c r="A278" i="21" a="1"/>
  <c r="A278" i="21" s="1"/>
  <c r="C277" i="21" a="1"/>
  <c r="C277" i="21" s="1"/>
  <c r="B277" i="21" a="1"/>
  <c r="B277" i="21" s="1"/>
  <c r="A277" i="21" a="1"/>
  <c r="A277" i="21" s="1"/>
  <c r="C276" i="21" a="1"/>
  <c r="C276" i="21" s="1"/>
  <c r="B276" i="21" a="1"/>
  <c r="B276" i="21" s="1"/>
  <c r="A276" i="21" a="1"/>
  <c r="A276" i="21" s="1"/>
  <c r="C275" i="21" a="1"/>
  <c r="C275" i="21" s="1"/>
  <c r="B275" i="21" a="1"/>
  <c r="B275" i="21" s="1"/>
  <c r="A275" i="21" a="1"/>
  <c r="A275" i="21" s="1"/>
  <c r="C274" i="21" a="1"/>
  <c r="C274" i="21" s="1"/>
  <c r="B274" i="21" a="1"/>
  <c r="B274" i="21" s="1"/>
  <c r="A274" i="21" a="1"/>
  <c r="A274" i="21" s="1"/>
  <c r="C273" i="21" a="1"/>
  <c r="C273" i="21" s="1"/>
  <c r="B273" i="21" a="1"/>
  <c r="B273" i="21" s="1"/>
  <c r="A273" i="21" a="1"/>
  <c r="A273" i="21" s="1"/>
  <c r="C272" i="21" a="1"/>
  <c r="C272" i="21" s="1"/>
  <c r="B272" i="21" a="1"/>
  <c r="B272" i="21" s="1"/>
  <c r="A272" i="21" a="1"/>
  <c r="A272" i="21" s="1"/>
  <c r="C271" i="21" a="1"/>
  <c r="C271" i="21" s="1"/>
  <c r="B271" i="21" a="1"/>
  <c r="B271" i="21" s="1"/>
  <c r="A271" i="21" a="1"/>
  <c r="A271" i="21" s="1"/>
  <c r="C270" i="21" a="1"/>
  <c r="C270" i="21" s="1"/>
  <c r="B270" i="21" a="1"/>
  <c r="B270" i="21" s="1"/>
  <c r="A270" i="21" a="1"/>
  <c r="A270" i="21" s="1"/>
  <c r="C269" i="21" a="1"/>
  <c r="C269" i="21" s="1"/>
  <c r="B269" i="21" a="1"/>
  <c r="B269" i="21" s="1"/>
  <c r="A269" i="21" a="1"/>
  <c r="A269" i="21" s="1"/>
  <c r="C268" i="21" a="1"/>
  <c r="C268" i="21" s="1"/>
  <c r="B268" i="21" a="1"/>
  <c r="B268" i="21" s="1"/>
  <c r="A268" i="21" a="1"/>
  <c r="A268" i="21" s="1"/>
  <c r="C267" i="21" a="1"/>
  <c r="C267" i="21" s="1"/>
  <c r="B267" i="21" a="1"/>
  <c r="B267" i="21" s="1"/>
  <c r="A267" i="21" a="1"/>
  <c r="A267" i="21" s="1"/>
  <c r="C266" i="21" a="1"/>
  <c r="C266" i="21" s="1"/>
  <c r="B266" i="21" a="1"/>
  <c r="B266" i="21" s="1"/>
  <c r="A266" i="21" a="1"/>
  <c r="A266" i="21" s="1"/>
  <c r="C265" i="21" a="1"/>
  <c r="C265" i="21" s="1"/>
  <c r="B265" i="21" a="1"/>
  <c r="B265" i="21" s="1"/>
  <c r="A265" i="21" a="1"/>
  <c r="A265" i="21" s="1"/>
  <c r="C264" i="21" a="1"/>
  <c r="C264" i="21" s="1"/>
  <c r="B264" i="21" a="1"/>
  <c r="B264" i="21" s="1"/>
  <c r="A264" i="21" a="1"/>
  <c r="A264" i="21" s="1"/>
  <c r="C263" i="21" a="1"/>
  <c r="C263" i="21" s="1"/>
  <c r="B263" i="21" a="1"/>
  <c r="B263" i="21" s="1"/>
  <c r="A263" i="21" a="1"/>
  <c r="A263" i="21" s="1"/>
  <c r="C262" i="21" a="1"/>
  <c r="C262" i="21" s="1"/>
  <c r="B262" i="21" a="1"/>
  <c r="B262" i="21" s="1"/>
  <c r="A262" i="21" a="1"/>
  <c r="A262" i="21" s="1"/>
  <c r="C261" i="21" a="1"/>
  <c r="C261" i="21" s="1"/>
  <c r="B261" i="21" a="1"/>
  <c r="B261" i="21" s="1"/>
  <c r="A261" i="21" a="1"/>
  <c r="A261" i="21" s="1"/>
  <c r="C260" i="21" a="1"/>
  <c r="C260" i="21" s="1"/>
  <c r="B260" i="21" a="1"/>
  <c r="B260" i="21" s="1"/>
  <c r="A260" i="21" a="1"/>
  <c r="A260" i="21" s="1"/>
  <c r="C259" i="21" a="1"/>
  <c r="C259" i="21" s="1"/>
  <c r="B259" i="21" a="1"/>
  <c r="B259" i="21" s="1"/>
  <c r="A259" i="21" a="1"/>
  <c r="A259" i="21" s="1"/>
  <c r="C258" i="21" a="1"/>
  <c r="C258" i="21" s="1"/>
  <c r="B258" i="21" a="1"/>
  <c r="B258" i="21" s="1"/>
  <c r="A258" i="21" a="1"/>
  <c r="A258" i="21" s="1"/>
  <c r="C257" i="21" a="1"/>
  <c r="C257" i="21" s="1"/>
  <c r="B257" i="21" a="1"/>
  <c r="B257" i="21" s="1"/>
  <c r="A257" i="21" a="1"/>
  <c r="A257" i="21" s="1"/>
  <c r="C256" i="21" a="1"/>
  <c r="C256" i="21" s="1"/>
  <c r="B256" i="21" a="1"/>
  <c r="B256" i="21" s="1"/>
  <c r="A256" i="21" a="1"/>
  <c r="A256" i="21" s="1"/>
  <c r="C255" i="21" a="1"/>
  <c r="C255" i="21" s="1"/>
  <c r="B255" i="21" a="1"/>
  <c r="B255" i="21" s="1"/>
  <c r="A255" i="21" a="1"/>
  <c r="A255" i="21" s="1"/>
  <c r="C254" i="21" a="1"/>
  <c r="C254" i="21" s="1"/>
  <c r="B254" i="21" a="1"/>
  <c r="B254" i="21" s="1"/>
  <c r="A254" i="21" a="1"/>
  <c r="A254" i="21" s="1"/>
  <c r="C253" i="21" a="1"/>
  <c r="C253" i="21" s="1"/>
  <c r="B253" i="21" a="1"/>
  <c r="B253" i="21" s="1"/>
  <c r="A253" i="21" a="1"/>
  <c r="A253" i="21" s="1"/>
  <c r="C252" i="21" a="1"/>
  <c r="C252" i="21" s="1"/>
  <c r="B252" i="21" a="1"/>
  <c r="B252" i="21" s="1"/>
  <c r="A252" i="21" a="1"/>
  <c r="A252" i="21" s="1"/>
  <c r="C251" i="21" a="1"/>
  <c r="C251" i="21" s="1"/>
  <c r="B251" i="21" a="1"/>
  <c r="B251" i="21" s="1"/>
  <c r="A251" i="21" a="1"/>
  <c r="A251" i="21" s="1"/>
  <c r="C250" i="21" a="1"/>
  <c r="C250" i="21" s="1"/>
  <c r="B250" i="21" a="1"/>
  <c r="B250" i="21" s="1"/>
  <c r="A250" i="21" a="1"/>
  <c r="A250" i="21" s="1"/>
  <c r="C249" i="21" a="1"/>
  <c r="C249" i="21" s="1"/>
  <c r="B249" i="21" a="1"/>
  <c r="B249" i="21" s="1"/>
  <c r="A249" i="21" a="1"/>
  <c r="A249" i="21" s="1"/>
  <c r="C248" i="21" a="1"/>
  <c r="C248" i="21" s="1"/>
  <c r="B248" i="21" a="1"/>
  <c r="B248" i="21" s="1"/>
  <c r="A248" i="21" a="1"/>
  <c r="A248" i="21" s="1"/>
  <c r="C247" i="21" a="1"/>
  <c r="C247" i="21" s="1"/>
  <c r="B247" i="21" a="1"/>
  <c r="B247" i="21" s="1"/>
  <c r="A247" i="21" a="1"/>
  <c r="A247" i="21" s="1"/>
  <c r="C243" i="21" a="1"/>
  <c r="C243" i="21" s="1"/>
  <c r="B243" i="21" a="1"/>
  <c r="B243" i="21" s="1"/>
  <c r="A243" i="21" a="1"/>
  <c r="A243" i="21" s="1"/>
  <c r="C242" i="21" a="1"/>
  <c r="C242" i="21" s="1"/>
  <c r="B242" i="21" a="1"/>
  <c r="B242" i="21" s="1"/>
  <c r="A242" i="21" a="1"/>
  <c r="A242" i="21" s="1"/>
  <c r="C241" i="21" a="1"/>
  <c r="C241" i="21" s="1"/>
  <c r="B241" i="21" a="1"/>
  <c r="B241" i="21" s="1"/>
  <c r="A241" i="21" a="1"/>
  <c r="A241" i="21" s="1"/>
  <c r="C240" i="21" a="1"/>
  <c r="C240" i="21" s="1"/>
  <c r="B240" i="21" a="1"/>
  <c r="B240" i="21" s="1"/>
  <c r="A240" i="21" a="1"/>
  <c r="A240" i="21" s="1"/>
  <c r="C239" i="21" a="1"/>
  <c r="C239" i="21" s="1"/>
  <c r="B239" i="21" a="1"/>
  <c r="B239" i="21" s="1"/>
  <c r="A239" i="21" a="1"/>
  <c r="A239" i="21" s="1"/>
  <c r="C238" i="21" a="1"/>
  <c r="C238" i="21" s="1"/>
  <c r="B238" i="21" a="1"/>
  <c r="B238" i="21" s="1"/>
  <c r="A238" i="21" a="1"/>
  <c r="A238" i="21" s="1"/>
  <c r="C237" i="21" a="1"/>
  <c r="C237" i="21" s="1"/>
  <c r="B237" i="21" a="1"/>
  <c r="B237" i="21" s="1"/>
  <c r="A237" i="21" a="1"/>
  <c r="A237" i="21" s="1"/>
  <c r="C236" i="21" a="1"/>
  <c r="C236" i="21" s="1"/>
  <c r="B236" i="21" a="1"/>
  <c r="B236" i="21" s="1"/>
  <c r="A236" i="21" a="1"/>
  <c r="A236" i="21" s="1"/>
  <c r="C235" i="21" a="1"/>
  <c r="C235" i="21" s="1"/>
  <c r="B235" i="21" a="1"/>
  <c r="B235" i="21" s="1"/>
  <c r="A235" i="21" a="1"/>
  <c r="A235" i="21" s="1"/>
  <c r="C234" i="21" a="1"/>
  <c r="C234" i="21" s="1"/>
  <c r="B234" i="21" a="1"/>
  <c r="B234" i="21" s="1"/>
  <c r="A234" i="21" a="1"/>
  <c r="A234" i="21" s="1"/>
  <c r="C233" i="21" a="1"/>
  <c r="C233" i="21" s="1"/>
  <c r="B233" i="21" a="1"/>
  <c r="B233" i="21" s="1"/>
  <c r="A233" i="21" a="1"/>
  <c r="A233" i="21" s="1"/>
  <c r="C232" i="21" a="1"/>
  <c r="C232" i="21" s="1"/>
  <c r="B232" i="21" a="1"/>
  <c r="B232" i="21" s="1"/>
  <c r="A232" i="21" a="1"/>
  <c r="A232" i="21" s="1"/>
  <c r="C231" i="21" a="1"/>
  <c r="C231" i="21" s="1"/>
  <c r="B231" i="21" a="1"/>
  <c r="B231" i="21" s="1"/>
  <c r="A231" i="21" a="1"/>
  <c r="A231" i="21" s="1"/>
  <c r="C230" i="21" a="1"/>
  <c r="C230" i="21" s="1"/>
  <c r="B230" i="21" a="1"/>
  <c r="B230" i="21" s="1"/>
  <c r="A230" i="21" a="1"/>
  <c r="A230" i="21" s="1"/>
  <c r="C229" i="21" a="1"/>
  <c r="C229" i="21" s="1"/>
  <c r="B229" i="21" a="1"/>
  <c r="B229" i="21" s="1"/>
  <c r="A229" i="21" a="1"/>
  <c r="A229" i="21" s="1"/>
  <c r="C228" i="21" a="1"/>
  <c r="C228" i="21" s="1"/>
  <c r="B228" i="21" a="1"/>
  <c r="B228" i="21" s="1"/>
  <c r="A228" i="21" a="1"/>
  <c r="A228" i="21" s="1"/>
  <c r="C227" i="21" a="1"/>
  <c r="C227" i="21" s="1"/>
  <c r="B227" i="21" a="1"/>
  <c r="B227" i="21" s="1"/>
  <c r="A227" i="21" a="1"/>
  <c r="A227" i="21" s="1"/>
  <c r="C226" i="21" a="1"/>
  <c r="C226" i="21" s="1"/>
  <c r="B226" i="21" a="1"/>
  <c r="B226" i="21" s="1"/>
  <c r="A226" i="21" a="1"/>
  <c r="A226" i="21" s="1"/>
  <c r="C225" i="21" a="1"/>
  <c r="C225" i="21" s="1"/>
  <c r="B225" i="21" a="1"/>
  <c r="B225" i="21" s="1"/>
  <c r="A225" i="21" a="1"/>
  <c r="A225" i="21" s="1"/>
  <c r="C224" i="21" a="1"/>
  <c r="C224" i="21" s="1"/>
  <c r="B224" i="21" a="1"/>
  <c r="B224" i="21" s="1"/>
  <c r="A224" i="21" a="1"/>
  <c r="A224" i="21" s="1"/>
  <c r="C223" i="21" a="1"/>
  <c r="C223" i="21" s="1"/>
  <c r="B223" i="21" a="1"/>
  <c r="B223" i="21" s="1"/>
  <c r="A223" i="21" a="1"/>
  <c r="A223" i="21" s="1"/>
  <c r="C222" i="21" a="1"/>
  <c r="C222" i="21" s="1"/>
  <c r="B222" i="21" a="1"/>
  <c r="B222" i="21" s="1"/>
  <c r="A222" i="21" a="1"/>
  <c r="A222" i="21" s="1"/>
  <c r="C221" i="21" a="1"/>
  <c r="C221" i="21" s="1"/>
  <c r="B221" i="21" a="1"/>
  <c r="B221" i="21" s="1"/>
  <c r="A221" i="21" a="1"/>
  <c r="A221" i="21" s="1"/>
  <c r="C220" i="21" a="1"/>
  <c r="C220" i="21" s="1"/>
  <c r="B220" i="21" a="1"/>
  <c r="B220" i="21" s="1"/>
  <c r="A220" i="21" a="1"/>
  <c r="A220" i="21" s="1"/>
  <c r="C219" i="21" a="1"/>
  <c r="C219" i="21" s="1"/>
  <c r="B219" i="21" a="1"/>
  <c r="B219" i="21" s="1"/>
  <c r="A219" i="21" a="1"/>
  <c r="A219" i="21" s="1"/>
  <c r="C218" i="21" a="1"/>
  <c r="C218" i="21" s="1"/>
  <c r="B218" i="21" a="1"/>
  <c r="B218" i="21" s="1"/>
  <c r="A218" i="21" a="1"/>
  <c r="A218" i="21" s="1"/>
  <c r="C217" i="21" a="1"/>
  <c r="C217" i="21" s="1"/>
  <c r="B217" i="21" a="1"/>
  <c r="B217" i="21" s="1"/>
  <c r="A217" i="21" a="1"/>
  <c r="A217" i="21" s="1"/>
  <c r="C216" i="21" a="1"/>
  <c r="C216" i="21" s="1"/>
  <c r="B216" i="21" a="1"/>
  <c r="B216" i="21" s="1"/>
  <c r="A216" i="21" a="1"/>
  <c r="A216" i="21" s="1"/>
  <c r="C215" i="21" a="1"/>
  <c r="C215" i="21" s="1"/>
  <c r="B215" i="21" a="1"/>
  <c r="B215" i="21" s="1"/>
  <c r="A215" i="21" a="1"/>
  <c r="A215" i="21" s="1"/>
  <c r="C214" i="21" a="1"/>
  <c r="C214" i="21" s="1"/>
  <c r="B214" i="21" a="1"/>
  <c r="B214" i="21" s="1"/>
  <c r="A214" i="21" a="1"/>
  <c r="A214" i="21" s="1"/>
  <c r="C213" i="21" a="1"/>
  <c r="C213" i="21" s="1"/>
  <c r="B213" i="21" a="1"/>
  <c r="B213" i="21" s="1"/>
  <c r="A213" i="21" a="1"/>
  <c r="A213" i="21" s="1"/>
  <c r="C212" i="21" a="1"/>
  <c r="C212" i="21" s="1"/>
  <c r="B212" i="21" a="1"/>
  <c r="B212" i="21" s="1"/>
  <c r="A212" i="21" a="1"/>
  <c r="A212" i="21" s="1"/>
  <c r="C211" i="21" a="1"/>
  <c r="C211" i="21" s="1"/>
  <c r="B211" i="21" a="1"/>
  <c r="B211" i="21" s="1"/>
  <c r="A211" i="21" a="1"/>
  <c r="A211" i="21" s="1"/>
  <c r="C210" i="21" a="1"/>
  <c r="C210" i="21" s="1"/>
  <c r="B210" i="21" a="1"/>
  <c r="B210" i="21" s="1"/>
  <c r="A210" i="21" a="1"/>
  <c r="A210" i="21" s="1"/>
  <c r="C209" i="21" a="1"/>
  <c r="C209" i="21" s="1"/>
  <c r="B209" i="21" a="1"/>
  <c r="B209" i="21" s="1"/>
  <c r="A209" i="21" a="1"/>
  <c r="A209" i="21" s="1"/>
  <c r="C205" i="21" a="1"/>
  <c r="C205" i="21" s="1"/>
  <c r="B205" i="21" a="1"/>
  <c r="B205" i="21" s="1"/>
  <c r="A205" i="21" a="1"/>
  <c r="A205" i="21" s="1"/>
  <c r="C204" i="21" a="1"/>
  <c r="C204" i="21" s="1"/>
  <c r="B204" i="21" a="1"/>
  <c r="B204" i="21" s="1"/>
  <c r="A204" i="21" a="1"/>
  <c r="A204" i="21" s="1"/>
  <c r="C203" i="21" a="1"/>
  <c r="C203" i="21" s="1"/>
  <c r="B203" i="21" a="1"/>
  <c r="B203" i="21" s="1"/>
  <c r="A203" i="21" a="1"/>
  <c r="A203" i="21" s="1"/>
  <c r="C202" i="21" a="1"/>
  <c r="C202" i="21" s="1"/>
  <c r="B202" i="21" a="1"/>
  <c r="B202" i="21" s="1"/>
  <c r="A202" i="21" a="1"/>
  <c r="A202" i="21" s="1"/>
  <c r="C201" i="21" a="1"/>
  <c r="C201" i="21" s="1"/>
  <c r="B201" i="21" a="1"/>
  <c r="B201" i="21" s="1"/>
  <c r="A201" i="21" a="1"/>
  <c r="A201" i="21" s="1"/>
  <c r="C200" i="21" a="1"/>
  <c r="C200" i="21" s="1"/>
  <c r="B200" i="21" a="1"/>
  <c r="B200" i="21" s="1"/>
  <c r="A200" i="21" a="1"/>
  <c r="A200" i="21" s="1"/>
  <c r="C199" i="21" a="1"/>
  <c r="C199" i="21" s="1"/>
  <c r="B199" i="21" a="1"/>
  <c r="B199" i="21" s="1"/>
  <c r="A199" i="21" a="1"/>
  <c r="A199" i="21" s="1"/>
  <c r="C198" i="21" a="1"/>
  <c r="C198" i="21" s="1"/>
  <c r="B198" i="21" a="1"/>
  <c r="B198" i="21" s="1"/>
  <c r="A198" i="21" a="1"/>
  <c r="A198" i="21" s="1"/>
  <c r="C197" i="21" a="1"/>
  <c r="C197" i="21" s="1"/>
  <c r="B197" i="21" a="1"/>
  <c r="B197" i="21" s="1"/>
  <c r="A197" i="21" a="1"/>
  <c r="A197" i="21" s="1"/>
  <c r="C196" i="21" a="1"/>
  <c r="C196" i="21" s="1"/>
  <c r="B196" i="21" a="1"/>
  <c r="B196" i="21" s="1"/>
  <c r="A196" i="21" a="1"/>
  <c r="A196" i="21" s="1"/>
  <c r="C195" i="21" a="1"/>
  <c r="C195" i="21" s="1"/>
  <c r="B195" i="21" a="1"/>
  <c r="B195" i="21" s="1"/>
  <c r="A195" i="21" a="1"/>
  <c r="A195" i="21" s="1"/>
  <c r="C194" i="21" a="1"/>
  <c r="C194" i="21" s="1"/>
  <c r="B194" i="21" a="1"/>
  <c r="B194" i="21" s="1"/>
  <c r="A194" i="21" a="1"/>
  <c r="A194" i="21" s="1"/>
  <c r="C193" i="21" a="1"/>
  <c r="C193" i="21" s="1"/>
  <c r="B193" i="21" a="1"/>
  <c r="B193" i="21" s="1"/>
  <c r="A193" i="21" a="1"/>
  <c r="A193" i="21" s="1"/>
  <c r="C192" i="21" a="1"/>
  <c r="C192" i="21" s="1"/>
  <c r="B192" i="21" a="1"/>
  <c r="B192" i="21" s="1"/>
  <c r="A192" i="21" a="1"/>
  <c r="A192" i="21" s="1"/>
  <c r="C191" i="21" a="1"/>
  <c r="C191" i="21" s="1"/>
  <c r="B191" i="21" a="1"/>
  <c r="B191" i="21" s="1"/>
  <c r="A191" i="21" a="1"/>
  <c r="A191" i="21" s="1"/>
  <c r="C190" i="21" a="1"/>
  <c r="C190" i="21" s="1"/>
  <c r="B190" i="21" a="1"/>
  <c r="B190" i="21" s="1"/>
  <c r="A190" i="21" a="1"/>
  <c r="A190" i="21" s="1"/>
  <c r="C189" i="21" a="1"/>
  <c r="C189" i="21" s="1"/>
  <c r="B189" i="21" a="1"/>
  <c r="B189" i="21" s="1"/>
  <c r="A189" i="21" a="1"/>
  <c r="A189" i="21" s="1"/>
  <c r="C188" i="21" a="1"/>
  <c r="C188" i="21" s="1"/>
  <c r="B188" i="21" a="1"/>
  <c r="B188" i="21" s="1"/>
  <c r="A188" i="21" a="1"/>
  <c r="A188" i="21" s="1"/>
  <c r="C187" i="21" a="1"/>
  <c r="C187" i="21" s="1"/>
  <c r="B187" i="21" a="1"/>
  <c r="B187" i="21" s="1"/>
  <c r="A187" i="21" a="1"/>
  <c r="A187" i="21" s="1"/>
  <c r="C186" i="21" a="1"/>
  <c r="C186" i="21" s="1"/>
  <c r="B186" i="21" a="1"/>
  <c r="B186" i="21" s="1"/>
  <c r="A186" i="21" a="1"/>
  <c r="A186" i="21" s="1"/>
  <c r="C185" i="21" a="1"/>
  <c r="C185" i="21" s="1"/>
  <c r="B185" i="21" a="1"/>
  <c r="B185" i="21" s="1"/>
  <c r="A185" i="21" a="1"/>
  <c r="A185" i="21" s="1"/>
  <c r="C184" i="21" a="1"/>
  <c r="C184" i="21" s="1"/>
  <c r="B184" i="21" a="1"/>
  <c r="B184" i="21" s="1"/>
  <c r="A184" i="21" a="1"/>
  <c r="A184" i="21" s="1"/>
  <c r="C183" i="21" a="1"/>
  <c r="C183" i="21" s="1"/>
  <c r="B183" i="21" a="1"/>
  <c r="B183" i="21" s="1"/>
  <c r="A183" i="21" a="1"/>
  <c r="A183" i="21" s="1"/>
  <c r="C182" i="21" a="1"/>
  <c r="C182" i="21" s="1"/>
  <c r="B182" i="21" a="1"/>
  <c r="B182" i="21" s="1"/>
  <c r="A182" i="21" a="1"/>
  <c r="A182" i="21" s="1"/>
  <c r="C181" i="21" a="1"/>
  <c r="C181" i="21" s="1"/>
  <c r="B181" i="21" a="1"/>
  <c r="B181" i="21" s="1"/>
  <c r="A181" i="21" a="1"/>
  <c r="A181" i="21" s="1"/>
  <c r="C180" i="21" a="1"/>
  <c r="C180" i="21" s="1"/>
  <c r="B180" i="21" a="1"/>
  <c r="B180" i="21" s="1"/>
  <c r="A180" i="21" a="1"/>
  <c r="A180" i="21" s="1"/>
  <c r="C179" i="21" a="1"/>
  <c r="C179" i="21" s="1"/>
  <c r="B179" i="21" a="1"/>
  <c r="B179" i="21" s="1"/>
  <c r="A179" i="21" a="1"/>
  <c r="A179" i="21" s="1"/>
  <c r="C178" i="21" a="1"/>
  <c r="C178" i="21" s="1"/>
  <c r="B178" i="21" a="1"/>
  <c r="B178" i="21" s="1"/>
  <c r="A178" i="21" a="1"/>
  <c r="A178" i="21" s="1"/>
  <c r="C177" i="21" a="1"/>
  <c r="C177" i="21" s="1"/>
  <c r="B177" i="21" a="1"/>
  <c r="B177" i="21" s="1"/>
  <c r="A177" i="21" a="1"/>
  <c r="A177" i="21" s="1"/>
  <c r="C176" i="21" a="1"/>
  <c r="C176" i="21" s="1"/>
  <c r="B176" i="21" a="1"/>
  <c r="B176" i="21" s="1"/>
  <c r="A176" i="21" a="1"/>
  <c r="A176" i="21" s="1"/>
  <c r="C175" i="21" a="1"/>
  <c r="C175" i="21" s="1"/>
  <c r="B175" i="21" a="1"/>
  <c r="B175" i="21" s="1"/>
  <c r="A175" i="21" a="1"/>
  <c r="A175" i="21" s="1"/>
  <c r="C174" i="21" a="1"/>
  <c r="C174" i="21" s="1"/>
  <c r="B174" i="21" a="1"/>
  <c r="B174" i="21" s="1"/>
  <c r="A174" i="21" a="1"/>
  <c r="A174" i="21" s="1"/>
  <c r="C173" i="21" a="1"/>
  <c r="C173" i="21" s="1"/>
  <c r="B173" i="21" a="1"/>
  <c r="B173" i="21" s="1"/>
  <c r="A173" i="21" a="1"/>
  <c r="A173" i="21" s="1"/>
  <c r="C172" i="21" a="1"/>
  <c r="C172" i="21" s="1"/>
  <c r="B172" i="21" a="1"/>
  <c r="B172" i="21" s="1"/>
  <c r="A172" i="21" a="1"/>
  <c r="A172" i="21" s="1"/>
  <c r="C171" i="21" a="1"/>
  <c r="C171" i="21" s="1"/>
  <c r="B171" i="21" a="1"/>
  <c r="B171" i="21" s="1"/>
  <c r="A171" i="21" a="1"/>
  <c r="A171" i="21" s="1"/>
  <c r="C167" i="21" a="1"/>
  <c r="C167" i="21" s="1"/>
  <c r="B167" i="21" a="1"/>
  <c r="B167" i="21" s="1"/>
  <c r="A167" i="21" a="1"/>
  <c r="A167" i="21" s="1"/>
  <c r="C166" i="21" a="1"/>
  <c r="C166" i="21" s="1"/>
  <c r="B166" i="21" a="1"/>
  <c r="B166" i="21" s="1"/>
  <c r="A166" i="21" a="1"/>
  <c r="A166" i="21" s="1"/>
  <c r="C165" i="21" a="1"/>
  <c r="C165" i="21" s="1"/>
  <c r="B165" i="21" a="1"/>
  <c r="B165" i="21" s="1"/>
  <c r="A165" i="21" a="1"/>
  <c r="A165" i="21" s="1"/>
  <c r="C164" i="21" a="1"/>
  <c r="C164" i="21" s="1"/>
  <c r="B164" i="21" a="1"/>
  <c r="B164" i="21" s="1"/>
  <c r="A164" i="21" a="1"/>
  <c r="A164" i="21" s="1"/>
  <c r="C163" i="21" a="1"/>
  <c r="C163" i="21" s="1"/>
  <c r="B163" i="21" a="1"/>
  <c r="B163" i="21" s="1"/>
  <c r="A163" i="21" a="1"/>
  <c r="A163" i="21" s="1"/>
  <c r="C162" i="21" a="1"/>
  <c r="C162" i="21" s="1"/>
  <c r="B162" i="21" a="1"/>
  <c r="B162" i="21" s="1"/>
  <c r="A162" i="21" a="1"/>
  <c r="A162" i="21" s="1"/>
  <c r="C161" i="21" a="1"/>
  <c r="C161" i="21" s="1"/>
  <c r="B161" i="21" a="1"/>
  <c r="B161" i="21" s="1"/>
  <c r="A161" i="21" a="1"/>
  <c r="A161" i="21" s="1"/>
  <c r="C160" i="21" a="1"/>
  <c r="C160" i="21" s="1"/>
  <c r="B160" i="21" a="1"/>
  <c r="B160" i="21" s="1"/>
  <c r="A160" i="21" a="1"/>
  <c r="A160" i="21" s="1"/>
  <c r="C159" i="21" a="1"/>
  <c r="C159" i="21" s="1"/>
  <c r="B159" i="21" a="1"/>
  <c r="B159" i="21" s="1"/>
  <c r="A159" i="21" a="1"/>
  <c r="A159" i="21" s="1"/>
  <c r="C158" i="21" a="1"/>
  <c r="C158" i="21" s="1"/>
  <c r="B158" i="21" a="1"/>
  <c r="B158" i="21" s="1"/>
  <c r="A158" i="21" a="1"/>
  <c r="A158" i="21" s="1"/>
  <c r="C157" i="21" a="1"/>
  <c r="C157" i="21" s="1"/>
  <c r="B157" i="21" a="1"/>
  <c r="B157" i="21" s="1"/>
  <c r="A157" i="21" a="1"/>
  <c r="A157" i="21" s="1"/>
  <c r="C156" i="21" a="1"/>
  <c r="C156" i="21" s="1"/>
  <c r="B156" i="21" a="1"/>
  <c r="B156" i="21" s="1"/>
  <c r="A156" i="21" a="1"/>
  <c r="A156" i="21" s="1"/>
  <c r="C155" i="21" a="1"/>
  <c r="C155" i="21" s="1"/>
  <c r="B155" i="21" a="1"/>
  <c r="B155" i="21" s="1"/>
  <c r="A155" i="21" a="1"/>
  <c r="A155" i="21" s="1"/>
  <c r="C154" i="21" a="1"/>
  <c r="C154" i="21" s="1"/>
  <c r="B154" i="21" a="1"/>
  <c r="B154" i="21" s="1"/>
  <c r="A154" i="21" a="1"/>
  <c r="A154" i="21" s="1"/>
  <c r="C153" i="21" a="1"/>
  <c r="C153" i="21" s="1"/>
  <c r="B153" i="21" a="1"/>
  <c r="B153" i="21" s="1"/>
  <c r="A153" i="21" a="1"/>
  <c r="A153" i="21" s="1"/>
  <c r="C152" i="21" a="1"/>
  <c r="C152" i="21" s="1"/>
  <c r="B152" i="21" a="1"/>
  <c r="B152" i="21" s="1"/>
  <c r="A152" i="21" a="1"/>
  <c r="A152" i="21" s="1"/>
  <c r="C151" i="21" a="1"/>
  <c r="C151" i="21" s="1"/>
  <c r="B151" i="21" a="1"/>
  <c r="B151" i="21" s="1"/>
  <c r="A151" i="21" a="1"/>
  <c r="A151" i="21" s="1"/>
  <c r="C150" i="21" a="1"/>
  <c r="C150" i="21" s="1"/>
  <c r="B150" i="21" a="1"/>
  <c r="B150" i="21" s="1"/>
  <c r="A150" i="21" a="1"/>
  <c r="A150" i="21" s="1"/>
  <c r="C149" i="21" a="1"/>
  <c r="C149" i="21" s="1"/>
  <c r="B149" i="21" a="1"/>
  <c r="B149" i="21" s="1"/>
  <c r="A149" i="21" a="1"/>
  <c r="A149" i="21" s="1"/>
  <c r="C148" i="21" a="1"/>
  <c r="C148" i="21" s="1"/>
  <c r="B148" i="21" a="1"/>
  <c r="B148" i="21" s="1"/>
  <c r="A148" i="21" a="1"/>
  <c r="A148" i="21" s="1"/>
  <c r="C147" i="21" a="1"/>
  <c r="C147" i="21" s="1"/>
  <c r="B147" i="21" a="1"/>
  <c r="B147" i="21" s="1"/>
  <c r="A147" i="21" a="1"/>
  <c r="A147" i="21" s="1"/>
  <c r="C146" i="21" a="1"/>
  <c r="C146" i="21" s="1"/>
  <c r="B146" i="21" a="1"/>
  <c r="B146" i="21" s="1"/>
  <c r="A146" i="21" a="1"/>
  <c r="A146" i="21" s="1"/>
  <c r="C145" i="21" a="1"/>
  <c r="C145" i="21" s="1"/>
  <c r="B145" i="21" a="1"/>
  <c r="B145" i="21" s="1"/>
  <c r="A145" i="21" a="1"/>
  <c r="A145" i="21" s="1"/>
  <c r="C144" i="21" a="1"/>
  <c r="C144" i="21" s="1"/>
  <c r="B144" i="21" a="1"/>
  <c r="B144" i="21" s="1"/>
  <c r="A144" i="21" a="1"/>
  <c r="A144" i="21" s="1"/>
  <c r="C143" i="21" a="1"/>
  <c r="C143" i="21" s="1"/>
  <c r="B143" i="21" a="1"/>
  <c r="B143" i="21" s="1"/>
  <c r="A143" i="21" a="1"/>
  <c r="A143" i="21" s="1"/>
  <c r="C142" i="21" a="1"/>
  <c r="C142" i="21" s="1"/>
  <c r="B142" i="21" a="1"/>
  <c r="B142" i="21" s="1"/>
  <c r="A142" i="21" a="1"/>
  <c r="A142" i="21" s="1"/>
  <c r="C141" i="21" a="1"/>
  <c r="C141" i="21" s="1"/>
  <c r="B141" i="21" a="1"/>
  <c r="B141" i="21" s="1"/>
  <c r="A141" i="21" a="1"/>
  <c r="A141" i="21" s="1"/>
  <c r="C140" i="21" a="1"/>
  <c r="C140" i="21" s="1"/>
  <c r="B140" i="21" a="1"/>
  <c r="B140" i="21" s="1"/>
  <c r="A140" i="21" a="1"/>
  <c r="A140" i="21" s="1"/>
  <c r="C139" i="21" a="1"/>
  <c r="C139" i="21" s="1"/>
  <c r="B139" i="21" a="1"/>
  <c r="B139" i="21" s="1"/>
  <c r="D139" i="21" s="1"/>
  <c r="A139" i="21" a="1"/>
  <c r="A139" i="21" s="1"/>
  <c r="C138" i="21" a="1"/>
  <c r="C138" i="21" s="1"/>
  <c r="B138" i="21" a="1"/>
  <c r="B138" i="21" s="1"/>
  <c r="A138" i="21" a="1"/>
  <c r="A138" i="21" s="1"/>
  <c r="C137" i="21" a="1"/>
  <c r="C137" i="21" s="1"/>
  <c r="B137" i="21" a="1"/>
  <c r="B137" i="21" s="1"/>
  <c r="A137" i="21" a="1"/>
  <c r="A137" i="21" s="1"/>
  <c r="C136" i="21" a="1"/>
  <c r="C136" i="21" s="1"/>
  <c r="B136" i="21" a="1"/>
  <c r="B136" i="21" s="1"/>
  <c r="A136" i="21" a="1"/>
  <c r="A136" i="21" s="1"/>
  <c r="C135" i="21" a="1"/>
  <c r="C135" i="21" s="1"/>
  <c r="B135" i="21" a="1"/>
  <c r="B135" i="21" s="1"/>
  <c r="A135" i="21" a="1"/>
  <c r="A135" i="21" s="1"/>
  <c r="C134" i="21" a="1"/>
  <c r="C134" i="21" s="1"/>
  <c r="B134" i="21" a="1"/>
  <c r="B134" i="21" s="1"/>
  <c r="A134" i="21" a="1"/>
  <c r="A134" i="21" s="1"/>
  <c r="C133" i="21" a="1"/>
  <c r="C133" i="21" s="1"/>
  <c r="B133" i="21" a="1"/>
  <c r="B133" i="21" s="1"/>
  <c r="A133" i="21" a="1"/>
  <c r="A133" i="21" s="1"/>
  <c r="C129" i="21" a="1"/>
  <c r="C129" i="21" s="1"/>
  <c r="B129" i="21" a="1"/>
  <c r="B129" i="21" s="1"/>
  <c r="A129" i="21" a="1"/>
  <c r="A129" i="21" s="1"/>
  <c r="C128" i="21" a="1"/>
  <c r="C128" i="21" s="1"/>
  <c r="B128" i="21" a="1"/>
  <c r="B128" i="21" s="1"/>
  <c r="A128" i="21" a="1"/>
  <c r="A128" i="21" s="1"/>
  <c r="C127" i="21" a="1"/>
  <c r="C127" i="21" s="1"/>
  <c r="B127" i="21" a="1"/>
  <c r="B127" i="21" s="1"/>
  <c r="A127" i="21" a="1"/>
  <c r="A127" i="21" s="1"/>
  <c r="C126" i="21" a="1"/>
  <c r="C126" i="21" s="1"/>
  <c r="B126" i="21" a="1"/>
  <c r="B126" i="21" s="1"/>
  <c r="A126" i="21" a="1"/>
  <c r="A126" i="21" s="1"/>
  <c r="C125" i="21" a="1"/>
  <c r="C125" i="21" s="1"/>
  <c r="B125" i="21" a="1"/>
  <c r="B125" i="21" s="1"/>
  <c r="A125" i="21" a="1"/>
  <c r="A125" i="21" s="1"/>
  <c r="C124" i="21" a="1"/>
  <c r="C124" i="21" s="1"/>
  <c r="B124" i="21" a="1"/>
  <c r="B124" i="21" s="1"/>
  <c r="A124" i="21" a="1"/>
  <c r="A124" i="21" s="1"/>
  <c r="C123" i="21" a="1"/>
  <c r="C123" i="21" s="1"/>
  <c r="B123" i="21" a="1"/>
  <c r="B123" i="21" s="1"/>
  <c r="A123" i="21" a="1"/>
  <c r="A123" i="21" s="1"/>
  <c r="C122" i="21" a="1"/>
  <c r="C122" i="21" s="1"/>
  <c r="B122" i="21" a="1"/>
  <c r="B122" i="21" s="1"/>
  <c r="A122" i="21" a="1"/>
  <c r="A122" i="21" s="1"/>
  <c r="C121" i="21" a="1"/>
  <c r="C121" i="21" s="1"/>
  <c r="B121" i="21" a="1"/>
  <c r="B121" i="21" s="1"/>
  <c r="A121" i="21" a="1"/>
  <c r="A121" i="21" s="1"/>
  <c r="C120" i="21" a="1"/>
  <c r="C120" i="21" s="1"/>
  <c r="B120" i="21" a="1"/>
  <c r="B120" i="21" s="1"/>
  <c r="A120" i="21" a="1"/>
  <c r="A120" i="21" s="1"/>
  <c r="C119" i="21" a="1"/>
  <c r="C119" i="21" s="1"/>
  <c r="B119" i="21" a="1"/>
  <c r="B119" i="21" s="1"/>
  <c r="A119" i="21" a="1"/>
  <c r="A119" i="21" s="1"/>
  <c r="C118" i="21" a="1"/>
  <c r="C118" i="21" s="1"/>
  <c r="B118" i="21" a="1"/>
  <c r="B118" i="21" s="1"/>
  <c r="A118" i="21" a="1"/>
  <c r="A118" i="21" s="1"/>
  <c r="C117" i="21" a="1"/>
  <c r="C117" i="21" s="1"/>
  <c r="B117" i="21" a="1"/>
  <c r="B117" i="21" s="1"/>
  <c r="A117" i="21" a="1"/>
  <c r="A117" i="21" s="1"/>
  <c r="C116" i="21" a="1"/>
  <c r="C116" i="21" s="1"/>
  <c r="B116" i="21" a="1"/>
  <c r="B116" i="21" s="1"/>
  <c r="A116" i="21" a="1"/>
  <c r="A116" i="21" s="1"/>
  <c r="C115" i="21" a="1"/>
  <c r="C115" i="21" s="1"/>
  <c r="B115" i="21" a="1"/>
  <c r="B115" i="21" s="1"/>
  <c r="A115" i="21" a="1"/>
  <c r="A115" i="21" s="1"/>
  <c r="C114" i="21" a="1"/>
  <c r="C114" i="21" s="1"/>
  <c r="B114" i="21" a="1"/>
  <c r="B114" i="21" s="1"/>
  <c r="A114" i="21" a="1"/>
  <c r="A114" i="21" s="1"/>
  <c r="C113" i="21" a="1"/>
  <c r="C113" i="21" s="1"/>
  <c r="B113" i="21" a="1"/>
  <c r="B113" i="21" s="1"/>
  <c r="A113" i="21" a="1"/>
  <c r="A113" i="21" s="1"/>
  <c r="C112" i="21" a="1"/>
  <c r="C112" i="21" s="1"/>
  <c r="B112" i="21" a="1"/>
  <c r="B112" i="21" s="1"/>
  <c r="A112" i="21" a="1"/>
  <c r="A112" i="21" s="1"/>
  <c r="C111" i="21" a="1"/>
  <c r="C111" i="21" s="1"/>
  <c r="B111" i="21" a="1"/>
  <c r="B111" i="21" s="1"/>
  <c r="A111" i="21" a="1"/>
  <c r="A111" i="21" s="1"/>
  <c r="C110" i="21" a="1"/>
  <c r="C110" i="21" s="1"/>
  <c r="B110" i="21" a="1"/>
  <c r="B110" i="21" s="1"/>
  <c r="A110" i="21" a="1"/>
  <c r="A110" i="21" s="1"/>
  <c r="C109" i="21" a="1"/>
  <c r="C109" i="21" s="1"/>
  <c r="B109" i="21" a="1"/>
  <c r="B109" i="21" s="1"/>
  <c r="A109" i="21" a="1"/>
  <c r="A109" i="21" s="1"/>
  <c r="C108" i="21" a="1"/>
  <c r="C108" i="21" s="1"/>
  <c r="B108" i="21" a="1"/>
  <c r="B108" i="21" s="1"/>
  <c r="A108" i="21" a="1"/>
  <c r="A108" i="21" s="1"/>
  <c r="C107" i="21" a="1"/>
  <c r="C107" i="21" s="1"/>
  <c r="B107" i="21" a="1"/>
  <c r="B107" i="21" s="1"/>
  <c r="A107" i="21" a="1"/>
  <c r="A107" i="21" s="1"/>
  <c r="C106" i="21" a="1"/>
  <c r="C106" i="21" s="1"/>
  <c r="B106" i="21" a="1"/>
  <c r="B106" i="21" s="1"/>
  <c r="A106" i="21" a="1"/>
  <c r="A106" i="21" s="1"/>
  <c r="C105" i="21" a="1"/>
  <c r="C105" i="21" s="1"/>
  <c r="B105" i="21" a="1"/>
  <c r="B105" i="21" s="1"/>
  <c r="A105" i="21" a="1"/>
  <c r="A105" i="21" s="1"/>
  <c r="C104" i="21" a="1"/>
  <c r="C104" i="21" s="1"/>
  <c r="B104" i="21" a="1"/>
  <c r="B104" i="21" s="1"/>
  <c r="A104" i="21" a="1"/>
  <c r="A104" i="21" s="1"/>
  <c r="C103" i="21" a="1"/>
  <c r="C103" i="21" s="1"/>
  <c r="B103" i="21" a="1"/>
  <c r="B103" i="21" s="1"/>
  <c r="A103" i="21" a="1"/>
  <c r="A103" i="21" s="1"/>
  <c r="C102" i="21" a="1"/>
  <c r="C102" i="21" s="1"/>
  <c r="B102" i="21" a="1"/>
  <c r="B102" i="21" s="1"/>
  <c r="A102" i="21" a="1"/>
  <c r="A102" i="21" s="1"/>
  <c r="C101" i="21" a="1"/>
  <c r="C101" i="21" s="1"/>
  <c r="B101" i="21" a="1"/>
  <c r="B101" i="21" s="1"/>
  <c r="A101" i="21" a="1"/>
  <c r="A101" i="21" s="1"/>
  <c r="C100" i="21" a="1"/>
  <c r="C100" i="21" s="1"/>
  <c r="B100" i="21" a="1"/>
  <c r="B100" i="21" s="1"/>
  <c r="A100" i="21" a="1"/>
  <c r="A100" i="21" s="1"/>
  <c r="C99" i="21" a="1"/>
  <c r="C99" i="21" s="1"/>
  <c r="B99" i="21" a="1"/>
  <c r="B99" i="21" s="1"/>
  <c r="A99" i="21" a="1"/>
  <c r="A99" i="21" s="1"/>
  <c r="C98" i="21" a="1"/>
  <c r="C98" i="21" s="1"/>
  <c r="B98" i="21" a="1"/>
  <c r="B98" i="21" s="1"/>
  <c r="A98" i="21" a="1"/>
  <c r="A98" i="21" s="1"/>
  <c r="C97" i="21" a="1"/>
  <c r="C97" i="21" s="1"/>
  <c r="B97" i="21" a="1"/>
  <c r="B97" i="21" s="1"/>
  <c r="A97" i="21" a="1"/>
  <c r="A97" i="21" s="1"/>
  <c r="C96" i="21" a="1"/>
  <c r="C96" i="21" s="1"/>
  <c r="B96" i="21" a="1"/>
  <c r="B96" i="21" s="1"/>
  <c r="A96" i="21" a="1"/>
  <c r="A96" i="21" s="1"/>
  <c r="C95" i="21" a="1"/>
  <c r="C95" i="21" s="1"/>
  <c r="B95" i="21" a="1"/>
  <c r="B95" i="21" s="1"/>
  <c r="A95" i="21" a="1"/>
  <c r="A95" i="21" s="1"/>
  <c r="C91" i="21" a="1"/>
  <c r="C91" i="21" s="1"/>
  <c r="B91" i="21" a="1"/>
  <c r="B91" i="21" s="1"/>
  <c r="A91" i="21" a="1"/>
  <c r="A91" i="21" s="1"/>
  <c r="C90" i="21" a="1"/>
  <c r="C90" i="21" s="1"/>
  <c r="B90" i="21" a="1"/>
  <c r="B90" i="21" s="1"/>
  <c r="A90" i="21" a="1"/>
  <c r="A90" i="21" s="1"/>
  <c r="C89" i="21" a="1"/>
  <c r="C89" i="21" s="1"/>
  <c r="B89" i="21" a="1"/>
  <c r="B89" i="21" s="1"/>
  <c r="A89" i="21" a="1"/>
  <c r="A89" i="21" s="1"/>
  <c r="C88" i="21" a="1"/>
  <c r="C88" i="21" s="1"/>
  <c r="B88" i="21" a="1"/>
  <c r="B88" i="21" s="1"/>
  <c r="A88" i="21" a="1"/>
  <c r="A88" i="21" s="1"/>
  <c r="C87" i="21" a="1"/>
  <c r="C87" i="21" s="1"/>
  <c r="B87" i="21" a="1"/>
  <c r="B87" i="21" s="1"/>
  <c r="A87" i="21" a="1"/>
  <c r="A87" i="21" s="1"/>
  <c r="C86" i="21" a="1"/>
  <c r="C86" i="21" s="1"/>
  <c r="B86" i="21" a="1"/>
  <c r="B86" i="21" s="1"/>
  <c r="A86" i="21" a="1"/>
  <c r="A86" i="21" s="1"/>
  <c r="C85" i="21" a="1"/>
  <c r="C85" i="21" s="1"/>
  <c r="B85" i="21" a="1"/>
  <c r="B85" i="21" s="1"/>
  <c r="A85" i="21" a="1"/>
  <c r="A85" i="21" s="1"/>
  <c r="C84" i="21" a="1"/>
  <c r="C84" i="21" s="1"/>
  <c r="B84" i="21" a="1"/>
  <c r="B84" i="21" s="1"/>
  <c r="A84" i="21" a="1"/>
  <c r="A84" i="21" s="1"/>
  <c r="C83" i="21" a="1"/>
  <c r="C83" i="21" s="1"/>
  <c r="B83" i="21" a="1"/>
  <c r="B83" i="21" s="1"/>
  <c r="A83" i="21" a="1"/>
  <c r="A83" i="21" s="1"/>
  <c r="C82" i="21" a="1"/>
  <c r="C82" i="21" s="1"/>
  <c r="B82" i="21" a="1"/>
  <c r="B82" i="21" s="1"/>
  <c r="A82" i="21" a="1"/>
  <c r="A82" i="21" s="1"/>
  <c r="C81" i="21" a="1"/>
  <c r="C81" i="21" s="1"/>
  <c r="B81" i="21" a="1"/>
  <c r="B81" i="21" s="1"/>
  <c r="A81" i="21" a="1"/>
  <c r="A81" i="21" s="1"/>
  <c r="C80" i="21" a="1"/>
  <c r="C80" i="21" s="1"/>
  <c r="B80" i="21" a="1"/>
  <c r="B80" i="21" s="1"/>
  <c r="A80" i="21" a="1"/>
  <c r="A80" i="21" s="1"/>
  <c r="C79" i="21" a="1"/>
  <c r="C79" i="21" s="1"/>
  <c r="B79" i="21" a="1"/>
  <c r="B79" i="21" s="1"/>
  <c r="A79" i="21" a="1"/>
  <c r="A79" i="21" s="1"/>
  <c r="C78" i="21" a="1"/>
  <c r="C78" i="21" s="1"/>
  <c r="B78" i="21" a="1"/>
  <c r="B78" i="21" s="1"/>
  <c r="A78" i="21" a="1"/>
  <c r="A78" i="21" s="1"/>
  <c r="C77" i="21" a="1"/>
  <c r="C77" i="21" s="1"/>
  <c r="B77" i="21" a="1"/>
  <c r="B77" i="21" s="1"/>
  <c r="A77" i="21" a="1"/>
  <c r="A77" i="21" s="1"/>
  <c r="C76" i="21" a="1"/>
  <c r="C76" i="21" s="1"/>
  <c r="B76" i="21" a="1"/>
  <c r="B76" i="21" s="1"/>
  <c r="A76" i="21" a="1"/>
  <c r="A76" i="21" s="1"/>
  <c r="C75" i="21" a="1"/>
  <c r="C75" i="21" s="1"/>
  <c r="B75" i="21" a="1"/>
  <c r="B75" i="21" s="1"/>
  <c r="A75" i="21" a="1"/>
  <c r="A75" i="21" s="1"/>
  <c r="C74" i="21" a="1"/>
  <c r="C74" i="21" s="1"/>
  <c r="B74" i="21" a="1"/>
  <c r="B74" i="21" s="1"/>
  <c r="A74" i="21" a="1"/>
  <c r="A74" i="21" s="1"/>
  <c r="C73" i="21" a="1"/>
  <c r="C73" i="21" s="1"/>
  <c r="B73" i="21" a="1"/>
  <c r="B73" i="21" s="1"/>
  <c r="A73" i="21" a="1"/>
  <c r="A73" i="21" s="1"/>
  <c r="C72" i="21" a="1"/>
  <c r="C72" i="21" s="1"/>
  <c r="B72" i="21" a="1"/>
  <c r="B72" i="21" s="1"/>
  <c r="A72" i="21" a="1"/>
  <c r="A72" i="21" s="1"/>
  <c r="C71" i="21" a="1"/>
  <c r="C71" i="21" s="1"/>
  <c r="B71" i="21" a="1"/>
  <c r="B71" i="21" s="1"/>
  <c r="A71" i="21" a="1"/>
  <c r="A71" i="21" s="1"/>
  <c r="C70" i="21" a="1"/>
  <c r="C70" i="21" s="1"/>
  <c r="B70" i="21" a="1"/>
  <c r="B70" i="21" s="1"/>
  <c r="A70" i="21" a="1"/>
  <c r="A70" i="21" s="1"/>
  <c r="C69" i="21" a="1"/>
  <c r="C69" i="21" s="1"/>
  <c r="B69" i="21" a="1"/>
  <c r="B69" i="21" s="1"/>
  <c r="A69" i="21" a="1"/>
  <c r="A69" i="21" s="1"/>
  <c r="C68" i="21" a="1"/>
  <c r="C68" i="21" s="1"/>
  <c r="B68" i="21" a="1"/>
  <c r="B68" i="21" s="1"/>
  <c r="A68" i="21" a="1"/>
  <c r="A68" i="21" s="1"/>
  <c r="C67" i="21" a="1"/>
  <c r="C67" i="21" s="1"/>
  <c r="B67" i="21" a="1"/>
  <c r="B67" i="21" s="1"/>
  <c r="A67" i="21" a="1"/>
  <c r="A67" i="21" s="1"/>
  <c r="C66" i="21" a="1"/>
  <c r="C66" i="21" s="1"/>
  <c r="B66" i="21" a="1"/>
  <c r="B66" i="21" s="1"/>
  <c r="A66" i="21" a="1"/>
  <c r="A66" i="21" s="1"/>
  <c r="C65" i="21" a="1"/>
  <c r="C65" i="21" s="1"/>
  <c r="B65" i="21" a="1"/>
  <c r="B65" i="21" s="1"/>
  <c r="A65" i="21" a="1"/>
  <c r="A65" i="21" s="1"/>
  <c r="C64" i="21" a="1"/>
  <c r="C64" i="21" s="1"/>
  <c r="B64" i="21" a="1"/>
  <c r="B64" i="21" s="1"/>
  <c r="A64" i="21" a="1"/>
  <c r="A64" i="21" s="1"/>
  <c r="C63" i="21" a="1"/>
  <c r="C63" i="21" s="1"/>
  <c r="B63" i="21" a="1"/>
  <c r="B63" i="21" s="1"/>
  <c r="A63" i="21" a="1"/>
  <c r="A63" i="21" s="1"/>
  <c r="C62" i="21" a="1"/>
  <c r="C62" i="21" s="1"/>
  <c r="B62" i="21" a="1"/>
  <c r="B62" i="21" s="1"/>
  <c r="A62" i="21" a="1"/>
  <c r="A62" i="21" s="1"/>
  <c r="C61" i="21" a="1"/>
  <c r="C61" i="21" s="1"/>
  <c r="B61" i="21" a="1"/>
  <c r="B61" i="21" s="1"/>
  <c r="A61" i="21" a="1"/>
  <c r="A61" i="21" s="1"/>
  <c r="C60" i="21" a="1"/>
  <c r="C60" i="21" s="1"/>
  <c r="B60" i="21" a="1"/>
  <c r="B60" i="21" s="1"/>
  <c r="A60" i="21" a="1"/>
  <c r="A60" i="21" s="1"/>
  <c r="C59" i="21" a="1"/>
  <c r="C59" i="21" s="1"/>
  <c r="B59" i="21" a="1"/>
  <c r="B59" i="21" s="1"/>
  <c r="A59" i="21" a="1"/>
  <c r="A59" i="21" s="1"/>
  <c r="C58" i="21" a="1"/>
  <c r="C58" i="21" s="1"/>
  <c r="B58" i="21" a="1"/>
  <c r="B58" i="21" s="1"/>
  <c r="A58" i="21" a="1"/>
  <c r="A58" i="21" s="1"/>
  <c r="C57" i="21" a="1"/>
  <c r="C57" i="21" s="1"/>
  <c r="B57" i="21" a="1"/>
  <c r="B57" i="21" s="1"/>
  <c r="A57" i="21" a="1"/>
  <c r="A57" i="21" s="1"/>
  <c r="C53" i="21" a="1"/>
  <c r="C53" i="21" s="1"/>
  <c r="B53" i="21" a="1"/>
  <c r="B53" i="21" s="1"/>
  <c r="A53" i="21" a="1"/>
  <c r="A53" i="21" s="1"/>
  <c r="C52" i="21" a="1"/>
  <c r="C52" i="21" s="1"/>
  <c r="B52" i="21" a="1"/>
  <c r="B52" i="21" s="1"/>
  <c r="A52" i="21" a="1"/>
  <c r="A52" i="21" s="1"/>
  <c r="C51" i="21" a="1"/>
  <c r="C51" i="21" s="1"/>
  <c r="B51" i="21" a="1"/>
  <c r="B51" i="21" s="1"/>
  <c r="A51" i="21" a="1"/>
  <c r="A51" i="21" s="1"/>
  <c r="C50" i="21" a="1"/>
  <c r="C50" i="21" s="1"/>
  <c r="B50" i="21" a="1"/>
  <c r="B50" i="21" s="1"/>
  <c r="A50" i="21" a="1"/>
  <c r="A50" i="21" s="1"/>
  <c r="C49" i="21" a="1"/>
  <c r="C49" i="21" s="1"/>
  <c r="B49" i="21" a="1"/>
  <c r="B49" i="21" s="1"/>
  <c r="A49" i="21" a="1"/>
  <c r="A49" i="21" s="1"/>
  <c r="C48" i="21" a="1"/>
  <c r="C48" i="21" s="1"/>
  <c r="B48" i="21" a="1"/>
  <c r="B48" i="21" s="1"/>
  <c r="A48" i="21" a="1"/>
  <c r="A48" i="21" s="1"/>
  <c r="C47" i="21" a="1"/>
  <c r="C47" i="21" s="1"/>
  <c r="B47" i="21" a="1"/>
  <c r="B47" i="21" s="1"/>
  <c r="A47" i="21" a="1"/>
  <c r="A47" i="21" s="1"/>
  <c r="C46" i="21" a="1"/>
  <c r="C46" i="21" s="1"/>
  <c r="B46" i="21" a="1"/>
  <c r="B46" i="21" s="1"/>
  <c r="A46" i="21" a="1"/>
  <c r="A46" i="21" s="1"/>
  <c r="C45" i="21" a="1"/>
  <c r="C45" i="21" s="1"/>
  <c r="B45" i="21" a="1"/>
  <c r="B45" i="21" s="1"/>
  <c r="A45" i="21" a="1"/>
  <c r="A45" i="21" s="1"/>
  <c r="C44" i="21" a="1"/>
  <c r="C44" i="21" s="1"/>
  <c r="B44" i="21" a="1"/>
  <c r="B44" i="21" s="1"/>
  <c r="A44" i="21" a="1"/>
  <c r="A44" i="21" s="1"/>
  <c r="C43" i="21" a="1"/>
  <c r="C43" i="21" s="1"/>
  <c r="B43" i="21" a="1"/>
  <c r="B43" i="21" s="1"/>
  <c r="A43" i="21" a="1"/>
  <c r="A43" i="21" s="1"/>
  <c r="C42" i="21" a="1"/>
  <c r="C42" i="21" s="1"/>
  <c r="B42" i="21" a="1"/>
  <c r="B42" i="21" s="1"/>
  <c r="A42" i="21" a="1"/>
  <c r="A42" i="21" s="1"/>
  <c r="C41" i="21" a="1"/>
  <c r="C41" i="21" s="1"/>
  <c r="B41" i="21" a="1"/>
  <c r="B41" i="21" s="1"/>
  <c r="A41" i="21" a="1"/>
  <c r="A41" i="21" s="1"/>
  <c r="C40" i="21" a="1"/>
  <c r="C40" i="21" s="1"/>
  <c r="B40" i="21" a="1"/>
  <c r="B40" i="21" s="1"/>
  <c r="A40" i="21" a="1"/>
  <c r="A40" i="21" s="1"/>
  <c r="C39" i="21" a="1"/>
  <c r="C39" i="21" s="1"/>
  <c r="B39" i="21" a="1"/>
  <c r="B39" i="21" s="1"/>
  <c r="A39" i="21" a="1"/>
  <c r="A39" i="21" s="1"/>
  <c r="C38" i="21" a="1"/>
  <c r="C38" i="21" s="1"/>
  <c r="B38" i="21" a="1"/>
  <c r="B38" i="21" s="1"/>
  <c r="A38" i="21" a="1"/>
  <c r="A38" i="21" s="1"/>
  <c r="C37" i="21" a="1"/>
  <c r="C37" i="21" s="1"/>
  <c r="B37" i="21" a="1"/>
  <c r="B37" i="21" s="1"/>
  <c r="A37" i="21" a="1"/>
  <c r="A37" i="21" s="1"/>
  <c r="C36" i="21" a="1"/>
  <c r="C36" i="21" s="1"/>
  <c r="B36" i="21" a="1"/>
  <c r="B36" i="21" s="1"/>
  <c r="A36" i="21" a="1"/>
  <c r="A36" i="21" s="1"/>
  <c r="C35" i="21" a="1"/>
  <c r="C35" i="21" s="1"/>
  <c r="B35" i="21" a="1"/>
  <c r="B35" i="21" s="1"/>
  <c r="A35" i="21" a="1"/>
  <c r="A35" i="21" s="1"/>
  <c r="C34" i="21" a="1"/>
  <c r="C34" i="21" s="1"/>
  <c r="B34" i="21" a="1"/>
  <c r="B34" i="21" s="1"/>
  <c r="A34" i="21" a="1"/>
  <c r="A34" i="21" s="1"/>
  <c r="C33" i="21" a="1"/>
  <c r="C33" i="21" s="1"/>
  <c r="B33" i="21" a="1"/>
  <c r="B33" i="21" s="1"/>
  <c r="A33" i="21" a="1"/>
  <c r="A33" i="21" s="1"/>
  <c r="C32" i="21" a="1"/>
  <c r="C32" i="21" s="1"/>
  <c r="B32" i="21" a="1"/>
  <c r="B32" i="21" s="1"/>
  <c r="A32" i="21" a="1"/>
  <c r="A32" i="21" s="1"/>
  <c r="C31" i="21" a="1"/>
  <c r="C31" i="21" s="1"/>
  <c r="B31" i="21" a="1"/>
  <c r="B31" i="21" s="1"/>
  <c r="A31" i="21" a="1"/>
  <c r="A31" i="21" s="1"/>
  <c r="C30" i="21" a="1"/>
  <c r="C30" i="21" s="1"/>
  <c r="B30" i="21" a="1"/>
  <c r="B30" i="21" s="1"/>
  <c r="A30" i="21" a="1"/>
  <c r="A30" i="21" s="1"/>
  <c r="C29" i="21" a="1"/>
  <c r="C29" i="21" s="1"/>
  <c r="B29" i="21" a="1"/>
  <c r="B29" i="21" s="1"/>
  <c r="A29" i="21" a="1"/>
  <c r="A29" i="21" s="1"/>
  <c r="C28" i="21" a="1"/>
  <c r="C28" i="21" s="1"/>
  <c r="B28" i="21" a="1"/>
  <c r="B28" i="21" s="1"/>
  <c r="A28" i="21" a="1"/>
  <c r="A28" i="21" s="1"/>
  <c r="C27" i="21" a="1"/>
  <c r="C27" i="21" s="1"/>
  <c r="B27" i="21" a="1"/>
  <c r="B27" i="21" s="1"/>
  <c r="A27" i="21" a="1"/>
  <c r="A27" i="21" s="1"/>
  <c r="C26" i="21" a="1"/>
  <c r="C26" i="21" s="1"/>
  <c r="B26" i="21" a="1"/>
  <c r="B26" i="21" s="1"/>
  <c r="A26" i="21" a="1"/>
  <c r="A26" i="21" s="1"/>
  <c r="C25" i="21" a="1"/>
  <c r="C25" i="21" s="1"/>
  <c r="B25" i="21" a="1"/>
  <c r="B25" i="21" s="1"/>
  <c r="A25" i="21" a="1"/>
  <c r="A25" i="21" s="1"/>
  <c r="C24" i="21" a="1"/>
  <c r="C24" i="21" s="1"/>
  <c r="B24" i="21" a="1"/>
  <c r="B24" i="21" s="1"/>
  <c r="A24" i="21" a="1"/>
  <c r="A24" i="21" s="1"/>
  <c r="C23" i="21" a="1"/>
  <c r="C23" i="21" s="1"/>
  <c r="B23" i="21" a="1"/>
  <c r="B23" i="21" s="1"/>
  <c r="A23" i="21" a="1"/>
  <c r="A23" i="21" s="1"/>
  <c r="C22" i="21" a="1"/>
  <c r="C22" i="21" s="1"/>
  <c r="B22" i="21" a="1"/>
  <c r="B22" i="21" s="1"/>
  <c r="A22" i="21" a="1"/>
  <c r="A22" i="21" s="1"/>
  <c r="C21" i="21" a="1"/>
  <c r="C21" i="21" s="1"/>
  <c r="B21" i="21" a="1"/>
  <c r="B21" i="21" s="1"/>
  <c r="A21" i="21" a="1"/>
  <c r="A21" i="21" s="1"/>
  <c r="C20" i="21" a="1"/>
  <c r="C20" i="21" s="1"/>
  <c r="B20" i="21" a="1"/>
  <c r="B20" i="21" s="1"/>
  <c r="A20" i="21" a="1"/>
  <c r="A20" i="21" s="1"/>
  <c r="C19" i="21" a="1"/>
  <c r="C19" i="21" s="1"/>
  <c r="B19" i="21" a="1"/>
  <c r="B19" i="21" s="1"/>
  <c r="A19" i="21" a="1"/>
  <c r="A19" i="21" s="1"/>
  <c r="A1844" i="22" a="1"/>
  <c r="A1844" i="22" s="1"/>
  <c r="B1844" i="22" a="1"/>
  <c r="B1844" i="22" s="1"/>
  <c r="C1844" i="22" a="1"/>
  <c r="C1844" i="22" s="1"/>
  <c r="A1845" i="22" a="1"/>
  <c r="A1845" i="22" s="1"/>
  <c r="B1845" i="22" a="1"/>
  <c r="B1845" i="22" s="1"/>
  <c r="C1845" i="22" a="1"/>
  <c r="C1845" i="22" s="1"/>
  <c r="A1846" i="22" a="1"/>
  <c r="A1846" i="22" s="1"/>
  <c r="B1846" i="22" a="1"/>
  <c r="B1846" i="22" s="1"/>
  <c r="C1846" i="22" a="1"/>
  <c r="C1846" i="22" s="1"/>
  <c r="A1847" i="22" a="1"/>
  <c r="A1847" i="22" s="1"/>
  <c r="B1847" i="22" a="1"/>
  <c r="B1847" i="22" s="1"/>
  <c r="C1847" i="22" a="1"/>
  <c r="C1847" i="22" s="1"/>
  <c r="A1848" i="22" a="1"/>
  <c r="A1848" i="22" s="1"/>
  <c r="B1848" i="22" a="1"/>
  <c r="B1848" i="22" s="1"/>
  <c r="C1848" i="22" a="1"/>
  <c r="C1848" i="22" s="1"/>
  <c r="A1849" i="22" a="1"/>
  <c r="A1849" i="22" s="1"/>
  <c r="B1849" i="22" a="1"/>
  <c r="B1849" i="22" s="1"/>
  <c r="C1849" i="22" a="1"/>
  <c r="C1849" i="22" s="1"/>
  <c r="A1850" i="22" a="1"/>
  <c r="A1850" i="22" s="1"/>
  <c r="B1850" i="22" a="1"/>
  <c r="B1850" i="22" s="1"/>
  <c r="C1850" i="22" a="1"/>
  <c r="C1850" i="22" s="1"/>
  <c r="A1851" i="22" a="1"/>
  <c r="A1851" i="22" s="1"/>
  <c r="B1851" i="22" a="1"/>
  <c r="B1851" i="22" s="1"/>
  <c r="C1851" i="22" a="1"/>
  <c r="C1851" i="22" s="1"/>
  <c r="A1852" i="22" a="1"/>
  <c r="A1852" i="22" s="1"/>
  <c r="B1852" i="22" a="1"/>
  <c r="B1852" i="22" s="1"/>
  <c r="C1852" i="22" a="1"/>
  <c r="C1852" i="22" s="1"/>
  <c r="A1853" i="22" a="1"/>
  <c r="A1853" i="22" s="1"/>
  <c r="B1853" i="22" a="1"/>
  <c r="B1853" i="22" s="1"/>
  <c r="C1853" i="22" a="1"/>
  <c r="C1853" i="22" s="1"/>
  <c r="A1854" i="22" a="1"/>
  <c r="A1854" i="22" s="1"/>
  <c r="B1854" i="22" a="1"/>
  <c r="B1854" i="22" s="1"/>
  <c r="C1854" i="22" a="1"/>
  <c r="C1854" i="22" s="1"/>
  <c r="A1855" i="22" a="1"/>
  <c r="A1855" i="22" s="1"/>
  <c r="B1855" i="22" a="1"/>
  <c r="B1855" i="22" s="1"/>
  <c r="C1855" i="22" a="1"/>
  <c r="C1855" i="22" s="1"/>
  <c r="A1856" i="22" a="1"/>
  <c r="A1856" i="22" s="1"/>
  <c r="B1856" i="22" a="1"/>
  <c r="B1856" i="22" s="1"/>
  <c r="C1856" i="22" a="1"/>
  <c r="C1856" i="22" s="1"/>
  <c r="A1857" i="22" a="1"/>
  <c r="A1857" i="22" s="1"/>
  <c r="B1857" i="22" a="1"/>
  <c r="B1857" i="22" s="1"/>
  <c r="C1857" i="22" a="1"/>
  <c r="C1857" i="22" s="1"/>
  <c r="A1858" i="22" a="1"/>
  <c r="A1858" i="22" s="1"/>
  <c r="B1858" i="22" a="1"/>
  <c r="B1858" i="22" s="1"/>
  <c r="C1858" i="22" a="1"/>
  <c r="C1858" i="22" s="1"/>
  <c r="A1859" i="22" a="1"/>
  <c r="A1859" i="22" s="1"/>
  <c r="B1859" i="22" a="1"/>
  <c r="B1859" i="22" s="1"/>
  <c r="C1859" i="22" a="1"/>
  <c r="C1859" i="22" s="1"/>
  <c r="A1860" i="22" a="1"/>
  <c r="A1860" i="22" s="1"/>
  <c r="B1860" i="22" a="1"/>
  <c r="B1860" i="22" s="1"/>
  <c r="C1860" i="22" a="1"/>
  <c r="C1860" i="22" s="1"/>
  <c r="A1861" i="22" a="1"/>
  <c r="A1861" i="22" s="1"/>
  <c r="B1861" i="22" a="1"/>
  <c r="B1861" i="22" s="1"/>
  <c r="C1861" i="22" a="1"/>
  <c r="C1861" i="22" s="1"/>
  <c r="A1862" i="22" a="1"/>
  <c r="A1862" i="22" s="1"/>
  <c r="B1862" i="22" a="1"/>
  <c r="B1862" i="22" s="1"/>
  <c r="C1862" i="22" a="1"/>
  <c r="C1862" i="22" s="1"/>
  <c r="A1863" i="22" a="1"/>
  <c r="A1863" i="22" s="1"/>
  <c r="B1863" i="22" a="1"/>
  <c r="B1863" i="22" s="1"/>
  <c r="C1863" i="22" a="1"/>
  <c r="C1863" i="22" s="1"/>
  <c r="A1864" i="22" a="1"/>
  <c r="A1864" i="22" s="1"/>
  <c r="B1864" i="22" a="1"/>
  <c r="B1864" i="22" s="1"/>
  <c r="C1864" i="22" a="1"/>
  <c r="C1864" i="22" s="1"/>
  <c r="A1865" i="22" a="1"/>
  <c r="A1865" i="22" s="1"/>
  <c r="B1865" i="22" a="1"/>
  <c r="B1865" i="22" s="1"/>
  <c r="C1865" i="22" a="1"/>
  <c r="C1865" i="22" s="1"/>
  <c r="A1866" i="22" a="1"/>
  <c r="A1866" i="22" s="1"/>
  <c r="B1866" i="22" a="1"/>
  <c r="B1866" i="22" s="1"/>
  <c r="C1866" i="22" a="1"/>
  <c r="C1866" i="22" s="1"/>
  <c r="A1867" i="22" a="1"/>
  <c r="A1867" i="22" s="1"/>
  <c r="B1867" i="22" a="1"/>
  <c r="B1867" i="22" s="1"/>
  <c r="C1867" i="22" a="1"/>
  <c r="C1867" i="22" s="1"/>
  <c r="A1868" i="22" a="1"/>
  <c r="A1868" i="22" s="1"/>
  <c r="B1868" i="22" a="1"/>
  <c r="B1868" i="22" s="1"/>
  <c r="C1868" i="22" a="1"/>
  <c r="C1868" i="22" s="1"/>
  <c r="A1869" i="22" a="1"/>
  <c r="A1869" i="22" s="1"/>
  <c r="B1869" i="22" a="1"/>
  <c r="B1869" i="22" s="1"/>
  <c r="C1869" i="22" a="1"/>
  <c r="C1869" i="22" s="1"/>
  <c r="A1870" i="22" a="1"/>
  <c r="A1870" i="22" s="1"/>
  <c r="B1870" i="22" a="1"/>
  <c r="B1870" i="22" s="1"/>
  <c r="C1870" i="22" a="1"/>
  <c r="C1870" i="22" s="1"/>
  <c r="A1871" i="22" a="1"/>
  <c r="A1871" i="22" s="1"/>
  <c r="B1871" i="22" a="1"/>
  <c r="B1871" i="22" s="1"/>
  <c r="C1871" i="22" a="1"/>
  <c r="C1871" i="22" s="1"/>
  <c r="A1872" i="22" a="1"/>
  <c r="A1872" i="22" s="1"/>
  <c r="B1872" i="22" a="1"/>
  <c r="B1872" i="22" s="1"/>
  <c r="C1872" i="22" a="1"/>
  <c r="C1872" i="22" s="1"/>
  <c r="A1873" i="22" a="1"/>
  <c r="A1873" i="22" s="1"/>
  <c r="B1873" i="22" a="1"/>
  <c r="B1873" i="22" s="1"/>
  <c r="C1873" i="22" a="1"/>
  <c r="C1873" i="22" s="1"/>
  <c r="A1874" i="22" a="1"/>
  <c r="A1874" i="22" s="1"/>
  <c r="B1874" i="22" a="1"/>
  <c r="B1874" i="22" s="1"/>
  <c r="C1874" i="22" a="1"/>
  <c r="C1874" i="22" s="1"/>
  <c r="A1875" i="22" a="1"/>
  <c r="A1875" i="22" s="1"/>
  <c r="B1875" i="22" a="1"/>
  <c r="B1875" i="22" s="1"/>
  <c r="C1875" i="22" a="1"/>
  <c r="C1875" i="22" s="1"/>
  <c r="A1876" i="22" a="1"/>
  <c r="A1876" i="22" s="1"/>
  <c r="B1876" i="22" a="1"/>
  <c r="B1876" i="22" s="1"/>
  <c r="C1876" i="22" a="1"/>
  <c r="C1876" i="22" s="1"/>
  <c r="A1877" i="22" a="1"/>
  <c r="A1877" i="22" s="1"/>
  <c r="B1877" i="22" a="1"/>
  <c r="B1877" i="22" s="1"/>
  <c r="C1877" i="22" a="1"/>
  <c r="C1877" i="22" s="1"/>
  <c r="A1806" i="22" a="1"/>
  <c r="A1806" i="22" s="1"/>
  <c r="B1806" i="22" a="1"/>
  <c r="B1806" i="22" s="1"/>
  <c r="C1806" i="22" a="1"/>
  <c r="C1806" i="22" s="1"/>
  <c r="A1807" i="22" a="1"/>
  <c r="A1807" i="22" s="1"/>
  <c r="B1807" i="22" a="1"/>
  <c r="B1807" i="22" s="1"/>
  <c r="C1807" i="22" a="1"/>
  <c r="C1807" i="22" s="1"/>
  <c r="A1808" i="22" a="1"/>
  <c r="A1808" i="22" s="1"/>
  <c r="B1808" i="22" a="1"/>
  <c r="B1808" i="22" s="1"/>
  <c r="C1808" i="22" a="1"/>
  <c r="C1808" i="22" s="1"/>
  <c r="A1809" i="22" a="1"/>
  <c r="A1809" i="22" s="1"/>
  <c r="B1809" i="22" a="1"/>
  <c r="B1809" i="22" s="1"/>
  <c r="C1809" i="22" a="1"/>
  <c r="C1809" i="22" s="1"/>
  <c r="A1810" i="22" a="1"/>
  <c r="A1810" i="22" s="1"/>
  <c r="B1810" i="22" a="1"/>
  <c r="B1810" i="22" s="1"/>
  <c r="C1810" i="22" a="1"/>
  <c r="C1810" i="22" s="1"/>
  <c r="A1811" i="22" a="1"/>
  <c r="A1811" i="22" s="1"/>
  <c r="B1811" i="22" a="1"/>
  <c r="B1811" i="22" s="1"/>
  <c r="C1811" i="22" a="1"/>
  <c r="C1811" i="22" s="1"/>
  <c r="A1812" i="22" a="1"/>
  <c r="A1812" i="22" s="1"/>
  <c r="B1812" i="22" a="1"/>
  <c r="B1812" i="22" s="1"/>
  <c r="C1812" i="22" a="1"/>
  <c r="C1812" i="22" s="1"/>
  <c r="A1813" i="22" a="1"/>
  <c r="A1813" i="22" s="1"/>
  <c r="B1813" i="22" a="1"/>
  <c r="B1813" i="22" s="1"/>
  <c r="C1813" i="22" a="1"/>
  <c r="C1813" i="22" s="1"/>
  <c r="A1814" i="22" a="1"/>
  <c r="A1814" i="22" s="1"/>
  <c r="B1814" i="22" a="1"/>
  <c r="B1814" i="22" s="1"/>
  <c r="C1814" i="22" a="1"/>
  <c r="C1814" i="22" s="1"/>
  <c r="A1815" i="22" a="1"/>
  <c r="A1815" i="22" s="1"/>
  <c r="B1815" i="22" a="1"/>
  <c r="B1815" i="22" s="1"/>
  <c r="C1815" i="22" a="1"/>
  <c r="C1815" i="22" s="1"/>
  <c r="A1816" i="22" a="1"/>
  <c r="A1816" i="22" s="1"/>
  <c r="B1816" i="22" a="1"/>
  <c r="B1816" i="22" s="1"/>
  <c r="C1816" i="22" a="1"/>
  <c r="C1816" i="22" s="1"/>
  <c r="A1817" i="22" a="1"/>
  <c r="A1817" i="22" s="1"/>
  <c r="B1817" i="22" a="1"/>
  <c r="B1817" i="22" s="1"/>
  <c r="C1817" i="22" a="1"/>
  <c r="C1817" i="22" s="1"/>
  <c r="A1818" i="22" a="1"/>
  <c r="A1818" i="22" s="1"/>
  <c r="B1818" i="22" a="1"/>
  <c r="B1818" i="22" s="1"/>
  <c r="C1818" i="22" a="1"/>
  <c r="C1818" i="22" s="1"/>
  <c r="A1819" i="22" a="1"/>
  <c r="A1819" i="22" s="1"/>
  <c r="B1819" i="22" a="1"/>
  <c r="B1819" i="22" s="1"/>
  <c r="C1819" i="22" a="1"/>
  <c r="C1819" i="22" s="1"/>
  <c r="A1820" i="22" a="1"/>
  <c r="A1820" i="22" s="1"/>
  <c r="B1820" i="22" a="1"/>
  <c r="B1820" i="22" s="1"/>
  <c r="C1820" i="22" a="1"/>
  <c r="C1820" i="22" s="1"/>
  <c r="A1821" i="22" a="1"/>
  <c r="A1821" i="22" s="1"/>
  <c r="B1821" i="22" a="1"/>
  <c r="B1821" i="22" s="1"/>
  <c r="C1821" i="22" a="1"/>
  <c r="C1821" i="22" s="1"/>
  <c r="A1822" i="22" a="1"/>
  <c r="A1822" i="22" s="1"/>
  <c r="B1822" i="22" a="1"/>
  <c r="B1822" i="22" s="1"/>
  <c r="C1822" i="22" a="1"/>
  <c r="C1822" i="22" s="1"/>
  <c r="A1823" i="22" a="1"/>
  <c r="A1823" i="22" s="1"/>
  <c r="B1823" i="22" a="1"/>
  <c r="B1823" i="22" s="1"/>
  <c r="C1823" i="22" a="1"/>
  <c r="C1823" i="22" s="1"/>
  <c r="A1824" i="22" a="1"/>
  <c r="A1824" i="22" s="1"/>
  <c r="B1824" i="22" a="1"/>
  <c r="B1824" i="22" s="1"/>
  <c r="C1824" i="22" a="1"/>
  <c r="C1824" i="22" s="1"/>
  <c r="A1825" i="22" a="1"/>
  <c r="A1825" i="22" s="1"/>
  <c r="B1825" i="22" a="1"/>
  <c r="B1825" i="22" s="1"/>
  <c r="C1825" i="22" a="1"/>
  <c r="C1825" i="22" s="1"/>
  <c r="A1826" i="22" a="1"/>
  <c r="A1826" i="22" s="1"/>
  <c r="B1826" i="22" a="1"/>
  <c r="B1826" i="22" s="1"/>
  <c r="C1826" i="22" a="1"/>
  <c r="C1826" i="22" s="1"/>
  <c r="A1827" i="22" a="1"/>
  <c r="A1827" i="22" s="1"/>
  <c r="B1827" i="22" a="1"/>
  <c r="B1827" i="22" s="1"/>
  <c r="C1827" i="22" a="1"/>
  <c r="C1827" i="22" s="1"/>
  <c r="A1828" i="22" a="1"/>
  <c r="A1828" i="22" s="1"/>
  <c r="B1828" i="22" a="1"/>
  <c r="B1828" i="22" s="1"/>
  <c r="C1828" i="22" a="1"/>
  <c r="C1828" i="22" s="1"/>
  <c r="A1829" i="22" a="1"/>
  <c r="A1829" i="22" s="1"/>
  <c r="B1829" i="22" a="1"/>
  <c r="B1829" i="22" s="1"/>
  <c r="C1829" i="22" a="1"/>
  <c r="C1829" i="22" s="1"/>
  <c r="A1830" i="22" a="1"/>
  <c r="A1830" i="22" s="1"/>
  <c r="B1830" i="22" a="1"/>
  <c r="B1830" i="22" s="1"/>
  <c r="C1830" i="22" a="1"/>
  <c r="C1830" i="22" s="1"/>
  <c r="A1831" i="22" a="1"/>
  <c r="A1831" i="22" s="1"/>
  <c r="B1831" i="22" a="1"/>
  <c r="B1831" i="22" s="1"/>
  <c r="C1831" i="22" a="1"/>
  <c r="C1831" i="22" s="1"/>
  <c r="A1832" i="22" a="1"/>
  <c r="A1832" i="22" s="1"/>
  <c r="B1832" i="22" a="1"/>
  <c r="B1832" i="22" s="1"/>
  <c r="C1832" i="22" a="1"/>
  <c r="C1832" i="22" s="1"/>
  <c r="A1833" i="22" a="1"/>
  <c r="A1833" i="22" s="1"/>
  <c r="B1833" i="22" a="1"/>
  <c r="B1833" i="22" s="1"/>
  <c r="C1833" i="22" a="1"/>
  <c r="C1833" i="22" s="1"/>
  <c r="A1834" i="22" a="1"/>
  <c r="A1834" i="22" s="1"/>
  <c r="B1834" i="22" a="1"/>
  <c r="B1834" i="22" s="1"/>
  <c r="C1834" i="22" a="1"/>
  <c r="C1834" i="22" s="1"/>
  <c r="A1835" i="22" a="1"/>
  <c r="A1835" i="22" s="1"/>
  <c r="B1835" i="22" a="1"/>
  <c r="B1835" i="22" s="1"/>
  <c r="C1835" i="22" a="1"/>
  <c r="C1835" i="22" s="1"/>
  <c r="A1836" i="22" a="1"/>
  <c r="A1836" i="22" s="1"/>
  <c r="B1836" i="22" a="1"/>
  <c r="B1836" i="22" s="1"/>
  <c r="C1836" i="22" a="1"/>
  <c r="C1836" i="22" s="1"/>
  <c r="A1837" i="22" a="1"/>
  <c r="A1837" i="22" s="1"/>
  <c r="B1837" i="22" a="1"/>
  <c r="B1837" i="22" s="1"/>
  <c r="C1837" i="22" a="1"/>
  <c r="C1837" i="22" s="1"/>
  <c r="A1838" i="22" a="1"/>
  <c r="A1838" i="22" s="1"/>
  <c r="B1838" i="22" a="1"/>
  <c r="B1838" i="22" s="1"/>
  <c r="C1838" i="22" a="1"/>
  <c r="C1838" i="22" s="1"/>
  <c r="A1839" i="22" a="1"/>
  <c r="A1839" i="22" s="1"/>
  <c r="B1839" i="22" a="1"/>
  <c r="B1839" i="22" s="1"/>
  <c r="C1839" i="22" a="1"/>
  <c r="C1839" i="22" s="1"/>
  <c r="A1768" i="22" a="1"/>
  <c r="A1768" i="22" s="1"/>
  <c r="B1768" i="22" a="1"/>
  <c r="B1768" i="22" s="1"/>
  <c r="C1768" i="22" a="1"/>
  <c r="C1768" i="22" s="1"/>
  <c r="A1769" i="22" a="1"/>
  <c r="A1769" i="22" s="1"/>
  <c r="B1769" i="22" a="1"/>
  <c r="B1769" i="22" s="1"/>
  <c r="C1769" i="22" a="1"/>
  <c r="C1769" i="22" s="1"/>
  <c r="A1770" i="22" a="1"/>
  <c r="A1770" i="22" s="1"/>
  <c r="B1770" i="22" a="1"/>
  <c r="B1770" i="22" s="1"/>
  <c r="C1770" i="22" a="1"/>
  <c r="C1770" i="22" s="1"/>
  <c r="A1771" i="22" a="1"/>
  <c r="A1771" i="22" s="1"/>
  <c r="B1771" i="22" a="1"/>
  <c r="B1771" i="22" s="1"/>
  <c r="C1771" i="22" a="1"/>
  <c r="C1771" i="22" s="1"/>
  <c r="A1772" i="22" a="1"/>
  <c r="A1772" i="22" s="1"/>
  <c r="B1772" i="22" a="1"/>
  <c r="B1772" i="22" s="1"/>
  <c r="C1772" i="22" a="1"/>
  <c r="C1772" i="22" s="1"/>
  <c r="A1773" i="22" a="1"/>
  <c r="A1773" i="22" s="1"/>
  <c r="B1773" i="22" a="1"/>
  <c r="B1773" i="22" s="1"/>
  <c r="C1773" i="22" a="1"/>
  <c r="C1773" i="22" s="1"/>
  <c r="A1774" i="22" a="1"/>
  <c r="A1774" i="22" s="1"/>
  <c r="B1774" i="22" a="1"/>
  <c r="B1774" i="22" s="1"/>
  <c r="C1774" i="22" a="1"/>
  <c r="C1774" i="22" s="1"/>
  <c r="A1775" i="22" a="1"/>
  <c r="A1775" i="22" s="1"/>
  <c r="B1775" i="22" a="1"/>
  <c r="B1775" i="22" s="1"/>
  <c r="C1775" i="22" a="1"/>
  <c r="C1775" i="22" s="1"/>
  <c r="A1776" i="22" a="1"/>
  <c r="A1776" i="22" s="1"/>
  <c r="B1776" i="22" a="1"/>
  <c r="B1776" i="22" s="1"/>
  <c r="C1776" i="22" a="1"/>
  <c r="C1776" i="22" s="1"/>
  <c r="A1777" i="22" a="1"/>
  <c r="A1777" i="22" s="1"/>
  <c r="B1777" i="22" a="1"/>
  <c r="B1777" i="22" s="1"/>
  <c r="C1777" i="22" a="1"/>
  <c r="C1777" i="22" s="1"/>
  <c r="A1778" i="22" a="1"/>
  <c r="A1778" i="22" s="1"/>
  <c r="B1778" i="22" a="1"/>
  <c r="B1778" i="22" s="1"/>
  <c r="C1778" i="22" a="1"/>
  <c r="C1778" i="22" s="1"/>
  <c r="A1779" i="22" a="1"/>
  <c r="A1779" i="22" s="1"/>
  <c r="B1779" i="22" a="1"/>
  <c r="B1779" i="22" s="1"/>
  <c r="C1779" i="22" a="1"/>
  <c r="C1779" i="22" s="1"/>
  <c r="A1780" i="22" a="1"/>
  <c r="A1780" i="22" s="1"/>
  <c r="B1780" i="22" a="1"/>
  <c r="B1780" i="22" s="1"/>
  <c r="C1780" i="22" a="1"/>
  <c r="C1780" i="22" s="1"/>
  <c r="A1781" i="22" a="1"/>
  <c r="A1781" i="22" s="1"/>
  <c r="B1781" i="22" a="1"/>
  <c r="B1781" i="22" s="1"/>
  <c r="C1781" i="22" a="1"/>
  <c r="C1781" i="22" s="1"/>
  <c r="A1782" i="22" a="1"/>
  <c r="A1782" i="22" s="1"/>
  <c r="B1782" i="22" a="1"/>
  <c r="B1782" i="22" s="1"/>
  <c r="C1782" i="22" a="1"/>
  <c r="C1782" i="22" s="1"/>
  <c r="A1783" i="22" a="1"/>
  <c r="A1783" i="22" s="1"/>
  <c r="B1783" i="22" a="1"/>
  <c r="B1783" i="22" s="1"/>
  <c r="C1783" i="22" a="1"/>
  <c r="C1783" i="22" s="1"/>
  <c r="A1784" i="22" a="1"/>
  <c r="A1784" i="22" s="1"/>
  <c r="B1784" i="22" a="1"/>
  <c r="B1784" i="22" s="1"/>
  <c r="C1784" i="22" a="1"/>
  <c r="C1784" i="22" s="1"/>
  <c r="A1785" i="22" a="1"/>
  <c r="A1785" i="22" s="1"/>
  <c r="B1785" i="22" a="1"/>
  <c r="B1785" i="22" s="1"/>
  <c r="C1785" i="22" a="1"/>
  <c r="C1785" i="22" s="1"/>
  <c r="A1786" i="22" a="1"/>
  <c r="A1786" i="22" s="1"/>
  <c r="B1786" i="22" a="1"/>
  <c r="B1786" i="22" s="1"/>
  <c r="C1786" i="22" a="1"/>
  <c r="C1786" i="22" s="1"/>
  <c r="A1787" i="22" a="1"/>
  <c r="A1787" i="22" s="1"/>
  <c r="B1787" i="22" a="1"/>
  <c r="B1787" i="22" s="1"/>
  <c r="C1787" i="22" a="1"/>
  <c r="C1787" i="22" s="1"/>
  <c r="A1788" i="22" a="1"/>
  <c r="A1788" i="22" s="1"/>
  <c r="B1788" i="22" a="1"/>
  <c r="B1788" i="22" s="1"/>
  <c r="C1788" i="22" a="1"/>
  <c r="C1788" i="22" s="1"/>
  <c r="A1789" i="22" a="1"/>
  <c r="A1789" i="22" s="1"/>
  <c r="B1789" i="22" a="1"/>
  <c r="B1789" i="22" s="1"/>
  <c r="C1789" i="22" a="1"/>
  <c r="C1789" i="22" s="1"/>
  <c r="A1790" i="22" a="1"/>
  <c r="A1790" i="22" s="1"/>
  <c r="B1790" i="22" a="1"/>
  <c r="B1790" i="22" s="1"/>
  <c r="C1790" i="22" a="1"/>
  <c r="C1790" i="22" s="1"/>
  <c r="A1791" i="22" a="1"/>
  <c r="A1791" i="22" s="1"/>
  <c r="B1791" i="22" a="1"/>
  <c r="B1791" i="22" s="1"/>
  <c r="C1791" i="22" a="1"/>
  <c r="C1791" i="22" s="1"/>
  <c r="A1792" i="22" a="1"/>
  <c r="A1792" i="22" s="1"/>
  <c r="B1792" i="22" a="1"/>
  <c r="B1792" i="22" s="1"/>
  <c r="C1792" i="22" a="1"/>
  <c r="C1792" i="22" s="1"/>
  <c r="A1793" i="22" a="1"/>
  <c r="A1793" i="22" s="1"/>
  <c r="B1793" i="22" a="1"/>
  <c r="B1793" i="22" s="1"/>
  <c r="C1793" i="22" a="1"/>
  <c r="C1793" i="22" s="1"/>
  <c r="A1794" i="22" a="1"/>
  <c r="A1794" i="22" s="1"/>
  <c r="B1794" i="22" a="1"/>
  <c r="B1794" i="22" s="1"/>
  <c r="C1794" i="22" a="1"/>
  <c r="C1794" i="22" s="1"/>
  <c r="A1795" i="22" a="1"/>
  <c r="A1795" i="22" s="1"/>
  <c r="B1795" i="22" a="1"/>
  <c r="B1795" i="22" s="1"/>
  <c r="C1795" i="22" a="1"/>
  <c r="C1795" i="22" s="1"/>
  <c r="A1796" i="22" a="1"/>
  <c r="A1796" i="22" s="1"/>
  <c r="B1796" i="22" a="1"/>
  <c r="B1796" i="22" s="1"/>
  <c r="C1796" i="22" a="1"/>
  <c r="C1796" i="22" s="1"/>
  <c r="A1797" i="22" a="1"/>
  <c r="A1797" i="22" s="1"/>
  <c r="B1797" i="22" a="1"/>
  <c r="B1797" i="22" s="1"/>
  <c r="C1797" i="22" a="1"/>
  <c r="C1797" i="22" s="1"/>
  <c r="A1798" i="22" a="1"/>
  <c r="A1798" i="22" s="1"/>
  <c r="B1798" i="22" a="1"/>
  <c r="B1798" i="22" s="1"/>
  <c r="C1798" i="22" a="1"/>
  <c r="C1798" i="22" s="1"/>
  <c r="A1799" i="22" a="1"/>
  <c r="A1799" i="22" s="1"/>
  <c r="B1799" i="22" a="1"/>
  <c r="B1799" i="22" s="1"/>
  <c r="C1799" i="22" a="1"/>
  <c r="C1799" i="22" s="1"/>
  <c r="A1800" i="22" a="1"/>
  <c r="A1800" i="22" s="1"/>
  <c r="B1800" i="22" a="1"/>
  <c r="B1800" i="22" s="1"/>
  <c r="C1800" i="22" a="1"/>
  <c r="C1800" i="22" s="1"/>
  <c r="A1801" i="22" a="1"/>
  <c r="A1801" i="22" s="1"/>
  <c r="B1801" i="22" a="1"/>
  <c r="B1801" i="22" s="1"/>
  <c r="C1801" i="22" a="1"/>
  <c r="C1801" i="22" s="1"/>
  <c r="A1730" i="22" a="1"/>
  <c r="A1730" i="22" s="1"/>
  <c r="B1730" i="22" a="1"/>
  <c r="B1730" i="22" s="1"/>
  <c r="C1730" i="22" a="1"/>
  <c r="C1730" i="22" s="1"/>
  <c r="A1731" i="22" a="1"/>
  <c r="A1731" i="22" s="1"/>
  <c r="B1731" i="22" a="1"/>
  <c r="B1731" i="22" s="1"/>
  <c r="C1731" i="22" a="1"/>
  <c r="C1731" i="22" s="1"/>
  <c r="A1732" i="22" a="1"/>
  <c r="A1732" i="22" s="1"/>
  <c r="B1732" i="22" a="1"/>
  <c r="B1732" i="22" s="1"/>
  <c r="C1732" i="22" a="1"/>
  <c r="C1732" i="22" s="1"/>
  <c r="A1733" i="22" a="1"/>
  <c r="A1733" i="22" s="1"/>
  <c r="B1733" i="22" a="1"/>
  <c r="B1733" i="22" s="1"/>
  <c r="C1733" i="22" a="1"/>
  <c r="C1733" i="22" s="1"/>
  <c r="A1734" i="22" a="1"/>
  <c r="A1734" i="22" s="1"/>
  <c r="B1734" i="22" a="1"/>
  <c r="B1734" i="22" s="1"/>
  <c r="C1734" i="22" a="1"/>
  <c r="C1734" i="22" s="1"/>
  <c r="A1735" i="22" a="1"/>
  <c r="A1735" i="22" s="1"/>
  <c r="B1735" i="22" a="1"/>
  <c r="B1735" i="22" s="1"/>
  <c r="C1735" i="22" a="1"/>
  <c r="C1735" i="22" s="1"/>
  <c r="A1736" i="22" a="1"/>
  <c r="A1736" i="22" s="1"/>
  <c r="B1736" i="22" a="1"/>
  <c r="B1736" i="22" s="1"/>
  <c r="C1736" i="22" a="1"/>
  <c r="C1736" i="22" s="1"/>
  <c r="A1737" i="22" a="1"/>
  <c r="A1737" i="22" s="1"/>
  <c r="B1737" i="22" a="1"/>
  <c r="B1737" i="22" s="1"/>
  <c r="C1737" i="22" a="1"/>
  <c r="C1737" i="22" s="1"/>
  <c r="A1738" i="22" a="1"/>
  <c r="A1738" i="22" s="1"/>
  <c r="B1738" i="22" a="1"/>
  <c r="B1738" i="22" s="1"/>
  <c r="C1738" i="22" a="1"/>
  <c r="C1738" i="22" s="1"/>
  <c r="A1739" i="22" a="1"/>
  <c r="A1739" i="22" s="1"/>
  <c r="B1739" i="22" a="1"/>
  <c r="B1739" i="22" s="1"/>
  <c r="C1739" i="22" a="1"/>
  <c r="C1739" i="22" s="1"/>
  <c r="A1740" i="22" a="1"/>
  <c r="A1740" i="22" s="1"/>
  <c r="B1740" i="22" a="1"/>
  <c r="B1740" i="22" s="1"/>
  <c r="C1740" i="22" a="1"/>
  <c r="C1740" i="22" s="1"/>
  <c r="A1741" i="22" a="1"/>
  <c r="A1741" i="22" s="1"/>
  <c r="B1741" i="22" a="1"/>
  <c r="B1741" i="22" s="1"/>
  <c r="C1741" i="22" a="1"/>
  <c r="C1741" i="22" s="1"/>
  <c r="A1742" i="22" a="1"/>
  <c r="A1742" i="22" s="1"/>
  <c r="B1742" i="22" a="1"/>
  <c r="B1742" i="22" s="1"/>
  <c r="C1742" i="22" a="1"/>
  <c r="C1742" i="22" s="1"/>
  <c r="A1743" i="22" a="1"/>
  <c r="A1743" i="22" s="1"/>
  <c r="B1743" i="22" a="1"/>
  <c r="B1743" i="22" s="1"/>
  <c r="C1743" i="22" a="1"/>
  <c r="C1743" i="22" s="1"/>
  <c r="A1744" i="22" a="1"/>
  <c r="A1744" i="22" s="1"/>
  <c r="B1744" i="22" a="1"/>
  <c r="B1744" i="22" s="1"/>
  <c r="C1744" i="22" a="1"/>
  <c r="C1744" i="22" s="1"/>
  <c r="A1745" i="22" a="1"/>
  <c r="A1745" i="22" s="1"/>
  <c r="B1745" i="22" a="1"/>
  <c r="B1745" i="22" s="1"/>
  <c r="C1745" i="22" a="1"/>
  <c r="C1745" i="22" s="1"/>
  <c r="A1746" i="22" a="1"/>
  <c r="A1746" i="22" s="1"/>
  <c r="B1746" i="22" a="1"/>
  <c r="B1746" i="22" s="1"/>
  <c r="C1746" i="22" a="1"/>
  <c r="C1746" i="22" s="1"/>
  <c r="A1747" i="22" a="1"/>
  <c r="A1747" i="22" s="1"/>
  <c r="B1747" i="22" a="1"/>
  <c r="B1747" i="22" s="1"/>
  <c r="C1747" i="22" a="1"/>
  <c r="C1747" i="22" s="1"/>
  <c r="A1748" i="22" a="1"/>
  <c r="A1748" i="22" s="1"/>
  <c r="B1748" i="22" a="1"/>
  <c r="B1748" i="22" s="1"/>
  <c r="C1748" i="22" a="1"/>
  <c r="C1748" i="22" s="1"/>
  <c r="A1749" i="22" a="1"/>
  <c r="A1749" i="22" s="1"/>
  <c r="B1749" i="22" a="1"/>
  <c r="B1749" i="22" s="1"/>
  <c r="C1749" i="22" a="1"/>
  <c r="C1749" i="22" s="1"/>
  <c r="A1750" i="22" a="1"/>
  <c r="A1750" i="22" s="1"/>
  <c r="B1750" i="22" a="1"/>
  <c r="B1750" i="22" s="1"/>
  <c r="C1750" i="22" a="1"/>
  <c r="C1750" i="22" s="1"/>
  <c r="A1751" i="22" a="1"/>
  <c r="A1751" i="22" s="1"/>
  <c r="B1751" i="22" a="1"/>
  <c r="B1751" i="22" s="1"/>
  <c r="C1751" i="22" a="1"/>
  <c r="C1751" i="22" s="1"/>
  <c r="A1752" i="22" a="1"/>
  <c r="A1752" i="22" s="1"/>
  <c r="B1752" i="22" a="1"/>
  <c r="B1752" i="22" s="1"/>
  <c r="C1752" i="22" a="1"/>
  <c r="C1752" i="22" s="1"/>
  <c r="A1753" i="22" a="1"/>
  <c r="A1753" i="22" s="1"/>
  <c r="B1753" i="22" a="1"/>
  <c r="B1753" i="22" s="1"/>
  <c r="C1753" i="22" a="1"/>
  <c r="C1753" i="22" s="1"/>
  <c r="A1754" i="22" a="1"/>
  <c r="A1754" i="22" s="1"/>
  <c r="B1754" i="22" a="1"/>
  <c r="B1754" i="22" s="1"/>
  <c r="C1754" i="22" a="1"/>
  <c r="C1754" i="22" s="1"/>
  <c r="A1755" i="22" a="1"/>
  <c r="A1755" i="22" s="1"/>
  <c r="B1755" i="22" a="1"/>
  <c r="B1755" i="22" s="1"/>
  <c r="C1755" i="22" a="1"/>
  <c r="C1755" i="22" s="1"/>
  <c r="A1756" i="22" a="1"/>
  <c r="A1756" i="22" s="1"/>
  <c r="B1756" i="22" a="1"/>
  <c r="B1756" i="22" s="1"/>
  <c r="C1756" i="22" a="1"/>
  <c r="C1756" i="22" s="1"/>
  <c r="A1757" i="22" a="1"/>
  <c r="A1757" i="22" s="1"/>
  <c r="B1757" i="22" a="1"/>
  <c r="B1757" i="22" s="1"/>
  <c r="C1757" i="22" a="1"/>
  <c r="C1757" i="22" s="1"/>
  <c r="A1758" i="22" a="1"/>
  <c r="A1758" i="22" s="1"/>
  <c r="B1758" i="22" a="1"/>
  <c r="B1758" i="22" s="1"/>
  <c r="C1758" i="22" a="1"/>
  <c r="C1758" i="22" s="1"/>
  <c r="A1759" i="22" a="1"/>
  <c r="A1759" i="22" s="1"/>
  <c r="B1759" i="22" a="1"/>
  <c r="B1759" i="22" s="1"/>
  <c r="C1759" i="22" a="1"/>
  <c r="C1759" i="22" s="1"/>
  <c r="A1760" i="22" a="1"/>
  <c r="A1760" i="22" s="1"/>
  <c r="B1760" i="22" a="1"/>
  <c r="B1760" i="22" s="1"/>
  <c r="C1760" i="22" a="1"/>
  <c r="C1760" i="22" s="1"/>
  <c r="A1761" i="22" a="1"/>
  <c r="A1761" i="22" s="1"/>
  <c r="B1761" i="22" a="1"/>
  <c r="B1761" i="22" s="1"/>
  <c r="C1761" i="22" a="1"/>
  <c r="C1761" i="22" s="1"/>
  <c r="A1762" i="22" a="1"/>
  <c r="A1762" i="22" s="1"/>
  <c r="B1762" i="22" a="1"/>
  <c r="B1762" i="22" s="1"/>
  <c r="C1762" i="22" a="1"/>
  <c r="C1762" i="22" s="1"/>
  <c r="A1763" i="22" a="1"/>
  <c r="A1763" i="22" s="1"/>
  <c r="B1763" i="22" a="1"/>
  <c r="B1763" i="22" s="1"/>
  <c r="C1763" i="22" a="1"/>
  <c r="C1763" i="22" s="1"/>
  <c r="A1692" i="22" a="1"/>
  <c r="A1692" i="22" s="1"/>
  <c r="B1692" i="22" a="1"/>
  <c r="B1692" i="22" s="1"/>
  <c r="C1692" i="22" a="1"/>
  <c r="C1692" i="22" s="1"/>
  <c r="A1693" i="22" a="1"/>
  <c r="A1693" i="22" s="1"/>
  <c r="B1693" i="22" a="1"/>
  <c r="B1693" i="22" s="1"/>
  <c r="C1693" i="22" a="1"/>
  <c r="C1693" i="22" s="1"/>
  <c r="A1694" i="22" a="1"/>
  <c r="A1694" i="22" s="1"/>
  <c r="B1694" i="22" a="1"/>
  <c r="B1694" i="22" s="1"/>
  <c r="C1694" i="22" a="1"/>
  <c r="C1694" i="22" s="1"/>
  <c r="A1695" i="22" a="1"/>
  <c r="A1695" i="22" s="1"/>
  <c r="B1695" i="22" a="1"/>
  <c r="B1695" i="22" s="1"/>
  <c r="C1695" i="22" a="1"/>
  <c r="C1695" i="22" s="1"/>
  <c r="A1696" i="22" a="1"/>
  <c r="A1696" i="22" s="1"/>
  <c r="B1696" i="22" a="1"/>
  <c r="B1696" i="22" s="1"/>
  <c r="C1696" i="22" a="1"/>
  <c r="C1696" i="22" s="1"/>
  <c r="A1697" i="22" a="1"/>
  <c r="A1697" i="22" s="1"/>
  <c r="B1697" i="22" a="1"/>
  <c r="B1697" i="22" s="1"/>
  <c r="C1697" i="22" a="1"/>
  <c r="C1697" i="22" s="1"/>
  <c r="A1698" i="22" a="1"/>
  <c r="A1698" i="22" s="1"/>
  <c r="B1698" i="22" a="1"/>
  <c r="B1698" i="22" s="1"/>
  <c r="C1698" i="22" a="1"/>
  <c r="C1698" i="22" s="1"/>
  <c r="A1699" i="22" a="1"/>
  <c r="A1699" i="22" s="1"/>
  <c r="B1699" i="22" a="1"/>
  <c r="B1699" i="22" s="1"/>
  <c r="C1699" i="22" a="1"/>
  <c r="C1699" i="22" s="1"/>
  <c r="A1700" i="22" a="1"/>
  <c r="A1700" i="22" s="1"/>
  <c r="B1700" i="22" a="1"/>
  <c r="B1700" i="22" s="1"/>
  <c r="C1700" i="22" a="1"/>
  <c r="C1700" i="22" s="1"/>
  <c r="A1701" i="22" a="1"/>
  <c r="A1701" i="22" s="1"/>
  <c r="B1701" i="22" a="1"/>
  <c r="B1701" i="22" s="1"/>
  <c r="C1701" i="22" a="1"/>
  <c r="C1701" i="22" s="1"/>
  <c r="A1702" i="22" a="1"/>
  <c r="A1702" i="22" s="1"/>
  <c r="B1702" i="22" a="1"/>
  <c r="B1702" i="22" s="1"/>
  <c r="C1702" i="22" a="1"/>
  <c r="C1702" i="22" s="1"/>
  <c r="A1703" i="22" a="1"/>
  <c r="A1703" i="22" s="1"/>
  <c r="B1703" i="22" a="1"/>
  <c r="B1703" i="22" s="1"/>
  <c r="C1703" i="22" a="1"/>
  <c r="C1703" i="22" s="1"/>
  <c r="A1704" i="22" a="1"/>
  <c r="A1704" i="22" s="1"/>
  <c r="B1704" i="22" a="1"/>
  <c r="B1704" i="22" s="1"/>
  <c r="C1704" i="22" a="1"/>
  <c r="C1704" i="22" s="1"/>
  <c r="A1705" i="22" a="1"/>
  <c r="A1705" i="22" s="1"/>
  <c r="B1705" i="22" a="1"/>
  <c r="B1705" i="22" s="1"/>
  <c r="C1705" i="22" a="1"/>
  <c r="C1705" i="22" s="1"/>
  <c r="A1706" i="22" a="1"/>
  <c r="A1706" i="22" s="1"/>
  <c r="B1706" i="22" a="1"/>
  <c r="B1706" i="22" s="1"/>
  <c r="C1706" i="22" a="1"/>
  <c r="C1706" i="22" s="1"/>
  <c r="A1707" i="22" a="1"/>
  <c r="A1707" i="22" s="1"/>
  <c r="B1707" i="22" a="1"/>
  <c r="B1707" i="22" s="1"/>
  <c r="C1707" i="22" a="1"/>
  <c r="C1707" i="22" s="1"/>
  <c r="A1708" i="22" a="1"/>
  <c r="A1708" i="22" s="1"/>
  <c r="B1708" i="22" a="1"/>
  <c r="B1708" i="22" s="1"/>
  <c r="C1708" i="22" a="1"/>
  <c r="C1708" i="22" s="1"/>
  <c r="A1709" i="22" a="1"/>
  <c r="A1709" i="22" s="1"/>
  <c r="B1709" i="22" a="1"/>
  <c r="B1709" i="22" s="1"/>
  <c r="C1709" i="22" a="1"/>
  <c r="C1709" i="22" s="1"/>
  <c r="A1710" i="22" a="1"/>
  <c r="A1710" i="22" s="1"/>
  <c r="B1710" i="22" a="1"/>
  <c r="B1710" i="22" s="1"/>
  <c r="C1710" i="22" a="1"/>
  <c r="C1710" i="22" s="1"/>
  <c r="A1711" i="22" a="1"/>
  <c r="A1711" i="22" s="1"/>
  <c r="B1711" i="22" a="1"/>
  <c r="B1711" i="22" s="1"/>
  <c r="C1711" i="22" a="1"/>
  <c r="C1711" i="22" s="1"/>
  <c r="A1712" i="22" a="1"/>
  <c r="A1712" i="22" s="1"/>
  <c r="B1712" i="22" a="1"/>
  <c r="B1712" i="22" s="1"/>
  <c r="C1712" i="22" a="1"/>
  <c r="C1712" i="22" s="1"/>
  <c r="A1713" i="22" a="1"/>
  <c r="A1713" i="22" s="1"/>
  <c r="B1713" i="22" a="1"/>
  <c r="B1713" i="22" s="1"/>
  <c r="C1713" i="22" a="1"/>
  <c r="C1713" i="22" s="1"/>
  <c r="A1714" i="22" a="1"/>
  <c r="A1714" i="22" s="1"/>
  <c r="B1714" i="22" a="1"/>
  <c r="B1714" i="22" s="1"/>
  <c r="C1714" i="22" a="1"/>
  <c r="C1714" i="22" s="1"/>
  <c r="A1715" i="22" a="1"/>
  <c r="A1715" i="22" s="1"/>
  <c r="B1715" i="22" a="1"/>
  <c r="B1715" i="22" s="1"/>
  <c r="C1715" i="22" a="1"/>
  <c r="C1715" i="22" s="1"/>
  <c r="A1716" i="22" a="1"/>
  <c r="A1716" i="22" s="1"/>
  <c r="B1716" i="22" a="1"/>
  <c r="B1716" i="22" s="1"/>
  <c r="C1716" i="22" a="1"/>
  <c r="C1716" i="22" s="1"/>
  <c r="A1717" i="22" a="1"/>
  <c r="A1717" i="22" s="1"/>
  <c r="B1717" i="22" a="1"/>
  <c r="B1717" i="22" s="1"/>
  <c r="C1717" i="22" a="1"/>
  <c r="C1717" i="22" s="1"/>
  <c r="A1718" i="22" a="1"/>
  <c r="A1718" i="22" s="1"/>
  <c r="B1718" i="22" a="1"/>
  <c r="B1718" i="22" s="1"/>
  <c r="C1718" i="22" a="1"/>
  <c r="C1718" i="22" s="1"/>
  <c r="A1719" i="22" a="1"/>
  <c r="A1719" i="22" s="1"/>
  <c r="B1719" i="22" a="1"/>
  <c r="B1719" i="22" s="1"/>
  <c r="C1719" i="22" a="1"/>
  <c r="C1719" i="22" s="1"/>
  <c r="A1720" i="22" a="1"/>
  <c r="A1720" i="22" s="1"/>
  <c r="B1720" i="22" a="1"/>
  <c r="B1720" i="22" s="1"/>
  <c r="C1720" i="22" a="1"/>
  <c r="C1720" i="22" s="1"/>
  <c r="A1721" i="22" a="1"/>
  <c r="A1721" i="22" s="1"/>
  <c r="B1721" i="22" a="1"/>
  <c r="B1721" i="22" s="1"/>
  <c r="C1721" i="22" a="1"/>
  <c r="C1721" i="22" s="1"/>
  <c r="A1722" i="22" a="1"/>
  <c r="A1722" i="22" s="1"/>
  <c r="B1722" i="22" a="1"/>
  <c r="B1722" i="22" s="1"/>
  <c r="C1722" i="22" a="1"/>
  <c r="C1722" i="22" s="1"/>
  <c r="A1723" i="22" a="1"/>
  <c r="A1723" i="22" s="1"/>
  <c r="B1723" i="22" a="1"/>
  <c r="B1723" i="22" s="1"/>
  <c r="C1723" i="22" a="1"/>
  <c r="C1723" i="22" s="1"/>
  <c r="A1724" i="22" a="1"/>
  <c r="A1724" i="22" s="1"/>
  <c r="B1724" i="22" a="1"/>
  <c r="B1724" i="22" s="1"/>
  <c r="C1724" i="22" a="1"/>
  <c r="C1724" i="22" s="1"/>
  <c r="A1725" i="22" a="1"/>
  <c r="A1725" i="22" s="1"/>
  <c r="B1725" i="22" a="1"/>
  <c r="B1725" i="22" s="1"/>
  <c r="C1725" i="22" a="1"/>
  <c r="C1725" i="22" s="1"/>
  <c r="A1654" i="22" a="1"/>
  <c r="A1654" i="22" s="1"/>
  <c r="B1654" i="22" a="1"/>
  <c r="B1654" i="22" s="1"/>
  <c r="C1654" i="22" a="1"/>
  <c r="C1654" i="22" s="1"/>
  <c r="A1655" i="22" a="1"/>
  <c r="A1655" i="22" s="1"/>
  <c r="B1655" i="22" a="1"/>
  <c r="B1655" i="22" s="1"/>
  <c r="C1655" i="22" a="1"/>
  <c r="C1655" i="22" s="1"/>
  <c r="A1656" i="22" a="1"/>
  <c r="A1656" i="22" s="1"/>
  <c r="B1656" i="22" a="1"/>
  <c r="B1656" i="22" s="1"/>
  <c r="C1656" i="22" a="1"/>
  <c r="C1656" i="22" s="1"/>
  <c r="A1657" i="22" a="1"/>
  <c r="A1657" i="22" s="1"/>
  <c r="B1657" i="22" a="1"/>
  <c r="B1657" i="22" s="1"/>
  <c r="C1657" i="22" a="1"/>
  <c r="C1657" i="22" s="1"/>
  <c r="A1658" i="22" a="1"/>
  <c r="A1658" i="22" s="1"/>
  <c r="B1658" i="22" a="1"/>
  <c r="B1658" i="22" s="1"/>
  <c r="C1658" i="22" a="1"/>
  <c r="C1658" i="22" s="1"/>
  <c r="A1659" i="22" a="1"/>
  <c r="A1659" i="22" s="1"/>
  <c r="B1659" i="22" a="1"/>
  <c r="B1659" i="22" s="1"/>
  <c r="C1659" i="22" a="1"/>
  <c r="C1659" i="22" s="1"/>
  <c r="A1660" i="22" a="1"/>
  <c r="A1660" i="22" s="1"/>
  <c r="B1660" i="22" a="1"/>
  <c r="B1660" i="22" s="1"/>
  <c r="C1660" i="22" a="1"/>
  <c r="C1660" i="22" s="1"/>
  <c r="A1661" i="22" a="1"/>
  <c r="A1661" i="22" s="1"/>
  <c r="B1661" i="22" a="1"/>
  <c r="B1661" i="22" s="1"/>
  <c r="C1661" i="22" a="1"/>
  <c r="C1661" i="22" s="1"/>
  <c r="A1662" i="22" a="1"/>
  <c r="A1662" i="22" s="1"/>
  <c r="B1662" i="22" a="1"/>
  <c r="B1662" i="22" s="1"/>
  <c r="C1662" i="22" a="1"/>
  <c r="C1662" i="22" s="1"/>
  <c r="A1663" i="22" a="1"/>
  <c r="A1663" i="22" s="1"/>
  <c r="B1663" i="22" a="1"/>
  <c r="B1663" i="22" s="1"/>
  <c r="C1663" i="22" a="1"/>
  <c r="C1663" i="22" s="1"/>
  <c r="A1664" i="22" a="1"/>
  <c r="A1664" i="22" s="1"/>
  <c r="B1664" i="22" a="1"/>
  <c r="B1664" i="22" s="1"/>
  <c r="C1664" i="22" a="1"/>
  <c r="C1664" i="22" s="1"/>
  <c r="A1665" i="22" a="1"/>
  <c r="A1665" i="22" s="1"/>
  <c r="B1665" i="22" a="1"/>
  <c r="B1665" i="22" s="1"/>
  <c r="C1665" i="22" a="1"/>
  <c r="C1665" i="22" s="1"/>
  <c r="A1666" i="22" a="1"/>
  <c r="A1666" i="22" s="1"/>
  <c r="B1666" i="22" a="1"/>
  <c r="B1666" i="22" s="1"/>
  <c r="C1666" i="22" a="1"/>
  <c r="C1666" i="22" s="1"/>
  <c r="A1667" i="22" a="1"/>
  <c r="A1667" i="22" s="1"/>
  <c r="B1667" i="22" a="1"/>
  <c r="B1667" i="22" s="1"/>
  <c r="C1667" i="22" a="1"/>
  <c r="C1667" i="22" s="1"/>
  <c r="A1668" i="22" a="1"/>
  <c r="A1668" i="22" s="1"/>
  <c r="B1668" i="22" a="1"/>
  <c r="B1668" i="22" s="1"/>
  <c r="C1668" i="22" a="1"/>
  <c r="C1668" i="22" s="1"/>
  <c r="A1669" i="22" a="1"/>
  <c r="A1669" i="22" s="1"/>
  <c r="B1669" i="22" a="1"/>
  <c r="B1669" i="22" s="1"/>
  <c r="C1669" i="22" a="1"/>
  <c r="C1669" i="22" s="1"/>
  <c r="A1670" i="22" a="1"/>
  <c r="A1670" i="22" s="1"/>
  <c r="B1670" i="22" a="1"/>
  <c r="B1670" i="22" s="1"/>
  <c r="C1670" i="22" a="1"/>
  <c r="C1670" i="22" s="1"/>
  <c r="A1671" i="22" a="1"/>
  <c r="A1671" i="22" s="1"/>
  <c r="B1671" i="22" a="1"/>
  <c r="B1671" i="22" s="1"/>
  <c r="C1671" i="22" a="1"/>
  <c r="C1671" i="22" s="1"/>
  <c r="A1672" i="22" a="1"/>
  <c r="A1672" i="22" s="1"/>
  <c r="B1672" i="22" a="1"/>
  <c r="B1672" i="22" s="1"/>
  <c r="C1672" i="22" a="1"/>
  <c r="C1672" i="22" s="1"/>
  <c r="A1673" i="22" a="1"/>
  <c r="A1673" i="22" s="1"/>
  <c r="B1673" i="22" a="1"/>
  <c r="B1673" i="22" s="1"/>
  <c r="C1673" i="22" a="1"/>
  <c r="C1673" i="22" s="1"/>
  <c r="A1674" i="22" a="1"/>
  <c r="A1674" i="22" s="1"/>
  <c r="B1674" i="22" a="1"/>
  <c r="B1674" i="22" s="1"/>
  <c r="C1674" i="22" a="1"/>
  <c r="C1674" i="22" s="1"/>
  <c r="A1675" i="22" a="1"/>
  <c r="A1675" i="22" s="1"/>
  <c r="B1675" i="22" a="1"/>
  <c r="B1675" i="22" s="1"/>
  <c r="C1675" i="22" a="1"/>
  <c r="C1675" i="22" s="1"/>
  <c r="A1676" i="22" a="1"/>
  <c r="A1676" i="22" s="1"/>
  <c r="B1676" i="22" a="1"/>
  <c r="B1676" i="22" s="1"/>
  <c r="C1676" i="22" a="1"/>
  <c r="C1676" i="22" s="1"/>
  <c r="A1677" i="22" a="1"/>
  <c r="A1677" i="22" s="1"/>
  <c r="B1677" i="22" a="1"/>
  <c r="B1677" i="22" s="1"/>
  <c r="C1677" i="22" a="1"/>
  <c r="C1677" i="22" s="1"/>
  <c r="A1678" i="22" a="1"/>
  <c r="A1678" i="22" s="1"/>
  <c r="B1678" i="22" a="1"/>
  <c r="B1678" i="22" s="1"/>
  <c r="C1678" i="22" a="1"/>
  <c r="C1678" i="22" s="1"/>
  <c r="A1679" i="22" a="1"/>
  <c r="A1679" i="22" s="1"/>
  <c r="B1679" i="22" a="1"/>
  <c r="B1679" i="22" s="1"/>
  <c r="C1679" i="22" a="1"/>
  <c r="C1679" i="22" s="1"/>
  <c r="A1680" i="22" a="1"/>
  <c r="A1680" i="22" s="1"/>
  <c r="B1680" i="22" a="1"/>
  <c r="B1680" i="22" s="1"/>
  <c r="C1680" i="22" a="1"/>
  <c r="C1680" i="22" s="1"/>
  <c r="A1681" i="22" a="1"/>
  <c r="A1681" i="22" s="1"/>
  <c r="B1681" i="22" a="1"/>
  <c r="B1681" i="22" s="1"/>
  <c r="C1681" i="22" a="1"/>
  <c r="C1681" i="22" s="1"/>
  <c r="A1682" i="22" a="1"/>
  <c r="A1682" i="22" s="1"/>
  <c r="B1682" i="22" a="1"/>
  <c r="B1682" i="22" s="1"/>
  <c r="C1682" i="22" a="1"/>
  <c r="C1682" i="22" s="1"/>
  <c r="A1683" i="22" a="1"/>
  <c r="A1683" i="22" s="1"/>
  <c r="B1683" i="22" a="1"/>
  <c r="B1683" i="22" s="1"/>
  <c r="C1683" i="22" a="1"/>
  <c r="C1683" i="22" s="1"/>
  <c r="A1684" i="22" a="1"/>
  <c r="A1684" i="22" s="1"/>
  <c r="B1684" i="22" a="1"/>
  <c r="B1684" i="22" s="1"/>
  <c r="C1684" i="22" a="1"/>
  <c r="C1684" i="22" s="1"/>
  <c r="A1685" i="22" a="1"/>
  <c r="A1685" i="22" s="1"/>
  <c r="B1685" i="22" a="1"/>
  <c r="B1685" i="22" s="1"/>
  <c r="C1685" i="22" a="1"/>
  <c r="C1685" i="22" s="1"/>
  <c r="A1686" i="22" a="1"/>
  <c r="A1686" i="22" s="1"/>
  <c r="B1686" i="22" a="1"/>
  <c r="B1686" i="22" s="1"/>
  <c r="C1686" i="22" a="1"/>
  <c r="C1686" i="22" s="1"/>
  <c r="A1687" i="22" a="1"/>
  <c r="A1687" i="22" s="1"/>
  <c r="B1687" i="22" a="1"/>
  <c r="B1687" i="22" s="1"/>
  <c r="C1687" i="22" a="1"/>
  <c r="C1687" i="22" s="1"/>
  <c r="A1616" i="22" a="1"/>
  <c r="A1616" i="22" s="1"/>
  <c r="B1616" i="22" a="1"/>
  <c r="B1616" i="22" s="1"/>
  <c r="C1616" i="22" a="1"/>
  <c r="C1616" i="22" s="1"/>
  <c r="A1617" i="22" a="1"/>
  <c r="A1617" i="22" s="1"/>
  <c r="B1617" i="22" a="1"/>
  <c r="B1617" i="22" s="1"/>
  <c r="C1617" i="22" a="1"/>
  <c r="C1617" i="22" s="1"/>
  <c r="A1618" i="22" a="1"/>
  <c r="A1618" i="22" s="1"/>
  <c r="B1618" i="22" a="1"/>
  <c r="B1618" i="22" s="1"/>
  <c r="C1618" i="22" a="1"/>
  <c r="C1618" i="22" s="1"/>
  <c r="A1619" i="22" a="1"/>
  <c r="A1619" i="22" s="1"/>
  <c r="B1619" i="22" a="1"/>
  <c r="B1619" i="22" s="1"/>
  <c r="C1619" i="22" a="1"/>
  <c r="C1619" i="22" s="1"/>
  <c r="A1620" i="22" a="1"/>
  <c r="A1620" i="22" s="1"/>
  <c r="B1620" i="22" a="1"/>
  <c r="B1620" i="22" s="1"/>
  <c r="C1620" i="22" a="1"/>
  <c r="C1620" i="22" s="1"/>
  <c r="A1621" i="22" a="1"/>
  <c r="A1621" i="22" s="1"/>
  <c r="B1621" i="22" a="1"/>
  <c r="B1621" i="22" s="1"/>
  <c r="C1621" i="22" a="1"/>
  <c r="C1621" i="22" s="1"/>
  <c r="A1622" i="22" a="1"/>
  <c r="A1622" i="22" s="1"/>
  <c r="B1622" i="22" a="1"/>
  <c r="B1622" i="22" s="1"/>
  <c r="C1622" i="22" a="1"/>
  <c r="C1622" i="22" s="1"/>
  <c r="A1623" i="22" a="1"/>
  <c r="A1623" i="22" s="1"/>
  <c r="B1623" i="22" a="1"/>
  <c r="B1623" i="22" s="1"/>
  <c r="C1623" i="22" a="1"/>
  <c r="C1623" i="22" s="1"/>
  <c r="A1624" i="22" a="1"/>
  <c r="A1624" i="22" s="1"/>
  <c r="B1624" i="22" a="1"/>
  <c r="B1624" i="22" s="1"/>
  <c r="C1624" i="22" a="1"/>
  <c r="C1624" i="22" s="1"/>
  <c r="A1625" i="22" a="1"/>
  <c r="A1625" i="22" s="1"/>
  <c r="B1625" i="22" a="1"/>
  <c r="B1625" i="22" s="1"/>
  <c r="C1625" i="22" a="1"/>
  <c r="C1625" i="22" s="1"/>
  <c r="A1626" i="22" a="1"/>
  <c r="A1626" i="22" s="1"/>
  <c r="B1626" i="22" a="1"/>
  <c r="B1626" i="22" s="1"/>
  <c r="C1626" i="22" a="1"/>
  <c r="C1626" i="22" s="1"/>
  <c r="A1627" i="22" a="1"/>
  <c r="A1627" i="22" s="1"/>
  <c r="B1627" i="22" a="1"/>
  <c r="B1627" i="22" s="1"/>
  <c r="C1627" i="22" a="1"/>
  <c r="C1627" i="22" s="1"/>
  <c r="A1628" i="22" a="1"/>
  <c r="A1628" i="22" s="1"/>
  <c r="B1628" i="22" a="1"/>
  <c r="B1628" i="22" s="1"/>
  <c r="C1628" i="22" a="1"/>
  <c r="C1628" i="22" s="1"/>
  <c r="A1629" i="22" a="1"/>
  <c r="A1629" i="22" s="1"/>
  <c r="B1629" i="22" a="1"/>
  <c r="B1629" i="22" s="1"/>
  <c r="C1629" i="22" a="1"/>
  <c r="C1629" i="22" s="1"/>
  <c r="A1630" i="22" a="1"/>
  <c r="A1630" i="22" s="1"/>
  <c r="B1630" i="22" a="1"/>
  <c r="B1630" i="22" s="1"/>
  <c r="C1630" i="22" a="1"/>
  <c r="C1630" i="22" s="1"/>
  <c r="A1631" i="22" a="1"/>
  <c r="A1631" i="22" s="1"/>
  <c r="B1631" i="22" a="1"/>
  <c r="B1631" i="22" s="1"/>
  <c r="C1631" i="22" a="1"/>
  <c r="C1631" i="22" s="1"/>
  <c r="A1632" i="22" a="1"/>
  <c r="A1632" i="22" s="1"/>
  <c r="B1632" i="22" a="1"/>
  <c r="B1632" i="22" s="1"/>
  <c r="C1632" i="22" a="1"/>
  <c r="C1632" i="22" s="1"/>
  <c r="A1633" i="22" a="1"/>
  <c r="A1633" i="22" s="1"/>
  <c r="B1633" i="22" a="1"/>
  <c r="B1633" i="22" s="1"/>
  <c r="C1633" i="22" a="1"/>
  <c r="C1633" i="22" s="1"/>
  <c r="A1634" i="22" a="1"/>
  <c r="A1634" i="22" s="1"/>
  <c r="B1634" i="22" a="1"/>
  <c r="B1634" i="22" s="1"/>
  <c r="C1634" i="22" a="1"/>
  <c r="C1634" i="22" s="1"/>
  <c r="A1635" i="22" a="1"/>
  <c r="A1635" i="22" s="1"/>
  <c r="B1635" i="22" a="1"/>
  <c r="B1635" i="22" s="1"/>
  <c r="C1635" i="22" a="1"/>
  <c r="C1635" i="22" s="1"/>
  <c r="A1636" i="22" a="1"/>
  <c r="A1636" i="22" s="1"/>
  <c r="B1636" i="22" a="1"/>
  <c r="B1636" i="22" s="1"/>
  <c r="C1636" i="22" a="1"/>
  <c r="C1636" i="22" s="1"/>
  <c r="A1637" i="22" a="1"/>
  <c r="A1637" i="22" s="1"/>
  <c r="B1637" i="22" a="1"/>
  <c r="B1637" i="22" s="1"/>
  <c r="C1637" i="22" a="1"/>
  <c r="C1637" i="22" s="1"/>
  <c r="A1638" i="22" a="1"/>
  <c r="A1638" i="22" s="1"/>
  <c r="B1638" i="22" a="1"/>
  <c r="B1638" i="22" s="1"/>
  <c r="C1638" i="22" a="1"/>
  <c r="C1638" i="22" s="1"/>
  <c r="A1639" i="22" a="1"/>
  <c r="A1639" i="22" s="1"/>
  <c r="B1639" i="22" a="1"/>
  <c r="B1639" i="22" s="1"/>
  <c r="C1639" i="22" a="1"/>
  <c r="C1639" i="22" s="1"/>
  <c r="A1640" i="22" a="1"/>
  <c r="A1640" i="22" s="1"/>
  <c r="B1640" i="22" a="1"/>
  <c r="B1640" i="22" s="1"/>
  <c r="C1640" i="22" a="1"/>
  <c r="C1640" i="22" s="1"/>
  <c r="A1641" i="22" a="1"/>
  <c r="A1641" i="22" s="1"/>
  <c r="B1641" i="22" a="1"/>
  <c r="B1641" i="22" s="1"/>
  <c r="C1641" i="22" a="1"/>
  <c r="C1641" i="22" s="1"/>
  <c r="A1642" i="22" a="1"/>
  <c r="A1642" i="22" s="1"/>
  <c r="B1642" i="22" a="1"/>
  <c r="B1642" i="22" s="1"/>
  <c r="C1642" i="22" a="1"/>
  <c r="C1642" i="22" s="1"/>
  <c r="A1643" i="22" a="1"/>
  <c r="A1643" i="22" s="1"/>
  <c r="B1643" i="22" a="1"/>
  <c r="B1643" i="22" s="1"/>
  <c r="C1643" i="22" a="1"/>
  <c r="C1643" i="22" s="1"/>
  <c r="A1644" i="22" a="1"/>
  <c r="A1644" i="22" s="1"/>
  <c r="B1644" i="22" a="1"/>
  <c r="B1644" i="22" s="1"/>
  <c r="C1644" i="22" a="1"/>
  <c r="C1644" i="22" s="1"/>
  <c r="A1645" i="22" a="1"/>
  <c r="A1645" i="22" s="1"/>
  <c r="B1645" i="22" a="1"/>
  <c r="B1645" i="22" s="1"/>
  <c r="C1645" i="22" a="1"/>
  <c r="C1645" i="22" s="1"/>
  <c r="A1646" i="22" a="1"/>
  <c r="A1646" i="22" s="1"/>
  <c r="B1646" i="22" a="1"/>
  <c r="B1646" i="22" s="1"/>
  <c r="C1646" i="22" a="1"/>
  <c r="C1646" i="22" s="1"/>
  <c r="A1647" i="22" a="1"/>
  <c r="A1647" i="22" s="1"/>
  <c r="B1647" i="22" a="1"/>
  <c r="B1647" i="22" s="1"/>
  <c r="C1647" i="22" a="1"/>
  <c r="C1647" i="22" s="1"/>
  <c r="A1648" i="22" a="1"/>
  <c r="A1648" i="22" s="1"/>
  <c r="B1648" i="22" a="1"/>
  <c r="B1648" i="22" s="1"/>
  <c r="C1648" i="22" a="1"/>
  <c r="C1648" i="22" s="1"/>
  <c r="A1649" i="22" a="1"/>
  <c r="A1649" i="22" s="1"/>
  <c r="B1649" i="22" a="1"/>
  <c r="B1649" i="22" s="1"/>
  <c r="C1649" i="22" a="1"/>
  <c r="C1649" i="22" s="1"/>
  <c r="A1578" i="22" a="1"/>
  <c r="A1578" i="22" s="1"/>
  <c r="B1578" i="22" a="1"/>
  <c r="B1578" i="22" s="1"/>
  <c r="C1578" i="22" a="1"/>
  <c r="C1578" i="22" s="1"/>
  <c r="A1579" i="22" a="1"/>
  <c r="A1579" i="22" s="1"/>
  <c r="B1579" i="22" a="1"/>
  <c r="B1579" i="22" s="1"/>
  <c r="C1579" i="22" a="1"/>
  <c r="C1579" i="22" s="1"/>
  <c r="A1580" i="22" a="1"/>
  <c r="A1580" i="22" s="1"/>
  <c r="B1580" i="22" a="1"/>
  <c r="B1580" i="22" s="1"/>
  <c r="C1580" i="22" a="1"/>
  <c r="C1580" i="22" s="1"/>
  <c r="A1581" i="22" a="1"/>
  <c r="A1581" i="22" s="1"/>
  <c r="B1581" i="22" a="1"/>
  <c r="B1581" i="22" s="1"/>
  <c r="C1581" i="22" a="1"/>
  <c r="C1581" i="22" s="1"/>
  <c r="A1582" i="22" a="1"/>
  <c r="A1582" i="22" s="1"/>
  <c r="B1582" i="22" a="1"/>
  <c r="B1582" i="22" s="1"/>
  <c r="C1582" i="22" a="1"/>
  <c r="C1582" i="22" s="1"/>
  <c r="A1583" i="22" a="1"/>
  <c r="A1583" i="22" s="1"/>
  <c r="B1583" i="22" a="1"/>
  <c r="B1583" i="22" s="1"/>
  <c r="C1583" i="22" a="1"/>
  <c r="C1583" i="22" s="1"/>
  <c r="A1584" i="22" a="1"/>
  <c r="A1584" i="22" s="1"/>
  <c r="B1584" i="22" a="1"/>
  <c r="B1584" i="22" s="1"/>
  <c r="C1584" i="22" a="1"/>
  <c r="C1584" i="22" s="1"/>
  <c r="A1585" i="22" a="1"/>
  <c r="A1585" i="22" s="1"/>
  <c r="B1585" i="22" a="1"/>
  <c r="B1585" i="22" s="1"/>
  <c r="C1585" i="22" a="1"/>
  <c r="C1585" i="22" s="1"/>
  <c r="A1586" i="22" a="1"/>
  <c r="A1586" i="22" s="1"/>
  <c r="B1586" i="22" a="1"/>
  <c r="B1586" i="22" s="1"/>
  <c r="C1586" i="22" a="1"/>
  <c r="C1586" i="22" s="1"/>
  <c r="A1587" i="22" a="1"/>
  <c r="A1587" i="22" s="1"/>
  <c r="B1587" i="22" a="1"/>
  <c r="B1587" i="22" s="1"/>
  <c r="C1587" i="22" a="1"/>
  <c r="C1587" i="22" s="1"/>
  <c r="A1588" i="22" a="1"/>
  <c r="A1588" i="22" s="1"/>
  <c r="B1588" i="22" a="1"/>
  <c r="B1588" i="22" s="1"/>
  <c r="C1588" i="22" a="1"/>
  <c r="C1588" i="22" s="1"/>
  <c r="A1589" i="22" a="1"/>
  <c r="A1589" i="22" s="1"/>
  <c r="B1589" i="22" a="1"/>
  <c r="B1589" i="22" s="1"/>
  <c r="C1589" i="22" a="1"/>
  <c r="C1589" i="22" s="1"/>
  <c r="A1590" i="22" a="1"/>
  <c r="A1590" i="22" s="1"/>
  <c r="B1590" i="22" a="1"/>
  <c r="B1590" i="22" s="1"/>
  <c r="C1590" i="22" a="1"/>
  <c r="C1590" i="22" s="1"/>
  <c r="A1591" i="22" a="1"/>
  <c r="A1591" i="22" s="1"/>
  <c r="B1591" i="22" a="1"/>
  <c r="B1591" i="22" s="1"/>
  <c r="C1591" i="22" a="1"/>
  <c r="C1591" i="22" s="1"/>
  <c r="A1592" i="22" a="1"/>
  <c r="A1592" i="22" s="1"/>
  <c r="B1592" i="22" a="1"/>
  <c r="B1592" i="22" s="1"/>
  <c r="C1592" i="22" a="1"/>
  <c r="C1592" i="22" s="1"/>
  <c r="A1593" i="22" a="1"/>
  <c r="A1593" i="22" s="1"/>
  <c r="B1593" i="22" a="1"/>
  <c r="B1593" i="22" s="1"/>
  <c r="C1593" i="22" a="1"/>
  <c r="C1593" i="22" s="1"/>
  <c r="A1594" i="22" a="1"/>
  <c r="A1594" i="22" s="1"/>
  <c r="B1594" i="22" a="1"/>
  <c r="B1594" i="22" s="1"/>
  <c r="C1594" i="22" a="1"/>
  <c r="C1594" i="22" s="1"/>
  <c r="A1595" i="22" a="1"/>
  <c r="A1595" i="22" s="1"/>
  <c r="B1595" i="22" a="1"/>
  <c r="B1595" i="22" s="1"/>
  <c r="C1595" i="22" a="1"/>
  <c r="C1595" i="22" s="1"/>
  <c r="A1596" i="22" a="1"/>
  <c r="A1596" i="22" s="1"/>
  <c r="B1596" i="22" a="1"/>
  <c r="B1596" i="22" s="1"/>
  <c r="C1596" i="22" a="1"/>
  <c r="C1596" i="22" s="1"/>
  <c r="A1597" i="22" a="1"/>
  <c r="A1597" i="22" s="1"/>
  <c r="B1597" i="22" a="1"/>
  <c r="B1597" i="22" s="1"/>
  <c r="C1597" i="22" a="1"/>
  <c r="C1597" i="22" s="1"/>
  <c r="A1598" i="22" a="1"/>
  <c r="A1598" i="22" s="1"/>
  <c r="B1598" i="22" a="1"/>
  <c r="B1598" i="22" s="1"/>
  <c r="C1598" i="22" a="1"/>
  <c r="C1598" i="22" s="1"/>
  <c r="A1599" i="22" a="1"/>
  <c r="A1599" i="22" s="1"/>
  <c r="B1599" i="22" a="1"/>
  <c r="B1599" i="22" s="1"/>
  <c r="C1599" i="22" a="1"/>
  <c r="C1599" i="22" s="1"/>
  <c r="A1600" i="22" a="1"/>
  <c r="A1600" i="22" s="1"/>
  <c r="B1600" i="22" a="1"/>
  <c r="B1600" i="22" s="1"/>
  <c r="C1600" i="22" a="1"/>
  <c r="C1600" i="22" s="1"/>
  <c r="A1601" i="22" a="1"/>
  <c r="A1601" i="22" s="1"/>
  <c r="B1601" i="22" a="1"/>
  <c r="B1601" i="22" s="1"/>
  <c r="C1601" i="22" a="1"/>
  <c r="C1601" i="22" s="1"/>
  <c r="A1602" i="22" a="1"/>
  <c r="A1602" i="22" s="1"/>
  <c r="B1602" i="22" a="1"/>
  <c r="B1602" i="22" s="1"/>
  <c r="C1602" i="22" a="1"/>
  <c r="C1602" i="22" s="1"/>
  <c r="A1603" i="22" a="1"/>
  <c r="A1603" i="22" s="1"/>
  <c r="B1603" i="22" a="1"/>
  <c r="B1603" i="22" s="1"/>
  <c r="C1603" i="22" a="1"/>
  <c r="C1603" i="22" s="1"/>
  <c r="A1604" i="22" a="1"/>
  <c r="A1604" i="22" s="1"/>
  <c r="B1604" i="22" a="1"/>
  <c r="B1604" i="22" s="1"/>
  <c r="C1604" i="22" a="1"/>
  <c r="C1604" i="22" s="1"/>
  <c r="A1605" i="22" a="1"/>
  <c r="A1605" i="22" s="1"/>
  <c r="B1605" i="22" a="1"/>
  <c r="B1605" i="22" s="1"/>
  <c r="C1605" i="22" a="1"/>
  <c r="C1605" i="22" s="1"/>
  <c r="A1606" i="22" a="1"/>
  <c r="A1606" i="22" s="1"/>
  <c r="B1606" i="22" a="1"/>
  <c r="B1606" i="22" s="1"/>
  <c r="C1606" i="22" a="1"/>
  <c r="C1606" i="22" s="1"/>
  <c r="A1607" i="22" a="1"/>
  <c r="A1607" i="22" s="1"/>
  <c r="B1607" i="22" a="1"/>
  <c r="B1607" i="22" s="1"/>
  <c r="C1607" i="22" a="1"/>
  <c r="C1607" i="22" s="1"/>
  <c r="A1608" i="22" a="1"/>
  <c r="A1608" i="22" s="1"/>
  <c r="B1608" i="22" a="1"/>
  <c r="B1608" i="22" s="1"/>
  <c r="C1608" i="22" a="1"/>
  <c r="C1608" i="22" s="1"/>
  <c r="A1609" i="22" a="1"/>
  <c r="A1609" i="22" s="1"/>
  <c r="B1609" i="22" a="1"/>
  <c r="B1609" i="22" s="1"/>
  <c r="C1609" i="22" a="1"/>
  <c r="C1609" i="22" s="1"/>
  <c r="A1610" i="22" a="1"/>
  <c r="A1610" i="22" s="1"/>
  <c r="B1610" i="22" a="1"/>
  <c r="B1610" i="22" s="1"/>
  <c r="C1610" i="22" a="1"/>
  <c r="C1610" i="22" s="1"/>
  <c r="A1611" i="22" a="1"/>
  <c r="A1611" i="22" s="1"/>
  <c r="B1611" i="22" a="1"/>
  <c r="B1611" i="22" s="1"/>
  <c r="C1611" i="22" a="1"/>
  <c r="C1611" i="22" s="1"/>
  <c r="A1540" i="22" a="1"/>
  <c r="A1540" i="22" s="1"/>
  <c r="B1540" i="22" a="1"/>
  <c r="B1540" i="22" s="1"/>
  <c r="C1540" i="22" a="1"/>
  <c r="C1540" i="22" s="1"/>
  <c r="A1541" i="22" a="1"/>
  <c r="A1541" i="22" s="1"/>
  <c r="B1541" i="22" a="1"/>
  <c r="B1541" i="22" s="1"/>
  <c r="C1541" i="22" a="1"/>
  <c r="C1541" i="22" s="1"/>
  <c r="A1542" i="22" a="1"/>
  <c r="A1542" i="22" s="1"/>
  <c r="B1542" i="22" a="1"/>
  <c r="B1542" i="22" s="1"/>
  <c r="C1542" i="22" a="1"/>
  <c r="C1542" i="22" s="1"/>
  <c r="A1543" i="22" a="1"/>
  <c r="A1543" i="22" s="1"/>
  <c r="B1543" i="22" a="1"/>
  <c r="B1543" i="22" s="1"/>
  <c r="C1543" i="22" a="1"/>
  <c r="C1543" i="22" s="1"/>
  <c r="A1544" i="22" a="1"/>
  <c r="A1544" i="22" s="1"/>
  <c r="B1544" i="22" a="1"/>
  <c r="B1544" i="22" s="1"/>
  <c r="C1544" i="22" a="1"/>
  <c r="C1544" i="22" s="1"/>
  <c r="A1545" i="22" a="1"/>
  <c r="A1545" i="22" s="1"/>
  <c r="B1545" i="22" a="1"/>
  <c r="B1545" i="22" s="1"/>
  <c r="C1545" i="22" a="1"/>
  <c r="C1545" i="22" s="1"/>
  <c r="A1546" i="22" a="1"/>
  <c r="A1546" i="22" s="1"/>
  <c r="B1546" i="22" a="1"/>
  <c r="B1546" i="22" s="1"/>
  <c r="C1546" i="22" a="1"/>
  <c r="C1546" i="22" s="1"/>
  <c r="A1547" i="22" a="1"/>
  <c r="A1547" i="22" s="1"/>
  <c r="B1547" i="22" a="1"/>
  <c r="B1547" i="22" s="1"/>
  <c r="C1547" i="22" a="1"/>
  <c r="C1547" i="22" s="1"/>
  <c r="A1548" i="22" a="1"/>
  <c r="A1548" i="22" s="1"/>
  <c r="B1548" i="22" a="1"/>
  <c r="B1548" i="22" s="1"/>
  <c r="C1548" i="22" a="1"/>
  <c r="C1548" i="22" s="1"/>
  <c r="A1549" i="22" a="1"/>
  <c r="A1549" i="22" s="1"/>
  <c r="B1549" i="22" a="1"/>
  <c r="B1549" i="22" s="1"/>
  <c r="C1549" i="22" a="1"/>
  <c r="C1549" i="22" s="1"/>
  <c r="A1550" i="22" a="1"/>
  <c r="A1550" i="22" s="1"/>
  <c r="B1550" i="22" a="1"/>
  <c r="B1550" i="22" s="1"/>
  <c r="C1550" i="22" a="1"/>
  <c r="C1550" i="22" s="1"/>
  <c r="A1551" i="22" a="1"/>
  <c r="A1551" i="22" s="1"/>
  <c r="B1551" i="22" a="1"/>
  <c r="B1551" i="22" s="1"/>
  <c r="C1551" i="22" a="1"/>
  <c r="C1551" i="22" s="1"/>
  <c r="A1552" i="22" a="1"/>
  <c r="A1552" i="22" s="1"/>
  <c r="B1552" i="22" a="1"/>
  <c r="B1552" i="22" s="1"/>
  <c r="C1552" i="22" a="1"/>
  <c r="C1552" i="22" s="1"/>
  <c r="A1553" i="22" a="1"/>
  <c r="A1553" i="22" s="1"/>
  <c r="B1553" i="22" a="1"/>
  <c r="B1553" i="22" s="1"/>
  <c r="C1553" i="22" a="1"/>
  <c r="C1553" i="22" s="1"/>
  <c r="A1554" i="22" a="1"/>
  <c r="A1554" i="22" s="1"/>
  <c r="B1554" i="22" a="1"/>
  <c r="B1554" i="22" s="1"/>
  <c r="C1554" i="22" a="1"/>
  <c r="C1554" i="22" s="1"/>
  <c r="A1555" i="22" a="1"/>
  <c r="A1555" i="22" s="1"/>
  <c r="B1555" i="22" a="1"/>
  <c r="B1555" i="22" s="1"/>
  <c r="C1555" i="22" a="1"/>
  <c r="C1555" i="22" s="1"/>
  <c r="A1556" i="22" a="1"/>
  <c r="A1556" i="22" s="1"/>
  <c r="B1556" i="22" a="1"/>
  <c r="B1556" i="22" s="1"/>
  <c r="C1556" i="22" a="1"/>
  <c r="C1556" i="22" s="1"/>
  <c r="A1557" i="22" a="1"/>
  <c r="A1557" i="22" s="1"/>
  <c r="B1557" i="22" a="1"/>
  <c r="B1557" i="22" s="1"/>
  <c r="C1557" i="22" a="1"/>
  <c r="C1557" i="22" s="1"/>
  <c r="A1558" i="22" a="1"/>
  <c r="A1558" i="22" s="1"/>
  <c r="B1558" i="22" a="1"/>
  <c r="B1558" i="22" s="1"/>
  <c r="C1558" i="22" a="1"/>
  <c r="C1558" i="22" s="1"/>
  <c r="A1559" i="22" a="1"/>
  <c r="A1559" i="22" s="1"/>
  <c r="B1559" i="22" a="1"/>
  <c r="B1559" i="22" s="1"/>
  <c r="C1559" i="22" a="1"/>
  <c r="C1559" i="22" s="1"/>
  <c r="A1560" i="22" a="1"/>
  <c r="A1560" i="22" s="1"/>
  <c r="B1560" i="22" a="1"/>
  <c r="B1560" i="22" s="1"/>
  <c r="C1560" i="22" a="1"/>
  <c r="C1560" i="22" s="1"/>
  <c r="A1561" i="22" a="1"/>
  <c r="A1561" i="22" s="1"/>
  <c r="B1561" i="22" a="1"/>
  <c r="B1561" i="22" s="1"/>
  <c r="C1561" i="22" a="1"/>
  <c r="C1561" i="22" s="1"/>
  <c r="A1562" i="22" a="1"/>
  <c r="A1562" i="22" s="1"/>
  <c r="B1562" i="22" a="1"/>
  <c r="B1562" i="22" s="1"/>
  <c r="C1562" i="22" a="1"/>
  <c r="C1562" i="22" s="1"/>
  <c r="A1563" i="22" a="1"/>
  <c r="A1563" i="22" s="1"/>
  <c r="B1563" i="22" a="1"/>
  <c r="B1563" i="22" s="1"/>
  <c r="C1563" i="22" a="1"/>
  <c r="C1563" i="22" s="1"/>
  <c r="A1564" i="22" a="1"/>
  <c r="A1564" i="22" s="1"/>
  <c r="B1564" i="22" a="1"/>
  <c r="B1564" i="22" s="1"/>
  <c r="C1564" i="22" a="1"/>
  <c r="C1564" i="22" s="1"/>
  <c r="A1565" i="22" a="1"/>
  <c r="A1565" i="22" s="1"/>
  <c r="B1565" i="22" a="1"/>
  <c r="B1565" i="22" s="1"/>
  <c r="C1565" i="22" a="1"/>
  <c r="C1565" i="22" s="1"/>
  <c r="A1566" i="22" a="1"/>
  <c r="A1566" i="22" s="1"/>
  <c r="B1566" i="22" a="1"/>
  <c r="B1566" i="22" s="1"/>
  <c r="C1566" i="22" a="1"/>
  <c r="C1566" i="22" s="1"/>
  <c r="A1567" i="22" a="1"/>
  <c r="A1567" i="22" s="1"/>
  <c r="B1567" i="22" a="1"/>
  <c r="B1567" i="22" s="1"/>
  <c r="C1567" i="22" a="1"/>
  <c r="C1567" i="22" s="1"/>
  <c r="A1568" i="22" a="1"/>
  <c r="A1568" i="22" s="1"/>
  <c r="B1568" i="22" a="1"/>
  <c r="B1568" i="22" s="1"/>
  <c r="C1568" i="22" a="1"/>
  <c r="C1568" i="22" s="1"/>
  <c r="A1569" i="22" a="1"/>
  <c r="A1569" i="22" s="1"/>
  <c r="B1569" i="22" a="1"/>
  <c r="B1569" i="22" s="1"/>
  <c r="C1569" i="22" a="1"/>
  <c r="C1569" i="22" s="1"/>
  <c r="A1570" i="22" a="1"/>
  <c r="A1570" i="22" s="1"/>
  <c r="B1570" i="22" a="1"/>
  <c r="B1570" i="22" s="1"/>
  <c r="C1570" i="22" a="1"/>
  <c r="C1570" i="22" s="1"/>
  <c r="A1571" i="22" a="1"/>
  <c r="A1571" i="22" s="1"/>
  <c r="B1571" i="22" a="1"/>
  <c r="B1571" i="22" s="1"/>
  <c r="C1571" i="22" a="1"/>
  <c r="C1571" i="22" s="1"/>
  <c r="A1572" i="22" a="1"/>
  <c r="A1572" i="22" s="1"/>
  <c r="B1572" i="22" a="1"/>
  <c r="B1572" i="22" s="1"/>
  <c r="C1572" i="22" a="1"/>
  <c r="C1572" i="22" s="1"/>
  <c r="A1573" i="22" a="1"/>
  <c r="A1573" i="22" s="1"/>
  <c r="B1573" i="22" a="1"/>
  <c r="B1573" i="22" s="1"/>
  <c r="C1573" i="22" a="1"/>
  <c r="C1573" i="22" s="1"/>
  <c r="A1502" i="22" a="1"/>
  <c r="A1502" i="22" s="1"/>
  <c r="B1502" i="22" a="1"/>
  <c r="B1502" i="22" s="1"/>
  <c r="C1502" i="22" a="1"/>
  <c r="C1502" i="22" s="1"/>
  <c r="A1503" i="22" a="1"/>
  <c r="A1503" i="22" s="1"/>
  <c r="B1503" i="22" a="1"/>
  <c r="B1503" i="22" s="1"/>
  <c r="C1503" i="22" a="1"/>
  <c r="C1503" i="22" s="1"/>
  <c r="A1504" i="22" a="1"/>
  <c r="A1504" i="22" s="1"/>
  <c r="B1504" i="22" a="1"/>
  <c r="B1504" i="22" s="1"/>
  <c r="C1504" i="22" a="1"/>
  <c r="C1504" i="22" s="1"/>
  <c r="A1505" i="22" a="1"/>
  <c r="A1505" i="22" s="1"/>
  <c r="B1505" i="22" a="1"/>
  <c r="B1505" i="22" s="1"/>
  <c r="C1505" i="22" a="1"/>
  <c r="C1505" i="22" s="1"/>
  <c r="A1506" i="22" a="1"/>
  <c r="A1506" i="22" s="1"/>
  <c r="B1506" i="22" a="1"/>
  <c r="B1506" i="22" s="1"/>
  <c r="C1506" i="22" a="1"/>
  <c r="C1506" i="22" s="1"/>
  <c r="A1507" i="22" a="1"/>
  <c r="A1507" i="22" s="1"/>
  <c r="B1507" i="22" a="1"/>
  <c r="B1507" i="22" s="1"/>
  <c r="C1507" i="22" a="1"/>
  <c r="C1507" i="22" s="1"/>
  <c r="A1508" i="22" a="1"/>
  <c r="A1508" i="22" s="1"/>
  <c r="B1508" i="22" a="1"/>
  <c r="B1508" i="22" s="1"/>
  <c r="C1508" i="22" a="1"/>
  <c r="C1508" i="22" s="1"/>
  <c r="A1509" i="22" a="1"/>
  <c r="A1509" i="22" s="1"/>
  <c r="B1509" i="22" a="1"/>
  <c r="B1509" i="22" s="1"/>
  <c r="C1509" i="22" a="1"/>
  <c r="C1509" i="22" s="1"/>
  <c r="A1510" i="22" a="1"/>
  <c r="A1510" i="22" s="1"/>
  <c r="B1510" i="22" a="1"/>
  <c r="B1510" i="22" s="1"/>
  <c r="C1510" i="22" a="1"/>
  <c r="C1510" i="22" s="1"/>
  <c r="A1511" i="22" a="1"/>
  <c r="A1511" i="22" s="1"/>
  <c r="B1511" i="22" a="1"/>
  <c r="B1511" i="22" s="1"/>
  <c r="C1511" i="22" a="1"/>
  <c r="C1511" i="22" s="1"/>
  <c r="A1512" i="22" a="1"/>
  <c r="A1512" i="22" s="1"/>
  <c r="B1512" i="22" a="1"/>
  <c r="B1512" i="22" s="1"/>
  <c r="C1512" i="22" a="1"/>
  <c r="C1512" i="22" s="1"/>
  <c r="A1513" i="22" a="1"/>
  <c r="A1513" i="22" s="1"/>
  <c r="B1513" i="22" a="1"/>
  <c r="B1513" i="22" s="1"/>
  <c r="C1513" i="22" a="1"/>
  <c r="C1513" i="22" s="1"/>
  <c r="A1514" i="22" a="1"/>
  <c r="A1514" i="22" s="1"/>
  <c r="B1514" i="22" a="1"/>
  <c r="B1514" i="22" s="1"/>
  <c r="C1514" i="22" a="1"/>
  <c r="C1514" i="22" s="1"/>
  <c r="A1515" i="22" a="1"/>
  <c r="A1515" i="22" s="1"/>
  <c r="B1515" i="22" a="1"/>
  <c r="B1515" i="22" s="1"/>
  <c r="C1515" i="22" a="1"/>
  <c r="C1515" i="22" s="1"/>
  <c r="A1516" i="22" a="1"/>
  <c r="A1516" i="22" s="1"/>
  <c r="B1516" i="22" a="1"/>
  <c r="B1516" i="22" s="1"/>
  <c r="C1516" i="22" a="1"/>
  <c r="C1516" i="22" s="1"/>
  <c r="A1517" i="22" a="1"/>
  <c r="A1517" i="22" s="1"/>
  <c r="B1517" i="22" a="1"/>
  <c r="B1517" i="22" s="1"/>
  <c r="C1517" i="22" a="1"/>
  <c r="C1517" i="22" s="1"/>
  <c r="A1518" i="22" a="1"/>
  <c r="A1518" i="22" s="1"/>
  <c r="B1518" i="22" a="1"/>
  <c r="B1518" i="22" s="1"/>
  <c r="C1518" i="22" a="1"/>
  <c r="C1518" i="22" s="1"/>
  <c r="A1519" i="22" a="1"/>
  <c r="A1519" i="22" s="1"/>
  <c r="B1519" i="22" a="1"/>
  <c r="B1519" i="22" s="1"/>
  <c r="C1519" i="22" a="1"/>
  <c r="C1519" i="22" s="1"/>
  <c r="A1520" i="22" a="1"/>
  <c r="A1520" i="22" s="1"/>
  <c r="B1520" i="22" a="1"/>
  <c r="B1520" i="22" s="1"/>
  <c r="C1520" i="22" a="1"/>
  <c r="C1520" i="22" s="1"/>
  <c r="A1521" i="22" a="1"/>
  <c r="A1521" i="22" s="1"/>
  <c r="B1521" i="22" a="1"/>
  <c r="B1521" i="22" s="1"/>
  <c r="C1521" i="22" a="1"/>
  <c r="C1521" i="22" s="1"/>
  <c r="A1522" i="22" a="1"/>
  <c r="A1522" i="22" s="1"/>
  <c r="B1522" i="22" a="1"/>
  <c r="B1522" i="22" s="1"/>
  <c r="C1522" i="22" a="1"/>
  <c r="C1522" i="22" s="1"/>
  <c r="A1523" i="22" a="1"/>
  <c r="A1523" i="22" s="1"/>
  <c r="B1523" i="22" a="1"/>
  <c r="B1523" i="22" s="1"/>
  <c r="C1523" i="22" a="1"/>
  <c r="C1523" i="22" s="1"/>
  <c r="A1524" i="22" a="1"/>
  <c r="A1524" i="22" s="1"/>
  <c r="B1524" i="22" a="1"/>
  <c r="B1524" i="22" s="1"/>
  <c r="C1524" i="22" a="1"/>
  <c r="C1524" i="22" s="1"/>
  <c r="A1525" i="22" a="1"/>
  <c r="A1525" i="22" s="1"/>
  <c r="B1525" i="22" a="1"/>
  <c r="B1525" i="22" s="1"/>
  <c r="C1525" i="22" a="1"/>
  <c r="C1525" i="22" s="1"/>
  <c r="A1526" i="22" a="1"/>
  <c r="A1526" i="22" s="1"/>
  <c r="B1526" i="22" a="1"/>
  <c r="B1526" i="22" s="1"/>
  <c r="C1526" i="22" a="1"/>
  <c r="C1526" i="22" s="1"/>
  <c r="A1527" i="22" a="1"/>
  <c r="A1527" i="22" s="1"/>
  <c r="B1527" i="22" a="1"/>
  <c r="B1527" i="22" s="1"/>
  <c r="C1527" i="22" a="1"/>
  <c r="C1527" i="22" s="1"/>
  <c r="A1528" i="22" a="1"/>
  <c r="A1528" i="22" s="1"/>
  <c r="B1528" i="22" a="1"/>
  <c r="B1528" i="22" s="1"/>
  <c r="C1528" i="22" a="1"/>
  <c r="C1528" i="22" s="1"/>
  <c r="A1529" i="22" a="1"/>
  <c r="A1529" i="22" s="1"/>
  <c r="B1529" i="22" a="1"/>
  <c r="B1529" i="22" s="1"/>
  <c r="C1529" i="22" a="1"/>
  <c r="C1529" i="22" s="1"/>
  <c r="A1530" i="22" a="1"/>
  <c r="A1530" i="22" s="1"/>
  <c r="B1530" i="22" a="1"/>
  <c r="B1530" i="22" s="1"/>
  <c r="C1530" i="22" a="1"/>
  <c r="C1530" i="22" s="1"/>
  <c r="A1531" i="22" a="1"/>
  <c r="A1531" i="22" s="1"/>
  <c r="B1531" i="22" a="1"/>
  <c r="B1531" i="22" s="1"/>
  <c r="C1531" i="22" a="1"/>
  <c r="C1531" i="22" s="1"/>
  <c r="A1532" i="22" a="1"/>
  <c r="A1532" i="22" s="1"/>
  <c r="B1532" i="22" a="1"/>
  <c r="B1532" i="22" s="1"/>
  <c r="C1532" i="22" a="1"/>
  <c r="C1532" i="22" s="1"/>
  <c r="A1533" i="22" a="1"/>
  <c r="A1533" i="22" s="1"/>
  <c r="B1533" i="22" a="1"/>
  <c r="B1533" i="22" s="1"/>
  <c r="C1533" i="22" a="1"/>
  <c r="C1533" i="22" s="1"/>
  <c r="A1534" i="22" a="1"/>
  <c r="A1534" i="22" s="1"/>
  <c r="B1534" i="22" a="1"/>
  <c r="B1534" i="22" s="1"/>
  <c r="C1534" i="22" a="1"/>
  <c r="C1534" i="22" s="1"/>
  <c r="A1535" i="22" a="1"/>
  <c r="A1535" i="22" s="1"/>
  <c r="B1535" i="22" a="1"/>
  <c r="B1535" i="22" s="1"/>
  <c r="C1535" i="22" a="1"/>
  <c r="C1535" i="22" s="1"/>
  <c r="A1464" i="22" a="1"/>
  <c r="A1464" i="22" s="1"/>
  <c r="B1464" i="22" a="1"/>
  <c r="B1464" i="22" s="1"/>
  <c r="C1464" i="22" a="1"/>
  <c r="C1464" i="22" s="1"/>
  <c r="A1465" i="22" a="1"/>
  <c r="A1465" i="22" s="1"/>
  <c r="B1465" i="22" a="1"/>
  <c r="B1465" i="22" s="1"/>
  <c r="C1465" i="22" a="1"/>
  <c r="C1465" i="22" s="1"/>
  <c r="A1466" i="22" a="1"/>
  <c r="A1466" i="22" s="1"/>
  <c r="B1466" i="22" a="1"/>
  <c r="B1466" i="22" s="1"/>
  <c r="C1466" i="22" a="1"/>
  <c r="C1466" i="22" s="1"/>
  <c r="A1467" i="22" a="1"/>
  <c r="A1467" i="22" s="1"/>
  <c r="B1467" i="22" a="1"/>
  <c r="B1467" i="22" s="1"/>
  <c r="C1467" i="22" a="1"/>
  <c r="C1467" i="22" s="1"/>
  <c r="A1468" i="22" a="1"/>
  <c r="A1468" i="22" s="1"/>
  <c r="B1468" i="22" a="1"/>
  <c r="B1468" i="22" s="1"/>
  <c r="C1468" i="22" a="1"/>
  <c r="C1468" i="22" s="1"/>
  <c r="A1469" i="22" a="1"/>
  <c r="A1469" i="22" s="1"/>
  <c r="B1469" i="22" a="1"/>
  <c r="B1469" i="22" s="1"/>
  <c r="C1469" i="22" a="1"/>
  <c r="C1469" i="22" s="1"/>
  <c r="A1470" i="22" a="1"/>
  <c r="A1470" i="22" s="1"/>
  <c r="B1470" i="22" a="1"/>
  <c r="B1470" i="22" s="1"/>
  <c r="C1470" i="22" a="1"/>
  <c r="C1470" i="22" s="1"/>
  <c r="A1471" i="22" a="1"/>
  <c r="A1471" i="22" s="1"/>
  <c r="B1471" i="22" a="1"/>
  <c r="B1471" i="22" s="1"/>
  <c r="C1471" i="22" a="1"/>
  <c r="C1471" i="22" s="1"/>
  <c r="A1472" i="22" a="1"/>
  <c r="A1472" i="22" s="1"/>
  <c r="B1472" i="22" a="1"/>
  <c r="B1472" i="22" s="1"/>
  <c r="C1472" i="22" a="1"/>
  <c r="C1472" i="22" s="1"/>
  <c r="A1473" i="22" a="1"/>
  <c r="A1473" i="22" s="1"/>
  <c r="B1473" i="22" a="1"/>
  <c r="B1473" i="22" s="1"/>
  <c r="C1473" i="22" a="1"/>
  <c r="C1473" i="22" s="1"/>
  <c r="A1474" i="22" a="1"/>
  <c r="A1474" i="22" s="1"/>
  <c r="B1474" i="22" a="1"/>
  <c r="B1474" i="22" s="1"/>
  <c r="C1474" i="22" a="1"/>
  <c r="C1474" i="22" s="1"/>
  <c r="A1475" i="22" a="1"/>
  <c r="A1475" i="22" s="1"/>
  <c r="B1475" i="22" a="1"/>
  <c r="B1475" i="22" s="1"/>
  <c r="C1475" i="22" a="1"/>
  <c r="C1475" i="22" s="1"/>
  <c r="A1476" i="22" a="1"/>
  <c r="A1476" i="22" s="1"/>
  <c r="B1476" i="22" a="1"/>
  <c r="B1476" i="22" s="1"/>
  <c r="C1476" i="22" a="1"/>
  <c r="C1476" i="22" s="1"/>
  <c r="A1477" i="22" a="1"/>
  <c r="A1477" i="22" s="1"/>
  <c r="B1477" i="22" a="1"/>
  <c r="B1477" i="22" s="1"/>
  <c r="C1477" i="22" a="1"/>
  <c r="C1477" i="22" s="1"/>
  <c r="A1478" i="22" a="1"/>
  <c r="A1478" i="22" s="1"/>
  <c r="B1478" i="22" a="1"/>
  <c r="B1478" i="22" s="1"/>
  <c r="C1478" i="22" a="1"/>
  <c r="C1478" i="22" s="1"/>
  <c r="A1479" i="22" a="1"/>
  <c r="A1479" i="22" s="1"/>
  <c r="B1479" i="22" a="1"/>
  <c r="B1479" i="22" s="1"/>
  <c r="C1479" i="22" a="1"/>
  <c r="C1479" i="22" s="1"/>
  <c r="A1480" i="22" a="1"/>
  <c r="A1480" i="22" s="1"/>
  <c r="B1480" i="22" a="1"/>
  <c r="B1480" i="22" s="1"/>
  <c r="C1480" i="22" a="1"/>
  <c r="C1480" i="22" s="1"/>
  <c r="A1481" i="22" a="1"/>
  <c r="A1481" i="22" s="1"/>
  <c r="B1481" i="22" a="1"/>
  <c r="B1481" i="22" s="1"/>
  <c r="C1481" i="22" a="1"/>
  <c r="C1481" i="22" s="1"/>
  <c r="A1482" i="22" a="1"/>
  <c r="A1482" i="22" s="1"/>
  <c r="B1482" i="22" a="1"/>
  <c r="B1482" i="22" s="1"/>
  <c r="C1482" i="22" a="1"/>
  <c r="C1482" i="22" s="1"/>
  <c r="A1483" i="22" a="1"/>
  <c r="A1483" i="22" s="1"/>
  <c r="B1483" i="22" a="1"/>
  <c r="B1483" i="22" s="1"/>
  <c r="C1483" i="22" a="1"/>
  <c r="C1483" i="22" s="1"/>
  <c r="A1484" i="22" a="1"/>
  <c r="A1484" i="22" s="1"/>
  <c r="B1484" i="22" a="1"/>
  <c r="B1484" i="22" s="1"/>
  <c r="C1484" i="22" a="1"/>
  <c r="C1484" i="22" s="1"/>
  <c r="A1485" i="22" a="1"/>
  <c r="A1485" i="22" s="1"/>
  <c r="B1485" i="22" a="1"/>
  <c r="B1485" i="22" s="1"/>
  <c r="C1485" i="22" a="1"/>
  <c r="C1485" i="22" s="1"/>
  <c r="A1486" i="22" a="1"/>
  <c r="A1486" i="22" s="1"/>
  <c r="B1486" i="22" a="1"/>
  <c r="B1486" i="22" s="1"/>
  <c r="C1486" i="22" a="1"/>
  <c r="C1486" i="22" s="1"/>
  <c r="A1487" i="22" a="1"/>
  <c r="A1487" i="22" s="1"/>
  <c r="B1487" i="22" a="1"/>
  <c r="B1487" i="22" s="1"/>
  <c r="C1487" i="22" a="1"/>
  <c r="C1487" i="22" s="1"/>
  <c r="A1488" i="22" a="1"/>
  <c r="A1488" i="22" s="1"/>
  <c r="B1488" i="22" a="1"/>
  <c r="B1488" i="22" s="1"/>
  <c r="C1488" i="22" a="1"/>
  <c r="C1488" i="22" s="1"/>
  <c r="A1489" i="22" a="1"/>
  <c r="A1489" i="22" s="1"/>
  <c r="B1489" i="22" a="1"/>
  <c r="B1489" i="22" s="1"/>
  <c r="C1489" i="22" a="1"/>
  <c r="C1489" i="22" s="1"/>
  <c r="A1490" i="22" a="1"/>
  <c r="A1490" i="22" s="1"/>
  <c r="B1490" i="22" a="1"/>
  <c r="B1490" i="22" s="1"/>
  <c r="C1490" i="22" a="1"/>
  <c r="C1490" i="22" s="1"/>
  <c r="A1491" i="22" a="1"/>
  <c r="A1491" i="22" s="1"/>
  <c r="B1491" i="22" a="1"/>
  <c r="B1491" i="22" s="1"/>
  <c r="C1491" i="22" a="1"/>
  <c r="C1491" i="22" s="1"/>
  <c r="A1492" i="22" a="1"/>
  <c r="A1492" i="22" s="1"/>
  <c r="B1492" i="22" a="1"/>
  <c r="B1492" i="22" s="1"/>
  <c r="C1492" i="22" a="1"/>
  <c r="C1492" i="22" s="1"/>
  <c r="A1493" i="22" a="1"/>
  <c r="A1493" i="22" s="1"/>
  <c r="B1493" i="22" a="1"/>
  <c r="B1493" i="22" s="1"/>
  <c r="C1493" i="22" a="1"/>
  <c r="C1493" i="22" s="1"/>
  <c r="A1494" i="22" a="1"/>
  <c r="A1494" i="22" s="1"/>
  <c r="B1494" i="22" a="1"/>
  <c r="B1494" i="22" s="1"/>
  <c r="C1494" i="22" a="1"/>
  <c r="C1494" i="22" s="1"/>
  <c r="A1495" i="22" a="1"/>
  <c r="A1495" i="22" s="1"/>
  <c r="B1495" i="22" a="1"/>
  <c r="B1495" i="22" s="1"/>
  <c r="C1495" i="22" a="1"/>
  <c r="C1495" i="22" s="1"/>
  <c r="A1496" i="22" a="1"/>
  <c r="A1496" i="22" s="1"/>
  <c r="B1496" i="22" a="1"/>
  <c r="B1496" i="22" s="1"/>
  <c r="C1496" i="22" a="1"/>
  <c r="C1496" i="22" s="1"/>
  <c r="A1497" i="22" a="1"/>
  <c r="A1497" i="22" s="1"/>
  <c r="B1497" i="22" a="1"/>
  <c r="B1497" i="22" s="1"/>
  <c r="C1497" i="22" a="1"/>
  <c r="C1497" i="22" s="1"/>
  <c r="A1426" i="22" a="1"/>
  <c r="A1426" i="22" s="1"/>
  <c r="B1426" i="22" a="1"/>
  <c r="B1426" i="22" s="1"/>
  <c r="C1426" i="22" a="1"/>
  <c r="C1426" i="22" s="1"/>
  <c r="A1427" i="22" a="1"/>
  <c r="A1427" i="22" s="1"/>
  <c r="B1427" i="22" a="1"/>
  <c r="B1427" i="22" s="1"/>
  <c r="C1427" i="22" a="1"/>
  <c r="C1427" i="22" s="1"/>
  <c r="A1428" i="22" a="1"/>
  <c r="A1428" i="22" s="1"/>
  <c r="B1428" i="22" a="1"/>
  <c r="B1428" i="22" s="1"/>
  <c r="C1428" i="22" a="1"/>
  <c r="C1428" i="22" s="1"/>
  <c r="A1429" i="22" a="1"/>
  <c r="A1429" i="22" s="1"/>
  <c r="B1429" i="22" a="1"/>
  <c r="B1429" i="22" s="1"/>
  <c r="C1429" i="22" a="1"/>
  <c r="C1429" i="22" s="1"/>
  <c r="A1430" i="22" a="1"/>
  <c r="A1430" i="22" s="1"/>
  <c r="B1430" i="22" a="1"/>
  <c r="B1430" i="22" s="1"/>
  <c r="C1430" i="22" a="1"/>
  <c r="C1430" i="22" s="1"/>
  <c r="A1431" i="22" a="1"/>
  <c r="A1431" i="22" s="1"/>
  <c r="B1431" i="22" a="1"/>
  <c r="B1431" i="22" s="1"/>
  <c r="C1431" i="22" a="1"/>
  <c r="C1431" i="22" s="1"/>
  <c r="A1432" i="22" a="1"/>
  <c r="A1432" i="22" s="1"/>
  <c r="B1432" i="22" a="1"/>
  <c r="B1432" i="22" s="1"/>
  <c r="C1432" i="22" a="1"/>
  <c r="C1432" i="22" s="1"/>
  <c r="A1433" i="22" a="1"/>
  <c r="A1433" i="22" s="1"/>
  <c r="B1433" i="22" a="1"/>
  <c r="B1433" i="22" s="1"/>
  <c r="C1433" i="22" a="1"/>
  <c r="C1433" i="22" s="1"/>
  <c r="A1434" i="22" a="1"/>
  <c r="A1434" i="22" s="1"/>
  <c r="B1434" i="22" a="1"/>
  <c r="B1434" i="22" s="1"/>
  <c r="C1434" i="22" a="1"/>
  <c r="C1434" i="22" s="1"/>
  <c r="A1435" i="22" a="1"/>
  <c r="A1435" i="22" s="1"/>
  <c r="B1435" i="22" a="1"/>
  <c r="B1435" i="22" s="1"/>
  <c r="C1435" i="22" a="1"/>
  <c r="C1435" i="22" s="1"/>
  <c r="A1436" i="22" a="1"/>
  <c r="A1436" i="22" s="1"/>
  <c r="B1436" i="22" a="1"/>
  <c r="B1436" i="22" s="1"/>
  <c r="C1436" i="22" a="1"/>
  <c r="C1436" i="22" s="1"/>
  <c r="A1437" i="22" a="1"/>
  <c r="A1437" i="22" s="1"/>
  <c r="B1437" i="22" a="1"/>
  <c r="B1437" i="22" s="1"/>
  <c r="C1437" i="22" a="1"/>
  <c r="C1437" i="22" s="1"/>
  <c r="A1438" i="22" a="1"/>
  <c r="A1438" i="22" s="1"/>
  <c r="B1438" i="22" a="1"/>
  <c r="B1438" i="22" s="1"/>
  <c r="C1438" i="22" a="1"/>
  <c r="C1438" i="22" s="1"/>
  <c r="A1439" i="22" a="1"/>
  <c r="A1439" i="22" s="1"/>
  <c r="B1439" i="22" a="1"/>
  <c r="B1439" i="22" s="1"/>
  <c r="C1439" i="22" a="1"/>
  <c r="C1439" i="22" s="1"/>
  <c r="A1440" i="22" a="1"/>
  <c r="A1440" i="22" s="1"/>
  <c r="B1440" i="22" a="1"/>
  <c r="B1440" i="22" s="1"/>
  <c r="C1440" i="22" a="1"/>
  <c r="C1440" i="22" s="1"/>
  <c r="A1441" i="22" a="1"/>
  <c r="A1441" i="22" s="1"/>
  <c r="B1441" i="22" a="1"/>
  <c r="B1441" i="22" s="1"/>
  <c r="C1441" i="22" a="1"/>
  <c r="C1441" i="22" s="1"/>
  <c r="A1442" i="22" a="1"/>
  <c r="A1442" i="22" s="1"/>
  <c r="B1442" i="22" a="1"/>
  <c r="B1442" i="22" s="1"/>
  <c r="C1442" i="22" a="1"/>
  <c r="C1442" i="22" s="1"/>
  <c r="A1443" i="22" a="1"/>
  <c r="A1443" i="22" s="1"/>
  <c r="B1443" i="22" a="1"/>
  <c r="B1443" i="22" s="1"/>
  <c r="C1443" i="22" a="1"/>
  <c r="C1443" i="22" s="1"/>
  <c r="A1444" i="22" a="1"/>
  <c r="A1444" i="22"/>
  <c r="B1444" i="22" a="1"/>
  <c r="B1444" i="22" s="1"/>
  <c r="C1444" i="22" a="1"/>
  <c r="C1444" i="22" s="1"/>
  <c r="A1445" i="22" a="1"/>
  <c r="A1445" i="22" s="1"/>
  <c r="B1445" i="22" a="1"/>
  <c r="B1445" i="22" s="1"/>
  <c r="C1445" i="22" a="1"/>
  <c r="C1445" i="22" s="1"/>
  <c r="A1446" i="22" a="1"/>
  <c r="A1446" i="22" s="1"/>
  <c r="B1446" i="22" a="1"/>
  <c r="B1446" i="22" s="1"/>
  <c r="C1446" i="22" a="1"/>
  <c r="C1446" i="22" s="1"/>
  <c r="A1447" i="22" a="1"/>
  <c r="A1447" i="22" s="1"/>
  <c r="B1447" i="22" a="1"/>
  <c r="B1447" i="22" s="1"/>
  <c r="C1447" i="22" a="1"/>
  <c r="C1447" i="22" s="1"/>
  <c r="A1448" i="22" a="1"/>
  <c r="A1448" i="22" s="1"/>
  <c r="B1448" i="22" a="1"/>
  <c r="B1448" i="22" s="1"/>
  <c r="C1448" i="22" a="1"/>
  <c r="C1448" i="22" s="1"/>
  <c r="A1449" i="22" a="1"/>
  <c r="A1449" i="22" s="1"/>
  <c r="B1449" i="22" a="1"/>
  <c r="B1449" i="22" s="1"/>
  <c r="C1449" i="22" a="1"/>
  <c r="C1449" i="22" s="1"/>
  <c r="A1450" i="22" a="1"/>
  <c r="A1450" i="22" s="1"/>
  <c r="B1450" i="22" a="1"/>
  <c r="B1450" i="22" s="1"/>
  <c r="C1450" i="22" a="1"/>
  <c r="C1450" i="22" s="1"/>
  <c r="A1451" i="22" a="1"/>
  <c r="A1451" i="22" s="1"/>
  <c r="B1451" i="22" a="1"/>
  <c r="B1451" i="22" s="1"/>
  <c r="C1451" i="22" a="1"/>
  <c r="C1451" i="22" s="1"/>
  <c r="A1452" i="22" a="1"/>
  <c r="A1452" i="22" s="1"/>
  <c r="B1452" i="22" a="1"/>
  <c r="B1452" i="22" s="1"/>
  <c r="C1452" i="22" a="1"/>
  <c r="C1452" i="22" s="1"/>
  <c r="A1453" i="22" a="1"/>
  <c r="A1453" i="22" s="1"/>
  <c r="B1453" i="22" a="1"/>
  <c r="B1453" i="22" s="1"/>
  <c r="C1453" i="22" a="1"/>
  <c r="C1453" i="22" s="1"/>
  <c r="A1454" i="22" a="1"/>
  <c r="A1454" i="22" s="1"/>
  <c r="B1454" i="22" a="1"/>
  <c r="B1454" i="22" s="1"/>
  <c r="C1454" i="22" a="1"/>
  <c r="C1454" i="22" s="1"/>
  <c r="A1455" i="22" a="1"/>
  <c r="A1455" i="22" s="1"/>
  <c r="B1455" i="22" a="1"/>
  <c r="B1455" i="22" s="1"/>
  <c r="C1455" i="22" a="1"/>
  <c r="C1455" i="22" s="1"/>
  <c r="A1456" i="22" a="1"/>
  <c r="A1456" i="22" s="1"/>
  <c r="B1456" i="22" a="1"/>
  <c r="B1456" i="22" s="1"/>
  <c r="C1456" i="22" a="1"/>
  <c r="C1456" i="22" s="1"/>
  <c r="A1457" i="22" a="1"/>
  <c r="A1457" i="22" s="1"/>
  <c r="B1457" i="22" a="1"/>
  <c r="B1457" i="22" s="1"/>
  <c r="C1457" i="22" a="1"/>
  <c r="C1457" i="22" s="1"/>
  <c r="A1458" i="22" a="1"/>
  <c r="A1458" i="22" s="1"/>
  <c r="B1458" i="22" a="1"/>
  <c r="B1458" i="22" s="1"/>
  <c r="C1458" i="22" a="1"/>
  <c r="C1458" i="22" s="1"/>
  <c r="A1459" i="22" a="1"/>
  <c r="A1459" i="22" s="1"/>
  <c r="B1459" i="22" a="1"/>
  <c r="B1459" i="22" s="1"/>
  <c r="C1459" i="22" a="1"/>
  <c r="C1459" i="22" s="1"/>
  <c r="A1388" i="22" a="1"/>
  <c r="A1388" i="22" s="1"/>
  <c r="B1388" i="22" a="1"/>
  <c r="B1388" i="22" s="1"/>
  <c r="C1388" i="22" a="1"/>
  <c r="C1388" i="22" s="1"/>
  <c r="A1389" i="22" a="1"/>
  <c r="A1389" i="22" s="1"/>
  <c r="B1389" i="22" a="1"/>
  <c r="B1389" i="22" s="1"/>
  <c r="C1389" i="22" a="1"/>
  <c r="C1389" i="22" s="1"/>
  <c r="A1390" i="22" a="1"/>
  <c r="A1390" i="22" s="1"/>
  <c r="B1390" i="22" a="1"/>
  <c r="B1390" i="22" s="1"/>
  <c r="C1390" i="22" a="1"/>
  <c r="C1390" i="22" s="1"/>
  <c r="A1391" i="22" a="1"/>
  <c r="A1391" i="22" s="1"/>
  <c r="B1391" i="22" a="1"/>
  <c r="B1391" i="22" s="1"/>
  <c r="C1391" i="22" a="1"/>
  <c r="C1391" i="22" s="1"/>
  <c r="A1392" i="22" a="1"/>
  <c r="A1392" i="22" s="1"/>
  <c r="B1392" i="22" a="1"/>
  <c r="B1392" i="22" s="1"/>
  <c r="C1392" i="22" a="1"/>
  <c r="C1392" i="22" s="1"/>
  <c r="A1393" i="22" a="1"/>
  <c r="A1393" i="22" s="1"/>
  <c r="B1393" i="22" a="1"/>
  <c r="B1393" i="22" s="1"/>
  <c r="C1393" i="22" a="1"/>
  <c r="C1393" i="22" s="1"/>
  <c r="A1394" i="22" a="1"/>
  <c r="A1394" i="22" s="1"/>
  <c r="B1394" i="22" a="1"/>
  <c r="B1394" i="22" s="1"/>
  <c r="C1394" i="22" a="1"/>
  <c r="C1394" i="22" s="1"/>
  <c r="A1395" i="22" a="1"/>
  <c r="A1395" i="22" s="1"/>
  <c r="B1395" i="22" a="1"/>
  <c r="B1395" i="22" s="1"/>
  <c r="C1395" i="22" a="1"/>
  <c r="C1395" i="22" s="1"/>
  <c r="A1396" i="22" a="1"/>
  <c r="A1396" i="22" s="1"/>
  <c r="B1396" i="22" a="1"/>
  <c r="B1396" i="22" s="1"/>
  <c r="C1396" i="22" a="1"/>
  <c r="C1396" i="22" s="1"/>
  <c r="A1397" i="22" a="1"/>
  <c r="A1397" i="22" s="1"/>
  <c r="B1397" i="22" a="1"/>
  <c r="B1397" i="22" s="1"/>
  <c r="C1397" i="22" a="1"/>
  <c r="C1397" i="22" s="1"/>
  <c r="A1398" i="22" a="1"/>
  <c r="A1398" i="22" s="1"/>
  <c r="B1398" i="22" a="1"/>
  <c r="B1398" i="22" s="1"/>
  <c r="C1398" i="22" a="1"/>
  <c r="C1398" i="22" s="1"/>
  <c r="A1399" i="22" a="1"/>
  <c r="A1399" i="22" s="1"/>
  <c r="B1399" i="22" a="1"/>
  <c r="B1399" i="22" s="1"/>
  <c r="C1399" i="22" a="1"/>
  <c r="C1399" i="22" s="1"/>
  <c r="A1400" i="22" a="1"/>
  <c r="A1400" i="22" s="1"/>
  <c r="B1400" i="22" a="1"/>
  <c r="B1400" i="22" s="1"/>
  <c r="C1400" i="22" a="1"/>
  <c r="C1400" i="22" s="1"/>
  <c r="A1401" i="22" a="1"/>
  <c r="A1401" i="22" s="1"/>
  <c r="B1401" i="22" a="1"/>
  <c r="B1401" i="22" s="1"/>
  <c r="C1401" i="22" a="1"/>
  <c r="C1401" i="22" s="1"/>
  <c r="A1402" i="22" a="1"/>
  <c r="A1402" i="22" s="1"/>
  <c r="B1402" i="22" a="1"/>
  <c r="B1402" i="22" s="1"/>
  <c r="C1402" i="22" a="1"/>
  <c r="C1402" i="22" s="1"/>
  <c r="A1403" i="22" a="1"/>
  <c r="A1403" i="22" s="1"/>
  <c r="B1403" i="22" a="1"/>
  <c r="B1403" i="22" s="1"/>
  <c r="C1403" i="22" a="1"/>
  <c r="C1403" i="22" s="1"/>
  <c r="A1404" i="22" a="1"/>
  <c r="A1404" i="22" s="1"/>
  <c r="B1404" i="22" a="1"/>
  <c r="B1404" i="22" s="1"/>
  <c r="C1404" i="22" a="1"/>
  <c r="C1404" i="22" s="1"/>
  <c r="A1405" i="22" a="1"/>
  <c r="A1405" i="22" s="1"/>
  <c r="B1405" i="22" a="1"/>
  <c r="B1405" i="22" s="1"/>
  <c r="C1405" i="22" a="1"/>
  <c r="C1405" i="22" s="1"/>
  <c r="A1406" i="22" a="1"/>
  <c r="A1406" i="22" s="1"/>
  <c r="B1406" i="22" a="1"/>
  <c r="B1406" i="22" s="1"/>
  <c r="C1406" i="22" a="1"/>
  <c r="C1406" i="22" s="1"/>
  <c r="A1407" i="22" a="1"/>
  <c r="A1407" i="22" s="1"/>
  <c r="B1407" i="22" a="1"/>
  <c r="B1407" i="22" s="1"/>
  <c r="C1407" i="22" a="1"/>
  <c r="C1407" i="22" s="1"/>
  <c r="A1408" i="22" a="1"/>
  <c r="A1408" i="22" s="1"/>
  <c r="B1408" i="22" a="1"/>
  <c r="B1408" i="22" s="1"/>
  <c r="C1408" i="22" a="1"/>
  <c r="C1408" i="22" s="1"/>
  <c r="A1409" i="22" a="1"/>
  <c r="A1409" i="22" s="1"/>
  <c r="B1409" i="22" a="1"/>
  <c r="B1409" i="22" s="1"/>
  <c r="C1409" i="22" a="1"/>
  <c r="C1409" i="22" s="1"/>
  <c r="A1410" i="22" a="1"/>
  <c r="A1410" i="22" s="1"/>
  <c r="B1410" i="22" a="1"/>
  <c r="B1410" i="22" s="1"/>
  <c r="C1410" i="22" a="1"/>
  <c r="C1410" i="22" s="1"/>
  <c r="A1411" i="22" a="1"/>
  <c r="A1411" i="22" s="1"/>
  <c r="B1411" i="22" a="1"/>
  <c r="B1411" i="22" s="1"/>
  <c r="C1411" i="22" a="1"/>
  <c r="C1411" i="22" s="1"/>
  <c r="A1412" i="22" a="1"/>
  <c r="A1412" i="22" s="1"/>
  <c r="B1412" i="22" a="1"/>
  <c r="B1412" i="22" s="1"/>
  <c r="C1412" i="22" a="1"/>
  <c r="C1412" i="22" s="1"/>
  <c r="A1413" i="22" a="1"/>
  <c r="A1413" i="22" s="1"/>
  <c r="B1413" i="22" a="1"/>
  <c r="B1413" i="22" s="1"/>
  <c r="C1413" i="22" a="1"/>
  <c r="C1413" i="22" s="1"/>
  <c r="A1414" i="22" a="1"/>
  <c r="A1414" i="22" s="1"/>
  <c r="B1414" i="22" a="1"/>
  <c r="B1414" i="22" s="1"/>
  <c r="C1414" i="22" a="1"/>
  <c r="C1414" i="22" s="1"/>
  <c r="A1415" i="22" a="1"/>
  <c r="A1415" i="22" s="1"/>
  <c r="B1415" i="22" a="1"/>
  <c r="B1415" i="22" s="1"/>
  <c r="C1415" i="22" a="1"/>
  <c r="C1415" i="22" s="1"/>
  <c r="A1416" i="22" a="1"/>
  <c r="A1416" i="22" s="1"/>
  <c r="B1416" i="22" a="1"/>
  <c r="B1416" i="22" s="1"/>
  <c r="C1416" i="22" a="1"/>
  <c r="C1416" i="22" s="1"/>
  <c r="A1417" i="22" a="1"/>
  <c r="A1417" i="22" s="1"/>
  <c r="B1417" i="22" a="1"/>
  <c r="B1417" i="22" s="1"/>
  <c r="C1417" i="22" a="1"/>
  <c r="C1417" i="22" s="1"/>
  <c r="A1418" i="22" a="1"/>
  <c r="A1418" i="22" s="1"/>
  <c r="B1418" i="22" a="1"/>
  <c r="B1418" i="22" s="1"/>
  <c r="C1418" i="22" a="1"/>
  <c r="C1418" i="22" s="1"/>
  <c r="A1419" i="22" a="1"/>
  <c r="A1419" i="22" s="1"/>
  <c r="B1419" i="22" a="1"/>
  <c r="B1419" i="22" s="1"/>
  <c r="C1419" i="22" a="1"/>
  <c r="C1419" i="22" s="1"/>
  <c r="A1420" i="22" a="1"/>
  <c r="A1420" i="22" s="1"/>
  <c r="B1420" i="22" a="1"/>
  <c r="B1420" i="22" s="1"/>
  <c r="C1420" i="22" a="1"/>
  <c r="C1420" i="22" s="1"/>
  <c r="A1421" i="22" a="1"/>
  <c r="A1421" i="22" s="1"/>
  <c r="B1421" i="22" a="1"/>
  <c r="B1421" i="22" s="1"/>
  <c r="C1421" i="22" a="1"/>
  <c r="C1421" i="22" s="1"/>
  <c r="A1350" i="22" a="1"/>
  <c r="A1350" i="22" s="1"/>
  <c r="B1350" i="22" a="1"/>
  <c r="B1350" i="22" s="1"/>
  <c r="C1350" i="22" a="1"/>
  <c r="C1350" i="22" s="1"/>
  <c r="A1351" i="22" a="1"/>
  <c r="A1351" i="22" s="1"/>
  <c r="B1351" i="22" a="1"/>
  <c r="B1351" i="22" s="1"/>
  <c r="C1351" i="22" a="1"/>
  <c r="C1351" i="22" s="1"/>
  <c r="A1352" i="22" a="1"/>
  <c r="A1352" i="22" s="1"/>
  <c r="B1352" i="22" a="1"/>
  <c r="B1352" i="22" s="1"/>
  <c r="C1352" i="22" a="1"/>
  <c r="C1352" i="22" s="1"/>
  <c r="A1353" i="22" a="1"/>
  <c r="A1353" i="22" s="1"/>
  <c r="B1353" i="22" a="1"/>
  <c r="B1353" i="22" s="1"/>
  <c r="C1353" i="22" a="1"/>
  <c r="C1353" i="22" s="1"/>
  <c r="A1354" i="22" a="1"/>
  <c r="A1354" i="22" s="1"/>
  <c r="B1354" i="22" a="1"/>
  <c r="B1354" i="22" s="1"/>
  <c r="C1354" i="22" a="1"/>
  <c r="C1354" i="22" s="1"/>
  <c r="A1355" i="22" a="1"/>
  <c r="A1355" i="22" s="1"/>
  <c r="B1355" i="22" a="1"/>
  <c r="B1355" i="22" s="1"/>
  <c r="C1355" i="22" a="1"/>
  <c r="C1355" i="22" s="1"/>
  <c r="A1356" i="22" a="1"/>
  <c r="A1356" i="22" s="1"/>
  <c r="B1356" i="22" a="1"/>
  <c r="B1356" i="22" s="1"/>
  <c r="C1356" i="22" a="1"/>
  <c r="C1356" i="22" s="1"/>
  <c r="A1357" i="22" a="1"/>
  <c r="A1357" i="22" s="1"/>
  <c r="B1357" i="22" a="1"/>
  <c r="B1357" i="22" s="1"/>
  <c r="C1357" i="22" a="1"/>
  <c r="C1357" i="22" s="1"/>
  <c r="A1358" i="22" a="1"/>
  <c r="A1358" i="22" s="1"/>
  <c r="B1358" i="22" a="1"/>
  <c r="B1358" i="22" s="1"/>
  <c r="C1358" i="22" a="1"/>
  <c r="C1358" i="22" s="1"/>
  <c r="A1359" i="22" a="1"/>
  <c r="A1359" i="22" s="1"/>
  <c r="B1359" i="22" a="1"/>
  <c r="B1359" i="22" s="1"/>
  <c r="C1359" i="22" a="1"/>
  <c r="C1359" i="22" s="1"/>
  <c r="A1360" i="22" a="1"/>
  <c r="A1360" i="22" s="1"/>
  <c r="B1360" i="22" a="1"/>
  <c r="B1360" i="22" s="1"/>
  <c r="C1360" i="22" a="1"/>
  <c r="C1360" i="22" s="1"/>
  <c r="A1361" i="22" a="1"/>
  <c r="A1361" i="22" s="1"/>
  <c r="B1361" i="22" a="1"/>
  <c r="B1361" i="22" s="1"/>
  <c r="C1361" i="22" a="1"/>
  <c r="C1361" i="22" s="1"/>
  <c r="A1362" i="22" a="1"/>
  <c r="A1362" i="22" s="1"/>
  <c r="B1362" i="22" a="1"/>
  <c r="B1362" i="22" s="1"/>
  <c r="C1362" i="22" a="1"/>
  <c r="C1362" i="22" s="1"/>
  <c r="A1363" i="22" a="1"/>
  <c r="A1363" i="22" s="1"/>
  <c r="B1363" i="22" a="1"/>
  <c r="B1363" i="22" s="1"/>
  <c r="C1363" i="22" a="1"/>
  <c r="C1363" i="22" s="1"/>
  <c r="A1364" i="22" a="1"/>
  <c r="A1364" i="22" s="1"/>
  <c r="B1364" i="22" a="1"/>
  <c r="B1364" i="22" s="1"/>
  <c r="C1364" i="22" a="1"/>
  <c r="C1364" i="22" s="1"/>
  <c r="A1365" i="22" a="1"/>
  <c r="A1365" i="22" s="1"/>
  <c r="B1365" i="22" a="1"/>
  <c r="B1365" i="22" s="1"/>
  <c r="C1365" i="22" a="1"/>
  <c r="C1365" i="22" s="1"/>
  <c r="A1366" i="22" a="1"/>
  <c r="A1366" i="22" s="1"/>
  <c r="B1366" i="22" a="1"/>
  <c r="B1366" i="22" s="1"/>
  <c r="C1366" i="22" a="1"/>
  <c r="C1366" i="22" s="1"/>
  <c r="A1367" i="22" a="1"/>
  <c r="A1367" i="22" s="1"/>
  <c r="B1367" i="22" a="1"/>
  <c r="B1367" i="22" s="1"/>
  <c r="C1367" i="22" a="1"/>
  <c r="C1367" i="22" s="1"/>
  <c r="A1368" i="22" a="1"/>
  <c r="A1368" i="22" s="1"/>
  <c r="B1368" i="22" a="1"/>
  <c r="B1368" i="22" s="1"/>
  <c r="C1368" i="22" a="1"/>
  <c r="C1368" i="22" s="1"/>
  <c r="A1369" i="22" a="1"/>
  <c r="A1369" i="22" s="1"/>
  <c r="B1369" i="22" a="1"/>
  <c r="B1369" i="22" s="1"/>
  <c r="C1369" i="22" a="1"/>
  <c r="C1369" i="22" s="1"/>
  <c r="A1370" i="22" a="1"/>
  <c r="A1370" i="22" s="1"/>
  <c r="B1370" i="22" a="1"/>
  <c r="B1370" i="22" s="1"/>
  <c r="C1370" i="22" a="1"/>
  <c r="C1370" i="22" s="1"/>
  <c r="A1371" i="22" a="1"/>
  <c r="A1371" i="22" s="1"/>
  <c r="B1371" i="22" a="1"/>
  <c r="B1371" i="22" s="1"/>
  <c r="C1371" i="22" a="1"/>
  <c r="C1371" i="22" s="1"/>
  <c r="A1372" i="22" a="1"/>
  <c r="A1372" i="22" s="1"/>
  <c r="B1372" i="22" a="1"/>
  <c r="B1372" i="22" s="1"/>
  <c r="C1372" i="22" a="1"/>
  <c r="C1372" i="22" s="1"/>
  <c r="A1373" i="22" a="1"/>
  <c r="A1373" i="22" s="1"/>
  <c r="B1373" i="22" a="1"/>
  <c r="B1373" i="22" s="1"/>
  <c r="C1373" i="22" a="1"/>
  <c r="C1373" i="22" s="1"/>
  <c r="A1374" i="22" a="1"/>
  <c r="A1374" i="22" s="1"/>
  <c r="B1374" i="22" a="1"/>
  <c r="B1374" i="22" s="1"/>
  <c r="C1374" i="22" a="1"/>
  <c r="C1374" i="22" s="1"/>
  <c r="A1375" i="22" a="1"/>
  <c r="A1375" i="22" s="1"/>
  <c r="B1375" i="22" a="1"/>
  <c r="B1375" i="22" s="1"/>
  <c r="C1375" i="22" a="1"/>
  <c r="C1375" i="22" s="1"/>
  <c r="A1376" i="22" a="1"/>
  <c r="A1376" i="22" s="1"/>
  <c r="B1376" i="22" a="1"/>
  <c r="B1376" i="22" s="1"/>
  <c r="C1376" i="22" a="1"/>
  <c r="C1376" i="22" s="1"/>
  <c r="A1377" i="22" a="1"/>
  <c r="A1377" i="22" s="1"/>
  <c r="B1377" i="22" a="1"/>
  <c r="B1377" i="22" s="1"/>
  <c r="C1377" i="22" a="1"/>
  <c r="C1377" i="22" s="1"/>
  <c r="A1378" i="22" a="1"/>
  <c r="A1378" i="22" s="1"/>
  <c r="B1378" i="22" a="1"/>
  <c r="B1378" i="22" s="1"/>
  <c r="C1378" i="22" a="1"/>
  <c r="C1378" i="22" s="1"/>
  <c r="A1379" i="22" a="1"/>
  <c r="A1379" i="22" s="1"/>
  <c r="B1379" i="22" a="1"/>
  <c r="B1379" i="22" s="1"/>
  <c r="C1379" i="22" a="1"/>
  <c r="C1379" i="22" s="1"/>
  <c r="A1380" i="22" a="1"/>
  <c r="A1380" i="22" s="1"/>
  <c r="B1380" i="22" a="1"/>
  <c r="B1380" i="22" s="1"/>
  <c r="C1380" i="22" a="1"/>
  <c r="C1380" i="22" s="1"/>
  <c r="A1381" i="22" a="1"/>
  <c r="A1381" i="22" s="1"/>
  <c r="B1381" i="22" a="1"/>
  <c r="B1381" i="22" s="1"/>
  <c r="C1381" i="22" a="1"/>
  <c r="C1381" i="22" s="1"/>
  <c r="A1382" i="22" a="1"/>
  <c r="A1382" i="22" s="1"/>
  <c r="B1382" i="22" a="1"/>
  <c r="B1382" i="22" s="1"/>
  <c r="C1382" i="22" a="1"/>
  <c r="C1382" i="22" s="1"/>
  <c r="A1383" i="22" a="1"/>
  <c r="A1383" i="22" s="1"/>
  <c r="B1383" i="22" a="1"/>
  <c r="B1383" i="22" s="1"/>
  <c r="C1383" i="22" a="1"/>
  <c r="C1383" i="22" s="1"/>
  <c r="A1312" i="22" a="1"/>
  <c r="A1312" i="22" s="1"/>
  <c r="B1312" i="22" a="1"/>
  <c r="B1312" i="22" s="1"/>
  <c r="C1312" i="22" a="1"/>
  <c r="C1312" i="22" s="1"/>
  <c r="A1313" i="22" a="1"/>
  <c r="A1313" i="22" s="1"/>
  <c r="B1313" i="22" a="1"/>
  <c r="B1313" i="22" s="1"/>
  <c r="C1313" i="22" a="1"/>
  <c r="C1313" i="22" s="1"/>
  <c r="A1314" i="22" a="1"/>
  <c r="A1314" i="22" s="1"/>
  <c r="B1314" i="22" a="1"/>
  <c r="B1314" i="22" s="1"/>
  <c r="C1314" i="22" a="1"/>
  <c r="C1314" i="22" s="1"/>
  <c r="A1315" i="22" a="1"/>
  <c r="A1315" i="22" s="1"/>
  <c r="B1315" i="22" a="1"/>
  <c r="B1315" i="22" s="1"/>
  <c r="C1315" i="22" a="1"/>
  <c r="C1315" i="22" s="1"/>
  <c r="A1316" i="22" a="1"/>
  <c r="A1316" i="22" s="1"/>
  <c r="B1316" i="22" a="1"/>
  <c r="B1316" i="22" s="1"/>
  <c r="C1316" i="22" a="1"/>
  <c r="C1316" i="22" s="1"/>
  <c r="A1317" i="22" a="1"/>
  <c r="A1317" i="22" s="1"/>
  <c r="B1317" i="22" a="1"/>
  <c r="B1317" i="22" s="1"/>
  <c r="C1317" i="22" a="1"/>
  <c r="C1317" i="22" s="1"/>
  <c r="A1318" i="22" a="1"/>
  <c r="A1318" i="22" s="1"/>
  <c r="B1318" i="22" a="1"/>
  <c r="B1318" i="22" s="1"/>
  <c r="C1318" i="22" a="1"/>
  <c r="C1318" i="22" s="1"/>
  <c r="A1319" i="22" a="1"/>
  <c r="A1319" i="22" s="1"/>
  <c r="B1319" i="22" a="1"/>
  <c r="B1319" i="22" s="1"/>
  <c r="C1319" i="22" a="1"/>
  <c r="C1319" i="22" s="1"/>
  <c r="A1320" i="22" a="1"/>
  <c r="A1320" i="22" s="1"/>
  <c r="B1320" i="22" a="1"/>
  <c r="B1320" i="22" s="1"/>
  <c r="C1320" i="22" a="1"/>
  <c r="C1320" i="22" s="1"/>
  <c r="A1321" i="22" a="1"/>
  <c r="A1321" i="22" s="1"/>
  <c r="B1321" i="22" a="1"/>
  <c r="B1321" i="22" s="1"/>
  <c r="C1321" i="22" a="1"/>
  <c r="C1321" i="22" s="1"/>
  <c r="A1322" i="22" a="1"/>
  <c r="A1322" i="22" s="1"/>
  <c r="B1322" i="22" a="1"/>
  <c r="B1322" i="22" s="1"/>
  <c r="C1322" i="22" a="1"/>
  <c r="C1322" i="22" s="1"/>
  <c r="A1323" i="22" a="1"/>
  <c r="A1323" i="22" s="1"/>
  <c r="B1323" i="22" a="1"/>
  <c r="B1323" i="22" s="1"/>
  <c r="C1323" i="22" a="1"/>
  <c r="C1323" i="22" s="1"/>
  <c r="A1324" i="22" a="1"/>
  <c r="A1324" i="22" s="1"/>
  <c r="B1324" i="22" a="1"/>
  <c r="B1324" i="22" s="1"/>
  <c r="C1324" i="22" a="1"/>
  <c r="C1324" i="22" s="1"/>
  <c r="A1325" i="22" a="1"/>
  <c r="A1325" i="22" s="1"/>
  <c r="B1325" i="22" a="1"/>
  <c r="B1325" i="22" s="1"/>
  <c r="C1325" i="22" a="1"/>
  <c r="C1325" i="22" s="1"/>
  <c r="A1326" i="22" a="1"/>
  <c r="A1326" i="22" s="1"/>
  <c r="B1326" i="22" a="1"/>
  <c r="B1326" i="22" s="1"/>
  <c r="C1326" i="22" a="1"/>
  <c r="C1326" i="22" s="1"/>
  <c r="A1327" i="22" a="1"/>
  <c r="A1327" i="22" s="1"/>
  <c r="B1327" i="22" a="1"/>
  <c r="B1327" i="22" s="1"/>
  <c r="C1327" i="22" a="1"/>
  <c r="C1327" i="22" s="1"/>
  <c r="A1328" i="22" a="1"/>
  <c r="A1328" i="22" s="1"/>
  <c r="B1328" i="22" a="1"/>
  <c r="B1328" i="22" s="1"/>
  <c r="C1328" i="22" a="1"/>
  <c r="C1328" i="22" s="1"/>
  <c r="A1329" i="22" a="1"/>
  <c r="A1329" i="22" s="1"/>
  <c r="B1329" i="22" a="1"/>
  <c r="B1329" i="22" s="1"/>
  <c r="C1329" i="22" a="1"/>
  <c r="C1329" i="22" s="1"/>
  <c r="A1330" i="22" a="1"/>
  <c r="A1330" i="22" s="1"/>
  <c r="B1330" i="22" a="1"/>
  <c r="B1330" i="22" s="1"/>
  <c r="C1330" i="22" a="1"/>
  <c r="C1330" i="22" s="1"/>
  <c r="A1331" i="22" a="1"/>
  <c r="A1331" i="22" s="1"/>
  <c r="B1331" i="22" a="1"/>
  <c r="B1331" i="22" s="1"/>
  <c r="C1331" i="22" a="1"/>
  <c r="C1331" i="22" s="1"/>
  <c r="A1332" i="22" a="1"/>
  <c r="A1332" i="22" s="1"/>
  <c r="B1332" i="22" a="1"/>
  <c r="B1332" i="22" s="1"/>
  <c r="C1332" i="22" a="1"/>
  <c r="C1332" i="22" s="1"/>
  <c r="A1333" i="22" a="1"/>
  <c r="A1333" i="22" s="1"/>
  <c r="B1333" i="22" a="1"/>
  <c r="B1333" i="22" s="1"/>
  <c r="C1333" i="22" a="1"/>
  <c r="C1333" i="22" s="1"/>
  <c r="A1334" i="22" a="1"/>
  <c r="A1334" i="22" s="1"/>
  <c r="B1334" i="22" a="1"/>
  <c r="B1334" i="22" s="1"/>
  <c r="C1334" i="22" a="1"/>
  <c r="C1334" i="22" s="1"/>
  <c r="A1335" i="22" a="1"/>
  <c r="A1335" i="22" s="1"/>
  <c r="B1335" i="22" a="1"/>
  <c r="B1335" i="22" s="1"/>
  <c r="C1335" i="22" a="1"/>
  <c r="C1335" i="22" s="1"/>
  <c r="A1336" i="22" a="1"/>
  <c r="A1336" i="22" s="1"/>
  <c r="B1336" i="22" a="1"/>
  <c r="B1336" i="22" s="1"/>
  <c r="C1336" i="22" a="1"/>
  <c r="C1336" i="22" s="1"/>
  <c r="A1337" i="22" a="1"/>
  <c r="A1337" i="22" s="1"/>
  <c r="B1337" i="22" a="1"/>
  <c r="B1337" i="22" s="1"/>
  <c r="C1337" i="22" a="1"/>
  <c r="C1337" i="22" s="1"/>
  <c r="A1338" i="22" a="1"/>
  <c r="A1338" i="22" s="1"/>
  <c r="B1338" i="22" a="1"/>
  <c r="B1338" i="22" s="1"/>
  <c r="C1338" i="22" a="1"/>
  <c r="C1338" i="22" s="1"/>
  <c r="A1339" i="22" a="1"/>
  <c r="A1339" i="22" s="1"/>
  <c r="B1339" i="22" a="1"/>
  <c r="B1339" i="22" s="1"/>
  <c r="C1339" i="22" a="1"/>
  <c r="C1339" i="22" s="1"/>
  <c r="A1340" i="22" a="1"/>
  <c r="A1340" i="22" s="1"/>
  <c r="B1340" i="22" a="1"/>
  <c r="B1340" i="22" s="1"/>
  <c r="C1340" i="22" a="1"/>
  <c r="C1340" i="22" s="1"/>
  <c r="A1341" i="22" a="1"/>
  <c r="A1341" i="22" s="1"/>
  <c r="B1341" i="22" a="1"/>
  <c r="B1341" i="22" s="1"/>
  <c r="C1341" i="22" a="1"/>
  <c r="C1341" i="22" s="1"/>
  <c r="A1342" i="22" a="1"/>
  <c r="A1342" i="22" s="1"/>
  <c r="B1342" i="22" a="1"/>
  <c r="B1342" i="22" s="1"/>
  <c r="C1342" i="22" a="1"/>
  <c r="C1342" i="22" s="1"/>
  <c r="A1343" i="22" a="1"/>
  <c r="A1343" i="22" s="1"/>
  <c r="B1343" i="22" a="1"/>
  <c r="B1343" i="22" s="1"/>
  <c r="C1343" i="22" a="1"/>
  <c r="C1343" i="22" s="1"/>
  <c r="A1344" i="22" a="1"/>
  <c r="A1344" i="22" s="1"/>
  <c r="B1344" i="22" a="1"/>
  <c r="B1344" i="22" s="1"/>
  <c r="C1344" i="22" a="1"/>
  <c r="C1344" i="22" s="1"/>
  <c r="A1345" i="22" a="1"/>
  <c r="A1345" i="22" s="1"/>
  <c r="B1345" i="22" a="1"/>
  <c r="B1345" i="22" s="1"/>
  <c r="C1345" i="22" a="1"/>
  <c r="C1345" i="22" s="1"/>
  <c r="A1274" i="22" a="1"/>
  <c r="A1274" i="22" s="1"/>
  <c r="B1274" i="22" a="1"/>
  <c r="B1274" i="22" s="1"/>
  <c r="C1274" i="22" a="1"/>
  <c r="C1274" i="22" s="1"/>
  <c r="A1275" i="22" a="1"/>
  <c r="A1275" i="22" s="1"/>
  <c r="B1275" i="22" a="1"/>
  <c r="B1275" i="22" s="1"/>
  <c r="C1275" i="22" a="1"/>
  <c r="C1275" i="22" s="1"/>
  <c r="A1276" i="22" a="1"/>
  <c r="A1276" i="22" s="1"/>
  <c r="B1276" i="22" a="1"/>
  <c r="B1276" i="22" s="1"/>
  <c r="C1276" i="22" a="1"/>
  <c r="C1276" i="22" s="1"/>
  <c r="A1277" i="22" a="1"/>
  <c r="A1277" i="22" s="1"/>
  <c r="B1277" i="22" a="1"/>
  <c r="B1277" i="22" s="1"/>
  <c r="C1277" i="22" a="1"/>
  <c r="C1277" i="22" s="1"/>
  <c r="A1278" i="22" a="1"/>
  <c r="A1278" i="22" s="1"/>
  <c r="B1278" i="22" a="1"/>
  <c r="B1278" i="22" s="1"/>
  <c r="C1278" i="22" a="1"/>
  <c r="C1278" i="22" s="1"/>
  <c r="A1279" i="22" a="1"/>
  <c r="A1279" i="22" s="1"/>
  <c r="B1279" i="22" a="1"/>
  <c r="B1279" i="22" s="1"/>
  <c r="C1279" i="22" a="1"/>
  <c r="C1279" i="22" s="1"/>
  <c r="A1280" i="22" a="1"/>
  <c r="A1280" i="22" s="1"/>
  <c r="B1280" i="22" a="1"/>
  <c r="B1280" i="22" s="1"/>
  <c r="C1280" i="22" a="1"/>
  <c r="C1280" i="22" s="1"/>
  <c r="A1281" i="22" a="1"/>
  <c r="A1281" i="22" s="1"/>
  <c r="B1281" i="22" a="1"/>
  <c r="B1281" i="22" s="1"/>
  <c r="C1281" i="22" a="1"/>
  <c r="C1281" i="22" s="1"/>
  <c r="A1282" i="22" a="1"/>
  <c r="A1282" i="22" s="1"/>
  <c r="B1282" i="22" a="1"/>
  <c r="B1282" i="22" s="1"/>
  <c r="C1282" i="22" a="1"/>
  <c r="C1282" i="22" s="1"/>
  <c r="A1283" i="22" a="1"/>
  <c r="A1283" i="22" s="1"/>
  <c r="B1283" i="22" a="1"/>
  <c r="B1283" i="22" s="1"/>
  <c r="C1283" i="22" a="1"/>
  <c r="C1283" i="22" s="1"/>
  <c r="A1284" i="22" a="1"/>
  <c r="A1284" i="22" s="1"/>
  <c r="B1284" i="22" a="1"/>
  <c r="B1284" i="22" s="1"/>
  <c r="C1284" i="22" a="1"/>
  <c r="C1284" i="22" s="1"/>
  <c r="A1285" i="22" a="1"/>
  <c r="A1285" i="22" s="1"/>
  <c r="B1285" i="22" a="1"/>
  <c r="B1285" i="22" s="1"/>
  <c r="C1285" i="22" a="1"/>
  <c r="C1285" i="22" s="1"/>
  <c r="A1286" i="22" a="1"/>
  <c r="A1286" i="22" s="1"/>
  <c r="B1286" i="22" a="1"/>
  <c r="B1286" i="22" s="1"/>
  <c r="C1286" i="22" a="1"/>
  <c r="C1286" i="22" s="1"/>
  <c r="A1287" i="22" a="1"/>
  <c r="A1287" i="22" s="1"/>
  <c r="B1287" i="22" a="1"/>
  <c r="B1287" i="22" s="1"/>
  <c r="C1287" i="22" a="1"/>
  <c r="C1287" i="22" s="1"/>
  <c r="A1288" i="22" a="1"/>
  <c r="A1288" i="22" s="1"/>
  <c r="B1288" i="22" a="1"/>
  <c r="B1288" i="22" s="1"/>
  <c r="C1288" i="22" a="1"/>
  <c r="C1288" i="22" s="1"/>
  <c r="A1289" i="22" a="1"/>
  <c r="A1289" i="22" s="1"/>
  <c r="B1289" i="22" a="1"/>
  <c r="B1289" i="22" s="1"/>
  <c r="C1289" i="22" a="1"/>
  <c r="C1289" i="22" s="1"/>
  <c r="A1290" i="22" a="1"/>
  <c r="A1290" i="22" s="1"/>
  <c r="B1290" i="22" a="1"/>
  <c r="B1290" i="22" s="1"/>
  <c r="C1290" i="22" a="1"/>
  <c r="C1290" i="22" s="1"/>
  <c r="A1291" i="22" a="1"/>
  <c r="A1291" i="22" s="1"/>
  <c r="B1291" i="22" a="1"/>
  <c r="B1291" i="22" s="1"/>
  <c r="C1291" i="22" a="1"/>
  <c r="C1291" i="22" s="1"/>
  <c r="A1292" i="22" a="1"/>
  <c r="A1292" i="22" s="1"/>
  <c r="B1292" i="22" a="1"/>
  <c r="B1292" i="22" s="1"/>
  <c r="C1292" i="22" a="1"/>
  <c r="C1292" i="22" s="1"/>
  <c r="A1293" i="22" a="1"/>
  <c r="A1293" i="22" s="1"/>
  <c r="B1293" i="22" a="1"/>
  <c r="B1293" i="22" s="1"/>
  <c r="C1293" i="22" a="1"/>
  <c r="C1293" i="22" s="1"/>
  <c r="A1294" i="22" a="1"/>
  <c r="A1294" i="22" s="1"/>
  <c r="B1294" i="22" a="1"/>
  <c r="B1294" i="22" s="1"/>
  <c r="C1294" i="22" a="1"/>
  <c r="C1294" i="22" s="1"/>
  <c r="A1295" i="22" a="1"/>
  <c r="A1295" i="22" s="1"/>
  <c r="B1295" i="22" a="1"/>
  <c r="B1295" i="22" s="1"/>
  <c r="C1295" i="22" a="1"/>
  <c r="C1295" i="22" s="1"/>
  <c r="A1296" i="22" a="1"/>
  <c r="A1296" i="22" s="1"/>
  <c r="B1296" i="22" a="1"/>
  <c r="B1296" i="22" s="1"/>
  <c r="C1296" i="22" a="1"/>
  <c r="C1296" i="22" s="1"/>
  <c r="A1297" i="22" a="1"/>
  <c r="A1297" i="22" s="1"/>
  <c r="B1297" i="22" a="1"/>
  <c r="B1297" i="22" s="1"/>
  <c r="C1297" i="22" a="1"/>
  <c r="C1297" i="22" s="1"/>
  <c r="A1298" i="22" a="1"/>
  <c r="A1298" i="22" s="1"/>
  <c r="B1298" i="22" a="1"/>
  <c r="B1298" i="22" s="1"/>
  <c r="C1298" i="22" a="1"/>
  <c r="C1298" i="22" s="1"/>
  <c r="A1299" i="22" a="1"/>
  <c r="A1299" i="22" s="1"/>
  <c r="B1299" i="22" a="1"/>
  <c r="B1299" i="22" s="1"/>
  <c r="C1299" i="22" a="1"/>
  <c r="C1299" i="22" s="1"/>
  <c r="A1300" i="22" a="1"/>
  <c r="A1300" i="22" s="1"/>
  <c r="B1300" i="22" a="1"/>
  <c r="B1300" i="22" s="1"/>
  <c r="C1300" i="22" a="1"/>
  <c r="C1300" i="22" s="1"/>
  <c r="A1301" i="22" a="1"/>
  <c r="A1301" i="22" s="1"/>
  <c r="B1301" i="22" a="1"/>
  <c r="B1301" i="22" s="1"/>
  <c r="C1301" i="22" a="1"/>
  <c r="C1301" i="22" s="1"/>
  <c r="A1302" i="22" a="1"/>
  <c r="A1302" i="22" s="1"/>
  <c r="B1302" i="22" a="1"/>
  <c r="B1302" i="22" s="1"/>
  <c r="C1302" i="22" a="1"/>
  <c r="C1302" i="22" s="1"/>
  <c r="A1303" i="22" a="1"/>
  <c r="A1303" i="22" s="1"/>
  <c r="B1303" i="22" a="1"/>
  <c r="B1303" i="22" s="1"/>
  <c r="C1303" i="22" a="1"/>
  <c r="C1303" i="22" s="1"/>
  <c r="A1304" i="22" a="1"/>
  <c r="A1304" i="22" s="1"/>
  <c r="B1304" i="22" a="1"/>
  <c r="B1304" i="22" s="1"/>
  <c r="C1304" i="22" a="1"/>
  <c r="C1304" i="22" s="1"/>
  <c r="A1305" i="22" a="1"/>
  <c r="A1305" i="22" s="1"/>
  <c r="B1305" i="22" a="1"/>
  <c r="B1305" i="22" s="1"/>
  <c r="C1305" i="22" a="1"/>
  <c r="C1305" i="22" s="1"/>
  <c r="A1306" i="22" a="1"/>
  <c r="A1306" i="22" s="1"/>
  <c r="B1306" i="22" a="1"/>
  <c r="B1306" i="22" s="1"/>
  <c r="C1306" i="22" a="1"/>
  <c r="C1306" i="22" s="1"/>
  <c r="A1307" i="22" a="1"/>
  <c r="A1307" i="22" s="1"/>
  <c r="B1307" i="22" a="1"/>
  <c r="B1307" i="22" s="1"/>
  <c r="C1307" i="22" a="1"/>
  <c r="C1307" i="22" s="1"/>
  <c r="A1236" i="22" a="1"/>
  <c r="A1236" i="22" s="1"/>
  <c r="B1236" i="22" a="1"/>
  <c r="B1236" i="22" s="1"/>
  <c r="C1236" i="22" a="1"/>
  <c r="C1236" i="22" s="1"/>
  <c r="A1237" i="22" a="1"/>
  <c r="A1237" i="22" s="1"/>
  <c r="B1237" i="22" a="1"/>
  <c r="B1237" i="22" s="1"/>
  <c r="C1237" i="22" a="1"/>
  <c r="C1237" i="22" s="1"/>
  <c r="A1238" i="22" a="1"/>
  <c r="A1238" i="22" s="1"/>
  <c r="B1238" i="22" a="1"/>
  <c r="B1238" i="22" s="1"/>
  <c r="C1238" i="22" a="1"/>
  <c r="C1238" i="22" s="1"/>
  <c r="A1239" i="22" a="1"/>
  <c r="A1239" i="22" s="1"/>
  <c r="B1239" i="22" a="1"/>
  <c r="B1239" i="22" s="1"/>
  <c r="C1239" i="22" a="1"/>
  <c r="C1239" i="22" s="1"/>
  <c r="A1240" i="22" a="1"/>
  <c r="A1240" i="22" s="1"/>
  <c r="B1240" i="22" a="1"/>
  <c r="B1240" i="22" s="1"/>
  <c r="C1240" i="22" a="1"/>
  <c r="C1240" i="22" s="1"/>
  <c r="A1241" i="22" a="1"/>
  <c r="A1241" i="22" s="1"/>
  <c r="B1241" i="22" a="1"/>
  <c r="B1241" i="22" s="1"/>
  <c r="C1241" i="22" a="1"/>
  <c r="C1241" i="22" s="1"/>
  <c r="A1242" i="22" a="1"/>
  <c r="A1242" i="22" s="1"/>
  <c r="B1242" i="22" a="1"/>
  <c r="B1242" i="22" s="1"/>
  <c r="C1242" i="22" a="1"/>
  <c r="C1242" i="22" s="1"/>
  <c r="A1243" i="22" a="1"/>
  <c r="A1243" i="22" s="1"/>
  <c r="B1243" i="22" a="1"/>
  <c r="B1243" i="22" s="1"/>
  <c r="C1243" i="22" a="1"/>
  <c r="C1243" i="22" s="1"/>
  <c r="A1244" i="22" a="1"/>
  <c r="A1244" i="22" s="1"/>
  <c r="B1244" i="22" a="1"/>
  <c r="B1244" i="22" s="1"/>
  <c r="C1244" i="22" a="1"/>
  <c r="C1244" i="22" s="1"/>
  <c r="A1245" i="22" a="1"/>
  <c r="A1245" i="22" s="1"/>
  <c r="B1245" i="22" a="1"/>
  <c r="B1245" i="22" s="1"/>
  <c r="C1245" i="22" a="1"/>
  <c r="C1245" i="22" s="1"/>
  <c r="A1246" i="22" a="1"/>
  <c r="A1246" i="22" s="1"/>
  <c r="B1246" i="22" a="1"/>
  <c r="B1246" i="22" s="1"/>
  <c r="C1246" i="22" a="1"/>
  <c r="C1246" i="22" s="1"/>
  <c r="A1247" i="22" a="1"/>
  <c r="A1247" i="22" s="1"/>
  <c r="B1247" i="22" a="1"/>
  <c r="B1247" i="22" s="1"/>
  <c r="C1247" i="22" a="1"/>
  <c r="C1247" i="22" s="1"/>
  <c r="A1248" i="22" a="1"/>
  <c r="A1248" i="22" s="1"/>
  <c r="B1248" i="22" a="1"/>
  <c r="B1248" i="22" s="1"/>
  <c r="C1248" i="22" a="1"/>
  <c r="C1248" i="22" s="1"/>
  <c r="A1249" i="22" a="1"/>
  <c r="A1249" i="22" s="1"/>
  <c r="B1249" i="22" a="1"/>
  <c r="B1249" i="22" s="1"/>
  <c r="C1249" i="22" a="1"/>
  <c r="C1249" i="22" s="1"/>
  <c r="A1250" i="22" a="1"/>
  <c r="A1250" i="22" s="1"/>
  <c r="B1250" i="22" a="1"/>
  <c r="B1250" i="22" s="1"/>
  <c r="C1250" i="22" a="1"/>
  <c r="C1250" i="22" s="1"/>
  <c r="A1251" i="22" a="1"/>
  <c r="A1251" i="22" s="1"/>
  <c r="B1251" i="22" a="1"/>
  <c r="B1251" i="22" s="1"/>
  <c r="C1251" i="22" a="1"/>
  <c r="C1251" i="22" s="1"/>
  <c r="A1252" i="22" a="1"/>
  <c r="A1252" i="22" s="1"/>
  <c r="B1252" i="22" a="1"/>
  <c r="B1252" i="22" s="1"/>
  <c r="C1252" i="22" a="1"/>
  <c r="C1252" i="22" s="1"/>
  <c r="A1253" i="22" a="1"/>
  <c r="A1253" i="22" s="1"/>
  <c r="B1253" i="22" a="1"/>
  <c r="B1253" i="22" s="1"/>
  <c r="D1253" i="22" s="1"/>
  <c r="C1253" i="22" a="1"/>
  <c r="C1253" i="22" s="1"/>
  <c r="A1254" i="22" a="1"/>
  <c r="A1254" i="22" s="1"/>
  <c r="B1254" i="22" a="1"/>
  <c r="B1254" i="22" s="1"/>
  <c r="C1254" i="22" a="1"/>
  <c r="C1254" i="22" s="1"/>
  <c r="A1255" i="22" a="1"/>
  <c r="A1255" i="22" s="1"/>
  <c r="B1255" i="22" a="1"/>
  <c r="B1255" i="22" s="1"/>
  <c r="C1255" i="22" a="1"/>
  <c r="C1255" i="22" s="1"/>
  <c r="A1256" i="22" a="1"/>
  <c r="A1256" i="22" s="1"/>
  <c r="B1256" i="22" a="1"/>
  <c r="B1256" i="22" s="1"/>
  <c r="C1256" i="22" a="1"/>
  <c r="C1256" i="22" s="1"/>
  <c r="A1257" i="22" a="1"/>
  <c r="A1257" i="22" s="1"/>
  <c r="B1257" i="22" a="1"/>
  <c r="B1257" i="22" s="1"/>
  <c r="C1257" i="22" a="1"/>
  <c r="C1257" i="22" s="1"/>
  <c r="A1258" i="22" a="1"/>
  <c r="A1258" i="22" s="1"/>
  <c r="B1258" i="22" a="1"/>
  <c r="B1258" i="22" s="1"/>
  <c r="C1258" i="22" a="1"/>
  <c r="C1258" i="22" s="1"/>
  <c r="A1259" i="22" a="1"/>
  <c r="A1259" i="22" s="1"/>
  <c r="B1259" i="22" a="1"/>
  <c r="B1259" i="22" s="1"/>
  <c r="C1259" i="22" a="1"/>
  <c r="C1259" i="22" s="1"/>
  <c r="A1260" i="22" a="1"/>
  <c r="A1260" i="22" s="1"/>
  <c r="B1260" i="22" a="1"/>
  <c r="B1260" i="22" s="1"/>
  <c r="C1260" i="22" a="1"/>
  <c r="C1260" i="22" s="1"/>
  <c r="A1261" i="22" a="1"/>
  <c r="A1261" i="22" s="1"/>
  <c r="B1261" i="22" a="1"/>
  <c r="B1261" i="22" s="1"/>
  <c r="C1261" i="22" a="1"/>
  <c r="C1261" i="22" s="1"/>
  <c r="A1262" i="22" a="1"/>
  <c r="A1262" i="22" s="1"/>
  <c r="B1262" i="22" a="1"/>
  <c r="B1262" i="22" s="1"/>
  <c r="C1262" i="22" a="1"/>
  <c r="C1262" i="22" s="1"/>
  <c r="A1263" i="22" a="1"/>
  <c r="A1263" i="22" s="1"/>
  <c r="B1263" i="22" a="1"/>
  <c r="B1263" i="22" s="1"/>
  <c r="C1263" i="22" a="1"/>
  <c r="C1263" i="22" s="1"/>
  <c r="A1264" i="22" a="1"/>
  <c r="A1264" i="22" s="1"/>
  <c r="B1264" i="22" a="1"/>
  <c r="B1264" i="22" s="1"/>
  <c r="C1264" i="22" a="1"/>
  <c r="C1264" i="22" s="1"/>
  <c r="A1265" i="22" a="1"/>
  <c r="A1265" i="22" s="1"/>
  <c r="B1265" i="22" a="1"/>
  <c r="B1265" i="22" s="1"/>
  <c r="C1265" i="22" a="1"/>
  <c r="C1265" i="22" s="1"/>
  <c r="A1266" i="22" a="1"/>
  <c r="A1266" i="22" s="1"/>
  <c r="B1266" i="22" a="1"/>
  <c r="B1266" i="22" s="1"/>
  <c r="C1266" i="22" a="1"/>
  <c r="C1266" i="22" s="1"/>
  <c r="A1267" i="22" a="1"/>
  <c r="A1267" i="22" s="1"/>
  <c r="B1267" i="22" a="1"/>
  <c r="B1267" i="22" s="1"/>
  <c r="C1267" i="22" a="1"/>
  <c r="C1267" i="22" s="1"/>
  <c r="A1268" i="22" a="1"/>
  <c r="A1268" i="22" s="1"/>
  <c r="B1268" i="22" a="1"/>
  <c r="B1268" i="22" s="1"/>
  <c r="C1268" i="22" a="1"/>
  <c r="C1268" i="22" s="1"/>
  <c r="A1269" i="22" a="1"/>
  <c r="A1269" i="22" s="1"/>
  <c r="B1269" i="22" a="1"/>
  <c r="B1269" i="22" s="1"/>
  <c r="C1269" i="22" a="1"/>
  <c r="C1269" i="22" s="1"/>
  <c r="A1198" i="22" a="1"/>
  <c r="A1198" i="22" s="1"/>
  <c r="B1198" i="22" a="1"/>
  <c r="B1198" i="22" s="1"/>
  <c r="C1198" i="22" a="1"/>
  <c r="C1198" i="22" s="1"/>
  <c r="A1199" i="22" a="1"/>
  <c r="A1199" i="22" s="1"/>
  <c r="B1199" i="22" a="1"/>
  <c r="B1199" i="22" s="1"/>
  <c r="C1199" i="22" a="1"/>
  <c r="C1199" i="22" s="1"/>
  <c r="A1200" i="22" a="1"/>
  <c r="A1200" i="22" s="1"/>
  <c r="B1200" i="22" a="1"/>
  <c r="B1200" i="22" s="1"/>
  <c r="C1200" i="22" a="1"/>
  <c r="C1200" i="22" s="1"/>
  <c r="A1201" i="22" a="1"/>
  <c r="A1201" i="22" s="1"/>
  <c r="B1201" i="22" a="1"/>
  <c r="B1201" i="22" s="1"/>
  <c r="C1201" i="22" a="1"/>
  <c r="C1201" i="22" s="1"/>
  <c r="A1202" i="22" a="1"/>
  <c r="A1202" i="22" s="1"/>
  <c r="B1202" i="22" a="1"/>
  <c r="B1202" i="22" s="1"/>
  <c r="C1202" i="22" a="1"/>
  <c r="C1202" i="22" s="1"/>
  <c r="A1203" i="22" a="1"/>
  <c r="A1203" i="22" s="1"/>
  <c r="B1203" i="22" a="1"/>
  <c r="B1203" i="22" s="1"/>
  <c r="C1203" i="22" a="1"/>
  <c r="C1203" i="22" s="1"/>
  <c r="A1204" i="22" a="1"/>
  <c r="A1204" i="22" s="1"/>
  <c r="B1204" i="22" a="1"/>
  <c r="B1204" i="22" s="1"/>
  <c r="C1204" i="22" a="1"/>
  <c r="C1204" i="22" s="1"/>
  <c r="A1205" i="22" a="1"/>
  <c r="A1205" i="22" s="1"/>
  <c r="B1205" i="22" a="1"/>
  <c r="B1205" i="22" s="1"/>
  <c r="C1205" i="22" a="1"/>
  <c r="C1205" i="22" s="1"/>
  <c r="A1206" i="22" a="1"/>
  <c r="A1206" i="22" s="1"/>
  <c r="B1206" i="22" a="1"/>
  <c r="B1206" i="22" s="1"/>
  <c r="C1206" i="22" a="1"/>
  <c r="C1206" i="22" s="1"/>
  <c r="A1207" i="22" a="1"/>
  <c r="A1207" i="22" s="1"/>
  <c r="B1207" i="22" a="1"/>
  <c r="B1207" i="22" s="1"/>
  <c r="C1207" i="22" a="1"/>
  <c r="C1207" i="22" s="1"/>
  <c r="A1208" i="22" a="1"/>
  <c r="A1208" i="22" s="1"/>
  <c r="B1208" i="22" a="1"/>
  <c r="B1208" i="22" s="1"/>
  <c r="C1208" i="22" a="1"/>
  <c r="C1208" i="22" s="1"/>
  <c r="A1209" i="22" a="1"/>
  <c r="A1209" i="22" s="1"/>
  <c r="B1209" i="22" a="1"/>
  <c r="B1209" i="22" s="1"/>
  <c r="C1209" i="22" a="1"/>
  <c r="C1209" i="22" s="1"/>
  <c r="A1210" i="22" a="1"/>
  <c r="A1210" i="22" s="1"/>
  <c r="B1210" i="22" a="1"/>
  <c r="B1210" i="22" s="1"/>
  <c r="C1210" i="22" a="1"/>
  <c r="C1210" i="22" s="1"/>
  <c r="A1211" i="22" a="1"/>
  <c r="A1211" i="22" s="1"/>
  <c r="B1211" i="22" a="1"/>
  <c r="B1211" i="22" s="1"/>
  <c r="C1211" i="22" a="1"/>
  <c r="C1211" i="22" s="1"/>
  <c r="A1212" i="22" a="1"/>
  <c r="A1212" i="22" s="1"/>
  <c r="B1212" i="22" a="1"/>
  <c r="B1212" i="22" s="1"/>
  <c r="C1212" i="22" a="1"/>
  <c r="C1212" i="22" s="1"/>
  <c r="A1213" i="22" a="1"/>
  <c r="A1213" i="22" s="1"/>
  <c r="B1213" i="22" a="1"/>
  <c r="B1213" i="22" s="1"/>
  <c r="C1213" i="22" a="1"/>
  <c r="C1213" i="22" s="1"/>
  <c r="A1214" i="22" a="1"/>
  <c r="A1214" i="22" s="1"/>
  <c r="B1214" i="22" a="1"/>
  <c r="B1214" i="22" s="1"/>
  <c r="C1214" i="22" a="1"/>
  <c r="C1214" i="22" s="1"/>
  <c r="A1215" i="22" a="1"/>
  <c r="A1215" i="22" s="1"/>
  <c r="B1215" i="22" a="1"/>
  <c r="B1215" i="22" s="1"/>
  <c r="C1215" i="22" a="1"/>
  <c r="C1215" i="22" s="1"/>
  <c r="A1216" i="22" a="1"/>
  <c r="A1216" i="22" s="1"/>
  <c r="B1216" i="22" a="1"/>
  <c r="B1216" i="22" s="1"/>
  <c r="C1216" i="22" a="1"/>
  <c r="C1216" i="22" s="1"/>
  <c r="A1217" i="22" a="1"/>
  <c r="A1217" i="22" s="1"/>
  <c r="B1217" i="22" a="1"/>
  <c r="B1217" i="22" s="1"/>
  <c r="C1217" i="22" a="1"/>
  <c r="C1217" i="22" s="1"/>
  <c r="A1218" i="22" a="1"/>
  <c r="A1218" i="22" s="1"/>
  <c r="B1218" i="22" a="1"/>
  <c r="B1218" i="22" s="1"/>
  <c r="C1218" i="22" a="1"/>
  <c r="C1218" i="22" s="1"/>
  <c r="A1219" i="22" a="1"/>
  <c r="A1219" i="22" s="1"/>
  <c r="B1219" i="22" a="1"/>
  <c r="B1219" i="22" s="1"/>
  <c r="C1219" i="22" a="1"/>
  <c r="C1219" i="22" s="1"/>
  <c r="A1220" i="22" a="1"/>
  <c r="A1220" i="22" s="1"/>
  <c r="B1220" i="22" a="1"/>
  <c r="B1220" i="22" s="1"/>
  <c r="C1220" i="22" a="1"/>
  <c r="C1220" i="22" s="1"/>
  <c r="A1221" i="22" a="1"/>
  <c r="A1221" i="22" s="1"/>
  <c r="B1221" i="22" a="1"/>
  <c r="B1221" i="22" s="1"/>
  <c r="C1221" i="22" a="1"/>
  <c r="C1221" i="22" s="1"/>
  <c r="A1222" i="22" a="1"/>
  <c r="A1222" i="22" s="1"/>
  <c r="B1222" i="22" a="1"/>
  <c r="B1222" i="22" s="1"/>
  <c r="C1222" i="22" a="1"/>
  <c r="C1222" i="22" s="1"/>
  <c r="A1223" i="22" a="1"/>
  <c r="A1223" i="22" s="1"/>
  <c r="B1223" i="22" a="1"/>
  <c r="B1223" i="22" s="1"/>
  <c r="C1223" i="22" a="1"/>
  <c r="C1223" i="22" s="1"/>
  <c r="A1224" i="22" a="1"/>
  <c r="A1224" i="22" s="1"/>
  <c r="B1224" i="22" a="1"/>
  <c r="B1224" i="22" s="1"/>
  <c r="C1224" i="22" a="1"/>
  <c r="C1224" i="22" s="1"/>
  <c r="A1225" i="22" a="1"/>
  <c r="A1225" i="22" s="1"/>
  <c r="B1225" i="22" a="1"/>
  <c r="B1225" i="22" s="1"/>
  <c r="C1225" i="22" a="1"/>
  <c r="C1225" i="22" s="1"/>
  <c r="A1226" i="22" a="1"/>
  <c r="A1226" i="22" s="1"/>
  <c r="B1226" i="22" a="1"/>
  <c r="B1226" i="22" s="1"/>
  <c r="C1226" i="22" a="1"/>
  <c r="C1226" i="22" s="1"/>
  <c r="A1227" i="22" a="1"/>
  <c r="A1227" i="22" s="1"/>
  <c r="B1227" i="22" a="1"/>
  <c r="B1227" i="22" s="1"/>
  <c r="C1227" i="22" a="1"/>
  <c r="C1227" i="22" s="1"/>
  <c r="A1228" i="22" a="1"/>
  <c r="A1228" i="22" s="1"/>
  <c r="B1228" i="22" a="1"/>
  <c r="B1228" i="22" s="1"/>
  <c r="C1228" i="22" a="1"/>
  <c r="C1228" i="22" s="1"/>
  <c r="A1229" i="22" a="1"/>
  <c r="A1229" i="22" s="1"/>
  <c r="B1229" i="22" a="1"/>
  <c r="B1229" i="22" s="1"/>
  <c r="C1229" i="22" a="1"/>
  <c r="C1229" i="22" s="1"/>
  <c r="A1230" i="22" a="1"/>
  <c r="A1230" i="22" s="1"/>
  <c r="B1230" i="22" a="1"/>
  <c r="B1230" i="22" s="1"/>
  <c r="C1230" i="22" a="1"/>
  <c r="C1230" i="22" s="1"/>
  <c r="A1231" i="22" a="1"/>
  <c r="A1231" i="22" s="1"/>
  <c r="B1231" i="22" a="1"/>
  <c r="B1231" i="22" s="1"/>
  <c r="C1231" i="22" a="1"/>
  <c r="C1231" i="22" s="1"/>
  <c r="A1160" i="22" a="1"/>
  <c r="A1160" i="22" s="1"/>
  <c r="B1160" i="22" a="1"/>
  <c r="B1160" i="22" s="1"/>
  <c r="C1160" i="22" a="1"/>
  <c r="C1160" i="22" s="1"/>
  <c r="A1161" i="22" a="1"/>
  <c r="A1161" i="22" s="1"/>
  <c r="B1161" i="22" a="1"/>
  <c r="B1161" i="22" s="1"/>
  <c r="C1161" i="22" a="1"/>
  <c r="C1161" i="22" s="1"/>
  <c r="A1162" i="22" a="1"/>
  <c r="A1162" i="22" s="1"/>
  <c r="B1162" i="22" a="1"/>
  <c r="B1162" i="22" s="1"/>
  <c r="C1162" i="22" a="1"/>
  <c r="C1162" i="22" s="1"/>
  <c r="A1163" i="22" a="1"/>
  <c r="A1163" i="22" s="1"/>
  <c r="B1163" i="22" a="1"/>
  <c r="B1163" i="22" s="1"/>
  <c r="C1163" i="22" a="1"/>
  <c r="C1163" i="22" s="1"/>
  <c r="A1164" i="22" a="1"/>
  <c r="A1164" i="22" s="1"/>
  <c r="B1164" i="22" a="1"/>
  <c r="B1164" i="22" s="1"/>
  <c r="C1164" i="22" a="1"/>
  <c r="C1164" i="22" s="1"/>
  <c r="A1165" i="22" a="1"/>
  <c r="A1165" i="22" s="1"/>
  <c r="B1165" i="22" a="1"/>
  <c r="B1165" i="22" s="1"/>
  <c r="C1165" i="22" a="1"/>
  <c r="C1165" i="22" s="1"/>
  <c r="A1166" i="22" a="1"/>
  <c r="A1166" i="22" s="1"/>
  <c r="B1166" i="22" a="1"/>
  <c r="B1166" i="22" s="1"/>
  <c r="C1166" i="22" a="1"/>
  <c r="C1166" i="22" s="1"/>
  <c r="A1167" i="22" a="1"/>
  <c r="A1167" i="22" s="1"/>
  <c r="B1167" i="22" a="1"/>
  <c r="B1167" i="22" s="1"/>
  <c r="C1167" i="22" a="1"/>
  <c r="C1167" i="22" s="1"/>
  <c r="A1168" i="22" a="1"/>
  <c r="A1168" i="22" s="1"/>
  <c r="B1168" i="22" a="1"/>
  <c r="B1168" i="22" s="1"/>
  <c r="C1168" i="22" a="1"/>
  <c r="C1168" i="22" s="1"/>
  <c r="A1169" i="22" a="1"/>
  <c r="A1169" i="22" s="1"/>
  <c r="B1169" i="22" a="1"/>
  <c r="B1169" i="22" s="1"/>
  <c r="C1169" i="22" a="1"/>
  <c r="C1169" i="22" s="1"/>
  <c r="A1170" i="22" a="1"/>
  <c r="A1170" i="22" s="1"/>
  <c r="B1170" i="22" a="1"/>
  <c r="B1170" i="22" s="1"/>
  <c r="C1170" i="22" a="1"/>
  <c r="C1170" i="22" s="1"/>
  <c r="A1171" i="22" a="1"/>
  <c r="A1171" i="22" s="1"/>
  <c r="B1171" i="22" a="1"/>
  <c r="B1171" i="22" s="1"/>
  <c r="C1171" i="22" a="1"/>
  <c r="C1171" i="22" s="1"/>
  <c r="A1172" i="22" a="1"/>
  <c r="A1172" i="22" s="1"/>
  <c r="B1172" i="22" a="1"/>
  <c r="B1172" i="22" s="1"/>
  <c r="C1172" i="22" a="1"/>
  <c r="C1172" i="22" s="1"/>
  <c r="A1173" i="22" a="1"/>
  <c r="A1173" i="22" s="1"/>
  <c r="B1173" i="22" a="1"/>
  <c r="B1173" i="22" s="1"/>
  <c r="C1173" i="22" a="1"/>
  <c r="C1173" i="22" s="1"/>
  <c r="A1174" i="22" a="1"/>
  <c r="A1174" i="22" s="1"/>
  <c r="B1174" i="22" a="1"/>
  <c r="B1174" i="22" s="1"/>
  <c r="C1174" i="22" a="1"/>
  <c r="C1174" i="22" s="1"/>
  <c r="A1175" i="22" a="1"/>
  <c r="A1175" i="22" s="1"/>
  <c r="B1175" i="22" a="1"/>
  <c r="B1175" i="22" s="1"/>
  <c r="C1175" i="22" a="1"/>
  <c r="C1175" i="22" s="1"/>
  <c r="A1176" i="22" a="1"/>
  <c r="A1176" i="22" s="1"/>
  <c r="B1176" i="22" a="1"/>
  <c r="B1176" i="22" s="1"/>
  <c r="C1176" i="22" a="1"/>
  <c r="C1176" i="22" s="1"/>
  <c r="A1177" i="22" a="1"/>
  <c r="A1177" i="22" s="1"/>
  <c r="B1177" i="22" a="1"/>
  <c r="B1177" i="22" s="1"/>
  <c r="C1177" i="22" a="1"/>
  <c r="C1177" i="22" s="1"/>
  <c r="A1178" i="22" a="1"/>
  <c r="A1178" i="22" s="1"/>
  <c r="B1178" i="22" a="1"/>
  <c r="B1178" i="22" s="1"/>
  <c r="C1178" i="22" a="1"/>
  <c r="C1178" i="22" s="1"/>
  <c r="A1179" i="22" a="1"/>
  <c r="A1179" i="22" s="1"/>
  <c r="B1179" i="22" a="1"/>
  <c r="B1179" i="22" s="1"/>
  <c r="C1179" i="22" a="1"/>
  <c r="C1179" i="22" s="1"/>
  <c r="A1180" i="22" a="1"/>
  <c r="A1180" i="22" s="1"/>
  <c r="B1180" i="22" a="1"/>
  <c r="B1180" i="22" s="1"/>
  <c r="C1180" i="22" a="1"/>
  <c r="C1180" i="22" s="1"/>
  <c r="A1181" i="22" a="1"/>
  <c r="A1181" i="22" s="1"/>
  <c r="B1181" i="22" a="1"/>
  <c r="B1181" i="22" s="1"/>
  <c r="C1181" i="22" a="1"/>
  <c r="C1181" i="22" s="1"/>
  <c r="A1182" i="22" a="1"/>
  <c r="A1182" i="22" s="1"/>
  <c r="B1182" i="22" a="1"/>
  <c r="B1182" i="22" s="1"/>
  <c r="C1182" i="22" a="1"/>
  <c r="C1182" i="22" s="1"/>
  <c r="A1183" i="22" a="1"/>
  <c r="A1183" i="22" s="1"/>
  <c r="B1183" i="22" a="1"/>
  <c r="B1183" i="22" s="1"/>
  <c r="C1183" i="22" a="1"/>
  <c r="C1183" i="22" s="1"/>
  <c r="A1184" i="22" a="1"/>
  <c r="A1184" i="22" s="1"/>
  <c r="B1184" i="22" a="1"/>
  <c r="B1184" i="22" s="1"/>
  <c r="C1184" i="22" a="1"/>
  <c r="C1184" i="22" s="1"/>
  <c r="A1185" i="22" a="1"/>
  <c r="A1185" i="22" s="1"/>
  <c r="B1185" i="22" a="1"/>
  <c r="B1185" i="22" s="1"/>
  <c r="C1185" i="22" a="1"/>
  <c r="C1185" i="22" s="1"/>
  <c r="A1186" i="22" a="1"/>
  <c r="A1186" i="22" s="1"/>
  <c r="B1186" i="22" a="1"/>
  <c r="B1186" i="22" s="1"/>
  <c r="C1186" i="22" a="1"/>
  <c r="C1186" i="22" s="1"/>
  <c r="A1187" i="22" a="1"/>
  <c r="A1187" i="22" s="1"/>
  <c r="B1187" i="22" a="1"/>
  <c r="B1187" i="22" s="1"/>
  <c r="C1187" i="22" a="1"/>
  <c r="C1187" i="22" s="1"/>
  <c r="A1188" i="22" a="1"/>
  <c r="A1188" i="22" s="1"/>
  <c r="B1188" i="22" a="1"/>
  <c r="B1188" i="22" s="1"/>
  <c r="C1188" i="22" a="1"/>
  <c r="C1188" i="22" s="1"/>
  <c r="A1189" i="22" a="1"/>
  <c r="A1189" i="22" s="1"/>
  <c r="B1189" i="22" a="1"/>
  <c r="B1189" i="22" s="1"/>
  <c r="C1189" i="22" a="1"/>
  <c r="C1189" i="22" s="1"/>
  <c r="A1190" i="22" a="1"/>
  <c r="A1190" i="22" s="1"/>
  <c r="B1190" i="22" a="1"/>
  <c r="B1190" i="22" s="1"/>
  <c r="C1190" i="22" a="1"/>
  <c r="C1190" i="22" s="1"/>
  <c r="A1191" i="22" a="1"/>
  <c r="A1191" i="22" s="1"/>
  <c r="B1191" i="22" a="1"/>
  <c r="B1191" i="22" s="1"/>
  <c r="C1191" i="22" a="1"/>
  <c r="C1191" i="22" s="1"/>
  <c r="A1192" i="22" a="1"/>
  <c r="A1192" i="22" s="1"/>
  <c r="B1192" i="22" a="1"/>
  <c r="B1192" i="22" s="1"/>
  <c r="C1192" i="22" a="1"/>
  <c r="C1192" i="22" s="1"/>
  <c r="A1193" i="22" a="1"/>
  <c r="A1193" i="22" s="1"/>
  <c r="B1193" i="22" a="1"/>
  <c r="B1193" i="22" s="1"/>
  <c r="C1193" i="22" a="1"/>
  <c r="C1193" i="22" s="1"/>
  <c r="A1122" i="22" a="1"/>
  <c r="A1122" i="22" s="1"/>
  <c r="B1122" i="22" a="1"/>
  <c r="B1122" i="22" s="1"/>
  <c r="C1122" i="22" a="1"/>
  <c r="C1122" i="22" s="1"/>
  <c r="A1123" i="22" a="1"/>
  <c r="A1123" i="22" s="1"/>
  <c r="B1123" i="22" a="1"/>
  <c r="B1123" i="22" s="1"/>
  <c r="C1123" i="22" a="1"/>
  <c r="C1123" i="22" s="1"/>
  <c r="A1124" i="22" a="1"/>
  <c r="A1124" i="22" s="1"/>
  <c r="B1124" i="22" a="1"/>
  <c r="B1124" i="22" s="1"/>
  <c r="C1124" i="22" a="1"/>
  <c r="C1124" i="22" s="1"/>
  <c r="A1125" i="22" a="1"/>
  <c r="A1125" i="22" s="1"/>
  <c r="B1125" i="22" a="1"/>
  <c r="B1125" i="22" s="1"/>
  <c r="C1125" i="22" a="1"/>
  <c r="C1125" i="22" s="1"/>
  <c r="A1126" i="22" a="1"/>
  <c r="A1126" i="22" s="1"/>
  <c r="B1126" i="22" a="1"/>
  <c r="B1126" i="22" s="1"/>
  <c r="C1126" i="22" a="1"/>
  <c r="C1126" i="22" s="1"/>
  <c r="A1127" i="22" a="1"/>
  <c r="A1127" i="22" s="1"/>
  <c r="B1127" i="22" a="1"/>
  <c r="B1127" i="22" s="1"/>
  <c r="C1127" i="22" a="1"/>
  <c r="C1127" i="22" s="1"/>
  <c r="A1128" i="22" a="1"/>
  <c r="A1128" i="22" s="1"/>
  <c r="B1128" i="22" a="1"/>
  <c r="B1128" i="22" s="1"/>
  <c r="C1128" i="22" a="1"/>
  <c r="C1128" i="22" s="1"/>
  <c r="A1129" i="22" a="1"/>
  <c r="A1129" i="22" s="1"/>
  <c r="B1129" i="22" a="1"/>
  <c r="B1129" i="22" s="1"/>
  <c r="C1129" i="22" a="1"/>
  <c r="C1129" i="22" s="1"/>
  <c r="A1130" i="22" a="1"/>
  <c r="A1130" i="22" s="1"/>
  <c r="B1130" i="22" a="1"/>
  <c r="B1130" i="22" s="1"/>
  <c r="C1130" i="22" a="1"/>
  <c r="C1130" i="22" s="1"/>
  <c r="A1131" i="22" a="1"/>
  <c r="A1131" i="22" s="1"/>
  <c r="B1131" i="22" a="1"/>
  <c r="B1131" i="22" s="1"/>
  <c r="C1131" i="22" a="1"/>
  <c r="C1131" i="22" s="1"/>
  <c r="A1132" i="22" a="1"/>
  <c r="A1132" i="22" s="1"/>
  <c r="B1132" i="22" a="1"/>
  <c r="B1132" i="22" s="1"/>
  <c r="C1132" i="22" a="1"/>
  <c r="C1132" i="22" s="1"/>
  <c r="A1133" i="22" a="1"/>
  <c r="A1133" i="22" s="1"/>
  <c r="B1133" i="22" a="1"/>
  <c r="B1133" i="22" s="1"/>
  <c r="C1133" i="22" a="1"/>
  <c r="C1133" i="22" s="1"/>
  <c r="A1134" i="22" a="1"/>
  <c r="A1134" i="22" s="1"/>
  <c r="B1134" i="22" a="1"/>
  <c r="B1134" i="22" s="1"/>
  <c r="C1134" i="22" a="1"/>
  <c r="C1134" i="22" s="1"/>
  <c r="A1135" i="22" a="1"/>
  <c r="A1135" i="22" s="1"/>
  <c r="B1135" i="22" a="1"/>
  <c r="B1135" i="22" s="1"/>
  <c r="C1135" i="22" a="1"/>
  <c r="C1135" i="22" s="1"/>
  <c r="A1136" i="22" a="1"/>
  <c r="A1136" i="22" s="1"/>
  <c r="B1136" i="22" a="1"/>
  <c r="B1136" i="22" s="1"/>
  <c r="C1136" i="22" a="1"/>
  <c r="C1136" i="22" s="1"/>
  <c r="A1137" i="22" a="1"/>
  <c r="A1137" i="22" s="1"/>
  <c r="B1137" i="22" a="1"/>
  <c r="B1137" i="22" s="1"/>
  <c r="C1137" i="22" a="1"/>
  <c r="C1137" i="22" s="1"/>
  <c r="A1138" i="22" a="1"/>
  <c r="A1138" i="22" s="1"/>
  <c r="B1138" i="22" a="1"/>
  <c r="B1138" i="22" s="1"/>
  <c r="C1138" i="22" a="1"/>
  <c r="C1138" i="22" s="1"/>
  <c r="A1139" i="22" a="1"/>
  <c r="A1139" i="22" s="1"/>
  <c r="B1139" i="22" a="1"/>
  <c r="B1139" i="22" s="1"/>
  <c r="C1139" i="22" a="1"/>
  <c r="C1139" i="22" s="1"/>
  <c r="A1140" i="22" a="1"/>
  <c r="A1140" i="22" s="1"/>
  <c r="B1140" i="22" a="1"/>
  <c r="B1140" i="22" s="1"/>
  <c r="C1140" i="22" a="1"/>
  <c r="C1140" i="22" s="1"/>
  <c r="A1141" i="22" a="1"/>
  <c r="A1141" i="22" s="1"/>
  <c r="B1141" i="22" a="1"/>
  <c r="B1141" i="22" s="1"/>
  <c r="C1141" i="22" a="1"/>
  <c r="C1141" i="22" s="1"/>
  <c r="A1142" i="22" a="1"/>
  <c r="A1142" i="22" s="1"/>
  <c r="B1142" i="22" a="1"/>
  <c r="B1142" i="22" s="1"/>
  <c r="C1142" i="22" a="1"/>
  <c r="C1142" i="22" s="1"/>
  <c r="A1143" i="22" a="1"/>
  <c r="A1143" i="22" s="1"/>
  <c r="B1143" i="22" a="1"/>
  <c r="B1143" i="22" s="1"/>
  <c r="C1143" i="22" a="1"/>
  <c r="C1143" i="22" s="1"/>
  <c r="A1144" i="22" a="1"/>
  <c r="A1144" i="22" s="1"/>
  <c r="B1144" i="22" a="1"/>
  <c r="B1144" i="22" s="1"/>
  <c r="C1144" i="22" a="1"/>
  <c r="C1144" i="22" s="1"/>
  <c r="A1145" i="22" a="1"/>
  <c r="A1145" i="22" s="1"/>
  <c r="B1145" i="22" a="1"/>
  <c r="B1145" i="22" s="1"/>
  <c r="C1145" i="22" a="1"/>
  <c r="C1145" i="22" s="1"/>
  <c r="A1146" i="22" a="1"/>
  <c r="A1146" i="22" s="1"/>
  <c r="B1146" i="22" a="1"/>
  <c r="B1146" i="22" s="1"/>
  <c r="C1146" i="22" a="1"/>
  <c r="C1146" i="22" s="1"/>
  <c r="A1147" i="22" a="1"/>
  <c r="A1147" i="22" s="1"/>
  <c r="B1147" i="22" a="1"/>
  <c r="B1147" i="22" s="1"/>
  <c r="C1147" i="22" a="1"/>
  <c r="C1147" i="22" s="1"/>
  <c r="A1148" i="22" a="1"/>
  <c r="A1148" i="22" s="1"/>
  <c r="B1148" i="22" a="1"/>
  <c r="B1148" i="22" s="1"/>
  <c r="C1148" i="22" a="1"/>
  <c r="C1148" i="22" s="1"/>
  <c r="A1149" i="22" a="1"/>
  <c r="A1149" i="22" s="1"/>
  <c r="B1149" i="22" a="1"/>
  <c r="B1149" i="22" s="1"/>
  <c r="C1149" i="22" a="1"/>
  <c r="C1149" i="22" s="1"/>
  <c r="A1150" i="22" a="1"/>
  <c r="A1150" i="22" s="1"/>
  <c r="B1150" i="22" a="1"/>
  <c r="B1150" i="22" s="1"/>
  <c r="C1150" i="22" a="1"/>
  <c r="C1150" i="22" s="1"/>
  <c r="A1151" i="22" a="1"/>
  <c r="A1151" i="22" s="1"/>
  <c r="B1151" i="22" a="1"/>
  <c r="B1151" i="22" s="1"/>
  <c r="C1151" i="22" a="1"/>
  <c r="C1151" i="22" s="1"/>
  <c r="A1152" i="22" a="1"/>
  <c r="A1152" i="22" s="1"/>
  <c r="B1152" i="22" a="1"/>
  <c r="B1152" i="22" s="1"/>
  <c r="C1152" i="22" a="1"/>
  <c r="C1152" i="22" s="1"/>
  <c r="A1153" i="22" a="1"/>
  <c r="A1153" i="22" s="1"/>
  <c r="B1153" i="22" a="1"/>
  <c r="B1153" i="22" s="1"/>
  <c r="C1153" i="22" a="1"/>
  <c r="C1153" i="22" s="1"/>
  <c r="A1154" i="22" a="1"/>
  <c r="A1154" i="22" s="1"/>
  <c r="B1154" i="22" a="1"/>
  <c r="B1154" i="22" s="1"/>
  <c r="C1154" i="22" a="1"/>
  <c r="C1154" i="22" s="1"/>
  <c r="A1155" i="22" a="1"/>
  <c r="A1155" i="22" s="1"/>
  <c r="B1155" i="22" a="1"/>
  <c r="B1155" i="22" s="1"/>
  <c r="C1155" i="22" a="1"/>
  <c r="C1155" i="22" s="1"/>
  <c r="A1084" i="22" a="1"/>
  <c r="A1084" i="22" s="1"/>
  <c r="B1084" i="22" a="1"/>
  <c r="B1084" i="22" s="1"/>
  <c r="C1084" i="22" a="1"/>
  <c r="C1084" i="22" s="1"/>
  <c r="A1085" i="22" a="1"/>
  <c r="A1085" i="22" s="1"/>
  <c r="B1085" i="22" a="1"/>
  <c r="B1085" i="22" s="1"/>
  <c r="C1085" i="22" a="1"/>
  <c r="C1085" i="22" s="1"/>
  <c r="A1086" i="22" a="1"/>
  <c r="A1086" i="22" s="1"/>
  <c r="B1086" i="22" a="1"/>
  <c r="B1086" i="22" s="1"/>
  <c r="C1086" i="22" a="1"/>
  <c r="C1086" i="22" s="1"/>
  <c r="A1087" i="22" a="1"/>
  <c r="A1087" i="22" s="1"/>
  <c r="B1087" i="22" a="1"/>
  <c r="B1087" i="22" s="1"/>
  <c r="C1087" i="22" a="1"/>
  <c r="C1087" i="22" s="1"/>
  <c r="A1088" i="22" a="1"/>
  <c r="A1088" i="22" s="1"/>
  <c r="B1088" i="22" a="1"/>
  <c r="B1088" i="22" s="1"/>
  <c r="C1088" i="22" a="1"/>
  <c r="C1088" i="22" s="1"/>
  <c r="A1089" i="22" a="1"/>
  <c r="A1089" i="22" s="1"/>
  <c r="B1089" i="22" a="1"/>
  <c r="B1089" i="22" s="1"/>
  <c r="C1089" i="22" a="1"/>
  <c r="C1089" i="22" s="1"/>
  <c r="A1090" i="22" a="1"/>
  <c r="A1090" i="22" s="1"/>
  <c r="B1090" i="22" a="1"/>
  <c r="B1090" i="22" s="1"/>
  <c r="C1090" i="22" a="1"/>
  <c r="C1090" i="22" s="1"/>
  <c r="A1091" i="22" a="1"/>
  <c r="A1091" i="22" s="1"/>
  <c r="B1091" i="22" a="1"/>
  <c r="B1091" i="22" s="1"/>
  <c r="C1091" i="22" a="1"/>
  <c r="C1091" i="22" s="1"/>
  <c r="A1092" i="22" a="1"/>
  <c r="A1092" i="22" s="1"/>
  <c r="B1092" i="22" a="1"/>
  <c r="B1092" i="22" s="1"/>
  <c r="C1092" i="22" a="1"/>
  <c r="C1092" i="22" s="1"/>
  <c r="A1093" i="22" a="1"/>
  <c r="A1093" i="22" s="1"/>
  <c r="B1093" i="22" a="1"/>
  <c r="B1093" i="22" s="1"/>
  <c r="C1093" i="22" a="1"/>
  <c r="C1093" i="22" s="1"/>
  <c r="A1094" i="22" a="1"/>
  <c r="A1094" i="22" s="1"/>
  <c r="B1094" i="22" a="1"/>
  <c r="B1094" i="22" s="1"/>
  <c r="C1094" i="22" a="1"/>
  <c r="C1094" i="22" s="1"/>
  <c r="A1095" i="22" a="1"/>
  <c r="A1095" i="22" s="1"/>
  <c r="B1095" i="22" a="1"/>
  <c r="B1095" i="22" s="1"/>
  <c r="C1095" i="22" a="1"/>
  <c r="C1095" i="22" s="1"/>
  <c r="A1096" i="22" a="1"/>
  <c r="A1096" i="22" s="1"/>
  <c r="B1096" i="22" a="1"/>
  <c r="B1096" i="22" s="1"/>
  <c r="C1096" i="22" a="1"/>
  <c r="C1096" i="22" s="1"/>
  <c r="A1097" i="22" a="1"/>
  <c r="A1097" i="22" s="1"/>
  <c r="B1097" i="22" a="1"/>
  <c r="B1097" i="22" s="1"/>
  <c r="C1097" i="22" a="1"/>
  <c r="C1097" i="22" s="1"/>
  <c r="A1098" i="22" a="1"/>
  <c r="A1098" i="22" s="1"/>
  <c r="B1098" i="22" a="1"/>
  <c r="B1098" i="22" s="1"/>
  <c r="C1098" i="22" a="1"/>
  <c r="C1098" i="22" s="1"/>
  <c r="A1099" i="22" a="1"/>
  <c r="A1099" i="22" s="1"/>
  <c r="B1099" i="22" a="1"/>
  <c r="B1099" i="22" s="1"/>
  <c r="C1099" i="22" a="1"/>
  <c r="C1099" i="22" s="1"/>
  <c r="A1100" i="22" a="1"/>
  <c r="A1100" i="22" s="1"/>
  <c r="B1100" i="22" a="1"/>
  <c r="B1100" i="22" s="1"/>
  <c r="C1100" i="22" a="1"/>
  <c r="C1100" i="22" s="1"/>
  <c r="A1101" i="22" a="1"/>
  <c r="A1101" i="22" s="1"/>
  <c r="B1101" i="22" a="1"/>
  <c r="B1101" i="22" s="1"/>
  <c r="C1101" i="22" a="1"/>
  <c r="C1101" i="22" s="1"/>
  <c r="A1102" i="22" a="1"/>
  <c r="A1102" i="22" s="1"/>
  <c r="B1102" i="22" a="1"/>
  <c r="B1102" i="22" s="1"/>
  <c r="C1102" i="22" a="1"/>
  <c r="C1102" i="22" s="1"/>
  <c r="A1103" i="22" a="1"/>
  <c r="A1103" i="22" s="1"/>
  <c r="B1103" i="22" a="1"/>
  <c r="B1103" i="22" s="1"/>
  <c r="C1103" i="22" a="1"/>
  <c r="C1103" i="22" s="1"/>
  <c r="A1104" i="22" a="1"/>
  <c r="A1104" i="22" s="1"/>
  <c r="B1104" i="22" a="1"/>
  <c r="B1104" i="22" s="1"/>
  <c r="C1104" i="22" a="1"/>
  <c r="C1104" i="22" s="1"/>
  <c r="A1105" i="22" a="1"/>
  <c r="A1105" i="22" s="1"/>
  <c r="B1105" i="22" a="1"/>
  <c r="B1105" i="22" s="1"/>
  <c r="C1105" i="22" a="1"/>
  <c r="C1105" i="22" s="1"/>
  <c r="A1106" i="22" a="1"/>
  <c r="A1106" i="22" s="1"/>
  <c r="B1106" i="22" a="1"/>
  <c r="B1106" i="22" s="1"/>
  <c r="C1106" i="22" a="1"/>
  <c r="C1106" i="22" s="1"/>
  <c r="A1107" i="22" a="1"/>
  <c r="A1107" i="22" s="1"/>
  <c r="B1107" i="22" a="1"/>
  <c r="B1107" i="22" s="1"/>
  <c r="C1107" i="22" a="1"/>
  <c r="C1107" i="22" s="1"/>
  <c r="A1108" i="22" a="1"/>
  <c r="A1108" i="22" s="1"/>
  <c r="B1108" i="22" a="1"/>
  <c r="B1108" i="22" s="1"/>
  <c r="C1108" i="22" a="1"/>
  <c r="C1108" i="22" s="1"/>
  <c r="A1109" i="22" a="1"/>
  <c r="A1109" i="22" s="1"/>
  <c r="B1109" i="22" a="1"/>
  <c r="B1109" i="22" s="1"/>
  <c r="C1109" i="22" a="1"/>
  <c r="C1109" i="22" s="1"/>
  <c r="A1110" i="22" a="1"/>
  <c r="A1110" i="22" s="1"/>
  <c r="B1110" i="22" a="1"/>
  <c r="B1110" i="22" s="1"/>
  <c r="C1110" i="22" a="1"/>
  <c r="C1110" i="22" s="1"/>
  <c r="A1111" i="22" a="1"/>
  <c r="A1111" i="22" s="1"/>
  <c r="B1111" i="22" a="1"/>
  <c r="B1111" i="22" s="1"/>
  <c r="C1111" i="22" a="1"/>
  <c r="C1111" i="22" s="1"/>
  <c r="A1112" i="22" a="1"/>
  <c r="A1112" i="22" s="1"/>
  <c r="B1112" i="22" a="1"/>
  <c r="B1112" i="22" s="1"/>
  <c r="C1112" i="22" a="1"/>
  <c r="C1112" i="22" s="1"/>
  <c r="A1113" i="22" a="1"/>
  <c r="A1113" i="22" s="1"/>
  <c r="B1113" i="22" a="1"/>
  <c r="B1113" i="22" s="1"/>
  <c r="C1113" i="22" a="1"/>
  <c r="C1113" i="22" s="1"/>
  <c r="A1114" i="22" a="1"/>
  <c r="A1114" i="22" s="1"/>
  <c r="B1114" i="22" a="1"/>
  <c r="B1114" i="22" s="1"/>
  <c r="C1114" i="22" a="1"/>
  <c r="C1114" i="22" s="1"/>
  <c r="A1115" i="22" a="1"/>
  <c r="A1115" i="22" s="1"/>
  <c r="B1115" i="22" a="1"/>
  <c r="B1115" i="22" s="1"/>
  <c r="C1115" i="22" a="1"/>
  <c r="C1115" i="22" s="1"/>
  <c r="A1116" i="22" a="1"/>
  <c r="A1116" i="22" s="1"/>
  <c r="B1116" i="22" a="1"/>
  <c r="B1116" i="22" s="1"/>
  <c r="C1116" i="22" a="1"/>
  <c r="C1116" i="22" s="1"/>
  <c r="A1117" i="22" a="1"/>
  <c r="A1117" i="22" s="1"/>
  <c r="B1117" i="22" a="1"/>
  <c r="B1117" i="22" s="1"/>
  <c r="C1117" i="22" a="1"/>
  <c r="C1117" i="22" s="1"/>
  <c r="A1046" i="22" a="1"/>
  <c r="A1046" i="22" s="1"/>
  <c r="B1046" i="22" a="1"/>
  <c r="B1046" i="22" s="1"/>
  <c r="C1046" i="22" a="1"/>
  <c r="C1046" i="22" s="1"/>
  <c r="A1047" i="22" a="1"/>
  <c r="A1047" i="22" s="1"/>
  <c r="B1047" i="22" a="1"/>
  <c r="B1047" i="22" s="1"/>
  <c r="C1047" i="22" a="1"/>
  <c r="C1047" i="22" s="1"/>
  <c r="A1048" i="22" a="1"/>
  <c r="A1048" i="22" s="1"/>
  <c r="B1048" i="22" a="1"/>
  <c r="B1048" i="22" s="1"/>
  <c r="C1048" i="22" a="1"/>
  <c r="C1048" i="22" s="1"/>
  <c r="A1049" i="22" a="1"/>
  <c r="A1049" i="22" s="1"/>
  <c r="B1049" i="22" a="1"/>
  <c r="B1049" i="22" s="1"/>
  <c r="C1049" i="22" a="1"/>
  <c r="C1049" i="22" s="1"/>
  <c r="A1050" i="22" a="1"/>
  <c r="A1050" i="22" s="1"/>
  <c r="B1050" i="22" a="1"/>
  <c r="B1050" i="22" s="1"/>
  <c r="C1050" i="22" a="1"/>
  <c r="C1050" i="22" s="1"/>
  <c r="A1051" i="22" a="1"/>
  <c r="A1051" i="22" s="1"/>
  <c r="B1051" i="22" a="1"/>
  <c r="B1051" i="22" s="1"/>
  <c r="C1051" i="22" a="1"/>
  <c r="C1051" i="22" s="1"/>
  <c r="A1052" i="22" a="1"/>
  <c r="A1052" i="22" s="1"/>
  <c r="B1052" i="22" a="1"/>
  <c r="B1052" i="22" s="1"/>
  <c r="C1052" i="22" a="1"/>
  <c r="C1052" i="22" s="1"/>
  <c r="A1053" i="22" a="1"/>
  <c r="A1053" i="22" s="1"/>
  <c r="B1053" i="22" a="1"/>
  <c r="B1053" i="22" s="1"/>
  <c r="C1053" i="22" a="1"/>
  <c r="C1053" i="22" s="1"/>
  <c r="A1054" i="22" a="1"/>
  <c r="A1054" i="22" s="1"/>
  <c r="B1054" i="22" a="1"/>
  <c r="B1054" i="22" s="1"/>
  <c r="C1054" i="22" a="1"/>
  <c r="C1054" i="22" s="1"/>
  <c r="A1055" i="22" a="1"/>
  <c r="A1055" i="22" s="1"/>
  <c r="B1055" i="22" a="1"/>
  <c r="B1055" i="22" s="1"/>
  <c r="C1055" i="22" a="1"/>
  <c r="C1055" i="22" s="1"/>
  <c r="A1056" i="22" a="1"/>
  <c r="A1056" i="22" s="1"/>
  <c r="B1056" i="22" a="1"/>
  <c r="B1056" i="22" s="1"/>
  <c r="C1056" i="22" a="1"/>
  <c r="C1056" i="22" s="1"/>
  <c r="A1057" i="22" a="1"/>
  <c r="A1057" i="22" s="1"/>
  <c r="B1057" i="22" a="1"/>
  <c r="B1057" i="22" s="1"/>
  <c r="C1057" i="22" a="1"/>
  <c r="C1057" i="22" s="1"/>
  <c r="A1058" i="22" a="1"/>
  <c r="A1058" i="22" s="1"/>
  <c r="B1058" i="22" a="1"/>
  <c r="B1058" i="22" s="1"/>
  <c r="C1058" i="22" a="1"/>
  <c r="C1058" i="22" s="1"/>
  <c r="A1059" i="22" a="1"/>
  <c r="A1059" i="22" s="1"/>
  <c r="B1059" i="22" a="1"/>
  <c r="B1059" i="22" s="1"/>
  <c r="C1059" i="22" a="1"/>
  <c r="C1059" i="22" s="1"/>
  <c r="A1060" i="22" a="1"/>
  <c r="A1060" i="22" s="1"/>
  <c r="B1060" i="22" a="1"/>
  <c r="B1060" i="22" s="1"/>
  <c r="C1060" i="22" a="1"/>
  <c r="C1060" i="22" s="1"/>
  <c r="A1061" i="22" a="1"/>
  <c r="A1061" i="22" s="1"/>
  <c r="B1061" i="22" a="1"/>
  <c r="B1061" i="22" s="1"/>
  <c r="C1061" i="22" a="1"/>
  <c r="C1061" i="22" s="1"/>
  <c r="A1062" i="22" a="1"/>
  <c r="A1062" i="22" s="1"/>
  <c r="B1062" i="22" a="1"/>
  <c r="B1062" i="22" s="1"/>
  <c r="C1062" i="22" a="1"/>
  <c r="C1062" i="22" s="1"/>
  <c r="A1063" i="22" a="1"/>
  <c r="A1063" i="22" s="1"/>
  <c r="B1063" i="22" a="1"/>
  <c r="B1063" i="22" s="1"/>
  <c r="C1063" i="22" a="1"/>
  <c r="C1063" i="22" s="1"/>
  <c r="A1064" i="22" a="1"/>
  <c r="A1064" i="22" s="1"/>
  <c r="B1064" i="22" a="1"/>
  <c r="B1064" i="22" s="1"/>
  <c r="C1064" i="22" a="1"/>
  <c r="C1064" i="22" s="1"/>
  <c r="A1065" i="22" a="1"/>
  <c r="A1065" i="22" s="1"/>
  <c r="B1065" i="22" a="1"/>
  <c r="B1065" i="22" s="1"/>
  <c r="C1065" i="22" a="1"/>
  <c r="C1065" i="22" s="1"/>
  <c r="A1066" i="22" a="1"/>
  <c r="A1066" i="22" s="1"/>
  <c r="B1066" i="22" a="1"/>
  <c r="B1066" i="22" s="1"/>
  <c r="C1066" i="22" a="1"/>
  <c r="C1066" i="22" s="1"/>
  <c r="A1067" i="22" a="1"/>
  <c r="A1067" i="22" s="1"/>
  <c r="B1067" i="22" a="1"/>
  <c r="B1067" i="22" s="1"/>
  <c r="C1067" i="22" a="1"/>
  <c r="C1067" i="22" s="1"/>
  <c r="A1068" i="22" a="1"/>
  <c r="A1068" i="22" s="1"/>
  <c r="B1068" i="22" a="1"/>
  <c r="B1068" i="22" s="1"/>
  <c r="C1068" i="22" a="1"/>
  <c r="C1068" i="22" s="1"/>
  <c r="A1069" i="22" a="1"/>
  <c r="A1069" i="22" s="1"/>
  <c r="B1069" i="22" a="1"/>
  <c r="B1069" i="22" s="1"/>
  <c r="C1069" i="22" a="1"/>
  <c r="C1069" i="22" s="1"/>
  <c r="A1070" i="22" a="1"/>
  <c r="A1070" i="22" s="1"/>
  <c r="B1070" i="22" a="1"/>
  <c r="B1070" i="22" s="1"/>
  <c r="C1070" i="22" a="1"/>
  <c r="C1070" i="22" s="1"/>
  <c r="A1071" i="22" a="1"/>
  <c r="A1071" i="22" s="1"/>
  <c r="B1071" i="22" a="1"/>
  <c r="B1071" i="22" s="1"/>
  <c r="C1071" i="22" a="1"/>
  <c r="C1071" i="22" s="1"/>
  <c r="A1072" i="22" a="1"/>
  <c r="A1072" i="22" s="1"/>
  <c r="B1072" i="22" a="1"/>
  <c r="B1072" i="22" s="1"/>
  <c r="C1072" i="22" a="1"/>
  <c r="C1072" i="22" s="1"/>
  <c r="A1073" i="22" a="1"/>
  <c r="A1073" i="22" s="1"/>
  <c r="B1073" i="22" a="1"/>
  <c r="B1073" i="22" s="1"/>
  <c r="C1073" i="22" a="1"/>
  <c r="C1073" i="22" s="1"/>
  <c r="A1074" i="22" a="1"/>
  <c r="A1074" i="22" s="1"/>
  <c r="B1074" i="22" a="1"/>
  <c r="B1074" i="22" s="1"/>
  <c r="C1074" i="22" a="1"/>
  <c r="C1074" i="22" s="1"/>
  <c r="A1075" i="22" a="1"/>
  <c r="A1075" i="22" s="1"/>
  <c r="B1075" i="22" a="1"/>
  <c r="B1075" i="22" s="1"/>
  <c r="C1075" i="22" a="1"/>
  <c r="C1075" i="22" s="1"/>
  <c r="A1076" i="22" a="1"/>
  <c r="A1076" i="22" s="1"/>
  <c r="B1076" i="22" a="1"/>
  <c r="B1076" i="22" s="1"/>
  <c r="C1076" i="22" a="1"/>
  <c r="C1076" i="22" s="1"/>
  <c r="A1077" i="22" a="1"/>
  <c r="A1077" i="22" s="1"/>
  <c r="B1077" i="22" a="1"/>
  <c r="B1077" i="22" s="1"/>
  <c r="C1077" i="22" a="1"/>
  <c r="C1077" i="22" s="1"/>
  <c r="A1078" i="22" a="1"/>
  <c r="A1078" i="22" s="1"/>
  <c r="B1078" i="22" a="1"/>
  <c r="B1078" i="22" s="1"/>
  <c r="C1078" i="22" a="1"/>
  <c r="C1078" i="22" s="1"/>
  <c r="A1079" i="22" a="1"/>
  <c r="A1079" i="22" s="1"/>
  <c r="B1079" i="22" a="1"/>
  <c r="B1079" i="22" s="1"/>
  <c r="C1079" i="22" a="1"/>
  <c r="C1079" i="22" s="1"/>
  <c r="A1008" i="22" a="1"/>
  <c r="A1008" i="22" s="1"/>
  <c r="B1008" i="22" a="1"/>
  <c r="B1008" i="22" s="1"/>
  <c r="C1008" i="22" a="1"/>
  <c r="C1008" i="22" s="1"/>
  <c r="A1009" i="22" a="1"/>
  <c r="A1009" i="22" s="1"/>
  <c r="B1009" i="22" a="1"/>
  <c r="B1009" i="22" s="1"/>
  <c r="C1009" i="22" a="1"/>
  <c r="C1009" i="22" s="1"/>
  <c r="A1010" i="22" a="1"/>
  <c r="A1010" i="22" s="1"/>
  <c r="B1010" i="22" a="1"/>
  <c r="B1010" i="22" s="1"/>
  <c r="C1010" i="22" a="1"/>
  <c r="C1010" i="22" s="1"/>
  <c r="A1011" i="22" a="1"/>
  <c r="A1011" i="22" s="1"/>
  <c r="B1011" i="22" a="1"/>
  <c r="B1011" i="22" s="1"/>
  <c r="C1011" i="22" a="1"/>
  <c r="C1011" i="22" s="1"/>
  <c r="A1012" i="22" a="1"/>
  <c r="A1012" i="22" s="1"/>
  <c r="B1012" i="22" a="1"/>
  <c r="B1012" i="22" s="1"/>
  <c r="C1012" i="22" a="1"/>
  <c r="C1012" i="22" s="1"/>
  <c r="A1013" i="22" a="1"/>
  <c r="A1013" i="22" s="1"/>
  <c r="B1013" i="22" a="1"/>
  <c r="B1013" i="22" s="1"/>
  <c r="C1013" i="22" a="1"/>
  <c r="C1013" i="22" s="1"/>
  <c r="A1014" i="22" a="1"/>
  <c r="A1014" i="22" s="1"/>
  <c r="B1014" i="22" a="1"/>
  <c r="B1014" i="22" s="1"/>
  <c r="C1014" i="22" a="1"/>
  <c r="C1014" i="22" s="1"/>
  <c r="A1015" i="22" a="1"/>
  <c r="A1015" i="22" s="1"/>
  <c r="B1015" i="22" a="1"/>
  <c r="B1015" i="22" s="1"/>
  <c r="C1015" i="22" a="1"/>
  <c r="C1015" i="22" s="1"/>
  <c r="A1016" i="22" a="1"/>
  <c r="A1016" i="22" s="1"/>
  <c r="B1016" i="22" a="1"/>
  <c r="B1016" i="22" s="1"/>
  <c r="C1016" i="22" a="1"/>
  <c r="C1016" i="22" s="1"/>
  <c r="A1017" i="22" a="1"/>
  <c r="A1017" i="22" s="1"/>
  <c r="B1017" i="22" a="1"/>
  <c r="B1017" i="22" s="1"/>
  <c r="C1017" i="22" a="1"/>
  <c r="C1017" i="22" s="1"/>
  <c r="A1018" i="22" a="1"/>
  <c r="A1018" i="22" s="1"/>
  <c r="B1018" i="22" a="1"/>
  <c r="B1018" i="22" s="1"/>
  <c r="C1018" i="22" a="1"/>
  <c r="C1018" i="22" s="1"/>
  <c r="A1019" i="22" a="1"/>
  <c r="A1019" i="22" s="1"/>
  <c r="B1019" i="22" a="1"/>
  <c r="B1019" i="22" s="1"/>
  <c r="C1019" i="22" a="1"/>
  <c r="C1019" i="22" s="1"/>
  <c r="A1020" i="22" a="1"/>
  <c r="A1020" i="22" s="1"/>
  <c r="B1020" i="22" a="1"/>
  <c r="B1020" i="22" s="1"/>
  <c r="C1020" i="22" a="1"/>
  <c r="C1020" i="22" s="1"/>
  <c r="A1021" i="22" a="1"/>
  <c r="A1021" i="22" s="1"/>
  <c r="B1021" i="22" a="1"/>
  <c r="B1021" i="22" s="1"/>
  <c r="C1021" i="22" a="1"/>
  <c r="C1021" i="22" s="1"/>
  <c r="A1022" i="22" a="1"/>
  <c r="A1022" i="22" s="1"/>
  <c r="B1022" i="22" a="1"/>
  <c r="B1022" i="22" s="1"/>
  <c r="C1022" i="22" a="1"/>
  <c r="C1022" i="22" s="1"/>
  <c r="A1023" i="22" a="1"/>
  <c r="A1023" i="22" s="1"/>
  <c r="B1023" i="22" a="1"/>
  <c r="B1023" i="22" s="1"/>
  <c r="C1023" i="22" a="1"/>
  <c r="C1023" i="22" s="1"/>
  <c r="A1024" i="22" a="1"/>
  <c r="A1024" i="22" s="1"/>
  <c r="B1024" i="22" a="1"/>
  <c r="B1024" i="22" s="1"/>
  <c r="C1024" i="22" a="1"/>
  <c r="C1024" i="22" s="1"/>
  <c r="A1025" i="22" a="1"/>
  <c r="A1025" i="22" s="1"/>
  <c r="B1025" i="22" a="1"/>
  <c r="B1025" i="22" s="1"/>
  <c r="C1025" i="22" a="1"/>
  <c r="C1025" i="22" s="1"/>
  <c r="A1026" i="22" a="1"/>
  <c r="A1026" i="22" s="1"/>
  <c r="B1026" i="22" a="1"/>
  <c r="B1026" i="22" s="1"/>
  <c r="C1026" i="22" a="1"/>
  <c r="C1026" i="22" s="1"/>
  <c r="A1027" i="22" a="1"/>
  <c r="A1027" i="22" s="1"/>
  <c r="B1027" i="22" a="1"/>
  <c r="B1027" i="22" s="1"/>
  <c r="C1027" i="22" a="1"/>
  <c r="C1027" i="22" s="1"/>
  <c r="A1028" i="22" a="1"/>
  <c r="A1028" i="22" s="1"/>
  <c r="B1028" i="22" a="1"/>
  <c r="B1028" i="22" s="1"/>
  <c r="C1028" i="22" a="1"/>
  <c r="C1028" i="22" s="1"/>
  <c r="A1029" i="22" a="1"/>
  <c r="A1029" i="22" s="1"/>
  <c r="B1029" i="22" a="1"/>
  <c r="B1029" i="22" s="1"/>
  <c r="C1029" i="22" a="1"/>
  <c r="C1029" i="22" s="1"/>
  <c r="A1030" i="22" a="1"/>
  <c r="A1030" i="22" s="1"/>
  <c r="B1030" i="22" a="1"/>
  <c r="B1030" i="22" s="1"/>
  <c r="C1030" i="22" a="1"/>
  <c r="C1030" i="22" s="1"/>
  <c r="A1031" i="22" a="1"/>
  <c r="A1031" i="22" s="1"/>
  <c r="B1031" i="22" a="1"/>
  <c r="B1031" i="22" s="1"/>
  <c r="C1031" i="22" a="1"/>
  <c r="C1031" i="22" s="1"/>
  <c r="A1032" i="22" a="1"/>
  <c r="A1032" i="22" s="1"/>
  <c r="B1032" i="22" a="1"/>
  <c r="B1032" i="22" s="1"/>
  <c r="C1032" i="22" a="1"/>
  <c r="C1032" i="22" s="1"/>
  <c r="A1033" i="22" a="1"/>
  <c r="A1033" i="22" s="1"/>
  <c r="B1033" i="22" a="1"/>
  <c r="B1033" i="22" s="1"/>
  <c r="C1033" i="22" a="1"/>
  <c r="C1033" i="22" s="1"/>
  <c r="A1034" i="22" a="1"/>
  <c r="A1034" i="22" s="1"/>
  <c r="B1034" i="22" a="1"/>
  <c r="B1034" i="22" s="1"/>
  <c r="C1034" i="22" a="1"/>
  <c r="C1034" i="22" s="1"/>
  <c r="A1035" i="22" a="1"/>
  <c r="A1035" i="22" s="1"/>
  <c r="B1035" i="22" a="1"/>
  <c r="B1035" i="22" s="1"/>
  <c r="C1035" i="22" a="1"/>
  <c r="C1035" i="22" s="1"/>
  <c r="A1036" i="22" a="1"/>
  <c r="A1036" i="22" s="1"/>
  <c r="B1036" i="22" a="1"/>
  <c r="B1036" i="22" s="1"/>
  <c r="C1036" i="22" a="1"/>
  <c r="C1036" i="22" s="1"/>
  <c r="A1037" i="22" a="1"/>
  <c r="A1037" i="22" s="1"/>
  <c r="B1037" i="22" a="1"/>
  <c r="B1037" i="22" s="1"/>
  <c r="C1037" i="22" a="1"/>
  <c r="C1037" i="22" s="1"/>
  <c r="A1038" i="22" a="1"/>
  <c r="A1038" i="22" s="1"/>
  <c r="B1038" i="22" a="1"/>
  <c r="B1038" i="22" s="1"/>
  <c r="C1038" i="22" a="1"/>
  <c r="C1038" i="22" s="1"/>
  <c r="A1039" i="22" a="1"/>
  <c r="A1039" i="22" s="1"/>
  <c r="B1039" i="22" a="1"/>
  <c r="B1039" i="22" s="1"/>
  <c r="C1039" i="22" a="1"/>
  <c r="C1039" i="22" s="1"/>
  <c r="A1040" i="22" a="1"/>
  <c r="A1040" i="22" s="1"/>
  <c r="B1040" i="22" a="1"/>
  <c r="B1040" i="22" s="1"/>
  <c r="C1040" i="22" a="1"/>
  <c r="C1040" i="22" s="1"/>
  <c r="A1041" i="22" a="1"/>
  <c r="A1041" i="22" s="1"/>
  <c r="B1041" i="22" a="1"/>
  <c r="B1041" i="22" s="1"/>
  <c r="C1041" i="22" a="1"/>
  <c r="C1041" i="22" s="1"/>
  <c r="A970" i="22" a="1"/>
  <c r="A970" i="22" s="1"/>
  <c r="B970" i="22" a="1"/>
  <c r="B970" i="22" s="1"/>
  <c r="C970" i="22" a="1"/>
  <c r="C970" i="22" s="1"/>
  <c r="A971" i="22" a="1"/>
  <c r="A971" i="22" s="1"/>
  <c r="B971" i="22" a="1"/>
  <c r="B971" i="22" s="1"/>
  <c r="C971" i="22" a="1"/>
  <c r="C971" i="22" s="1"/>
  <c r="A972" i="22" a="1"/>
  <c r="A972" i="22" s="1"/>
  <c r="B972" i="22" a="1"/>
  <c r="B972" i="22" s="1"/>
  <c r="C972" i="22" a="1"/>
  <c r="C972" i="22" s="1"/>
  <c r="A973" i="22" a="1"/>
  <c r="A973" i="22" s="1"/>
  <c r="B973" i="22" a="1"/>
  <c r="B973" i="22" s="1"/>
  <c r="C973" i="22" a="1"/>
  <c r="C973" i="22" s="1"/>
  <c r="A974" i="22" a="1"/>
  <c r="A974" i="22" s="1"/>
  <c r="B974" i="22" a="1"/>
  <c r="B974" i="22" s="1"/>
  <c r="C974" i="22" a="1"/>
  <c r="C974" i="22" s="1"/>
  <c r="A975" i="22" a="1"/>
  <c r="A975" i="22" s="1"/>
  <c r="B975" i="22" a="1"/>
  <c r="B975" i="22" s="1"/>
  <c r="C975" i="22" a="1"/>
  <c r="C975" i="22" s="1"/>
  <c r="A976" i="22" a="1"/>
  <c r="A976" i="22" s="1"/>
  <c r="B976" i="22" a="1"/>
  <c r="B976" i="22" s="1"/>
  <c r="C976" i="22" a="1"/>
  <c r="C976" i="22" s="1"/>
  <c r="A977" i="22" a="1"/>
  <c r="A977" i="22" s="1"/>
  <c r="B977" i="22" a="1"/>
  <c r="B977" i="22" s="1"/>
  <c r="C977" i="22" a="1"/>
  <c r="C977" i="22" s="1"/>
  <c r="A978" i="22" a="1"/>
  <c r="A978" i="22" s="1"/>
  <c r="B978" i="22" a="1"/>
  <c r="B978" i="22" s="1"/>
  <c r="C978" i="22" a="1"/>
  <c r="C978" i="22" s="1"/>
  <c r="A979" i="22" a="1"/>
  <c r="A979" i="22" s="1"/>
  <c r="B979" i="22" a="1"/>
  <c r="B979" i="22" s="1"/>
  <c r="C979" i="22" a="1"/>
  <c r="C979" i="22" s="1"/>
  <c r="A980" i="22" a="1"/>
  <c r="A980" i="22" s="1"/>
  <c r="B980" i="22" a="1"/>
  <c r="B980" i="22" s="1"/>
  <c r="C980" i="22" a="1"/>
  <c r="C980" i="22" s="1"/>
  <c r="A981" i="22" a="1"/>
  <c r="A981" i="22" s="1"/>
  <c r="B981" i="22" a="1"/>
  <c r="B981" i="22" s="1"/>
  <c r="C981" i="22" a="1"/>
  <c r="C981" i="22" s="1"/>
  <c r="A982" i="22" a="1"/>
  <c r="A982" i="22" s="1"/>
  <c r="B982" i="22" a="1"/>
  <c r="B982" i="22" s="1"/>
  <c r="C982" i="22" a="1"/>
  <c r="C982" i="22" s="1"/>
  <c r="A983" i="22" a="1"/>
  <c r="A983" i="22" s="1"/>
  <c r="B983" i="22" a="1"/>
  <c r="B983" i="22" s="1"/>
  <c r="C983" i="22" a="1"/>
  <c r="C983" i="22" s="1"/>
  <c r="A984" i="22" a="1"/>
  <c r="A984" i="22" s="1"/>
  <c r="B984" i="22" a="1"/>
  <c r="B984" i="22" s="1"/>
  <c r="C984" i="22" a="1"/>
  <c r="C984" i="22" s="1"/>
  <c r="A985" i="22" a="1"/>
  <c r="A985" i="22" s="1"/>
  <c r="B985" i="22" a="1"/>
  <c r="B985" i="22" s="1"/>
  <c r="C985" i="22" a="1"/>
  <c r="C985" i="22" s="1"/>
  <c r="A986" i="22" a="1"/>
  <c r="A986" i="22" s="1"/>
  <c r="B986" i="22" a="1"/>
  <c r="B986" i="22" s="1"/>
  <c r="C986" i="22" a="1"/>
  <c r="C986" i="22" s="1"/>
  <c r="A987" i="22" a="1"/>
  <c r="A987" i="22" s="1"/>
  <c r="B987" i="22" a="1"/>
  <c r="B987" i="22" s="1"/>
  <c r="C987" i="22" a="1"/>
  <c r="C987" i="22" s="1"/>
  <c r="A988" i="22" a="1"/>
  <c r="A988" i="22" s="1"/>
  <c r="B988" i="22" a="1"/>
  <c r="B988" i="22" s="1"/>
  <c r="C988" i="22" a="1"/>
  <c r="C988" i="22" s="1"/>
  <c r="A989" i="22" a="1"/>
  <c r="A989" i="22" s="1"/>
  <c r="B989" i="22" a="1"/>
  <c r="B989" i="22" s="1"/>
  <c r="C989" i="22" a="1"/>
  <c r="C989" i="22" s="1"/>
  <c r="A990" i="22" a="1"/>
  <c r="A990" i="22" s="1"/>
  <c r="B990" i="22" a="1"/>
  <c r="B990" i="22" s="1"/>
  <c r="C990" i="22" a="1"/>
  <c r="C990" i="22" s="1"/>
  <c r="A991" i="22" a="1"/>
  <c r="A991" i="22" s="1"/>
  <c r="B991" i="22" a="1"/>
  <c r="B991" i="22" s="1"/>
  <c r="C991" i="22" a="1"/>
  <c r="C991" i="22" s="1"/>
  <c r="A992" i="22" a="1"/>
  <c r="A992" i="22" s="1"/>
  <c r="B992" i="22" a="1"/>
  <c r="B992" i="22" s="1"/>
  <c r="C992" i="22" a="1"/>
  <c r="C992" i="22" s="1"/>
  <c r="A993" i="22" a="1"/>
  <c r="A993" i="22" s="1"/>
  <c r="B993" i="22" a="1"/>
  <c r="B993" i="22" s="1"/>
  <c r="C993" i="22" a="1"/>
  <c r="C993" i="22" s="1"/>
  <c r="A994" i="22" a="1"/>
  <c r="A994" i="22" s="1"/>
  <c r="B994" i="22" a="1"/>
  <c r="B994" i="22" s="1"/>
  <c r="C994" i="22" a="1"/>
  <c r="C994" i="22" s="1"/>
  <c r="A995" i="22" a="1"/>
  <c r="A995" i="22" s="1"/>
  <c r="B995" i="22" a="1"/>
  <c r="B995" i="22" s="1"/>
  <c r="C995" i="22" a="1"/>
  <c r="C995" i="22" s="1"/>
  <c r="A996" i="22" a="1"/>
  <c r="A996" i="22" s="1"/>
  <c r="B996" i="22" a="1"/>
  <c r="B996" i="22" s="1"/>
  <c r="C996" i="22" a="1"/>
  <c r="C996" i="22" s="1"/>
  <c r="A997" i="22" a="1"/>
  <c r="A997" i="22" s="1"/>
  <c r="B997" i="22" a="1"/>
  <c r="B997" i="22" s="1"/>
  <c r="C997" i="22" a="1"/>
  <c r="C997" i="22" s="1"/>
  <c r="A998" i="22" a="1"/>
  <c r="A998" i="22" s="1"/>
  <c r="B998" i="22" a="1"/>
  <c r="B998" i="22" s="1"/>
  <c r="C998" i="22" a="1"/>
  <c r="C998" i="22" s="1"/>
  <c r="A999" i="22" a="1"/>
  <c r="A999" i="22" s="1"/>
  <c r="B999" i="22" a="1"/>
  <c r="B999" i="22" s="1"/>
  <c r="C999" i="22" a="1"/>
  <c r="C999" i="22" s="1"/>
  <c r="A1000" i="22" a="1"/>
  <c r="A1000" i="22" s="1"/>
  <c r="B1000" i="22" a="1"/>
  <c r="B1000" i="22" s="1"/>
  <c r="C1000" i="22" a="1"/>
  <c r="C1000" i="22" s="1"/>
  <c r="A1001" i="22" a="1"/>
  <c r="A1001" i="22" s="1"/>
  <c r="B1001" i="22" a="1"/>
  <c r="B1001" i="22" s="1"/>
  <c r="C1001" i="22" a="1"/>
  <c r="C1001" i="22" s="1"/>
  <c r="A1002" i="22" a="1"/>
  <c r="A1002" i="22" s="1"/>
  <c r="B1002" i="22" a="1"/>
  <c r="B1002" i="22" s="1"/>
  <c r="C1002" i="22" a="1"/>
  <c r="C1002" i="22" s="1"/>
  <c r="A1003" i="22" a="1"/>
  <c r="A1003" i="22" s="1"/>
  <c r="B1003" i="22" a="1"/>
  <c r="B1003" i="22" s="1"/>
  <c r="C1003" i="22" a="1"/>
  <c r="C1003" i="22" s="1"/>
  <c r="A932" i="22" a="1"/>
  <c r="A932" i="22" s="1"/>
  <c r="B932" i="22" a="1"/>
  <c r="B932" i="22" s="1"/>
  <c r="C932" i="22" a="1"/>
  <c r="C932" i="22" s="1"/>
  <c r="A933" i="22" a="1"/>
  <c r="A933" i="22" s="1"/>
  <c r="B933" i="22" a="1"/>
  <c r="B933" i="22" s="1"/>
  <c r="C933" i="22" a="1"/>
  <c r="C933" i="22" s="1"/>
  <c r="A934" i="22" a="1"/>
  <c r="A934" i="22" s="1"/>
  <c r="B934" i="22" a="1"/>
  <c r="B934" i="22" s="1"/>
  <c r="C934" i="22" a="1"/>
  <c r="C934" i="22" s="1"/>
  <c r="A935" i="22" a="1"/>
  <c r="A935" i="22" s="1"/>
  <c r="B935" i="22" a="1"/>
  <c r="B935" i="22" s="1"/>
  <c r="C935" i="22" a="1"/>
  <c r="C935" i="22" s="1"/>
  <c r="A936" i="22" a="1"/>
  <c r="A936" i="22" s="1"/>
  <c r="B936" i="22" a="1"/>
  <c r="B936" i="22" s="1"/>
  <c r="C936" i="22" a="1"/>
  <c r="C936" i="22" s="1"/>
  <c r="A937" i="22" a="1"/>
  <c r="A937" i="22" s="1"/>
  <c r="B937" i="22" a="1"/>
  <c r="B937" i="22" s="1"/>
  <c r="C937" i="22" a="1"/>
  <c r="C937" i="22" s="1"/>
  <c r="A938" i="22" a="1"/>
  <c r="A938" i="22" s="1"/>
  <c r="B938" i="22" a="1"/>
  <c r="B938" i="22" s="1"/>
  <c r="C938" i="22" a="1"/>
  <c r="C938" i="22" s="1"/>
  <c r="A939" i="22" a="1"/>
  <c r="A939" i="22" s="1"/>
  <c r="B939" i="22" a="1"/>
  <c r="B939" i="22" s="1"/>
  <c r="C939" i="22" a="1"/>
  <c r="C939" i="22" s="1"/>
  <c r="A940" i="22" a="1"/>
  <c r="A940" i="22" s="1"/>
  <c r="B940" i="22" a="1"/>
  <c r="B940" i="22" s="1"/>
  <c r="C940" i="22" a="1"/>
  <c r="C940" i="22" s="1"/>
  <c r="A941" i="22" a="1"/>
  <c r="A941" i="22" s="1"/>
  <c r="B941" i="22" a="1"/>
  <c r="B941" i="22" s="1"/>
  <c r="C941" i="22" a="1"/>
  <c r="C941" i="22" s="1"/>
  <c r="A942" i="22" a="1"/>
  <c r="A942" i="22" s="1"/>
  <c r="B942" i="22" a="1"/>
  <c r="B942" i="22" s="1"/>
  <c r="C942" i="22" a="1"/>
  <c r="C942" i="22" s="1"/>
  <c r="A943" i="22" a="1"/>
  <c r="A943" i="22" s="1"/>
  <c r="B943" i="22" a="1"/>
  <c r="B943" i="22" s="1"/>
  <c r="C943" i="22" a="1"/>
  <c r="C943" i="22" s="1"/>
  <c r="A944" i="22" a="1"/>
  <c r="A944" i="22" s="1"/>
  <c r="B944" i="22" a="1"/>
  <c r="B944" i="22" s="1"/>
  <c r="C944" i="22" a="1"/>
  <c r="C944" i="22" s="1"/>
  <c r="A945" i="22" a="1"/>
  <c r="A945" i="22" s="1"/>
  <c r="B945" i="22" a="1"/>
  <c r="B945" i="22" s="1"/>
  <c r="C945" i="22" a="1"/>
  <c r="C945" i="22" s="1"/>
  <c r="A946" i="22" a="1"/>
  <c r="A946" i="22" s="1"/>
  <c r="B946" i="22" a="1"/>
  <c r="B946" i="22" s="1"/>
  <c r="C946" i="22" a="1"/>
  <c r="C946" i="22" s="1"/>
  <c r="A947" i="22" a="1"/>
  <c r="A947" i="22" s="1"/>
  <c r="B947" i="22" a="1"/>
  <c r="B947" i="22" s="1"/>
  <c r="C947" i="22" a="1"/>
  <c r="C947" i="22" s="1"/>
  <c r="A948" i="22" a="1"/>
  <c r="A948" i="22" s="1"/>
  <c r="B948" i="22" a="1"/>
  <c r="B948" i="22" s="1"/>
  <c r="C948" i="22" a="1"/>
  <c r="C948" i="22" s="1"/>
  <c r="A949" i="22" a="1"/>
  <c r="A949" i="22" s="1"/>
  <c r="B949" i="22" a="1"/>
  <c r="B949" i="22" s="1"/>
  <c r="C949" i="22" a="1"/>
  <c r="C949" i="22" s="1"/>
  <c r="A950" i="22" a="1"/>
  <c r="A950" i="22" s="1"/>
  <c r="B950" i="22" a="1"/>
  <c r="B950" i="22" s="1"/>
  <c r="C950" i="22" a="1"/>
  <c r="C950" i="22" s="1"/>
  <c r="A951" i="22" a="1"/>
  <c r="A951" i="22" s="1"/>
  <c r="B951" i="22" a="1"/>
  <c r="B951" i="22" s="1"/>
  <c r="C951" i="22" a="1"/>
  <c r="C951" i="22" s="1"/>
  <c r="A952" i="22" a="1"/>
  <c r="A952" i="22" s="1"/>
  <c r="B952" i="22" a="1"/>
  <c r="B952" i="22" s="1"/>
  <c r="C952" i="22" a="1"/>
  <c r="C952" i="22" s="1"/>
  <c r="A953" i="22" a="1"/>
  <c r="A953" i="22" s="1"/>
  <c r="B953" i="22" a="1"/>
  <c r="B953" i="22" s="1"/>
  <c r="C953" i="22" a="1"/>
  <c r="C953" i="22" s="1"/>
  <c r="A954" i="22" a="1"/>
  <c r="A954" i="22" s="1"/>
  <c r="B954" i="22" a="1"/>
  <c r="B954" i="22" s="1"/>
  <c r="C954" i="22" a="1"/>
  <c r="C954" i="22" s="1"/>
  <c r="A955" i="22" a="1"/>
  <c r="A955" i="22" s="1"/>
  <c r="B955" i="22" a="1"/>
  <c r="B955" i="22" s="1"/>
  <c r="C955" i="22" a="1"/>
  <c r="C955" i="22" s="1"/>
  <c r="A956" i="22" a="1"/>
  <c r="A956" i="22" s="1"/>
  <c r="B956" i="22" a="1"/>
  <c r="B956" i="22" s="1"/>
  <c r="C956" i="22" a="1"/>
  <c r="C956" i="22" s="1"/>
  <c r="A957" i="22" a="1"/>
  <c r="A957" i="22" s="1"/>
  <c r="B957" i="22" a="1"/>
  <c r="B957" i="22" s="1"/>
  <c r="C957" i="22" a="1"/>
  <c r="C957" i="22" s="1"/>
  <c r="A958" i="22" a="1"/>
  <c r="A958" i="22" s="1"/>
  <c r="B958" i="22" a="1"/>
  <c r="B958" i="22" s="1"/>
  <c r="C958" i="22" a="1"/>
  <c r="C958" i="22" s="1"/>
  <c r="A959" i="22" a="1"/>
  <c r="A959" i="22" s="1"/>
  <c r="B959" i="22" a="1"/>
  <c r="B959" i="22" s="1"/>
  <c r="C959" i="22" a="1"/>
  <c r="C959" i="22" s="1"/>
  <c r="A960" i="22" a="1"/>
  <c r="A960" i="22" s="1"/>
  <c r="B960" i="22" a="1"/>
  <c r="B960" i="22" s="1"/>
  <c r="C960" i="22" a="1"/>
  <c r="C960" i="22" s="1"/>
  <c r="A961" i="22" a="1"/>
  <c r="A961" i="22" s="1"/>
  <c r="B961" i="22" a="1"/>
  <c r="B961" i="22" s="1"/>
  <c r="C961" i="22" a="1"/>
  <c r="C961" i="22" s="1"/>
  <c r="A962" i="22" a="1"/>
  <c r="A962" i="22" s="1"/>
  <c r="B962" i="22" a="1"/>
  <c r="B962" i="22" s="1"/>
  <c r="C962" i="22" a="1"/>
  <c r="C962" i="22" s="1"/>
  <c r="A963" i="22" a="1"/>
  <c r="A963" i="22" s="1"/>
  <c r="B963" i="22" a="1"/>
  <c r="B963" i="22" s="1"/>
  <c r="C963" i="22" a="1"/>
  <c r="C963" i="22" s="1"/>
  <c r="A964" i="22" a="1"/>
  <c r="A964" i="22" s="1"/>
  <c r="B964" i="22" a="1"/>
  <c r="B964" i="22" s="1"/>
  <c r="C964" i="22" a="1"/>
  <c r="C964" i="22" s="1"/>
  <c r="A965" i="22" a="1"/>
  <c r="A965" i="22" s="1"/>
  <c r="B965" i="22" a="1"/>
  <c r="B965" i="22" s="1"/>
  <c r="C965" i="22" a="1"/>
  <c r="C965" i="22" s="1"/>
  <c r="A894" i="22" a="1"/>
  <c r="A894" i="22" s="1"/>
  <c r="B894" i="22" a="1"/>
  <c r="B894" i="22" s="1"/>
  <c r="C894" i="22" a="1"/>
  <c r="C894" i="22" s="1"/>
  <c r="A895" i="22" a="1"/>
  <c r="A895" i="22" s="1"/>
  <c r="B895" i="22" a="1"/>
  <c r="B895" i="22" s="1"/>
  <c r="C895" i="22" a="1"/>
  <c r="C895" i="22" s="1"/>
  <c r="A896" i="22" a="1"/>
  <c r="A896" i="22" s="1"/>
  <c r="B896" i="22" a="1"/>
  <c r="B896" i="22" s="1"/>
  <c r="C896" i="22" a="1"/>
  <c r="C896" i="22" s="1"/>
  <c r="A897" i="22" a="1"/>
  <c r="A897" i="22" s="1"/>
  <c r="B897" i="22" a="1"/>
  <c r="B897" i="22" s="1"/>
  <c r="C897" i="22" a="1"/>
  <c r="C897" i="22" s="1"/>
  <c r="A898" i="22" a="1"/>
  <c r="A898" i="22" s="1"/>
  <c r="B898" i="22" a="1"/>
  <c r="B898" i="22" s="1"/>
  <c r="C898" i="22" a="1"/>
  <c r="C898" i="22" s="1"/>
  <c r="A899" i="22" a="1"/>
  <c r="A899" i="22" s="1"/>
  <c r="B899" i="22" a="1"/>
  <c r="B899" i="22" s="1"/>
  <c r="C899" i="22" a="1"/>
  <c r="C899" i="22" s="1"/>
  <c r="A900" i="22" a="1"/>
  <c r="A900" i="22" s="1"/>
  <c r="B900" i="22" a="1"/>
  <c r="B900" i="22" s="1"/>
  <c r="C900" i="22" a="1"/>
  <c r="C900" i="22" s="1"/>
  <c r="A901" i="22" a="1"/>
  <c r="A901" i="22" s="1"/>
  <c r="B901" i="22" a="1"/>
  <c r="B901" i="22" s="1"/>
  <c r="C901" i="22" a="1"/>
  <c r="C901" i="22" s="1"/>
  <c r="A902" i="22" a="1"/>
  <c r="A902" i="22" s="1"/>
  <c r="B902" i="22" a="1"/>
  <c r="B902" i="22" s="1"/>
  <c r="C902" i="22" a="1"/>
  <c r="C902" i="22" s="1"/>
  <c r="A903" i="22" a="1"/>
  <c r="A903" i="22" s="1"/>
  <c r="B903" i="22" a="1"/>
  <c r="B903" i="22" s="1"/>
  <c r="C903" i="22" a="1"/>
  <c r="C903" i="22" s="1"/>
  <c r="A904" i="22" a="1"/>
  <c r="A904" i="22" s="1"/>
  <c r="B904" i="22" a="1"/>
  <c r="B904" i="22" s="1"/>
  <c r="C904" i="22" a="1"/>
  <c r="C904" i="22" s="1"/>
  <c r="A905" i="22" a="1"/>
  <c r="A905" i="22" s="1"/>
  <c r="B905" i="22" a="1"/>
  <c r="B905" i="22" s="1"/>
  <c r="C905" i="22" a="1"/>
  <c r="C905" i="22" s="1"/>
  <c r="A906" i="22" a="1"/>
  <c r="A906" i="22" s="1"/>
  <c r="B906" i="22" a="1"/>
  <c r="B906" i="22" s="1"/>
  <c r="C906" i="22" a="1"/>
  <c r="C906" i="22" s="1"/>
  <c r="A907" i="22" a="1"/>
  <c r="A907" i="22" s="1"/>
  <c r="B907" i="22" a="1"/>
  <c r="B907" i="22" s="1"/>
  <c r="C907" i="22" a="1"/>
  <c r="C907" i="22" s="1"/>
  <c r="A908" i="22" a="1"/>
  <c r="A908" i="22" s="1"/>
  <c r="B908" i="22" a="1"/>
  <c r="B908" i="22" s="1"/>
  <c r="C908" i="22" a="1"/>
  <c r="C908" i="22" s="1"/>
  <c r="A909" i="22" a="1"/>
  <c r="A909" i="22" s="1"/>
  <c r="B909" i="22" a="1"/>
  <c r="B909" i="22" s="1"/>
  <c r="C909" i="22" a="1"/>
  <c r="C909" i="22" s="1"/>
  <c r="A910" i="22" a="1"/>
  <c r="A910" i="22" s="1"/>
  <c r="B910" i="22" a="1"/>
  <c r="B910" i="22" s="1"/>
  <c r="C910" i="22" a="1"/>
  <c r="C910" i="22" s="1"/>
  <c r="A911" i="22" a="1"/>
  <c r="A911" i="22" s="1"/>
  <c r="B911" i="22" a="1"/>
  <c r="B911" i="22" s="1"/>
  <c r="C911" i="22" a="1"/>
  <c r="C911" i="22" s="1"/>
  <c r="A912" i="22" a="1"/>
  <c r="A912" i="22" s="1"/>
  <c r="B912" i="22" a="1"/>
  <c r="B912" i="22" s="1"/>
  <c r="C912" i="22" a="1"/>
  <c r="C912" i="22" s="1"/>
  <c r="A913" i="22" a="1"/>
  <c r="A913" i="22" s="1"/>
  <c r="B913" i="22" a="1"/>
  <c r="B913" i="22" s="1"/>
  <c r="C913" i="22" a="1"/>
  <c r="C913" i="22" s="1"/>
  <c r="A914" i="22" a="1"/>
  <c r="A914" i="22" s="1"/>
  <c r="B914" i="22" a="1"/>
  <c r="B914" i="22" s="1"/>
  <c r="C914" i="22" a="1"/>
  <c r="C914" i="22" s="1"/>
  <c r="A915" i="22" a="1"/>
  <c r="A915" i="22" s="1"/>
  <c r="B915" i="22" a="1"/>
  <c r="B915" i="22" s="1"/>
  <c r="C915" i="22" a="1"/>
  <c r="C915" i="22" s="1"/>
  <c r="A916" i="22" a="1"/>
  <c r="A916" i="22" s="1"/>
  <c r="B916" i="22" a="1"/>
  <c r="B916" i="22" s="1"/>
  <c r="C916" i="22" a="1"/>
  <c r="C916" i="22" s="1"/>
  <c r="A917" i="22" a="1"/>
  <c r="A917" i="22" s="1"/>
  <c r="B917" i="22" a="1"/>
  <c r="B917" i="22" s="1"/>
  <c r="C917" i="22" a="1"/>
  <c r="C917" i="22" s="1"/>
  <c r="A918" i="22" a="1"/>
  <c r="A918" i="22" s="1"/>
  <c r="B918" i="22" a="1"/>
  <c r="B918" i="22" s="1"/>
  <c r="C918" i="22" a="1"/>
  <c r="C918" i="22" s="1"/>
  <c r="A919" i="22" a="1"/>
  <c r="A919" i="22" s="1"/>
  <c r="B919" i="22" a="1"/>
  <c r="B919" i="22" s="1"/>
  <c r="C919" i="22" a="1"/>
  <c r="C919" i="22" s="1"/>
  <c r="A920" i="22" a="1"/>
  <c r="A920" i="22" s="1"/>
  <c r="B920" i="22" a="1"/>
  <c r="B920" i="22" s="1"/>
  <c r="C920" i="22" a="1"/>
  <c r="C920" i="22" s="1"/>
  <c r="A921" i="22" a="1"/>
  <c r="A921" i="22" s="1"/>
  <c r="B921" i="22" a="1"/>
  <c r="B921" i="22" s="1"/>
  <c r="C921" i="22" a="1"/>
  <c r="C921" i="22" s="1"/>
  <c r="A922" i="22" a="1"/>
  <c r="A922" i="22" s="1"/>
  <c r="B922" i="22" a="1"/>
  <c r="B922" i="22" s="1"/>
  <c r="C922" i="22" a="1"/>
  <c r="C922" i="22" s="1"/>
  <c r="A923" i="22" a="1"/>
  <c r="A923" i="22" s="1"/>
  <c r="B923" i="22" a="1"/>
  <c r="B923" i="22" s="1"/>
  <c r="C923" i="22" a="1"/>
  <c r="C923" i="22" s="1"/>
  <c r="A924" i="22" a="1"/>
  <c r="A924" i="22" s="1"/>
  <c r="B924" i="22" a="1"/>
  <c r="B924" i="22" s="1"/>
  <c r="C924" i="22" a="1"/>
  <c r="C924" i="22" s="1"/>
  <c r="A925" i="22" a="1"/>
  <c r="A925" i="22" s="1"/>
  <c r="B925" i="22" a="1"/>
  <c r="B925" i="22" s="1"/>
  <c r="C925" i="22" a="1"/>
  <c r="C925" i="22" s="1"/>
  <c r="A926" i="22" a="1"/>
  <c r="A926" i="22" s="1"/>
  <c r="B926" i="22" a="1"/>
  <c r="B926" i="22" s="1"/>
  <c r="C926" i="22" a="1"/>
  <c r="C926" i="22" s="1"/>
  <c r="A927" i="22" a="1"/>
  <c r="A927" i="22" s="1"/>
  <c r="B927" i="22" a="1"/>
  <c r="B927" i="22" s="1"/>
  <c r="C927" i="22" a="1"/>
  <c r="C927" i="22" s="1"/>
  <c r="A856" i="22" a="1"/>
  <c r="A856" i="22" s="1"/>
  <c r="B856" i="22" a="1"/>
  <c r="B856" i="22" s="1"/>
  <c r="C856" i="22" a="1"/>
  <c r="C856" i="22" s="1"/>
  <c r="A857" i="22" a="1"/>
  <c r="A857" i="22" s="1"/>
  <c r="B857" i="22" a="1"/>
  <c r="B857" i="22" s="1"/>
  <c r="C857" i="22" a="1"/>
  <c r="C857" i="22" s="1"/>
  <c r="A858" i="22" a="1"/>
  <c r="A858" i="22" s="1"/>
  <c r="B858" i="22" a="1"/>
  <c r="B858" i="22" s="1"/>
  <c r="C858" i="22" a="1"/>
  <c r="C858" i="22" s="1"/>
  <c r="A859" i="22" a="1"/>
  <c r="A859" i="22" s="1"/>
  <c r="B859" i="22" a="1"/>
  <c r="B859" i="22" s="1"/>
  <c r="C859" i="22" a="1"/>
  <c r="C859" i="22" s="1"/>
  <c r="A860" i="22" a="1"/>
  <c r="A860" i="22" s="1"/>
  <c r="B860" i="22" a="1"/>
  <c r="B860" i="22" s="1"/>
  <c r="C860" i="22" a="1"/>
  <c r="C860" i="22" s="1"/>
  <c r="A861" i="22" a="1"/>
  <c r="A861" i="22" s="1"/>
  <c r="B861" i="22" a="1"/>
  <c r="B861" i="22" s="1"/>
  <c r="C861" i="22" a="1"/>
  <c r="C861" i="22" s="1"/>
  <c r="A862" i="22" a="1"/>
  <c r="A862" i="22" s="1"/>
  <c r="B862" i="22" a="1"/>
  <c r="B862" i="22" s="1"/>
  <c r="C862" i="22" a="1"/>
  <c r="C862" i="22" s="1"/>
  <c r="A863" i="22" a="1"/>
  <c r="A863" i="22" s="1"/>
  <c r="B863" i="22" a="1"/>
  <c r="B863" i="22" s="1"/>
  <c r="C863" i="22" a="1"/>
  <c r="C863" i="22" s="1"/>
  <c r="A864" i="22" a="1"/>
  <c r="A864" i="22" s="1"/>
  <c r="B864" i="22" a="1"/>
  <c r="B864" i="22" s="1"/>
  <c r="C864" i="22" a="1"/>
  <c r="C864" i="22" s="1"/>
  <c r="A865" i="22" a="1"/>
  <c r="A865" i="22" s="1"/>
  <c r="B865" i="22" a="1"/>
  <c r="B865" i="22" s="1"/>
  <c r="C865" i="22" a="1"/>
  <c r="C865" i="22" s="1"/>
  <c r="A866" i="22" a="1"/>
  <c r="A866" i="22" s="1"/>
  <c r="B866" i="22" a="1"/>
  <c r="B866" i="22" s="1"/>
  <c r="C866" i="22" a="1"/>
  <c r="C866" i="22" s="1"/>
  <c r="A867" i="22" a="1"/>
  <c r="A867" i="22" s="1"/>
  <c r="B867" i="22" a="1"/>
  <c r="B867" i="22" s="1"/>
  <c r="C867" i="22" a="1"/>
  <c r="C867" i="22" s="1"/>
  <c r="A868" i="22" a="1"/>
  <c r="A868" i="22" s="1"/>
  <c r="B868" i="22" a="1"/>
  <c r="B868" i="22" s="1"/>
  <c r="C868" i="22" a="1"/>
  <c r="C868" i="22" s="1"/>
  <c r="A869" i="22" a="1"/>
  <c r="A869" i="22" s="1"/>
  <c r="B869" i="22" a="1"/>
  <c r="B869" i="22" s="1"/>
  <c r="C869" i="22" a="1"/>
  <c r="C869" i="22" s="1"/>
  <c r="A870" i="22" a="1"/>
  <c r="A870" i="22" s="1"/>
  <c r="B870" i="22" a="1"/>
  <c r="B870" i="22" s="1"/>
  <c r="C870" i="22" a="1"/>
  <c r="C870" i="22" s="1"/>
  <c r="A871" i="22" a="1"/>
  <c r="A871" i="22" s="1"/>
  <c r="B871" i="22" a="1"/>
  <c r="B871" i="22" s="1"/>
  <c r="C871" i="22" a="1"/>
  <c r="C871" i="22" s="1"/>
  <c r="A872" i="22" a="1"/>
  <c r="A872" i="22" s="1"/>
  <c r="B872" i="22" a="1"/>
  <c r="B872" i="22" s="1"/>
  <c r="C872" i="22" a="1"/>
  <c r="C872" i="22" s="1"/>
  <c r="A873" i="22" a="1"/>
  <c r="A873" i="22" s="1"/>
  <c r="B873" i="22" a="1"/>
  <c r="B873" i="22" s="1"/>
  <c r="C873" i="22" a="1"/>
  <c r="C873" i="22" s="1"/>
  <c r="A874" i="22" a="1"/>
  <c r="A874" i="22" s="1"/>
  <c r="B874" i="22" a="1"/>
  <c r="B874" i="22" s="1"/>
  <c r="C874" i="22" a="1"/>
  <c r="C874" i="22" s="1"/>
  <c r="A875" i="22" a="1"/>
  <c r="A875" i="22" s="1"/>
  <c r="B875" i="22" a="1"/>
  <c r="B875" i="22" s="1"/>
  <c r="C875" i="22" a="1"/>
  <c r="C875" i="22" s="1"/>
  <c r="A876" i="22" a="1"/>
  <c r="A876" i="22" s="1"/>
  <c r="B876" i="22" a="1"/>
  <c r="B876" i="22" s="1"/>
  <c r="C876" i="22" a="1"/>
  <c r="C876" i="22" s="1"/>
  <c r="A877" i="22" a="1"/>
  <c r="A877" i="22" s="1"/>
  <c r="B877" i="22" a="1"/>
  <c r="B877" i="22" s="1"/>
  <c r="C877" i="22" a="1"/>
  <c r="C877" i="22" s="1"/>
  <c r="A878" i="22" a="1"/>
  <c r="A878" i="22" s="1"/>
  <c r="B878" i="22" a="1"/>
  <c r="B878" i="22" s="1"/>
  <c r="C878" i="22" a="1"/>
  <c r="C878" i="22" s="1"/>
  <c r="A879" i="22" a="1"/>
  <c r="A879" i="22" s="1"/>
  <c r="B879" i="22" a="1"/>
  <c r="B879" i="22" s="1"/>
  <c r="C879" i="22" a="1"/>
  <c r="C879" i="22" s="1"/>
  <c r="A880" i="22" a="1"/>
  <c r="A880" i="22" s="1"/>
  <c r="B880" i="22" a="1"/>
  <c r="B880" i="22" s="1"/>
  <c r="C880" i="22" a="1"/>
  <c r="C880" i="22" s="1"/>
  <c r="A881" i="22" a="1"/>
  <c r="A881" i="22" s="1"/>
  <c r="B881" i="22" a="1"/>
  <c r="B881" i="22" s="1"/>
  <c r="C881" i="22" a="1"/>
  <c r="C881" i="22" s="1"/>
  <c r="A882" i="22" a="1"/>
  <c r="A882" i="22" s="1"/>
  <c r="B882" i="22" a="1"/>
  <c r="B882" i="22" s="1"/>
  <c r="C882" i="22" a="1"/>
  <c r="C882" i="22" s="1"/>
  <c r="A883" i="22" a="1"/>
  <c r="A883" i="22" s="1"/>
  <c r="B883" i="22" a="1"/>
  <c r="B883" i="22" s="1"/>
  <c r="C883" i="22" a="1"/>
  <c r="C883" i="22" s="1"/>
  <c r="A884" i="22" a="1"/>
  <c r="A884" i="22" s="1"/>
  <c r="B884" i="22" a="1"/>
  <c r="B884" i="22" s="1"/>
  <c r="C884" i="22" a="1"/>
  <c r="C884" i="22" s="1"/>
  <c r="A885" i="22" a="1"/>
  <c r="A885" i="22" s="1"/>
  <c r="B885" i="22" a="1"/>
  <c r="B885" i="22" s="1"/>
  <c r="C885" i="22" a="1"/>
  <c r="C885" i="22" s="1"/>
  <c r="A886" i="22" a="1"/>
  <c r="A886" i="22" s="1"/>
  <c r="B886" i="22" a="1"/>
  <c r="B886" i="22" s="1"/>
  <c r="C886" i="22" a="1"/>
  <c r="C886" i="22" s="1"/>
  <c r="A887" i="22" a="1"/>
  <c r="A887" i="22" s="1"/>
  <c r="B887" i="22" a="1"/>
  <c r="B887" i="22" s="1"/>
  <c r="C887" i="22" a="1"/>
  <c r="C887" i="22" s="1"/>
  <c r="A888" i="22" a="1"/>
  <c r="A888" i="22" s="1"/>
  <c r="B888" i="22" a="1"/>
  <c r="B888" i="22" s="1"/>
  <c r="C888" i="22" a="1"/>
  <c r="C888" i="22" s="1"/>
  <c r="A889" i="22" a="1"/>
  <c r="A889" i="22" s="1"/>
  <c r="B889" i="22" a="1"/>
  <c r="B889" i="22" s="1"/>
  <c r="C889" i="22" a="1"/>
  <c r="C889" i="22" s="1"/>
  <c r="A818" i="22" a="1"/>
  <c r="A818" i="22" s="1"/>
  <c r="B818" i="22" a="1"/>
  <c r="B818" i="22" s="1"/>
  <c r="C818" i="22" a="1"/>
  <c r="C818" i="22" s="1"/>
  <c r="A819" i="22" a="1"/>
  <c r="A819" i="22" s="1"/>
  <c r="B819" i="22" a="1"/>
  <c r="B819" i="22" s="1"/>
  <c r="C819" i="22" a="1"/>
  <c r="C819" i="22" s="1"/>
  <c r="A820" i="22" a="1"/>
  <c r="A820" i="22" s="1"/>
  <c r="B820" i="22" a="1"/>
  <c r="B820" i="22" s="1"/>
  <c r="C820" i="22" a="1"/>
  <c r="C820" i="22" s="1"/>
  <c r="A821" i="22" a="1"/>
  <c r="A821" i="22" s="1"/>
  <c r="B821" i="22" a="1"/>
  <c r="B821" i="22" s="1"/>
  <c r="C821" i="22" a="1"/>
  <c r="C821" i="22" s="1"/>
  <c r="A822" i="22" a="1"/>
  <c r="A822" i="22" s="1"/>
  <c r="B822" i="22" a="1"/>
  <c r="B822" i="22" s="1"/>
  <c r="C822" i="22" a="1"/>
  <c r="C822" i="22" s="1"/>
  <c r="A823" i="22" a="1"/>
  <c r="A823" i="22" s="1"/>
  <c r="B823" i="22" a="1"/>
  <c r="B823" i="22" s="1"/>
  <c r="C823" i="22" a="1"/>
  <c r="C823" i="22" s="1"/>
  <c r="A824" i="22" a="1"/>
  <c r="A824" i="22" s="1"/>
  <c r="B824" i="22" a="1"/>
  <c r="B824" i="22" s="1"/>
  <c r="C824" i="22" a="1"/>
  <c r="C824" i="22" s="1"/>
  <c r="A825" i="22" a="1"/>
  <c r="A825" i="22" s="1"/>
  <c r="B825" i="22" a="1"/>
  <c r="B825" i="22" s="1"/>
  <c r="C825" i="22" a="1"/>
  <c r="C825" i="22" s="1"/>
  <c r="A826" i="22" a="1"/>
  <c r="A826" i="22" s="1"/>
  <c r="B826" i="22" a="1"/>
  <c r="B826" i="22" s="1"/>
  <c r="C826" i="22" a="1"/>
  <c r="C826" i="22" s="1"/>
  <c r="A827" i="22" a="1"/>
  <c r="A827" i="22" s="1"/>
  <c r="B827" i="22" a="1"/>
  <c r="B827" i="22" s="1"/>
  <c r="C827" i="22" a="1"/>
  <c r="C827" i="22" s="1"/>
  <c r="A828" i="22" a="1"/>
  <c r="A828" i="22" s="1"/>
  <c r="B828" i="22" a="1"/>
  <c r="B828" i="22" s="1"/>
  <c r="C828" i="22" a="1"/>
  <c r="C828" i="22" s="1"/>
  <c r="A829" i="22" a="1"/>
  <c r="A829" i="22" s="1"/>
  <c r="B829" i="22" a="1"/>
  <c r="B829" i="22" s="1"/>
  <c r="C829" i="22" a="1"/>
  <c r="C829" i="22" s="1"/>
  <c r="A830" i="22" a="1"/>
  <c r="A830" i="22" s="1"/>
  <c r="B830" i="22" a="1"/>
  <c r="B830" i="22" s="1"/>
  <c r="C830" i="22" a="1"/>
  <c r="C830" i="22" s="1"/>
  <c r="A831" i="22" a="1"/>
  <c r="A831" i="22" s="1"/>
  <c r="B831" i="22" a="1"/>
  <c r="B831" i="22" s="1"/>
  <c r="C831" i="22" a="1"/>
  <c r="C831" i="22" s="1"/>
  <c r="A832" i="22" a="1"/>
  <c r="A832" i="22" s="1"/>
  <c r="B832" i="22" a="1"/>
  <c r="B832" i="22" s="1"/>
  <c r="C832" i="22" a="1"/>
  <c r="C832" i="22" s="1"/>
  <c r="A833" i="22" a="1"/>
  <c r="A833" i="22" s="1"/>
  <c r="B833" i="22" a="1"/>
  <c r="B833" i="22" s="1"/>
  <c r="C833" i="22" a="1"/>
  <c r="C833" i="22" s="1"/>
  <c r="A834" i="22" a="1"/>
  <c r="A834" i="22" s="1"/>
  <c r="B834" i="22" a="1"/>
  <c r="B834" i="22" s="1"/>
  <c r="C834" i="22" a="1"/>
  <c r="C834" i="22" s="1"/>
  <c r="A835" i="22" a="1"/>
  <c r="A835" i="22" s="1"/>
  <c r="B835" i="22" a="1"/>
  <c r="B835" i="22" s="1"/>
  <c r="C835" i="22" a="1"/>
  <c r="C835" i="22" s="1"/>
  <c r="A836" i="22" a="1"/>
  <c r="A836" i="22" s="1"/>
  <c r="B836" i="22" a="1"/>
  <c r="B836" i="22" s="1"/>
  <c r="C836" i="22" a="1"/>
  <c r="C836" i="22" s="1"/>
  <c r="A837" i="22" a="1"/>
  <c r="A837" i="22" s="1"/>
  <c r="B837" i="22" a="1"/>
  <c r="B837" i="22" s="1"/>
  <c r="C837" i="22" a="1"/>
  <c r="C837" i="22" s="1"/>
  <c r="A838" i="22" a="1"/>
  <c r="A838" i="22" s="1"/>
  <c r="B838" i="22" a="1"/>
  <c r="B838" i="22" s="1"/>
  <c r="C838" i="22" a="1"/>
  <c r="C838" i="22" s="1"/>
  <c r="A839" i="22" a="1"/>
  <c r="A839" i="22" s="1"/>
  <c r="B839" i="22" a="1"/>
  <c r="B839" i="22" s="1"/>
  <c r="C839" i="22" a="1"/>
  <c r="C839" i="22" s="1"/>
  <c r="A840" i="22" a="1"/>
  <c r="A840" i="22" s="1"/>
  <c r="B840" i="22" a="1"/>
  <c r="B840" i="22" s="1"/>
  <c r="C840" i="22" a="1"/>
  <c r="C840" i="22" s="1"/>
  <c r="A841" i="22" a="1"/>
  <c r="A841" i="22" s="1"/>
  <c r="B841" i="22" a="1"/>
  <c r="B841" i="22" s="1"/>
  <c r="C841" i="22" a="1"/>
  <c r="C841" i="22" s="1"/>
  <c r="A842" i="22" a="1"/>
  <c r="A842" i="22" s="1"/>
  <c r="B842" i="22" a="1"/>
  <c r="B842" i="22" s="1"/>
  <c r="C842" i="22" a="1"/>
  <c r="C842" i="22" s="1"/>
  <c r="A843" i="22" a="1"/>
  <c r="A843" i="22" s="1"/>
  <c r="B843" i="22" a="1"/>
  <c r="B843" i="22" s="1"/>
  <c r="C843" i="22" a="1"/>
  <c r="C843" i="22" s="1"/>
  <c r="A844" i="22" a="1"/>
  <c r="A844" i="22" s="1"/>
  <c r="B844" i="22" a="1"/>
  <c r="B844" i="22" s="1"/>
  <c r="C844" i="22" a="1"/>
  <c r="C844" i="22" s="1"/>
  <c r="A845" i="22" a="1"/>
  <c r="A845" i="22" s="1"/>
  <c r="B845" i="22" a="1"/>
  <c r="B845" i="22" s="1"/>
  <c r="C845" i="22" a="1"/>
  <c r="C845" i="22" s="1"/>
  <c r="A846" i="22" a="1"/>
  <c r="A846" i="22" s="1"/>
  <c r="B846" i="22" a="1"/>
  <c r="B846" i="22" s="1"/>
  <c r="C846" i="22" a="1"/>
  <c r="C846" i="22" s="1"/>
  <c r="A847" i="22" a="1"/>
  <c r="A847" i="22" s="1"/>
  <c r="B847" i="22" a="1"/>
  <c r="B847" i="22" s="1"/>
  <c r="C847" i="22" a="1"/>
  <c r="C847" i="22" s="1"/>
  <c r="A848" i="22" a="1"/>
  <c r="A848" i="22" s="1"/>
  <c r="B848" i="22" a="1"/>
  <c r="B848" i="22" s="1"/>
  <c r="C848" i="22" a="1"/>
  <c r="C848" i="22" s="1"/>
  <c r="A849" i="22" a="1"/>
  <c r="A849" i="22" s="1"/>
  <c r="B849" i="22" a="1"/>
  <c r="B849" i="22" s="1"/>
  <c r="C849" i="22" a="1"/>
  <c r="C849" i="22" s="1"/>
  <c r="A850" i="22" a="1"/>
  <c r="A850" i="22" s="1"/>
  <c r="B850" i="22" a="1"/>
  <c r="B850" i="22" s="1"/>
  <c r="C850" i="22" a="1"/>
  <c r="C850" i="22" s="1"/>
  <c r="A851" i="22" a="1"/>
  <c r="A851" i="22" s="1"/>
  <c r="B851" i="22" a="1"/>
  <c r="B851" i="22" s="1"/>
  <c r="C851" i="22" a="1"/>
  <c r="C851" i="22" s="1"/>
  <c r="A780" i="22" a="1"/>
  <c r="A780" i="22" s="1"/>
  <c r="B780" i="22" a="1"/>
  <c r="B780" i="22" s="1"/>
  <c r="C780" i="22" a="1"/>
  <c r="C780" i="22" s="1"/>
  <c r="A781" i="22" a="1"/>
  <c r="A781" i="22" s="1"/>
  <c r="B781" i="22" a="1"/>
  <c r="B781" i="22" s="1"/>
  <c r="C781" i="22" a="1"/>
  <c r="C781" i="22" s="1"/>
  <c r="A782" i="22" a="1"/>
  <c r="A782" i="22" s="1"/>
  <c r="B782" i="22" a="1"/>
  <c r="B782" i="22" s="1"/>
  <c r="C782" i="22" a="1"/>
  <c r="C782" i="22" s="1"/>
  <c r="A783" i="22" a="1"/>
  <c r="A783" i="22" s="1"/>
  <c r="B783" i="22" a="1"/>
  <c r="B783" i="22" s="1"/>
  <c r="C783" i="22" a="1"/>
  <c r="C783" i="22" s="1"/>
  <c r="A784" i="22" a="1"/>
  <c r="A784" i="22" s="1"/>
  <c r="B784" i="22" a="1"/>
  <c r="B784" i="22" s="1"/>
  <c r="C784" i="22" a="1"/>
  <c r="C784" i="22" s="1"/>
  <c r="A785" i="22" a="1"/>
  <c r="A785" i="22" s="1"/>
  <c r="B785" i="22" a="1"/>
  <c r="B785" i="22" s="1"/>
  <c r="C785" i="22" a="1"/>
  <c r="C785" i="22" s="1"/>
  <c r="A786" i="22" a="1"/>
  <c r="A786" i="22" s="1"/>
  <c r="B786" i="22" a="1"/>
  <c r="B786" i="22" s="1"/>
  <c r="C786" i="22" a="1"/>
  <c r="C786" i="22" s="1"/>
  <c r="A787" i="22" a="1"/>
  <c r="A787" i="22" s="1"/>
  <c r="B787" i="22" a="1"/>
  <c r="B787" i="22" s="1"/>
  <c r="C787" i="22" a="1"/>
  <c r="C787" i="22" s="1"/>
  <c r="A788" i="22" a="1"/>
  <c r="A788" i="22" s="1"/>
  <c r="B788" i="22" a="1"/>
  <c r="B788" i="22" s="1"/>
  <c r="C788" i="22" a="1"/>
  <c r="C788" i="22" s="1"/>
  <c r="A789" i="22" a="1"/>
  <c r="A789" i="22" s="1"/>
  <c r="B789" i="22" a="1"/>
  <c r="B789" i="22" s="1"/>
  <c r="C789" i="22" a="1"/>
  <c r="C789" i="22" s="1"/>
  <c r="A790" i="22" a="1"/>
  <c r="A790" i="22" s="1"/>
  <c r="B790" i="22" a="1"/>
  <c r="B790" i="22" s="1"/>
  <c r="C790" i="22" a="1"/>
  <c r="C790" i="22" s="1"/>
  <c r="A791" i="22" a="1"/>
  <c r="A791" i="22" s="1"/>
  <c r="B791" i="22" a="1"/>
  <c r="B791" i="22" s="1"/>
  <c r="C791" i="22" a="1"/>
  <c r="C791" i="22" s="1"/>
  <c r="A792" i="22" a="1"/>
  <c r="A792" i="22" s="1"/>
  <c r="B792" i="22" a="1"/>
  <c r="B792" i="22" s="1"/>
  <c r="C792" i="22" a="1"/>
  <c r="C792" i="22" s="1"/>
  <c r="A793" i="22" a="1"/>
  <c r="A793" i="22" s="1"/>
  <c r="B793" i="22" a="1"/>
  <c r="B793" i="22" s="1"/>
  <c r="C793" i="22" a="1"/>
  <c r="C793" i="22" s="1"/>
  <c r="A794" i="22" a="1"/>
  <c r="A794" i="22" s="1"/>
  <c r="B794" i="22" a="1"/>
  <c r="B794" i="22" s="1"/>
  <c r="C794" i="22" a="1"/>
  <c r="C794" i="22" s="1"/>
  <c r="A795" i="22" a="1"/>
  <c r="A795" i="22" s="1"/>
  <c r="B795" i="22" a="1"/>
  <c r="B795" i="22" s="1"/>
  <c r="C795" i="22" a="1"/>
  <c r="C795" i="22" s="1"/>
  <c r="A796" i="22" a="1"/>
  <c r="A796" i="22" s="1"/>
  <c r="B796" i="22" a="1"/>
  <c r="B796" i="22" s="1"/>
  <c r="C796" i="22" a="1"/>
  <c r="C796" i="22" s="1"/>
  <c r="A797" i="22" a="1"/>
  <c r="A797" i="22" s="1"/>
  <c r="B797" i="22" a="1"/>
  <c r="B797" i="22" s="1"/>
  <c r="C797" i="22" a="1"/>
  <c r="C797" i="22" s="1"/>
  <c r="A798" i="22" a="1"/>
  <c r="A798" i="22" s="1"/>
  <c r="B798" i="22" a="1"/>
  <c r="B798" i="22" s="1"/>
  <c r="C798" i="22" a="1"/>
  <c r="C798" i="22" s="1"/>
  <c r="A799" i="22" a="1"/>
  <c r="A799" i="22" s="1"/>
  <c r="B799" i="22" a="1"/>
  <c r="B799" i="22" s="1"/>
  <c r="C799" i="22" a="1"/>
  <c r="C799" i="22" s="1"/>
  <c r="A800" i="22" a="1"/>
  <c r="A800" i="22" s="1"/>
  <c r="B800" i="22" a="1"/>
  <c r="B800" i="22" s="1"/>
  <c r="C800" i="22" a="1"/>
  <c r="C800" i="22" s="1"/>
  <c r="A801" i="22" a="1"/>
  <c r="A801" i="22" s="1"/>
  <c r="B801" i="22" a="1"/>
  <c r="B801" i="22" s="1"/>
  <c r="C801" i="22" a="1"/>
  <c r="C801" i="22" s="1"/>
  <c r="A802" i="22" a="1"/>
  <c r="A802" i="22" s="1"/>
  <c r="B802" i="22" a="1"/>
  <c r="B802" i="22" s="1"/>
  <c r="C802" i="22" a="1"/>
  <c r="C802" i="22" s="1"/>
  <c r="A803" i="22" a="1"/>
  <c r="A803" i="22" s="1"/>
  <c r="B803" i="22" a="1"/>
  <c r="B803" i="22" s="1"/>
  <c r="C803" i="22" a="1"/>
  <c r="C803" i="22" s="1"/>
  <c r="A804" i="22" a="1"/>
  <c r="A804" i="22" s="1"/>
  <c r="B804" i="22" a="1"/>
  <c r="B804" i="22" s="1"/>
  <c r="C804" i="22" a="1"/>
  <c r="C804" i="22" s="1"/>
  <c r="A805" i="22" a="1"/>
  <c r="A805" i="22" s="1"/>
  <c r="B805" i="22" a="1"/>
  <c r="B805" i="22" s="1"/>
  <c r="C805" i="22" a="1"/>
  <c r="C805" i="22" s="1"/>
  <c r="A806" i="22" a="1"/>
  <c r="A806" i="22" s="1"/>
  <c r="B806" i="22" a="1"/>
  <c r="B806" i="22" s="1"/>
  <c r="C806" i="22" a="1"/>
  <c r="C806" i="22" s="1"/>
  <c r="A807" i="22" a="1"/>
  <c r="A807" i="22" s="1"/>
  <c r="B807" i="22" a="1"/>
  <c r="B807" i="22" s="1"/>
  <c r="C807" i="22" a="1"/>
  <c r="C807" i="22" s="1"/>
  <c r="A808" i="22" a="1"/>
  <c r="A808" i="22" s="1"/>
  <c r="B808" i="22" a="1"/>
  <c r="B808" i="22" s="1"/>
  <c r="C808" i="22" a="1"/>
  <c r="C808" i="22" s="1"/>
  <c r="A809" i="22" a="1"/>
  <c r="A809" i="22" s="1"/>
  <c r="B809" i="22" a="1"/>
  <c r="B809" i="22" s="1"/>
  <c r="C809" i="22" a="1"/>
  <c r="C809" i="22" s="1"/>
  <c r="A810" i="22" a="1"/>
  <c r="A810" i="22" s="1"/>
  <c r="B810" i="22" a="1"/>
  <c r="B810" i="22" s="1"/>
  <c r="C810" i="22" a="1"/>
  <c r="C810" i="22" s="1"/>
  <c r="A811" i="22" a="1"/>
  <c r="A811" i="22" s="1"/>
  <c r="B811" i="22" a="1"/>
  <c r="B811" i="22" s="1"/>
  <c r="C811" i="22" a="1"/>
  <c r="C811" i="22" s="1"/>
  <c r="A812" i="22" a="1"/>
  <c r="A812" i="22" s="1"/>
  <c r="B812" i="22" a="1"/>
  <c r="B812" i="22" s="1"/>
  <c r="C812" i="22" a="1"/>
  <c r="C812" i="22" s="1"/>
  <c r="A813" i="22" a="1"/>
  <c r="A813" i="22" s="1"/>
  <c r="B813" i="22" a="1"/>
  <c r="B813" i="22" s="1"/>
  <c r="C813" i="22" a="1"/>
  <c r="C813" i="22" s="1"/>
  <c r="A742" i="22" a="1"/>
  <c r="A742" i="22" s="1"/>
  <c r="B742" i="22" a="1"/>
  <c r="B742" i="22" s="1"/>
  <c r="C742" i="22" a="1"/>
  <c r="C742" i="22" s="1"/>
  <c r="A743" i="22" a="1"/>
  <c r="A743" i="22" s="1"/>
  <c r="B743" i="22" a="1"/>
  <c r="B743" i="22" s="1"/>
  <c r="C743" i="22" a="1"/>
  <c r="C743" i="22" s="1"/>
  <c r="A744" i="22" a="1"/>
  <c r="A744" i="22" s="1"/>
  <c r="B744" i="22" a="1"/>
  <c r="B744" i="22" s="1"/>
  <c r="C744" i="22" a="1"/>
  <c r="C744" i="22" s="1"/>
  <c r="A745" i="22" a="1"/>
  <c r="A745" i="22" s="1"/>
  <c r="B745" i="22" a="1"/>
  <c r="B745" i="22" s="1"/>
  <c r="C745" i="22" a="1"/>
  <c r="C745" i="22" s="1"/>
  <c r="A746" i="22" a="1"/>
  <c r="A746" i="22" s="1"/>
  <c r="B746" i="22" a="1"/>
  <c r="B746" i="22" s="1"/>
  <c r="C746" i="22" a="1"/>
  <c r="C746" i="22" s="1"/>
  <c r="A747" i="22" a="1"/>
  <c r="A747" i="22" s="1"/>
  <c r="B747" i="22" a="1"/>
  <c r="B747" i="22" s="1"/>
  <c r="C747" i="22" a="1"/>
  <c r="C747" i="22" s="1"/>
  <c r="A748" i="22" a="1"/>
  <c r="A748" i="22" s="1"/>
  <c r="B748" i="22" a="1"/>
  <c r="B748" i="22" s="1"/>
  <c r="C748" i="22" a="1"/>
  <c r="C748" i="22" s="1"/>
  <c r="A749" i="22" a="1"/>
  <c r="A749" i="22" s="1"/>
  <c r="B749" i="22" a="1"/>
  <c r="B749" i="22" s="1"/>
  <c r="C749" i="22" a="1"/>
  <c r="C749" i="22" s="1"/>
  <c r="A750" i="22" a="1"/>
  <c r="A750" i="22" s="1"/>
  <c r="B750" i="22" a="1"/>
  <c r="B750" i="22" s="1"/>
  <c r="C750" i="22" a="1"/>
  <c r="C750" i="22" s="1"/>
  <c r="A751" i="22" a="1"/>
  <c r="A751" i="22" s="1"/>
  <c r="B751" i="22" a="1"/>
  <c r="B751" i="22" s="1"/>
  <c r="C751" i="22" a="1"/>
  <c r="C751" i="22" s="1"/>
  <c r="A752" i="22" a="1"/>
  <c r="A752" i="22" s="1"/>
  <c r="B752" i="22" a="1"/>
  <c r="B752" i="22" s="1"/>
  <c r="C752" i="22" a="1"/>
  <c r="C752" i="22" s="1"/>
  <c r="A753" i="22" a="1"/>
  <c r="A753" i="22" s="1"/>
  <c r="B753" i="22" a="1"/>
  <c r="B753" i="22" s="1"/>
  <c r="C753" i="22" a="1"/>
  <c r="C753" i="22" s="1"/>
  <c r="A754" i="22" a="1"/>
  <c r="A754" i="22" s="1"/>
  <c r="B754" i="22" a="1"/>
  <c r="B754" i="22" s="1"/>
  <c r="C754" i="22" a="1"/>
  <c r="C754" i="22" s="1"/>
  <c r="A755" i="22" a="1"/>
  <c r="A755" i="22" s="1"/>
  <c r="B755" i="22" a="1"/>
  <c r="B755" i="22" s="1"/>
  <c r="C755" i="22" a="1"/>
  <c r="C755" i="22" s="1"/>
  <c r="A756" i="22" a="1"/>
  <c r="A756" i="22" s="1"/>
  <c r="B756" i="22" a="1"/>
  <c r="B756" i="22" s="1"/>
  <c r="C756" i="22" a="1"/>
  <c r="C756" i="22" s="1"/>
  <c r="A757" i="22" a="1"/>
  <c r="A757" i="22" s="1"/>
  <c r="B757" i="22" a="1"/>
  <c r="B757" i="22" s="1"/>
  <c r="C757" i="22" a="1"/>
  <c r="C757" i="22" s="1"/>
  <c r="A758" i="22" a="1"/>
  <c r="A758" i="22" s="1"/>
  <c r="B758" i="22" a="1"/>
  <c r="B758" i="22" s="1"/>
  <c r="C758" i="22" a="1"/>
  <c r="C758" i="22" s="1"/>
  <c r="A759" i="22" a="1"/>
  <c r="A759" i="22" s="1"/>
  <c r="B759" i="22" a="1"/>
  <c r="B759" i="22" s="1"/>
  <c r="C759" i="22" a="1"/>
  <c r="C759" i="22" s="1"/>
  <c r="A760" i="22" a="1"/>
  <c r="A760" i="22" s="1"/>
  <c r="B760" i="22" a="1"/>
  <c r="B760" i="22" s="1"/>
  <c r="C760" i="22" a="1"/>
  <c r="C760" i="22" s="1"/>
  <c r="A761" i="22" a="1"/>
  <c r="A761" i="22" s="1"/>
  <c r="B761" i="22" a="1"/>
  <c r="B761" i="22" s="1"/>
  <c r="C761" i="22" a="1"/>
  <c r="C761" i="22" s="1"/>
  <c r="A762" i="22" a="1"/>
  <c r="A762" i="22" s="1"/>
  <c r="B762" i="22" a="1"/>
  <c r="B762" i="22" s="1"/>
  <c r="C762" i="22" a="1"/>
  <c r="C762" i="22" s="1"/>
  <c r="A763" i="22" a="1"/>
  <c r="A763" i="22" s="1"/>
  <c r="B763" i="22" a="1"/>
  <c r="B763" i="22" s="1"/>
  <c r="C763" i="22" a="1"/>
  <c r="C763" i="22" s="1"/>
  <c r="A764" i="22" a="1"/>
  <c r="A764" i="22" s="1"/>
  <c r="B764" i="22" a="1"/>
  <c r="B764" i="22" s="1"/>
  <c r="C764" i="22" a="1"/>
  <c r="C764" i="22" s="1"/>
  <c r="A765" i="22" a="1"/>
  <c r="A765" i="22" s="1"/>
  <c r="B765" i="22" a="1"/>
  <c r="B765" i="22" s="1"/>
  <c r="C765" i="22" a="1"/>
  <c r="C765" i="22" s="1"/>
  <c r="A766" i="22" a="1"/>
  <c r="A766" i="22" s="1"/>
  <c r="B766" i="22" a="1"/>
  <c r="B766" i="22" s="1"/>
  <c r="C766" i="22" a="1"/>
  <c r="C766" i="22" s="1"/>
  <c r="A767" i="22" a="1"/>
  <c r="A767" i="22" s="1"/>
  <c r="B767" i="22" a="1"/>
  <c r="B767" i="22" s="1"/>
  <c r="C767" i="22" a="1"/>
  <c r="C767" i="22" s="1"/>
  <c r="A768" i="22" a="1"/>
  <c r="A768" i="22" s="1"/>
  <c r="B768" i="22" a="1"/>
  <c r="B768" i="22" s="1"/>
  <c r="C768" i="22" a="1"/>
  <c r="C768" i="22" s="1"/>
  <c r="A769" i="22" a="1"/>
  <c r="A769" i="22" s="1"/>
  <c r="B769" i="22" a="1"/>
  <c r="B769" i="22" s="1"/>
  <c r="C769" i="22" a="1"/>
  <c r="C769" i="22" s="1"/>
  <c r="A770" i="22" a="1"/>
  <c r="A770" i="22" s="1"/>
  <c r="B770" i="22" a="1"/>
  <c r="B770" i="22" s="1"/>
  <c r="C770" i="22" a="1"/>
  <c r="C770" i="22" s="1"/>
  <c r="A771" i="22" a="1"/>
  <c r="A771" i="22" s="1"/>
  <c r="B771" i="22" a="1"/>
  <c r="B771" i="22" s="1"/>
  <c r="C771" i="22" a="1"/>
  <c r="C771" i="22" s="1"/>
  <c r="A772" i="22" a="1"/>
  <c r="A772" i="22" s="1"/>
  <c r="B772" i="22" a="1"/>
  <c r="B772" i="22" s="1"/>
  <c r="C772" i="22" a="1"/>
  <c r="C772" i="22" s="1"/>
  <c r="A773" i="22" a="1"/>
  <c r="A773" i="22" s="1"/>
  <c r="B773" i="22" a="1"/>
  <c r="B773" i="22" s="1"/>
  <c r="C773" i="22" a="1"/>
  <c r="C773" i="22" s="1"/>
  <c r="A774" i="22" a="1"/>
  <c r="A774" i="22" s="1"/>
  <c r="B774" i="22" a="1"/>
  <c r="B774" i="22" s="1"/>
  <c r="C774" i="22" a="1"/>
  <c r="C774" i="22" s="1"/>
  <c r="A775" i="22" a="1"/>
  <c r="A775" i="22" s="1"/>
  <c r="B775" i="22" a="1"/>
  <c r="B775" i="22" s="1"/>
  <c r="C775" i="22" a="1"/>
  <c r="C775" i="22" s="1"/>
  <c r="A704" i="22" a="1"/>
  <c r="A704" i="22" s="1"/>
  <c r="B704" i="22" a="1"/>
  <c r="B704" i="22" s="1"/>
  <c r="C704" i="22" a="1"/>
  <c r="C704" i="22" s="1"/>
  <c r="A705" i="22" a="1"/>
  <c r="A705" i="22" s="1"/>
  <c r="B705" i="22" a="1"/>
  <c r="B705" i="22" s="1"/>
  <c r="C705" i="22" a="1"/>
  <c r="C705" i="22" s="1"/>
  <c r="A706" i="22" a="1"/>
  <c r="A706" i="22" s="1"/>
  <c r="B706" i="22" a="1"/>
  <c r="B706" i="22" s="1"/>
  <c r="C706" i="22" a="1"/>
  <c r="C706" i="22" s="1"/>
  <c r="A707" i="22" a="1"/>
  <c r="A707" i="22" s="1"/>
  <c r="B707" i="22" a="1"/>
  <c r="B707" i="22" s="1"/>
  <c r="C707" i="22" a="1"/>
  <c r="C707" i="22" s="1"/>
  <c r="A708" i="22" a="1"/>
  <c r="A708" i="22" s="1"/>
  <c r="B708" i="22" a="1"/>
  <c r="B708" i="22" s="1"/>
  <c r="C708" i="22" a="1"/>
  <c r="C708" i="22" s="1"/>
  <c r="A709" i="22" a="1"/>
  <c r="A709" i="22" s="1"/>
  <c r="B709" i="22" a="1"/>
  <c r="B709" i="22" s="1"/>
  <c r="C709" i="22" a="1"/>
  <c r="C709" i="22" s="1"/>
  <c r="A710" i="22" a="1"/>
  <c r="A710" i="22" s="1"/>
  <c r="B710" i="22" a="1"/>
  <c r="B710" i="22" s="1"/>
  <c r="C710" i="22" a="1"/>
  <c r="C710" i="22" s="1"/>
  <c r="A711" i="22" a="1"/>
  <c r="A711" i="22" s="1"/>
  <c r="B711" i="22" a="1"/>
  <c r="B711" i="22" s="1"/>
  <c r="C711" i="22" a="1"/>
  <c r="C711" i="22" s="1"/>
  <c r="A712" i="22" a="1"/>
  <c r="A712" i="22" s="1"/>
  <c r="B712" i="22" a="1"/>
  <c r="B712" i="22" s="1"/>
  <c r="C712" i="22" a="1"/>
  <c r="C712" i="22" s="1"/>
  <c r="A713" i="22" a="1"/>
  <c r="A713" i="22" s="1"/>
  <c r="B713" i="22" a="1"/>
  <c r="B713" i="22" s="1"/>
  <c r="C713" i="22" a="1"/>
  <c r="C713" i="22" s="1"/>
  <c r="A714" i="22" a="1"/>
  <c r="A714" i="22" s="1"/>
  <c r="B714" i="22" a="1"/>
  <c r="B714" i="22" s="1"/>
  <c r="C714" i="22" a="1"/>
  <c r="C714" i="22" s="1"/>
  <c r="A715" i="22" a="1"/>
  <c r="A715" i="22" s="1"/>
  <c r="B715" i="22" a="1"/>
  <c r="B715" i="22" s="1"/>
  <c r="C715" i="22" a="1"/>
  <c r="C715" i="22" s="1"/>
  <c r="A716" i="22" a="1"/>
  <c r="A716" i="22" s="1"/>
  <c r="B716" i="22" a="1"/>
  <c r="B716" i="22" s="1"/>
  <c r="C716" i="22" a="1"/>
  <c r="C716" i="22" s="1"/>
  <c r="A717" i="22" a="1"/>
  <c r="A717" i="22" s="1"/>
  <c r="B717" i="22" a="1"/>
  <c r="B717" i="22" s="1"/>
  <c r="C717" i="22" a="1"/>
  <c r="C717" i="22" s="1"/>
  <c r="A718" i="22" a="1"/>
  <c r="A718" i="22" s="1"/>
  <c r="B718" i="22" a="1"/>
  <c r="B718" i="22" s="1"/>
  <c r="C718" i="22" a="1"/>
  <c r="C718" i="22" s="1"/>
  <c r="A719" i="22" a="1"/>
  <c r="A719" i="22" s="1"/>
  <c r="B719" i="22" a="1"/>
  <c r="B719" i="22" s="1"/>
  <c r="C719" i="22" a="1"/>
  <c r="C719" i="22" s="1"/>
  <c r="A720" i="22" a="1"/>
  <c r="A720" i="22" s="1"/>
  <c r="B720" i="22" a="1"/>
  <c r="B720" i="22" s="1"/>
  <c r="C720" i="22" a="1"/>
  <c r="C720" i="22" s="1"/>
  <c r="A721" i="22" a="1"/>
  <c r="A721" i="22" s="1"/>
  <c r="B721" i="22" a="1"/>
  <c r="B721" i="22" s="1"/>
  <c r="C721" i="22" a="1"/>
  <c r="C721" i="22" s="1"/>
  <c r="A722" i="22" a="1"/>
  <c r="A722" i="22" s="1"/>
  <c r="B722" i="22" a="1"/>
  <c r="B722" i="22" s="1"/>
  <c r="C722" i="22" a="1"/>
  <c r="C722" i="22" s="1"/>
  <c r="A723" i="22" a="1"/>
  <c r="A723" i="22" s="1"/>
  <c r="B723" i="22" a="1"/>
  <c r="B723" i="22" s="1"/>
  <c r="C723" i="22" a="1"/>
  <c r="C723" i="22" s="1"/>
  <c r="A724" i="22" a="1"/>
  <c r="A724" i="22" s="1"/>
  <c r="B724" i="22" a="1"/>
  <c r="B724" i="22" s="1"/>
  <c r="C724" i="22" a="1"/>
  <c r="C724" i="22" s="1"/>
  <c r="A725" i="22" a="1"/>
  <c r="A725" i="22" s="1"/>
  <c r="B725" i="22" a="1"/>
  <c r="B725" i="22" s="1"/>
  <c r="C725" i="22" a="1"/>
  <c r="C725" i="22" s="1"/>
  <c r="A726" i="22" a="1"/>
  <c r="A726" i="22" s="1"/>
  <c r="B726" i="22" a="1"/>
  <c r="B726" i="22" s="1"/>
  <c r="C726" i="22" a="1"/>
  <c r="C726" i="22" s="1"/>
  <c r="A727" i="22" a="1"/>
  <c r="A727" i="22" s="1"/>
  <c r="B727" i="22" a="1"/>
  <c r="B727" i="22" s="1"/>
  <c r="C727" i="22" a="1"/>
  <c r="C727" i="22" s="1"/>
  <c r="A728" i="22" a="1"/>
  <c r="A728" i="22" s="1"/>
  <c r="B728" i="22" a="1"/>
  <c r="B728" i="22" s="1"/>
  <c r="C728" i="22" a="1"/>
  <c r="C728" i="22" s="1"/>
  <c r="A729" i="22" a="1"/>
  <c r="A729" i="22" s="1"/>
  <c r="B729" i="22" a="1"/>
  <c r="B729" i="22" s="1"/>
  <c r="C729" i="22" a="1"/>
  <c r="C729" i="22" s="1"/>
  <c r="A730" i="22" a="1"/>
  <c r="A730" i="22" s="1"/>
  <c r="B730" i="22" a="1"/>
  <c r="B730" i="22" s="1"/>
  <c r="C730" i="22" a="1"/>
  <c r="C730" i="22" s="1"/>
  <c r="A731" i="22" a="1"/>
  <c r="A731" i="22" s="1"/>
  <c r="B731" i="22" a="1"/>
  <c r="B731" i="22" s="1"/>
  <c r="C731" i="22" a="1"/>
  <c r="C731" i="22" s="1"/>
  <c r="A732" i="22" a="1"/>
  <c r="A732" i="22" s="1"/>
  <c r="B732" i="22" a="1"/>
  <c r="B732" i="22" s="1"/>
  <c r="C732" i="22" a="1"/>
  <c r="C732" i="22" s="1"/>
  <c r="A733" i="22" a="1"/>
  <c r="A733" i="22" s="1"/>
  <c r="B733" i="22" a="1"/>
  <c r="B733" i="22" s="1"/>
  <c r="C733" i="22" a="1"/>
  <c r="C733" i="22" s="1"/>
  <c r="A734" i="22" a="1"/>
  <c r="A734" i="22" s="1"/>
  <c r="B734" i="22" a="1"/>
  <c r="B734" i="22" s="1"/>
  <c r="C734" i="22" a="1"/>
  <c r="C734" i="22" s="1"/>
  <c r="A735" i="22" a="1"/>
  <c r="A735" i="22" s="1"/>
  <c r="B735" i="22" a="1"/>
  <c r="B735" i="22" s="1"/>
  <c r="C735" i="22" a="1"/>
  <c r="C735" i="22" s="1"/>
  <c r="A736" i="22" a="1"/>
  <c r="A736" i="22" s="1"/>
  <c r="B736" i="22" a="1"/>
  <c r="B736" i="22" s="1"/>
  <c r="C736" i="22" a="1"/>
  <c r="C736" i="22" s="1"/>
  <c r="A737" i="22" a="1"/>
  <c r="A737" i="22" s="1"/>
  <c r="B737" i="22" a="1"/>
  <c r="B737" i="22" s="1"/>
  <c r="C737" i="22" a="1"/>
  <c r="C737" i="22" s="1"/>
  <c r="A666" i="22" a="1"/>
  <c r="A666" i="22" s="1"/>
  <c r="B666" i="22" a="1"/>
  <c r="B666" i="22" s="1"/>
  <c r="C666" i="22" a="1"/>
  <c r="C666" i="22" s="1"/>
  <c r="A667" i="22" a="1"/>
  <c r="A667" i="22" s="1"/>
  <c r="B667" i="22" a="1"/>
  <c r="B667" i="22" s="1"/>
  <c r="C667" i="22" a="1"/>
  <c r="C667" i="22" s="1"/>
  <c r="A668" i="22" a="1"/>
  <c r="A668" i="22" s="1"/>
  <c r="B668" i="22" a="1"/>
  <c r="B668" i="22" s="1"/>
  <c r="C668" i="22" a="1"/>
  <c r="C668" i="22" s="1"/>
  <c r="A669" i="22" a="1"/>
  <c r="A669" i="22" s="1"/>
  <c r="B669" i="22" a="1"/>
  <c r="B669" i="22" s="1"/>
  <c r="C669" i="22" a="1"/>
  <c r="C669" i="22" s="1"/>
  <c r="A670" i="22" a="1"/>
  <c r="A670" i="22" s="1"/>
  <c r="B670" i="22" a="1"/>
  <c r="B670" i="22" s="1"/>
  <c r="C670" i="22" a="1"/>
  <c r="C670" i="22" s="1"/>
  <c r="A671" i="22" a="1"/>
  <c r="A671" i="22" s="1"/>
  <c r="B671" i="22" a="1"/>
  <c r="B671" i="22" s="1"/>
  <c r="C671" i="22" a="1"/>
  <c r="C671" i="22" s="1"/>
  <c r="A672" i="22" a="1"/>
  <c r="A672" i="22" s="1"/>
  <c r="B672" i="22" a="1"/>
  <c r="B672" i="22" s="1"/>
  <c r="C672" i="22" a="1"/>
  <c r="C672" i="22" s="1"/>
  <c r="A673" i="22" a="1"/>
  <c r="A673" i="22" s="1"/>
  <c r="B673" i="22" a="1"/>
  <c r="B673" i="22" s="1"/>
  <c r="C673" i="22" a="1"/>
  <c r="C673" i="22" s="1"/>
  <c r="A674" i="22" a="1"/>
  <c r="A674" i="22" s="1"/>
  <c r="B674" i="22" a="1"/>
  <c r="B674" i="22" s="1"/>
  <c r="C674" i="22" a="1"/>
  <c r="C674" i="22" s="1"/>
  <c r="A675" i="22" a="1"/>
  <c r="A675" i="22" s="1"/>
  <c r="B675" i="22" a="1"/>
  <c r="B675" i="22" s="1"/>
  <c r="C675" i="22" a="1"/>
  <c r="C675" i="22" s="1"/>
  <c r="A676" i="22" a="1"/>
  <c r="A676" i="22" s="1"/>
  <c r="B676" i="22" a="1"/>
  <c r="B676" i="22" s="1"/>
  <c r="C676" i="22" a="1"/>
  <c r="C676" i="22" s="1"/>
  <c r="A677" i="22" a="1"/>
  <c r="A677" i="22" s="1"/>
  <c r="B677" i="22" a="1"/>
  <c r="B677" i="22" s="1"/>
  <c r="C677" i="22" a="1"/>
  <c r="C677" i="22" s="1"/>
  <c r="A678" i="22" a="1"/>
  <c r="A678" i="22" s="1"/>
  <c r="B678" i="22" a="1"/>
  <c r="B678" i="22" s="1"/>
  <c r="C678" i="22" a="1"/>
  <c r="C678" i="22" s="1"/>
  <c r="A679" i="22" a="1"/>
  <c r="A679" i="22" s="1"/>
  <c r="B679" i="22" a="1"/>
  <c r="B679" i="22" s="1"/>
  <c r="C679" i="22" a="1"/>
  <c r="C679" i="22" s="1"/>
  <c r="A680" i="22" a="1"/>
  <c r="A680" i="22" s="1"/>
  <c r="B680" i="22" a="1"/>
  <c r="B680" i="22" s="1"/>
  <c r="C680" i="22" a="1"/>
  <c r="C680" i="22" s="1"/>
  <c r="A681" i="22" a="1"/>
  <c r="A681" i="22" s="1"/>
  <c r="B681" i="22" a="1"/>
  <c r="B681" i="22" s="1"/>
  <c r="C681" i="22" a="1"/>
  <c r="C681" i="22" s="1"/>
  <c r="A682" i="22" a="1"/>
  <c r="A682" i="22" s="1"/>
  <c r="B682" i="22" a="1"/>
  <c r="B682" i="22" s="1"/>
  <c r="C682" i="22" a="1"/>
  <c r="C682" i="22" s="1"/>
  <c r="A683" i="22" a="1"/>
  <c r="A683" i="22" s="1"/>
  <c r="B683" i="22" a="1"/>
  <c r="B683" i="22" s="1"/>
  <c r="C683" i="22" a="1"/>
  <c r="C683" i="22" s="1"/>
  <c r="A684" i="22" a="1"/>
  <c r="A684" i="22" s="1"/>
  <c r="B684" i="22" a="1"/>
  <c r="B684" i="22" s="1"/>
  <c r="C684" i="22" a="1"/>
  <c r="C684" i="22" s="1"/>
  <c r="A685" i="22" a="1"/>
  <c r="A685" i="22" s="1"/>
  <c r="B685" i="22" a="1"/>
  <c r="B685" i="22" s="1"/>
  <c r="C685" i="22" a="1"/>
  <c r="C685" i="22" s="1"/>
  <c r="A686" i="22" a="1"/>
  <c r="A686" i="22" s="1"/>
  <c r="B686" i="22" a="1"/>
  <c r="B686" i="22" s="1"/>
  <c r="C686" i="22" a="1"/>
  <c r="C686" i="22" s="1"/>
  <c r="A687" i="22" a="1"/>
  <c r="A687" i="22" s="1"/>
  <c r="B687" i="22" a="1"/>
  <c r="B687" i="22" s="1"/>
  <c r="C687" i="22" a="1"/>
  <c r="C687" i="22" s="1"/>
  <c r="A688" i="22" a="1"/>
  <c r="A688" i="22" s="1"/>
  <c r="B688" i="22" a="1"/>
  <c r="B688" i="22" s="1"/>
  <c r="C688" i="22" a="1"/>
  <c r="C688" i="22" s="1"/>
  <c r="A689" i="22" a="1"/>
  <c r="A689" i="22" s="1"/>
  <c r="B689" i="22" a="1"/>
  <c r="B689" i="22" s="1"/>
  <c r="C689" i="22" a="1"/>
  <c r="C689" i="22" s="1"/>
  <c r="A690" i="22" a="1"/>
  <c r="A690" i="22" s="1"/>
  <c r="B690" i="22" a="1"/>
  <c r="B690" i="22" s="1"/>
  <c r="C690" i="22" a="1"/>
  <c r="C690" i="22" s="1"/>
  <c r="A691" i="22" a="1"/>
  <c r="A691" i="22" s="1"/>
  <c r="B691" i="22" a="1"/>
  <c r="B691" i="22" s="1"/>
  <c r="C691" i="22" a="1"/>
  <c r="C691" i="22" s="1"/>
  <c r="A692" i="22" a="1"/>
  <c r="A692" i="22" s="1"/>
  <c r="B692" i="22" a="1"/>
  <c r="B692" i="22" s="1"/>
  <c r="C692" i="22" a="1"/>
  <c r="C692" i="22" s="1"/>
  <c r="A693" i="22" a="1"/>
  <c r="A693" i="22" s="1"/>
  <c r="B693" i="22" a="1"/>
  <c r="B693" i="22" s="1"/>
  <c r="C693" i="22" a="1"/>
  <c r="C693" i="22" s="1"/>
  <c r="A694" i="22" a="1"/>
  <c r="A694" i="22" s="1"/>
  <c r="B694" i="22" a="1"/>
  <c r="B694" i="22" s="1"/>
  <c r="C694" i="22" a="1"/>
  <c r="C694" i="22" s="1"/>
  <c r="A695" i="22" a="1"/>
  <c r="A695" i="22" s="1"/>
  <c r="B695" i="22" a="1"/>
  <c r="B695" i="22" s="1"/>
  <c r="C695" i="22" a="1"/>
  <c r="C695" i="22" s="1"/>
  <c r="A696" i="22" a="1"/>
  <c r="A696" i="22" s="1"/>
  <c r="B696" i="22" a="1"/>
  <c r="B696" i="22" s="1"/>
  <c r="C696" i="22" a="1"/>
  <c r="C696" i="22" s="1"/>
  <c r="A697" i="22" a="1"/>
  <c r="A697" i="22" s="1"/>
  <c r="B697" i="22" a="1"/>
  <c r="B697" i="22" s="1"/>
  <c r="C697" i="22" a="1"/>
  <c r="C697" i="22" s="1"/>
  <c r="A698" i="22" a="1"/>
  <c r="A698" i="22" s="1"/>
  <c r="B698" i="22" a="1"/>
  <c r="B698" i="22" s="1"/>
  <c r="C698" i="22" a="1"/>
  <c r="C698" i="22" s="1"/>
  <c r="A699" i="22" a="1"/>
  <c r="A699" i="22" s="1"/>
  <c r="B699" i="22" a="1"/>
  <c r="B699" i="22" s="1"/>
  <c r="C699" i="22" a="1"/>
  <c r="C699" i="22" s="1"/>
  <c r="A628" i="22" a="1"/>
  <c r="A628" i="22" s="1"/>
  <c r="B628" i="22" a="1"/>
  <c r="B628" i="22" s="1"/>
  <c r="C628" i="22" a="1"/>
  <c r="C628" i="22" s="1"/>
  <c r="A629" i="22" a="1"/>
  <c r="A629" i="22" s="1"/>
  <c r="B629" i="22" a="1"/>
  <c r="B629" i="22" s="1"/>
  <c r="C629" i="22" a="1"/>
  <c r="C629" i="22" s="1"/>
  <c r="A630" i="22" a="1"/>
  <c r="A630" i="22" s="1"/>
  <c r="B630" i="22" a="1"/>
  <c r="B630" i="22" s="1"/>
  <c r="C630" i="22" a="1"/>
  <c r="C630" i="22" s="1"/>
  <c r="A631" i="22" a="1"/>
  <c r="A631" i="22" s="1"/>
  <c r="B631" i="22" a="1"/>
  <c r="B631" i="22" s="1"/>
  <c r="C631" i="22" a="1"/>
  <c r="C631" i="22" s="1"/>
  <c r="A632" i="22" a="1"/>
  <c r="A632" i="22" s="1"/>
  <c r="B632" i="22" a="1"/>
  <c r="B632" i="22" s="1"/>
  <c r="C632" i="22" a="1"/>
  <c r="C632" i="22" s="1"/>
  <c r="A633" i="22" a="1"/>
  <c r="A633" i="22" s="1"/>
  <c r="B633" i="22" a="1"/>
  <c r="B633" i="22" s="1"/>
  <c r="C633" i="22" a="1"/>
  <c r="C633" i="22" s="1"/>
  <c r="A634" i="22" a="1"/>
  <c r="A634" i="22" s="1"/>
  <c r="B634" i="22" a="1"/>
  <c r="B634" i="22" s="1"/>
  <c r="C634" i="22" a="1"/>
  <c r="C634" i="22" s="1"/>
  <c r="A635" i="22" a="1"/>
  <c r="A635" i="22" s="1"/>
  <c r="B635" i="22" a="1"/>
  <c r="B635" i="22" s="1"/>
  <c r="C635" i="22" a="1"/>
  <c r="C635" i="22" s="1"/>
  <c r="A636" i="22" a="1"/>
  <c r="A636" i="22" s="1"/>
  <c r="B636" i="22" a="1"/>
  <c r="B636" i="22" s="1"/>
  <c r="C636" i="22" a="1"/>
  <c r="C636" i="22" s="1"/>
  <c r="A637" i="22" a="1"/>
  <c r="A637" i="22" s="1"/>
  <c r="B637" i="22" a="1"/>
  <c r="B637" i="22" s="1"/>
  <c r="C637" i="22" a="1"/>
  <c r="C637" i="22" s="1"/>
  <c r="A638" i="22" a="1"/>
  <c r="A638" i="22" s="1"/>
  <c r="B638" i="22" a="1"/>
  <c r="B638" i="22" s="1"/>
  <c r="C638" i="22" a="1"/>
  <c r="C638" i="22" s="1"/>
  <c r="A639" i="22" a="1"/>
  <c r="A639" i="22" s="1"/>
  <c r="B639" i="22" a="1"/>
  <c r="B639" i="22" s="1"/>
  <c r="C639" i="22" a="1"/>
  <c r="C639" i="22" s="1"/>
  <c r="A640" i="22" a="1"/>
  <c r="A640" i="22" s="1"/>
  <c r="B640" i="22" a="1"/>
  <c r="B640" i="22" s="1"/>
  <c r="C640" i="22" a="1"/>
  <c r="C640" i="22" s="1"/>
  <c r="A641" i="22" a="1"/>
  <c r="A641" i="22" s="1"/>
  <c r="B641" i="22" a="1"/>
  <c r="B641" i="22" s="1"/>
  <c r="C641" i="22" a="1"/>
  <c r="C641" i="22" s="1"/>
  <c r="A642" i="22" a="1"/>
  <c r="A642" i="22" s="1"/>
  <c r="B642" i="22" a="1"/>
  <c r="B642" i="22" s="1"/>
  <c r="C642" i="22" a="1"/>
  <c r="C642" i="22" s="1"/>
  <c r="A643" i="22" a="1"/>
  <c r="A643" i="22" s="1"/>
  <c r="B643" i="22" a="1"/>
  <c r="B643" i="22" s="1"/>
  <c r="C643" i="22" a="1"/>
  <c r="C643" i="22" s="1"/>
  <c r="A644" i="22" a="1"/>
  <c r="A644" i="22" s="1"/>
  <c r="B644" i="22" a="1"/>
  <c r="B644" i="22" s="1"/>
  <c r="C644" i="22" a="1"/>
  <c r="C644" i="22" s="1"/>
  <c r="A645" i="22" a="1"/>
  <c r="A645" i="22" s="1"/>
  <c r="B645" i="22" a="1"/>
  <c r="B645" i="22" s="1"/>
  <c r="C645" i="22" a="1"/>
  <c r="C645" i="22" s="1"/>
  <c r="A646" i="22" a="1"/>
  <c r="A646" i="22" s="1"/>
  <c r="B646" i="22" a="1"/>
  <c r="B646" i="22" s="1"/>
  <c r="C646" i="22" a="1"/>
  <c r="C646" i="22" s="1"/>
  <c r="A647" i="22" a="1"/>
  <c r="A647" i="22" s="1"/>
  <c r="B647" i="22" a="1"/>
  <c r="B647" i="22" s="1"/>
  <c r="C647" i="22" a="1"/>
  <c r="C647" i="22" s="1"/>
  <c r="A648" i="22" a="1"/>
  <c r="A648" i="22" s="1"/>
  <c r="B648" i="22" a="1"/>
  <c r="B648" i="22" s="1"/>
  <c r="C648" i="22" a="1"/>
  <c r="C648" i="22" s="1"/>
  <c r="A649" i="22" a="1"/>
  <c r="A649" i="22" s="1"/>
  <c r="B649" i="22" a="1"/>
  <c r="B649" i="22" s="1"/>
  <c r="C649" i="22" a="1"/>
  <c r="C649" i="22" s="1"/>
  <c r="A650" i="22" a="1"/>
  <c r="A650" i="22" s="1"/>
  <c r="B650" i="22" a="1"/>
  <c r="B650" i="22" s="1"/>
  <c r="C650" i="22" a="1"/>
  <c r="C650" i="22" s="1"/>
  <c r="A651" i="22" a="1"/>
  <c r="A651" i="22" s="1"/>
  <c r="B651" i="22" a="1"/>
  <c r="B651" i="22" s="1"/>
  <c r="C651" i="22" a="1"/>
  <c r="C651" i="22" s="1"/>
  <c r="A652" i="22" a="1"/>
  <c r="A652" i="22" s="1"/>
  <c r="B652" i="22" a="1"/>
  <c r="B652" i="22" s="1"/>
  <c r="C652" i="22" a="1"/>
  <c r="C652" i="22" s="1"/>
  <c r="A653" i="22" a="1"/>
  <c r="A653" i="22" s="1"/>
  <c r="B653" i="22" a="1"/>
  <c r="B653" i="22" s="1"/>
  <c r="C653" i="22" a="1"/>
  <c r="C653" i="22" s="1"/>
  <c r="A654" i="22" a="1"/>
  <c r="A654" i="22" s="1"/>
  <c r="B654" i="22" a="1"/>
  <c r="B654" i="22" s="1"/>
  <c r="C654" i="22" a="1"/>
  <c r="C654" i="22" s="1"/>
  <c r="A655" i="22" a="1"/>
  <c r="A655" i="22" s="1"/>
  <c r="B655" i="22" a="1"/>
  <c r="B655" i="22" s="1"/>
  <c r="C655" i="22" a="1"/>
  <c r="C655" i="22" s="1"/>
  <c r="A656" i="22" a="1"/>
  <c r="A656" i="22" s="1"/>
  <c r="B656" i="22" a="1"/>
  <c r="B656" i="22" s="1"/>
  <c r="C656" i="22" a="1"/>
  <c r="C656" i="22" s="1"/>
  <c r="A657" i="22" a="1"/>
  <c r="A657" i="22" s="1"/>
  <c r="B657" i="22" a="1"/>
  <c r="B657" i="22" s="1"/>
  <c r="C657" i="22" a="1"/>
  <c r="C657" i="22" s="1"/>
  <c r="A658" i="22" a="1"/>
  <c r="A658" i="22" s="1"/>
  <c r="B658" i="22" a="1"/>
  <c r="B658" i="22" s="1"/>
  <c r="C658" i="22" a="1"/>
  <c r="C658" i="22" s="1"/>
  <c r="A659" i="22" a="1"/>
  <c r="A659" i="22" s="1"/>
  <c r="B659" i="22" a="1"/>
  <c r="B659" i="22" s="1"/>
  <c r="C659" i="22" a="1"/>
  <c r="C659" i="22" s="1"/>
  <c r="A660" i="22" a="1"/>
  <c r="A660" i="22" s="1"/>
  <c r="B660" i="22" a="1"/>
  <c r="B660" i="22" s="1"/>
  <c r="C660" i="22" a="1"/>
  <c r="C660" i="22" s="1"/>
  <c r="A661" i="22" a="1"/>
  <c r="A661" i="22" s="1"/>
  <c r="B661" i="22" a="1"/>
  <c r="B661" i="22" s="1"/>
  <c r="C661" i="22" a="1"/>
  <c r="C661" i="22" s="1"/>
  <c r="A590" i="22" a="1"/>
  <c r="A590" i="22" s="1"/>
  <c r="B590" i="22" a="1"/>
  <c r="B590" i="22" s="1"/>
  <c r="C590" i="22" a="1"/>
  <c r="C590" i="22" s="1"/>
  <c r="A591" i="22" a="1"/>
  <c r="A591" i="22" s="1"/>
  <c r="B591" i="22" a="1"/>
  <c r="B591" i="22" s="1"/>
  <c r="C591" i="22" a="1"/>
  <c r="C591" i="22" s="1"/>
  <c r="A592" i="22" a="1"/>
  <c r="A592" i="22" s="1"/>
  <c r="B592" i="22" a="1"/>
  <c r="B592" i="22" s="1"/>
  <c r="C592" i="22" a="1"/>
  <c r="C592" i="22" s="1"/>
  <c r="A593" i="22" a="1"/>
  <c r="A593" i="22" s="1"/>
  <c r="B593" i="22" a="1"/>
  <c r="B593" i="22" s="1"/>
  <c r="C593" i="22" a="1"/>
  <c r="C593" i="22" s="1"/>
  <c r="A594" i="22" a="1"/>
  <c r="A594" i="22" s="1"/>
  <c r="B594" i="22" a="1"/>
  <c r="B594" i="22" s="1"/>
  <c r="C594" i="22" a="1"/>
  <c r="C594" i="22" s="1"/>
  <c r="A595" i="22" a="1"/>
  <c r="A595" i="22" s="1"/>
  <c r="B595" i="22" a="1"/>
  <c r="B595" i="22" s="1"/>
  <c r="C595" i="22" a="1"/>
  <c r="C595" i="22" s="1"/>
  <c r="A596" i="22" a="1"/>
  <c r="A596" i="22" s="1"/>
  <c r="B596" i="22" a="1"/>
  <c r="B596" i="22" s="1"/>
  <c r="C596" i="22" a="1"/>
  <c r="C596" i="22" s="1"/>
  <c r="A597" i="22" a="1"/>
  <c r="A597" i="22" s="1"/>
  <c r="B597" i="22" a="1"/>
  <c r="B597" i="22" s="1"/>
  <c r="C597" i="22" a="1"/>
  <c r="C597" i="22" s="1"/>
  <c r="A598" i="22" a="1"/>
  <c r="A598" i="22" s="1"/>
  <c r="B598" i="22" a="1"/>
  <c r="B598" i="22" s="1"/>
  <c r="C598" i="22" a="1"/>
  <c r="C598" i="22" s="1"/>
  <c r="A599" i="22" a="1"/>
  <c r="A599" i="22" s="1"/>
  <c r="B599" i="22" a="1"/>
  <c r="B599" i="22" s="1"/>
  <c r="C599" i="22" a="1"/>
  <c r="C599" i="22" s="1"/>
  <c r="A600" i="22" a="1"/>
  <c r="A600" i="22" s="1"/>
  <c r="B600" i="22" a="1"/>
  <c r="B600" i="22" s="1"/>
  <c r="C600" i="22" a="1"/>
  <c r="C600" i="22" s="1"/>
  <c r="A601" i="22" a="1"/>
  <c r="A601" i="22" s="1"/>
  <c r="B601" i="22" a="1"/>
  <c r="B601" i="22" s="1"/>
  <c r="C601" i="22" a="1"/>
  <c r="C601" i="22" s="1"/>
  <c r="A602" i="22" a="1"/>
  <c r="A602" i="22" s="1"/>
  <c r="B602" i="22" a="1"/>
  <c r="B602" i="22" s="1"/>
  <c r="C602" i="22" a="1"/>
  <c r="C602" i="22" s="1"/>
  <c r="A603" i="22" a="1"/>
  <c r="A603" i="22" s="1"/>
  <c r="B603" i="22" a="1"/>
  <c r="B603" i="22" s="1"/>
  <c r="C603" i="22" a="1"/>
  <c r="C603" i="22" s="1"/>
  <c r="A604" i="22" a="1"/>
  <c r="A604" i="22" s="1"/>
  <c r="B604" i="22" a="1"/>
  <c r="B604" i="22" s="1"/>
  <c r="C604" i="22" a="1"/>
  <c r="C604" i="22" s="1"/>
  <c r="A605" i="22" a="1"/>
  <c r="A605" i="22" s="1"/>
  <c r="B605" i="22" a="1"/>
  <c r="B605" i="22" s="1"/>
  <c r="C605" i="22" a="1"/>
  <c r="C605" i="22" s="1"/>
  <c r="A606" i="22" a="1"/>
  <c r="A606" i="22" s="1"/>
  <c r="B606" i="22" a="1"/>
  <c r="B606" i="22" s="1"/>
  <c r="C606" i="22" a="1"/>
  <c r="C606" i="22" s="1"/>
  <c r="A607" i="22" a="1"/>
  <c r="A607" i="22" s="1"/>
  <c r="B607" i="22" a="1"/>
  <c r="B607" i="22" s="1"/>
  <c r="C607" i="22" a="1"/>
  <c r="C607" i="22" s="1"/>
  <c r="A608" i="22" a="1"/>
  <c r="A608" i="22" s="1"/>
  <c r="B608" i="22" a="1"/>
  <c r="B608" i="22" s="1"/>
  <c r="C608" i="22" a="1"/>
  <c r="C608" i="22" s="1"/>
  <c r="A609" i="22" a="1"/>
  <c r="A609" i="22" s="1"/>
  <c r="B609" i="22" a="1"/>
  <c r="B609" i="22" s="1"/>
  <c r="C609" i="22" a="1"/>
  <c r="C609" i="22" s="1"/>
  <c r="A610" i="22" a="1"/>
  <c r="A610" i="22" s="1"/>
  <c r="B610" i="22" a="1"/>
  <c r="B610" i="22" s="1"/>
  <c r="C610" i="22" a="1"/>
  <c r="C610" i="22" s="1"/>
  <c r="A611" i="22" a="1"/>
  <c r="A611" i="22" s="1"/>
  <c r="B611" i="22" a="1"/>
  <c r="B611" i="22" s="1"/>
  <c r="C611" i="22" a="1"/>
  <c r="C611" i="22" s="1"/>
  <c r="A612" i="22" a="1"/>
  <c r="A612" i="22" s="1"/>
  <c r="B612" i="22" a="1"/>
  <c r="B612" i="22" s="1"/>
  <c r="C612" i="22" a="1"/>
  <c r="C612" i="22" s="1"/>
  <c r="A613" i="22" a="1"/>
  <c r="A613" i="22" s="1"/>
  <c r="B613" i="22" a="1"/>
  <c r="B613" i="22" s="1"/>
  <c r="C613" i="22" a="1"/>
  <c r="C613" i="22" s="1"/>
  <c r="A614" i="22" a="1"/>
  <c r="A614" i="22" s="1"/>
  <c r="B614" i="22" a="1"/>
  <c r="B614" i="22" s="1"/>
  <c r="C614" i="22" a="1"/>
  <c r="C614" i="22" s="1"/>
  <c r="A615" i="22" a="1"/>
  <c r="A615" i="22" s="1"/>
  <c r="B615" i="22" a="1"/>
  <c r="B615" i="22" s="1"/>
  <c r="C615" i="22" a="1"/>
  <c r="C615" i="22" s="1"/>
  <c r="A616" i="22" a="1"/>
  <c r="A616" i="22" s="1"/>
  <c r="B616" i="22" a="1"/>
  <c r="B616" i="22" s="1"/>
  <c r="C616" i="22" a="1"/>
  <c r="C616" i="22" s="1"/>
  <c r="A617" i="22" a="1"/>
  <c r="A617" i="22" s="1"/>
  <c r="B617" i="22" a="1"/>
  <c r="B617" i="22" s="1"/>
  <c r="C617" i="22" a="1"/>
  <c r="C617" i="22" s="1"/>
  <c r="A618" i="22" a="1"/>
  <c r="A618" i="22" s="1"/>
  <c r="B618" i="22" a="1"/>
  <c r="B618" i="22" s="1"/>
  <c r="C618" i="22" a="1"/>
  <c r="C618" i="22" s="1"/>
  <c r="A619" i="22" a="1"/>
  <c r="A619" i="22" s="1"/>
  <c r="B619" i="22" a="1"/>
  <c r="B619" i="22" s="1"/>
  <c r="C619" i="22" a="1"/>
  <c r="C619" i="22" s="1"/>
  <c r="A620" i="22" a="1"/>
  <c r="A620" i="22" s="1"/>
  <c r="B620" i="22" a="1"/>
  <c r="B620" i="22" s="1"/>
  <c r="C620" i="22" a="1"/>
  <c r="C620" i="22" s="1"/>
  <c r="A621" i="22" a="1"/>
  <c r="A621" i="22" s="1"/>
  <c r="B621" i="22" a="1"/>
  <c r="B621" i="22" s="1"/>
  <c r="C621" i="22" a="1"/>
  <c r="C621" i="22" s="1"/>
  <c r="A622" i="22" a="1"/>
  <c r="A622" i="22" s="1"/>
  <c r="B622" i="22" a="1"/>
  <c r="B622" i="22" s="1"/>
  <c r="C622" i="22" a="1"/>
  <c r="C622" i="22" s="1"/>
  <c r="A623" i="22" a="1"/>
  <c r="A623" i="22" s="1"/>
  <c r="B623" i="22" a="1"/>
  <c r="B623" i="22" s="1"/>
  <c r="C623" i="22" a="1"/>
  <c r="C623" i="22" s="1"/>
  <c r="A552" i="22" a="1"/>
  <c r="A552" i="22" s="1"/>
  <c r="B552" i="22" a="1"/>
  <c r="B552" i="22" s="1"/>
  <c r="C552" i="22" a="1"/>
  <c r="C552" i="22" s="1"/>
  <c r="A553" i="22" a="1"/>
  <c r="A553" i="22" s="1"/>
  <c r="B553" i="22" a="1"/>
  <c r="B553" i="22" s="1"/>
  <c r="C553" i="22" a="1"/>
  <c r="C553" i="22" s="1"/>
  <c r="A554" i="22" a="1"/>
  <c r="A554" i="22" s="1"/>
  <c r="B554" i="22" a="1"/>
  <c r="B554" i="22" s="1"/>
  <c r="C554" i="22" a="1"/>
  <c r="C554" i="22" s="1"/>
  <c r="A555" i="22" a="1"/>
  <c r="A555" i="22" s="1"/>
  <c r="B555" i="22" a="1"/>
  <c r="B555" i="22" s="1"/>
  <c r="C555" i="22" a="1"/>
  <c r="C555" i="22" s="1"/>
  <c r="A556" i="22" a="1"/>
  <c r="A556" i="22" s="1"/>
  <c r="B556" i="22" a="1"/>
  <c r="B556" i="22" s="1"/>
  <c r="C556" i="22" a="1"/>
  <c r="C556" i="22" s="1"/>
  <c r="A557" i="22" a="1"/>
  <c r="A557" i="22" s="1"/>
  <c r="B557" i="22" a="1"/>
  <c r="B557" i="22" s="1"/>
  <c r="C557" i="22" a="1"/>
  <c r="C557" i="22" s="1"/>
  <c r="A558" i="22" a="1"/>
  <c r="A558" i="22" s="1"/>
  <c r="B558" i="22" a="1"/>
  <c r="B558" i="22" s="1"/>
  <c r="C558" i="22" a="1"/>
  <c r="C558" i="22" s="1"/>
  <c r="A559" i="22" a="1"/>
  <c r="A559" i="22" s="1"/>
  <c r="B559" i="22" a="1"/>
  <c r="B559" i="22" s="1"/>
  <c r="C559" i="22" a="1"/>
  <c r="C559" i="22" s="1"/>
  <c r="A560" i="22" a="1"/>
  <c r="A560" i="22" s="1"/>
  <c r="B560" i="22" a="1"/>
  <c r="B560" i="22" s="1"/>
  <c r="C560" i="22" a="1"/>
  <c r="C560" i="22" s="1"/>
  <c r="A561" i="22" a="1"/>
  <c r="A561" i="22" s="1"/>
  <c r="B561" i="22" a="1"/>
  <c r="B561" i="22" s="1"/>
  <c r="C561" i="22" a="1"/>
  <c r="C561" i="22" s="1"/>
  <c r="A562" i="22" a="1"/>
  <c r="A562" i="22" s="1"/>
  <c r="B562" i="22" a="1"/>
  <c r="B562" i="22" s="1"/>
  <c r="C562" i="22" a="1"/>
  <c r="C562" i="22" s="1"/>
  <c r="A563" i="22" a="1"/>
  <c r="A563" i="22" s="1"/>
  <c r="B563" i="22" a="1"/>
  <c r="B563" i="22" s="1"/>
  <c r="C563" i="22" a="1"/>
  <c r="C563" i="22" s="1"/>
  <c r="A564" i="22" a="1"/>
  <c r="A564" i="22" s="1"/>
  <c r="B564" i="22" a="1"/>
  <c r="B564" i="22" s="1"/>
  <c r="C564" i="22" a="1"/>
  <c r="C564" i="22" s="1"/>
  <c r="A565" i="22" a="1"/>
  <c r="A565" i="22" s="1"/>
  <c r="B565" i="22" a="1"/>
  <c r="B565" i="22" s="1"/>
  <c r="C565" i="22" a="1"/>
  <c r="C565" i="22" s="1"/>
  <c r="A566" i="22" a="1"/>
  <c r="A566" i="22" s="1"/>
  <c r="B566" i="22" a="1"/>
  <c r="B566" i="22" s="1"/>
  <c r="C566" i="22" a="1"/>
  <c r="C566" i="22" s="1"/>
  <c r="A567" i="22" a="1"/>
  <c r="A567" i="22" s="1"/>
  <c r="B567" i="22" a="1"/>
  <c r="B567" i="22" s="1"/>
  <c r="C567" i="22" a="1"/>
  <c r="C567" i="22" s="1"/>
  <c r="A568" i="22" a="1"/>
  <c r="A568" i="22" s="1"/>
  <c r="B568" i="22" a="1"/>
  <c r="B568" i="22" s="1"/>
  <c r="C568" i="22" a="1"/>
  <c r="C568" i="22" s="1"/>
  <c r="A569" i="22" a="1"/>
  <c r="A569" i="22" s="1"/>
  <c r="B569" i="22" a="1"/>
  <c r="B569" i="22" s="1"/>
  <c r="C569" i="22" a="1"/>
  <c r="C569" i="22" s="1"/>
  <c r="A570" i="22" a="1"/>
  <c r="A570" i="22" s="1"/>
  <c r="B570" i="22" a="1"/>
  <c r="B570" i="22" s="1"/>
  <c r="C570" i="22" a="1"/>
  <c r="C570" i="22" s="1"/>
  <c r="A571" i="22" a="1"/>
  <c r="A571" i="22" s="1"/>
  <c r="B571" i="22" a="1"/>
  <c r="B571" i="22" s="1"/>
  <c r="C571" i="22" a="1"/>
  <c r="C571" i="22" s="1"/>
  <c r="A572" i="22" a="1"/>
  <c r="A572" i="22" s="1"/>
  <c r="B572" i="22" a="1"/>
  <c r="B572" i="22" s="1"/>
  <c r="C572" i="22" a="1"/>
  <c r="C572" i="22" s="1"/>
  <c r="A573" i="22" a="1"/>
  <c r="A573" i="22" s="1"/>
  <c r="B573" i="22" a="1"/>
  <c r="B573" i="22" s="1"/>
  <c r="C573" i="22" a="1"/>
  <c r="C573" i="22" s="1"/>
  <c r="A574" i="22" a="1"/>
  <c r="A574" i="22" s="1"/>
  <c r="B574" i="22" a="1"/>
  <c r="B574" i="22" s="1"/>
  <c r="C574" i="22" a="1"/>
  <c r="C574" i="22" s="1"/>
  <c r="A575" i="22" a="1"/>
  <c r="A575" i="22" s="1"/>
  <c r="B575" i="22" a="1"/>
  <c r="B575" i="22" s="1"/>
  <c r="C575" i="22" a="1"/>
  <c r="C575" i="22" s="1"/>
  <c r="A576" i="22" a="1"/>
  <c r="A576" i="22" s="1"/>
  <c r="B576" i="22" a="1"/>
  <c r="B576" i="22" s="1"/>
  <c r="C576" i="22" a="1"/>
  <c r="C576" i="22" s="1"/>
  <c r="A577" i="22" a="1"/>
  <c r="A577" i="22" s="1"/>
  <c r="B577" i="22" a="1"/>
  <c r="B577" i="22" s="1"/>
  <c r="C577" i="22" a="1"/>
  <c r="C577" i="22" s="1"/>
  <c r="A578" i="22" a="1"/>
  <c r="A578" i="22" s="1"/>
  <c r="B578" i="22" a="1"/>
  <c r="B578" i="22" s="1"/>
  <c r="C578" i="22" a="1"/>
  <c r="C578" i="22" s="1"/>
  <c r="A579" i="22" a="1"/>
  <c r="A579" i="22" s="1"/>
  <c r="B579" i="22" a="1"/>
  <c r="B579" i="22" s="1"/>
  <c r="C579" i="22" a="1"/>
  <c r="C579" i="22" s="1"/>
  <c r="A580" i="22" a="1"/>
  <c r="A580" i="22" s="1"/>
  <c r="B580" i="22" a="1"/>
  <c r="B580" i="22" s="1"/>
  <c r="C580" i="22" a="1"/>
  <c r="C580" i="22" s="1"/>
  <c r="A581" i="22" a="1"/>
  <c r="A581" i="22" s="1"/>
  <c r="B581" i="22" a="1"/>
  <c r="B581" i="22" s="1"/>
  <c r="C581" i="22" a="1"/>
  <c r="C581" i="22" s="1"/>
  <c r="A582" i="22" a="1"/>
  <c r="A582" i="22" s="1"/>
  <c r="B582" i="22" a="1"/>
  <c r="B582" i="22" s="1"/>
  <c r="C582" i="22" a="1"/>
  <c r="C582" i="22" s="1"/>
  <c r="A583" i="22" a="1"/>
  <c r="A583" i="22" s="1"/>
  <c r="B583" i="22" a="1"/>
  <c r="B583" i="22" s="1"/>
  <c r="C583" i="22" a="1"/>
  <c r="C583" i="22" s="1"/>
  <c r="A584" i="22" a="1"/>
  <c r="A584" i="22" s="1"/>
  <c r="B584" i="22" a="1"/>
  <c r="B584" i="22" s="1"/>
  <c r="C584" i="22" a="1"/>
  <c r="C584" i="22" s="1"/>
  <c r="A585" i="22" a="1"/>
  <c r="A585" i="22" s="1"/>
  <c r="B585" i="22" a="1"/>
  <c r="B585" i="22" s="1"/>
  <c r="C585" i="22" a="1"/>
  <c r="C585" i="22" s="1"/>
  <c r="A514" i="22" a="1"/>
  <c r="A514" i="22" s="1"/>
  <c r="B514" i="22" a="1"/>
  <c r="B514" i="22" s="1"/>
  <c r="C514" i="22" a="1"/>
  <c r="C514" i="22" s="1"/>
  <c r="A515" i="22" a="1"/>
  <c r="A515" i="22" s="1"/>
  <c r="B515" i="22" a="1"/>
  <c r="B515" i="22" s="1"/>
  <c r="C515" i="22" a="1"/>
  <c r="C515" i="22" s="1"/>
  <c r="A516" i="22" a="1"/>
  <c r="A516" i="22" s="1"/>
  <c r="B516" i="22" a="1"/>
  <c r="B516" i="22" s="1"/>
  <c r="C516" i="22" a="1"/>
  <c r="C516" i="22" s="1"/>
  <c r="A517" i="22" a="1"/>
  <c r="A517" i="22" s="1"/>
  <c r="B517" i="22" a="1"/>
  <c r="B517" i="22" s="1"/>
  <c r="C517" i="22" a="1"/>
  <c r="C517" i="22" s="1"/>
  <c r="A518" i="22" a="1"/>
  <c r="A518" i="22" s="1"/>
  <c r="B518" i="22" a="1"/>
  <c r="B518" i="22" s="1"/>
  <c r="C518" i="22" a="1"/>
  <c r="C518" i="22" s="1"/>
  <c r="A519" i="22" a="1"/>
  <c r="A519" i="22" s="1"/>
  <c r="B519" i="22" a="1"/>
  <c r="B519" i="22" s="1"/>
  <c r="C519" i="22" a="1"/>
  <c r="C519" i="22" s="1"/>
  <c r="A520" i="22" a="1"/>
  <c r="A520" i="22" s="1"/>
  <c r="B520" i="22" a="1"/>
  <c r="B520" i="22" s="1"/>
  <c r="C520" i="22" a="1"/>
  <c r="C520" i="22" s="1"/>
  <c r="A521" i="22" a="1"/>
  <c r="A521" i="22" s="1"/>
  <c r="B521" i="22" a="1"/>
  <c r="B521" i="22" s="1"/>
  <c r="C521" i="22" a="1"/>
  <c r="C521" i="22" s="1"/>
  <c r="A522" i="22" a="1"/>
  <c r="A522" i="22" s="1"/>
  <c r="B522" i="22" a="1"/>
  <c r="B522" i="22" s="1"/>
  <c r="C522" i="22" a="1"/>
  <c r="C522" i="22" s="1"/>
  <c r="A523" i="22" a="1"/>
  <c r="A523" i="22" s="1"/>
  <c r="B523" i="22" a="1"/>
  <c r="B523" i="22" s="1"/>
  <c r="C523" i="22" a="1"/>
  <c r="C523" i="22" s="1"/>
  <c r="A524" i="22" a="1"/>
  <c r="A524" i="22" s="1"/>
  <c r="B524" i="22" a="1"/>
  <c r="B524" i="22" s="1"/>
  <c r="C524" i="22" a="1"/>
  <c r="C524" i="22" s="1"/>
  <c r="A525" i="22" a="1"/>
  <c r="A525" i="22" s="1"/>
  <c r="B525" i="22" a="1"/>
  <c r="B525" i="22" s="1"/>
  <c r="C525" i="22" a="1"/>
  <c r="C525" i="22" s="1"/>
  <c r="A526" i="22" a="1"/>
  <c r="A526" i="22" s="1"/>
  <c r="B526" i="22" a="1"/>
  <c r="B526" i="22" s="1"/>
  <c r="C526" i="22" a="1"/>
  <c r="C526" i="22" s="1"/>
  <c r="A527" i="22" a="1"/>
  <c r="A527" i="22" s="1"/>
  <c r="B527" i="22" a="1"/>
  <c r="B527" i="22" s="1"/>
  <c r="C527" i="22" a="1"/>
  <c r="C527" i="22" s="1"/>
  <c r="A528" i="22" a="1"/>
  <c r="A528" i="22" s="1"/>
  <c r="B528" i="22" a="1"/>
  <c r="B528" i="22" s="1"/>
  <c r="C528" i="22" a="1"/>
  <c r="C528" i="22" s="1"/>
  <c r="A529" i="22" a="1"/>
  <c r="A529" i="22" s="1"/>
  <c r="B529" i="22" a="1"/>
  <c r="B529" i="22" s="1"/>
  <c r="C529" i="22" a="1"/>
  <c r="C529" i="22" s="1"/>
  <c r="A530" i="22" a="1"/>
  <c r="A530" i="22" s="1"/>
  <c r="B530" i="22" a="1"/>
  <c r="B530" i="22" s="1"/>
  <c r="C530" i="22" a="1"/>
  <c r="C530" i="22" s="1"/>
  <c r="A531" i="22" a="1"/>
  <c r="A531" i="22" s="1"/>
  <c r="B531" i="22" a="1"/>
  <c r="B531" i="22" s="1"/>
  <c r="C531" i="22" a="1"/>
  <c r="C531" i="22" s="1"/>
  <c r="A532" i="22" a="1"/>
  <c r="A532" i="22" s="1"/>
  <c r="B532" i="22" a="1"/>
  <c r="B532" i="22" s="1"/>
  <c r="C532" i="22" a="1"/>
  <c r="C532" i="22" s="1"/>
  <c r="A533" i="22" a="1"/>
  <c r="A533" i="22" s="1"/>
  <c r="B533" i="22" a="1"/>
  <c r="B533" i="22" s="1"/>
  <c r="C533" i="22" a="1"/>
  <c r="C533" i="22" s="1"/>
  <c r="A534" i="22" a="1"/>
  <c r="A534" i="22" s="1"/>
  <c r="B534" i="22" a="1"/>
  <c r="B534" i="22" s="1"/>
  <c r="C534" i="22" a="1"/>
  <c r="C534" i="22" s="1"/>
  <c r="A535" i="22" a="1"/>
  <c r="A535" i="22" s="1"/>
  <c r="B535" i="22" a="1"/>
  <c r="B535" i="22" s="1"/>
  <c r="C535" i="22" a="1"/>
  <c r="C535" i="22" s="1"/>
  <c r="A536" i="22" a="1"/>
  <c r="A536" i="22" s="1"/>
  <c r="B536" i="22" a="1"/>
  <c r="B536" i="22" s="1"/>
  <c r="C536" i="22" a="1"/>
  <c r="C536" i="22" s="1"/>
  <c r="A537" i="22" a="1"/>
  <c r="A537" i="22" s="1"/>
  <c r="B537" i="22" a="1"/>
  <c r="B537" i="22" s="1"/>
  <c r="C537" i="22" a="1"/>
  <c r="C537" i="22" s="1"/>
  <c r="A538" i="22" a="1"/>
  <c r="A538" i="22" s="1"/>
  <c r="B538" i="22" a="1"/>
  <c r="B538" i="22" s="1"/>
  <c r="C538" i="22" a="1"/>
  <c r="C538" i="22" s="1"/>
  <c r="A539" i="22" a="1"/>
  <c r="A539" i="22" s="1"/>
  <c r="B539" i="22" a="1"/>
  <c r="B539" i="22" s="1"/>
  <c r="C539" i="22" a="1"/>
  <c r="C539" i="22" s="1"/>
  <c r="A540" i="22" a="1"/>
  <c r="A540" i="22" s="1"/>
  <c r="B540" i="22" a="1"/>
  <c r="B540" i="22" s="1"/>
  <c r="C540" i="22" a="1"/>
  <c r="C540" i="22" s="1"/>
  <c r="A541" i="22" a="1"/>
  <c r="A541" i="22" s="1"/>
  <c r="B541" i="22" a="1"/>
  <c r="B541" i="22" s="1"/>
  <c r="C541" i="22" a="1"/>
  <c r="C541" i="22" s="1"/>
  <c r="A542" i="22" a="1"/>
  <c r="A542" i="22" s="1"/>
  <c r="B542" i="22" a="1"/>
  <c r="B542" i="22" s="1"/>
  <c r="C542" i="22" a="1"/>
  <c r="C542" i="22" s="1"/>
  <c r="A543" i="22" a="1"/>
  <c r="A543" i="22" s="1"/>
  <c r="B543" i="22" a="1"/>
  <c r="B543" i="22" s="1"/>
  <c r="C543" i="22" a="1"/>
  <c r="C543" i="22" s="1"/>
  <c r="A544" i="22" a="1"/>
  <c r="A544" i="22" s="1"/>
  <c r="B544" i="22" a="1"/>
  <c r="B544" i="22" s="1"/>
  <c r="C544" i="22" a="1"/>
  <c r="C544" i="22" s="1"/>
  <c r="A545" i="22" a="1"/>
  <c r="A545" i="22" s="1"/>
  <c r="B545" i="22" a="1"/>
  <c r="B545" i="22" s="1"/>
  <c r="C545" i="22" a="1"/>
  <c r="C545" i="22" s="1"/>
  <c r="A546" i="22" a="1"/>
  <c r="A546" i="22" s="1"/>
  <c r="B546" i="22" a="1"/>
  <c r="B546" i="22" s="1"/>
  <c r="C546" i="22" a="1"/>
  <c r="C546" i="22" s="1"/>
  <c r="A547" i="22" a="1"/>
  <c r="A547" i="22" s="1"/>
  <c r="B547" i="22" a="1"/>
  <c r="B547" i="22" s="1"/>
  <c r="C547" i="22" a="1"/>
  <c r="C547" i="22" s="1"/>
  <c r="A476" i="22" a="1"/>
  <c r="A476" i="22" s="1"/>
  <c r="B476" i="22" a="1"/>
  <c r="B476" i="22" s="1"/>
  <c r="C476" i="22" a="1"/>
  <c r="C476" i="22" s="1"/>
  <c r="A477" i="22" a="1"/>
  <c r="A477" i="22" s="1"/>
  <c r="B477" i="22" a="1"/>
  <c r="B477" i="22" s="1"/>
  <c r="C477" i="22" a="1"/>
  <c r="C477" i="22" s="1"/>
  <c r="A478" i="22" a="1"/>
  <c r="A478" i="22" s="1"/>
  <c r="B478" i="22" a="1"/>
  <c r="B478" i="22" s="1"/>
  <c r="C478" i="22" a="1"/>
  <c r="C478" i="22" s="1"/>
  <c r="A479" i="22" a="1"/>
  <c r="A479" i="22" s="1"/>
  <c r="B479" i="22" a="1"/>
  <c r="B479" i="22" s="1"/>
  <c r="C479" i="22" a="1"/>
  <c r="C479" i="22" s="1"/>
  <c r="A480" i="22" a="1"/>
  <c r="A480" i="22" s="1"/>
  <c r="B480" i="22" a="1"/>
  <c r="B480" i="22" s="1"/>
  <c r="C480" i="22" a="1"/>
  <c r="C480" i="22" s="1"/>
  <c r="A481" i="22" a="1"/>
  <c r="A481" i="22" s="1"/>
  <c r="B481" i="22" a="1"/>
  <c r="B481" i="22" s="1"/>
  <c r="C481" i="22" a="1"/>
  <c r="C481" i="22" s="1"/>
  <c r="A482" i="22" a="1"/>
  <c r="A482" i="22" s="1"/>
  <c r="B482" i="22" a="1"/>
  <c r="B482" i="22" s="1"/>
  <c r="C482" i="22" a="1"/>
  <c r="C482" i="22" s="1"/>
  <c r="A483" i="22" a="1"/>
  <c r="A483" i="22" s="1"/>
  <c r="B483" i="22" a="1"/>
  <c r="B483" i="22" s="1"/>
  <c r="C483" i="22" a="1"/>
  <c r="C483" i="22" s="1"/>
  <c r="A484" i="22" a="1"/>
  <c r="A484" i="22" s="1"/>
  <c r="B484" i="22" a="1"/>
  <c r="B484" i="22" s="1"/>
  <c r="C484" i="22" a="1"/>
  <c r="C484" i="22" s="1"/>
  <c r="A485" i="22" a="1"/>
  <c r="A485" i="22" s="1"/>
  <c r="B485" i="22" a="1"/>
  <c r="B485" i="22" s="1"/>
  <c r="C485" i="22" a="1"/>
  <c r="C485" i="22" s="1"/>
  <c r="A486" i="22" a="1"/>
  <c r="A486" i="22" s="1"/>
  <c r="B486" i="22" a="1"/>
  <c r="B486" i="22" s="1"/>
  <c r="C486" i="22" a="1"/>
  <c r="C486" i="22" s="1"/>
  <c r="A487" i="22" a="1"/>
  <c r="A487" i="22" s="1"/>
  <c r="B487" i="22" a="1"/>
  <c r="B487" i="22" s="1"/>
  <c r="C487" i="22" a="1"/>
  <c r="C487" i="22" s="1"/>
  <c r="A488" i="22" a="1"/>
  <c r="A488" i="22" s="1"/>
  <c r="B488" i="22" a="1"/>
  <c r="B488" i="22" s="1"/>
  <c r="C488" i="22" a="1"/>
  <c r="C488" i="22" s="1"/>
  <c r="A489" i="22" a="1"/>
  <c r="A489" i="22" s="1"/>
  <c r="B489" i="22" a="1"/>
  <c r="B489" i="22" s="1"/>
  <c r="C489" i="22" a="1"/>
  <c r="C489" i="22" s="1"/>
  <c r="A490" i="22" a="1"/>
  <c r="A490" i="22" s="1"/>
  <c r="B490" i="22" a="1"/>
  <c r="B490" i="22" s="1"/>
  <c r="C490" i="22" a="1"/>
  <c r="C490" i="22" s="1"/>
  <c r="A491" i="22" a="1"/>
  <c r="A491" i="22" s="1"/>
  <c r="B491" i="22" a="1"/>
  <c r="B491" i="22" s="1"/>
  <c r="C491" i="22" a="1"/>
  <c r="C491" i="22" s="1"/>
  <c r="A492" i="22" a="1"/>
  <c r="A492" i="22" s="1"/>
  <c r="B492" i="22" a="1"/>
  <c r="B492" i="22" s="1"/>
  <c r="C492" i="22" a="1"/>
  <c r="C492" i="22" s="1"/>
  <c r="A493" i="22" a="1"/>
  <c r="A493" i="22" s="1"/>
  <c r="B493" i="22" a="1"/>
  <c r="B493" i="22" s="1"/>
  <c r="C493" i="22" a="1"/>
  <c r="C493" i="22" s="1"/>
  <c r="A494" i="22" a="1"/>
  <c r="A494" i="22" s="1"/>
  <c r="B494" i="22" a="1"/>
  <c r="B494" i="22" s="1"/>
  <c r="C494" i="22" a="1"/>
  <c r="C494" i="22" s="1"/>
  <c r="A495" i="22" a="1"/>
  <c r="A495" i="22" s="1"/>
  <c r="B495" i="22" a="1"/>
  <c r="B495" i="22" s="1"/>
  <c r="C495" i="22" a="1"/>
  <c r="C495" i="22" s="1"/>
  <c r="A496" i="22" a="1"/>
  <c r="A496" i="22" s="1"/>
  <c r="B496" i="22" a="1"/>
  <c r="B496" i="22" s="1"/>
  <c r="C496" i="22" a="1"/>
  <c r="C496" i="22" s="1"/>
  <c r="A497" i="22" a="1"/>
  <c r="A497" i="22" s="1"/>
  <c r="B497" i="22" a="1"/>
  <c r="B497" i="22" s="1"/>
  <c r="C497" i="22" a="1"/>
  <c r="C497" i="22" s="1"/>
  <c r="A498" i="22" a="1"/>
  <c r="A498" i="22" s="1"/>
  <c r="B498" i="22" a="1"/>
  <c r="B498" i="22" s="1"/>
  <c r="C498" i="22" a="1"/>
  <c r="C498" i="22" s="1"/>
  <c r="A499" i="22" a="1"/>
  <c r="A499" i="22" s="1"/>
  <c r="B499" i="22" a="1"/>
  <c r="B499" i="22" s="1"/>
  <c r="C499" i="22" a="1"/>
  <c r="C499" i="22" s="1"/>
  <c r="A500" i="22" a="1"/>
  <c r="A500" i="22" s="1"/>
  <c r="B500" i="22" a="1"/>
  <c r="B500" i="22" s="1"/>
  <c r="C500" i="22" a="1"/>
  <c r="C500" i="22" s="1"/>
  <c r="A501" i="22" a="1"/>
  <c r="A501" i="22" s="1"/>
  <c r="B501" i="22" a="1"/>
  <c r="B501" i="22" s="1"/>
  <c r="C501" i="22" a="1"/>
  <c r="C501" i="22" s="1"/>
  <c r="A502" i="22" a="1"/>
  <c r="A502" i="22" s="1"/>
  <c r="B502" i="22" a="1"/>
  <c r="B502" i="22" s="1"/>
  <c r="C502" i="22" a="1"/>
  <c r="C502" i="22" s="1"/>
  <c r="A503" i="22" a="1"/>
  <c r="A503" i="22" s="1"/>
  <c r="B503" i="22" a="1"/>
  <c r="B503" i="22" s="1"/>
  <c r="C503" i="22" a="1"/>
  <c r="C503" i="22" s="1"/>
  <c r="A504" i="22" a="1"/>
  <c r="A504" i="22" s="1"/>
  <c r="B504" i="22" a="1"/>
  <c r="B504" i="22" s="1"/>
  <c r="C504" i="22" a="1"/>
  <c r="C504" i="22" s="1"/>
  <c r="A505" i="22" a="1"/>
  <c r="A505" i="22" s="1"/>
  <c r="B505" i="22" a="1"/>
  <c r="B505" i="22" s="1"/>
  <c r="C505" i="22" a="1"/>
  <c r="C505" i="22" s="1"/>
  <c r="A506" i="22" a="1"/>
  <c r="A506" i="22" s="1"/>
  <c r="B506" i="22" a="1"/>
  <c r="B506" i="22" s="1"/>
  <c r="C506" i="22" a="1"/>
  <c r="C506" i="22" s="1"/>
  <c r="A507" i="22" a="1"/>
  <c r="A507" i="22" s="1"/>
  <c r="B507" i="22" a="1"/>
  <c r="B507" i="22" s="1"/>
  <c r="C507" i="22" a="1"/>
  <c r="C507" i="22" s="1"/>
  <c r="A508" i="22" a="1"/>
  <c r="A508" i="22" s="1"/>
  <c r="B508" i="22" a="1"/>
  <c r="B508" i="22" s="1"/>
  <c r="C508" i="22" a="1"/>
  <c r="C508" i="22" s="1"/>
  <c r="A509" i="22" a="1"/>
  <c r="A509" i="22" s="1"/>
  <c r="B509" i="22" a="1"/>
  <c r="B509" i="22" s="1"/>
  <c r="C509" i="22" a="1"/>
  <c r="C509" i="22" s="1"/>
  <c r="A438" i="22" a="1"/>
  <c r="A438" i="22" s="1"/>
  <c r="B438" i="22" a="1"/>
  <c r="B438" i="22" s="1"/>
  <c r="C438" i="22" a="1"/>
  <c r="C438" i="22" s="1"/>
  <c r="A439" i="22" a="1"/>
  <c r="A439" i="22" s="1"/>
  <c r="B439" i="22" a="1"/>
  <c r="B439" i="22" s="1"/>
  <c r="C439" i="22" a="1"/>
  <c r="C439" i="22" s="1"/>
  <c r="A440" i="22" a="1"/>
  <c r="A440" i="22" s="1"/>
  <c r="B440" i="22" a="1"/>
  <c r="B440" i="22" s="1"/>
  <c r="C440" i="22" a="1"/>
  <c r="C440" i="22" s="1"/>
  <c r="A441" i="22" a="1"/>
  <c r="A441" i="22" s="1"/>
  <c r="B441" i="22" a="1"/>
  <c r="B441" i="22" s="1"/>
  <c r="C441" i="22" a="1"/>
  <c r="C441" i="22" s="1"/>
  <c r="A442" i="22" a="1"/>
  <c r="A442" i="22" s="1"/>
  <c r="B442" i="22" a="1"/>
  <c r="B442" i="22" s="1"/>
  <c r="C442" i="22" a="1"/>
  <c r="C442" i="22" s="1"/>
  <c r="A443" i="22" a="1"/>
  <c r="A443" i="22" s="1"/>
  <c r="B443" i="22" a="1"/>
  <c r="B443" i="22" s="1"/>
  <c r="C443" i="22" a="1"/>
  <c r="C443" i="22" s="1"/>
  <c r="A444" i="22" a="1"/>
  <c r="A444" i="22" s="1"/>
  <c r="B444" i="22" a="1"/>
  <c r="B444" i="22" s="1"/>
  <c r="C444" i="22" a="1"/>
  <c r="C444" i="22" s="1"/>
  <c r="A445" i="22" a="1"/>
  <c r="A445" i="22" s="1"/>
  <c r="B445" i="22" a="1"/>
  <c r="B445" i="22" s="1"/>
  <c r="C445" i="22" a="1"/>
  <c r="C445" i="22" s="1"/>
  <c r="A446" i="22" a="1"/>
  <c r="A446" i="22" s="1"/>
  <c r="B446" i="22" a="1"/>
  <c r="B446" i="22" s="1"/>
  <c r="C446" i="22" a="1"/>
  <c r="C446" i="22" s="1"/>
  <c r="A447" i="22" a="1"/>
  <c r="A447" i="22" s="1"/>
  <c r="B447" i="22" a="1"/>
  <c r="B447" i="22" s="1"/>
  <c r="C447" i="22" a="1"/>
  <c r="C447" i="22" s="1"/>
  <c r="A448" i="22" a="1"/>
  <c r="A448" i="22" s="1"/>
  <c r="B448" i="22" a="1"/>
  <c r="B448" i="22" s="1"/>
  <c r="C448" i="22" a="1"/>
  <c r="C448" i="22" s="1"/>
  <c r="A449" i="22" a="1"/>
  <c r="A449" i="22" s="1"/>
  <c r="B449" i="22" a="1"/>
  <c r="B449" i="22" s="1"/>
  <c r="C449" i="22" a="1"/>
  <c r="C449" i="22" s="1"/>
  <c r="A450" i="22" a="1"/>
  <c r="A450" i="22" s="1"/>
  <c r="B450" i="22" a="1"/>
  <c r="B450" i="22" s="1"/>
  <c r="C450" i="22" a="1"/>
  <c r="C450" i="22" s="1"/>
  <c r="A451" i="22" a="1"/>
  <c r="A451" i="22" s="1"/>
  <c r="B451" i="22" a="1"/>
  <c r="B451" i="22" s="1"/>
  <c r="C451" i="22" a="1"/>
  <c r="C451" i="22" s="1"/>
  <c r="A452" i="22" a="1"/>
  <c r="A452" i="22" s="1"/>
  <c r="B452" i="22" a="1"/>
  <c r="B452" i="22" s="1"/>
  <c r="C452" i="22" a="1"/>
  <c r="C452" i="22" s="1"/>
  <c r="A453" i="22" a="1"/>
  <c r="A453" i="22" s="1"/>
  <c r="B453" i="22" a="1"/>
  <c r="B453" i="22" s="1"/>
  <c r="C453" i="22" a="1"/>
  <c r="C453" i="22" s="1"/>
  <c r="A454" i="22" a="1"/>
  <c r="A454" i="22" s="1"/>
  <c r="B454" i="22" a="1"/>
  <c r="B454" i="22" s="1"/>
  <c r="C454" i="22" a="1"/>
  <c r="C454" i="22" s="1"/>
  <c r="A455" i="22" a="1"/>
  <c r="A455" i="22" s="1"/>
  <c r="B455" i="22" a="1"/>
  <c r="B455" i="22" s="1"/>
  <c r="C455" i="22" a="1"/>
  <c r="C455" i="22" s="1"/>
  <c r="A456" i="22" a="1"/>
  <c r="A456" i="22" s="1"/>
  <c r="B456" i="22" a="1"/>
  <c r="B456" i="22" s="1"/>
  <c r="C456" i="22" a="1"/>
  <c r="C456" i="22" s="1"/>
  <c r="A457" i="22" a="1"/>
  <c r="A457" i="22" s="1"/>
  <c r="B457" i="22" a="1"/>
  <c r="B457" i="22" s="1"/>
  <c r="C457" i="22" a="1"/>
  <c r="C457" i="22" s="1"/>
  <c r="A458" i="22" a="1"/>
  <c r="A458" i="22" s="1"/>
  <c r="B458" i="22" a="1"/>
  <c r="B458" i="22" s="1"/>
  <c r="C458" i="22" a="1"/>
  <c r="C458" i="22" s="1"/>
  <c r="A459" i="22" a="1"/>
  <c r="A459" i="22" s="1"/>
  <c r="B459" i="22" a="1"/>
  <c r="B459" i="22" s="1"/>
  <c r="C459" i="22" a="1"/>
  <c r="C459" i="22" s="1"/>
  <c r="A460" i="22" a="1"/>
  <c r="A460" i="22" s="1"/>
  <c r="B460" i="22" a="1"/>
  <c r="B460" i="22" s="1"/>
  <c r="C460" i="22" a="1"/>
  <c r="C460" i="22" s="1"/>
  <c r="A461" i="22" a="1"/>
  <c r="A461" i="22" s="1"/>
  <c r="B461" i="22" a="1"/>
  <c r="B461" i="22" s="1"/>
  <c r="C461" i="22" a="1"/>
  <c r="C461" i="22" s="1"/>
  <c r="A462" i="22" a="1"/>
  <c r="A462" i="22" s="1"/>
  <c r="B462" i="22" a="1"/>
  <c r="B462" i="22" s="1"/>
  <c r="C462" i="22" a="1"/>
  <c r="C462" i="22" s="1"/>
  <c r="A463" i="22" a="1"/>
  <c r="A463" i="22" s="1"/>
  <c r="B463" i="22" a="1"/>
  <c r="B463" i="22" s="1"/>
  <c r="C463" i="22" a="1"/>
  <c r="C463" i="22" s="1"/>
  <c r="A464" i="22" a="1"/>
  <c r="A464" i="22" s="1"/>
  <c r="B464" i="22" a="1"/>
  <c r="B464" i="22" s="1"/>
  <c r="C464" i="22" a="1"/>
  <c r="C464" i="22" s="1"/>
  <c r="A465" i="22" a="1"/>
  <c r="A465" i="22" s="1"/>
  <c r="B465" i="22" a="1"/>
  <c r="B465" i="22" s="1"/>
  <c r="C465" i="22" a="1"/>
  <c r="C465" i="22" s="1"/>
  <c r="A466" i="22" a="1"/>
  <c r="A466" i="22" s="1"/>
  <c r="B466" i="22" a="1"/>
  <c r="B466" i="22" s="1"/>
  <c r="C466" i="22" a="1"/>
  <c r="C466" i="22" s="1"/>
  <c r="A467" i="22" a="1"/>
  <c r="A467" i="22" s="1"/>
  <c r="B467" i="22" a="1"/>
  <c r="B467" i="22" s="1"/>
  <c r="C467" i="22" a="1"/>
  <c r="C467" i="22" s="1"/>
  <c r="A468" i="22" a="1"/>
  <c r="A468" i="22" s="1"/>
  <c r="B468" i="22" a="1"/>
  <c r="B468" i="22" s="1"/>
  <c r="C468" i="22" a="1"/>
  <c r="C468" i="22" s="1"/>
  <c r="A469" i="22" a="1"/>
  <c r="A469" i="22" s="1"/>
  <c r="B469" i="22" a="1"/>
  <c r="B469" i="22" s="1"/>
  <c r="C469" i="22" a="1"/>
  <c r="C469" i="22" s="1"/>
  <c r="A470" i="22" a="1"/>
  <c r="A470" i="22" s="1"/>
  <c r="B470" i="22" a="1"/>
  <c r="B470" i="22" s="1"/>
  <c r="C470" i="22" a="1"/>
  <c r="C470" i="22" s="1"/>
  <c r="A471" i="22" a="1"/>
  <c r="A471" i="22" s="1"/>
  <c r="B471" i="22" a="1"/>
  <c r="B471" i="22" s="1"/>
  <c r="C471" i="22" a="1"/>
  <c r="C471" i="22" s="1"/>
  <c r="A400" i="22" a="1"/>
  <c r="A400" i="22" s="1"/>
  <c r="B400" i="22" a="1"/>
  <c r="B400" i="22" s="1"/>
  <c r="C400" i="22" a="1"/>
  <c r="C400" i="22" s="1"/>
  <c r="A401" i="22" a="1"/>
  <c r="A401" i="22" s="1"/>
  <c r="B401" i="22" a="1"/>
  <c r="B401" i="22" s="1"/>
  <c r="C401" i="22" a="1"/>
  <c r="C401" i="22" s="1"/>
  <c r="A402" i="22" a="1"/>
  <c r="A402" i="22" s="1"/>
  <c r="B402" i="22" a="1"/>
  <c r="B402" i="22" s="1"/>
  <c r="C402" i="22" a="1"/>
  <c r="C402" i="22" s="1"/>
  <c r="A403" i="22" a="1"/>
  <c r="A403" i="22" s="1"/>
  <c r="B403" i="22" a="1"/>
  <c r="B403" i="22" s="1"/>
  <c r="C403" i="22" a="1"/>
  <c r="C403" i="22" s="1"/>
  <c r="A404" i="22" a="1"/>
  <c r="A404" i="22" s="1"/>
  <c r="B404" i="22" a="1"/>
  <c r="B404" i="22" s="1"/>
  <c r="C404" i="22" a="1"/>
  <c r="C404" i="22" s="1"/>
  <c r="A405" i="22" a="1"/>
  <c r="A405" i="22" s="1"/>
  <c r="B405" i="22" a="1"/>
  <c r="B405" i="22" s="1"/>
  <c r="C405" i="22" a="1"/>
  <c r="C405" i="22" s="1"/>
  <c r="A406" i="22" a="1"/>
  <c r="A406" i="22" s="1"/>
  <c r="B406" i="22" a="1"/>
  <c r="B406" i="22" s="1"/>
  <c r="C406" i="22" a="1"/>
  <c r="C406" i="22" s="1"/>
  <c r="A407" i="22" a="1"/>
  <c r="A407" i="22" s="1"/>
  <c r="B407" i="22" a="1"/>
  <c r="B407" i="22" s="1"/>
  <c r="C407" i="22" a="1"/>
  <c r="C407" i="22" s="1"/>
  <c r="A408" i="22" a="1"/>
  <c r="A408" i="22" s="1"/>
  <c r="B408" i="22" a="1"/>
  <c r="B408" i="22" s="1"/>
  <c r="C408" i="22" a="1"/>
  <c r="C408" i="22" s="1"/>
  <c r="A409" i="22" a="1"/>
  <c r="A409" i="22" s="1"/>
  <c r="B409" i="22" a="1"/>
  <c r="B409" i="22" s="1"/>
  <c r="C409" i="22" a="1"/>
  <c r="C409" i="22" s="1"/>
  <c r="A410" i="22" a="1"/>
  <c r="A410" i="22" s="1"/>
  <c r="B410" i="22" a="1"/>
  <c r="B410" i="22" s="1"/>
  <c r="C410" i="22" a="1"/>
  <c r="C410" i="22" s="1"/>
  <c r="A411" i="22" a="1"/>
  <c r="A411" i="22" s="1"/>
  <c r="B411" i="22" a="1"/>
  <c r="B411" i="22" s="1"/>
  <c r="C411" i="22" a="1"/>
  <c r="C411" i="22" s="1"/>
  <c r="A412" i="22" a="1"/>
  <c r="A412" i="22" s="1"/>
  <c r="B412" i="22" a="1"/>
  <c r="B412" i="22" s="1"/>
  <c r="C412" i="22" a="1"/>
  <c r="C412" i="22" s="1"/>
  <c r="A413" i="22" a="1"/>
  <c r="A413" i="22" s="1"/>
  <c r="B413" i="22" a="1"/>
  <c r="B413" i="22" s="1"/>
  <c r="C413" i="22" a="1"/>
  <c r="C413" i="22" s="1"/>
  <c r="A414" i="22" a="1"/>
  <c r="A414" i="22" s="1"/>
  <c r="B414" i="22" a="1"/>
  <c r="B414" i="22" s="1"/>
  <c r="C414" i="22" a="1"/>
  <c r="C414" i="22" s="1"/>
  <c r="A415" i="22" a="1"/>
  <c r="A415" i="22" s="1"/>
  <c r="B415" i="22" a="1"/>
  <c r="B415" i="22" s="1"/>
  <c r="C415" i="22" a="1"/>
  <c r="C415" i="22" s="1"/>
  <c r="A416" i="22" a="1"/>
  <c r="A416" i="22" s="1"/>
  <c r="B416" i="22" a="1"/>
  <c r="B416" i="22" s="1"/>
  <c r="C416" i="22" a="1"/>
  <c r="C416" i="22" s="1"/>
  <c r="A417" i="22" a="1"/>
  <c r="A417" i="22" s="1"/>
  <c r="B417" i="22" a="1"/>
  <c r="B417" i="22" s="1"/>
  <c r="C417" i="22" a="1"/>
  <c r="C417" i="22" s="1"/>
  <c r="A418" i="22" a="1"/>
  <c r="A418" i="22" s="1"/>
  <c r="B418" i="22" a="1"/>
  <c r="B418" i="22" s="1"/>
  <c r="C418" i="22" a="1"/>
  <c r="C418" i="22" s="1"/>
  <c r="A419" i="22" a="1"/>
  <c r="A419" i="22" s="1"/>
  <c r="B419" i="22" a="1"/>
  <c r="B419" i="22" s="1"/>
  <c r="C419" i="22" a="1"/>
  <c r="C419" i="22" s="1"/>
  <c r="A420" i="22" a="1"/>
  <c r="A420" i="22" s="1"/>
  <c r="B420" i="22" a="1"/>
  <c r="B420" i="22" s="1"/>
  <c r="C420" i="22" a="1"/>
  <c r="C420" i="22" s="1"/>
  <c r="A421" i="22" a="1"/>
  <c r="A421" i="22" s="1"/>
  <c r="B421" i="22" a="1"/>
  <c r="B421" i="22" s="1"/>
  <c r="C421" i="22" a="1"/>
  <c r="C421" i="22" s="1"/>
  <c r="A422" i="22" a="1"/>
  <c r="A422" i="22" s="1"/>
  <c r="B422" i="22" a="1"/>
  <c r="B422" i="22" s="1"/>
  <c r="C422" i="22" a="1"/>
  <c r="C422" i="22" s="1"/>
  <c r="A423" i="22" a="1"/>
  <c r="A423" i="22" s="1"/>
  <c r="B423" i="22" a="1"/>
  <c r="B423" i="22" s="1"/>
  <c r="C423" i="22" a="1"/>
  <c r="C423" i="22" s="1"/>
  <c r="A424" i="22" a="1"/>
  <c r="A424" i="22" s="1"/>
  <c r="B424" i="22" a="1"/>
  <c r="B424" i="22" s="1"/>
  <c r="C424" i="22" a="1"/>
  <c r="C424" i="22" s="1"/>
  <c r="A425" i="22" a="1"/>
  <c r="A425" i="22" s="1"/>
  <c r="B425" i="22" a="1"/>
  <c r="B425" i="22" s="1"/>
  <c r="C425" i="22" a="1"/>
  <c r="C425" i="22" s="1"/>
  <c r="A426" i="22" a="1"/>
  <c r="A426" i="22" s="1"/>
  <c r="B426" i="22" a="1"/>
  <c r="B426" i="22" s="1"/>
  <c r="C426" i="22" a="1"/>
  <c r="C426" i="22" s="1"/>
  <c r="A427" i="22" a="1"/>
  <c r="A427" i="22" s="1"/>
  <c r="B427" i="22" a="1"/>
  <c r="B427" i="22" s="1"/>
  <c r="C427" i="22" a="1"/>
  <c r="C427" i="22" s="1"/>
  <c r="A428" i="22" a="1"/>
  <c r="A428" i="22" s="1"/>
  <c r="B428" i="22" a="1"/>
  <c r="B428" i="22" s="1"/>
  <c r="C428" i="22" a="1"/>
  <c r="C428" i="22" s="1"/>
  <c r="A429" i="22" a="1"/>
  <c r="A429" i="22" s="1"/>
  <c r="B429" i="22" a="1"/>
  <c r="B429" i="22" s="1"/>
  <c r="C429" i="22" a="1"/>
  <c r="C429" i="22" s="1"/>
  <c r="A430" i="22" a="1"/>
  <c r="A430" i="22" s="1"/>
  <c r="B430" i="22" a="1"/>
  <c r="B430" i="22" s="1"/>
  <c r="C430" i="22" a="1"/>
  <c r="C430" i="22" s="1"/>
  <c r="A431" i="22" a="1"/>
  <c r="A431" i="22" s="1"/>
  <c r="B431" i="22" a="1"/>
  <c r="B431" i="22" s="1"/>
  <c r="C431" i="22" a="1"/>
  <c r="C431" i="22" s="1"/>
  <c r="A432" i="22" a="1"/>
  <c r="A432" i="22" s="1"/>
  <c r="B432" i="22" a="1"/>
  <c r="B432" i="22" s="1"/>
  <c r="C432" i="22" a="1"/>
  <c r="C432" i="22" s="1"/>
  <c r="A433" i="22" a="1"/>
  <c r="A433" i="22" s="1"/>
  <c r="B433" i="22" a="1"/>
  <c r="B433" i="22" s="1"/>
  <c r="C433" i="22" a="1"/>
  <c r="C433" i="22" s="1"/>
  <c r="A362" i="22" a="1"/>
  <c r="A362" i="22" s="1"/>
  <c r="B362" i="22" a="1"/>
  <c r="B362" i="22" s="1"/>
  <c r="C362" i="22" a="1"/>
  <c r="C362" i="22" s="1"/>
  <c r="A363" i="22" a="1"/>
  <c r="A363" i="22" s="1"/>
  <c r="B363" i="22" a="1"/>
  <c r="B363" i="22" s="1"/>
  <c r="C363" i="22" a="1"/>
  <c r="C363" i="22" s="1"/>
  <c r="A364" i="22" a="1"/>
  <c r="A364" i="22" s="1"/>
  <c r="B364" i="22" a="1"/>
  <c r="B364" i="22" s="1"/>
  <c r="C364" i="22" a="1"/>
  <c r="C364" i="22" s="1"/>
  <c r="A365" i="22" a="1"/>
  <c r="A365" i="22" s="1"/>
  <c r="B365" i="22" a="1"/>
  <c r="B365" i="22" s="1"/>
  <c r="C365" i="22" a="1"/>
  <c r="C365" i="22" s="1"/>
  <c r="A366" i="22" a="1"/>
  <c r="A366" i="22" s="1"/>
  <c r="B366" i="22" a="1"/>
  <c r="B366" i="22" s="1"/>
  <c r="C366" i="22" a="1"/>
  <c r="C366" i="22" s="1"/>
  <c r="A367" i="22" a="1"/>
  <c r="A367" i="22" s="1"/>
  <c r="B367" i="22" a="1"/>
  <c r="B367" i="22" s="1"/>
  <c r="C367" i="22" a="1"/>
  <c r="C367" i="22" s="1"/>
  <c r="A368" i="22" a="1"/>
  <c r="A368" i="22" s="1"/>
  <c r="B368" i="22" a="1"/>
  <c r="B368" i="22" s="1"/>
  <c r="C368" i="22" a="1"/>
  <c r="C368" i="22" s="1"/>
  <c r="A369" i="22" a="1"/>
  <c r="A369" i="22" s="1"/>
  <c r="B369" i="22" a="1"/>
  <c r="B369" i="22" s="1"/>
  <c r="C369" i="22" a="1"/>
  <c r="C369" i="22" s="1"/>
  <c r="A370" i="22" a="1"/>
  <c r="A370" i="22" s="1"/>
  <c r="B370" i="22" a="1"/>
  <c r="B370" i="22" s="1"/>
  <c r="C370" i="22" a="1"/>
  <c r="C370" i="22" s="1"/>
  <c r="A371" i="22" a="1"/>
  <c r="A371" i="22" s="1"/>
  <c r="B371" i="22" a="1"/>
  <c r="B371" i="22" s="1"/>
  <c r="C371" i="22" a="1"/>
  <c r="C371" i="22" s="1"/>
  <c r="A372" i="22" a="1"/>
  <c r="A372" i="22" s="1"/>
  <c r="B372" i="22" a="1"/>
  <c r="B372" i="22" s="1"/>
  <c r="C372" i="22" a="1"/>
  <c r="C372" i="22" s="1"/>
  <c r="A373" i="22" a="1"/>
  <c r="A373" i="22" s="1"/>
  <c r="B373" i="22" a="1"/>
  <c r="B373" i="22" s="1"/>
  <c r="C373" i="22" a="1"/>
  <c r="C373" i="22" s="1"/>
  <c r="A374" i="22" a="1"/>
  <c r="A374" i="22" s="1"/>
  <c r="B374" i="22" a="1"/>
  <c r="B374" i="22" s="1"/>
  <c r="C374" i="22" a="1"/>
  <c r="C374" i="22" s="1"/>
  <c r="A375" i="22" a="1"/>
  <c r="A375" i="22" s="1"/>
  <c r="B375" i="22" a="1"/>
  <c r="B375" i="22" s="1"/>
  <c r="C375" i="22" a="1"/>
  <c r="C375" i="22" s="1"/>
  <c r="A376" i="22" a="1"/>
  <c r="A376" i="22" s="1"/>
  <c r="B376" i="22" a="1"/>
  <c r="B376" i="22" s="1"/>
  <c r="C376" i="22" a="1"/>
  <c r="C376" i="22" s="1"/>
  <c r="A377" i="22" a="1"/>
  <c r="A377" i="22" s="1"/>
  <c r="B377" i="22" a="1"/>
  <c r="B377" i="22" s="1"/>
  <c r="C377" i="22" a="1"/>
  <c r="C377" i="22" s="1"/>
  <c r="A378" i="22" a="1"/>
  <c r="A378" i="22" s="1"/>
  <c r="B378" i="22" a="1"/>
  <c r="B378" i="22" s="1"/>
  <c r="C378" i="22" a="1"/>
  <c r="C378" i="22" s="1"/>
  <c r="A379" i="22" a="1"/>
  <c r="A379" i="22" s="1"/>
  <c r="B379" i="22" a="1"/>
  <c r="B379" i="22" s="1"/>
  <c r="C379" i="22" a="1"/>
  <c r="C379" i="22" s="1"/>
  <c r="A380" i="22" a="1"/>
  <c r="A380" i="22" s="1"/>
  <c r="B380" i="22" a="1"/>
  <c r="B380" i="22" s="1"/>
  <c r="C380" i="22" a="1"/>
  <c r="C380" i="22" s="1"/>
  <c r="A381" i="22" a="1"/>
  <c r="A381" i="22" s="1"/>
  <c r="B381" i="22" a="1"/>
  <c r="B381" i="22" s="1"/>
  <c r="C381" i="22" a="1"/>
  <c r="C381" i="22" s="1"/>
  <c r="A382" i="22" a="1"/>
  <c r="A382" i="22" s="1"/>
  <c r="B382" i="22" a="1"/>
  <c r="B382" i="22" s="1"/>
  <c r="C382" i="22" a="1"/>
  <c r="C382" i="22" s="1"/>
  <c r="A383" i="22" a="1"/>
  <c r="A383" i="22" s="1"/>
  <c r="B383" i="22" a="1"/>
  <c r="B383" i="22" s="1"/>
  <c r="C383" i="22" a="1"/>
  <c r="C383" i="22" s="1"/>
  <c r="A384" i="22" a="1"/>
  <c r="A384" i="22" s="1"/>
  <c r="B384" i="22" a="1"/>
  <c r="B384" i="22" s="1"/>
  <c r="C384" i="22" a="1"/>
  <c r="C384" i="22" s="1"/>
  <c r="A385" i="22" a="1"/>
  <c r="A385" i="22" s="1"/>
  <c r="B385" i="22" a="1"/>
  <c r="B385" i="22" s="1"/>
  <c r="C385" i="22" a="1"/>
  <c r="C385" i="22" s="1"/>
  <c r="A386" i="22" a="1"/>
  <c r="A386" i="22" s="1"/>
  <c r="B386" i="22" a="1"/>
  <c r="B386" i="22" s="1"/>
  <c r="C386" i="22" a="1"/>
  <c r="C386" i="22" s="1"/>
  <c r="A387" i="22" a="1"/>
  <c r="A387" i="22" s="1"/>
  <c r="B387" i="22" a="1"/>
  <c r="B387" i="22" s="1"/>
  <c r="C387" i="22" a="1"/>
  <c r="C387" i="22" s="1"/>
  <c r="A388" i="22" a="1"/>
  <c r="A388" i="22" s="1"/>
  <c r="B388" i="22" a="1"/>
  <c r="B388" i="22" s="1"/>
  <c r="C388" i="22" a="1"/>
  <c r="C388" i="22" s="1"/>
  <c r="A389" i="22" a="1"/>
  <c r="A389" i="22" s="1"/>
  <c r="B389" i="22" a="1"/>
  <c r="B389" i="22" s="1"/>
  <c r="C389" i="22" a="1"/>
  <c r="C389" i="22" s="1"/>
  <c r="A390" i="22" a="1"/>
  <c r="A390" i="22" s="1"/>
  <c r="B390" i="22" a="1"/>
  <c r="B390" i="22" s="1"/>
  <c r="C390" i="22" a="1"/>
  <c r="C390" i="22" s="1"/>
  <c r="A391" i="22" a="1"/>
  <c r="A391" i="22" s="1"/>
  <c r="B391" i="22" a="1"/>
  <c r="B391" i="22" s="1"/>
  <c r="C391" i="22" a="1"/>
  <c r="C391" i="22" s="1"/>
  <c r="A392" i="22" a="1"/>
  <c r="A392" i="22" s="1"/>
  <c r="B392" i="22" a="1"/>
  <c r="B392" i="22" s="1"/>
  <c r="C392" i="22" a="1"/>
  <c r="C392" i="22" s="1"/>
  <c r="A393" i="22" a="1"/>
  <c r="A393" i="22" s="1"/>
  <c r="B393" i="22" a="1"/>
  <c r="B393" i="22" s="1"/>
  <c r="C393" i="22" a="1"/>
  <c r="C393" i="22" s="1"/>
  <c r="A394" i="22" a="1"/>
  <c r="A394" i="22" s="1"/>
  <c r="B394" i="22" a="1"/>
  <c r="B394" i="22" s="1"/>
  <c r="C394" i="22" a="1"/>
  <c r="C394" i="22" s="1"/>
  <c r="A395" i="22" a="1"/>
  <c r="A395" i="22" s="1"/>
  <c r="B395" i="22" a="1"/>
  <c r="B395" i="22" s="1"/>
  <c r="C395" i="22" a="1"/>
  <c r="C395" i="22" s="1"/>
  <c r="A324" i="22" a="1"/>
  <c r="A324" i="22" s="1"/>
  <c r="B324" i="22" a="1"/>
  <c r="B324" i="22" s="1"/>
  <c r="C324" i="22" a="1"/>
  <c r="C324" i="22" s="1"/>
  <c r="A325" i="22" a="1"/>
  <c r="A325" i="22" s="1"/>
  <c r="B325" i="22" a="1"/>
  <c r="B325" i="22" s="1"/>
  <c r="C325" i="22" a="1"/>
  <c r="C325" i="22" s="1"/>
  <c r="A326" i="22" a="1"/>
  <c r="A326" i="22" s="1"/>
  <c r="B326" i="22" a="1"/>
  <c r="B326" i="22" s="1"/>
  <c r="C326" i="22" a="1"/>
  <c r="C326" i="22" s="1"/>
  <c r="A327" i="22" a="1"/>
  <c r="A327" i="22" s="1"/>
  <c r="B327" i="22" a="1"/>
  <c r="B327" i="22" s="1"/>
  <c r="C327" i="22" a="1"/>
  <c r="C327" i="22" s="1"/>
  <c r="A328" i="22" a="1"/>
  <c r="A328" i="22" s="1"/>
  <c r="B328" i="22" a="1"/>
  <c r="B328" i="22" s="1"/>
  <c r="C328" i="22" a="1"/>
  <c r="C328" i="22" s="1"/>
  <c r="A329" i="22" a="1"/>
  <c r="A329" i="22" s="1"/>
  <c r="B329" i="22" a="1"/>
  <c r="B329" i="22" s="1"/>
  <c r="C329" i="22" a="1"/>
  <c r="C329" i="22" s="1"/>
  <c r="A330" i="22" a="1"/>
  <c r="A330" i="22" s="1"/>
  <c r="B330" i="22" a="1"/>
  <c r="B330" i="22" s="1"/>
  <c r="C330" i="22" a="1"/>
  <c r="C330" i="22" s="1"/>
  <c r="A331" i="22" a="1"/>
  <c r="A331" i="22" s="1"/>
  <c r="B331" i="22" a="1"/>
  <c r="B331" i="22" s="1"/>
  <c r="C331" i="22" a="1"/>
  <c r="C331" i="22" s="1"/>
  <c r="A332" i="22" a="1"/>
  <c r="A332" i="22" s="1"/>
  <c r="B332" i="22" a="1"/>
  <c r="B332" i="22" s="1"/>
  <c r="C332" i="22" a="1"/>
  <c r="C332" i="22" s="1"/>
  <c r="A333" i="22" a="1"/>
  <c r="A333" i="22" s="1"/>
  <c r="B333" i="22" a="1"/>
  <c r="B333" i="22" s="1"/>
  <c r="C333" i="22" a="1"/>
  <c r="C333" i="22" s="1"/>
  <c r="A334" i="22" a="1"/>
  <c r="A334" i="22" s="1"/>
  <c r="B334" i="22" a="1"/>
  <c r="B334" i="22" s="1"/>
  <c r="C334" i="22" a="1"/>
  <c r="C334" i="22" s="1"/>
  <c r="A335" i="22" a="1"/>
  <c r="A335" i="22" s="1"/>
  <c r="B335" i="22" a="1"/>
  <c r="B335" i="22" s="1"/>
  <c r="C335" i="22" a="1"/>
  <c r="C335" i="22" s="1"/>
  <c r="A336" i="22" a="1"/>
  <c r="A336" i="22" s="1"/>
  <c r="B336" i="22" a="1"/>
  <c r="B336" i="22" s="1"/>
  <c r="C336" i="22" a="1"/>
  <c r="C336" i="22" s="1"/>
  <c r="A337" i="22" a="1"/>
  <c r="A337" i="22" s="1"/>
  <c r="B337" i="22" a="1"/>
  <c r="B337" i="22" s="1"/>
  <c r="C337" i="22" a="1"/>
  <c r="C337" i="22" s="1"/>
  <c r="A338" i="22" a="1"/>
  <c r="A338" i="22" s="1"/>
  <c r="B338" i="22" a="1"/>
  <c r="B338" i="22" s="1"/>
  <c r="C338" i="22" a="1"/>
  <c r="C338" i="22" s="1"/>
  <c r="A339" i="22" a="1"/>
  <c r="A339" i="22" s="1"/>
  <c r="B339" i="22" a="1"/>
  <c r="B339" i="22" s="1"/>
  <c r="C339" i="22" a="1"/>
  <c r="C339" i="22" s="1"/>
  <c r="A340" i="22" a="1"/>
  <c r="A340" i="22" s="1"/>
  <c r="B340" i="22" a="1"/>
  <c r="B340" i="22" s="1"/>
  <c r="C340" i="22" a="1"/>
  <c r="C340" i="22" s="1"/>
  <c r="A341" i="22" a="1"/>
  <c r="A341" i="22" s="1"/>
  <c r="B341" i="22" a="1"/>
  <c r="B341" i="22" s="1"/>
  <c r="C341" i="22" a="1"/>
  <c r="C341" i="22" s="1"/>
  <c r="A342" i="22" a="1"/>
  <c r="A342" i="22" s="1"/>
  <c r="B342" i="22" a="1"/>
  <c r="B342" i="22" s="1"/>
  <c r="C342" i="22" a="1"/>
  <c r="C342" i="22" s="1"/>
  <c r="A343" i="22" a="1"/>
  <c r="A343" i="22" s="1"/>
  <c r="B343" i="22" a="1"/>
  <c r="B343" i="22" s="1"/>
  <c r="C343" i="22" a="1"/>
  <c r="C343" i="22" s="1"/>
  <c r="A344" i="22" a="1"/>
  <c r="A344" i="22" s="1"/>
  <c r="B344" i="22" a="1"/>
  <c r="B344" i="22" s="1"/>
  <c r="C344" i="22" a="1"/>
  <c r="C344" i="22" s="1"/>
  <c r="A345" i="22" a="1"/>
  <c r="A345" i="22" s="1"/>
  <c r="B345" i="22" a="1"/>
  <c r="B345" i="22" s="1"/>
  <c r="C345" i="22" a="1"/>
  <c r="C345" i="22" s="1"/>
  <c r="A346" i="22" a="1"/>
  <c r="A346" i="22" s="1"/>
  <c r="B346" i="22" a="1"/>
  <c r="B346" i="22" s="1"/>
  <c r="C346" i="22" a="1"/>
  <c r="C346" i="22" s="1"/>
  <c r="A347" i="22" a="1"/>
  <c r="A347" i="22" s="1"/>
  <c r="B347" i="22" a="1"/>
  <c r="B347" i="22" s="1"/>
  <c r="C347" i="22" a="1"/>
  <c r="C347" i="22" s="1"/>
  <c r="A348" i="22" a="1"/>
  <c r="A348" i="22" s="1"/>
  <c r="B348" i="22" a="1"/>
  <c r="B348" i="22" s="1"/>
  <c r="C348" i="22" a="1"/>
  <c r="C348" i="22" s="1"/>
  <c r="A349" i="22" a="1"/>
  <c r="A349" i="22" s="1"/>
  <c r="B349" i="22" a="1"/>
  <c r="B349" i="22" s="1"/>
  <c r="C349" i="22" a="1"/>
  <c r="C349" i="22" s="1"/>
  <c r="A350" i="22" a="1"/>
  <c r="A350" i="22" s="1"/>
  <c r="B350" i="22" a="1"/>
  <c r="B350" i="22" s="1"/>
  <c r="C350" i="22" a="1"/>
  <c r="C350" i="22" s="1"/>
  <c r="A351" i="22" a="1"/>
  <c r="A351" i="22" s="1"/>
  <c r="B351" i="22" a="1"/>
  <c r="B351" i="22" s="1"/>
  <c r="C351" i="22" a="1"/>
  <c r="C351" i="22" s="1"/>
  <c r="A352" i="22" a="1"/>
  <c r="A352" i="22" s="1"/>
  <c r="B352" i="22" a="1"/>
  <c r="B352" i="22" s="1"/>
  <c r="C352" i="22" a="1"/>
  <c r="C352" i="22" s="1"/>
  <c r="A353" i="22" a="1"/>
  <c r="A353" i="22" s="1"/>
  <c r="B353" i="22" a="1"/>
  <c r="B353" i="22" s="1"/>
  <c r="C353" i="22" a="1"/>
  <c r="C353" i="22" s="1"/>
  <c r="A354" i="22" a="1"/>
  <c r="A354" i="22" s="1"/>
  <c r="B354" i="22" a="1"/>
  <c r="B354" i="22" s="1"/>
  <c r="C354" i="22" a="1"/>
  <c r="C354" i="22" s="1"/>
  <c r="A355" i="22" a="1"/>
  <c r="A355" i="22" s="1"/>
  <c r="B355" i="22" a="1"/>
  <c r="B355" i="22" s="1"/>
  <c r="C355" i="22" a="1"/>
  <c r="C355" i="22" s="1"/>
  <c r="A356" i="22" a="1"/>
  <c r="A356" i="22" s="1"/>
  <c r="B356" i="22" a="1"/>
  <c r="B356" i="22" s="1"/>
  <c r="C356" i="22" a="1"/>
  <c r="C356" i="22" s="1"/>
  <c r="A357" i="22" a="1"/>
  <c r="A357" i="22" s="1"/>
  <c r="B357" i="22" a="1"/>
  <c r="B357" i="22" s="1"/>
  <c r="C357" i="22" a="1"/>
  <c r="C357" i="22" s="1"/>
  <c r="A286" i="22" a="1"/>
  <c r="A286" i="22" s="1"/>
  <c r="B286" i="22" a="1"/>
  <c r="B286" i="22" s="1"/>
  <c r="C286" i="22" a="1"/>
  <c r="C286" i="22" s="1"/>
  <c r="A287" i="22" a="1"/>
  <c r="A287" i="22" s="1"/>
  <c r="B287" i="22" a="1"/>
  <c r="B287" i="22" s="1"/>
  <c r="C287" i="22" a="1"/>
  <c r="C287" i="22" s="1"/>
  <c r="A288" i="22" a="1"/>
  <c r="A288" i="22" s="1"/>
  <c r="B288" i="22" a="1"/>
  <c r="B288" i="22" s="1"/>
  <c r="C288" i="22" a="1"/>
  <c r="C288" i="22" s="1"/>
  <c r="A289" i="22" a="1"/>
  <c r="A289" i="22" s="1"/>
  <c r="B289" i="22" a="1"/>
  <c r="B289" i="22" s="1"/>
  <c r="C289" i="22" a="1"/>
  <c r="C289" i="22" s="1"/>
  <c r="A290" i="22" a="1"/>
  <c r="A290" i="22" s="1"/>
  <c r="B290" i="22" a="1"/>
  <c r="B290" i="22" s="1"/>
  <c r="C290" i="22" a="1"/>
  <c r="C290" i="22" s="1"/>
  <c r="A291" i="22" a="1"/>
  <c r="A291" i="22" s="1"/>
  <c r="B291" i="22" a="1"/>
  <c r="B291" i="22" s="1"/>
  <c r="C291" i="22" a="1"/>
  <c r="C291" i="22" s="1"/>
  <c r="A292" i="22" a="1"/>
  <c r="A292" i="22" s="1"/>
  <c r="B292" i="22" a="1"/>
  <c r="B292" i="22" s="1"/>
  <c r="C292" i="22" a="1"/>
  <c r="C292" i="22" s="1"/>
  <c r="A293" i="22" a="1"/>
  <c r="A293" i="22" s="1"/>
  <c r="B293" i="22" a="1"/>
  <c r="B293" i="22" s="1"/>
  <c r="C293" i="22" a="1"/>
  <c r="C293" i="22" s="1"/>
  <c r="A294" i="22" a="1"/>
  <c r="A294" i="22" s="1"/>
  <c r="B294" i="22" a="1"/>
  <c r="B294" i="22" s="1"/>
  <c r="C294" i="22" a="1"/>
  <c r="C294" i="22" s="1"/>
  <c r="A295" i="22" a="1"/>
  <c r="A295" i="22" s="1"/>
  <c r="B295" i="22" a="1"/>
  <c r="B295" i="22" s="1"/>
  <c r="C295" i="22" a="1"/>
  <c r="C295" i="22" s="1"/>
  <c r="A296" i="22" a="1"/>
  <c r="A296" i="22" s="1"/>
  <c r="B296" i="22" a="1"/>
  <c r="B296" i="22" s="1"/>
  <c r="C296" i="22" a="1"/>
  <c r="C296" i="22" s="1"/>
  <c r="A297" i="22" a="1"/>
  <c r="A297" i="22" s="1"/>
  <c r="B297" i="22" a="1"/>
  <c r="B297" i="22" s="1"/>
  <c r="C297" i="22" a="1"/>
  <c r="C297" i="22" s="1"/>
  <c r="A298" i="22" a="1"/>
  <c r="A298" i="22" s="1"/>
  <c r="B298" i="22" a="1"/>
  <c r="B298" i="22" s="1"/>
  <c r="C298" i="22" a="1"/>
  <c r="C298" i="22" s="1"/>
  <c r="A299" i="22" a="1"/>
  <c r="A299" i="22" s="1"/>
  <c r="B299" i="22" a="1"/>
  <c r="B299" i="22" s="1"/>
  <c r="C299" i="22" a="1"/>
  <c r="C299" i="22" s="1"/>
  <c r="A300" i="22" a="1"/>
  <c r="A300" i="22" s="1"/>
  <c r="B300" i="22" a="1"/>
  <c r="B300" i="22" s="1"/>
  <c r="C300" i="22" a="1"/>
  <c r="C300" i="22" s="1"/>
  <c r="A301" i="22" a="1"/>
  <c r="A301" i="22" s="1"/>
  <c r="B301" i="22" a="1"/>
  <c r="B301" i="22" s="1"/>
  <c r="C301" i="22" a="1"/>
  <c r="C301" i="22" s="1"/>
  <c r="A302" i="22" a="1"/>
  <c r="A302" i="22" s="1"/>
  <c r="B302" i="22" a="1"/>
  <c r="B302" i="22" s="1"/>
  <c r="C302" i="22" a="1"/>
  <c r="C302" i="22" s="1"/>
  <c r="A303" i="22" a="1"/>
  <c r="A303" i="22" s="1"/>
  <c r="B303" i="22" a="1"/>
  <c r="B303" i="22" s="1"/>
  <c r="C303" i="22" a="1"/>
  <c r="C303" i="22" s="1"/>
  <c r="A304" i="22" a="1"/>
  <c r="A304" i="22" s="1"/>
  <c r="B304" i="22" a="1"/>
  <c r="B304" i="22" s="1"/>
  <c r="C304" i="22" a="1"/>
  <c r="C304" i="22" s="1"/>
  <c r="A305" i="22" a="1"/>
  <c r="A305" i="22" s="1"/>
  <c r="B305" i="22" a="1"/>
  <c r="B305" i="22" s="1"/>
  <c r="C305" i="22" a="1"/>
  <c r="C305" i="22" s="1"/>
  <c r="A306" i="22" a="1"/>
  <c r="A306" i="22" s="1"/>
  <c r="B306" i="22" a="1"/>
  <c r="B306" i="22" s="1"/>
  <c r="C306" i="22" a="1"/>
  <c r="C306" i="22" s="1"/>
  <c r="A307" i="22" a="1"/>
  <c r="A307" i="22" s="1"/>
  <c r="B307" i="22" a="1"/>
  <c r="B307" i="22" s="1"/>
  <c r="C307" i="22" a="1"/>
  <c r="C307" i="22" s="1"/>
  <c r="A308" i="22" a="1"/>
  <c r="A308" i="22" s="1"/>
  <c r="B308" i="22" a="1"/>
  <c r="B308" i="22" s="1"/>
  <c r="C308" i="22" a="1"/>
  <c r="C308" i="22" s="1"/>
  <c r="A309" i="22" a="1"/>
  <c r="A309" i="22" s="1"/>
  <c r="B309" i="22" a="1"/>
  <c r="B309" i="22" s="1"/>
  <c r="C309" i="22" a="1"/>
  <c r="C309" i="22" s="1"/>
  <c r="A310" i="22" a="1"/>
  <c r="A310" i="22" s="1"/>
  <c r="B310" i="22" a="1"/>
  <c r="B310" i="22" s="1"/>
  <c r="C310" i="22" a="1"/>
  <c r="C310" i="22" s="1"/>
  <c r="A311" i="22" a="1"/>
  <c r="A311" i="22" s="1"/>
  <c r="B311" i="22" a="1"/>
  <c r="B311" i="22" s="1"/>
  <c r="C311" i="22" a="1"/>
  <c r="C311" i="22" s="1"/>
  <c r="A312" i="22" a="1"/>
  <c r="A312" i="22" s="1"/>
  <c r="B312" i="22" a="1"/>
  <c r="B312" i="22" s="1"/>
  <c r="C312" i="22" a="1"/>
  <c r="C312" i="22" s="1"/>
  <c r="A313" i="22" a="1"/>
  <c r="A313" i="22" s="1"/>
  <c r="B313" i="22" a="1"/>
  <c r="B313" i="22" s="1"/>
  <c r="C313" i="22" a="1"/>
  <c r="C313" i="22" s="1"/>
  <c r="A314" i="22" a="1"/>
  <c r="A314" i="22" s="1"/>
  <c r="B314" i="22" a="1"/>
  <c r="B314" i="22" s="1"/>
  <c r="C314" i="22" a="1"/>
  <c r="C314" i="22" s="1"/>
  <c r="A315" i="22" a="1"/>
  <c r="A315" i="22" s="1"/>
  <c r="B315" i="22" a="1"/>
  <c r="B315" i="22" s="1"/>
  <c r="C315" i="22" a="1"/>
  <c r="C315" i="22" s="1"/>
  <c r="A316" i="22" a="1"/>
  <c r="A316" i="22" s="1"/>
  <c r="B316" i="22" a="1"/>
  <c r="B316" i="22" s="1"/>
  <c r="C316" i="22" a="1"/>
  <c r="C316" i="22" s="1"/>
  <c r="A317" i="22" a="1"/>
  <c r="A317" i="22" s="1"/>
  <c r="B317" i="22" a="1"/>
  <c r="B317" i="22" s="1"/>
  <c r="C317" i="22" a="1"/>
  <c r="C317" i="22" s="1"/>
  <c r="A318" i="22" a="1"/>
  <c r="A318" i="22" s="1"/>
  <c r="B318" i="22" a="1"/>
  <c r="B318" i="22" s="1"/>
  <c r="C318" i="22" a="1"/>
  <c r="C318" i="22" s="1"/>
  <c r="A319" i="22" a="1"/>
  <c r="A319" i="22" s="1"/>
  <c r="B319" i="22" a="1"/>
  <c r="B319" i="22" s="1"/>
  <c r="C319" i="22" a="1"/>
  <c r="C319" i="22" s="1"/>
  <c r="A248" i="22" a="1"/>
  <c r="A248" i="22" s="1"/>
  <c r="B248" i="22" a="1"/>
  <c r="B248" i="22" s="1"/>
  <c r="C248" i="22" a="1"/>
  <c r="C248" i="22" s="1"/>
  <c r="A249" i="22" a="1"/>
  <c r="A249" i="22" s="1"/>
  <c r="B249" i="22" a="1"/>
  <c r="B249" i="22" s="1"/>
  <c r="C249" i="22" a="1"/>
  <c r="C249" i="22" s="1"/>
  <c r="A250" i="22" a="1"/>
  <c r="A250" i="22" s="1"/>
  <c r="B250" i="22" a="1"/>
  <c r="B250" i="22" s="1"/>
  <c r="C250" i="22" a="1"/>
  <c r="C250" i="22" s="1"/>
  <c r="A251" i="22" a="1"/>
  <c r="A251" i="22" s="1"/>
  <c r="B251" i="22" a="1"/>
  <c r="B251" i="22" s="1"/>
  <c r="C251" i="22" a="1"/>
  <c r="C251" i="22" s="1"/>
  <c r="A252" i="22" a="1"/>
  <c r="A252" i="22" s="1"/>
  <c r="B252" i="22" a="1"/>
  <c r="B252" i="22" s="1"/>
  <c r="C252" i="22" a="1"/>
  <c r="C252" i="22" s="1"/>
  <c r="A253" i="22" a="1"/>
  <c r="A253" i="22" s="1"/>
  <c r="B253" i="22" a="1"/>
  <c r="B253" i="22" s="1"/>
  <c r="C253" i="22" a="1"/>
  <c r="C253" i="22" s="1"/>
  <c r="A254" i="22" a="1"/>
  <c r="A254" i="22" s="1"/>
  <c r="B254" i="22" a="1"/>
  <c r="B254" i="22" s="1"/>
  <c r="C254" i="22" a="1"/>
  <c r="C254" i="22" s="1"/>
  <c r="A255" i="22" a="1"/>
  <c r="A255" i="22" s="1"/>
  <c r="B255" i="22" a="1"/>
  <c r="B255" i="22" s="1"/>
  <c r="C255" i="22" a="1"/>
  <c r="C255" i="22" s="1"/>
  <c r="A256" i="22" a="1"/>
  <c r="A256" i="22" s="1"/>
  <c r="B256" i="22" a="1"/>
  <c r="B256" i="22" s="1"/>
  <c r="C256" i="22" a="1"/>
  <c r="C256" i="22" s="1"/>
  <c r="A257" i="22" a="1"/>
  <c r="A257" i="22" s="1"/>
  <c r="B257" i="22" a="1"/>
  <c r="B257" i="22" s="1"/>
  <c r="C257" i="22" a="1"/>
  <c r="C257" i="22" s="1"/>
  <c r="A258" i="22" a="1"/>
  <c r="A258" i="22" s="1"/>
  <c r="B258" i="22" a="1"/>
  <c r="B258" i="22" s="1"/>
  <c r="C258" i="22" a="1"/>
  <c r="C258" i="22" s="1"/>
  <c r="A259" i="22" a="1"/>
  <c r="A259" i="22" s="1"/>
  <c r="B259" i="22" a="1"/>
  <c r="B259" i="22" s="1"/>
  <c r="C259" i="22" a="1"/>
  <c r="C259" i="22" s="1"/>
  <c r="A260" i="22" a="1"/>
  <c r="A260" i="22" s="1"/>
  <c r="B260" i="22" a="1"/>
  <c r="B260" i="22" s="1"/>
  <c r="C260" i="22" a="1"/>
  <c r="C260" i="22" s="1"/>
  <c r="A261" i="22" a="1"/>
  <c r="A261" i="22" s="1"/>
  <c r="B261" i="22" a="1"/>
  <c r="B261" i="22" s="1"/>
  <c r="C261" i="22" a="1"/>
  <c r="C261" i="22" s="1"/>
  <c r="A262" i="22" a="1"/>
  <c r="A262" i="22" s="1"/>
  <c r="B262" i="22" a="1"/>
  <c r="B262" i="22" s="1"/>
  <c r="C262" i="22" a="1"/>
  <c r="C262" i="22" s="1"/>
  <c r="A263" i="22" a="1"/>
  <c r="A263" i="22" s="1"/>
  <c r="B263" i="22" a="1"/>
  <c r="B263" i="22" s="1"/>
  <c r="C263" i="22" a="1"/>
  <c r="C263" i="22" s="1"/>
  <c r="A264" i="22" a="1"/>
  <c r="A264" i="22" s="1"/>
  <c r="B264" i="22" a="1"/>
  <c r="B264" i="22" s="1"/>
  <c r="C264" i="22" a="1"/>
  <c r="C264" i="22" s="1"/>
  <c r="A265" i="22" a="1"/>
  <c r="A265" i="22" s="1"/>
  <c r="B265" i="22" a="1"/>
  <c r="B265" i="22" s="1"/>
  <c r="C265" i="22" a="1"/>
  <c r="C265" i="22" s="1"/>
  <c r="A266" i="22" a="1"/>
  <c r="A266" i="22" s="1"/>
  <c r="B266" i="22" a="1"/>
  <c r="B266" i="22" s="1"/>
  <c r="C266" i="22" a="1"/>
  <c r="C266" i="22" s="1"/>
  <c r="A267" i="22" a="1"/>
  <c r="A267" i="22" s="1"/>
  <c r="B267" i="22" a="1"/>
  <c r="B267" i="22" s="1"/>
  <c r="C267" i="22" a="1"/>
  <c r="C267" i="22" s="1"/>
  <c r="A268" i="22" a="1"/>
  <c r="A268" i="22" s="1"/>
  <c r="B268" i="22" a="1"/>
  <c r="B268" i="22" s="1"/>
  <c r="C268" i="22" a="1"/>
  <c r="C268" i="22" s="1"/>
  <c r="A269" i="22" a="1"/>
  <c r="A269" i="22" s="1"/>
  <c r="B269" i="22" a="1"/>
  <c r="B269" i="22" s="1"/>
  <c r="C269" i="22" a="1"/>
  <c r="C269" i="22" s="1"/>
  <c r="A270" i="22" a="1"/>
  <c r="A270" i="22" s="1"/>
  <c r="B270" i="22" a="1"/>
  <c r="B270" i="22" s="1"/>
  <c r="C270" i="22" a="1"/>
  <c r="C270" i="22" s="1"/>
  <c r="A271" i="22" a="1"/>
  <c r="A271" i="22" s="1"/>
  <c r="B271" i="22" a="1"/>
  <c r="B271" i="22" s="1"/>
  <c r="C271" i="22" a="1"/>
  <c r="C271" i="22" s="1"/>
  <c r="A272" i="22" a="1"/>
  <c r="A272" i="22" s="1"/>
  <c r="B272" i="22" a="1"/>
  <c r="B272" i="22" s="1"/>
  <c r="C272" i="22" a="1"/>
  <c r="C272" i="22" s="1"/>
  <c r="A273" i="22" a="1"/>
  <c r="A273" i="22" s="1"/>
  <c r="B273" i="22" a="1"/>
  <c r="B273" i="22" s="1"/>
  <c r="C273" i="22" a="1"/>
  <c r="C273" i="22" s="1"/>
  <c r="A274" i="22" a="1"/>
  <c r="A274" i="22" s="1"/>
  <c r="B274" i="22" a="1"/>
  <c r="B274" i="22" s="1"/>
  <c r="C274" i="22" a="1"/>
  <c r="C274" i="22" s="1"/>
  <c r="A275" i="22" a="1"/>
  <c r="A275" i="22" s="1"/>
  <c r="B275" i="22" a="1"/>
  <c r="B275" i="22" s="1"/>
  <c r="C275" i="22" a="1"/>
  <c r="C275" i="22" s="1"/>
  <c r="A276" i="22" a="1"/>
  <c r="A276" i="22" s="1"/>
  <c r="B276" i="22" a="1"/>
  <c r="B276" i="22" s="1"/>
  <c r="C276" i="22" a="1"/>
  <c r="C276" i="22" s="1"/>
  <c r="A277" i="22" a="1"/>
  <c r="A277" i="22" s="1"/>
  <c r="B277" i="22" a="1"/>
  <c r="B277" i="22" s="1"/>
  <c r="C277" i="22" a="1"/>
  <c r="C277" i="22" s="1"/>
  <c r="A278" i="22" a="1"/>
  <c r="A278" i="22" s="1"/>
  <c r="B278" i="22" a="1"/>
  <c r="B278" i="22" s="1"/>
  <c r="C278" i="22" a="1"/>
  <c r="C278" i="22" s="1"/>
  <c r="A279" i="22" a="1"/>
  <c r="A279" i="22" s="1"/>
  <c r="B279" i="22" a="1"/>
  <c r="B279" i="22" s="1"/>
  <c r="C279" i="22" a="1"/>
  <c r="C279" i="22" s="1"/>
  <c r="A280" i="22" a="1"/>
  <c r="A280" i="22" s="1"/>
  <c r="B280" i="22" a="1"/>
  <c r="B280" i="22" s="1"/>
  <c r="C280" i="22" a="1"/>
  <c r="C280" i="22" s="1"/>
  <c r="A281" i="22" a="1"/>
  <c r="A281" i="22" s="1"/>
  <c r="B281" i="22" a="1"/>
  <c r="B281" i="22" s="1"/>
  <c r="C281" i="22" a="1"/>
  <c r="C281" i="22" s="1"/>
  <c r="A210" i="22" a="1"/>
  <c r="A210" i="22" s="1"/>
  <c r="B210" i="22" a="1"/>
  <c r="B210" i="22" s="1"/>
  <c r="C210" i="22" a="1"/>
  <c r="C210" i="22" s="1"/>
  <c r="A211" i="22" a="1"/>
  <c r="A211" i="22" s="1"/>
  <c r="B211" i="22" a="1"/>
  <c r="B211" i="22" s="1"/>
  <c r="C211" i="22" a="1"/>
  <c r="C211" i="22" s="1"/>
  <c r="A212" i="22" a="1"/>
  <c r="A212" i="22" s="1"/>
  <c r="B212" i="22" a="1"/>
  <c r="B212" i="22" s="1"/>
  <c r="C212" i="22" a="1"/>
  <c r="C212" i="22" s="1"/>
  <c r="A213" i="22" a="1"/>
  <c r="A213" i="22" s="1"/>
  <c r="B213" i="22" a="1"/>
  <c r="B213" i="22" s="1"/>
  <c r="C213" i="22" a="1"/>
  <c r="C213" i="22" s="1"/>
  <c r="A214" i="22" a="1"/>
  <c r="A214" i="22" s="1"/>
  <c r="B214" i="22" a="1"/>
  <c r="B214" i="22" s="1"/>
  <c r="C214" i="22" a="1"/>
  <c r="C214" i="22" s="1"/>
  <c r="A215" i="22" a="1"/>
  <c r="A215" i="22" s="1"/>
  <c r="B215" i="22" a="1"/>
  <c r="B215" i="22" s="1"/>
  <c r="C215" i="22" a="1"/>
  <c r="C215" i="22" s="1"/>
  <c r="A216" i="22" a="1"/>
  <c r="A216" i="22" s="1"/>
  <c r="B216" i="22" a="1"/>
  <c r="B216" i="22" s="1"/>
  <c r="C216" i="22" a="1"/>
  <c r="C216" i="22" s="1"/>
  <c r="A217" i="22" a="1"/>
  <c r="A217" i="22" s="1"/>
  <c r="B217" i="22" a="1"/>
  <c r="B217" i="22" s="1"/>
  <c r="C217" i="22" a="1"/>
  <c r="C217" i="22" s="1"/>
  <c r="A218" i="22" a="1"/>
  <c r="A218" i="22" s="1"/>
  <c r="B218" i="22" a="1"/>
  <c r="B218" i="22" s="1"/>
  <c r="C218" i="22" a="1"/>
  <c r="C218" i="22" s="1"/>
  <c r="A219" i="22" a="1"/>
  <c r="A219" i="22" s="1"/>
  <c r="B219" i="22" a="1"/>
  <c r="B219" i="22" s="1"/>
  <c r="C219" i="22" a="1"/>
  <c r="C219" i="22" s="1"/>
  <c r="A220" i="22" a="1"/>
  <c r="A220" i="22" s="1"/>
  <c r="B220" i="22" a="1"/>
  <c r="B220" i="22" s="1"/>
  <c r="C220" i="22" a="1"/>
  <c r="C220" i="22" s="1"/>
  <c r="A221" i="22" a="1"/>
  <c r="A221" i="22" s="1"/>
  <c r="B221" i="22" a="1"/>
  <c r="B221" i="22" s="1"/>
  <c r="C221" i="22" a="1"/>
  <c r="C221" i="22" s="1"/>
  <c r="A222" i="22" a="1"/>
  <c r="A222" i="22" s="1"/>
  <c r="B222" i="22" a="1"/>
  <c r="B222" i="22" s="1"/>
  <c r="C222" i="22" a="1"/>
  <c r="C222" i="22" s="1"/>
  <c r="A223" i="22" a="1"/>
  <c r="A223" i="22" s="1"/>
  <c r="B223" i="22" a="1"/>
  <c r="B223" i="22" s="1"/>
  <c r="C223" i="22" a="1"/>
  <c r="C223" i="22" s="1"/>
  <c r="A224" i="22" a="1"/>
  <c r="A224" i="22" s="1"/>
  <c r="B224" i="22" a="1"/>
  <c r="B224" i="22" s="1"/>
  <c r="C224" i="22" a="1"/>
  <c r="C224" i="22" s="1"/>
  <c r="A225" i="22" a="1"/>
  <c r="A225" i="22" s="1"/>
  <c r="B225" i="22" a="1"/>
  <c r="B225" i="22" s="1"/>
  <c r="C225" i="22" a="1"/>
  <c r="C225" i="22" s="1"/>
  <c r="A226" i="22" a="1"/>
  <c r="A226" i="22" s="1"/>
  <c r="B226" i="22" a="1"/>
  <c r="B226" i="22" s="1"/>
  <c r="C226" i="22" a="1"/>
  <c r="C226" i="22" s="1"/>
  <c r="A227" i="22" a="1"/>
  <c r="A227" i="22" s="1"/>
  <c r="B227" i="22" a="1"/>
  <c r="B227" i="22" s="1"/>
  <c r="C227" i="22" a="1"/>
  <c r="C227" i="22" s="1"/>
  <c r="A228" i="22" a="1"/>
  <c r="A228" i="22" s="1"/>
  <c r="B228" i="22" a="1"/>
  <c r="B228" i="22" s="1"/>
  <c r="C228" i="22" a="1"/>
  <c r="C228" i="22" s="1"/>
  <c r="A229" i="22" a="1"/>
  <c r="A229" i="22" s="1"/>
  <c r="B229" i="22" a="1"/>
  <c r="B229" i="22" s="1"/>
  <c r="C229" i="22" a="1"/>
  <c r="C229" i="22" s="1"/>
  <c r="A230" i="22" a="1"/>
  <c r="A230" i="22" s="1"/>
  <c r="B230" i="22" a="1"/>
  <c r="B230" i="22" s="1"/>
  <c r="C230" i="22" a="1"/>
  <c r="C230" i="22" s="1"/>
  <c r="A231" i="22" a="1"/>
  <c r="A231" i="22" s="1"/>
  <c r="B231" i="22" a="1"/>
  <c r="B231" i="22" s="1"/>
  <c r="C231" i="22" a="1"/>
  <c r="C231" i="22" s="1"/>
  <c r="A232" i="22" a="1"/>
  <c r="A232" i="22" s="1"/>
  <c r="B232" i="22" a="1"/>
  <c r="B232" i="22" s="1"/>
  <c r="C232" i="22" a="1"/>
  <c r="C232" i="22" s="1"/>
  <c r="A233" i="22" a="1"/>
  <c r="A233" i="22" s="1"/>
  <c r="B233" i="22" a="1"/>
  <c r="B233" i="22" s="1"/>
  <c r="C233" i="22" a="1"/>
  <c r="C233" i="22" s="1"/>
  <c r="A234" i="22" a="1"/>
  <c r="A234" i="22" s="1"/>
  <c r="B234" i="22" a="1"/>
  <c r="B234" i="22" s="1"/>
  <c r="C234" i="22" a="1"/>
  <c r="C234" i="22" s="1"/>
  <c r="A235" i="22" a="1"/>
  <c r="A235" i="22" s="1"/>
  <c r="B235" i="22" a="1"/>
  <c r="B235" i="22" s="1"/>
  <c r="C235" i="22" a="1"/>
  <c r="C235" i="22" s="1"/>
  <c r="A236" i="22" a="1"/>
  <c r="A236" i="22" s="1"/>
  <c r="B236" i="22" a="1"/>
  <c r="B236" i="22" s="1"/>
  <c r="C236" i="22" a="1"/>
  <c r="C236" i="22" s="1"/>
  <c r="A237" i="22" a="1"/>
  <c r="A237" i="22" s="1"/>
  <c r="B237" i="22" a="1"/>
  <c r="B237" i="22" s="1"/>
  <c r="C237" i="22" a="1"/>
  <c r="C237" i="22" s="1"/>
  <c r="A238" i="22" a="1"/>
  <c r="A238" i="22" s="1"/>
  <c r="B238" i="22" a="1"/>
  <c r="B238" i="22" s="1"/>
  <c r="C238" i="22" a="1"/>
  <c r="C238" i="22" s="1"/>
  <c r="A239" i="22" a="1"/>
  <c r="A239" i="22" s="1"/>
  <c r="B239" i="22" a="1"/>
  <c r="B239" i="22" s="1"/>
  <c r="C239" i="22" a="1"/>
  <c r="C239" i="22" s="1"/>
  <c r="A240" i="22" a="1"/>
  <c r="A240" i="22" s="1"/>
  <c r="B240" i="22" a="1"/>
  <c r="B240" i="22" s="1"/>
  <c r="C240" i="22" a="1"/>
  <c r="C240" i="22" s="1"/>
  <c r="A241" i="22" a="1"/>
  <c r="A241" i="22" s="1"/>
  <c r="B241" i="22" a="1"/>
  <c r="B241" i="22" s="1"/>
  <c r="C241" i="22" a="1"/>
  <c r="C241" i="22" s="1"/>
  <c r="A242" i="22" a="1"/>
  <c r="A242" i="22" s="1"/>
  <c r="B242" i="22" a="1"/>
  <c r="B242" i="22" s="1"/>
  <c r="C242" i="22" a="1"/>
  <c r="C242" i="22" s="1"/>
  <c r="A243" i="22" a="1"/>
  <c r="A243" i="22" s="1"/>
  <c r="B243" i="22" a="1"/>
  <c r="B243" i="22" s="1"/>
  <c r="C243" i="22" a="1"/>
  <c r="C243" i="22" s="1"/>
  <c r="A172" i="22" a="1"/>
  <c r="A172" i="22" s="1"/>
  <c r="B172" i="22" a="1"/>
  <c r="B172" i="22" s="1"/>
  <c r="C172" i="22" a="1"/>
  <c r="C172" i="22" s="1"/>
  <c r="A173" i="22" a="1"/>
  <c r="A173" i="22" s="1"/>
  <c r="B173" i="22" a="1"/>
  <c r="B173" i="22" s="1"/>
  <c r="C173" i="22" a="1"/>
  <c r="C173" i="22" s="1"/>
  <c r="A174" i="22" a="1"/>
  <c r="A174" i="22" s="1"/>
  <c r="B174" i="22" a="1"/>
  <c r="B174" i="22" s="1"/>
  <c r="C174" i="22" a="1"/>
  <c r="C174" i="22" s="1"/>
  <c r="A175" i="22" a="1"/>
  <c r="A175" i="22" s="1"/>
  <c r="B175" i="22" a="1"/>
  <c r="B175" i="22" s="1"/>
  <c r="C175" i="22" a="1"/>
  <c r="C175" i="22" s="1"/>
  <c r="A176" i="22" a="1"/>
  <c r="A176" i="22" s="1"/>
  <c r="B176" i="22" a="1"/>
  <c r="B176" i="22" s="1"/>
  <c r="C176" i="22" a="1"/>
  <c r="C176" i="22" s="1"/>
  <c r="A177" i="22" a="1"/>
  <c r="A177" i="22" s="1"/>
  <c r="B177" i="22" a="1"/>
  <c r="B177" i="22" s="1"/>
  <c r="C177" i="22" a="1"/>
  <c r="C177" i="22" s="1"/>
  <c r="A178" i="22" a="1"/>
  <c r="A178" i="22" s="1"/>
  <c r="B178" i="22" a="1"/>
  <c r="B178" i="22" s="1"/>
  <c r="C178" i="22" a="1"/>
  <c r="C178" i="22" s="1"/>
  <c r="A179" i="22" a="1"/>
  <c r="A179" i="22" s="1"/>
  <c r="B179" i="22" a="1"/>
  <c r="B179" i="22" s="1"/>
  <c r="C179" i="22" a="1"/>
  <c r="C179" i="22" s="1"/>
  <c r="A180" i="22" a="1"/>
  <c r="A180" i="22" s="1"/>
  <c r="B180" i="22" a="1"/>
  <c r="B180" i="22" s="1"/>
  <c r="C180" i="22" a="1"/>
  <c r="C180" i="22" s="1"/>
  <c r="A181" i="22" a="1"/>
  <c r="A181" i="22" s="1"/>
  <c r="B181" i="22" a="1"/>
  <c r="B181" i="22" s="1"/>
  <c r="C181" i="22" a="1"/>
  <c r="C181" i="22" s="1"/>
  <c r="A182" i="22" a="1"/>
  <c r="A182" i="22" s="1"/>
  <c r="B182" i="22" a="1"/>
  <c r="B182" i="22" s="1"/>
  <c r="C182" i="22" a="1"/>
  <c r="C182" i="22" s="1"/>
  <c r="A183" i="22" a="1"/>
  <c r="A183" i="22" s="1"/>
  <c r="B183" i="22" a="1"/>
  <c r="B183" i="22" s="1"/>
  <c r="C183" i="22" a="1"/>
  <c r="C183" i="22" s="1"/>
  <c r="A184" i="22" a="1"/>
  <c r="A184" i="22" s="1"/>
  <c r="B184" i="22" a="1"/>
  <c r="B184" i="22" s="1"/>
  <c r="C184" i="22" a="1"/>
  <c r="C184" i="22" s="1"/>
  <c r="A185" i="22" a="1"/>
  <c r="A185" i="22" s="1"/>
  <c r="B185" i="22" a="1"/>
  <c r="B185" i="22" s="1"/>
  <c r="C185" i="22" a="1"/>
  <c r="C185" i="22" s="1"/>
  <c r="A186" i="22" a="1"/>
  <c r="A186" i="22" s="1"/>
  <c r="B186" i="22" a="1"/>
  <c r="B186" i="22" s="1"/>
  <c r="C186" i="22" a="1"/>
  <c r="C186" i="22" s="1"/>
  <c r="A187" i="22" a="1"/>
  <c r="A187" i="22" s="1"/>
  <c r="B187" i="22" a="1"/>
  <c r="B187" i="22" s="1"/>
  <c r="C187" i="22" a="1"/>
  <c r="C187" i="22" s="1"/>
  <c r="A188" i="22" a="1"/>
  <c r="A188" i="22" s="1"/>
  <c r="B188" i="22" a="1"/>
  <c r="B188" i="22" s="1"/>
  <c r="C188" i="22" a="1"/>
  <c r="C188" i="22" s="1"/>
  <c r="A189" i="22" a="1"/>
  <c r="A189" i="22" s="1"/>
  <c r="B189" i="22" a="1"/>
  <c r="B189" i="22" s="1"/>
  <c r="C189" i="22" a="1"/>
  <c r="C189" i="22" s="1"/>
  <c r="A190" i="22" a="1"/>
  <c r="A190" i="22" s="1"/>
  <c r="B190" i="22" a="1"/>
  <c r="B190" i="22" s="1"/>
  <c r="C190" i="22" a="1"/>
  <c r="C190" i="22" s="1"/>
  <c r="A191" i="22" a="1"/>
  <c r="A191" i="22" s="1"/>
  <c r="B191" i="22" a="1"/>
  <c r="B191" i="22" s="1"/>
  <c r="C191" i="22" a="1"/>
  <c r="C191" i="22" s="1"/>
  <c r="A192" i="22" a="1"/>
  <c r="A192" i="22" s="1"/>
  <c r="B192" i="22" a="1"/>
  <c r="B192" i="22" s="1"/>
  <c r="C192" i="22" a="1"/>
  <c r="C192" i="22" s="1"/>
  <c r="A193" i="22" a="1"/>
  <c r="A193" i="22" s="1"/>
  <c r="B193" i="22" a="1"/>
  <c r="B193" i="22" s="1"/>
  <c r="C193" i="22" a="1"/>
  <c r="C193" i="22" s="1"/>
  <c r="A194" i="22" a="1"/>
  <c r="A194" i="22" s="1"/>
  <c r="B194" i="22" a="1"/>
  <c r="B194" i="22" s="1"/>
  <c r="C194" i="22" a="1"/>
  <c r="C194" i="22" s="1"/>
  <c r="A195" i="22" a="1"/>
  <c r="A195" i="22" s="1"/>
  <c r="B195" i="22" a="1"/>
  <c r="B195" i="22" s="1"/>
  <c r="C195" i="22" a="1"/>
  <c r="C195" i="22" s="1"/>
  <c r="A196" i="22" a="1"/>
  <c r="A196" i="22" s="1"/>
  <c r="B196" i="22" a="1"/>
  <c r="B196" i="22" s="1"/>
  <c r="C196" i="22" a="1"/>
  <c r="C196" i="22" s="1"/>
  <c r="A197" i="22" a="1"/>
  <c r="A197" i="22" s="1"/>
  <c r="B197" i="22" a="1"/>
  <c r="B197" i="22" s="1"/>
  <c r="C197" i="22" a="1"/>
  <c r="C197" i="22" s="1"/>
  <c r="A198" i="22" a="1"/>
  <c r="A198" i="22" s="1"/>
  <c r="B198" i="22" a="1"/>
  <c r="B198" i="22" s="1"/>
  <c r="C198" i="22" a="1"/>
  <c r="C198" i="22" s="1"/>
  <c r="A199" i="22" a="1"/>
  <c r="A199" i="22" s="1"/>
  <c r="B199" i="22" a="1"/>
  <c r="B199" i="22" s="1"/>
  <c r="C199" i="22" a="1"/>
  <c r="C199" i="22" s="1"/>
  <c r="A200" i="22" a="1"/>
  <c r="A200" i="22" s="1"/>
  <c r="B200" i="22" a="1"/>
  <c r="B200" i="22" s="1"/>
  <c r="C200" i="22" a="1"/>
  <c r="C200" i="22" s="1"/>
  <c r="A201" i="22" a="1"/>
  <c r="A201" i="22" s="1"/>
  <c r="B201" i="22" a="1"/>
  <c r="B201" i="22" s="1"/>
  <c r="C201" i="22" a="1"/>
  <c r="C201" i="22" s="1"/>
  <c r="A202" i="22" a="1"/>
  <c r="A202" i="22" s="1"/>
  <c r="B202" i="22" a="1"/>
  <c r="B202" i="22" s="1"/>
  <c r="C202" i="22" a="1"/>
  <c r="C202" i="22" s="1"/>
  <c r="A203" i="22" a="1"/>
  <c r="A203" i="22" s="1"/>
  <c r="B203" i="22" a="1"/>
  <c r="B203" i="22" s="1"/>
  <c r="C203" i="22" a="1"/>
  <c r="C203" i="22" s="1"/>
  <c r="A204" i="22" a="1"/>
  <c r="A204" i="22" s="1"/>
  <c r="B204" i="22" a="1"/>
  <c r="B204" i="22" s="1"/>
  <c r="C204" i="22" a="1"/>
  <c r="C204" i="22" s="1"/>
  <c r="A205" i="22" a="1"/>
  <c r="A205" i="22" s="1"/>
  <c r="B205" i="22" a="1"/>
  <c r="B205" i="22" s="1"/>
  <c r="C205" i="22" a="1"/>
  <c r="C205" i="22" s="1"/>
  <c r="A134" i="22" a="1"/>
  <c r="A134" i="22" s="1"/>
  <c r="B134" i="22" a="1"/>
  <c r="B134" i="22" s="1"/>
  <c r="C134" i="22" a="1"/>
  <c r="C134" i="22" s="1"/>
  <c r="A135" i="22" a="1"/>
  <c r="A135" i="22" s="1"/>
  <c r="B135" i="22" a="1"/>
  <c r="B135" i="22" s="1"/>
  <c r="C135" i="22" a="1"/>
  <c r="C135" i="22" s="1"/>
  <c r="A136" i="22" a="1"/>
  <c r="A136" i="22" s="1"/>
  <c r="B136" i="22" a="1"/>
  <c r="B136" i="22" s="1"/>
  <c r="C136" i="22" a="1"/>
  <c r="C136" i="22" s="1"/>
  <c r="A137" i="22" a="1"/>
  <c r="A137" i="22" s="1"/>
  <c r="B137" i="22" a="1"/>
  <c r="B137" i="22" s="1"/>
  <c r="C137" i="22" a="1"/>
  <c r="C137" i="22" s="1"/>
  <c r="A138" i="22" a="1"/>
  <c r="A138" i="22" s="1"/>
  <c r="B138" i="22" a="1"/>
  <c r="B138" i="22" s="1"/>
  <c r="C138" i="22" a="1"/>
  <c r="C138" i="22" s="1"/>
  <c r="A139" i="22" a="1"/>
  <c r="A139" i="22" s="1"/>
  <c r="B139" i="22" a="1"/>
  <c r="B139" i="22" s="1"/>
  <c r="C139" i="22" a="1"/>
  <c r="C139" i="22" s="1"/>
  <c r="A140" i="22" a="1"/>
  <c r="A140" i="22" s="1"/>
  <c r="B140" i="22" a="1"/>
  <c r="B140" i="22" s="1"/>
  <c r="C140" i="22" a="1"/>
  <c r="C140" i="22" s="1"/>
  <c r="A141" i="22" a="1"/>
  <c r="A141" i="22" s="1"/>
  <c r="B141" i="22" a="1"/>
  <c r="B141" i="22" s="1"/>
  <c r="C141" i="22" a="1"/>
  <c r="C141" i="22" s="1"/>
  <c r="A142" i="22" a="1"/>
  <c r="A142" i="22" s="1"/>
  <c r="B142" i="22" a="1"/>
  <c r="B142" i="22" s="1"/>
  <c r="C142" i="22" a="1"/>
  <c r="C142" i="22" s="1"/>
  <c r="A143" i="22" a="1"/>
  <c r="A143" i="22" s="1"/>
  <c r="B143" i="22" a="1"/>
  <c r="B143" i="22" s="1"/>
  <c r="C143" i="22" a="1"/>
  <c r="C143" i="22" s="1"/>
  <c r="A144" i="22" a="1"/>
  <c r="A144" i="22" s="1"/>
  <c r="B144" i="22" a="1"/>
  <c r="B144" i="22" s="1"/>
  <c r="C144" i="22" a="1"/>
  <c r="C144" i="22" s="1"/>
  <c r="A145" i="22" a="1"/>
  <c r="A145" i="22" s="1"/>
  <c r="B145" i="22" a="1"/>
  <c r="B145" i="22" s="1"/>
  <c r="C145" i="22" a="1"/>
  <c r="C145" i="22" s="1"/>
  <c r="A146" i="22" a="1"/>
  <c r="A146" i="22" s="1"/>
  <c r="B146" i="22" a="1"/>
  <c r="B146" i="22" s="1"/>
  <c r="C146" i="22" a="1"/>
  <c r="C146" i="22" s="1"/>
  <c r="A147" i="22" a="1"/>
  <c r="A147" i="22" s="1"/>
  <c r="B147" i="22" a="1"/>
  <c r="B147" i="22" s="1"/>
  <c r="C147" i="22" a="1"/>
  <c r="C147" i="22" s="1"/>
  <c r="A148" i="22" a="1"/>
  <c r="A148" i="22" s="1"/>
  <c r="B148" i="22" a="1"/>
  <c r="B148" i="22" s="1"/>
  <c r="C148" i="22" a="1"/>
  <c r="C148" i="22" s="1"/>
  <c r="A149" i="22" a="1"/>
  <c r="A149" i="22" s="1"/>
  <c r="B149" i="22" a="1"/>
  <c r="B149" i="22" s="1"/>
  <c r="C149" i="22" a="1"/>
  <c r="C149" i="22" s="1"/>
  <c r="A150" i="22" a="1"/>
  <c r="A150" i="22" s="1"/>
  <c r="B150" i="22" a="1"/>
  <c r="B150" i="22" s="1"/>
  <c r="C150" i="22" a="1"/>
  <c r="C150" i="22" s="1"/>
  <c r="A151" i="22" a="1"/>
  <c r="A151" i="22" s="1"/>
  <c r="B151" i="22" a="1"/>
  <c r="B151" i="22" s="1"/>
  <c r="C151" i="22" a="1"/>
  <c r="C151" i="22" s="1"/>
  <c r="A152" i="22" a="1"/>
  <c r="A152" i="22" s="1"/>
  <c r="B152" i="22" a="1"/>
  <c r="B152" i="22" s="1"/>
  <c r="C152" i="22" a="1"/>
  <c r="C152" i="22" s="1"/>
  <c r="A153" i="22" a="1"/>
  <c r="A153" i="22" s="1"/>
  <c r="B153" i="22" a="1"/>
  <c r="B153" i="22" s="1"/>
  <c r="C153" i="22" a="1"/>
  <c r="C153" i="22" s="1"/>
  <c r="A154" i="22" a="1"/>
  <c r="A154" i="22" s="1"/>
  <c r="B154" i="22" a="1"/>
  <c r="B154" i="22" s="1"/>
  <c r="C154" i="22" a="1"/>
  <c r="C154" i="22" s="1"/>
  <c r="A155" i="22" a="1"/>
  <c r="A155" i="22" s="1"/>
  <c r="B155" i="22" a="1"/>
  <c r="B155" i="22" s="1"/>
  <c r="C155" i="22" a="1"/>
  <c r="C155" i="22" s="1"/>
  <c r="A156" i="22" a="1"/>
  <c r="A156" i="22" s="1"/>
  <c r="B156" i="22" a="1"/>
  <c r="B156" i="22" s="1"/>
  <c r="C156" i="22" a="1"/>
  <c r="C156" i="22" s="1"/>
  <c r="A157" i="22" a="1"/>
  <c r="A157" i="22" s="1"/>
  <c r="B157" i="22" a="1"/>
  <c r="B157" i="22" s="1"/>
  <c r="C157" i="22" a="1"/>
  <c r="C157" i="22" s="1"/>
  <c r="A158" i="22" a="1"/>
  <c r="A158" i="22" s="1"/>
  <c r="B158" i="22" a="1"/>
  <c r="B158" i="22" s="1"/>
  <c r="C158" i="22" a="1"/>
  <c r="C158" i="22" s="1"/>
  <c r="A159" i="22" a="1"/>
  <c r="A159" i="22" s="1"/>
  <c r="B159" i="22" a="1"/>
  <c r="B159" i="22" s="1"/>
  <c r="C159" i="22" a="1"/>
  <c r="C159" i="22" s="1"/>
  <c r="A160" i="22" a="1"/>
  <c r="A160" i="22" s="1"/>
  <c r="B160" i="22" a="1"/>
  <c r="B160" i="22" s="1"/>
  <c r="C160" i="22" a="1"/>
  <c r="C160" i="22" s="1"/>
  <c r="A161" i="22" a="1"/>
  <c r="A161" i="22" s="1"/>
  <c r="B161" i="22" a="1"/>
  <c r="B161" i="22" s="1"/>
  <c r="C161" i="22" a="1"/>
  <c r="C161" i="22" s="1"/>
  <c r="A162" i="22" a="1"/>
  <c r="A162" i="22" s="1"/>
  <c r="B162" i="22" a="1"/>
  <c r="B162" i="22" s="1"/>
  <c r="C162" i="22" a="1"/>
  <c r="C162" i="22" s="1"/>
  <c r="A163" i="22" a="1"/>
  <c r="A163" i="22" s="1"/>
  <c r="B163" i="22" a="1"/>
  <c r="B163" i="22" s="1"/>
  <c r="C163" i="22" a="1"/>
  <c r="C163" i="22" s="1"/>
  <c r="A164" i="22" a="1"/>
  <c r="A164" i="22" s="1"/>
  <c r="B164" i="22" a="1"/>
  <c r="B164" i="22" s="1"/>
  <c r="C164" i="22" a="1"/>
  <c r="C164" i="22" s="1"/>
  <c r="A165" i="22" a="1"/>
  <c r="A165" i="22" s="1"/>
  <c r="B165" i="22" a="1"/>
  <c r="B165" i="22" s="1"/>
  <c r="C165" i="22" a="1"/>
  <c r="C165" i="22" s="1"/>
  <c r="A166" i="22" a="1"/>
  <c r="A166" i="22" s="1"/>
  <c r="B166" i="22" a="1"/>
  <c r="B166" i="22" s="1"/>
  <c r="C166" i="22" a="1"/>
  <c r="C166" i="22" s="1"/>
  <c r="A167" i="22" a="1"/>
  <c r="A167" i="22" s="1"/>
  <c r="B167" i="22" a="1"/>
  <c r="B167" i="22" s="1"/>
  <c r="C167" i="22" a="1"/>
  <c r="C167" i="22" s="1"/>
  <c r="A96" i="22" a="1"/>
  <c r="A96" i="22" s="1"/>
  <c r="B96" i="22" a="1"/>
  <c r="B96" i="22" s="1"/>
  <c r="C96" i="22" a="1"/>
  <c r="C96" i="22" s="1"/>
  <c r="A97" i="22" a="1"/>
  <c r="A97" i="22" s="1"/>
  <c r="B97" i="22" a="1"/>
  <c r="B97" i="22" s="1"/>
  <c r="C97" i="22" a="1"/>
  <c r="C97" i="22" s="1"/>
  <c r="A98" i="22" a="1"/>
  <c r="A98" i="22" s="1"/>
  <c r="B98" i="22" a="1"/>
  <c r="B98" i="22" s="1"/>
  <c r="C98" i="22" a="1"/>
  <c r="C98" i="22" s="1"/>
  <c r="A99" i="22" a="1"/>
  <c r="A99" i="22" s="1"/>
  <c r="B99" i="22" a="1"/>
  <c r="B99" i="22" s="1"/>
  <c r="C99" i="22" a="1"/>
  <c r="C99" i="22" s="1"/>
  <c r="A100" i="22" a="1"/>
  <c r="A100" i="22" s="1"/>
  <c r="B100" i="22" a="1"/>
  <c r="B100" i="22" s="1"/>
  <c r="C100" i="22" a="1"/>
  <c r="C100" i="22" s="1"/>
  <c r="A101" i="22" a="1"/>
  <c r="A101" i="22" s="1"/>
  <c r="B101" i="22" a="1"/>
  <c r="B101" i="22" s="1"/>
  <c r="C101" i="22" a="1"/>
  <c r="C101" i="22" s="1"/>
  <c r="A102" i="22" a="1"/>
  <c r="A102" i="22" s="1"/>
  <c r="B102" i="22" a="1"/>
  <c r="B102" i="22" s="1"/>
  <c r="C102" i="22" a="1"/>
  <c r="C102" i="22" s="1"/>
  <c r="A103" i="22" a="1"/>
  <c r="A103" i="22" s="1"/>
  <c r="B103" i="22" a="1"/>
  <c r="B103" i="22" s="1"/>
  <c r="C103" i="22" a="1"/>
  <c r="C103" i="22" s="1"/>
  <c r="A104" i="22" a="1"/>
  <c r="A104" i="22" s="1"/>
  <c r="B104" i="22" a="1"/>
  <c r="B104" i="22" s="1"/>
  <c r="C104" i="22" a="1"/>
  <c r="C104" i="22" s="1"/>
  <c r="A105" i="22" a="1"/>
  <c r="A105" i="22" s="1"/>
  <c r="B105" i="22" a="1"/>
  <c r="B105" i="22" s="1"/>
  <c r="C105" i="22" a="1"/>
  <c r="C105" i="22" s="1"/>
  <c r="A106" i="22" a="1"/>
  <c r="A106" i="22" s="1"/>
  <c r="B106" i="22" a="1"/>
  <c r="B106" i="22" s="1"/>
  <c r="C106" i="22" a="1"/>
  <c r="C106" i="22" s="1"/>
  <c r="A107" i="22" a="1"/>
  <c r="A107" i="22" s="1"/>
  <c r="B107" i="22" a="1"/>
  <c r="B107" i="22" s="1"/>
  <c r="C107" i="22" a="1"/>
  <c r="C107" i="22" s="1"/>
  <c r="A108" i="22" a="1"/>
  <c r="A108" i="22" s="1"/>
  <c r="B108" i="22" a="1"/>
  <c r="B108" i="22" s="1"/>
  <c r="C108" i="22" a="1"/>
  <c r="C108" i="22" s="1"/>
  <c r="A109" i="22" a="1"/>
  <c r="A109" i="22" s="1"/>
  <c r="B109" i="22" a="1"/>
  <c r="B109" i="22" s="1"/>
  <c r="C109" i="22" a="1"/>
  <c r="C109" i="22" s="1"/>
  <c r="A110" i="22" a="1"/>
  <c r="A110" i="22" s="1"/>
  <c r="B110" i="22" a="1"/>
  <c r="B110" i="22" s="1"/>
  <c r="C110" i="22" a="1"/>
  <c r="C110" i="22" s="1"/>
  <c r="A111" i="22" a="1"/>
  <c r="A111" i="22" s="1"/>
  <c r="B111" i="22" a="1"/>
  <c r="B111" i="22" s="1"/>
  <c r="C111" i="22" a="1"/>
  <c r="C111" i="22" s="1"/>
  <c r="A112" i="22" a="1"/>
  <c r="A112" i="22" s="1"/>
  <c r="B112" i="22" a="1"/>
  <c r="B112" i="22" s="1"/>
  <c r="C112" i="22" a="1"/>
  <c r="C112" i="22" s="1"/>
  <c r="A113" i="22" a="1"/>
  <c r="A113" i="22" s="1"/>
  <c r="B113" i="22" a="1"/>
  <c r="B113" i="22" s="1"/>
  <c r="C113" i="22" a="1"/>
  <c r="C113" i="22" s="1"/>
  <c r="A114" i="22" a="1"/>
  <c r="A114" i="22" s="1"/>
  <c r="B114" i="22" a="1"/>
  <c r="B114" i="22" s="1"/>
  <c r="C114" i="22" a="1"/>
  <c r="C114" i="22" s="1"/>
  <c r="A115" i="22" a="1"/>
  <c r="A115" i="22" s="1"/>
  <c r="B115" i="22" a="1"/>
  <c r="B115" i="22" s="1"/>
  <c r="C115" i="22" a="1"/>
  <c r="C115" i="22" s="1"/>
  <c r="A116" i="22" a="1"/>
  <c r="A116" i="22" s="1"/>
  <c r="B116" i="22" a="1"/>
  <c r="B116" i="22" s="1"/>
  <c r="C116" i="22" a="1"/>
  <c r="C116" i="22" s="1"/>
  <c r="A117" i="22" a="1"/>
  <c r="A117" i="22" s="1"/>
  <c r="B117" i="22" a="1"/>
  <c r="B117" i="22" s="1"/>
  <c r="C117" i="22" a="1"/>
  <c r="C117" i="22" s="1"/>
  <c r="A118" i="22" a="1"/>
  <c r="A118" i="22" s="1"/>
  <c r="B118" i="22" a="1"/>
  <c r="B118" i="22" s="1"/>
  <c r="C118" i="22" a="1"/>
  <c r="C118" i="22" s="1"/>
  <c r="A119" i="22" a="1"/>
  <c r="A119" i="22" s="1"/>
  <c r="B119" i="22" a="1"/>
  <c r="B119" i="22" s="1"/>
  <c r="C119" i="22" a="1"/>
  <c r="C119" i="22" s="1"/>
  <c r="A120" i="22" a="1"/>
  <c r="A120" i="22" s="1"/>
  <c r="B120" i="22" a="1"/>
  <c r="B120" i="22" s="1"/>
  <c r="C120" i="22" a="1"/>
  <c r="C120" i="22" s="1"/>
  <c r="A121" i="22" a="1"/>
  <c r="A121" i="22" s="1"/>
  <c r="B121" i="22" a="1"/>
  <c r="B121" i="22" s="1"/>
  <c r="C121" i="22" a="1"/>
  <c r="C121" i="22" s="1"/>
  <c r="A122" i="22" a="1"/>
  <c r="A122" i="22" s="1"/>
  <c r="B122" i="22" a="1"/>
  <c r="B122" i="22" s="1"/>
  <c r="C122" i="22" a="1"/>
  <c r="C122" i="22" s="1"/>
  <c r="A123" i="22" a="1"/>
  <c r="A123" i="22" s="1"/>
  <c r="B123" i="22" a="1"/>
  <c r="B123" i="22" s="1"/>
  <c r="C123" i="22" a="1"/>
  <c r="C123" i="22" s="1"/>
  <c r="A124" i="22" a="1"/>
  <c r="A124" i="22" s="1"/>
  <c r="B124" i="22" a="1"/>
  <c r="B124" i="22" s="1"/>
  <c r="C124" i="22" a="1"/>
  <c r="C124" i="22" s="1"/>
  <c r="A125" i="22" a="1"/>
  <c r="A125" i="22" s="1"/>
  <c r="B125" i="22" a="1"/>
  <c r="B125" i="22" s="1"/>
  <c r="C125" i="22" a="1"/>
  <c r="C125" i="22" s="1"/>
  <c r="A126" i="22" a="1"/>
  <c r="A126" i="22" s="1"/>
  <c r="B126" i="22" a="1"/>
  <c r="B126" i="22" s="1"/>
  <c r="C126" i="22" a="1"/>
  <c r="C126" i="22" s="1"/>
  <c r="A127" i="22" a="1"/>
  <c r="A127" i="22" s="1"/>
  <c r="B127" i="22" a="1"/>
  <c r="B127" i="22" s="1"/>
  <c r="C127" i="22" a="1"/>
  <c r="C127" i="22" s="1"/>
  <c r="A128" i="22" a="1"/>
  <c r="A128" i="22" s="1"/>
  <c r="B128" i="22" a="1"/>
  <c r="B128" i="22" s="1"/>
  <c r="C128" i="22" a="1"/>
  <c r="C128" i="22" s="1"/>
  <c r="A129" i="22" a="1"/>
  <c r="A129" i="22" s="1"/>
  <c r="B129" i="22" a="1"/>
  <c r="B129" i="22" s="1"/>
  <c r="C129" i="22" a="1"/>
  <c r="C129" i="22" s="1"/>
  <c r="A58" i="22" a="1"/>
  <c r="A58" i="22" s="1"/>
  <c r="B58" i="22" a="1"/>
  <c r="B58" i="22" s="1"/>
  <c r="C58" i="22" a="1"/>
  <c r="C58" i="22" s="1"/>
  <c r="A59" i="22" a="1"/>
  <c r="A59" i="22" s="1"/>
  <c r="B59" i="22" a="1"/>
  <c r="B59" i="22" s="1"/>
  <c r="C59" i="22" a="1"/>
  <c r="C59" i="22" s="1"/>
  <c r="A60" i="22" a="1"/>
  <c r="A60" i="22" s="1"/>
  <c r="B60" i="22" a="1"/>
  <c r="B60" i="22" s="1"/>
  <c r="C60" i="22" a="1"/>
  <c r="C60" i="22" s="1"/>
  <c r="A61" i="22" a="1"/>
  <c r="A61" i="22" s="1"/>
  <c r="B61" i="22" a="1"/>
  <c r="B61" i="22" s="1"/>
  <c r="C61" i="22" a="1"/>
  <c r="C61" i="22" s="1"/>
  <c r="A62" i="22" a="1"/>
  <c r="A62" i="22" s="1"/>
  <c r="B62" i="22" a="1"/>
  <c r="B62" i="22" s="1"/>
  <c r="C62" i="22" a="1"/>
  <c r="C62" i="22" s="1"/>
  <c r="A63" i="22" a="1"/>
  <c r="A63" i="22" s="1"/>
  <c r="B63" i="22" a="1"/>
  <c r="B63" i="22" s="1"/>
  <c r="C63" i="22" a="1"/>
  <c r="C63" i="22" s="1"/>
  <c r="A64" i="22" a="1"/>
  <c r="A64" i="22" s="1"/>
  <c r="B64" i="22" a="1"/>
  <c r="B64" i="22" s="1"/>
  <c r="C64" i="22" a="1"/>
  <c r="C64" i="22" s="1"/>
  <c r="A65" i="22" a="1"/>
  <c r="A65" i="22" s="1"/>
  <c r="B65" i="22" a="1"/>
  <c r="B65" i="22" s="1"/>
  <c r="C65" i="22" a="1"/>
  <c r="C65" i="22" s="1"/>
  <c r="A66" i="22" a="1"/>
  <c r="A66" i="22" s="1"/>
  <c r="B66" i="22" a="1"/>
  <c r="B66" i="22" s="1"/>
  <c r="C66" i="22" a="1"/>
  <c r="C66" i="22" s="1"/>
  <c r="A67" i="22" a="1"/>
  <c r="A67" i="22" s="1"/>
  <c r="B67" i="22" a="1"/>
  <c r="B67" i="22" s="1"/>
  <c r="C67" i="22" a="1"/>
  <c r="C67" i="22" s="1"/>
  <c r="A68" i="22" a="1"/>
  <c r="A68" i="22" s="1"/>
  <c r="B68" i="22" a="1"/>
  <c r="B68" i="22" s="1"/>
  <c r="C68" i="22" a="1"/>
  <c r="C68" i="22" s="1"/>
  <c r="A69" i="22" a="1"/>
  <c r="A69" i="22" s="1"/>
  <c r="B69" i="22" a="1"/>
  <c r="B69" i="22" s="1"/>
  <c r="C69" i="22" a="1"/>
  <c r="C69" i="22" s="1"/>
  <c r="A70" i="22" a="1"/>
  <c r="A70" i="22" s="1"/>
  <c r="B70" i="22" a="1"/>
  <c r="B70" i="22" s="1"/>
  <c r="C70" i="22" a="1"/>
  <c r="C70" i="22" s="1"/>
  <c r="A71" i="22" a="1"/>
  <c r="A71" i="22" s="1"/>
  <c r="B71" i="22" a="1"/>
  <c r="B71" i="22" s="1"/>
  <c r="C71" i="22" a="1"/>
  <c r="C71" i="22" s="1"/>
  <c r="A72" i="22" a="1"/>
  <c r="A72" i="22" s="1"/>
  <c r="B72" i="22" a="1"/>
  <c r="B72" i="22" s="1"/>
  <c r="C72" i="22" a="1"/>
  <c r="C72" i="22" s="1"/>
  <c r="A73" i="22" a="1"/>
  <c r="A73" i="22" s="1"/>
  <c r="B73" i="22" a="1"/>
  <c r="B73" i="22" s="1"/>
  <c r="C73" i="22" a="1"/>
  <c r="C73" i="22" s="1"/>
  <c r="A74" i="22" a="1"/>
  <c r="A74" i="22" s="1"/>
  <c r="B74" i="22" a="1"/>
  <c r="B74" i="22" s="1"/>
  <c r="C74" i="22" a="1"/>
  <c r="C74" i="22" s="1"/>
  <c r="A75" i="22" a="1"/>
  <c r="A75" i="22" s="1"/>
  <c r="B75" i="22" a="1"/>
  <c r="B75" i="22" s="1"/>
  <c r="C75" i="22" a="1"/>
  <c r="C75" i="22" s="1"/>
  <c r="A76" i="22" a="1"/>
  <c r="A76" i="22" s="1"/>
  <c r="B76" i="22" a="1"/>
  <c r="B76" i="22" s="1"/>
  <c r="C76" i="22" a="1"/>
  <c r="C76" i="22" s="1"/>
  <c r="A77" i="22" a="1"/>
  <c r="A77" i="22" s="1"/>
  <c r="B77" i="22" a="1"/>
  <c r="B77" i="22" s="1"/>
  <c r="C77" i="22" a="1"/>
  <c r="C77" i="22" s="1"/>
  <c r="A78" i="22" a="1"/>
  <c r="A78" i="22" s="1"/>
  <c r="B78" i="22" a="1"/>
  <c r="B78" i="22" s="1"/>
  <c r="C78" i="22" a="1"/>
  <c r="C78" i="22" s="1"/>
  <c r="A79" i="22" a="1"/>
  <c r="A79" i="22" s="1"/>
  <c r="B79" i="22" a="1"/>
  <c r="B79" i="22" s="1"/>
  <c r="C79" i="22" a="1"/>
  <c r="C79" i="22" s="1"/>
  <c r="A80" i="22" a="1"/>
  <c r="A80" i="22" s="1"/>
  <c r="B80" i="22" a="1"/>
  <c r="B80" i="22" s="1"/>
  <c r="C80" i="22" a="1"/>
  <c r="C80" i="22" s="1"/>
  <c r="A81" i="22" a="1"/>
  <c r="A81" i="22" s="1"/>
  <c r="B81" i="22" a="1"/>
  <c r="B81" i="22" s="1"/>
  <c r="C81" i="22" a="1"/>
  <c r="C81" i="22" s="1"/>
  <c r="A82" i="22" a="1"/>
  <c r="A82" i="22" s="1"/>
  <c r="B82" i="22" a="1"/>
  <c r="B82" i="22" s="1"/>
  <c r="C82" i="22" a="1"/>
  <c r="C82" i="22" s="1"/>
  <c r="A83" i="22" a="1"/>
  <c r="A83" i="22" s="1"/>
  <c r="B83" i="22" a="1"/>
  <c r="B83" i="22" s="1"/>
  <c r="C83" i="22" a="1"/>
  <c r="C83" i="22" s="1"/>
  <c r="A84" i="22" a="1"/>
  <c r="A84" i="22" s="1"/>
  <c r="B84" i="22" a="1"/>
  <c r="B84" i="22" s="1"/>
  <c r="C84" i="22" a="1"/>
  <c r="C84" i="22" s="1"/>
  <c r="A85" i="22" a="1"/>
  <c r="A85" i="22" s="1"/>
  <c r="B85" i="22" a="1"/>
  <c r="B85" i="22" s="1"/>
  <c r="C85" i="22" a="1"/>
  <c r="C85" i="22" s="1"/>
  <c r="A86" i="22" a="1"/>
  <c r="A86" i="22" s="1"/>
  <c r="B86" i="22" a="1"/>
  <c r="B86" i="22" s="1"/>
  <c r="C86" i="22" a="1"/>
  <c r="C86" i="22" s="1"/>
  <c r="A87" i="22" a="1"/>
  <c r="A87" i="22" s="1"/>
  <c r="B87" i="22" a="1"/>
  <c r="B87" i="22" s="1"/>
  <c r="C87" i="22" a="1"/>
  <c r="C87" i="22" s="1"/>
  <c r="A88" i="22" a="1"/>
  <c r="A88" i="22" s="1"/>
  <c r="B88" i="22" a="1"/>
  <c r="B88" i="22" s="1"/>
  <c r="C88" i="22" a="1"/>
  <c r="C88" i="22" s="1"/>
  <c r="A89" i="22" a="1"/>
  <c r="A89" i="22" s="1"/>
  <c r="B89" i="22" a="1"/>
  <c r="B89" i="22" s="1"/>
  <c r="C89" i="22" a="1"/>
  <c r="C89" i="22" s="1"/>
  <c r="A90" i="22" a="1"/>
  <c r="A90" i="22" s="1"/>
  <c r="B90" i="22" a="1"/>
  <c r="B90" i="22" s="1"/>
  <c r="C90" i="22" a="1"/>
  <c r="C90" i="22" s="1"/>
  <c r="A91" i="22" a="1"/>
  <c r="A91" i="22" s="1"/>
  <c r="B91" i="22" a="1"/>
  <c r="B91" i="22" s="1"/>
  <c r="C91" i="22" a="1"/>
  <c r="C91" i="22" s="1"/>
  <c r="A20" i="22" a="1"/>
  <c r="A20" i="22" s="1"/>
  <c r="B20" i="22" a="1"/>
  <c r="B20" i="22" s="1"/>
  <c r="C20" i="22" a="1"/>
  <c r="C20" i="22" s="1"/>
  <c r="A21" i="22" a="1"/>
  <c r="A21" i="22" s="1"/>
  <c r="B21" i="22" a="1"/>
  <c r="B21" i="22" s="1"/>
  <c r="C21" i="22" a="1"/>
  <c r="C21" i="22" s="1"/>
  <c r="A22" i="22" a="1"/>
  <c r="A22" i="22" s="1"/>
  <c r="B22" i="22" a="1"/>
  <c r="B22" i="22" s="1"/>
  <c r="C22" i="22" a="1"/>
  <c r="C22" i="22" s="1"/>
  <c r="A23" i="22" a="1"/>
  <c r="A23" i="22" s="1"/>
  <c r="B23" i="22" a="1"/>
  <c r="B23" i="22" s="1"/>
  <c r="C23" i="22" a="1"/>
  <c r="C23" i="22" s="1"/>
  <c r="A24" i="22" a="1"/>
  <c r="A24" i="22" s="1"/>
  <c r="B24" i="22" a="1"/>
  <c r="B24" i="22" s="1"/>
  <c r="C24" i="22" a="1"/>
  <c r="C24" i="22" s="1"/>
  <c r="A25" i="22" a="1"/>
  <c r="A25" i="22" s="1"/>
  <c r="B25" i="22" a="1"/>
  <c r="B25" i="22" s="1"/>
  <c r="C25" i="22" a="1"/>
  <c r="C25" i="22" s="1"/>
  <c r="A26" i="22" a="1"/>
  <c r="A26" i="22" s="1"/>
  <c r="B26" i="22" a="1"/>
  <c r="B26" i="22" s="1"/>
  <c r="C26" i="22" a="1"/>
  <c r="C26" i="22" s="1"/>
  <c r="A27" i="22" a="1"/>
  <c r="A27" i="22" s="1"/>
  <c r="B27" i="22" a="1"/>
  <c r="B27" i="22" s="1"/>
  <c r="C27" i="22" a="1"/>
  <c r="C27" i="22" s="1"/>
  <c r="A28" i="22" a="1"/>
  <c r="A28" i="22" s="1"/>
  <c r="B28" i="22" a="1"/>
  <c r="B28" i="22" s="1"/>
  <c r="C28" i="22" a="1"/>
  <c r="C28" i="22" s="1"/>
  <c r="A29" i="22" a="1"/>
  <c r="A29" i="22" s="1"/>
  <c r="B29" i="22" a="1"/>
  <c r="B29" i="22" s="1"/>
  <c r="C29" i="22" a="1"/>
  <c r="C29" i="22" s="1"/>
  <c r="A30" i="22" a="1"/>
  <c r="A30" i="22" s="1"/>
  <c r="B30" i="22" a="1"/>
  <c r="B30" i="22" s="1"/>
  <c r="C30" i="22" a="1"/>
  <c r="C30" i="22" s="1"/>
  <c r="A31" i="22" a="1"/>
  <c r="A31" i="22" s="1"/>
  <c r="B31" i="22" a="1"/>
  <c r="B31" i="22" s="1"/>
  <c r="C31" i="22" a="1"/>
  <c r="C31" i="22" s="1"/>
  <c r="A32" i="22" a="1"/>
  <c r="A32" i="22" s="1"/>
  <c r="B32" i="22" a="1"/>
  <c r="B32" i="22" s="1"/>
  <c r="C32" i="22" a="1"/>
  <c r="C32" i="22" s="1"/>
  <c r="A33" i="22" a="1"/>
  <c r="A33" i="22" s="1"/>
  <c r="B33" i="22" a="1"/>
  <c r="B33" i="22" s="1"/>
  <c r="C33" i="22" a="1"/>
  <c r="C33" i="22" s="1"/>
  <c r="A34" i="22" a="1"/>
  <c r="A34" i="22" s="1"/>
  <c r="B34" i="22" a="1"/>
  <c r="B34" i="22" s="1"/>
  <c r="C34" i="22" a="1"/>
  <c r="C34" i="22" s="1"/>
  <c r="A35" i="22" a="1"/>
  <c r="A35" i="22" s="1"/>
  <c r="B35" i="22" a="1"/>
  <c r="B35" i="22" s="1"/>
  <c r="C35" i="22" a="1"/>
  <c r="C35" i="22" s="1"/>
  <c r="A36" i="22" a="1"/>
  <c r="A36" i="22" s="1"/>
  <c r="B36" i="22" a="1"/>
  <c r="B36" i="22" s="1"/>
  <c r="C36" i="22" a="1"/>
  <c r="C36" i="22" s="1"/>
  <c r="A37" i="22" a="1"/>
  <c r="A37" i="22" s="1"/>
  <c r="B37" i="22" a="1"/>
  <c r="B37" i="22" s="1"/>
  <c r="C37" i="22" a="1"/>
  <c r="C37" i="22" s="1"/>
  <c r="A38" i="22" a="1"/>
  <c r="A38" i="22" s="1"/>
  <c r="B38" i="22" a="1"/>
  <c r="B38" i="22" s="1"/>
  <c r="C38" i="22" a="1"/>
  <c r="C38" i="22" s="1"/>
  <c r="A39" i="22" a="1"/>
  <c r="A39" i="22" s="1"/>
  <c r="B39" i="22" a="1"/>
  <c r="B39" i="22" s="1"/>
  <c r="C39" i="22" a="1"/>
  <c r="C39" i="22" s="1"/>
  <c r="A40" i="22" a="1"/>
  <c r="A40" i="22" s="1"/>
  <c r="B40" i="22" a="1"/>
  <c r="B40" i="22" s="1"/>
  <c r="C40" i="22" a="1"/>
  <c r="C40" i="22" s="1"/>
  <c r="A41" i="22" a="1"/>
  <c r="A41" i="22" s="1"/>
  <c r="B41" i="22" a="1"/>
  <c r="B41" i="22" s="1"/>
  <c r="C41" i="22" a="1"/>
  <c r="C41" i="22" s="1"/>
  <c r="A42" i="22" a="1"/>
  <c r="A42" i="22" s="1"/>
  <c r="B42" i="22" a="1"/>
  <c r="B42" i="22" s="1"/>
  <c r="C42" i="22" a="1"/>
  <c r="C42" i="22" s="1"/>
  <c r="A43" i="22" a="1"/>
  <c r="A43" i="22" s="1"/>
  <c r="B43" i="22" a="1"/>
  <c r="B43" i="22" s="1"/>
  <c r="C43" i="22" a="1"/>
  <c r="C43" i="22" s="1"/>
  <c r="A44" i="22" a="1"/>
  <c r="A44" i="22" s="1"/>
  <c r="B44" i="22" a="1"/>
  <c r="B44" i="22" s="1"/>
  <c r="C44" i="22" a="1"/>
  <c r="C44" i="22" s="1"/>
  <c r="A45" i="22" a="1"/>
  <c r="A45" i="22" s="1"/>
  <c r="B45" i="22" a="1"/>
  <c r="B45" i="22" s="1"/>
  <c r="C45" i="22" a="1"/>
  <c r="C45" i="22" s="1"/>
  <c r="A46" i="22" a="1"/>
  <c r="A46" i="22" s="1"/>
  <c r="B46" i="22" a="1"/>
  <c r="B46" i="22" s="1"/>
  <c r="C46" i="22" a="1"/>
  <c r="C46" i="22" s="1"/>
  <c r="A47" i="22" a="1"/>
  <c r="A47" i="22" s="1"/>
  <c r="B47" i="22" a="1"/>
  <c r="B47" i="22" s="1"/>
  <c r="C47" i="22" a="1"/>
  <c r="C47" i="22" s="1"/>
  <c r="A48" i="22" a="1"/>
  <c r="A48" i="22" s="1"/>
  <c r="B48" i="22" a="1"/>
  <c r="B48" i="22" s="1"/>
  <c r="C48" i="22" a="1"/>
  <c r="C48" i="22" s="1"/>
  <c r="A49" i="22" a="1"/>
  <c r="A49" i="22" s="1"/>
  <c r="B49" i="22" a="1"/>
  <c r="B49" i="22" s="1"/>
  <c r="C49" i="22" a="1"/>
  <c r="C49" i="22" s="1"/>
  <c r="A50" i="22" a="1"/>
  <c r="A50" i="22" s="1"/>
  <c r="B50" i="22" a="1"/>
  <c r="B50" i="22" s="1"/>
  <c r="C50" i="22" a="1"/>
  <c r="C50" i="22" s="1"/>
  <c r="A51" i="22" a="1"/>
  <c r="A51" i="22" s="1"/>
  <c r="B51" i="22" a="1"/>
  <c r="B51" i="22" s="1"/>
  <c r="C51" i="22" a="1"/>
  <c r="C51" i="22" s="1"/>
  <c r="A52" i="22" a="1"/>
  <c r="A52" i="22" s="1"/>
  <c r="B52" i="22" a="1"/>
  <c r="B52" i="22" s="1"/>
  <c r="C52" i="22" a="1"/>
  <c r="C52" i="22" s="1"/>
  <c r="A53" i="22" a="1"/>
  <c r="A53" i="22" s="1"/>
  <c r="B53" i="22" a="1"/>
  <c r="B53" i="22" s="1"/>
  <c r="C53" i="22" a="1"/>
  <c r="C53" i="22" s="1"/>
  <c r="C1843" i="22" a="1"/>
  <c r="C1843" i="22" s="1"/>
  <c r="B1843" i="22" a="1"/>
  <c r="B1843" i="22" s="1"/>
  <c r="A1843" i="22" a="1"/>
  <c r="A1843" i="22" s="1"/>
  <c r="C1805" i="22" a="1"/>
  <c r="C1805" i="22" s="1"/>
  <c r="B1805" i="22" a="1"/>
  <c r="B1805" i="22" s="1"/>
  <c r="A1805" i="22" a="1"/>
  <c r="A1805" i="22" s="1"/>
  <c r="C1767" i="22" a="1"/>
  <c r="C1767" i="22" s="1"/>
  <c r="B1767" i="22" a="1"/>
  <c r="B1767" i="22" s="1"/>
  <c r="A1767" i="22" a="1"/>
  <c r="A1767" i="22" s="1"/>
  <c r="C1729" i="22" a="1"/>
  <c r="C1729" i="22" s="1"/>
  <c r="B1729" i="22" a="1"/>
  <c r="B1729" i="22" s="1"/>
  <c r="A1729" i="22" a="1"/>
  <c r="A1729" i="22" s="1"/>
  <c r="C1691" i="22" a="1"/>
  <c r="C1691" i="22" s="1"/>
  <c r="B1691" i="22" a="1"/>
  <c r="B1691" i="22" s="1"/>
  <c r="A1691" i="22" a="1"/>
  <c r="A1691" i="22" s="1"/>
  <c r="C1653" i="22" a="1"/>
  <c r="C1653" i="22" s="1"/>
  <c r="B1653" i="22" a="1"/>
  <c r="B1653" i="22" s="1"/>
  <c r="A1653" i="22" a="1"/>
  <c r="A1653" i="22" s="1"/>
  <c r="C1615" i="22" a="1"/>
  <c r="C1615" i="22" s="1"/>
  <c r="B1615" i="22" a="1"/>
  <c r="B1615" i="22" s="1"/>
  <c r="A1615" i="22" a="1"/>
  <c r="A1615" i="22" s="1"/>
  <c r="C1577" i="22" a="1"/>
  <c r="C1577" i="22" s="1"/>
  <c r="B1577" i="22" a="1"/>
  <c r="B1577" i="22" s="1"/>
  <c r="A1577" i="22" a="1"/>
  <c r="A1577" i="22" s="1"/>
  <c r="C1539" i="22" a="1"/>
  <c r="C1539" i="22" s="1"/>
  <c r="B1539" i="22" a="1"/>
  <c r="B1539" i="22" s="1"/>
  <c r="A1539" i="22" a="1"/>
  <c r="A1539" i="22" s="1"/>
  <c r="C1501" i="22" a="1"/>
  <c r="C1501" i="22" s="1"/>
  <c r="B1501" i="22" a="1"/>
  <c r="B1501" i="22" s="1"/>
  <c r="A1501" i="22" a="1"/>
  <c r="A1501" i="22" s="1"/>
  <c r="C1463" i="22" a="1"/>
  <c r="C1463" i="22" s="1"/>
  <c r="B1463" i="22" a="1"/>
  <c r="B1463" i="22" s="1"/>
  <c r="A1463" i="22" a="1"/>
  <c r="A1463" i="22" s="1"/>
  <c r="C1425" i="22" a="1"/>
  <c r="C1425" i="22" s="1"/>
  <c r="B1425" i="22" a="1"/>
  <c r="B1425" i="22" s="1"/>
  <c r="A1425" i="22" a="1"/>
  <c r="A1425" i="22" s="1"/>
  <c r="C1387" i="22" a="1"/>
  <c r="C1387" i="22" s="1"/>
  <c r="B1387" i="22" a="1"/>
  <c r="B1387" i="22" s="1"/>
  <c r="A1387" i="22" a="1"/>
  <c r="A1387" i="22" s="1"/>
  <c r="C1349" i="22" a="1"/>
  <c r="C1349" i="22" s="1"/>
  <c r="B1349" i="22" a="1"/>
  <c r="B1349" i="22" s="1"/>
  <c r="A1349" i="22" a="1"/>
  <c r="A1349" i="22" s="1"/>
  <c r="C1311" i="22" a="1"/>
  <c r="C1311" i="22" s="1"/>
  <c r="B1311" i="22" a="1"/>
  <c r="B1311" i="22" s="1"/>
  <c r="A1311" i="22" a="1"/>
  <c r="A1311" i="22" s="1"/>
  <c r="C1273" i="22" a="1"/>
  <c r="C1273" i="22" s="1"/>
  <c r="B1273" i="22" a="1"/>
  <c r="B1273" i="22" s="1"/>
  <c r="A1273" i="22" a="1"/>
  <c r="A1273" i="22" s="1"/>
  <c r="C1235" i="22" a="1"/>
  <c r="C1235" i="22" s="1"/>
  <c r="B1235" i="22" a="1"/>
  <c r="B1235" i="22" s="1"/>
  <c r="A1235" i="22" a="1"/>
  <c r="A1235" i="22" s="1"/>
  <c r="C1197" i="22" a="1"/>
  <c r="C1197" i="22" s="1"/>
  <c r="B1197" i="22" a="1"/>
  <c r="B1197" i="22" s="1"/>
  <c r="A1197" i="22" a="1"/>
  <c r="A1197" i="22" s="1"/>
  <c r="C1159" i="22" a="1"/>
  <c r="C1159" i="22" s="1"/>
  <c r="B1159" i="22" a="1"/>
  <c r="B1159" i="22" s="1"/>
  <c r="A1159" i="22" a="1"/>
  <c r="A1159" i="22" s="1"/>
  <c r="C1121" i="22" a="1"/>
  <c r="C1121" i="22" s="1"/>
  <c r="B1121" i="22" a="1"/>
  <c r="B1121" i="22" s="1"/>
  <c r="A1121" i="22" a="1"/>
  <c r="A1121" i="22" s="1"/>
  <c r="C1083" i="22" a="1"/>
  <c r="C1083" i="22" s="1"/>
  <c r="B1083" i="22" a="1"/>
  <c r="B1083" i="22" s="1"/>
  <c r="A1083" i="22" a="1"/>
  <c r="A1083" i="22" s="1"/>
  <c r="C1045" i="22" a="1"/>
  <c r="C1045" i="22" s="1"/>
  <c r="B1045" i="22" a="1"/>
  <c r="B1045" i="22" s="1"/>
  <c r="A1045" i="22" a="1"/>
  <c r="A1045" i="22" s="1"/>
  <c r="C1007" i="22" a="1"/>
  <c r="C1007" i="22" s="1"/>
  <c r="B1007" i="22" a="1"/>
  <c r="B1007" i="22" s="1"/>
  <c r="A1007" i="22" a="1"/>
  <c r="A1007" i="22" s="1"/>
  <c r="C969" i="22" a="1"/>
  <c r="C969" i="22" s="1"/>
  <c r="B969" i="22" a="1"/>
  <c r="B969" i="22" s="1"/>
  <c r="A969" i="22" a="1"/>
  <c r="A969" i="22" s="1"/>
  <c r="C931" i="22" a="1"/>
  <c r="C931" i="22" s="1"/>
  <c r="B931" i="22" a="1"/>
  <c r="B931" i="22" s="1"/>
  <c r="A931" i="22" a="1"/>
  <c r="A931" i="22" s="1"/>
  <c r="C893" i="22" a="1"/>
  <c r="C893" i="22" s="1"/>
  <c r="B893" i="22" a="1"/>
  <c r="B893" i="22" s="1"/>
  <c r="A893" i="22" a="1"/>
  <c r="A893" i="22" s="1"/>
  <c r="C855" i="22" a="1"/>
  <c r="C855" i="22" s="1"/>
  <c r="B855" i="22" a="1"/>
  <c r="B855" i="22" s="1"/>
  <c r="A855" i="22" a="1"/>
  <c r="A855" i="22" s="1"/>
  <c r="C817" i="22" a="1"/>
  <c r="C817" i="22" s="1"/>
  <c r="B817" i="22" a="1"/>
  <c r="B817" i="22" s="1"/>
  <c r="A817" i="22" a="1"/>
  <c r="A817" i="22" s="1"/>
  <c r="C779" i="22" a="1"/>
  <c r="C779" i="22" s="1"/>
  <c r="B779" i="22" a="1"/>
  <c r="B779" i="22" s="1"/>
  <c r="A779" i="22" a="1"/>
  <c r="A779" i="22" s="1"/>
  <c r="C741" i="22" a="1"/>
  <c r="C741" i="22" s="1"/>
  <c r="B741" i="22" a="1"/>
  <c r="B741" i="22" s="1"/>
  <c r="A741" i="22" a="1"/>
  <c r="A741" i="22" s="1"/>
  <c r="C703" i="22" a="1"/>
  <c r="C703" i="22" s="1"/>
  <c r="B703" i="22" a="1"/>
  <c r="B703" i="22" s="1"/>
  <c r="A703" i="22" a="1"/>
  <c r="A703" i="22" s="1"/>
  <c r="C665" i="22" a="1"/>
  <c r="C665" i="22" s="1"/>
  <c r="B665" i="22" a="1"/>
  <c r="B665" i="22" s="1"/>
  <c r="A665" i="22" a="1"/>
  <c r="A665" i="22" s="1"/>
  <c r="C627" i="22" a="1"/>
  <c r="C627" i="22" s="1"/>
  <c r="B627" i="22" a="1"/>
  <c r="B627" i="22" s="1"/>
  <c r="A627" i="22" a="1"/>
  <c r="A627" i="22" s="1"/>
  <c r="C589" i="22" a="1"/>
  <c r="C589" i="22" s="1"/>
  <c r="B589" i="22" a="1"/>
  <c r="B589" i="22" s="1"/>
  <c r="A589" i="22" a="1"/>
  <c r="A589" i="22" s="1"/>
  <c r="C551" i="22" a="1"/>
  <c r="C551" i="22" s="1"/>
  <c r="B551" i="22" a="1"/>
  <c r="B551" i="22" s="1"/>
  <c r="A551" i="22" a="1"/>
  <c r="A551" i="22" s="1"/>
  <c r="C513" i="22" a="1"/>
  <c r="C513" i="22" s="1"/>
  <c r="B513" i="22" a="1"/>
  <c r="B513" i="22" s="1"/>
  <c r="A513" i="22" a="1"/>
  <c r="A513" i="22" s="1"/>
  <c r="C475" i="22" a="1"/>
  <c r="C475" i="22" s="1"/>
  <c r="B475" i="22" a="1"/>
  <c r="B475" i="22" s="1"/>
  <c r="A475" i="22" a="1"/>
  <c r="A475" i="22" s="1"/>
  <c r="C437" i="22" a="1"/>
  <c r="C437" i="22" s="1"/>
  <c r="B437" i="22" a="1"/>
  <c r="B437" i="22" s="1"/>
  <c r="A437" i="22" a="1"/>
  <c r="A437" i="22" s="1"/>
  <c r="C399" i="22" a="1"/>
  <c r="C399" i="22" s="1"/>
  <c r="B399" i="22" a="1"/>
  <c r="B399" i="22" s="1"/>
  <c r="A399" i="22" a="1"/>
  <c r="A399" i="22" s="1"/>
  <c r="C361" i="22" a="1"/>
  <c r="C361" i="22" s="1"/>
  <c r="B361" i="22" a="1"/>
  <c r="B361" i="22" s="1"/>
  <c r="A361" i="22" a="1"/>
  <c r="A361" i="22" s="1"/>
  <c r="C323" i="22" a="1"/>
  <c r="C323" i="22" s="1"/>
  <c r="B323" i="22" a="1"/>
  <c r="B323" i="22" s="1"/>
  <c r="A323" i="22" a="1"/>
  <c r="A323" i="22" s="1"/>
  <c r="C285" i="22" a="1"/>
  <c r="C285" i="22" s="1"/>
  <c r="B285" i="22" a="1"/>
  <c r="B285" i="22" s="1"/>
  <c r="A285" i="22" a="1"/>
  <c r="A285" i="22" s="1"/>
  <c r="C247" i="22" a="1"/>
  <c r="C247" i="22" s="1"/>
  <c r="B247" i="22" a="1"/>
  <c r="B247" i="22" s="1"/>
  <c r="A247" i="22" a="1"/>
  <c r="A247" i="22" s="1"/>
  <c r="C209" i="22" a="1"/>
  <c r="C209" i="22" s="1"/>
  <c r="B209" i="22" a="1"/>
  <c r="B209" i="22" s="1"/>
  <c r="A209" i="22" a="1"/>
  <c r="A209" i="22" s="1"/>
  <c r="C171" i="22" a="1"/>
  <c r="C171" i="22" s="1"/>
  <c r="B171" i="22" a="1"/>
  <c r="B171" i="22" s="1"/>
  <c r="A171" i="22" a="1"/>
  <c r="A171" i="22" s="1"/>
  <c r="C133" i="22" a="1"/>
  <c r="C133" i="22" s="1"/>
  <c r="B133" i="22" a="1"/>
  <c r="B133" i="22" s="1"/>
  <c r="A133" i="22" a="1"/>
  <c r="A133" i="22" s="1"/>
  <c r="C95" i="22" a="1"/>
  <c r="C95" i="22" s="1"/>
  <c r="B95" i="22" a="1"/>
  <c r="B95" i="22" s="1"/>
  <c r="A95" i="22" a="1"/>
  <c r="A95" i="22" s="1"/>
  <c r="C57" i="22" a="1"/>
  <c r="C57" i="22" s="1"/>
  <c r="B57" i="22" a="1"/>
  <c r="B57" i="22" s="1"/>
  <c r="A57" i="22" a="1"/>
  <c r="A57" i="22" s="1"/>
  <c r="C19" i="22" a="1"/>
  <c r="C19" i="22" s="1"/>
  <c r="B19" i="22" a="1"/>
  <c r="B19" i="22" s="1"/>
  <c r="A19" i="22" a="1"/>
  <c r="A19" i="22" s="1"/>
  <c r="C357" i="15" a="1"/>
  <c r="C357" i="15" s="1"/>
  <c r="B357" i="15" a="1"/>
  <c r="B357" i="15" s="1"/>
  <c r="A357" i="15" a="1"/>
  <c r="A357" i="15" s="1"/>
  <c r="C356" i="15" a="1"/>
  <c r="C356" i="15" s="1"/>
  <c r="B356" i="15" a="1"/>
  <c r="B356" i="15" s="1"/>
  <c r="A356" i="15" a="1"/>
  <c r="A356" i="15" s="1"/>
  <c r="C355" i="15" a="1"/>
  <c r="C355" i="15" s="1"/>
  <c r="B355" i="15" a="1"/>
  <c r="B355" i="15" s="1"/>
  <c r="A355" i="15" a="1"/>
  <c r="A355" i="15" s="1"/>
  <c r="C354" i="15" a="1"/>
  <c r="C354" i="15" s="1"/>
  <c r="B354" i="15" a="1"/>
  <c r="B354" i="15" s="1"/>
  <c r="A354" i="15" a="1"/>
  <c r="A354" i="15" s="1"/>
  <c r="C353" i="15" a="1"/>
  <c r="C353" i="15" s="1"/>
  <c r="B353" i="15" a="1"/>
  <c r="B353" i="15" s="1"/>
  <c r="A353" i="15" a="1"/>
  <c r="A353" i="15" s="1"/>
  <c r="C352" i="15" a="1"/>
  <c r="C352" i="15" s="1"/>
  <c r="B352" i="15" a="1"/>
  <c r="B352" i="15" s="1"/>
  <c r="A352" i="15" a="1"/>
  <c r="A352" i="15" s="1"/>
  <c r="C351" i="15" a="1"/>
  <c r="C351" i="15" s="1"/>
  <c r="B351" i="15" a="1"/>
  <c r="B351" i="15" s="1"/>
  <c r="A351" i="15" a="1"/>
  <c r="A351" i="15" s="1"/>
  <c r="C350" i="15" a="1"/>
  <c r="C350" i="15" s="1"/>
  <c r="B350" i="15" a="1"/>
  <c r="B350" i="15" s="1"/>
  <c r="A350" i="15" a="1"/>
  <c r="A350" i="15" s="1"/>
  <c r="C349" i="15" a="1"/>
  <c r="C349" i="15" s="1"/>
  <c r="B349" i="15" a="1"/>
  <c r="B349" i="15" s="1"/>
  <c r="A349" i="15" a="1"/>
  <c r="A349" i="15" s="1"/>
  <c r="C348" i="15" a="1"/>
  <c r="C348" i="15" s="1"/>
  <c r="B348" i="15" a="1"/>
  <c r="B348" i="15" s="1"/>
  <c r="A348" i="15" a="1"/>
  <c r="A348" i="15" s="1"/>
  <c r="C347" i="15" a="1"/>
  <c r="C347" i="15" s="1"/>
  <c r="B347" i="15" a="1"/>
  <c r="B347" i="15" s="1"/>
  <c r="A347" i="15" a="1"/>
  <c r="A347" i="15" s="1"/>
  <c r="C346" i="15" a="1"/>
  <c r="C346" i="15" s="1"/>
  <c r="B346" i="15" a="1"/>
  <c r="B346" i="15" s="1"/>
  <c r="A346" i="15" a="1"/>
  <c r="A346" i="15" s="1"/>
  <c r="C345" i="15" a="1"/>
  <c r="C345" i="15" s="1"/>
  <c r="B345" i="15" a="1"/>
  <c r="B345" i="15" s="1"/>
  <c r="A345" i="15" a="1"/>
  <c r="A345" i="15" s="1"/>
  <c r="C344" i="15" a="1"/>
  <c r="C344" i="15" s="1"/>
  <c r="B344" i="15" a="1"/>
  <c r="B344" i="15" s="1"/>
  <c r="A344" i="15" a="1"/>
  <c r="A344" i="15" s="1"/>
  <c r="C343" i="15" a="1"/>
  <c r="C343" i="15" s="1"/>
  <c r="B343" i="15" a="1"/>
  <c r="B343" i="15" s="1"/>
  <c r="A343" i="15" a="1"/>
  <c r="A343" i="15" s="1"/>
  <c r="C342" i="15" a="1"/>
  <c r="C342" i="15" s="1"/>
  <c r="B342" i="15" a="1"/>
  <c r="B342" i="15" s="1"/>
  <c r="A342" i="15" a="1"/>
  <c r="A342" i="15" s="1"/>
  <c r="C341" i="15" a="1"/>
  <c r="C341" i="15" s="1"/>
  <c r="B341" i="15" a="1"/>
  <c r="B341" i="15" s="1"/>
  <c r="A341" i="15" a="1"/>
  <c r="A341" i="15" s="1"/>
  <c r="C340" i="15" a="1"/>
  <c r="C340" i="15" s="1"/>
  <c r="B340" i="15" a="1"/>
  <c r="B340" i="15" s="1"/>
  <c r="A340" i="15" a="1"/>
  <c r="A340" i="15" s="1"/>
  <c r="C339" i="15" a="1"/>
  <c r="C339" i="15" s="1"/>
  <c r="B339" i="15" a="1"/>
  <c r="B339" i="15" s="1"/>
  <c r="A339" i="15" a="1"/>
  <c r="A339" i="15" s="1"/>
  <c r="C338" i="15" a="1"/>
  <c r="C338" i="15" s="1"/>
  <c r="B338" i="15" a="1"/>
  <c r="B338" i="15" s="1"/>
  <c r="A338" i="15" a="1"/>
  <c r="A338" i="15" s="1"/>
  <c r="C337" i="15" a="1"/>
  <c r="C337" i="15" s="1"/>
  <c r="B337" i="15" a="1"/>
  <c r="B337" i="15" s="1"/>
  <c r="A337" i="15" a="1"/>
  <c r="A337" i="15" s="1"/>
  <c r="C336" i="15" a="1"/>
  <c r="C336" i="15" s="1"/>
  <c r="B336" i="15" a="1"/>
  <c r="B336" i="15" s="1"/>
  <c r="A336" i="15" a="1"/>
  <c r="A336" i="15" s="1"/>
  <c r="C335" i="15" a="1"/>
  <c r="C335" i="15" s="1"/>
  <c r="B335" i="15" a="1"/>
  <c r="B335" i="15" s="1"/>
  <c r="A335" i="15" a="1"/>
  <c r="A335" i="15" s="1"/>
  <c r="C334" i="15" a="1"/>
  <c r="C334" i="15" s="1"/>
  <c r="B334" i="15" a="1"/>
  <c r="B334" i="15" s="1"/>
  <c r="A334" i="15" a="1"/>
  <c r="A334" i="15" s="1"/>
  <c r="C333" i="15" a="1"/>
  <c r="C333" i="15" s="1"/>
  <c r="B333" i="15" a="1"/>
  <c r="B333" i="15" s="1"/>
  <c r="A333" i="15" a="1"/>
  <c r="A333" i="15" s="1"/>
  <c r="C332" i="15" a="1"/>
  <c r="C332" i="15" s="1"/>
  <c r="B332" i="15" a="1"/>
  <c r="B332" i="15" s="1"/>
  <c r="A332" i="15" a="1"/>
  <c r="A332" i="15" s="1"/>
  <c r="C331" i="15" a="1"/>
  <c r="C331" i="15" s="1"/>
  <c r="B331" i="15" a="1"/>
  <c r="B331" i="15" s="1"/>
  <c r="A331" i="15" a="1"/>
  <c r="A331" i="15" s="1"/>
  <c r="C330" i="15" a="1"/>
  <c r="C330" i="15" s="1"/>
  <c r="B330" i="15" a="1"/>
  <c r="B330" i="15" s="1"/>
  <c r="A330" i="15" a="1"/>
  <c r="A330" i="15" s="1"/>
  <c r="C329" i="15" a="1"/>
  <c r="C329" i="15" s="1"/>
  <c r="B329" i="15" a="1"/>
  <c r="B329" i="15" s="1"/>
  <c r="A329" i="15" a="1"/>
  <c r="A329" i="15" s="1"/>
  <c r="C328" i="15" a="1"/>
  <c r="C328" i="15" s="1"/>
  <c r="B328" i="15" a="1"/>
  <c r="B328" i="15" s="1"/>
  <c r="A328" i="15" a="1"/>
  <c r="A328" i="15" s="1"/>
  <c r="C327" i="15" a="1"/>
  <c r="C327" i="15" s="1"/>
  <c r="B327" i="15" a="1"/>
  <c r="B327" i="15" s="1"/>
  <c r="A327" i="15" a="1"/>
  <c r="A327" i="15" s="1"/>
  <c r="C326" i="15" a="1"/>
  <c r="C326" i="15" s="1"/>
  <c r="B326" i="15" a="1"/>
  <c r="B326" i="15" s="1"/>
  <c r="A326" i="15" a="1"/>
  <c r="A326" i="15" s="1"/>
  <c r="C325" i="15" a="1"/>
  <c r="C325" i="15" s="1"/>
  <c r="B325" i="15" a="1"/>
  <c r="B325" i="15" s="1"/>
  <c r="A325" i="15" a="1"/>
  <c r="A325" i="15" s="1"/>
  <c r="C324" i="15" a="1"/>
  <c r="C324" i="15" s="1"/>
  <c r="B324" i="15" a="1"/>
  <c r="B324" i="15" s="1"/>
  <c r="A324" i="15" a="1"/>
  <c r="A324" i="15" s="1"/>
  <c r="C323" i="15" a="1"/>
  <c r="C323" i="15" s="1"/>
  <c r="B323" i="15" a="1"/>
  <c r="B323" i="15" s="1"/>
  <c r="A323" i="15" a="1"/>
  <c r="A323" i="15" s="1"/>
  <c r="C319" i="15" a="1"/>
  <c r="C319" i="15" s="1"/>
  <c r="B319" i="15" a="1"/>
  <c r="B319" i="15" s="1"/>
  <c r="A319" i="15" a="1"/>
  <c r="A319" i="15" s="1"/>
  <c r="C318" i="15" a="1"/>
  <c r="C318" i="15" s="1"/>
  <c r="B318" i="15" a="1"/>
  <c r="B318" i="15" s="1"/>
  <c r="A318" i="15" a="1"/>
  <c r="A318" i="15" s="1"/>
  <c r="C317" i="15" a="1"/>
  <c r="C317" i="15" s="1"/>
  <c r="B317" i="15" a="1"/>
  <c r="B317" i="15" s="1"/>
  <c r="A317" i="15" a="1"/>
  <c r="A317" i="15" s="1"/>
  <c r="C316" i="15" a="1"/>
  <c r="C316" i="15" s="1"/>
  <c r="B316" i="15" a="1"/>
  <c r="B316" i="15" s="1"/>
  <c r="A316" i="15" a="1"/>
  <c r="A316" i="15" s="1"/>
  <c r="C315" i="15" a="1"/>
  <c r="C315" i="15" s="1"/>
  <c r="B315" i="15" a="1"/>
  <c r="B315" i="15" s="1"/>
  <c r="A315" i="15" a="1"/>
  <c r="A315" i="15" s="1"/>
  <c r="C314" i="15" a="1"/>
  <c r="C314" i="15" s="1"/>
  <c r="B314" i="15" a="1"/>
  <c r="B314" i="15" s="1"/>
  <c r="A314" i="15" a="1"/>
  <c r="A314" i="15" s="1"/>
  <c r="C313" i="15" a="1"/>
  <c r="C313" i="15" s="1"/>
  <c r="B313" i="15" a="1"/>
  <c r="B313" i="15" s="1"/>
  <c r="A313" i="15" a="1"/>
  <c r="A313" i="15" s="1"/>
  <c r="C312" i="15" a="1"/>
  <c r="C312" i="15" s="1"/>
  <c r="B312" i="15" a="1"/>
  <c r="B312" i="15" s="1"/>
  <c r="A312" i="15" a="1"/>
  <c r="A312" i="15" s="1"/>
  <c r="C311" i="15" a="1"/>
  <c r="C311" i="15" s="1"/>
  <c r="B311" i="15" a="1"/>
  <c r="B311" i="15" s="1"/>
  <c r="A311" i="15" a="1"/>
  <c r="A311" i="15" s="1"/>
  <c r="C310" i="15" a="1"/>
  <c r="C310" i="15" s="1"/>
  <c r="B310" i="15" a="1"/>
  <c r="B310" i="15" s="1"/>
  <c r="A310" i="15" a="1"/>
  <c r="A310" i="15" s="1"/>
  <c r="C309" i="15" a="1"/>
  <c r="C309" i="15" s="1"/>
  <c r="B309" i="15" a="1"/>
  <c r="B309" i="15" s="1"/>
  <c r="A309" i="15" a="1"/>
  <c r="A309" i="15" s="1"/>
  <c r="C308" i="15" a="1"/>
  <c r="C308" i="15" s="1"/>
  <c r="B308" i="15" a="1"/>
  <c r="B308" i="15" s="1"/>
  <c r="A308" i="15" a="1"/>
  <c r="A308" i="15" s="1"/>
  <c r="C307" i="15" a="1"/>
  <c r="C307" i="15" s="1"/>
  <c r="B307" i="15" a="1"/>
  <c r="B307" i="15" s="1"/>
  <c r="A307" i="15" a="1"/>
  <c r="A307" i="15" s="1"/>
  <c r="C306" i="15" a="1"/>
  <c r="C306" i="15" s="1"/>
  <c r="B306" i="15" a="1"/>
  <c r="B306" i="15" s="1"/>
  <c r="A306" i="15" a="1"/>
  <c r="A306" i="15" s="1"/>
  <c r="C305" i="15" a="1"/>
  <c r="C305" i="15" s="1"/>
  <c r="B305" i="15" a="1"/>
  <c r="B305" i="15" s="1"/>
  <c r="A305" i="15" a="1"/>
  <c r="A305" i="15" s="1"/>
  <c r="C304" i="15" a="1"/>
  <c r="C304" i="15" s="1"/>
  <c r="D304" i="15" s="1"/>
  <c r="B304" i="15" a="1"/>
  <c r="B304" i="15" s="1"/>
  <c r="A304" i="15" a="1"/>
  <c r="A304" i="15" s="1"/>
  <c r="C303" i="15" a="1"/>
  <c r="C303" i="15" s="1"/>
  <c r="B303" i="15" a="1"/>
  <c r="B303" i="15" s="1"/>
  <c r="A303" i="15" a="1"/>
  <c r="A303" i="15" s="1"/>
  <c r="C302" i="15" a="1"/>
  <c r="C302" i="15" s="1"/>
  <c r="B302" i="15" a="1"/>
  <c r="B302" i="15" s="1"/>
  <c r="A302" i="15" a="1"/>
  <c r="A302" i="15" s="1"/>
  <c r="C301" i="15" a="1"/>
  <c r="C301" i="15" s="1"/>
  <c r="B301" i="15" a="1"/>
  <c r="B301" i="15" s="1"/>
  <c r="A301" i="15" a="1"/>
  <c r="A301" i="15" s="1"/>
  <c r="C300" i="15" a="1"/>
  <c r="C300" i="15" s="1"/>
  <c r="B300" i="15" a="1"/>
  <c r="B300" i="15" s="1"/>
  <c r="A300" i="15" a="1"/>
  <c r="A300" i="15" s="1"/>
  <c r="C299" i="15" a="1"/>
  <c r="C299" i="15" s="1"/>
  <c r="B299" i="15" a="1"/>
  <c r="B299" i="15" s="1"/>
  <c r="A299" i="15" a="1"/>
  <c r="A299" i="15" s="1"/>
  <c r="C298" i="15" a="1"/>
  <c r="C298" i="15" s="1"/>
  <c r="B298" i="15" a="1"/>
  <c r="B298" i="15" s="1"/>
  <c r="A298" i="15" a="1"/>
  <c r="A298" i="15" s="1"/>
  <c r="C297" i="15" a="1"/>
  <c r="C297" i="15" s="1"/>
  <c r="B297" i="15" a="1"/>
  <c r="B297" i="15" s="1"/>
  <c r="A297" i="15" a="1"/>
  <c r="A297" i="15" s="1"/>
  <c r="C296" i="15" a="1"/>
  <c r="C296" i="15" s="1"/>
  <c r="B296" i="15" a="1"/>
  <c r="B296" i="15" s="1"/>
  <c r="A296" i="15" a="1"/>
  <c r="A296" i="15" s="1"/>
  <c r="C295" i="15" a="1"/>
  <c r="C295" i="15" s="1"/>
  <c r="B295" i="15" a="1"/>
  <c r="B295" i="15" s="1"/>
  <c r="A295" i="15" a="1"/>
  <c r="A295" i="15" s="1"/>
  <c r="C294" i="15" a="1"/>
  <c r="C294" i="15" s="1"/>
  <c r="B294" i="15" a="1"/>
  <c r="B294" i="15" s="1"/>
  <c r="A294" i="15" a="1"/>
  <c r="A294" i="15" s="1"/>
  <c r="C293" i="15" a="1"/>
  <c r="C293" i="15" s="1"/>
  <c r="B293" i="15" a="1"/>
  <c r="B293" i="15" s="1"/>
  <c r="A293" i="15" a="1"/>
  <c r="A293" i="15" s="1"/>
  <c r="C292" i="15" a="1"/>
  <c r="C292" i="15" s="1"/>
  <c r="B292" i="15" a="1"/>
  <c r="B292" i="15" s="1"/>
  <c r="A292" i="15" a="1"/>
  <c r="A292" i="15" s="1"/>
  <c r="C291" i="15" a="1"/>
  <c r="C291" i="15" s="1"/>
  <c r="B291" i="15" a="1"/>
  <c r="B291" i="15" s="1"/>
  <c r="A291" i="15" a="1"/>
  <c r="A291" i="15" s="1"/>
  <c r="C290" i="15" a="1"/>
  <c r="C290" i="15" s="1"/>
  <c r="B290" i="15" a="1"/>
  <c r="B290" i="15" s="1"/>
  <c r="A290" i="15" a="1"/>
  <c r="A290" i="15" s="1"/>
  <c r="C289" i="15" a="1"/>
  <c r="C289" i="15" s="1"/>
  <c r="B289" i="15" a="1"/>
  <c r="B289" i="15" s="1"/>
  <c r="A289" i="15" a="1"/>
  <c r="A289" i="15" s="1"/>
  <c r="C288" i="15" a="1"/>
  <c r="C288" i="15" s="1"/>
  <c r="B288" i="15" a="1"/>
  <c r="B288" i="15" s="1"/>
  <c r="A288" i="15" a="1"/>
  <c r="A288" i="15" s="1"/>
  <c r="C287" i="15" a="1"/>
  <c r="C287" i="15" s="1"/>
  <c r="B287" i="15" a="1"/>
  <c r="B287" i="15" s="1"/>
  <c r="A287" i="15" a="1"/>
  <c r="A287" i="15" s="1"/>
  <c r="C286" i="15" a="1"/>
  <c r="C286" i="15" s="1"/>
  <c r="B286" i="15" a="1"/>
  <c r="B286" i="15" s="1"/>
  <c r="A286" i="15" a="1"/>
  <c r="A286" i="15" s="1"/>
  <c r="C285" i="15" a="1"/>
  <c r="C285" i="15" s="1"/>
  <c r="B285" i="15" a="1"/>
  <c r="B285" i="15" s="1"/>
  <c r="A285" i="15" a="1"/>
  <c r="A285" i="15" s="1"/>
  <c r="C281" i="15" a="1"/>
  <c r="C281" i="15" s="1"/>
  <c r="B281" i="15" a="1"/>
  <c r="B281" i="15" s="1"/>
  <c r="A281" i="15" a="1"/>
  <c r="A281" i="15" s="1"/>
  <c r="C280" i="15" a="1"/>
  <c r="C280" i="15" s="1"/>
  <c r="B280" i="15" a="1"/>
  <c r="B280" i="15" s="1"/>
  <c r="A280" i="15" a="1"/>
  <c r="A280" i="15" s="1"/>
  <c r="C279" i="15" a="1"/>
  <c r="C279" i="15" s="1"/>
  <c r="B279" i="15" a="1"/>
  <c r="B279" i="15" s="1"/>
  <c r="A279" i="15" a="1"/>
  <c r="A279" i="15" s="1"/>
  <c r="C278" i="15" a="1"/>
  <c r="C278" i="15" s="1"/>
  <c r="B278" i="15" a="1"/>
  <c r="B278" i="15" s="1"/>
  <c r="A278" i="15" a="1"/>
  <c r="A278" i="15" s="1"/>
  <c r="C277" i="15" a="1"/>
  <c r="C277" i="15" s="1"/>
  <c r="B277" i="15" a="1"/>
  <c r="B277" i="15" s="1"/>
  <c r="A277" i="15" a="1"/>
  <c r="A277" i="15" s="1"/>
  <c r="C276" i="15" a="1"/>
  <c r="C276" i="15" s="1"/>
  <c r="B276" i="15" a="1"/>
  <c r="B276" i="15" s="1"/>
  <c r="A276" i="15" a="1"/>
  <c r="A276" i="15" s="1"/>
  <c r="C275" i="15" a="1"/>
  <c r="C275" i="15" s="1"/>
  <c r="B275" i="15" a="1"/>
  <c r="B275" i="15" s="1"/>
  <c r="A275" i="15" a="1"/>
  <c r="A275" i="15" s="1"/>
  <c r="C274" i="15" a="1"/>
  <c r="C274" i="15" s="1"/>
  <c r="B274" i="15" a="1"/>
  <c r="B274" i="15" s="1"/>
  <c r="A274" i="15" a="1"/>
  <c r="A274" i="15" s="1"/>
  <c r="C273" i="15" a="1"/>
  <c r="C273" i="15" s="1"/>
  <c r="B273" i="15" a="1"/>
  <c r="B273" i="15" s="1"/>
  <c r="A273" i="15" a="1"/>
  <c r="A273" i="15" s="1"/>
  <c r="C272" i="15" a="1"/>
  <c r="C272" i="15" s="1"/>
  <c r="B272" i="15" a="1"/>
  <c r="B272" i="15" s="1"/>
  <c r="A272" i="15" a="1"/>
  <c r="A272" i="15" s="1"/>
  <c r="C271" i="15" a="1"/>
  <c r="C271" i="15" s="1"/>
  <c r="B271" i="15" a="1"/>
  <c r="B271" i="15" s="1"/>
  <c r="A271" i="15" a="1"/>
  <c r="A271" i="15" s="1"/>
  <c r="C270" i="15" a="1"/>
  <c r="C270" i="15" s="1"/>
  <c r="B270" i="15" a="1"/>
  <c r="B270" i="15" s="1"/>
  <c r="A270" i="15" a="1"/>
  <c r="A270" i="15" s="1"/>
  <c r="C269" i="15" a="1"/>
  <c r="C269" i="15" s="1"/>
  <c r="B269" i="15" a="1"/>
  <c r="B269" i="15" s="1"/>
  <c r="A269" i="15" a="1"/>
  <c r="A269" i="15" s="1"/>
  <c r="C268" i="15" a="1"/>
  <c r="C268" i="15" s="1"/>
  <c r="B268" i="15" a="1"/>
  <c r="B268" i="15" s="1"/>
  <c r="A268" i="15" a="1"/>
  <c r="A268" i="15" s="1"/>
  <c r="C267" i="15" a="1"/>
  <c r="C267" i="15" s="1"/>
  <c r="B267" i="15" a="1"/>
  <c r="B267" i="15" s="1"/>
  <c r="A267" i="15" a="1"/>
  <c r="A267" i="15" s="1"/>
  <c r="C266" i="15" a="1"/>
  <c r="C266" i="15" s="1"/>
  <c r="B266" i="15" a="1"/>
  <c r="B266" i="15" s="1"/>
  <c r="A266" i="15" a="1"/>
  <c r="A266" i="15" s="1"/>
  <c r="C265" i="15" a="1"/>
  <c r="C265" i="15" s="1"/>
  <c r="B265" i="15" a="1"/>
  <c r="B265" i="15" s="1"/>
  <c r="A265" i="15" a="1"/>
  <c r="A265" i="15" s="1"/>
  <c r="C264" i="15" a="1"/>
  <c r="C264" i="15" s="1"/>
  <c r="B264" i="15" a="1"/>
  <c r="B264" i="15" s="1"/>
  <c r="A264" i="15" a="1"/>
  <c r="A264" i="15" s="1"/>
  <c r="C263" i="15" a="1"/>
  <c r="C263" i="15" s="1"/>
  <c r="B263" i="15" a="1"/>
  <c r="B263" i="15" s="1"/>
  <c r="A263" i="15" a="1"/>
  <c r="A263" i="15" s="1"/>
  <c r="C262" i="15" a="1"/>
  <c r="C262" i="15" s="1"/>
  <c r="B262" i="15" a="1"/>
  <c r="B262" i="15" s="1"/>
  <c r="A262" i="15" a="1"/>
  <c r="A262" i="15" s="1"/>
  <c r="C261" i="15" a="1"/>
  <c r="C261" i="15" s="1"/>
  <c r="B261" i="15" a="1"/>
  <c r="B261" i="15" s="1"/>
  <c r="A261" i="15" a="1"/>
  <c r="A261" i="15" s="1"/>
  <c r="C260" i="15" a="1"/>
  <c r="C260" i="15" s="1"/>
  <c r="B260" i="15" a="1"/>
  <c r="B260" i="15" s="1"/>
  <c r="A260" i="15" a="1"/>
  <c r="A260" i="15" s="1"/>
  <c r="C259" i="15" a="1"/>
  <c r="C259" i="15" s="1"/>
  <c r="B259" i="15" a="1"/>
  <c r="B259" i="15" s="1"/>
  <c r="A259" i="15" a="1"/>
  <c r="A259" i="15" s="1"/>
  <c r="C258" i="15" a="1"/>
  <c r="C258" i="15" s="1"/>
  <c r="B258" i="15" a="1"/>
  <c r="B258" i="15" s="1"/>
  <c r="A258" i="15" a="1"/>
  <c r="A258" i="15" s="1"/>
  <c r="C257" i="15" a="1"/>
  <c r="C257" i="15" s="1"/>
  <c r="B257" i="15" a="1"/>
  <c r="B257" i="15" s="1"/>
  <c r="A257" i="15" a="1"/>
  <c r="A257" i="15" s="1"/>
  <c r="C256" i="15" a="1"/>
  <c r="C256" i="15" s="1"/>
  <c r="B256" i="15" a="1"/>
  <c r="B256" i="15" s="1"/>
  <c r="A256" i="15" a="1"/>
  <c r="A256" i="15" s="1"/>
  <c r="C255" i="15" a="1"/>
  <c r="C255" i="15" s="1"/>
  <c r="B255" i="15" a="1"/>
  <c r="B255" i="15" s="1"/>
  <c r="A255" i="15" a="1"/>
  <c r="A255" i="15" s="1"/>
  <c r="C254" i="15" a="1"/>
  <c r="C254" i="15" s="1"/>
  <c r="B254" i="15" a="1"/>
  <c r="B254" i="15" s="1"/>
  <c r="A254" i="15" a="1"/>
  <c r="A254" i="15" s="1"/>
  <c r="C253" i="15" a="1"/>
  <c r="C253" i="15" s="1"/>
  <c r="B253" i="15" a="1"/>
  <c r="B253" i="15" s="1"/>
  <c r="A253" i="15" a="1"/>
  <c r="A253" i="15" s="1"/>
  <c r="C252" i="15" a="1"/>
  <c r="C252" i="15" s="1"/>
  <c r="B252" i="15" a="1"/>
  <c r="B252" i="15" s="1"/>
  <c r="A252" i="15" a="1"/>
  <c r="A252" i="15" s="1"/>
  <c r="C251" i="15" a="1"/>
  <c r="C251" i="15" s="1"/>
  <c r="B251" i="15" a="1"/>
  <c r="B251" i="15" s="1"/>
  <c r="A251" i="15" a="1"/>
  <c r="A251" i="15" s="1"/>
  <c r="C250" i="15" a="1"/>
  <c r="C250" i="15" s="1"/>
  <c r="B250" i="15" a="1"/>
  <c r="B250" i="15" s="1"/>
  <c r="A250" i="15" a="1"/>
  <c r="A250" i="15" s="1"/>
  <c r="C249" i="15" a="1"/>
  <c r="C249" i="15" s="1"/>
  <c r="B249" i="15" a="1"/>
  <c r="B249" i="15" s="1"/>
  <c r="A249" i="15" a="1"/>
  <c r="A249" i="15" s="1"/>
  <c r="C248" i="15" a="1"/>
  <c r="C248" i="15" s="1"/>
  <c r="B248" i="15" a="1"/>
  <c r="B248" i="15" s="1"/>
  <c r="A248" i="15" a="1"/>
  <c r="A248" i="15" s="1"/>
  <c r="C247" i="15" a="1"/>
  <c r="C247" i="15" s="1"/>
  <c r="B247" i="15" a="1"/>
  <c r="B247" i="15" s="1"/>
  <c r="A247" i="15" a="1"/>
  <c r="A247" i="15" s="1"/>
  <c r="C243" i="15" a="1"/>
  <c r="C243" i="15" s="1"/>
  <c r="B243" i="15" a="1"/>
  <c r="B243" i="15" s="1"/>
  <c r="A243" i="15" a="1"/>
  <c r="A243" i="15" s="1"/>
  <c r="C242" i="15" a="1"/>
  <c r="C242" i="15" s="1"/>
  <c r="B242" i="15" a="1"/>
  <c r="B242" i="15" s="1"/>
  <c r="A242" i="15" a="1"/>
  <c r="A242" i="15" s="1"/>
  <c r="C241" i="15" a="1"/>
  <c r="C241" i="15" s="1"/>
  <c r="B241" i="15" a="1"/>
  <c r="B241" i="15" s="1"/>
  <c r="A241" i="15" a="1"/>
  <c r="A241" i="15" s="1"/>
  <c r="C240" i="15" a="1"/>
  <c r="C240" i="15" s="1"/>
  <c r="B240" i="15" a="1"/>
  <c r="B240" i="15" s="1"/>
  <c r="A240" i="15" a="1"/>
  <c r="A240" i="15" s="1"/>
  <c r="C239" i="15" a="1"/>
  <c r="C239" i="15" s="1"/>
  <c r="B239" i="15" a="1"/>
  <c r="B239" i="15" s="1"/>
  <c r="A239" i="15" a="1"/>
  <c r="A239" i="15" s="1"/>
  <c r="C238" i="15" a="1"/>
  <c r="C238" i="15" s="1"/>
  <c r="B238" i="15" a="1"/>
  <c r="B238" i="15" s="1"/>
  <c r="A238" i="15" a="1"/>
  <c r="A238" i="15" s="1"/>
  <c r="C237" i="15" a="1"/>
  <c r="C237" i="15" s="1"/>
  <c r="B237" i="15" a="1"/>
  <c r="B237" i="15" s="1"/>
  <c r="A237" i="15" a="1"/>
  <c r="A237" i="15" s="1"/>
  <c r="C236" i="15" a="1"/>
  <c r="C236" i="15" s="1"/>
  <c r="B236" i="15" a="1"/>
  <c r="B236" i="15" s="1"/>
  <c r="A236" i="15" a="1"/>
  <c r="A236" i="15" s="1"/>
  <c r="C235" i="15" a="1"/>
  <c r="C235" i="15" s="1"/>
  <c r="B235" i="15" a="1"/>
  <c r="B235" i="15" s="1"/>
  <c r="A235" i="15" a="1"/>
  <c r="A235" i="15" s="1"/>
  <c r="C234" i="15" a="1"/>
  <c r="C234" i="15" s="1"/>
  <c r="B234" i="15" a="1"/>
  <c r="B234" i="15" s="1"/>
  <c r="A234" i="15" a="1"/>
  <c r="A234" i="15" s="1"/>
  <c r="C233" i="15" a="1"/>
  <c r="C233" i="15" s="1"/>
  <c r="B233" i="15" a="1"/>
  <c r="B233" i="15" s="1"/>
  <c r="A233" i="15" a="1"/>
  <c r="A233" i="15" s="1"/>
  <c r="C232" i="15" a="1"/>
  <c r="C232" i="15" s="1"/>
  <c r="B232" i="15" a="1"/>
  <c r="B232" i="15" s="1"/>
  <c r="A232" i="15" a="1"/>
  <c r="A232" i="15" s="1"/>
  <c r="C231" i="15" a="1"/>
  <c r="C231" i="15" s="1"/>
  <c r="B231" i="15" a="1"/>
  <c r="B231" i="15" s="1"/>
  <c r="A231" i="15" a="1"/>
  <c r="A231" i="15" s="1"/>
  <c r="C230" i="15" a="1"/>
  <c r="C230" i="15" s="1"/>
  <c r="B230" i="15" a="1"/>
  <c r="B230" i="15" s="1"/>
  <c r="A230" i="15" a="1"/>
  <c r="A230" i="15" s="1"/>
  <c r="C229" i="15" a="1"/>
  <c r="C229" i="15" s="1"/>
  <c r="B229" i="15" a="1"/>
  <c r="B229" i="15" s="1"/>
  <c r="A229" i="15" a="1"/>
  <c r="A229" i="15" s="1"/>
  <c r="C228" i="15" a="1"/>
  <c r="C228" i="15" s="1"/>
  <c r="B228" i="15" a="1"/>
  <c r="B228" i="15" s="1"/>
  <c r="A228" i="15" a="1"/>
  <c r="A228" i="15" s="1"/>
  <c r="C227" i="15" a="1"/>
  <c r="C227" i="15" s="1"/>
  <c r="B227" i="15" a="1"/>
  <c r="B227" i="15" s="1"/>
  <c r="A227" i="15" a="1"/>
  <c r="A227" i="15" s="1"/>
  <c r="C226" i="15" a="1"/>
  <c r="C226" i="15" s="1"/>
  <c r="B226" i="15" a="1"/>
  <c r="B226" i="15" s="1"/>
  <c r="A226" i="15" a="1"/>
  <c r="A226" i="15" s="1"/>
  <c r="C225" i="15" a="1"/>
  <c r="C225" i="15" s="1"/>
  <c r="B225" i="15" a="1"/>
  <c r="B225" i="15" s="1"/>
  <c r="A225" i="15" a="1"/>
  <c r="A225" i="15" s="1"/>
  <c r="C224" i="15" a="1"/>
  <c r="C224" i="15" s="1"/>
  <c r="B224" i="15" a="1"/>
  <c r="B224" i="15" s="1"/>
  <c r="A224" i="15" a="1"/>
  <c r="A224" i="15" s="1"/>
  <c r="C223" i="15" a="1"/>
  <c r="C223" i="15" s="1"/>
  <c r="B223" i="15" a="1"/>
  <c r="B223" i="15" s="1"/>
  <c r="A223" i="15" a="1"/>
  <c r="A223" i="15" s="1"/>
  <c r="C222" i="15" a="1"/>
  <c r="C222" i="15" s="1"/>
  <c r="B222" i="15" a="1"/>
  <c r="B222" i="15" s="1"/>
  <c r="A222" i="15" a="1"/>
  <c r="A222" i="15" s="1"/>
  <c r="C221" i="15" a="1"/>
  <c r="C221" i="15" s="1"/>
  <c r="B221" i="15" a="1"/>
  <c r="B221" i="15" s="1"/>
  <c r="A221" i="15" a="1"/>
  <c r="A221" i="15" s="1"/>
  <c r="C220" i="15" a="1"/>
  <c r="C220" i="15" s="1"/>
  <c r="B220" i="15" a="1"/>
  <c r="B220" i="15" s="1"/>
  <c r="A220" i="15" a="1"/>
  <c r="A220" i="15" s="1"/>
  <c r="C219" i="15" a="1"/>
  <c r="C219" i="15" s="1"/>
  <c r="B219" i="15" a="1"/>
  <c r="B219" i="15" s="1"/>
  <c r="A219" i="15" a="1"/>
  <c r="A219" i="15" s="1"/>
  <c r="C218" i="15" a="1"/>
  <c r="C218" i="15" s="1"/>
  <c r="B218" i="15" a="1"/>
  <c r="B218" i="15" s="1"/>
  <c r="A218" i="15" a="1"/>
  <c r="A218" i="15" s="1"/>
  <c r="C217" i="15" a="1"/>
  <c r="C217" i="15" s="1"/>
  <c r="B217" i="15" a="1"/>
  <c r="B217" i="15" s="1"/>
  <c r="A217" i="15" a="1"/>
  <c r="A217" i="15" s="1"/>
  <c r="C216" i="15" a="1"/>
  <c r="C216" i="15" s="1"/>
  <c r="B216" i="15" a="1"/>
  <c r="B216" i="15" s="1"/>
  <c r="A216" i="15" a="1"/>
  <c r="A216" i="15" s="1"/>
  <c r="C215" i="15" a="1"/>
  <c r="C215" i="15" s="1"/>
  <c r="B215" i="15" a="1"/>
  <c r="B215" i="15" s="1"/>
  <c r="A215" i="15" a="1"/>
  <c r="A215" i="15" s="1"/>
  <c r="C214" i="15" a="1"/>
  <c r="C214" i="15" s="1"/>
  <c r="B214" i="15" a="1"/>
  <c r="B214" i="15" s="1"/>
  <c r="A214" i="15" a="1"/>
  <c r="A214" i="15" s="1"/>
  <c r="C213" i="15" a="1"/>
  <c r="C213" i="15" s="1"/>
  <c r="B213" i="15" a="1"/>
  <c r="B213" i="15" s="1"/>
  <c r="A213" i="15" a="1"/>
  <c r="A213" i="15" s="1"/>
  <c r="C212" i="15" a="1"/>
  <c r="C212" i="15" s="1"/>
  <c r="B212" i="15" a="1"/>
  <c r="B212" i="15" s="1"/>
  <c r="A212" i="15" a="1"/>
  <c r="A212" i="15" s="1"/>
  <c r="C211" i="15" a="1"/>
  <c r="C211" i="15" s="1"/>
  <c r="B211" i="15" a="1"/>
  <c r="B211" i="15" s="1"/>
  <c r="A211" i="15" a="1"/>
  <c r="A211" i="15" s="1"/>
  <c r="C210" i="15" a="1"/>
  <c r="C210" i="15" s="1"/>
  <c r="B210" i="15" a="1"/>
  <c r="B210" i="15" s="1"/>
  <c r="A210" i="15" a="1"/>
  <c r="A210" i="15" s="1"/>
  <c r="C209" i="15" a="1"/>
  <c r="C209" i="15" s="1"/>
  <c r="B209" i="15" a="1"/>
  <c r="B209" i="15" s="1"/>
  <c r="A209" i="15" a="1"/>
  <c r="A209" i="15" s="1"/>
  <c r="C205" i="15" a="1"/>
  <c r="C205" i="15" s="1"/>
  <c r="B205" i="15" a="1"/>
  <c r="B205" i="15" s="1"/>
  <c r="A205" i="15" a="1"/>
  <c r="A205" i="15" s="1"/>
  <c r="C204" i="15" a="1"/>
  <c r="C204" i="15" s="1"/>
  <c r="B204" i="15" a="1"/>
  <c r="B204" i="15" s="1"/>
  <c r="A204" i="15" a="1"/>
  <c r="A204" i="15" s="1"/>
  <c r="C203" i="15" a="1"/>
  <c r="C203" i="15" s="1"/>
  <c r="B203" i="15" a="1"/>
  <c r="B203" i="15" s="1"/>
  <c r="A203" i="15" a="1"/>
  <c r="A203" i="15" s="1"/>
  <c r="C202" i="15" a="1"/>
  <c r="C202" i="15" s="1"/>
  <c r="B202" i="15" a="1"/>
  <c r="B202" i="15" s="1"/>
  <c r="A202" i="15" a="1"/>
  <c r="A202" i="15" s="1"/>
  <c r="C201" i="15" a="1"/>
  <c r="C201" i="15" s="1"/>
  <c r="B201" i="15" a="1"/>
  <c r="B201" i="15" s="1"/>
  <c r="A201" i="15" a="1"/>
  <c r="A201" i="15" s="1"/>
  <c r="C200" i="15" a="1"/>
  <c r="C200" i="15" s="1"/>
  <c r="B200" i="15" a="1"/>
  <c r="B200" i="15" s="1"/>
  <c r="A200" i="15" a="1"/>
  <c r="A200" i="15" s="1"/>
  <c r="C199" i="15" a="1"/>
  <c r="C199" i="15" s="1"/>
  <c r="B199" i="15" a="1"/>
  <c r="B199" i="15" s="1"/>
  <c r="A199" i="15" a="1"/>
  <c r="A199" i="15" s="1"/>
  <c r="C198" i="15" a="1"/>
  <c r="C198" i="15" s="1"/>
  <c r="B198" i="15" a="1"/>
  <c r="B198" i="15" s="1"/>
  <c r="A198" i="15" a="1"/>
  <c r="A198" i="15" s="1"/>
  <c r="C197" i="15" a="1"/>
  <c r="C197" i="15" s="1"/>
  <c r="B197" i="15" a="1"/>
  <c r="B197" i="15" s="1"/>
  <c r="A197" i="15" a="1"/>
  <c r="A197" i="15" s="1"/>
  <c r="C196" i="15" a="1"/>
  <c r="C196" i="15" s="1"/>
  <c r="B196" i="15" a="1"/>
  <c r="B196" i="15" s="1"/>
  <c r="A196" i="15" a="1"/>
  <c r="A196" i="15" s="1"/>
  <c r="C195" i="15" a="1"/>
  <c r="C195" i="15" s="1"/>
  <c r="B195" i="15" a="1"/>
  <c r="B195" i="15" s="1"/>
  <c r="A195" i="15" a="1"/>
  <c r="A195" i="15" s="1"/>
  <c r="C194" i="15" a="1"/>
  <c r="C194" i="15" s="1"/>
  <c r="B194" i="15" a="1"/>
  <c r="B194" i="15" s="1"/>
  <c r="A194" i="15" a="1"/>
  <c r="A194" i="15" s="1"/>
  <c r="C193" i="15" a="1"/>
  <c r="C193" i="15" s="1"/>
  <c r="B193" i="15" a="1"/>
  <c r="B193" i="15" s="1"/>
  <c r="A193" i="15" a="1"/>
  <c r="A193" i="15" s="1"/>
  <c r="C192" i="15" a="1"/>
  <c r="C192" i="15" s="1"/>
  <c r="B192" i="15" a="1"/>
  <c r="B192" i="15" s="1"/>
  <c r="A192" i="15" a="1"/>
  <c r="A192" i="15" s="1"/>
  <c r="C191" i="15" a="1"/>
  <c r="C191" i="15" s="1"/>
  <c r="B191" i="15" a="1"/>
  <c r="B191" i="15" s="1"/>
  <c r="A191" i="15" a="1"/>
  <c r="A191" i="15" s="1"/>
  <c r="C190" i="15" a="1"/>
  <c r="C190" i="15" s="1"/>
  <c r="B190" i="15" a="1"/>
  <c r="B190" i="15" s="1"/>
  <c r="A190" i="15" a="1"/>
  <c r="A190" i="15" s="1"/>
  <c r="C189" i="15" a="1"/>
  <c r="C189" i="15" s="1"/>
  <c r="B189" i="15" a="1"/>
  <c r="B189" i="15" s="1"/>
  <c r="A189" i="15" a="1"/>
  <c r="A189" i="15" s="1"/>
  <c r="C188" i="15" a="1"/>
  <c r="C188" i="15" s="1"/>
  <c r="B188" i="15" a="1"/>
  <c r="B188" i="15" s="1"/>
  <c r="A188" i="15" a="1"/>
  <c r="A188" i="15" s="1"/>
  <c r="C187" i="15" a="1"/>
  <c r="C187" i="15" s="1"/>
  <c r="B187" i="15" a="1"/>
  <c r="B187" i="15" s="1"/>
  <c r="A187" i="15" a="1"/>
  <c r="A187" i="15" s="1"/>
  <c r="C186" i="15" a="1"/>
  <c r="C186" i="15" s="1"/>
  <c r="B186" i="15" a="1"/>
  <c r="B186" i="15" s="1"/>
  <c r="A186" i="15" a="1"/>
  <c r="A186" i="15" s="1"/>
  <c r="C185" i="15" a="1"/>
  <c r="C185" i="15" s="1"/>
  <c r="B185" i="15" a="1"/>
  <c r="B185" i="15" s="1"/>
  <c r="A185" i="15" a="1"/>
  <c r="A185" i="15" s="1"/>
  <c r="C184" i="15" a="1"/>
  <c r="C184" i="15" s="1"/>
  <c r="B184" i="15" a="1"/>
  <c r="B184" i="15" s="1"/>
  <c r="A184" i="15" a="1"/>
  <c r="A184" i="15" s="1"/>
  <c r="C183" i="15" a="1"/>
  <c r="C183" i="15" s="1"/>
  <c r="B183" i="15" a="1"/>
  <c r="B183" i="15" s="1"/>
  <c r="A183" i="15" a="1"/>
  <c r="A183" i="15" s="1"/>
  <c r="C182" i="15" a="1"/>
  <c r="C182" i="15" s="1"/>
  <c r="B182" i="15" a="1"/>
  <c r="B182" i="15" s="1"/>
  <c r="A182" i="15" a="1"/>
  <c r="A182" i="15" s="1"/>
  <c r="C181" i="15" a="1"/>
  <c r="C181" i="15" s="1"/>
  <c r="B181" i="15" a="1"/>
  <c r="B181" i="15" s="1"/>
  <c r="A181" i="15" a="1"/>
  <c r="A181" i="15" s="1"/>
  <c r="C180" i="15" a="1"/>
  <c r="C180" i="15" s="1"/>
  <c r="B180" i="15" a="1"/>
  <c r="B180" i="15" s="1"/>
  <c r="A180" i="15" a="1"/>
  <c r="A180" i="15" s="1"/>
  <c r="C179" i="15" a="1"/>
  <c r="C179" i="15" s="1"/>
  <c r="B179" i="15" a="1"/>
  <c r="B179" i="15" s="1"/>
  <c r="A179" i="15" a="1"/>
  <c r="A179" i="15" s="1"/>
  <c r="C178" i="15" a="1"/>
  <c r="C178" i="15" s="1"/>
  <c r="B178" i="15" a="1"/>
  <c r="B178" i="15" s="1"/>
  <c r="A178" i="15" a="1"/>
  <c r="A178" i="15" s="1"/>
  <c r="C177" i="15" a="1"/>
  <c r="C177" i="15" s="1"/>
  <c r="B177" i="15" a="1"/>
  <c r="B177" i="15" s="1"/>
  <c r="A177" i="15" a="1"/>
  <c r="A177" i="15" s="1"/>
  <c r="C176" i="15" a="1"/>
  <c r="C176" i="15" s="1"/>
  <c r="B176" i="15" a="1"/>
  <c r="B176" i="15" s="1"/>
  <c r="A176" i="15" a="1"/>
  <c r="A176" i="15" s="1"/>
  <c r="C175" i="15" a="1"/>
  <c r="C175" i="15" s="1"/>
  <c r="B175" i="15" a="1"/>
  <c r="B175" i="15" s="1"/>
  <c r="A175" i="15" a="1"/>
  <c r="A175" i="15" s="1"/>
  <c r="C174" i="15" a="1"/>
  <c r="C174" i="15" s="1"/>
  <c r="B174" i="15" a="1"/>
  <c r="B174" i="15" s="1"/>
  <c r="A174" i="15" a="1"/>
  <c r="A174" i="15" s="1"/>
  <c r="C173" i="15" a="1"/>
  <c r="C173" i="15" s="1"/>
  <c r="B173" i="15" a="1"/>
  <c r="B173" i="15" s="1"/>
  <c r="A173" i="15" a="1"/>
  <c r="A173" i="15" s="1"/>
  <c r="C172" i="15" a="1"/>
  <c r="C172" i="15" s="1"/>
  <c r="B172" i="15" a="1"/>
  <c r="B172" i="15" s="1"/>
  <c r="A172" i="15" a="1"/>
  <c r="A172" i="15" s="1"/>
  <c r="C171" i="15" a="1"/>
  <c r="C171" i="15" s="1"/>
  <c r="B171" i="15" a="1"/>
  <c r="B171" i="15" s="1"/>
  <c r="A171" i="15" a="1"/>
  <c r="A171" i="15" s="1"/>
  <c r="C167" i="15" a="1"/>
  <c r="C167" i="15" s="1"/>
  <c r="B167" i="15" a="1"/>
  <c r="B167" i="15" s="1"/>
  <c r="A167" i="15" a="1"/>
  <c r="A167" i="15" s="1"/>
  <c r="C166" i="15" a="1"/>
  <c r="C166" i="15" s="1"/>
  <c r="B166" i="15" a="1"/>
  <c r="B166" i="15" s="1"/>
  <c r="A166" i="15" a="1"/>
  <c r="A166" i="15" s="1"/>
  <c r="C165" i="15" a="1"/>
  <c r="C165" i="15" s="1"/>
  <c r="B165" i="15" a="1"/>
  <c r="B165" i="15" s="1"/>
  <c r="A165" i="15" a="1"/>
  <c r="A165" i="15" s="1"/>
  <c r="C164" i="15" a="1"/>
  <c r="C164" i="15" s="1"/>
  <c r="B164" i="15" a="1"/>
  <c r="B164" i="15" s="1"/>
  <c r="A164" i="15" a="1"/>
  <c r="A164" i="15" s="1"/>
  <c r="C163" i="15" a="1"/>
  <c r="C163" i="15" s="1"/>
  <c r="B163" i="15" a="1"/>
  <c r="B163" i="15" s="1"/>
  <c r="A163" i="15" a="1"/>
  <c r="A163" i="15" s="1"/>
  <c r="C162" i="15" a="1"/>
  <c r="C162" i="15" s="1"/>
  <c r="B162" i="15" a="1"/>
  <c r="B162" i="15" s="1"/>
  <c r="A162" i="15" a="1"/>
  <c r="A162" i="15" s="1"/>
  <c r="C161" i="15" a="1"/>
  <c r="C161" i="15" s="1"/>
  <c r="B161" i="15" a="1"/>
  <c r="B161" i="15" s="1"/>
  <c r="A161" i="15" a="1"/>
  <c r="A161" i="15" s="1"/>
  <c r="C160" i="15" a="1"/>
  <c r="C160" i="15" s="1"/>
  <c r="B160" i="15" a="1"/>
  <c r="B160" i="15" s="1"/>
  <c r="A160" i="15" a="1"/>
  <c r="A160" i="15" s="1"/>
  <c r="C159" i="15" a="1"/>
  <c r="C159" i="15" s="1"/>
  <c r="B159" i="15" a="1"/>
  <c r="B159" i="15" s="1"/>
  <c r="A159" i="15" a="1"/>
  <c r="A159" i="15" s="1"/>
  <c r="C158" i="15" a="1"/>
  <c r="C158" i="15" s="1"/>
  <c r="B158" i="15" a="1"/>
  <c r="B158" i="15" s="1"/>
  <c r="A158" i="15" a="1"/>
  <c r="A158" i="15" s="1"/>
  <c r="C157" i="15" a="1"/>
  <c r="C157" i="15" s="1"/>
  <c r="B157" i="15" a="1"/>
  <c r="B157" i="15" s="1"/>
  <c r="A157" i="15" a="1"/>
  <c r="A157" i="15" s="1"/>
  <c r="C156" i="15" a="1"/>
  <c r="C156" i="15" s="1"/>
  <c r="B156" i="15" a="1"/>
  <c r="B156" i="15" s="1"/>
  <c r="A156" i="15" a="1"/>
  <c r="A156" i="15" s="1"/>
  <c r="C155" i="15" a="1"/>
  <c r="C155" i="15" s="1"/>
  <c r="B155" i="15" a="1"/>
  <c r="B155" i="15" s="1"/>
  <c r="A155" i="15" a="1"/>
  <c r="A155" i="15" s="1"/>
  <c r="C154" i="15" a="1"/>
  <c r="C154" i="15" s="1"/>
  <c r="B154" i="15" a="1"/>
  <c r="B154" i="15" s="1"/>
  <c r="A154" i="15" a="1"/>
  <c r="A154" i="15" s="1"/>
  <c r="C153" i="15" a="1"/>
  <c r="C153" i="15" s="1"/>
  <c r="B153" i="15" a="1"/>
  <c r="B153" i="15" s="1"/>
  <c r="A153" i="15" a="1"/>
  <c r="A153" i="15" s="1"/>
  <c r="C152" i="15" a="1"/>
  <c r="C152" i="15" s="1"/>
  <c r="B152" i="15" a="1"/>
  <c r="B152" i="15" s="1"/>
  <c r="A152" i="15" a="1"/>
  <c r="A152" i="15" s="1"/>
  <c r="C151" i="15" a="1"/>
  <c r="C151" i="15" s="1"/>
  <c r="B151" i="15" a="1"/>
  <c r="B151" i="15" s="1"/>
  <c r="A151" i="15" a="1"/>
  <c r="A151" i="15" s="1"/>
  <c r="C150" i="15" a="1"/>
  <c r="C150" i="15" s="1"/>
  <c r="B150" i="15" a="1"/>
  <c r="B150" i="15" s="1"/>
  <c r="A150" i="15" a="1"/>
  <c r="A150" i="15" s="1"/>
  <c r="C149" i="15" a="1"/>
  <c r="C149" i="15" s="1"/>
  <c r="B149" i="15" a="1"/>
  <c r="B149" i="15" s="1"/>
  <c r="A149" i="15" a="1"/>
  <c r="A149" i="15" s="1"/>
  <c r="C148" i="15" a="1"/>
  <c r="C148" i="15" s="1"/>
  <c r="B148" i="15" a="1"/>
  <c r="B148" i="15" s="1"/>
  <c r="A148" i="15" a="1"/>
  <c r="A148" i="15" s="1"/>
  <c r="C147" i="15" a="1"/>
  <c r="C147" i="15" s="1"/>
  <c r="B147" i="15" a="1"/>
  <c r="B147" i="15" s="1"/>
  <c r="A147" i="15" a="1"/>
  <c r="A147" i="15" s="1"/>
  <c r="C146" i="15" a="1"/>
  <c r="C146" i="15" s="1"/>
  <c r="B146" i="15" a="1"/>
  <c r="B146" i="15" s="1"/>
  <c r="A146" i="15" a="1"/>
  <c r="A146" i="15" s="1"/>
  <c r="C145" i="15" a="1"/>
  <c r="C145" i="15" s="1"/>
  <c r="B145" i="15" a="1"/>
  <c r="B145" i="15" s="1"/>
  <c r="A145" i="15" a="1"/>
  <c r="A145" i="15" s="1"/>
  <c r="C144" i="15" a="1"/>
  <c r="C144" i="15" s="1"/>
  <c r="B144" i="15" a="1"/>
  <c r="B144" i="15" s="1"/>
  <c r="A144" i="15" a="1"/>
  <c r="A144" i="15" s="1"/>
  <c r="C143" i="15" a="1"/>
  <c r="C143" i="15" s="1"/>
  <c r="B143" i="15" a="1"/>
  <c r="B143" i="15" s="1"/>
  <c r="A143" i="15" a="1"/>
  <c r="A143" i="15" s="1"/>
  <c r="C142" i="15" a="1"/>
  <c r="C142" i="15" s="1"/>
  <c r="B142" i="15" a="1"/>
  <c r="B142" i="15" s="1"/>
  <c r="A142" i="15" a="1"/>
  <c r="A142" i="15" s="1"/>
  <c r="C141" i="15" a="1"/>
  <c r="C141" i="15" s="1"/>
  <c r="B141" i="15" a="1"/>
  <c r="B141" i="15" s="1"/>
  <c r="A141" i="15" a="1"/>
  <c r="A141" i="15" s="1"/>
  <c r="C140" i="15" a="1"/>
  <c r="C140" i="15" s="1"/>
  <c r="B140" i="15" a="1"/>
  <c r="B140" i="15" s="1"/>
  <c r="A140" i="15" a="1"/>
  <c r="A140" i="15" s="1"/>
  <c r="C139" i="15" a="1"/>
  <c r="C139" i="15" s="1"/>
  <c r="B139" i="15" a="1"/>
  <c r="B139" i="15" s="1"/>
  <c r="A139" i="15" a="1"/>
  <c r="A139" i="15" s="1"/>
  <c r="C138" i="15" a="1"/>
  <c r="C138" i="15" s="1"/>
  <c r="B138" i="15" a="1"/>
  <c r="B138" i="15" s="1"/>
  <c r="A138" i="15" a="1"/>
  <c r="A138" i="15" s="1"/>
  <c r="C137" i="15" a="1"/>
  <c r="C137" i="15" s="1"/>
  <c r="B137" i="15" a="1"/>
  <c r="B137" i="15" s="1"/>
  <c r="A137" i="15" a="1"/>
  <c r="A137" i="15" s="1"/>
  <c r="C136" i="15" a="1"/>
  <c r="C136" i="15" s="1"/>
  <c r="B136" i="15" a="1"/>
  <c r="B136" i="15" s="1"/>
  <c r="A136" i="15" a="1"/>
  <c r="A136" i="15" s="1"/>
  <c r="C135" i="15" a="1"/>
  <c r="C135" i="15" s="1"/>
  <c r="B135" i="15" a="1"/>
  <c r="B135" i="15" s="1"/>
  <c r="A135" i="15" a="1"/>
  <c r="A135" i="15" s="1"/>
  <c r="C134" i="15" a="1"/>
  <c r="C134" i="15" s="1"/>
  <c r="B134" i="15" a="1"/>
  <c r="B134" i="15" s="1"/>
  <c r="A134" i="15" a="1"/>
  <c r="A134" i="15" s="1"/>
  <c r="C133" i="15" a="1"/>
  <c r="C133" i="15" s="1"/>
  <c r="B133" i="15" a="1"/>
  <c r="B133" i="15" s="1"/>
  <c r="A133" i="15" a="1"/>
  <c r="A133" i="15" s="1"/>
  <c r="C129" i="15" a="1"/>
  <c r="C129" i="15" s="1"/>
  <c r="B129" i="15" a="1"/>
  <c r="B129" i="15" s="1"/>
  <c r="A129" i="15" a="1"/>
  <c r="A129" i="15" s="1"/>
  <c r="C128" i="15" a="1"/>
  <c r="C128" i="15" s="1"/>
  <c r="B128" i="15" a="1"/>
  <c r="B128" i="15" s="1"/>
  <c r="A128" i="15" a="1"/>
  <c r="A128" i="15" s="1"/>
  <c r="C127" i="15" a="1"/>
  <c r="C127" i="15" s="1"/>
  <c r="B127" i="15" a="1"/>
  <c r="B127" i="15" s="1"/>
  <c r="A127" i="15" a="1"/>
  <c r="A127" i="15" s="1"/>
  <c r="C126" i="15" a="1"/>
  <c r="C126" i="15" s="1"/>
  <c r="B126" i="15" a="1"/>
  <c r="B126" i="15" s="1"/>
  <c r="A126" i="15" a="1"/>
  <c r="A126" i="15" s="1"/>
  <c r="C125" i="15" a="1"/>
  <c r="C125" i="15" s="1"/>
  <c r="B125" i="15" a="1"/>
  <c r="B125" i="15" s="1"/>
  <c r="A125" i="15" a="1"/>
  <c r="A125" i="15" s="1"/>
  <c r="C124" i="15" a="1"/>
  <c r="C124" i="15" s="1"/>
  <c r="B124" i="15" a="1"/>
  <c r="B124" i="15" s="1"/>
  <c r="A124" i="15" a="1"/>
  <c r="A124" i="15" s="1"/>
  <c r="C123" i="15" a="1"/>
  <c r="C123" i="15" s="1"/>
  <c r="B123" i="15" a="1"/>
  <c r="B123" i="15" s="1"/>
  <c r="A123" i="15" a="1"/>
  <c r="A123" i="15" s="1"/>
  <c r="C122" i="15" a="1"/>
  <c r="C122" i="15" s="1"/>
  <c r="B122" i="15" a="1"/>
  <c r="B122" i="15" s="1"/>
  <c r="A122" i="15" a="1"/>
  <c r="A122" i="15" s="1"/>
  <c r="C121" i="15" a="1"/>
  <c r="C121" i="15" s="1"/>
  <c r="B121" i="15" a="1"/>
  <c r="B121" i="15" s="1"/>
  <c r="A121" i="15" a="1"/>
  <c r="A121" i="15" s="1"/>
  <c r="C120" i="15" a="1"/>
  <c r="C120" i="15" s="1"/>
  <c r="B120" i="15" a="1"/>
  <c r="B120" i="15" s="1"/>
  <c r="A120" i="15" a="1"/>
  <c r="A120" i="15" s="1"/>
  <c r="C119" i="15" a="1"/>
  <c r="C119" i="15" s="1"/>
  <c r="B119" i="15" a="1"/>
  <c r="B119" i="15" s="1"/>
  <c r="A119" i="15" a="1"/>
  <c r="A119" i="15" s="1"/>
  <c r="C118" i="15" a="1"/>
  <c r="C118" i="15" s="1"/>
  <c r="B118" i="15" a="1"/>
  <c r="B118" i="15" s="1"/>
  <c r="A118" i="15" a="1"/>
  <c r="A118" i="15" s="1"/>
  <c r="C117" i="15" a="1"/>
  <c r="C117" i="15" s="1"/>
  <c r="B117" i="15" a="1"/>
  <c r="B117" i="15" s="1"/>
  <c r="A117" i="15" a="1"/>
  <c r="A117" i="15" s="1"/>
  <c r="C116" i="15" a="1"/>
  <c r="C116" i="15" s="1"/>
  <c r="B116" i="15" a="1"/>
  <c r="B116" i="15" s="1"/>
  <c r="A116" i="15" a="1"/>
  <c r="A116" i="15" s="1"/>
  <c r="C115" i="15" a="1"/>
  <c r="C115" i="15" s="1"/>
  <c r="B115" i="15" a="1"/>
  <c r="B115" i="15" s="1"/>
  <c r="A115" i="15" a="1"/>
  <c r="A115" i="15" s="1"/>
  <c r="C114" i="15" a="1"/>
  <c r="C114" i="15" s="1"/>
  <c r="B114" i="15" a="1"/>
  <c r="B114" i="15" s="1"/>
  <c r="A114" i="15" a="1"/>
  <c r="A114" i="15" s="1"/>
  <c r="C113" i="15" a="1"/>
  <c r="C113" i="15" s="1"/>
  <c r="B113" i="15" a="1"/>
  <c r="B113" i="15" s="1"/>
  <c r="A113" i="15" a="1"/>
  <c r="A113" i="15" s="1"/>
  <c r="C112" i="15" a="1"/>
  <c r="C112" i="15" s="1"/>
  <c r="B112" i="15" a="1"/>
  <c r="B112" i="15" s="1"/>
  <c r="A112" i="15" a="1"/>
  <c r="A112" i="15" s="1"/>
  <c r="C111" i="15" a="1"/>
  <c r="C111" i="15" s="1"/>
  <c r="B111" i="15" a="1"/>
  <c r="B111" i="15" s="1"/>
  <c r="A111" i="15" a="1"/>
  <c r="A111" i="15" s="1"/>
  <c r="C110" i="15" a="1"/>
  <c r="C110" i="15" s="1"/>
  <c r="B110" i="15" a="1"/>
  <c r="B110" i="15" s="1"/>
  <c r="A110" i="15" a="1"/>
  <c r="A110" i="15" s="1"/>
  <c r="C109" i="15" a="1"/>
  <c r="C109" i="15" s="1"/>
  <c r="B109" i="15" a="1"/>
  <c r="B109" i="15" s="1"/>
  <c r="A109" i="15" a="1"/>
  <c r="A109" i="15" s="1"/>
  <c r="C108" i="15" a="1"/>
  <c r="C108" i="15" s="1"/>
  <c r="B108" i="15" a="1"/>
  <c r="B108" i="15" s="1"/>
  <c r="A108" i="15" a="1"/>
  <c r="A108" i="15" s="1"/>
  <c r="C107" i="15" a="1"/>
  <c r="C107" i="15" s="1"/>
  <c r="B107" i="15" a="1"/>
  <c r="B107" i="15" s="1"/>
  <c r="A107" i="15" a="1"/>
  <c r="A107" i="15" s="1"/>
  <c r="C106" i="15" a="1"/>
  <c r="C106" i="15" s="1"/>
  <c r="B106" i="15" a="1"/>
  <c r="B106" i="15" s="1"/>
  <c r="A106" i="15" a="1"/>
  <c r="A106" i="15" s="1"/>
  <c r="C105" i="15" a="1"/>
  <c r="C105" i="15" s="1"/>
  <c r="B105" i="15" a="1"/>
  <c r="B105" i="15" s="1"/>
  <c r="A105" i="15" a="1"/>
  <c r="A105" i="15" s="1"/>
  <c r="C104" i="15" a="1"/>
  <c r="C104" i="15" s="1"/>
  <c r="B104" i="15" a="1"/>
  <c r="B104" i="15" s="1"/>
  <c r="A104" i="15" a="1"/>
  <c r="A104" i="15" s="1"/>
  <c r="C103" i="15" a="1"/>
  <c r="C103" i="15" s="1"/>
  <c r="B103" i="15" a="1"/>
  <c r="B103" i="15" s="1"/>
  <c r="A103" i="15" a="1"/>
  <c r="A103" i="15" s="1"/>
  <c r="C102" i="15" a="1"/>
  <c r="C102" i="15" s="1"/>
  <c r="B102" i="15" a="1"/>
  <c r="B102" i="15" s="1"/>
  <c r="A102" i="15" a="1"/>
  <c r="A102" i="15" s="1"/>
  <c r="C101" i="15" a="1"/>
  <c r="C101" i="15" s="1"/>
  <c r="B101" i="15" a="1"/>
  <c r="B101" i="15" s="1"/>
  <c r="A101" i="15" a="1"/>
  <c r="A101" i="15" s="1"/>
  <c r="C100" i="15" a="1"/>
  <c r="C100" i="15" s="1"/>
  <c r="B100" i="15" a="1"/>
  <c r="B100" i="15" s="1"/>
  <c r="A100" i="15" a="1"/>
  <c r="A100" i="15" s="1"/>
  <c r="C99" i="15" a="1"/>
  <c r="C99" i="15" s="1"/>
  <c r="B99" i="15" a="1"/>
  <c r="B99" i="15" s="1"/>
  <c r="A99" i="15" a="1"/>
  <c r="A99" i="15" s="1"/>
  <c r="C98" i="15" a="1"/>
  <c r="C98" i="15" s="1"/>
  <c r="B98" i="15" a="1"/>
  <c r="B98" i="15" s="1"/>
  <c r="A98" i="15" a="1"/>
  <c r="A98" i="15" s="1"/>
  <c r="C97" i="15" a="1"/>
  <c r="C97" i="15" s="1"/>
  <c r="B97" i="15" a="1"/>
  <c r="B97" i="15" s="1"/>
  <c r="A97" i="15" a="1"/>
  <c r="A97" i="15" s="1"/>
  <c r="C96" i="15" a="1"/>
  <c r="C96" i="15" s="1"/>
  <c r="B96" i="15" a="1"/>
  <c r="B96" i="15" s="1"/>
  <c r="A96" i="15" a="1"/>
  <c r="A96" i="15" s="1"/>
  <c r="C95" i="15" a="1"/>
  <c r="C95" i="15" s="1"/>
  <c r="B95" i="15" a="1"/>
  <c r="B95" i="15" s="1"/>
  <c r="A95" i="15" a="1"/>
  <c r="A95" i="15" s="1"/>
  <c r="C91" i="15" a="1"/>
  <c r="C91" i="15" s="1"/>
  <c r="B91" i="15" a="1"/>
  <c r="B91" i="15" s="1"/>
  <c r="A91" i="15" a="1"/>
  <c r="A91" i="15" s="1"/>
  <c r="C90" i="15" a="1"/>
  <c r="C90" i="15" s="1"/>
  <c r="B90" i="15" a="1"/>
  <c r="B90" i="15" s="1"/>
  <c r="A90" i="15" a="1"/>
  <c r="A90" i="15" s="1"/>
  <c r="C89" i="15" a="1"/>
  <c r="C89" i="15" s="1"/>
  <c r="B89" i="15" a="1"/>
  <c r="B89" i="15" s="1"/>
  <c r="A89" i="15" a="1"/>
  <c r="A89" i="15" s="1"/>
  <c r="C88" i="15" a="1"/>
  <c r="C88" i="15" s="1"/>
  <c r="B88" i="15" a="1"/>
  <c r="B88" i="15" s="1"/>
  <c r="A88" i="15" a="1"/>
  <c r="A88" i="15" s="1"/>
  <c r="C87" i="15" a="1"/>
  <c r="C87" i="15" s="1"/>
  <c r="B87" i="15" a="1"/>
  <c r="B87" i="15" s="1"/>
  <c r="A87" i="15" a="1"/>
  <c r="A87" i="15" s="1"/>
  <c r="C86" i="15" a="1"/>
  <c r="C86" i="15" s="1"/>
  <c r="B86" i="15" a="1"/>
  <c r="B86" i="15" s="1"/>
  <c r="A86" i="15" a="1"/>
  <c r="A86" i="15" s="1"/>
  <c r="C85" i="15" a="1"/>
  <c r="C85" i="15" s="1"/>
  <c r="B85" i="15" a="1"/>
  <c r="B85" i="15" s="1"/>
  <c r="A85" i="15" a="1"/>
  <c r="A85" i="15" s="1"/>
  <c r="C84" i="15" a="1"/>
  <c r="C84" i="15" s="1"/>
  <c r="B84" i="15" a="1"/>
  <c r="B84" i="15" s="1"/>
  <c r="A84" i="15" a="1"/>
  <c r="A84" i="15" s="1"/>
  <c r="C83" i="15" a="1"/>
  <c r="C83" i="15" s="1"/>
  <c r="B83" i="15" a="1"/>
  <c r="B83" i="15" s="1"/>
  <c r="A83" i="15" a="1"/>
  <c r="A83" i="15" s="1"/>
  <c r="C82" i="15" a="1"/>
  <c r="C82" i="15" s="1"/>
  <c r="B82" i="15" a="1"/>
  <c r="B82" i="15" s="1"/>
  <c r="A82" i="15" a="1"/>
  <c r="A82" i="15" s="1"/>
  <c r="C81" i="15" a="1"/>
  <c r="C81" i="15" s="1"/>
  <c r="B81" i="15" a="1"/>
  <c r="B81" i="15" s="1"/>
  <c r="A81" i="15" a="1"/>
  <c r="A81" i="15" s="1"/>
  <c r="C80" i="15" a="1"/>
  <c r="C80" i="15" s="1"/>
  <c r="B80" i="15" a="1"/>
  <c r="B80" i="15" s="1"/>
  <c r="A80" i="15" a="1"/>
  <c r="A80" i="15" s="1"/>
  <c r="C79" i="15" a="1"/>
  <c r="C79" i="15" s="1"/>
  <c r="B79" i="15" a="1"/>
  <c r="B79" i="15" s="1"/>
  <c r="A79" i="15" a="1"/>
  <c r="A79" i="15" s="1"/>
  <c r="C78" i="15" a="1"/>
  <c r="C78" i="15" s="1"/>
  <c r="B78" i="15" a="1"/>
  <c r="B78" i="15" s="1"/>
  <c r="A78" i="15" a="1"/>
  <c r="A78" i="15" s="1"/>
  <c r="C77" i="15" a="1"/>
  <c r="C77" i="15" s="1"/>
  <c r="B77" i="15" a="1"/>
  <c r="B77" i="15" s="1"/>
  <c r="A77" i="15" a="1"/>
  <c r="A77" i="15" s="1"/>
  <c r="C76" i="15" a="1"/>
  <c r="C76" i="15" s="1"/>
  <c r="B76" i="15" a="1"/>
  <c r="B76" i="15" s="1"/>
  <c r="A76" i="15" a="1"/>
  <c r="A76" i="15" s="1"/>
  <c r="C75" i="15" a="1"/>
  <c r="C75" i="15" s="1"/>
  <c r="B75" i="15" a="1"/>
  <c r="B75" i="15" s="1"/>
  <c r="A75" i="15" a="1"/>
  <c r="A75" i="15" s="1"/>
  <c r="C74" i="15" a="1"/>
  <c r="C74" i="15" s="1"/>
  <c r="B74" i="15" a="1"/>
  <c r="B74" i="15" s="1"/>
  <c r="A74" i="15" a="1"/>
  <c r="A74" i="15" s="1"/>
  <c r="C73" i="15" a="1"/>
  <c r="C73" i="15" s="1"/>
  <c r="B73" i="15" a="1"/>
  <c r="B73" i="15" s="1"/>
  <c r="A73" i="15" a="1"/>
  <c r="A73" i="15" s="1"/>
  <c r="C72" i="15" a="1"/>
  <c r="C72" i="15" s="1"/>
  <c r="B72" i="15" a="1"/>
  <c r="B72" i="15" s="1"/>
  <c r="A72" i="15" a="1"/>
  <c r="A72" i="15" s="1"/>
  <c r="C71" i="15" a="1"/>
  <c r="C71" i="15" s="1"/>
  <c r="B71" i="15" a="1"/>
  <c r="B71" i="15" s="1"/>
  <c r="A71" i="15" a="1"/>
  <c r="A71" i="15" s="1"/>
  <c r="C70" i="15" a="1"/>
  <c r="C70" i="15" s="1"/>
  <c r="B70" i="15" a="1"/>
  <c r="B70" i="15" s="1"/>
  <c r="A70" i="15" a="1"/>
  <c r="A70" i="15" s="1"/>
  <c r="C69" i="15" a="1"/>
  <c r="C69" i="15" s="1"/>
  <c r="B69" i="15" a="1"/>
  <c r="B69" i="15" s="1"/>
  <c r="A69" i="15" a="1"/>
  <c r="A69" i="15" s="1"/>
  <c r="C68" i="15" a="1"/>
  <c r="C68" i="15" s="1"/>
  <c r="B68" i="15" a="1"/>
  <c r="B68" i="15" s="1"/>
  <c r="A68" i="15" a="1"/>
  <c r="A68" i="15" s="1"/>
  <c r="C67" i="15" a="1"/>
  <c r="C67" i="15" s="1"/>
  <c r="B67" i="15" a="1"/>
  <c r="B67" i="15" s="1"/>
  <c r="A67" i="15" a="1"/>
  <c r="A67" i="15" s="1"/>
  <c r="C66" i="15" a="1"/>
  <c r="C66" i="15" s="1"/>
  <c r="B66" i="15" a="1"/>
  <c r="B66" i="15" s="1"/>
  <c r="A66" i="15" a="1"/>
  <c r="A66" i="15" s="1"/>
  <c r="C65" i="15" a="1"/>
  <c r="C65" i="15" s="1"/>
  <c r="B65" i="15" a="1"/>
  <c r="B65" i="15" s="1"/>
  <c r="A65" i="15" a="1"/>
  <c r="A65" i="15" s="1"/>
  <c r="C64" i="15" a="1"/>
  <c r="C64" i="15" s="1"/>
  <c r="B64" i="15" a="1"/>
  <c r="B64" i="15" s="1"/>
  <c r="A64" i="15" a="1"/>
  <c r="A64" i="15" s="1"/>
  <c r="C63" i="15" a="1"/>
  <c r="C63" i="15" s="1"/>
  <c r="B63" i="15" a="1"/>
  <c r="B63" i="15" s="1"/>
  <c r="A63" i="15" a="1"/>
  <c r="A63" i="15" s="1"/>
  <c r="C62" i="15" a="1"/>
  <c r="C62" i="15" s="1"/>
  <c r="B62" i="15" a="1"/>
  <c r="B62" i="15" s="1"/>
  <c r="A62" i="15" a="1"/>
  <c r="A62" i="15" s="1"/>
  <c r="C61" i="15" a="1"/>
  <c r="C61" i="15" s="1"/>
  <c r="B61" i="15" a="1"/>
  <c r="B61" i="15" s="1"/>
  <c r="A61" i="15" a="1"/>
  <c r="A61" i="15" s="1"/>
  <c r="C60" i="15" a="1"/>
  <c r="C60" i="15" s="1"/>
  <c r="B60" i="15" a="1"/>
  <c r="B60" i="15" s="1"/>
  <c r="A60" i="15" a="1"/>
  <c r="A60" i="15" s="1"/>
  <c r="C59" i="15" a="1"/>
  <c r="C59" i="15" s="1"/>
  <c r="B59" i="15" a="1"/>
  <c r="B59" i="15" s="1"/>
  <c r="A59" i="15" a="1"/>
  <c r="A59" i="15" s="1"/>
  <c r="C58" i="15" a="1"/>
  <c r="C58" i="15" s="1"/>
  <c r="B58" i="15" a="1"/>
  <c r="B58" i="15" s="1"/>
  <c r="A58" i="15" a="1"/>
  <c r="A58" i="15" s="1"/>
  <c r="C57" i="15" a="1"/>
  <c r="C57" i="15" s="1"/>
  <c r="B57" i="15" a="1"/>
  <c r="B57" i="15" s="1"/>
  <c r="A57" i="15" a="1"/>
  <c r="A57" i="15" s="1"/>
  <c r="C53" i="15" a="1"/>
  <c r="C53" i="15" s="1"/>
  <c r="B53" i="15" a="1"/>
  <c r="B53" i="15" s="1"/>
  <c r="A53" i="15" a="1"/>
  <c r="A53" i="15" s="1"/>
  <c r="C52" i="15" a="1"/>
  <c r="C52" i="15" s="1"/>
  <c r="B52" i="15" a="1"/>
  <c r="B52" i="15" s="1"/>
  <c r="A52" i="15" a="1"/>
  <c r="A52" i="15" s="1"/>
  <c r="C51" i="15" a="1"/>
  <c r="C51" i="15" s="1"/>
  <c r="B51" i="15" a="1"/>
  <c r="B51" i="15" s="1"/>
  <c r="A51" i="15" a="1"/>
  <c r="A51" i="15" s="1"/>
  <c r="C50" i="15" a="1"/>
  <c r="C50" i="15" s="1"/>
  <c r="B50" i="15" a="1"/>
  <c r="B50" i="15" s="1"/>
  <c r="A50" i="15" a="1"/>
  <c r="A50" i="15" s="1"/>
  <c r="C49" i="15" a="1"/>
  <c r="C49" i="15" s="1"/>
  <c r="B49" i="15" a="1"/>
  <c r="B49" i="15" s="1"/>
  <c r="A49" i="15" a="1"/>
  <c r="A49" i="15" s="1"/>
  <c r="C48" i="15" a="1"/>
  <c r="C48" i="15" s="1"/>
  <c r="B48" i="15" a="1"/>
  <c r="B48" i="15" s="1"/>
  <c r="A48" i="15" a="1"/>
  <c r="A48" i="15" s="1"/>
  <c r="C47" i="15" a="1"/>
  <c r="C47" i="15" s="1"/>
  <c r="B47" i="15" a="1"/>
  <c r="B47" i="15" s="1"/>
  <c r="A47" i="15" a="1"/>
  <c r="A47" i="15" s="1"/>
  <c r="C46" i="15" a="1"/>
  <c r="C46" i="15" s="1"/>
  <c r="B46" i="15" a="1"/>
  <c r="B46" i="15" s="1"/>
  <c r="A46" i="15" a="1"/>
  <c r="A46" i="15" s="1"/>
  <c r="C45" i="15" a="1"/>
  <c r="C45" i="15" s="1"/>
  <c r="B45" i="15" a="1"/>
  <c r="B45" i="15" s="1"/>
  <c r="A45" i="15" a="1"/>
  <c r="A45" i="15" s="1"/>
  <c r="C44" i="15" a="1"/>
  <c r="C44" i="15" s="1"/>
  <c r="B44" i="15" a="1"/>
  <c r="B44" i="15" s="1"/>
  <c r="A44" i="15" a="1"/>
  <c r="A44" i="15" s="1"/>
  <c r="C43" i="15" a="1"/>
  <c r="C43" i="15" s="1"/>
  <c r="B43" i="15" a="1"/>
  <c r="B43" i="15" s="1"/>
  <c r="A43" i="15" a="1"/>
  <c r="A43" i="15" s="1"/>
  <c r="C42" i="15" a="1"/>
  <c r="C42" i="15" s="1"/>
  <c r="B42" i="15" a="1"/>
  <c r="B42" i="15" s="1"/>
  <c r="A42" i="15" a="1"/>
  <c r="A42" i="15" s="1"/>
  <c r="C41" i="15" a="1"/>
  <c r="C41" i="15" s="1"/>
  <c r="B41" i="15" a="1"/>
  <c r="B41" i="15" s="1"/>
  <c r="A41" i="15" a="1"/>
  <c r="A41" i="15" s="1"/>
  <c r="C40" i="15" a="1"/>
  <c r="C40" i="15" s="1"/>
  <c r="B40" i="15" a="1"/>
  <c r="B40" i="15" s="1"/>
  <c r="A40" i="15" a="1"/>
  <c r="A40" i="15" s="1"/>
  <c r="C39" i="15" a="1"/>
  <c r="C39" i="15" s="1"/>
  <c r="B39" i="15" a="1"/>
  <c r="B39" i="15" s="1"/>
  <c r="A39" i="15" a="1"/>
  <c r="A39" i="15" s="1"/>
  <c r="C38" i="15" a="1"/>
  <c r="C38" i="15" s="1"/>
  <c r="B38" i="15" a="1"/>
  <c r="B38" i="15" s="1"/>
  <c r="A38" i="15" a="1"/>
  <c r="A38" i="15" s="1"/>
  <c r="C37" i="15" a="1"/>
  <c r="C37" i="15" s="1"/>
  <c r="B37" i="15" a="1"/>
  <c r="B37" i="15" s="1"/>
  <c r="A37" i="15" a="1"/>
  <c r="A37" i="15" s="1"/>
  <c r="C36" i="15" a="1"/>
  <c r="C36" i="15" s="1"/>
  <c r="B36" i="15" a="1"/>
  <c r="B36" i="15" s="1"/>
  <c r="A36" i="15" a="1"/>
  <c r="A36" i="15" s="1"/>
  <c r="C35" i="15" a="1"/>
  <c r="C35" i="15" s="1"/>
  <c r="B35" i="15" a="1"/>
  <c r="B35" i="15" s="1"/>
  <c r="A35" i="15" a="1"/>
  <c r="A35" i="15" s="1"/>
  <c r="C34" i="15" a="1"/>
  <c r="C34" i="15" s="1"/>
  <c r="B34" i="15" a="1"/>
  <c r="B34" i="15" s="1"/>
  <c r="A34" i="15" a="1"/>
  <c r="A34" i="15" s="1"/>
  <c r="C33" i="15" a="1"/>
  <c r="C33" i="15" s="1"/>
  <c r="B33" i="15" a="1"/>
  <c r="B33" i="15" s="1"/>
  <c r="A33" i="15" a="1"/>
  <c r="A33" i="15" s="1"/>
  <c r="C32" i="15" a="1"/>
  <c r="C32" i="15" s="1"/>
  <c r="B32" i="15" a="1"/>
  <c r="B32" i="15" s="1"/>
  <c r="A32" i="15" a="1"/>
  <c r="A32" i="15" s="1"/>
  <c r="C31" i="15" a="1"/>
  <c r="C31" i="15" s="1"/>
  <c r="B31" i="15" a="1"/>
  <c r="B31" i="15" s="1"/>
  <c r="A31" i="15" a="1"/>
  <c r="A31" i="15" s="1"/>
  <c r="C30" i="15" a="1"/>
  <c r="C30" i="15" s="1"/>
  <c r="B30" i="15" a="1"/>
  <c r="B30" i="15" s="1"/>
  <c r="A30" i="15" a="1"/>
  <c r="A30" i="15" s="1"/>
  <c r="C29" i="15" a="1"/>
  <c r="C29" i="15" s="1"/>
  <c r="B29" i="15" a="1"/>
  <c r="B29" i="15" s="1"/>
  <c r="A29" i="15" a="1"/>
  <c r="A29" i="15" s="1"/>
  <c r="C28" i="15" a="1"/>
  <c r="C28" i="15" s="1"/>
  <c r="B28" i="15" a="1"/>
  <c r="B28" i="15" s="1"/>
  <c r="A28" i="15" a="1"/>
  <c r="A28" i="15" s="1"/>
  <c r="C27" i="15" a="1"/>
  <c r="C27" i="15" s="1"/>
  <c r="B27" i="15" a="1"/>
  <c r="B27" i="15" s="1"/>
  <c r="A27" i="15" a="1"/>
  <c r="A27" i="15" s="1"/>
  <c r="C26" i="15" a="1"/>
  <c r="C26" i="15" s="1"/>
  <c r="B26" i="15" a="1"/>
  <c r="B26" i="15" s="1"/>
  <c r="A26" i="15" a="1"/>
  <c r="A26" i="15" s="1"/>
  <c r="C25" i="15" a="1"/>
  <c r="C25" i="15" s="1"/>
  <c r="B25" i="15" a="1"/>
  <c r="B25" i="15" s="1"/>
  <c r="A25" i="15" a="1"/>
  <c r="A25" i="15" s="1"/>
  <c r="C24" i="15" a="1"/>
  <c r="C24" i="15" s="1"/>
  <c r="B24" i="15" a="1"/>
  <c r="B24" i="15" s="1"/>
  <c r="A24" i="15" a="1"/>
  <c r="A24" i="15" s="1"/>
  <c r="C23" i="15" a="1"/>
  <c r="C23" i="15" s="1"/>
  <c r="B23" i="15" a="1"/>
  <c r="B23" i="15" s="1"/>
  <c r="A23" i="15" a="1"/>
  <c r="A23" i="15" s="1"/>
  <c r="C22" i="15" a="1"/>
  <c r="C22" i="15" s="1"/>
  <c r="B22" i="15" a="1"/>
  <c r="B22" i="15" s="1"/>
  <c r="A22" i="15" a="1"/>
  <c r="A22" i="15" s="1"/>
  <c r="C21" i="15" a="1"/>
  <c r="C21" i="15" s="1"/>
  <c r="B21" i="15" a="1"/>
  <c r="B21" i="15" s="1"/>
  <c r="A21" i="15" a="1"/>
  <c r="A21" i="15" s="1"/>
  <c r="C20" i="15" a="1"/>
  <c r="C20" i="15" s="1"/>
  <c r="B20" i="15" a="1"/>
  <c r="B20" i="15" s="1"/>
  <c r="A20" i="15" a="1"/>
  <c r="A20" i="15" s="1"/>
  <c r="C19" i="15" a="1"/>
  <c r="C19" i="15" s="1"/>
  <c r="B19" i="15" a="1"/>
  <c r="B19" i="15" s="1"/>
  <c r="D19" i="15" s="1"/>
  <c r="A19" i="15" a="1"/>
  <c r="A19" i="15" s="1"/>
  <c r="A704" i="14" a="1"/>
  <c r="A704" i="14" s="1"/>
  <c r="B704" i="14" a="1"/>
  <c r="B704" i="14" s="1"/>
  <c r="C704" i="14" a="1"/>
  <c r="C704" i="14" s="1"/>
  <c r="A705" i="14" a="1"/>
  <c r="A705" i="14" s="1"/>
  <c r="B705" i="14" a="1"/>
  <c r="B705" i="14" s="1"/>
  <c r="C705" i="14" a="1"/>
  <c r="C705" i="14" s="1"/>
  <c r="A706" i="14" a="1"/>
  <c r="A706" i="14" s="1"/>
  <c r="B706" i="14" a="1"/>
  <c r="B706" i="14" s="1"/>
  <c r="C706" i="14" a="1"/>
  <c r="C706" i="14" s="1"/>
  <c r="A707" i="14" a="1"/>
  <c r="A707" i="14" s="1"/>
  <c r="B707" i="14" a="1"/>
  <c r="B707" i="14" s="1"/>
  <c r="C707" i="14" a="1"/>
  <c r="C707" i="14" s="1"/>
  <c r="A708" i="14" a="1"/>
  <c r="A708" i="14" s="1"/>
  <c r="B708" i="14" a="1"/>
  <c r="B708" i="14" s="1"/>
  <c r="C708" i="14" a="1"/>
  <c r="C708" i="14" s="1"/>
  <c r="A709" i="14" a="1"/>
  <c r="A709" i="14" s="1"/>
  <c r="B709" i="14" a="1"/>
  <c r="B709" i="14" s="1"/>
  <c r="C709" i="14" a="1"/>
  <c r="C709" i="14" s="1"/>
  <c r="A710" i="14" a="1"/>
  <c r="A710" i="14" s="1"/>
  <c r="B710" i="14" a="1"/>
  <c r="B710" i="14" s="1"/>
  <c r="C710" i="14" a="1"/>
  <c r="C710" i="14" s="1"/>
  <c r="A711" i="14" a="1"/>
  <c r="A711" i="14" s="1"/>
  <c r="B711" i="14" a="1"/>
  <c r="B711" i="14" s="1"/>
  <c r="C711" i="14" a="1"/>
  <c r="C711" i="14" s="1"/>
  <c r="A712" i="14" a="1"/>
  <c r="A712" i="14" s="1"/>
  <c r="B712" i="14" a="1"/>
  <c r="B712" i="14" s="1"/>
  <c r="C712" i="14" a="1"/>
  <c r="C712" i="14" s="1"/>
  <c r="A713" i="14" a="1"/>
  <c r="A713" i="14" s="1"/>
  <c r="B713" i="14" a="1"/>
  <c r="B713" i="14" s="1"/>
  <c r="C713" i="14" a="1"/>
  <c r="C713" i="14" s="1"/>
  <c r="A714" i="14" a="1"/>
  <c r="A714" i="14" s="1"/>
  <c r="B714" i="14" a="1"/>
  <c r="B714" i="14" s="1"/>
  <c r="C714" i="14" a="1"/>
  <c r="C714" i="14" s="1"/>
  <c r="A715" i="14" a="1"/>
  <c r="A715" i="14" s="1"/>
  <c r="B715" i="14" a="1"/>
  <c r="B715" i="14" s="1"/>
  <c r="C715" i="14" a="1"/>
  <c r="C715" i="14" s="1"/>
  <c r="A716" i="14" a="1"/>
  <c r="A716" i="14" s="1"/>
  <c r="B716" i="14" a="1"/>
  <c r="B716" i="14" s="1"/>
  <c r="C716" i="14" a="1"/>
  <c r="C716" i="14" s="1"/>
  <c r="A717" i="14" a="1"/>
  <c r="A717" i="14" s="1"/>
  <c r="B717" i="14" a="1"/>
  <c r="B717" i="14" s="1"/>
  <c r="C717" i="14" a="1"/>
  <c r="C717" i="14" s="1"/>
  <c r="A718" i="14" a="1"/>
  <c r="A718" i="14" s="1"/>
  <c r="B718" i="14" a="1"/>
  <c r="B718" i="14" s="1"/>
  <c r="C718" i="14" a="1"/>
  <c r="C718" i="14" s="1"/>
  <c r="A719" i="14" a="1"/>
  <c r="A719" i="14" s="1"/>
  <c r="B719" i="14" a="1"/>
  <c r="B719" i="14" s="1"/>
  <c r="C719" i="14" a="1"/>
  <c r="C719" i="14" s="1"/>
  <c r="A720" i="14" a="1"/>
  <c r="A720" i="14" s="1"/>
  <c r="B720" i="14" a="1"/>
  <c r="B720" i="14" s="1"/>
  <c r="C720" i="14" a="1"/>
  <c r="C720" i="14" s="1"/>
  <c r="A721" i="14" a="1"/>
  <c r="A721" i="14" s="1"/>
  <c r="B721" i="14" a="1"/>
  <c r="B721" i="14" s="1"/>
  <c r="C721" i="14" a="1"/>
  <c r="C721" i="14" s="1"/>
  <c r="A722" i="14" a="1"/>
  <c r="A722" i="14" s="1"/>
  <c r="B722" i="14" a="1"/>
  <c r="B722" i="14" s="1"/>
  <c r="C722" i="14" a="1"/>
  <c r="C722" i="14" s="1"/>
  <c r="A723" i="14" a="1"/>
  <c r="A723" i="14" s="1"/>
  <c r="B723" i="14" a="1"/>
  <c r="B723" i="14" s="1"/>
  <c r="C723" i="14" a="1"/>
  <c r="C723" i="14" s="1"/>
  <c r="A724" i="14" a="1"/>
  <c r="A724" i="14" s="1"/>
  <c r="B724" i="14" a="1"/>
  <c r="B724" i="14" s="1"/>
  <c r="C724" i="14" a="1"/>
  <c r="C724" i="14" s="1"/>
  <c r="A725" i="14" a="1"/>
  <c r="A725" i="14" s="1"/>
  <c r="B725" i="14" a="1"/>
  <c r="B725" i="14" s="1"/>
  <c r="C725" i="14" a="1"/>
  <c r="C725" i="14" s="1"/>
  <c r="A726" i="14" a="1"/>
  <c r="A726" i="14" s="1"/>
  <c r="B726" i="14" a="1"/>
  <c r="B726" i="14" s="1"/>
  <c r="C726" i="14" a="1"/>
  <c r="C726" i="14" s="1"/>
  <c r="A727" i="14" a="1"/>
  <c r="A727" i="14" s="1"/>
  <c r="B727" i="14" a="1"/>
  <c r="B727" i="14" s="1"/>
  <c r="C727" i="14" a="1"/>
  <c r="C727" i="14" s="1"/>
  <c r="A728" i="14" a="1"/>
  <c r="A728" i="14" s="1"/>
  <c r="B728" i="14" a="1"/>
  <c r="B728" i="14" s="1"/>
  <c r="C728" i="14" a="1"/>
  <c r="C728" i="14" s="1"/>
  <c r="A729" i="14" a="1"/>
  <c r="A729" i="14" s="1"/>
  <c r="B729" i="14" a="1"/>
  <c r="B729" i="14" s="1"/>
  <c r="C729" i="14" a="1"/>
  <c r="C729" i="14" s="1"/>
  <c r="A730" i="14" a="1"/>
  <c r="A730" i="14" s="1"/>
  <c r="B730" i="14" a="1"/>
  <c r="B730" i="14" s="1"/>
  <c r="C730" i="14" a="1"/>
  <c r="C730" i="14" s="1"/>
  <c r="A731" i="14" a="1"/>
  <c r="A731" i="14" s="1"/>
  <c r="B731" i="14" a="1"/>
  <c r="B731" i="14" s="1"/>
  <c r="C731" i="14" a="1"/>
  <c r="C731" i="14" s="1"/>
  <c r="A732" i="14" a="1"/>
  <c r="A732" i="14" s="1"/>
  <c r="B732" i="14" a="1"/>
  <c r="B732" i="14" s="1"/>
  <c r="C732" i="14" a="1"/>
  <c r="C732" i="14" s="1"/>
  <c r="A733" i="14" a="1"/>
  <c r="A733" i="14" s="1"/>
  <c r="B733" i="14" a="1"/>
  <c r="B733" i="14" s="1"/>
  <c r="C733" i="14" a="1"/>
  <c r="C733" i="14" s="1"/>
  <c r="A734" i="14" a="1"/>
  <c r="A734" i="14" s="1"/>
  <c r="B734" i="14" a="1"/>
  <c r="B734" i="14" s="1"/>
  <c r="C734" i="14" a="1"/>
  <c r="C734" i="14" s="1"/>
  <c r="A735" i="14" a="1"/>
  <c r="A735" i="14" s="1"/>
  <c r="B735" i="14" a="1"/>
  <c r="B735" i="14" s="1"/>
  <c r="C735" i="14" a="1"/>
  <c r="C735" i="14" s="1"/>
  <c r="A736" i="14" a="1"/>
  <c r="A736" i="14" s="1"/>
  <c r="B736" i="14" a="1"/>
  <c r="B736" i="14" s="1"/>
  <c r="C736" i="14" a="1"/>
  <c r="C736" i="14" s="1"/>
  <c r="A737" i="14" a="1"/>
  <c r="A737" i="14" s="1"/>
  <c r="B737" i="14" a="1"/>
  <c r="B737" i="14" s="1"/>
  <c r="C737" i="14" a="1"/>
  <c r="C737" i="14" s="1"/>
  <c r="A666" i="14" a="1"/>
  <c r="A666" i="14" s="1"/>
  <c r="B666" i="14" a="1"/>
  <c r="B666" i="14" s="1"/>
  <c r="C666" i="14" a="1"/>
  <c r="C666" i="14" s="1"/>
  <c r="A667" i="14" a="1"/>
  <c r="A667" i="14" s="1"/>
  <c r="B667" i="14" a="1"/>
  <c r="B667" i="14" s="1"/>
  <c r="C667" i="14" a="1"/>
  <c r="C667" i="14" s="1"/>
  <c r="A668" i="14" a="1"/>
  <c r="A668" i="14" s="1"/>
  <c r="B668" i="14" a="1"/>
  <c r="B668" i="14" s="1"/>
  <c r="C668" i="14" a="1"/>
  <c r="C668" i="14" s="1"/>
  <c r="A669" i="14" a="1"/>
  <c r="A669" i="14" s="1"/>
  <c r="B669" i="14" a="1"/>
  <c r="B669" i="14" s="1"/>
  <c r="C669" i="14" a="1"/>
  <c r="C669" i="14" s="1"/>
  <c r="A670" i="14" a="1"/>
  <c r="A670" i="14" s="1"/>
  <c r="B670" i="14" a="1"/>
  <c r="B670" i="14" s="1"/>
  <c r="C670" i="14" a="1"/>
  <c r="C670" i="14" s="1"/>
  <c r="A671" i="14" a="1"/>
  <c r="A671" i="14" s="1"/>
  <c r="B671" i="14" a="1"/>
  <c r="B671" i="14" s="1"/>
  <c r="C671" i="14" a="1"/>
  <c r="C671" i="14" s="1"/>
  <c r="A672" i="14" a="1"/>
  <c r="A672" i="14" s="1"/>
  <c r="B672" i="14" a="1"/>
  <c r="B672" i="14" s="1"/>
  <c r="C672" i="14" a="1"/>
  <c r="C672" i="14" s="1"/>
  <c r="A673" i="14" a="1"/>
  <c r="A673" i="14" s="1"/>
  <c r="B673" i="14" a="1"/>
  <c r="B673" i="14" s="1"/>
  <c r="C673" i="14" a="1"/>
  <c r="C673" i="14" s="1"/>
  <c r="A674" i="14" a="1"/>
  <c r="A674" i="14" s="1"/>
  <c r="B674" i="14" a="1"/>
  <c r="B674" i="14" s="1"/>
  <c r="C674" i="14" a="1"/>
  <c r="C674" i="14" s="1"/>
  <c r="A675" i="14" a="1"/>
  <c r="A675" i="14" s="1"/>
  <c r="B675" i="14" a="1"/>
  <c r="B675" i="14" s="1"/>
  <c r="C675" i="14" a="1"/>
  <c r="C675" i="14" s="1"/>
  <c r="A676" i="14" a="1"/>
  <c r="A676" i="14" s="1"/>
  <c r="B676" i="14" a="1"/>
  <c r="B676" i="14" s="1"/>
  <c r="C676" i="14" a="1"/>
  <c r="C676" i="14" s="1"/>
  <c r="A677" i="14" a="1"/>
  <c r="A677" i="14" s="1"/>
  <c r="B677" i="14" a="1"/>
  <c r="B677" i="14" s="1"/>
  <c r="C677" i="14" a="1"/>
  <c r="C677" i="14" s="1"/>
  <c r="A678" i="14" a="1"/>
  <c r="A678" i="14" s="1"/>
  <c r="B678" i="14" a="1"/>
  <c r="B678" i="14" s="1"/>
  <c r="C678" i="14" a="1"/>
  <c r="C678" i="14" s="1"/>
  <c r="A679" i="14" a="1"/>
  <c r="A679" i="14" s="1"/>
  <c r="B679" i="14" a="1"/>
  <c r="B679" i="14" s="1"/>
  <c r="C679" i="14" a="1"/>
  <c r="C679" i="14" s="1"/>
  <c r="A680" i="14" a="1"/>
  <c r="A680" i="14" s="1"/>
  <c r="B680" i="14" a="1"/>
  <c r="B680" i="14" s="1"/>
  <c r="C680" i="14" a="1"/>
  <c r="C680" i="14" s="1"/>
  <c r="A681" i="14" a="1"/>
  <c r="A681" i="14" s="1"/>
  <c r="B681" i="14" a="1"/>
  <c r="B681" i="14" s="1"/>
  <c r="C681" i="14" a="1"/>
  <c r="C681" i="14" s="1"/>
  <c r="A682" i="14" a="1"/>
  <c r="A682" i="14" s="1"/>
  <c r="B682" i="14" a="1"/>
  <c r="B682" i="14" s="1"/>
  <c r="C682" i="14" a="1"/>
  <c r="C682" i="14" s="1"/>
  <c r="A683" i="14" a="1"/>
  <c r="A683" i="14" s="1"/>
  <c r="B683" i="14" a="1"/>
  <c r="B683" i="14" s="1"/>
  <c r="C683" i="14" a="1"/>
  <c r="C683" i="14" s="1"/>
  <c r="A684" i="14" a="1"/>
  <c r="A684" i="14" s="1"/>
  <c r="B684" i="14" a="1"/>
  <c r="B684" i="14" s="1"/>
  <c r="C684" i="14" a="1"/>
  <c r="C684" i="14" s="1"/>
  <c r="A685" i="14" a="1"/>
  <c r="A685" i="14" s="1"/>
  <c r="B685" i="14" a="1"/>
  <c r="B685" i="14" s="1"/>
  <c r="C685" i="14" a="1"/>
  <c r="C685" i="14" s="1"/>
  <c r="A686" i="14" a="1"/>
  <c r="A686" i="14" s="1"/>
  <c r="B686" i="14" a="1"/>
  <c r="B686" i="14" s="1"/>
  <c r="C686" i="14" a="1"/>
  <c r="C686" i="14" s="1"/>
  <c r="A687" i="14" a="1"/>
  <c r="A687" i="14" s="1"/>
  <c r="B687" i="14" a="1"/>
  <c r="B687" i="14" s="1"/>
  <c r="C687" i="14" a="1"/>
  <c r="C687" i="14" s="1"/>
  <c r="A688" i="14" a="1"/>
  <c r="A688" i="14" s="1"/>
  <c r="B688" i="14" a="1"/>
  <c r="B688" i="14" s="1"/>
  <c r="C688" i="14" a="1"/>
  <c r="C688" i="14" s="1"/>
  <c r="A689" i="14" a="1"/>
  <c r="A689" i="14" s="1"/>
  <c r="B689" i="14" a="1"/>
  <c r="B689" i="14" s="1"/>
  <c r="C689" i="14" a="1"/>
  <c r="C689" i="14" s="1"/>
  <c r="A690" i="14" a="1"/>
  <c r="A690" i="14" s="1"/>
  <c r="B690" i="14" a="1"/>
  <c r="B690" i="14" s="1"/>
  <c r="C690" i="14" a="1"/>
  <c r="C690" i="14" s="1"/>
  <c r="A691" i="14" a="1"/>
  <c r="A691" i="14" s="1"/>
  <c r="B691" i="14" a="1"/>
  <c r="B691" i="14" s="1"/>
  <c r="C691" i="14" a="1"/>
  <c r="C691" i="14" s="1"/>
  <c r="A692" i="14" a="1"/>
  <c r="A692" i="14" s="1"/>
  <c r="B692" i="14" a="1"/>
  <c r="B692" i="14" s="1"/>
  <c r="C692" i="14" a="1"/>
  <c r="C692" i="14" s="1"/>
  <c r="A693" i="14" a="1"/>
  <c r="A693" i="14" s="1"/>
  <c r="B693" i="14" a="1"/>
  <c r="B693" i="14" s="1"/>
  <c r="C693" i="14" a="1"/>
  <c r="C693" i="14" s="1"/>
  <c r="A694" i="14" a="1"/>
  <c r="A694" i="14" s="1"/>
  <c r="B694" i="14" a="1"/>
  <c r="B694" i="14" s="1"/>
  <c r="C694" i="14" a="1"/>
  <c r="C694" i="14" s="1"/>
  <c r="A695" i="14" a="1"/>
  <c r="A695" i="14" s="1"/>
  <c r="B695" i="14" a="1"/>
  <c r="B695" i="14" s="1"/>
  <c r="C695" i="14" a="1"/>
  <c r="C695" i="14" s="1"/>
  <c r="A696" i="14" a="1"/>
  <c r="A696" i="14" s="1"/>
  <c r="B696" i="14" a="1"/>
  <c r="B696" i="14" s="1"/>
  <c r="C696" i="14" a="1"/>
  <c r="C696" i="14" s="1"/>
  <c r="A697" i="14" a="1"/>
  <c r="A697" i="14" s="1"/>
  <c r="B697" i="14" a="1"/>
  <c r="B697" i="14" s="1"/>
  <c r="C697" i="14" a="1"/>
  <c r="C697" i="14" s="1"/>
  <c r="A698" i="14" a="1"/>
  <c r="A698" i="14" s="1"/>
  <c r="B698" i="14" a="1"/>
  <c r="B698" i="14" s="1"/>
  <c r="C698" i="14" a="1"/>
  <c r="C698" i="14" s="1"/>
  <c r="A699" i="14" a="1"/>
  <c r="A699" i="14" s="1"/>
  <c r="B699" i="14" a="1"/>
  <c r="B699" i="14" s="1"/>
  <c r="C699" i="14" a="1"/>
  <c r="C699" i="14" s="1"/>
  <c r="A628" i="14" a="1"/>
  <c r="A628" i="14" s="1"/>
  <c r="B628" i="14" a="1"/>
  <c r="B628" i="14" s="1"/>
  <c r="C628" i="14" a="1"/>
  <c r="C628" i="14" s="1"/>
  <c r="A629" i="14" a="1"/>
  <c r="A629" i="14" s="1"/>
  <c r="B629" i="14" a="1"/>
  <c r="B629" i="14" s="1"/>
  <c r="C629" i="14" a="1"/>
  <c r="C629" i="14" s="1"/>
  <c r="A630" i="14" a="1"/>
  <c r="A630" i="14" s="1"/>
  <c r="B630" i="14" a="1"/>
  <c r="B630" i="14" s="1"/>
  <c r="C630" i="14" a="1"/>
  <c r="C630" i="14" s="1"/>
  <c r="A631" i="14" a="1"/>
  <c r="A631" i="14" s="1"/>
  <c r="B631" i="14" a="1"/>
  <c r="B631" i="14" s="1"/>
  <c r="C631" i="14" a="1"/>
  <c r="C631" i="14" s="1"/>
  <c r="A632" i="14" a="1"/>
  <c r="A632" i="14" s="1"/>
  <c r="B632" i="14" a="1"/>
  <c r="B632" i="14" s="1"/>
  <c r="C632" i="14" a="1"/>
  <c r="C632" i="14" s="1"/>
  <c r="A633" i="14" a="1"/>
  <c r="A633" i="14" s="1"/>
  <c r="B633" i="14" a="1"/>
  <c r="B633" i="14" s="1"/>
  <c r="C633" i="14" a="1"/>
  <c r="C633" i="14" s="1"/>
  <c r="A634" i="14" a="1"/>
  <c r="A634" i="14" s="1"/>
  <c r="B634" i="14" a="1"/>
  <c r="B634" i="14" s="1"/>
  <c r="C634" i="14" a="1"/>
  <c r="C634" i="14" s="1"/>
  <c r="A635" i="14" a="1"/>
  <c r="A635" i="14" s="1"/>
  <c r="B635" i="14" a="1"/>
  <c r="B635" i="14" s="1"/>
  <c r="C635" i="14" a="1"/>
  <c r="C635" i="14" s="1"/>
  <c r="A636" i="14" a="1"/>
  <c r="A636" i="14" s="1"/>
  <c r="B636" i="14" a="1"/>
  <c r="B636" i="14" s="1"/>
  <c r="C636" i="14" a="1"/>
  <c r="C636" i="14" s="1"/>
  <c r="A637" i="14" a="1"/>
  <c r="A637" i="14" s="1"/>
  <c r="B637" i="14" a="1"/>
  <c r="B637" i="14" s="1"/>
  <c r="C637" i="14" a="1"/>
  <c r="C637" i="14" s="1"/>
  <c r="A638" i="14" a="1"/>
  <c r="A638" i="14" s="1"/>
  <c r="B638" i="14" a="1"/>
  <c r="B638" i="14" s="1"/>
  <c r="C638" i="14" a="1"/>
  <c r="C638" i="14" s="1"/>
  <c r="A639" i="14" a="1"/>
  <c r="A639" i="14" s="1"/>
  <c r="B639" i="14" a="1"/>
  <c r="B639" i="14" s="1"/>
  <c r="C639" i="14" a="1"/>
  <c r="C639" i="14" s="1"/>
  <c r="A640" i="14" a="1"/>
  <c r="A640" i="14" s="1"/>
  <c r="B640" i="14" a="1"/>
  <c r="B640" i="14" s="1"/>
  <c r="C640" i="14" a="1"/>
  <c r="C640" i="14" s="1"/>
  <c r="A641" i="14" a="1"/>
  <c r="A641" i="14" s="1"/>
  <c r="B641" i="14" a="1"/>
  <c r="B641" i="14" s="1"/>
  <c r="C641" i="14" a="1"/>
  <c r="C641" i="14" s="1"/>
  <c r="A642" i="14" a="1"/>
  <c r="A642" i="14" s="1"/>
  <c r="B642" i="14" a="1"/>
  <c r="B642" i="14" s="1"/>
  <c r="C642" i="14" a="1"/>
  <c r="C642" i="14" s="1"/>
  <c r="A643" i="14" a="1"/>
  <c r="A643" i="14" s="1"/>
  <c r="B643" i="14" a="1"/>
  <c r="B643" i="14" s="1"/>
  <c r="C643" i="14" a="1"/>
  <c r="C643" i="14" s="1"/>
  <c r="A644" i="14" a="1"/>
  <c r="A644" i="14" s="1"/>
  <c r="B644" i="14" a="1"/>
  <c r="B644" i="14" s="1"/>
  <c r="C644" i="14" a="1"/>
  <c r="C644" i="14" s="1"/>
  <c r="A645" i="14" a="1"/>
  <c r="A645" i="14" s="1"/>
  <c r="B645" i="14" a="1"/>
  <c r="B645" i="14" s="1"/>
  <c r="C645" i="14" a="1"/>
  <c r="C645" i="14" s="1"/>
  <c r="A646" i="14" a="1"/>
  <c r="A646" i="14" s="1"/>
  <c r="B646" i="14" a="1"/>
  <c r="B646" i="14" s="1"/>
  <c r="C646" i="14" a="1"/>
  <c r="C646" i="14" s="1"/>
  <c r="A647" i="14" a="1"/>
  <c r="A647" i="14" s="1"/>
  <c r="B647" i="14" a="1"/>
  <c r="B647" i="14" s="1"/>
  <c r="C647" i="14" a="1"/>
  <c r="C647" i="14" s="1"/>
  <c r="A648" i="14" a="1"/>
  <c r="A648" i="14" s="1"/>
  <c r="B648" i="14" a="1"/>
  <c r="B648" i="14" s="1"/>
  <c r="C648" i="14" a="1"/>
  <c r="C648" i="14" s="1"/>
  <c r="A649" i="14" a="1"/>
  <c r="A649" i="14" s="1"/>
  <c r="B649" i="14" a="1"/>
  <c r="B649" i="14" s="1"/>
  <c r="C649" i="14" a="1"/>
  <c r="C649" i="14" s="1"/>
  <c r="A650" i="14" a="1"/>
  <c r="A650" i="14" s="1"/>
  <c r="B650" i="14" a="1"/>
  <c r="B650" i="14" s="1"/>
  <c r="C650" i="14" a="1"/>
  <c r="C650" i="14" s="1"/>
  <c r="A651" i="14" a="1"/>
  <c r="A651" i="14" s="1"/>
  <c r="B651" i="14" a="1"/>
  <c r="B651" i="14" s="1"/>
  <c r="C651" i="14" a="1"/>
  <c r="C651" i="14" s="1"/>
  <c r="A652" i="14" a="1"/>
  <c r="A652" i="14" s="1"/>
  <c r="B652" i="14" a="1"/>
  <c r="B652" i="14" s="1"/>
  <c r="C652" i="14" a="1"/>
  <c r="C652" i="14" s="1"/>
  <c r="A653" i="14" a="1"/>
  <c r="A653" i="14" s="1"/>
  <c r="B653" i="14" a="1"/>
  <c r="B653" i="14" s="1"/>
  <c r="C653" i="14" a="1"/>
  <c r="C653" i="14" s="1"/>
  <c r="A654" i="14" a="1"/>
  <c r="A654" i="14" s="1"/>
  <c r="B654" i="14" a="1"/>
  <c r="B654" i="14" s="1"/>
  <c r="C654" i="14" a="1"/>
  <c r="C654" i="14" s="1"/>
  <c r="A655" i="14" a="1"/>
  <c r="A655" i="14" s="1"/>
  <c r="B655" i="14" a="1"/>
  <c r="B655" i="14" s="1"/>
  <c r="C655" i="14" a="1"/>
  <c r="C655" i="14" s="1"/>
  <c r="A656" i="14" a="1"/>
  <c r="A656" i="14" s="1"/>
  <c r="B656" i="14" a="1"/>
  <c r="B656" i="14" s="1"/>
  <c r="C656" i="14" a="1"/>
  <c r="C656" i="14" s="1"/>
  <c r="A657" i="14" a="1"/>
  <c r="A657" i="14" s="1"/>
  <c r="B657" i="14" a="1"/>
  <c r="B657" i="14" s="1"/>
  <c r="C657" i="14" a="1"/>
  <c r="C657" i="14" s="1"/>
  <c r="A658" i="14" a="1"/>
  <c r="A658" i="14" s="1"/>
  <c r="B658" i="14" a="1"/>
  <c r="B658" i="14" s="1"/>
  <c r="C658" i="14" a="1"/>
  <c r="C658" i="14" s="1"/>
  <c r="A659" i="14" a="1"/>
  <c r="A659" i="14" s="1"/>
  <c r="B659" i="14" a="1"/>
  <c r="B659" i="14" s="1"/>
  <c r="C659" i="14" a="1"/>
  <c r="C659" i="14" s="1"/>
  <c r="A660" i="14" a="1"/>
  <c r="A660" i="14" s="1"/>
  <c r="B660" i="14" a="1"/>
  <c r="B660" i="14" s="1"/>
  <c r="C660" i="14" a="1"/>
  <c r="C660" i="14" s="1"/>
  <c r="A661" i="14" a="1"/>
  <c r="A661" i="14" s="1"/>
  <c r="B661" i="14" a="1"/>
  <c r="B661" i="14" s="1"/>
  <c r="C661" i="14" a="1"/>
  <c r="C661" i="14" s="1"/>
  <c r="A590" i="14" a="1"/>
  <c r="A590" i="14" s="1"/>
  <c r="B590" i="14" a="1"/>
  <c r="B590" i="14" s="1"/>
  <c r="C590" i="14" a="1"/>
  <c r="C590" i="14" s="1"/>
  <c r="A591" i="14" a="1"/>
  <c r="A591" i="14" s="1"/>
  <c r="B591" i="14" a="1"/>
  <c r="B591" i="14" s="1"/>
  <c r="C591" i="14" a="1"/>
  <c r="C591" i="14" s="1"/>
  <c r="A592" i="14" a="1"/>
  <c r="A592" i="14" s="1"/>
  <c r="B592" i="14" a="1"/>
  <c r="B592" i="14" s="1"/>
  <c r="C592" i="14" a="1"/>
  <c r="C592" i="14" s="1"/>
  <c r="A593" i="14" a="1"/>
  <c r="A593" i="14" s="1"/>
  <c r="B593" i="14" a="1"/>
  <c r="B593" i="14" s="1"/>
  <c r="C593" i="14" a="1"/>
  <c r="C593" i="14" s="1"/>
  <c r="A594" i="14" a="1"/>
  <c r="A594" i="14" s="1"/>
  <c r="B594" i="14" a="1"/>
  <c r="B594" i="14" s="1"/>
  <c r="C594" i="14" a="1"/>
  <c r="C594" i="14" s="1"/>
  <c r="A595" i="14" a="1"/>
  <c r="A595" i="14" s="1"/>
  <c r="B595" i="14" a="1"/>
  <c r="B595" i="14" s="1"/>
  <c r="C595" i="14" a="1"/>
  <c r="C595" i="14" s="1"/>
  <c r="A596" i="14" a="1"/>
  <c r="A596" i="14" s="1"/>
  <c r="B596" i="14" a="1"/>
  <c r="B596" i="14" s="1"/>
  <c r="C596" i="14" a="1"/>
  <c r="C596" i="14" s="1"/>
  <c r="A597" i="14" a="1"/>
  <c r="A597" i="14" s="1"/>
  <c r="B597" i="14" a="1"/>
  <c r="B597" i="14" s="1"/>
  <c r="C597" i="14" a="1"/>
  <c r="C597" i="14" s="1"/>
  <c r="A598" i="14" a="1"/>
  <c r="A598" i="14" s="1"/>
  <c r="B598" i="14" a="1"/>
  <c r="B598" i="14" s="1"/>
  <c r="C598" i="14" a="1"/>
  <c r="C598" i="14" s="1"/>
  <c r="A599" i="14" a="1"/>
  <c r="A599" i="14" s="1"/>
  <c r="B599" i="14" a="1"/>
  <c r="B599" i="14" s="1"/>
  <c r="C599" i="14" a="1"/>
  <c r="C599" i="14" s="1"/>
  <c r="A600" i="14" a="1"/>
  <c r="A600" i="14" s="1"/>
  <c r="B600" i="14" a="1"/>
  <c r="B600" i="14" s="1"/>
  <c r="C600" i="14" a="1"/>
  <c r="C600" i="14" s="1"/>
  <c r="A601" i="14" a="1"/>
  <c r="A601" i="14" s="1"/>
  <c r="B601" i="14" a="1"/>
  <c r="B601" i="14" s="1"/>
  <c r="C601" i="14" a="1"/>
  <c r="C601" i="14" s="1"/>
  <c r="A602" i="14" a="1"/>
  <c r="A602" i="14" s="1"/>
  <c r="B602" i="14" a="1"/>
  <c r="B602" i="14" s="1"/>
  <c r="C602" i="14" a="1"/>
  <c r="C602" i="14" s="1"/>
  <c r="A603" i="14" a="1"/>
  <c r="A603" i="14" s="1"/>
  <c r="B603" i="14" a="1"/>
  <c r="B603" i="14" s="1"/>
  <c r="C603" i="14" a="1"/>
  <c r="C603" i="14" s="1"/>
  <c r="A604" i="14" a="1"/>
  <c r="A604" i="14" s="1"/>
  <c r="B604" i="14" a="1"/>
  <c r="B604" i="14" s="1"/>
  <c r="C604" i="14" a="1"/>
  <c r="C604" i="14" s="1"/>
  <c r="A605" i="14" a="1"/>
  <c r="A605" i="14" s="1"/>
  <c r="B605" i="14" a="1"/>
  <c r="B605" i="14" s="1"/>
  <c r="C605" i="14" a="1"/>
  <c r="C605" i="14" s="1"/>
  <c r="A606" i="14" a="1"/>
  <c r="A606" i="14" s="1"/>
  <c r="B606" i="14" a="1"/>
  <c r="B606" i="14" s="1"/>
  <c r="C606" i="14" a="1"/>
  <c r="C606" i="14" s="1"/>
  <c r="A607" i="14" a="1"/>
  <c r="A607" i="14" s="1"/>
  <c r="B607" i="14" a="1"/>
  <c r="B607" i="14" s="1"/>
  <c r="C607" i="14" a="1"/>
  <c r="C607" i="14" s="1"/>
  <c r="A608" i="14" a="1"/>
  <c r="A608" i="14" s="1"/>
  <c r="B608" i="14" a="1"/>
  <c r="B608" i="14" s="1"/>
  <c r="C608" i="14" a="1"/>
  <c r="C608" i="14" s="1"/>
  <c r="A609" i="14" a="1"/>
  <c r="A609" i="14" s="1"/>
  <c r="B609" i="14" a="1"/>
  <c r="B609" i="14" s="1"/>
  <c r="C609" i="14" a="1"/>
  <c r="C609" i="14" s="1"/>
  <c r="A610" i="14" a="1"/>
  <c r="A610" i="14" s="1"/>
  <c r="B610" i="14" a="1"/>
  <c r="B610" i="14" s="1"/>
  <c r="C610" i="14" a="1"/>
  <c r="C610" i="14" s="1"/>
  <c r="A611" i="14" a="1"/>
  <c r="A611" i="14" s="1"/>
  <c r="B611" i="14" a="1"/>
  <c r="B611" i="14" s="1"/>
  <c r="C611" i="14" a="1"/>
  <c r="C611" i="14" s="1"/>
  <c r="A612" i="14" a="1"/>
  <c r="A612" i="14" s="1"/>
  <c r="B612" i="14" a="1"/>
  <c r="B612" i="14" s="1"/>
  <c r="C612" i="14" a="1"/>
  <c r="C612" i="14" s="1"/>
  <c r="A613" i="14" a="1"/>
  <c r="A613" i="14" s="1"/>
  <c r="B613" i="14" a="1"/>
  <c r="B613" i="14" s="1"/>
  <c r="C613" i="14" a="1"/>
  <c r="C613" i="14" s="1"/>
  <c r="A614" i="14" a="1"/>
  <c r="A614" i="14" s="1"/>
  <c r="B614" i="14" a="1"/>
  <c r="B614" i="14" s="1"/>
  <c r="C614" i="14" a="1"/>
  <c r="C614" i="14" s="1"/>
  <c r="A615" i="14" a="1"/>
  <c r="A615" i="14" s="1"/>
  <c r="B615" i="14" a="1"/>
  <c r="B615" i="14" s="1"/>
  <c r="C615" i="14" a="1"/>
  <c r="C615" i="14" s="1"/>
  <c r="A616" i="14" a="1"/>
  <c r="A616" i="14" s="1"/>
  <c r="B616" i="14" a="1"/>
  <c r="B616" i="14" s="1"/>
  <c r="C616" i="14" a="1"/>
  <c r="C616" i="14" s="1"/>
  <c r="A617" i="14" a="1"/>
  <c r="A617" i="14" s="1"/>
  <c r="B617" i="14" a="1"/>
  <c r="B617" i="14" s="1"/>
  <c r="C617" i="14" a="1"/>
  <c r="C617" i="14" s="1"/>
  <c r="A618" i="14" a="1"/>
  <c r="A618" i="14" s="1"/>
  <c r="B618" i="14" a="1"/>
  <c r="B618" i="14" s="1"/>
  <c r="C618" i="14" a="1"/>
  <c r="C618" i="14" s="1"/>
  <c r="A619" i="14" a="1"/>
  <c r="A619" i="14" s="1"/>
  <c r="B619" i="14" a="1"/>
  <c r="B619" i="14" s="1"/>
  <c r="C619" i="14" a="1"/>
  <c r="C619" i="14" s="1"/>
  <c r="A620" i="14" a="1"/>
  <c r="A620" i="14" s="1"/>
  <c r="B620" i="14" a="1"/>
  <c r="B620" i="14" s="1"/>
  <c r="C620" i="14" a="1"/>
  <c r="C620" i="14" s="1"/>
  <c r="A621" i="14" a="1"/>
  <c r="A621" i="14" s="1"/>
  <c r="B621" i="14" a="1"/>
  <c r="B621" i="14" s="1"/>
  <c r="C621" i="14" a="1"/>
  <c r="C621" i="14" s="1"/>
  <c r="A622" i="14" a="1"/>
  <c r="A622" i="14" s="1"/>
  <c r="B622" i="14" a="1"/>
  <c r="B622" i="14" s="1"/>
  <c r="C622" i="14" a="1"/>
  <c r="C622" i="14" s="1"/>
  <c r="A623" i="14" a="1"/>
  <c r="A623" i="14" s="1"/>
  <c r="B623" i="14" a="1"/>
  <c r="B623" i="14" s="1"/>
  <c r="C623" i="14" a="1"/>
  <c r="C623" i="14" s="1"/>
  <c r="A552" i="14" a="1"/>
  <c r="A552" i="14" s="1"/>
  <c r="B552" i="14" a="1"/>
  <c r="B552" i="14" s="1"/>
  <c r="C552" i="14" a="1"/>
  <c r="C552" i="14" s="1"/>
  <c r="A553" i="14" a="1"/>
  <c r="A553" i="14" s="1"/>
  <c r="B553" i="14" a="1"/>
  <c r="B553" i="14" s="1"/>
  <c r="C553" i="14" a="1"/>
  <c r="C553" i="14" s="1"/>
  <c r="A554" i="14" a="1"/>
  <c r="A554" i="14" s="1"/>
  <c r="B554" i="14" a="1"/>
  <c r="B554" i="14" s="1"/>
  <c r="C554" i="14" a="1"/>
  <c r="C554" i="14" s="1"/>
  <c r="A555" i="14" a="1"/>
  <c r="A555" i="14" s="1"/>
  <c r="B555" i="14" a="1"/>
  <c r="B555" i="14" s="1"/>
  <c r="C555" i="14" a="1"/>
  <c r="C555" i="14" s="1"/>
  <c r="A556" i="14" a="1"/>
  <c r="A556" i="14" s="1"/>
  <c r="B556" i="14" a="1"/>
  <c r="B556" i="14" s="1"/>
  <c r="C556" i="14" a="1"/>
  <c r="C556" i="14" s="1"/>
  <c r="A557" i="14" a="1"/>
  <c r="A557" i="14" s="1"/>
  <c r="B557" i="14" a="1"/>
  <c r="B557" i="14" s="1"/>
  <c r="C557" i="14" a="1"/>
  <c r="C557" i="14" s="1"/>
  <c r="A558" i="14" a="1"/>
  <c r="A558" i="14" s="1"/>
  <c r="B558" i="14" a="1"/>
  <c r="B558" i="14" s="1"/>
  <c r="C558" i="14" a="1"/>
  <c r="C558" i="14" s="1"/>
  <c r="A559" i="14" a="1"/>
  <c r="A559" i="14" s="1"/>
  <c r="B559" i="14" a="1"/>
  <c r="B559" i="14" s="1"/>
  <c r="C559" i="14" a="1"/>
  <c r="C559" i="14" s="1"/>
  <c r="A560" i="14" a="1"/>
  <c r="A560" i="14" s="1"/>
  <c r="B560" i="14" a="1"/>
  <c r="B560" i="14" s="1"/>
  <c r="C560" i="14" a="1"/>
  <c r="C560" i="14" s="1"/>
  <c r="A561" i="14" a="1"/>
  <c r="A561" i="14" s="1"/>
  <c r="B561" i="14" a="1"/>
  <c r="B561" i="14" s="1"/>
  <c r="C561" i="14" a="1"/>
  <c r="C561" i="14" s="1"/>
  <c r="A562" i="14" a="1"/>
  <c r="A562" i="14" s="1"/>
  <c r="B562" i="14" a="1"/>
  <c r="B562" i="14" s="1"/>
  <c r="C562" i="14" a="1"/>
  <c r="C562" i="14" s="1"/>
  <c r="A563" i="14" a="1"/>
  <c r="A563" i="14" s="1"/>
  <c r="B563" i="14" a="1"/>
  <c r="B563" i="14" s="1"/>
  <c r="C563" i="14" a="1"/>
  <c r="C563" i="14" s="1"/>
  <c r="A564" i="14" a="1"/>
  <c r="A564" i="14" s="1"/>
  <c r="B564" i="14" a="1"/>
  <c r="B564" i="14" s="1"/>
  <c r="C564" i="14" a="1"/>
  <c r="C564" i="14" s="1"/>
  <c r="A565" i="14" a="1"/>
  <c r="A565" i="14" s="1"/>
  <c r="B565" i="14" a="1"/>
  <c r="B565" i="14" s="1"/>
  <c r="C565" i="14" a="1"/>
  <c r="C565" i="14" s="1"/>
  <c r="A566" i="14" a="1"/>
  <c r="A566" i="14" s="1"/>
  <c r="B566" i="14" a="1"/>
  <c r="B566" i="14" s="1"/>
  <c r="C566" i="14" a="1"/>
  <c r="C566" i="14" s="1"/>
  <c r="A567" i="14" a="1"/>
  <c r="A567" i="14"/>
  <c r="B567" i="14" a="1"/>
  <c r="B567" i="14" s="1"/>
  <c r="C567" i="14" a="1"/>
  <c r="C567" i="14" s="1"/>
  <c r="A568" i="14" a="1"/>
  <c r="A568" i="14" s="1"/>
  <c r="B568" i="14" a="1"/>
  <c r="B568" i="14" s="1"/>
  <c r="C568" i="14" a="1"/>
  <c r="C568" i="14" s="1"/>
  <c r="A569" i="14" a="1"/>
  <c r="A569" i="14" s="1"/>
  <c r="B569" i="14" a="1"/>
  <c r="B569" i="14" s="1"/>
  <c r="C569" i="14" a="1"/>
  <c r="C569" i="14" s="1"/>
  <c r="A570" i="14" a="1"/>
  <c r="A570" i="14" s="1"/>
  <c r="B570" i="14" a="1"/>
  <c r="B570" i="14" s="1"/>
  <c r="C570" i="14" a="1"/>
  <c r="C570" i="14" s="1"/>
  <c r="A571" i="14" a="1"/>
  <c r="A571" i="14" s="1"/>
  <c r="B571" i="14" a="1"/>
  <c r="B571" i="14" s="1"/>
  <c r="C571" i="14" a="1"/>
  <c r="C571" i="14" s="1"/>
  <c r="A572" i="14" a="1"/>
  <c r="A572" i="14" s="1"/>
  <c r="B572" i="14" a="1"/>
  <c r="B572" i="14" s="1"/>
  <c r="C572" i="14" a="1"/>
  <c r="C572" i="14" s="1"/>
  <c r="A573" i="14" a="1"/>
  <c r="A573" i="14" s="1"/>
  <c r="B573" i="14" a="1"/>
  <c r="B573" i="14" s="1"/>
  <c r="C573" i="14" a="1"/>
  <c r="C573" i="14" s="1"/>
  <c r="A574" i="14" a="1"/>
  <c r="A574" i="14" s="1"/>
  <c r="B574" i="14" a="1"/>
  <c r="B574" i="14" s="1"/>
  <c r="C574" i="14" a="1"/>
  <c r="C574" i="14" s="1"/>
  <c r="A575" i="14" a="1"/>
  <c r="A575" i="14" s="1"/>
  <c r="B575" i="14" a="1"/>
  <c r="B575" i="14" s="1"/>
  <c r="C575" i="14" a="1"/>
  <c r="C575" i="14" s="1"/>
  <c r="A576" i="14" a="1"/>
  <c r="A576" i="14" s="1"/>
  <c r="B576" i="14" a="1"/>
  <c r="B576" i="14" s="1"/>
  <c r="C576" i="14" a="1"/>
  <c r="C576" i="14" s="1"/>
  <c r="A577" i="14" a="1"/>
  <c r="A577" i="14" s="1"/>
  <c r="B577" i="14" a="1"/>
  <c r="B577" i="14" s="1"/>
  <c r="C577" i="14" a="1"/>
  <c r="C577" i="14" s="1"/>
  <c r="A578" i="14" a="1"/>
  <c r="A578" i="14" s="1"/>
  <c r="B578" i="14" a="1"/>
  <c r="B578" i="14" s="1"/>
  <c r="C578" i="14" a="1"/>
  <c r="C578" i="14" s="1"/>
  <c r="A579" i="14" a="1"/>
  <c r="A579" i="14" s="1"/>
  <c r="B579" i="14" a="1"/>
  <c r="B579" i="14" s="1"/>
  <c r="C579" i="14" a="1"/>
  <c r="C579" i="14" s="1"/>
  <c r="A580" i="14" a="1"/>
  <c r="A580" i="14" s="1"/>
  <c r="B580" i="14" a="1"/>
  <c r="B580" i="14" s="1"/>
  <c r="C580" i="14" a="1"/>
  <c r="C580" i="14" s="1"/>
  <c r="A581" i="14" a="1"/>
  <c r="A581" i="14" s="1"/>
  <c r="B581" i="14" a="1"/>
  <c r="B581" i="14" s="1"/>
  <c r="C581" i="14" a="1"/>
  <c r="C581" i="14" s="1"/>
  <c r="A582" i="14" a="1"/>
  <c r="A582" i="14" s="1"/>
  <c r="B582" i="14" a="1"/>
  <c r="B582" i="14" s="1"/>
  <c r="C582" i="14" a="1"/>
  <c r="C582" i="14" s="1"/>
  <c r="A583" i="14" a="1"/>
  <c r="A583" i="14" s="1"/>
  <c r="B583" i="14" a="1"/>
  <c r="B583" i="14" s="1"/>
  <c r="C583" i="14" a="1"/>
  <c r="C583" i="14" s="1"/>
  <c r="A584" i="14" a="1"/>
  <c r="A584" i="14" s="1"/>
  <c r="B584" i="14" a="1"/>
  <c r="B584" i="14" s="1"/>
  <c r="C584" i="14" a="1"/>
  <c r="C584" i="14" s="1"/>
  <c r="A585" i="14" a="1"/>
  <c r="A585" i="14" s="1"/>
  <c r="B585" i="14" a="1"/>
  <c r="B585" i="14" s="1"/>
  <c r="C585" i="14" a="1"/>
  <c r="C585" i="14" s="1"/>
  <c r="A514" i="14" a="1"/>
  <c r="A514" i="14" s="1"/>
  <c r="B514" i="14" a="1"/>
  <c r="B514" i="14" s="1"/>
  <c r="C514" i="14" a="1"/>
  <c r="C514" i="14" s="1"/>
  <c r="A515" i="14" a="1"/>
  <c r="A515" i="14" s="1"/>
  <c r="B515" i="14" a="1"/>
  <c r="B515" i="14" s="1"/>
  <c r="C515" i="14" a="1"/>
  <c r="C515" i="14" s="1"/>
  <c r="A516" i="14" a="1"/>
  <c r="A516" i="14" s="1"/>
  <c r="B516" i="14" a="1"/>
  <c r="B516" i="14" s="1"/>
  <c r="C516" i="14" a="1"/>
  <c r="C516" i="14" s="1"/>
  <c r="A517" i="14" a="1"/>
  <c r="A517" i="14" s="1"/>
  <c r="B517" i="14" a="1"/>
  <c r="B517" i="14" s="1"/>
  <c r="C517" i="14" a="1"/>
  <c r="C517" i="14" s="1"/>
  <c r="A518" i="14" a="1"/>
  <c r="A518" i="14" s="1"/>
  <c r="B518" i="14" a="1"/>
  <c r="B518" i="14" s="1"/>
  <c r="C518" i="14" a="1"/>
  <c r="C518" i="14" s="1"/>
  <c r="A519" i="14" a="1"/>
  <c r="A519" i="14" s="1"/>
  <c r="B519" i="14" a="1"/>
  <c r="B519" i="14" s="1"/>
  <c r="C519" i="14" a="1"/>
  <c r="C519" i="14" s="1"/>
  <c r="A520" i="14" a="1"/>
  <c r="A520" i="14" s="1"/>
  <c r="B520" i="14" a="1"/>
  <c r="B520" i="14" s="1"/>
  <c r="C520" i="14" a="1"/>
  <c r="C520" i="14" s="1"/>
  <c r="A521" i="14" a="1"/>
  <c r="A521" i="14" s="1"/>
  <c r="B521" i="14" a="1"/>
  <c r="B521" i="14" s="1"/>
  <c r="C521" i="14" a="1"/>
  <c r="C521" i="14" s="1"/>
  <c r="A522" i="14" a="1"/>
  <c r="A522" i="14" s="1"/>
  <c r="B522" i="14" a="1"/>
  <c r="B522" i="14" s="1"/>
  <c r="C522" i="14" a="1"/>
  <c r="C522" i="14" s="1"/>
  <c r="A523" i="14" a="1"/>
  <c r="A523" i="14" s="1"/>
  <c r="B523" i="14" a="1"/>
  <c r="B523" i="14" s="1"/>
  <c r="C523" i="14" a="1"/>
  <c r="C523" i="14" s="1"/>
  <c r="A524" i="14" a="1"/>
  <c r="A524" i="14" s="1"/>
  <c r="B524" i="14" a="1"/>
  <c r="B524" i="14" s="1"/>
  <c r="C524" i="14" a="1"/>
  <c r="C524" i="14" s="1"/>
  <c r="A525" i="14" a="1"/>
  <c r="A525" i="14" s="1"/>
  <c r="B525" i="14" a="1"/>
  <c r="B525" i="14" s="1"/>
  <c r="C525" i="14" a="1"/>
  <c r="C525" i="14" s="1"/>
  <c r="A526" i="14" a="1"/>
  <c r="A526" i="14" s="1"/>
  <c r="B526" i="14" a="1"/>
  <c r="B526" i="14" s="1"/>
  <c r="C526" i="14" a="1"/>
  <c r="C526" i="14" s="1"/>
  <c r="A527" i="14" a="1"/>
  <c r="A527" i="14" s="1"/>
  <c r="B527" i="14" a="1"/>
  <c r="B527" i="14" s="1"/>
  <c r="C527" i="14" a="1"/>
  <c r="C527" i="14" s="1"/>
  <c r="A528" i="14" a="1"/>
  <c r="A528" i="14" s="1"/>
  <c r="B528" i="14" a="1"/>
  <c r="B528" i="14" s="1"/>
  <c r="C528" i="14" a="1"/>
  <c r="C528" i="14" s="1"/>
  <c r="A529" i="14" a="1"/>
  <c r="A529" i="14" s="1"/>
  <c r="B529" i="14" a="1"/>
  <c r="B529" i="14" s="1"/>
  <c r="C529" i="14" a="1"/>
  <c r="C529" i="14" s="1"/>
  <c r="A530" i="14" a="1"/>
  <c r="A530" i="14" s="1"/>
  <c r="B530" i="14" a="1"/>
  <c r="B530" i="14" s="1"/>
  <c r="C530" i="14" a="1"/>
  <c r="C530" i="14" s="1"/>
  <c r="A531" i="14" a="1"/>
  <c r="A531" i="14" s="1"/>
  <c r="B531" i="14" a="1"/>
  <c r="B531" i="14" s="1"/>
  <c r="C531" i="14" a="1"/>
  <c r="C531" i="14" s="1"/>
  <c r="A532" i="14" a="1"/>
  <c r="A532" i="14" s="1"/>
  <c r="B532" i="14" a="1"/>
  <c r="B532" i="14" s="1"/>
  <c r="C532" i="14" a="1"/>
  <c r="C532" i="14" s="1"/>
  <c r="A533" i="14" a="1"/>
  <c r="A533" i="14" s="1"/>
  <c r="B533" i="14" a="1"/>
  <c r="B533" i="14" s="1"/>
  <c r="C533" i="14" a="1"/>
  <c r="C533" i="14" s="1"/>
  <c r="A534" i="14" a="1"/>
  <c r="A534" i="14" s="1"/>
  <c r="B534" i="14" a="1"/>
  <c r="B534" i="14" s="1"/>
  <c r="C534" i="14" a="1"/>
  <c r="C534" i="14" s="1"/>
  <c r="A535" i="14" a="1"/>
  <c r="A535" i="14" s="1"/>
  <c r="B535" i="14" a="1"/>
  <c r="B535" i="14" s="1"/>
  <c r="C535" i="14" a="1"/>
  <c r="C535" i="14" s="1"/>
  <c r="A536" i="14" a="1"/>
  <c r="A536" i="14" s="1"/>
  <c r="B536" i="14" a="1"/>
  <c r="B536" i="14" s="1"/>
  <c r="C536" i="14" a="1"/>
  <c r="C536" i="14" s="1"/>
  <c r="A537" i="14" a="1"/>
  <c r="A537" i="14" s="1"/>
  <c r="B537" i="14" a="1"/>
  <c r="B537" i="14" s="1"/>
  <c r="C537" i="14" a="1"/>
  <c r="C537" i="14" s="1"/>
  <c r="A538" i="14" a="1"/>
  <c r="A538" i="14" s="1"/>
  <c r="B538" i="14" a="1"/>
  <c r="B538" i="14" s="1"/>
  <c r="C538" i="14" a="1"/>
  <c r="C538" i="14" s="1"/>
  <c r="A539" i="14" a="1"/>
  <c r="A539" i="14" s="1"/>
  <c r="B539" i="14" a="1"/>
  <c r="B539" i="14" s="1"/>
  <c r="C539" i="14" a="1"/>
  <c r="C539" i="14" s="1"/>
  <c r="A540" i="14" a="1"/>
  <c r="A540" i="14" s="1"/>
  <c r="B540" i="14" a="1"/>
  <c r="B540" i="14" s="1"/>
  <c r="C540" i="14" a="1"/>
  <c r="C540" i="14" s="1"/>
  <c r="A541" i="14" a="1"/>
  <c r="A541" i="14" s="1"/>
  <c r="B541" i="14" a="1"/>
  <c r="B541" i="14" s="1"/>
  <c r="C541" i="14" a="1"/>
  <c r="C541" i="14" s="1"/>
  <c r="A542" i="14" a="1"/>
  <c r="A542" i="14" s="1"/>
  <c r="B542" i="14" a="1"/>
  <c r="B542" i="14" s="1"/>
  <c r="C542" i="14" a="1"/>
  <c r="C542" i="14" s="1"/>
  <c r="A543" i="14" a="1"/>
  <c r="A543" i="14" s="1"/>
  <c r="B543" i="14" a="1"/>
  <c r="B543" i="14" s="1"/>
  <c r="C543" i="14" a="1"/>
  <c r="C543" i="14" s="1"/>
  <c r="A544" i="14" a="1"/>
  <c r="A544" i="14" s="1"/>
  <c r="B544" i="14" a="1"/>
  <c r="B544" i="14" s="1"/>
  <c r="C544" i="14" a="1"/>
  <c r="C544" i="14" s="1"/>
  <c r="A545" i="14" a="1"/>
  <c r="A545" i="14" s="1"/>
  <c r="B545" i="14" a="1"/>
  <c r="B545" i="14" s="1"/>
  <c r="C545" i="14" a="1"/>
  <c r="C545" i="14" s="1"/>
  <c r="A546" i="14" a="1"/>
  <c r="A546" i="14" s="1"/>
  <c r="B546" i="14" a="1"/>
  <c r="B546" i="14" s="1"/>
  <c r="C546" i="14" a="1"/>
  <c r="C546" i="14" s="1"/>
  <c r="A547" i="14" a="1"/>
  <c r="A547" i="14" s="1"/>
  <c r="B547" i="14" a="1"/>
  <c r="B547" i="14" s="1"/>
  <c r="C547" i="14" a="1"/>
  <c r="C547" i="14" s="1"/>
  <c r="A476" i="14" a="1"/>
  <c r="A476" i="14" s="1"/>
  <c r="B476" i="14" a="1"/>
  <c r="B476" i="14" s="1"/>
  <c r="C476" i="14" a="1"/>
  <c r="C476" i="14" s="1"/>
  <c r="A477" i="14" a="1"/>
  <c r="A477" i="14" s="1"/>
  <c r="B477" i="14" a="1"/>
  <c r="B477" i="14" s="1"/>
  <c r="C477" i="14" a="1"/>
  <c r="C477" i="14" s="1"/>
  <c r="A478" i="14" a="1"/>
  <c r="A478" i="14" s="1"/>
  <c r="B478" i="14" a="1"/>
  <c r="B478" i="14" s="1"/>
  <c r="C478" i="14" a="1"/>
  <c r="C478" i="14" s="1"/>
  <c r="A479" i="14" a="1"/>
  <c r="A479" i="14" s="1"/>
  <c r="B479" i="14" a="1"/>
  <c r="B479" i="14" s="1"/>
  <c r="C479" i="14" a="1"/>
  <c r="C479" i="14" s="1"/>
  <c r="A480" i="14" a="1"/>
  <c r="A480" i="14" s="1"/>
  <c r="B480" i="14" a="1"/>
  <c r="B480" i="14" s="1"/>
  <c r="C480" i="14" a="1"/>
  <c r="C480" i="14" s="1"/>
  <c r="A481" i="14" a="1"/>
  <c r="A481" i="14" s="1"/>
  <c r="B481" i="14" a="1"/>
  <c r="B481" i="14" s="1"/>
  <c r="C481" i="14" a="1"/>
  <c r="C481" i="14" s="1"/>
  <c r="A482" i="14" a="1"/>
  <c r="A482" i="14" s="1"/>
  <c r="B482" i="14" a="1"/>
  <c r="B482" i="14" s="1"/>
  <c r="C482" i="14" a="1"/>
  <c r="C482" i="14" s="1"/>
  <c r="A483" i="14" a="1"/>
  <c r="A483" i="14" s="1"/>
  <c r="B483" i="14" a="1"/>
  <c r="B483" i="14" s="1"/>
  <c r="C483" i="14" a="1"/>
  <c r="C483" i="14" s="1"/>
  <c r="A484" i="14" a="1"/>
  <c r="A484" i="14" s="1"/>
  <c r="B484" i="14" a="1"/>
  <c r="B484" i="14" s="1"/>
  <c r="C484" i="14" a="1"/>
  <c r="C484" i="14" s="1"/>
  <c r="A485" i="14" a="1"/>
  <c r="A485" i="14" s="1"/>
  <c r="B485" i="14" a="1"/>
  <c r="B485" i="14" s="1"/>
  <c r="C485" i="14" a="1"/>
  <c r="C485" i="14" s="1"/>
  <c r="A486" i="14" a="1"/>
  <c r="A486" i="14" s="1"/>
  <c r="B486" i="14" a="1"/>
  <c r="B486" i="14" s="1"/>
  <c r="C486" i="14" a="1"/>
  <c r="C486" i="14" s="1"/>
  <c r="A487" i="14" a="1"/>
  <c r="A487" i="14" s="1"/>
  <c r="B487" i="14" a="1"/>
  <c r="B487" i="14" s="1"/>
  <c r="C487" i="14" a="1"/>
  <c r="C487" i="14" s="1"/>
  <c r="A488" i="14" a="1"/>
  <c r="A488" i="14" s="1"/>
  <c r="B488" i="14" a="1"/>
  <c r="B488" i="14" s="1"/>
  <c r="C488" i="14" a="1"/>
  <c r="C488" i="14" s="1"/>
  <c r="A489" i="14" a="1"/>
  <c r="A489" i="14" s="1"/>
  <c r="B489" i="14" a="1"/>
  <c r="B489" i="14" s="1"/>
  <c r="C489" i="14" a="1"/>
  <c r="C489" i="14" s="1"/>
  <c r="A490" i="14" a="1"/>
  <c r="A490" i="14" s="1"/>
  <c r="B490" i="14" a="1"/>
  <c r="B490" i="14" s="1"/>
  <c r="C490" i="14" a="1"/>
  <c r="C490" i="14" s="1"/>
  <c r="A491" i="14" a="1"/>
  <c r="A491" i="14" s="1"/>
  <c r="B491" i="14" a="1"/>
  <c r="B491" i="14" s="1"/>
  <c r="C491" i="14" a="1"/>
  <c r="C491" i="14" s="1"/>
  <c r="A492" i="14" a="1"/>
  <c r="A492" i="14" s="1"/>
  <c r="B492" i="14" a="1"/>
  <c r="B492" i="14" s="1"/>
  <c r="C492" i="14" a="1"/>
  <c r="C492" i="14" s="1"/>
  <c r="A493" i="14" a="1"/>
  <c r="A493" i="14" s="1"/>
  <c r="B493" i="14" a="1"/>
  <c r="B493" i="14" s="1"/>
  <c r="C493" i="14" a="1"/>
  <c r="C493" i="14" s="1"/>
  <c r="A494" i="14" a="1"/>
  <c r="A494" i="14" s="1"/>
  <c r="B494" i="14" a="1"/>
  <c r="B494" i="14" s="1"/>
  <c r="C494" i="14" a="1"/>
  <c r="C494" i="14"/>
  <c r="A495" i="14" a="1"/>
  <c r="A495" i="14" s="1"/>
  <c r="B495" i="14" a="1"/>
  <c r="B495" i="14" s="1"/>
  <c r="C495" i="14" a="1"/>
  <c r="C495" i="14" s="1"/>
  <c r="A496" i="14" a="1"/>
  <c r="A496" i="14" s="1"/>
  <c r="B496" i="14" a="1"/>
  <c r="B496" i="14" s="1"/>
  <c r="C496" i="14" a="1"/>
  <c r="C496" i="14" s="1"/>
  <c r="A497" i="14" a="1"/>
  <c r="A497" i="14" s="1"/>
  <c r="B497" i="14" a="1"/>
  <c r="B497" i="14" s="1"/>
  <c r="C497" i="14" a="1"/>
  <c r="C497" i="14" s="1"/>
  <c r="A498" i="14" a="1"/>
  <c r="A498" i="14" s="1"/>
  <c r="B498" i="14" a="1"/>
  <c r="B498" i="14" s="1"/>
  <c r="C498" i="14" a="1"/>
  <c r="C498" i="14" s="1"/>
  <c r="A499" i="14" a="1"/>
  <c r="A499" i="14" s="1"/>
  <c r="B499" i="14" a="1"/>
  <c r="B499" i="14" s="1"/>
  <c r="C499" i="14" a="1"/>
  <c r="C499" i="14" s="1"/>
  <c r="A500" i="14" a="1"/>
  <c r="A500" i="14" s="1"/>
  <c r="B500" i="14" a="1"/>
  <c r="B500" i="14" s="1"/>
  <c r="C500" i="14" a="1"/>
  <c r="C500" i="14" s="1"/>
  <c r="A501" i="14" a="1"/>
  <c r="A501" i="14" s="1"/>
  <c r="B501" i="14" a="1"/>
  <c r="B501" i="14" s="1"/>
  <c r="C501" i="14" a="1"/>
  <c r="C501" i="14" s="1"/>
  <c r="A502" i="14" a="1"/>
  <c r="A502" i="14" s="1"/>
  <c r="B502" i="14" a="1"/>
  <c r="B502" i="14" s="1"/>
  <c r="C502" i="14" a="1"/>
  <c r="C502" i="14" s="1"/>
  <c r="A503" i="14" a="1"/>
  <c r="A503" i="14" s="1"/>
  <c r="B503" i="14" a="1"/>
  <c r="B503" i="14" s="1"/>
  <c r="C503" i="14" a="1"/>
  <c r="C503" i="14" s="1"/>
  <c r="A504" i="14" a="1"/>
  <c r="A504" i="14" s="1"/>
  <c r="B504" i="14" a="1"/>
  <c r="B504" i="14" s="1"/>
  <c r="C504" i="14" a="1"/>
  <c r="C504" i="14" s="1"/>
  <c r="A505" i="14" a="1"/>
  <c r="A505" i="14" s="1"/>
  <c r="B505" i="14" a="1"/>
  <c r="B505" i="14" s="1"/>
  <c r="C505" i="14" a="1"/>
  <c r="C505" i="14" s="1"/>
  <c r="A506" i="14" a="1"/>
  <c r="A506" i="14" s="1"/>
  <c r="B506" i="14" a="1"/>
  <c r="B506" i="14" s="1"/>
  <c r="C506" i="14" a="1"/>
  <c r="C506" i="14" s="1"/>
  <c r="A507" i="14" a="1"/>
  <c r="A507" i="14" s="1"/>
  <c r="B507" i="14" a="1"/>
  <c r="B507" i="14" s="1"/>
  <c r="C507" i="14" a="1"/>
  <c r="C507" i="14" s="1"/>
  <c r="A508" i="14" a="1"/>
  <c r="A508" i="14" s="1"/>
  <c r="B508" i="14" a="1"/>
  <c r="B508" i="14" s="1"/>
  <c r="C508" i="14" a="1"/>
  <c r="C508" i="14" s="1"/>
  <c r="A509" i="14" a="1"/>
  <c r="A509" i="14" s="1"/>
  <c r="B509" i="14" a="1"/>
  <c r="B509" i="14" s="1"/>
  <c r="C509" i="14" a="1"/>
  <c r="C509" i="14" s="1"/>
  <c r="A438" i="14" a="1"/>
  <c r="A438" i="14" s="1"/>
  <c r="B438" i="14" a="1"/>
  <c r="B438" i="14" s="1"/>
  <c r="C438" i="14" a="1"/>
  <c r="C438" i="14" s="1"/>
  <c r="A439" i="14" a="1"/>
  <c r="A439" i="14" s="1"/>
  <c r="B439" i="14" a="1"/>
  <c r="B439" i="14" s="1"/>
  <c r="C439" i="14" a="1"/>
  <c r="C439" i="14" s="1"/>
  <c r="A440" i="14" a="1"/>
  <c r="A440" i="14" s="1"/>
  <c r="B440" i="14" a="1"/>
  <c r="B440" i="14" s="1"/>
  <c r="C440" i="14" a="1"/>
  <c r="C440" i="14" s="1"/>
  <c r="A441" i="14" a="1"/>
  <c r="A441" i="14" s="1"/>
  <c r="B441" i="14" a="1"/>
  <c r="B441" i="14" s="1"/>
  <c r="C441" i="14" a="1"/>
  <c r="C441" i="14" s="1"/>
  <c r="A442" i="14" a="1"/>
  <c r="A442" i="14" s="1"/>
  <c r="B442" i="14" a="1"/>
  <c r="B442" i="14" s="1"/>
  <c r="C442" i="14" a="1"/>
  <c r="C442" i="14" s="1"/>
  <c r="A443" i="14" a="1"/>
  <c r="A443" i="14" s="1"/>
  <c r="B443" i="14" a="1"/>
  <c r="B443" i="14" s="1"/>
  <c r="C443" i="14" a="1"/>
  <c r="C443" i="14" s="1"/>
  <c r="A444" i="14" a="1"/>
  <c r="A444" i="14" s="1"/>
  <c r="B444" i="14" a="1"/>
  <c r="B444" i="14" s="1"/>
  <c r="C444" i="14" a="1"/>
  <c r="C444" i="14" s="1"/>
  <c r="A445" i="14" a="1"/>
  <c r="A445" i="14" s="1"/>
  <c r="B445" i="14" a="1"/>
  <c r="B445" i="14" s="1"/>
  <c r="C445" i="14" a="1"/>
  <c r="C445" i="14" s="1"/>
  <c r="A446" i="14" a="1"/>
  <c r="A446" i="14" s="1"/>
  <c r="B446" i="14" a="1"/>
  <c r="B446" i="14" s="1"/>
  <c r="C446" i="14" a="1"/>
  <c r="C446" i="14" s="1"/>
  <c r="A447" i="14" a="1"/>
  <c r="A447" i="14" s="1"/>
  <c r="B447" i="14" a="1"/>
  <c r="B447" i="14" s="1"/>
  <c r="C447" i="14" a="1"/>
  <c r="C447" i="14" s="1"/>
  <c r="A448" i="14" a="1"/>
  <c r="A448" i="14" s="1"/>
  <c r="B448" i="14" a="1"/>
  <c r="B448" i="14" s="1"/>
  <c r="C448" i="14" a="1"/>
  <c r="C448" i="14" s="1"/>
  <c r="A449" i="14" a="1"/>
  <c r="A449" i="14" s="1"/>
  <c r="B449" i="14" a="1"/>
  <c r="B449" i="14" s="1"/>
  <c r="C449" i="14" a="1"/>
  <c r="C449" i="14" s="1"/>
  <c r="A450" i="14" a="1"/>
  <c r="A450" i="14" s="1"/>
  <c r="B450" i="14" a="1"/>
  <c r="B450" i="14" s="1"/>
  <c r="C450" i="14" a="1"/>
  <c r="C450" i="14" s="1"/>
  <c r="A451" i="14" a="1"/>
  <c r="A451" i="14" s="1"/>
  <c r="B451" i="14" a="1"/>
  <c r="B451" i="14" s="1"/>
  <c r="C451" i="14" a="1"/>
  <c r="C451" i="14" s="1"/>
  <c r="A452" i="14" a="1"/>
  <c r="A452" i="14" s="1"/>
  <c r="B452" i="14" a="1"/>
  <c r="B452" i="14" s="1"/>
  <c r="C452" i="14" a="1"/>
  <c r="C452" i="14" s="1"/>
  <c r="A453" i="14" a="1"/>
  <c r="A453" i="14" s="1"/>
  <c r="B453" i="14" a="1"/>
  <c r="B453" i="14" s="1"/>
  <c r="C453" i="14" a="1"/>
  <c r="C453" i="14" s="1"/>
  <c r="A454" i="14" a="1"/>
  <c r="A454" i="14" s="1"/>
  <c r="B454" i="14" a="1"/>
  <c r="B454" i="14" s="1"/>
  <c r="C454" i="14" a="1"/>
  <c r="C454" i="14" s="1"/>
  <c r="A455" i="14" a="1"/>
  <c r="A455" i="14" s="1"/>
  <c r="B455" i="14" a="1"/>
  <c r="B455" i="14" s="1"/>
  <c r="C455" i="14" a="1"/>
  <c r="C455" i="14" s="1"/>
  <c r="A456" i="14" a="1"/>
  <c r="A456" i="14" s="1"/>
  <c r="B456" i="14" a="1"/>
  <c r="B456" i="14" s="1"/>
  <c r="C456" i="14" a="1"/>
  <c r="C456" i="14" s="1"/>
  <c r="A457" i="14" a="1"/>
  <c r="A457" i="14" s="1"/>
  <c r="B457" i="14" a="1"/>
  <c r="B457" i="14" s="1"/>
  <c r="C457" i="14" a="1"/>
  <c r="C457" i="14" s="1"/>
  <c r="A458" i="14" a="1"/>
  <c r="A458" i="14" s="1"/>
  <c r="B458" i="14" a="1"/>
  <c r="B458" i="14" s="1"/>
  <c r="C458" i="14" a="1"/>
  <c r="C458" i="14" s="1"/>
  <c r="A459" i="14" a="1"/>
  <c r="A459" i="14" s="1"/>
  <c r="B459" i="14" a="1"/>
  <c r="B459" i="14" s="1"/>
  <c r="C459" i="14" a="1"/>
  <c r="C459" i="14" s="1"/>
  <c r="A460" i="14" a="1"/>
  <c r="A460" i="14" s="1"/>
  <c r="B460" i="14" a="1"/>
  <c r="B460" i="14" s="1"/>
  <c r="C460" i="14" a="1"/>
  <c r="C460" i="14" s="1"/>
  <c r="A461" i="14" a="1"/>
  <c r="A461" i="14" s="1"/>
  <c r="B461" i="14" a="1"/>
  <c r="B461" i="14" s="1"/>
  <c r="C461" i="14" a="1"/>
  <c r="C461" i="14" s="1"/>
  <c r="A462" i="14" a="1"/>
  <c r="A462" i="14" s="1"/>
  <c r="B462" i="14" a="1"/>
  <c r="B462" i="14" s="1"/>
  <c r="C462" i="14" a="1"/>
  <c r="C462" i="14" s="1"/>
  <c r="A463" i="14" a="1"/>
  <c r="A463" i="14" s="1"/>
  <c r="B463" i="14" a="1"/>
  <c r="B463" i="14" s="1"/>
  <c r="C463" i="14" a="1"/>
  <c r="C463" i="14" s="1"/>
  <c r="A464" i="14" a="1"/>
  <c r="A464" i="14" s="1"/>
  <c r="B464" i="14" a="1"/>
  <c r="B464" i="14" s="1"/>
  <c r="C464" i="14" a="1"/>
  <c r="C464" i="14" s="1"/>
  <c r="A465" i="14" a="1"/>
  <c r="A465" i="14" s="1"/>
  <c r="B465" i="14" a="1"/>
  <c r="B465" i="14" s="1"/>
  <c r="C465" i="14" a="1"/>
  <c r="C465" i="14" s="1"/>
  <c r="A466" i="14" a="1"/>
  <c r="A466" i="14" s="1"/>
  <c r="B466" i="14" a="1"/>
  <c r="B466" i="14" s="1"/>
  <c r="C466" i="14" a="1"/>
  <c r="C466" i="14" s="1"/>
  <c r="A467" i="14" a="1"/>
  <c r="A467" i="14" s="1"/>
  <c r="B467" i="14" a="1"/>
  <c r="B467" i="14" s="1"/>
  <c r="C467" i="14" a="1"/>
  <c r="C467" i="14" s="1"/>
  <c r="A468" i="14" a="1"/>
  <c r="A468" i="14" s="1"/>
  <c r="B468" i="14" a="1"/>
  <c r="B468" i="14" s="1"/>
  <c r="C468" i="14" a="1"/>
  <c r="C468" i="14" s="1"/>
  <c r="A469" i="14" a="1"/>
  <c r="A469" i="14" s="1"/>
  <c r="B469" i="14" a="1"/>
  <c r="B469" i="14" s="1"/>
  <c r="C469" i="14" a="1"/>
  <c r="C469" i="14" s="1"/>
  <c r="A470" i="14" a="1"/>
  <c r="A470" i="14" s="1"/>
  <c r="B470" i="14" a="1"/>
  <c r="B470" i="14" s="1"/>
  <c r="C470" i="14" a="1"/>
  <c r="C470" i="14" s="1"/>
  <c r="A471" i="14" a="1"/>
  <c r="A471" i="14" s="1"/>
  <c r="B471" i="14" a="1"/>
  <c r="B471" i="14" s="1"/>
  <c r="C471" i="14" a="1"/>
  <c r="C471" i="14" s="1"/>
  <c r="A400" i="14" a="1"/>
  <c r="A400" i="14" s="1"/>
  <c r="B400" i="14" a="1"/>
  <c r="B400" i="14" s="1"/>
  <c r="C400" i="14" a="1"/>
  <c r="C400" i="14" s="1"/>
  <c r="A401" i="14" a="1"/>
  <c r="A401" i="14" s="1"/>
  <c r="B401" i="14" a="1"/>
  <c r="B401" i="14" s="1"/>
  <c r="C401" i="14" a="1"/>
  <c r="C401" i="14" s="1"/>
  <c r="A402" i="14" a="1"/>
  <c r="A402" i="14" s="1"/>
  <c r="B402" i="14" a="1"/>
  <c r="B402" i="14" s="1"/>
  <c r="C402" i="14" a="1"/>
  <c r="C402" i="14" s="1"/>
  <c r="A403" i="14" a="1"/>
  <c r="A403" i="14" s="1"/>
  <c r="B403" i="14" a="1"/>
  <c r="B403" i="14" s="1"/>
  <c r="C403" i="14" a="1"/>
  <c r="C403" i="14" s="1"/>
  <c r="A404" i="14" a="1"/>
  <c r="A404" i="14" s="1"/>
  <c r="B404" i="14" a="1"/>
  <c r="B404" i="14" s="1"/>
  <c r="C404" i="14" a="1"/>
  <c r="C404" i="14" s="1"/>
  <c r="A405" i="14" a="1"/>
  <c r="A405" i="14" s="1"/>
  <c r="B405" i="14" a="1"/>
  <c r="B405" i="14" s="1"/>
  <c r="C405" i="14" a="1"/>
  <c r="C405" i="14" s="1"/>
  <c r="A406" i="14" a="1"/>
  <c r="A406" i="14" s="1"/>
  <c r="B406" i="14" a="1"/>
  <c r="B406" i="14" s="1"/>
  <c r="C406" i="14" a="1"/>
  <c r="C406" i="14" s="1"/>
  <c r="A407" i="14" a="1"/>
  <c r="A407" i="14" s="1"/>
  <c r="B407" i="14" a="1"/>
  <c r="B407" i="14" s="1"/>
  <c r="C407" i="14" a="1"/>
  <c r="C407" i="14" s="1"/>
  <c r="A408" i="14" a="1"/>
  <c r="A408" i="14" s="1"/>
  <c r="B408" i="14" a="1"/>
  <c r="B408" i="14" s="1"/>
  <c r="C408" i="14" a="1"/>
  <c r="C408" i="14" s="1"/>
  <c r="A409" i="14" a="1"/>
  <c r="A409" i="14" s="1"/>
  <c r="B409" i="14" a="1"/>
  <c r="B409" i="14" s="1"/>
  <c r="C409" i="14" a="1"/>
  <c r="C409" i="14" s="1"/>
  <c r="A410" i="14" a="1"/>
  <c r="A410" i="14" s="1"/>
  <c r="B410" i="14" a="1"/>
  <c r="B410" i="14" s="1"/>
  <c r="C410" i="14" a="1"/>
  <c r="C410" i="14" s="1"/>
  <c r="A411" i="14" a="1"/>
  <c r="A411" i="14" s="1"/>
  <c r="B411" i="14" a="1"/>
  <c r="B411" i="14" s="1"/>
  <c r="C411" i="14" a="1"/>
  <c r="C411" i="14" s="1"/>
  <c r="A412" i="14" a="1"/>
  <c r="A412" i="14" s="1"/>
  <c r="B412" i="14" a="1"/>
  <c r="B412" i="14" s="1"/>
  <c r="C412" i="14" a="1"/>
  <c r="C412" i="14" s="1"/>
  <c r="A413" i="14" a="1"/>
  <c r="A413" i="14" s="1"/>
  <c r="B413" i="14" a="1"/>
  <c r="B413" i="14" s="1"/>
  <c r="C413" i="14" a="1"/>
  <c r="C413" i="14" s="1"/>
  <c r="A414" i="14" a="1"/>
  <c r="A414" i="14" s="1"/>
  <c r="B414" i="14" a="1"/>
  <c r="B414" i="14" s="1"/>
  <c r="C414" i="14" a="1"/>
  <c r="C414" i="14" s="1"/>
  <c r="A415" i="14" a="1"/>
  <c r="A415" i="14" s="1"/>
  <c r="B415" i="14" a="1"/>
  <c r="B415" i="14" s="1"/>
  <c r="C415" i="14" a="1"/>
  <c r="C415" i="14" s="1"/>
  <c r="A416" i="14" a="1"/>
  <c r="A416" i="14" s="1"/>
  <c r="B416" i="14" a="1"/>
  <c r="B416" i="14" s="1"/>
  <c r="C416" i="14" a="1"/>
  <c r="C416" i="14" s="1"/>
  <c r="A417" i="14" a="1"/>
  <c r="A417" i="14" s="1"/>
  <c r="B417" i="14" a="1"/>
  <c r="B417" i="14" s="1"/>
  <c r="C417" i="14" a="1"/>
  <c r="C417" i="14" s="1"/>
  <c r="A418" i="14" a="1"/>
  <c r="A418" i="14" s="1"/>
  <c r="B418" i="14" a="1"/>
  <c r="B418" i="14" s="1"/>
  <c r="C418" i="14" a="1"/>
  <c r="C418" i="14" s="1"/>
  <c r="A419" i="14" a="1"/>
  <c r="A419" i="14" s="1"/>
  <c r="B419" i="14" a="1"/>
  <c r="B419" i="14" s="1"/>
  <c r="C419" i="14" a="1"/>
  <c r="C419" i="14" s="1"/>
  <c r="A420" i="14" a="1"/>
  <c r="A420" i="14" s="1"/>
  <c r="B420" i="14" a="1"/>
  <c r="B420" i="14" s="1"/>
  <c r="C420" i="14" a="1"/>
  <c r="C420" i="14" s="1"/>
  <c r="A421" i="14" a="1"/>
  <c r="A421" i="14" s="1"/>
  <c r="B421" i="14" a="1"/>
  <c r="B421" i="14" s="1"/>
  <c r="C421" i="14" a="1"/>
  <c r="C421" i="14" s="1"/>
  <c r="A422" i="14" a="1"/>
  <c r="A422" i="14" s="1"/>
  <c r="B422" i="14" a="1"/>
  <c r="B422" i="14" s="1"/>
  <c r="C422" i="14" a="1"/>
  <c r="C422" i="14" s="1"/>
  <c r="A423" i="14" a="1"/>
  <c r="A423" i="14" s="1"/>
  <c r="B423" i="14" a="1"/>
  <c r="B423" i="14" s="1"/>
  <c r="C423" i="14" a="1"/>
  <c r="C423" i="14" s="1"/>
  <c r="A424" i="14" a="1"/>
  <c r="A424" i="14" s="1"/>
  <c r="B424" i="14" a="1"/>
  <c r="B424" i="14" s="1"/>
  <c r="C424" i="14" a="1"/>
  <c r="C424" i="14" s="1"/>
  <c r="A425" i="14" a="1"/>
  <c r="A425" i="14" s="1"/>
  <c r="B425" i="14" a="1"/>
  <c r="B425" i="14" s="1"/>
  <c r="C425" i="14" a="1"/>
  <c r="C425" i="14" s="1"/>
  <c r="A426" i="14" a="1"/>
  <c r="A426" i="14" s="1"/>
  <c r="B426" i="14" a="1"/>
  <c r="B426" i="14" s="1"/>
  <c r="C426" i="14" a="1"/>
  <c r="C426" i="14" s="1"/>
  <c r="A427" i="14" a="1"/>
  <c r="A427" i="14" s="1"/>
  <c r="B427" i="14" a="1"/>
  <c r="B427" i="14" s="1"/>
  <c r="C427" i="14" a="1"/>
  <c r="C427" i="14" s="1"/>
  <c r="A428" i="14" a="1"/>
  <c r="A428" i="14" s="1"/>
  <c r="B428" i="14" a="1"/>
  <c r="B428" i="14" s="1"/>
  <c r="C428" i="14" a="1"/>
  <c r="C428" i="14" s="1"/>
  <c r="A429" i="14" a="1"/>
  <c r="A429" i="14" s="1"/>
  <c r="B429" i="14" a="1"/>
  <c r="B429" i="14" s="1"/>
  <c r="C429" i="14" a="1"/>
  <c r="C429" i="14" s="1"/>
  <c r="A430" i="14" a="1"/>
  <c r="A430" i="14" s="1"/>
  <c r="B430" i="14" a="1"/>
  <c r="B430" i="14" s="1"/>
  <c r="C430" i="14" a="1"/>
  <c r="C430" i="14" s="1"/>
  <c r="A431" i="14" a="1"/>
  <c r="A431" i="14" s="1"/>
  <c r="B431" i="14" a="1"/>
  <c r="B431" i="14" s="1"/>
  <c r="C431" i="14" a="1"/>
  <c r="C431" i="14" s="1"/>
  <c r="A432" i="14" a="1"/>
  <c r="A432" i="14" s="1"/>
  <c r="B432" i="14" a="1"/>
  <c r="B432" i="14" s="1"/>
  <c r="C432" i="14" a="1"/>
  <c r="C432" i="14" s="1"/>
  <c r="A433" i="14" a="1"/>
  <c r="A433" i="14" s="1"/>
  <c r="B433" i="14" a="1"/>
  <c r="B433" i="14" s="1"/>
  <c r="C433" i="14" a="1"/>
  <c r="C433" i="14" s="1"/>
  <c r="A362" i="14" a="1"/>
  <c r="A362" i="14" s="1"/>
  <c r="B362" i="14" a="1"/>
  <c r="B362" i="14" s="1"/>
  <c r="C362" i="14" a="1"/>
  <c r="C362" i="14" s="1"/>
  <c r="A363" i="14" a="1"/>
  <c r="A363" i="14" s="1"/>
  <c r="B363" i="14" a="1"/>
  <c r="B363" i="14" s="1"/>
  <c r="C363" i="14" a="1"/>
  <c r="C363" i="14" s="1"/>
  <c r="A364" i="14" a="1"/>
  <c r="A364" i="14" s="1"/>
  <c r="B364" i="14" a="1"/>
  <c r="B364" i="14" s="1"/>
  <c r="C364" i="14" a="1"/>
  <c r="C364" i="14" s="1"/>
  <c r="A365" i="14" a="1"/>
  <c r="A365" i="14" s="1"/>
  <c r="B365" i="14" a="1"/>
  <c r="B365" i="14" s="1"/>
  <c r="C365" i="14" a="1"/>
  <c r="C365" i="14" s="1"/>
  <c r="A366" i="14" a="1"/>
  <c r="A366" i="14" s="1"/>
  <c r="B366" i="14" a="1"/>
  <c r="B366" i="14" s="1"/>
  <c r="C366" i="14" a="1"/>
  <c r="C366" i="14" s="1"/>
  <c r="A367" i="14" a="1"/>
  <c r="A367" i="14" s="1"/>
  <c r="B367" i="14" a="1"/>
  <c r="B367" i="14" s="1"/>
  <c r="C367" i="14" a="1"/>
  <c r="C367" i="14" s="1"/>
  <c r="A368" i="14" a="1"/>
  <c r="A368" i="14" s="1"/>
  <c r="B368" i="14" a="1"/>
  <c r="B368" i="14" s="1"/>
  <c r="C368" i="14" a="1"/>
  <c r="C368" i="14" s="1"/>
  <c r="A369" i="14" a="1"/>
  <c r="A369" i="14" s="1"/>
  <c r="B369" i="14" a="1"/>
  <c r="B369" i="14" s="1"/>
  <c r="C369" i="14" a="1"/>
  <c r="C369" i="14" s="1"/>
  <c r="A370" i="14" a="1"/>
  <c r="A370" i="14" s="1"/>
  <c r="B370" i="14" a="1"/>
  <c r="B370" i="14" s="1"/>
  <c r="C370" i="14" a="1"/>
  <c r="C370" i="14" s="1"/>
  <c r="A371" i="14" a="1"/>
  <c r="A371" i="14" s="1"/>
  <c r="B371" i="14" a="1"/>
  <c r="B371" i="14" s="1"/>
  <c r="C371" i="14" a="1"/>
  <c r="C371" i="14" s="1"/>
  <c r="A372" i="14" a="1"/>
  <c r="A372" i="14" s="1"/>
  <c r="B372" i="14" a="1"/>
  <c r="B372" i="14" s="1"/>
  <c r="C372" i="14" a="1"/>
  <c r="C372" i="14" s="1"/>
  <c r="A373" i="14" a="1"/>
  <c r="A373" i="14" s="1"/>
  <c r="B373" i="14" a="1"/>
  <c r="B373" i="14" s="1"/>
  <c r="C373" i="14" a="1"/>
  <c r="C373" i="14" s="1"/>
  <c r="A374" i="14" a="1"/>
  <c r="A374" i="14" s="1"/>
  <c r="B374" i="14" a="1"/>
  <c r="B374" i="14" s="1"/>
  <c r="C374" i="14" a="1"/>
  <c r="C374" i="14" s="1"/>
  <c r="A375" i="14" a="1"/>
  <c r="A375" i="14" s="1"/>
  <c r="B375" i="14" a="1"/>
  <c r="B375" i="14" s="1"/>
  <c r="C375" i="14" a="1"/>
  <c r="C375" i="14" s="1"/>
  <c r="A376" i="14" a="1"/>
  <c r="A376" i="14" s="1"/>
  <c r="B376" i="14" a="1"/>
  <c r="B376" i="14" s="1"/>
  <c r="C376" i="14" a="1"/>
  <c r="C376" i="14" s="1"/>
  <c r="A377" i="14" a="1"/>
  <c r="A377" i="14" s="1"/>
  <c r="B377" i="14" a="1"/>
  <c r="B377" i="14" s="1"/>
  <c r="C377" i="14" a="1"/>
  <c r="C377" i="14" s="1"/>
  <c r="A378" i="14" a="1"/>
  <c r="A378" i="14" s="1"/>
  <c r="B378" i="14" a="1"/>
  <c r="B378" i="14" s="1"/>
  <c r="C378" i="14" a="1"/>
  <c r="C378" i="14" s="1"/>
  <c r="A379" i="14" a="1"/>
  <c r="A379" i="14" s="1"/>
  <c r="B379" i="14" a="1"/>
  <c r="B379" i="14" s="1"/>
  <c r="C379" i="14" a="1"/>
  <c r="C379" i="14" s="1"/>
  <c r="A380" i="14" a="1"/>
  <c r="A380" i="14" s="1"/>
  <c r="B380" i="14" a="1"/>
  <c r="B380" i="14" s="1"/>
  <c r="C380" i="14" a="1"/>
  <c r="C380" i="14" s="1"/>
  <c r="A381" i="14" a="1"/>
  <c r="A381" i="14" s="1"/>
  <c r="B381" i="14" a="1"/>
  <c r="B381" i="14" s="1"/>
  <c r="C381" i="14" a="1"/>
  <c r="C381" i="14" s="1"/>
  <c r="A382" i="14" a="1"/>
  <c r="A382" i="14" s="1"/>
  <c r="B382" i="14" a="1"/>
  <c r="B382" i="14" s="1"/>
  <c r="C382" i="14" a="1"/>
  <c r="C382" i="14" s="1"/>
  <c r="A383" i="14" a="1"/>
  <c r="A383" i="14" s="1"/>
  <c r="B383" i="14" a="1"/>
  <c r="B383" i="14" s="1"/>
  <c r="C383" i="14" a="1"/>
  <c r="C383" i="14" s="1"/>
  <c r="A384" i="14" a="1"/>
  <c r="A384" i="14" s="1"/>
  <c r="B384" i="14" a="1"/>
  <c r="B384" i="14" s="1"/>
  <c r="C384" i="14" a="1"/>
  <c r="C384" i="14" s="1"/>
  <c r="A385" i="14" a="1"/>
  <c r="A385" i="14" s="1"/>
  <c r="B385" i="14" a="1"/>
  <c r="B385" i="14" s="1"/>
  <c r="C385" i="14" a="1"/>
  <c r="C385" i="14" s="1"/>
  <c r="A386" i="14" a="1"/>
  <c r="A386" i="14" s="1"/>
  <c r="B386" i="14" a="1"/>
  <c r="B386" i="14" s="1"/>
  <c r="C386" i="14" a="1"/>
  <c r="C386" i="14" s="1"/>
  <c r="A387" i="14" a="1"/>
  <c r="A387" i="14" s="1"/>
  <c r="B387" i="14" a="1"/>
  <c r="B387" i="14" s="1"/>
  <c r="C387" i="14" a="1"/>
  <c r="C387" i="14" s="1"/>
  <c r="A388" i="14" a="1"/>
  <c r="A388" i="14" s="1"/>
  <c r="B388" i="14" a="1"/>
  <c r="B388" i="14" s="1"/>
  <c r="C388" i="14" a="1"/>
  <c r="C388" i="14" s="1"/>
  <c r="A389" i="14" a="1"/>
  <c r="A389" i="14" s="1"/>
  <c r="B389" i="14" a="1"/>
  <c r="B389" i="14" s="1"/>
  <c r="C389" i="14" a="1"/>
  <c r="C389" i="14" s="1"/>
  <c r="A390" i="14" a="1"/>
  <c r="A390" i="14" s="1"/>
  <c r="B390" i="14" a="1"/>
  <c r="B390" i="14" s="1"/>
  <c r="C390" i="14" a="1"/>
  <c r="C390" i="14" s="1"/>
  <c r="A391" i="14" a="1"/>
  <c r="A391" i="14" s="1"/>
  <c r="B391" i="14" a="1"/>
  <c r="B391" i="14" s="1"/>
  <c r="C391" i="14" a="1"/>
  <c r="C391" i="14" s="1"/>
  <c r="A392" i="14" a="1"/>
  <c r="A392" i="14" s="1"/>
  <c r="B392" i="14" a="1"/>
  <c r="B392" i="14" s="1"/>
  <c r="C392" i="14" a="1"/>
  <c r="C392" i="14" s="1"/>
  <c r="A393" i="14" a="1"/>
  <c r="A393" i="14" s="1"/>
  <c r="B393" i="14" a="1"/>
  <c r="B393" i="14" s="1"/>
  <c r="C393" i="14" a="1"/>
  <c r="C393" i="14" s="1"/>
  <c r="A394" i="14" a="1"/>
  <c r="A394" i="14" s="1"/>
  <c r="B394" i="14" a="1"/>
  <c r="B394" i="14" s="1"/>
  <c r="C394" i="14" a="1"/>
  <c r="C394" i="14" s="1"/>
  <c r="A395" i="14" a="1"/>
  <c r="A395" i="14" s="1"/>
  <c r="B395" i="14" a="1"/>
  <c r="B395" i="14" s="1"/>
  <c r="C395" i="14" a="1"/>
  <c r="C395" i="14" s="1"/>
  <c r="A324" i="14" a="1"/>
  <c r="A324" i="14" s="1"/>
  <c r="B324" i="14" a="1"/>
  <c r="B324" i="14" s="1"/>
  <c r="C324" i="14" a="1"/>
  <c r="C324" i="14" s="1"/>
  <c r="A325" i="14" a="1"/>
  <c r="A325" i="14" s="1"/>
  <c r="B325" i="14" a="1"/>
  <c r="B325" i="14" s="1"/>
  <c r="C325" i="14" a="1"/>
  <c r="C325" i="14" s="1"/>
  <c r="A326" i="14" a="1"/>
  <c r="A326" i="14" s="1"/>
  <c r="B326" i="14" a="1"/>
  <c r="B326" i="14" s="1"/>
  <c r="C326" i="14" a="1"/>
  <c r="C326" i="14" s="1"/>
  <c r="A327" i="14" a="1"/>
  <c r="A327" i="14" s="1"/>
  <c r="B327" i="14" a="1"/>
  <c r="B327" i="14" s="1"/>
  <c r="C327" i="14" a="1"/>
  <c r="C327" i="14" s="1"/>
  <c r="A328" i="14" a="1"/>
  <c r="A328" i="14" s="1"/>
  <c r="B328" i="14" a="1"/>
  <c r="B328" i="14" s="1"/>
  <c r="C328" i="14" a="1"/>
  <c r="C328" i="14" s="1"/>
  <c r="A329" i="14" a="1"/>
  <c r="A329" i="14" s="1"/>
  <c r="B329" i="14" a="1"/>
  <c r="B329" i="14" s="1"/>
  <c r="C329" i="14" a="1"/>
  <c r="C329" i="14" s="1"/>
  <c r="A330" i="14" a="1"/>
  <c r="A330" i="14" s="1"/>
  <c r="B330" i="14" a="1"/>
  <c r="B330" i="14" s="1"/>
  <c r="C330" i="14" a="1"/>
  <c r="C330" i="14" s="1"/>
  <c r="A331" i="14" a="1"/>
  <c r="A331" i="14" s="1"/>
  <c r="B331" i="14" a="1"/>
  <c r="B331" i="14" s="1"/>
  <c r="C331" i="14" a="1"/>
  <c r="C331" i="14" s="1"/>
  <c r="A332" i="14" a="1"/>
  <c r="A332" i="14" s="1"/>
  <c r="B332" i="14" a="1"/>
  <c r="B332" i="14" s="1"/>
  <c r="C332" i="14" a="1"/>
  <c r="C332" i="14" s="1"/>
  <c r="A333" i="14" a="1"/>
  <c r="A333" i="14" s="1"/>
  <c r="B333" i="14" a="1"/>
  <c r="B333" i="14" s="1"/>
  <c r="C333" i="14" a="1"/>
  <c r="C333" i="14" s="1"/>
  <c r="A334" i="14" a="1"/>
  <c r="A334" i="14" s="1"/>
  <c r="B334" i="14" a="1"/>
  <c r="B334" i="14" s="1"/>
  <c r="C334" i="14" a="1"/>
  <c r="C334" i="14" s="1"/>
  <c r="A335" i="14" a="1"/>
  <c r="A335" i="14" s="1"/>
  <c r="B335" i="14" a="1"/>
  <c r="B335" i="14" s="1"/>
  <c r="C335" i="14" a="1"/>
  <c r="C335" i="14" s="1"/>
  <c r="A336" i="14" a="1"/>
  <c r="A336" i="14" s="1"/>
  <c r="B336" i="14" a="1"/>
  <c r="B336" i="14" s="1"/>
  <c r="C336" i="14" a="1"/>
  <c r="C336" i="14" s="1"/>
  <c r="A337" i="14" a="1"/>
  <c r="A337" i="14" s="1"/>
  <c r="B337" i="14" a="1"/>
  <c r="B337" i="14" s="1"/>
  <c r="C337" i="14" a="1"/>
  <c r="C337" i="14" s="1"/>
  <c r="A338" i="14" a="1"/>
  <c r="A338" i="14" s="1"/>
  <c r="B338" i="14" a="1"/>
  <c r="B338" i="14" s="1"/>
  <c r="C338" i="14" a="1"/>
  <c r="C338" i="14" s="1"/>
  <c r="A339" i="14" a="1"/>
  <c r="A339" i="14" s="1"/>
  <c r="B339" i="14" a="1"/>
  <c r="B339" i="14" s="1"/>
  <c r="C339" i="14" a="1"/>
  <c r="C339" i="14" s="1"/>
  <c r="A340" i="14" a="1"/>
  <c r="A340" i="14" s="1"/>
  <c r="B340" i="14" a="1"/>
  <c r="B340" i="14" s="1"/>
  <c r="C340" i="14" a="1"/>
  <c r="C340" i="14" s="1"/>
  <c r="A341" i="14" a="1"/>
  <c r="A341" i="14" s="1"/>
  <c r="B341" i="14" a="1"/>
  <c r="B341" i="14" s="1"/>
  <c r="C341" i="14" a="1"/>
  <c r="C341" i="14" s="1"/>
  <c r="A342" i="14" a="1"/>
  <c r="A342" i="14" s="1"/>
  <c r="B342" i="14" a="1"/>
  <c r="B342" i="14" s="1"/>
  <c r="C342" i="14" a="1"/>
  <c r="C342" i="14" s="1"/>
  <c r="A343" i="14" a="1"/>
  <c r="A343" i="14" s="1"/>
  <c r="B343" i="14" a="1"/>
  <c r="B343" i="14" s="1"/>
  <c r="C343" i="14" a="1"/>
  <c r="C343" i="14" s="1"/>
  <c r="A344" i="14" a="1"/>
  <c r="A344" i="14" s="1"/>
  <c r="B344" i="14" a="1"/>
  <c r="B344" i="14" s="1"/>
  <c r="C344" i="14" a="1"/>
  <c r="C344" i="14" s="1"/>
  <c r="A345" i="14" a="1"/>
  <c r="A345" i="14" s="1"/>
  <c r="B345" i="14" a="1"/>
  <c r="B345" i="14" s="1"/>
  <c r="C345" i="14" a="1"/>
  <c r="C345" i="14" s="1"/>
  <c r="A346" i="14" a="1"/>
  <c r="A346" i="14" s="1"/>
  <c r="B346" i="14" a="1"/>
  <c r="B346" i="14" s="1"/>
  <c r="C346" i="14" a="1"/>
  <c r="C346" i="14" s="1"/>
  <c r="A347" i="14" a="1"/>
  <c r="A347" i="14" s="1"/>
  <c r="B347" i="14" a="1"/>
  <c r="B347" i="14" s="1"/>
  <c r="C347" i="14" a="1"/>
  <c r="C347" i="14" s="1"/>
  <c r="A348" i="14" a="1"/>
  <c r="A348" i="14" s="1"/>
  <c r="B348" i="14" a="1"/>
  <c r="B348" i="14" s="1"/>
  <c r="C348" i="14" a="1"/>
  <c r="C348" i="14" s="1"/>
  <c r="A349" i="14" a="1"/>
  <c r="A349" i="14" s="1"/>
  <c r="B349" i="14" a="1"/>
  <c r="B349" i="14" s="1"/>
  <c r="C349" i="14" a="1"/>
  <c r="C349" i="14" s="1"/>
  <c r="A350" i="14" a="1"/>
  <c r="A350" i="14" s="1"/>
  <c r="B350" i="14" a="1"/>
  <c r="B350" i="14" s="1"/>
  <c r="C350" i="14" a="1"/>
  <c r="C350" i="14" s="1"/>
  <c r="A351" i="14" a="1"/>
  <c r="A351" i="14" s="1"/>
  <c r="B351" i="14" a="1"/>
  <c r="B351" i="14" s="1"/>
  <c r="C351" i="14" a="1"/>
  <c r="C351" i="14" s="1"/>
  <c r="A352" i="14" a="1"/>
  <c r="A352" i="14" s="1"/>
  <c r="B352" i="14" a="1"/>
  <c r="B352" i="14" s="1"/>
  <c r="C352" i="14" a="1"/>
  <c r="C352" i="14" s="1"/>
  <c r="A353" i="14" a="1"/>
  <c r="A353" i="14" s="1"/>
  <c r="B353" i="14" a="1"/>
  <c r="B353" i="14" s="1"/>
  <c r="C353" i="14" a="1"/>
  <c r="C353" i="14" s="1"/>
  <c r="A354" i="14" a="1"/>
  <c r="A354" i="14" s="1"/>
  <c r="B354" i="14" a="1"/>
  <c r="B354" i="14" s="1"/>
  <c r="C354" i="14" a="1"/>
  <c r="C354" i="14" s="1"/>
  <c r="A355" i="14" a="1"/>
  <c r="A355" i="14" s="1"/>
  <c r="B355" i="14" a="1"/>
  <c r="B355" i="14" s="1"/>
  <c r="C355" i="14" a="1"/>
  <c r="C355" i="14" s="1"/>
  <c r="A356" i="14" a="1"/>
  <c r="A356" i="14" s="1"/>
  <c r="B356" i="14" a="1"/>
  <c r="B356" i="14" s="1"/>
  <c r="C356" i="14" a="1"/>
  <c r="C356" i="14" s="1"/>
  <c r="A357" i="14" a="1"/>
  <c r="A357" i="14" s="1"/>
  <c r="B357" i="14" a="1"/>
  <c r="B357" i="14" s="1"/>
  <c r="C357" i="14" a="1"/>
  <c r="C357" i="14" s="1"/>
  <c r="A286" i="14" a="1"/>
  <c r="A286" i="14" s="1"/>
  <c r="B286" i="14" a="1"/>
  <c r="B286" i="14" s="1"/>
  <c r="C286" i="14" a="1"/>
  <c r="C286" i="14" s="1"/>
  <c r="A287" i="14" a="1"/>
  <c r="A287" i="14" s="1"/>
  <c r="B287" i="14" a="1"/>
  <c r="B287" i="14" s="1"/>
  <c r="C287" i="14" a="1"/>
  <c r="C287" i="14" s="1"/>
  <c r="A288" i="14" a="1"/>
  <c r="A288" i="14" s="1"/>
  <c r="B288" i="14" a="1"/>
  <c r="B288" i="14" s="1"/>
  <c r="C288" i="14" a="1"/>
  <c r="C288" i="14" s="1"/>
  <c r="A289" i="14" a="1"/>
  <c r="A289" i="14" s="1"/>
  <c r="B289" i="14" a="1"/>
  <c r="B289" i="14" s="1"/>
  <c r="C289" i="14" a="1"/>
  <c r="C289" i="14" s="1"/>
  <c r="A290" i="14" a="1"/>
  <c r="A290" i="14" s="1"/>
  <c r="B290" i="14" a="1"/>
  <c r="B290" i="14" s="1"/>
  <c r="C290" i="14" a="1"/>
  <c r="C290" i="14" s="1"/>
  <c r="A291" i="14" a="1"/>
  <c r="A291" i="14" s="1"/>
  <c r="B291" i="14" a="1"/>
  <c r="B291" i="14" s="1"/>
  <c r="D291" i="14" s="1"/>
  <c r="C291" i="14" a="1"/>
  <c r="C291" i="14" s="1"/>
  <c r="A292" i="14" a="1"/>
  <c r="A292" i="14" s="1"/>
  <c r="B292" i="14" a="1"/>
  <c r="B292" i="14" s="1"/>
  <c r="C292" i="14" a="1"/>
  <c r="C292" i="14" s="1"/>
  <c r="A293" i="14" a="1"/>
  <c r="A293" i="14" s="1"/>
  <c r="B293" i="14" a="1"/>
  <c r="B293" i="14" s="1"/>
  <c r="C293" i="14" a="1"/>
  <c r="C293" i="14" s="1"/>
  <c r="A294" i="14" a="1"/>
  <c r="A294" i="14" s="1"/>
  <c r="B294" i="14" a="1"/>
  <c r="B294" i="14" s="1"/>
  <c r="C294" i="14" a="1"/>
  <c r="C294" i="14" s="1"/>
  <c r="A295" i="14" a="1"/>
  <c r="A295" i="14" s="1"/>
  <c r="B295" i="14" a="1"/>
  <c r="B295" i="14" s="1"/>
  <c r="C295" i="14" a="1"/>
  <c r="C295" i="14" s="1"/>
  <c r="A296" i="14" a="1"/>
  <c r="A296" i="14" s="1"/>
  <c r="B296" i="14" a="1"/>
  <c r="B296" i="14" s="1"/>
  <c r="C296" i="14" a="1"/>
  <c r="C296" i="14" s="1"/>
  <c r="A297" i="14" a="1"/>
  <c r="A297" i="14" s="1"/>
  <c r="B297" i="14" a="1"/>
  <c r="B297" i="14" s="1"/>
  <c r="C297" i="14" a="1"/>
  <c r="C297" i="14" s="1"/>
  <c r="A298" i="14" a="1"/>
  <c r="A298" i="14" s="1"/>
  <c r="B298" i="14" a="1"/>
  <c r="B298" i="14" s="1"/>
  <c r="C298" i="14" a="1"/>
  <c r="C298" i="14" s="1"/>
  <c r="A299" i="14" a="1"/>
  <c r="A299" i="14" s="1"/>
  <c r="B299" i="14" a="1"/>
  <c r="B299" i="14" s="1"/>
  <c r="C299" i="14" a="1"/>
  <c r="C299" i="14" s="1"/>
  <c r="A300" i="14" a="1"/>
  <c r="A300" i="14" s="1"/>
  <c r="B300" i="14" a="1"/>
  <c r="B300" i="14" s="1"/>
  <c r="C300" i="14" a="1"/>
  <c r="C300" i="14" s="1"/>
  <c r="A301" i="14" a="1"/>
  <c r="A301" i="14" s="1"/>
  <c r="B301" i="14" a="1"/>
  <c r="B301" i="14" s="1"/>
  <c r="C301" i="14" a="1"/>
  <c r="C301" i="14" s="1"/>
  <c r="A302" i="14" a="1"/>
  <c r="A302" i="14" s="1"/>
  <c r="B302" i="14" a="1"/>
  <c r="B302" i="14" s="1"/>
  <c r="C302" i="14" a="1"/>
  <c r="C302" i="14" s="1"/>
  <c r="A303" i="14" a="1"/>
  <c r="A303" i="14" s="1"/>
  <c r="B303" i="14" a="1"/>
  <c r="B303" i="14" s="1"/>
  <c r="C303" i="14" a="1"/>
  <c r="C303" i="14" s="1"/>
  <c r="A304" i="14" a="1"/>
  <c r="A304" i="14" s="1"/>
  <c r="B304" i="14" a="1"/>
  <c r="B304" i="14" s="1"/>
  <c r="C304" i="14" a="1"/>
  <c r="C304" i="14" s="1"/>
  <c r="A305" i="14" a="1"/>
  <c r="A305" i="14" s="1"/>
  <c r="B305" i="14" a="1"/>
  <c r="B305" i="14" s="1"/>
  <c r="C305" i="14" a="1"/>
  <c r="C305" i="14" s="1"/>
  <c r="A306" i="14" a="1"/>
  <c r="A306" i="14" s="1"/>
  <c r="B306" i="14" a="1"/>
  <c r="B306" i="14" s="1"/>
  <c r="C306" i="14" a="1"/>
  <c r="C306" i="14" s="1"/>
  <c r="A307" i="14" a="1"/>
  <c r="A307" i="14" s="1"/>
  <c r="B307" i="14" a="1"/>
  <c r="B307" i="14" s="1"/>
  <c r="C307" i="14" a="1"/>
  <c r="C307" i="14" s="1"/>
  <c r="A308" i="14" a="1"/>
  <c r="A308" i="14" s="1"/>
  <c r="B308" i="14" a="1"/>
  <c r="B308" i="14" s="1"/>
  <c r="C308" i="14" a="1"/>
  <c r="C308" i="14" s="1"/>
  <c r="A309" i="14" a="1"/>
  <c r="A309" i="14" s="1"/>
  <c r="B309" i="14" a="1"/>
  <c r="B309" i="14" s="1"/>
  <c r="C309" i="14" a="1"/>
  <c r="C309" i="14" s="1"/>
  <c r="A310" i="14" a="1"/>
  <c r="A310" i="14" s="1"/>
  <c r="B310" i="14" a="1"/>
  <c r="B310" i="14" s="1"/>
  <c r="C310" i="14" a="1"/>
  <c r="C310" i="14" s="1"/>
  <c r="A311" i="14" a="1"/>
  <c r="A311" i="14" s="1"/>
  <c r="B311" i="14" a="1"/>
  <c r="B311" i="14" s="1"/>
  <c r="C311" i="14" a="1"/>
  <c r="C311" i="14" s="1"/>
  <c r="A312" i="14" a="1"/>
  <c r="A312" i="14" s="1"/>
  <c r="B312" i="14" a="1"/>
  <c r="B312" i="14" s="1"/>
  <c r="C312" i="14" a="1"/>
  <c r="C312" i="14" s="1"/>
  <c r="A313" i="14" a="1"/>
  <c r="A313" i="14" s="1"/>
  <c r="B313" i="14" a="1"/>
  <c r="B313" i="14" s="1"/>
  <c r="C313" i="14" a="1"/>
  <c r="C313" i="14" s="1"/>
  <c r="A314" i="14" a="1"/>
  <c r="A314" i="14" s="1"/>
  <c r="B314" i="14" a="1"/>
  <c r="B314" i="14" s="1"/>
  <c r="C314" i="14" a="1"/>
  <c r="C314" i="14" s="1"/>
  <c r="A315" i="14" a="1"/>
  <c r="A315" i="14" s="1"/>
  <c r="B315" i="14" a="1"/>
  <c r="B315" i="14" s="1"/>
  <c r="C315" i="14" a="1"/>
  <c r="C315" i="14" s="1"/>
  <c r="A316" i="14" a="1"/>
  <c r="A316" i="14" s="1"/>
  <c r="B316" i="14" a="1"/>
  <c r="B316" i="14" s="1"/>
  <c r="C316" i="14" a="1"/>
  <c r="C316" i="14" s="1"/>
  <c r="A317" i="14" a="1"/>
  <c r="A317" i="14" s="1"/>
  <c r="B317" i="14" a="1"/>
  <c r="B317" i="14" s="1"/>
  <c r="C317" i="14" a="1"/>
  <c r="C317" i="14" s="1"/>
  <c r="A318" i="14" a="1"/>
  <c r="A318" i="14" s="1"/>
  <c r="B318" i="14" a="1"/>
  <c r="B318" i="14" s="1"/>
  <c r="C318" i="14" a="1"/>
  <c r="C318" i="14" s="1"/>
  <c r="A319" i="14" a="1"/>
  <c r="A319" i="14" s="1"/>
  <c r="B319" i="14" a="1"/>
  <c r="B319" i="14" s="1"/>
  <c r="C319" i="14" a="1"/>
  <c r="C319" i="14" s="1"/>
  <c r="A248" i="14" a="1"/>
  <c r="A248" i="14" s="1"/>
  <c r="B248" i="14" a="1"/>
  <c r="B248" i="14" s="1"/>
  <c r="C248" i="14" a="1"/>
  <c r="C248" i="14" s="1"/>
  <c r="A249" i="14" a="1"/>
  <c r="A249" i="14" s="1"/>
  <c r="B249" i="14" a="1"/>
  <c r="B249" i="14" s="1"/>
  <c r="C249" i="14" a="1"/>
  <c r="C249" i="14" s="1"/>
  <c r="A250" i="14" a="1"/>
  <c r="A250" i="14" s="1"/>
  <c r="B250" i="14" a="1"/>
  <c r="B250" i="14" s="1"/>
  <c r="C250" i="14" a="1"/>
  <c r="C250" i="14" s="1"/>
  <c r="A251" i="14" a="1"/>
  <c r="A251" i="14" s="1"/>
  <c r="B251" i="14" a="1"/>
  <c r="B251" i="14" s="1"/>
  <c r="C251" i="14" a="1"/>
  <c r="C251" i="14" s="1"/>
  <c r="A252" i="14" a="1"/>
  <c r="A252" i="14" s="1"/>
  <c r="B252" i="14" a="1"/>
  <c r="B252" i="14" s="1"/>
  <c r="C252" i="14" a="1"/>
  <c r="C252" i="14" s="1"/>
  <c r="A253" i="14" a="1"/>
  <c r="A253" i="14" s="1"/>
  <c r="B253" i="14" a="1"/>
  <c r="B253" i="14" s="1"/>
  <c r="C253" i="14" a="1"/>
  <c r="C253" i="14" s="1"/>
  <c r="A254" i="14" a="1"/>
  <c r="A254" i="14" s="1"/>
  <c r="B254" i="14" a="1"/>
  <c r="B254" i="14" s="1"/>
  <c r="C254" i="14" a="1"/>
  <c r="C254" i="14" s="1"/>
  <c r="A255" i="14" a="1"/>
  <c r="A255" i="14" s="1"/>
  <c r="B255" i="14" a="1"/>
  <c r="B255" i="14" s="1"/>
  <c r="C255" i="14" a="1"/>
  <c r="C255" i="14" s="1"/>
  <c r="A256" i="14" a="1"/>
  <c r="A256" i="14" s="1"/>
  <c r="B256" i="14" a="1"/>
  <c r="B256" i="14" s="1"/>
  <c r="C256" i="14" a="1"/>
  <c r="C256" i="14" s="1"/>
  <c r="A257" i="14" a="1"/>
  <c r="A257" i="14" s="1"/>
  <c r="B257" i="14" a="1"/>
  <c r="B257" i="14" s="1"/>
  <c r="C257" i="14" a="1"/>
  <c r="C257" i="14" s="1"/>
  <c r="A258" i="14" a="1"/>
  <c r="A258" i="14" s="1"/>
  <c r="B258" i="14" a="1"/>
  <c r="B258" i="14" s="1"/>
  <c r="C258" i="14" a="1"/>
  <c r="C258" i="14" s="1"/>
  <c r="A259" i="14" a="1"/>
  <c r="A259" i="14" s="1"/>
  <c r="B259" i="14" a="1"/>
  <c r="B259" i="14" s="1"/>
  <c r="C259" i="14" a="1"/>
  <c r="C259" i="14" s="1"/>
  <c r="A260" i="14" a="1"/>
  <c r="A260" i="14" s="1"/>
  <c r="B260" i="14" a="1"/>
  <c r="B260" i="14" s="1"/>
  <c r="C260" i="14" a="1"/>
  <c r="C260" i="14" s="1"/>
  <c r="A261" i="14" a="1"/>
  <c r="A261" i="14" s="1"/>
  <c r="B261" i="14" a="1"/>
  <c r="B261" i="14" s="1"/>
  <c r="C261" i="14" a="1"/>
  <c r="C261" i="14" s="1"/>
  <c r="A262" i="14" a="1"/>
  <c r="A262" i="14" s="1"/>
  <c r="B262" i="14" a="1"/>
  <c r="B262" i="14" s="1"/>
  <c r="C262" i="14" a="1"/>
  <c r="C262" i="14" s="1"/>
  <c r="A263" i="14" a="1"/>
  <c r="A263" i="14" s="1"/>
  <c r="B263" i="14" a="1"/>
  <c r="B263" i="14" s="1"/>
  <c r="C263" i="14" a="1"/>
  <c r="C263" i="14" s="1"/>
  <c r="A264" i="14" a="1"/>
  <c r="A264" i="14" s="1"/>
  <c r="B264" i="14" a="1"/>
  <c r="B264" i="14" s="1"/>
  <c r="C264" i="14" a="1"/>
  <c r="C264" i="14" s="1"/>
  <c r="A265" i="14" a="1"/>
  <c r="A265" i="14" s="1"/>
  <c r="B265" i="14" a="1"/>
  <c r="B265" i="14" s="1"/>
  <c r="C265" i="14" a="1"/>
  <c r="C265" i="14" s="1"/>
  <c r="A266" i="14" a="1"/>
  <c r="A266" i="14" s="1"/>
  <c r="B266" i="14" a="1"/>
  <c r="B266" i="14" s="1"/>
  <c r="C266" i="14" a="1"/>
  <c r="C266" i="14" s="1"/>
  <c r="A267" i="14" a="1"/>
  <c r="A267" i="14" s="1"/>
  <c r="B267" i="14" a="1"/>
  <c r="B267" i="14" s="1"/>
  <c r="C267" i="14" a="1"/>
  <c r="C267" i="14" s="1"/>
  <c r="A268" i="14" a="1"/>
  <c r="A268" i="14" s="1"/>
  <c r="B268" i="14" a="1"/>
  <c r="B268" i="14" s="1"/>
  <c r="C268" i="14" a="1"/>
  <c r="C268" i="14" s="1"/>
  <c r="A269" i="14" a="1"/>
  <c r="A269" i="14" s="1"/>
  <c r="B269" i="14" a="1"/>
  <c r="B269" i="14" s="1"/>
  <c r="C269" i="14" a="1"/>
  <c r="C269" i="14" s="1"/>
  <c r="A270" i="14" a="1"/>
  <c r="A270" i="14" s="1"/>
  <c r="B270" i="14" a="1"/>
  <c r="B270" i="14" s="1"/>
  <c r="C270" i="14" a="1"/>
  <c r="C270" i="14" s="1"/>
  <c r="A271" i="14" a="1"/>
  <c r="A271" i="14" s="1"/>
  <c r="B271" i="14" a="1"/>
  <c r="B271" i="14" s="1"/>
  <c r="C271" i="14" a="1"/>
  <c r="C271" i="14" s="1"/>
  <c r="A272" i="14" a="1"/>
  <c r="A272" i="14" s="1"/>
  <c r="B272" i="14" a="1"/>
  <c r="B272" i="14" s="1"/>
  <c r="C272" i="14" a="1"/>
  <c r="C272" i="14" s="1"/>
  <c r="A273" i="14" a="1"/>
  <c r="A273" i="14" s="1"/>
  <c r="B273" i="14" a="1"/>
  <c r="B273" i="14" s="1"/>
  <c r="C273" i="14" a="1"/>
  <c r="C273" i="14" s="1"/>
  <c r="A274" i="14" a="1"/>
  <c r="A274" i="14" s="1"/>
  <c r="B274" i="14" a="1"/>
  <c r="B274" i="14" s="1"/>
  <c r="C274" i="14" a="1"/>
  <c r="C274" i="14" s="1"/>
  <c r="A275" i="14" a="1"/>
  <c r="A275" i="14" s="1"/>
  <c r="B275" i="14" a="1"/>
  <c r="B275" i="14" s="1"/>
  <c r="C275" i="14" a="1"/>
  <c r="C275" i="14" s="1"/>
  <c r="A276" i="14" a="1"/>
  <c r="A276" i="14" s="1"/>
  <c r="B276" i="14" a="1"/>
  <c r="B276" i="14" s="1"/>
  <c r="C276" i="14" a="1"/>
  <c r="C276" i="14" s="1"/>
  <c r="A277" i="14" a="1"/>
  <c r="A277" i="14" s="1"/>
  <c r="B277" i="14" a="1"/>
  <c r="B277" i="14" s="1"/>
  <c r="C277" i="14" a="1"/>
  <c r="C277" i="14" s="1"/>
  <c r="A278" i="14" a="1"/>
  <c r="A278" i="14" s="1"/>
  <c r="B278" i="14" a="1"/>
  <c r="B278" i="14" s="1"/>
  <c r="C278" i="14" a="1"/>
  <c r="C278" i="14" s="1"/>
  <c r="A279" i="14" a="1"/>
  <c r="A279" i="14" s="1"/>
  <c r="B279" i="14" a="1"/>
  <c r="B279" i="14" s="1"/>
  <c r="C279" i="14" a="1"/>
  <c r="C279" i="14" s="1"/>
  <c r="A280" i="14" a="1"/>
  <c r="A280" i="14" s="1"/>
  <c r="B280" i="14" a="1"/>
  <c r="B280" i="14" s="1"/>
  <c r="C280" i="14" a="1"/>
  <c r="C280" i="14" s="1"/>
  <c r="A281" i="14" a="1"/>
  <c r="A281" i="14" s="1"/>
  <c r="B281" i="14" a="1"/>
  <c r="B281" i="14" s="1"/>
  <c r="C281" i="14" a="1"/>
  <c r="C281" i="14" s="1"/>
  <c r="A210" i="14" a="1"/>
  <c r="A210" i="14" s="1"/>
  <c r="B210" i="14" a="1"/>
  <c r="B210" i="14" s="1"/>
  <c r="C210" i="14" a="1"/>
  <c r="C210" i="14" s="1"/>
  <c r="A211" i="14" a="1"/>
  <c r="A211" i="14" s="1"/>
  <c r="B211" i="14" a="1"/>
  <c r="B211" i="14" s="1"/>
  <c r="C211" i="14" a="1"/>
  <c r="C211" i="14" s="1"/>
  <c r="A212" i="14" a="1"/>
  <c r="A212" i="14" s="1"/>
  <c r="B212" i="14" a="1"/>
  <c r="B212" i="14" s="1"/>
  <c r="C212" i="14" a="1"/>
  <c r="C212" i="14" s="1"/>
  <c r="A213" i="14" a="1"/>
  <c r="A213" i="14" s="1"/>
  <c r="B213" i="14" a="1"/>
  <c r="B213" i="14" s="1"/>
  <c r="C213" i="14" a="1"/>
  <c r="C213" i="14" s="1"/>
  <c r="A214" i="14" a="1"/>
  <c r="A214" i="14" s="1"/>
  <c r="B214" i="14" a="1"/>
  <c r="B214" i="14" s="1"/>
  <c r="C214" i="14" a="1"/>
  <c r="C214" i="14" s="1"/>
  <c r="A215" i="14" a="1"/>
  <c r="A215" i="14" s="1"/>
  <c r="B215" i="14" a="1"/>
  <c r="B215" i="14" s="1"/>
  <c r="C215" i="14" a="1"/>
  <c r="C215" i="14" s="1"/>
  <c r="A216" i="14" a="1"/>
  <c r="A216" i="14" s="1"/>
  <c r="B216" i="14" a="1"/>
  <c r="B216" i="14" s="1"/>
  <c r="C216" i="14" a="1"/>
  <c r="C216" i="14" s="1"/>
  <c r="A217" i="14" a="1"/>
  <c r="A217" i="14" s="1"/>
  <c r="B217" i="14" a="1"/>
  <c r="B217" i="14" s="1"/>
  <c r="C217" i="14" a="1"/>
  <c r="C217" i="14" s="1"/>
  <c r="A218" i="14" a="1"/>
  <c r="A218" i="14" s="1"/>
  <c r="B218" i="14" a="1"/>
  <c r="B218" i="14" s="1"/>
  <c r="C218" i="14" a="1"/>
  <c r="C218" i="14" s="1"/>
  <c r="A219" i="14" a="1"/>
  <c r="A219" i="14" s="1"/>
  <c r="B219" i="14" a="1"/>
  <c r="B219" i="14" s="1"/>
  <c r="C219" i="14" a="1"/>
  <c r="C219" i="14" s="1"/>
  <c r="A220" i="14" a="1"/>
  <c r="A220" i="14" s="1"/>
  <c r="B220" i="14" a="1"/>
  <c r="B220" i="14" s="1"/>
  <c r="C220" i="14" a="1"/>
  <c r="C220" i="14" s="1"/>
  <c r="A221" i="14" a="1"/>
  <c r="A221" i="14" s="1"/>
  <c r="B221" i="14" a="1"/>
  <c r="B221" i="14" s="1"/>
  <c r="C221" i="14" a="1"/>
  <c r="C221" i="14" s="1"/>
  <c r="A222" i="14" a="1"/>
  <c r="A222" i="14" s="1"/>
  <c r="B222" i="14" a="1"/>
  <c r="B222" i="14" s="1"/>
  <c r="C222" i="14" a="1"/>
  <c r="C222" i="14" s="1"/>
  <c r="A223" i="14" a="1"/>
  <c r="A223" i="14" s="1"/>
  <c r="B223" i="14" a="1"/>
  <c r="B223" i="14" s="1"/>
  <c r="C223" i="14" a="1"/>
  <c r="C223" i="14" s="1"/>
  <c r="A224" i="14" a="1"/>
  <c r="A224" i="14" s="1"/>
  <c r="B224" i="14" a="1"/>
  <c r="B224" i="14" s="1"/>
  <c r="C224" i="14" a="1"/>
  <c r="C224" i="14" s="1"/>
  <c r="A225" i="14" a="1"/>
  <c r="A225" i="14" s="1"/>
  <c r="B225" i="14" a="1"/>
  <c r="B225" i="14" s="1"/>
  <c r="C225" i="14" a="1"/>
  <c r="C225" i="14" s="1"/>
  <c r="A226" i="14" a="1"/>
  <c r="A226" i="14" s="1"/>
  <c r="B226" i="14" a="1"/>
  <c r="B226" i="14" s="1"/>
  <c r="C226" i="14" a="1"/>
  <c r="C226" i="14" s="1"/>
  <c r="A227" i="14" a="1"/>
  <c r="A227" i="14" s="1"/>
  <c r="B227" i="14" a="1"/>
  <c r="B227" i="14" s="1"/>
  <c r="C227" i="14" a="1"/>
  <c r="C227" i="14" s="1"/>
  <c r="A228" i="14" a="1"/>
  <c r="A228" i="14" s="1"/>
  <c r="B228" i="14" a="1"/>
  <c r="B228" i="14" s="1"/>
  <c r="C228" i="14" a="1"/>
  <c r="C228" i="14" s="1"/>
  <c r="A229" i="14" a="1"/>
  <c r="A229" i="14" s="1"/>
  <c r="B229" i="14" a="1"/>
  <c r="B229" i="14" s="1"/>
  <c r="C229" i="14" a="1"/>
  <c r="C229" i="14" s="1"/>
  <c r="A230" i="14" a="1"/>
  <c r="A230" i="14" s="1"/>
  <c r="B230" i="14" a="1"/>
  <c r="B230" i="14" s="1"/>
  <c r="C230" i="14" a="1"/>
  <c r="C230" i="14" s="1"/>
  <c r="A231" i="14" a="1"/>
  <c r="A231" i="14" s="1"/>
  <c r="B231" i="14" a="1"/>
  <c r="B231" i="14" s="1"/>
  <c r="C231" i="14" a="1"/>
  <c r="C231" i="14" s="1"/>
  <c r="A232" i="14" a="1"/>
  <c r="A232" i="14" s="1"/>
  <c r="B232" i="14" a="1"/>
  <c r="B232" i="14" s="1"/>
  <c r="C232" i="14" a="1"/>
  <c r="C232" i="14" s="1"/>
  <c r="A233" i="14" a="1"/>
  <c r="A233" i="14" s="1"/>
  <c r="B233" i="14" a="1"/>
  <c r="B233" i="14" s="1"/>
  <c r="C233" i="14" a="1"/>
  <c r="C233" i="14" s="1"/>
  <c r="A234" i="14" a="1"/>
  <c r="A234" i="14" s="1"/>
  <c r="B234" i="14" a="1"/>
  <c r="B234" i="14" s="1"/>
  <c r="C234" i="14" a="1"/>
  <c r="C234" i="14" s="1"/>
  <c r="A235" i="14" a="1"/>
  <c r="A235" i="14" s="1"/>
  <c r="B235" i="14" a="1"/>
  <c r="B235" i="14" s="1"/>
  <c r="C235" i="14" a="1"/>
  <c r="C235" i="14" s="1"/>
  <c r="A236" i="14" a="1"/>
  <c r="A236" i="14" s="1"/>
  <c r="B236" i="14" a="1"/>
  <c r="B236" i="14" s="1"/>
  <c r="C236" i="14" a="1"/>
  <c r="C236" i="14" s="1"/>
  <c r="A237" i="14" a="1"/>
  <c r="A237" i="14" s="1"/>
  <c r="B237" i="14" a="1"/>
  <c r="B237" i="14" s="1"/>
  <c r="C237" i="14" a="1"/>
  <c r="C237" i="14" s="1"/>
  <c r="A238" i="14" a="1"/>
  <c r="A238" i="14" s="1"/>
  <c r="B238" i="14" a="1"/>
  <c r="B238" i="14" s="1"/>
  <c r="C238" i="14" a="1"/>
  <c r="C238" i="14" s="1"/>
  <c r="A239" i="14" a="1"/>
  <c r="A239" i="14" s="1"/>
  <c r="B239" i="14" a="1"/>
  <c r="B239" i="14" s="1"/>
  <c r="C239" i="14" a="1"/>
  <c r="C239" i="14" s="1"/>
  <c r="A240" i="14" a="1"/>
  <c r="A240" i="14" s="1"/>
  <c r="B240" i="14" a="1"/>
  <c r="B240" i="14" s="1"/>
  <c r="C240" i="14" a="1"/>
  <c r="C240" i="14" s="1"/>
  <c r="A241" i="14" a="1"/>
  <c r="A241" i="14" s="1"/>
  <c r="B241" i="14" a="1"/>
  <c r="B241" i="14" s="1"/>
  <c r="C241" i="14" a="1"/>
  <c r="C241" i="14" s="1"/>
  <c r="A242" i="14" a="1"/>
  <c r="A242" i="14" s="1"/>
  <c r="B242" i="14" a="1"/>
  <c r="B242" i="14" s="1"/>
  <c r="C242" i="14" a="1"/>
  <c r="C242" i="14" s="1"/>
  <c r="A243" i="14" a="1"/>
  <c r="A243" i="14" s="1"/>
  <c r="B243" i="14" a="1"/>
  <c r="B243" i="14" s="1"/>
  <c r="C243" i="14" a="1"/>
  <c r="C243" i="14" s="1"/>
  <c r="A172" i="14" a="1"/>
  <c r="A172" i="14" s="1"/>
  <c r="B172" i="14" a="1"/>
  <c r="B172" i="14" s="1"/>
  <c r="C172" i="14" a="1"/>
  <c r="C172" i="14" s="1"/>
  <c r="A173" i="14" a="1"/>
  <c r="A173" i="14" s="1"/>
  <c r="B173" i="14" a="1"/>
  <c r="B173" i="14" s="1"/>
  <c r="C173" i="14" a="1"/>
  <c r="C173" i="14" s="1"/>
  <c r="A174" i="14" a="1"/>
  <c r="A174" i="14" s="1"/>
  <c r="B174" i="14" a="1"/>
  <c r="B174" i="14" s="1"/>
  <c r="C174" i="14" a="1"/>
  <c r="C174" i="14" s="1"/>
  <c r="A175" i="14" a="1"/>
  <c r="A175" i="14" s="1"/>
  <c r="B175" i="14" a="1"/>
  <c r="B175" i="14" s="1"/>
  <c r="C175" i="14" a="1"/>
  <c r="C175" i="14" s="1"/>
  <c r="A176" i="14" a="1"/>
  <c r="A176" i="14" s="1"/>
  <c r="B176" i="14" a="1"/>
  <c r="B176" i="14" s="1"/>
  <c r="C176" i="14" a="1"/>
  <c r="C176" i="14" s="1"/>
  <c r="A177" i="14" a="1"/>
  <c r="A177" i="14" s="1"/>
  <c r="B177" i="14" a="1"/>
  <c r="B177" i="14" s="1"/>
  <c r="C177" i="14" a="1"/>
  <c r="C177" i="14" s="1"/>
  <c r="A178" i="14" a="1"/>
  <c r="A178" i="14" s="1"/>
  <c r="B178" i="14" a="1"/>
  <c r="B178" i="14" s="1"/>
  <c r="C178" i="14" a="1"/>
  <c r="C178" i="14" s="1"/>
  <c r="A179" i="14" a="1"/>
  <c r="A179" i="14" s="1"/>
  <c r="B179" i="14" a="1"/>
  <c r="B179" i="14" s="1"/>
  <c r="C179" i="14" a="1"/>
  <c r="C179" i="14" s="1"/>
  <c r="A180" i="14" a="1"/>
  <c r="A180" i="14" s="1"/>
  <c r="B180" i="14" a="1"/>
  <c r="B180" i="14" s="1"/>
  <c r="C180" i="14" a="1"/>
  <c r="C180" i="14" s="1"/>
  <c r="A181" i="14" a="1"/>
  <c r="A181" i="14" s="1"/>
  <c r="B181" i="14" a="1"/>
  <c r="B181" i="14" s="1"/>
  <c r="C181" i="14" a="1"/>
  <c r="C181" i="14" s="1"/>
  <c r="A182" i="14" a="1"/>
  <c r="A182" i="14" s="1"/>
  <c r="B182" i="14" a="1"/>
  <c r="B182" i="14" s="1"/>
  <c r="C182" i="14" a="1"/>
  <c r="C182" i="14" s="1"/>
  <c r="A183" i="14" a="1"/>
  <c r="A183" i="14" s="1"/>
  <c r="B183" i="14" a="1"/>
  <c r="B183" i="14" s="1"/>
  <c r="C183" i="14" a="1"/>
  <c r="C183" i="14" s="1"/>
  <c r="A184" i="14" a="1"/>
  <c r="A184" i="14" s="1"/>
  <c r="B184" i="14" a="1"/>
  <c r="B184" i="14" s="1"/>
  <c r="C184" i="14" a="1"/>
  <c r="C184" i="14" s="1"/>
  <c r="A185" i="14" a="1"/>
  <c r="A185" i="14" s="1"/>
  <c r="B185" i="14" a="1"/>
  <c r="B185" i="14" s="1"/>
  <c r="C185" i="14" a="1"/>
  <c r="C185" i="14" s="1"/>
  <c r="A186" i="14" a="1"/>
  <c r="A186" i="14" s="1"/>
  <c r="B186" i="14" a="1"/>
  <c r="B186" i="14" s="1"/>
  <c r="C186" i="14" a="1"/>
  <c r="C186" i="14" s="1"/>
  <c r="A187" i="14" a="1"/>
  <c r="A187" i="14" s="1"/>
  <c r="B187" i="14" a="1"/>
  <c r="B187" i="14" s="1"/>
  <c r="C187" i="14" a="1"/>
  <c r="C187" i="14" s="1"/>
  <c r="A188" i="14" a="1"/>
  <c r="A188" i="14" s="1"/>
  <c r="B188" i="14" a="1"/>
  <c r="B188" i="14" s="1"/>
  <c r="C188" i="14" a="1"/>
  <c r="C188" i="14" s="1"/>
  <c r="A189" i="14" a="1"/>
  <c r="A189" i="14" s="1"/>
  <c r="B189" i="14" a="1"/>
  <c r="B189" i="14" s="1"/>
  <c r="C189" i="14" a="1"/>
  <c r="C189" i="14" s="1"/>
  <c r="A190" i="14" a="1"/>
  <c r="A190" i="14" s="1"/>
  <c r="B190" i="14" a="1"/>
  <c r="B190" i="14" s="1"/>
  <c r="C190" i="14" a="1"/>
  <c r="C190" i="14" s="1"/>
  <c r="A191" i="14" a="1"/>
  <c r="A191" i="14" s="1"/>
  <c r="B191" i="14" a="1"/>
  <c r="B191" i="14" s="1"/>
  <c r="C191" i="14" a="1"/>
  <c r="C191" i="14" s="1"/>
  <c r="A192" i="14" a="1"/>
  <c r="A192" i="14" s="1"/>
  <c r="B192" i="14" a="1"/>
  <c r="B192" i="14" s="1"/>
  <c r="C192" i="14" a="1"/>
  <c r="C192" i="14" s="1"/>
  <c r="A193" i="14" a="1"/>
  <c r="A193" i="14" s="1"/>
  <c r="B193" i="14" a="1"/>
  <c r="B193" i="14" s="1"/>
  <c r="C193" i="14" a="1"/>
  <c r="C193" i="14" s="1"/>
  <c r="A194" i="14" a="1"/>
  <c r="A194" i="14" s="1"/>
  <c r="B194" i="14" a="1"/>
  <c r="B194" i="14" s="1"/>
  <c r="C194" i="14" a="1"/>
  <c r="C194" i="14" s="1"/>
  <c r="A195" i="14" a="1"/>
  <c r="A195" i="14" s="1"/>
  <c r="B195" i="14" a="1"/>
  <c r="B195" i="14" s="1"/>
  <c r="C195" i="14" a="1"/>
  <c r="C195" i="14" s="1"/>
  <c r="A196" i="14" a="1"/>
  <c r="A196" i="14" s="1"/>
  <c r="B196" i="14" a="1"/>
  <c r="B196" i="14" s="1"/>
  <c r="C196" i="14" a="1"/>
  <c r="C196" i="14" s="1"/>
  <c r="A197" i="14" a="1"/>
  <c r="A197" i="14" s="1"/>
  <c r="B197" i="14" a="1"/>
  <c r="B197" i="14" s="1"/>
  <c r="C197" i="14" a="1"/>
  <c r="C197" i="14" s="1"/>
  <c r="A198" i="14" a="1"/>
  <c r="A198" i="14" s="1"/>
  <c r="B198" i="14" a="1"/>
  <c r="B198" i="14" s="1"/>
  <c r="C198" i="14" a="1"/>
  <c r="C198" i="14" s="1"/>
  <c r="A199" i="14" a="1"/>
  <c r="A199" i="14" s="1"/>
  <c r="B199" i="14" a="1"/>
  <c r="B199" i="14" s="1"/>
  <c r="C199" i="14" a="1"/>
  <c r="C199" i="14" s="1"/>
  <c r="A200" i="14" a="1"/>
  <c r="A200" i="14" s="1"/>
  <c r="B200" i="14" a="1"/>
  <c r="B200" i="14" s="1"/>
  <c r="C200" i="14" a="1"/>
  <c r="C200" i="14" s="1"/>
  <c r="A201" i="14" a="1"/>
  <c r="A201" i="14" s="1"/>
  <c r="B201" i="14" a="1"/>
  <c r="B201" i="14" s="1"/>
  <c r="C201" i="14" a="1"/>
  <c r="C201" i="14" s="1"/>
  <c r="A202" i="14" a="1"/>
  <c r="A202" i="14" s="1"/>
  <c r="B202" i="14" a="1"/>
  <c r="B202" i="14" s="1"/>
  <c r="C202" i="14" a="1"/>
  <c r="C202" i="14" s="1"/>
  <c r="A203" i="14" a="1"/>
  <c r="A203" i="14" s="1"/>
  <c r="B203" i="14" a="1"/>
  <c r="B203" i="14" s="1"/>
  <c r="C203" i="14" a="1"/>
  <c r="C203" i="14" s="1"/>
  <c r="A204" i="14" a="1"/>
  <c r="A204" i="14" s="1"/>
  <c r="B204" i="14" a="1"/>
  <c r="B204" i="14" s="1"/>
  <c r="C204" i="14" a="1"/>
  <c r="C204" i="14" s="1"/>
  <c r="A205" i="14" a="1"/>
  <c r="A205" i="14" s="1"/>
  <c r="B205" i="14" a="1"/>
  <c r="B205" i="14" s="1"/>
  <c r="C205" i="14" a="1"/>
  <c r="C205" i="14" s="1"/>
  <c r="A134" i="14" a="1"/>
  <c r="A134" i="14" s="1"/>
  <c r="B134" i="14" a="1"/>
  <c r="B134" i="14" s="1"/>
  <c r="C134" i="14" a="1"/>
  <c r="C134" i="14" s="1"/>
  <c r="A135" i="14" a="1"/>
  <c r="A135" i="14" s="1"/>
  <c r="B135" i="14" a="1"/>
  <c r="B135" i="14" s="1"/>
  <c r="C135" i="14" a="1"/>
  <c r="C135" i="14" s="1"/>
  <c r="A136" i="14" a="1"/>
  <c r="A136" i="14" s="1"/>
  <c r="B136" i="14" a="1"/>
  <c r="B136" i="14" s="1"/>
  <c r="C136" i="14" a="1"/>
  <c r="C136" i="14" s="1"/>
  <c r="A137" i="14" a="1"/>
  <c r="A137" i="14" s="1"/>
  <c r="B137" i="14" a="1"/>
  <c r="B137" i="14" s="1"/>
  <c r="C137" i="14" a="1"/>
  <c r="C137" i="14" s="1"/>
  <c r="A138" i="14" a="1"/>
  <c r="A138" i="14" s="1"/>
  <c r="B138" i="14" a="1"/>
  <c r="B138" i="14" s="1"/>
  <c r="C138" i="14" a="1"/>
  <c r="C138" i="14" s="1"/>
  <c r="A139" i="14" a="1"/>
  <c r="A139" i="14" s="1"/>
  <c r="B139" i="14" a="1"/>
  <c r="B139" i="14" s="1"/>
  <c r="C139" i="14" a="1"/>
  <c r="C139" i="14" s="1"/>
  <c r="A140" i="14" a="1"/>
  <c r="A140" i="14" s="1"/>
  <c r="B140" i="14" a="1"/>
  <c r="B140" i="14" s="1"/>
  <c r="C140" i="14" a="1"/>
  <c r="C140" i="14" s="1"/>
  <c r="A141" i="14" a="1"/>
  <c r="A141" i="14" s="1"/>
  <c r="B141" i="14" a="1"/>
  <c r="B141" i="14" s="1"/>
  <c r="C141" i="14" a="1"/>
  <c r="C141" i="14" s="1"/>
  <c r="A142" i="14" a="1"/>
  <c r="A142" i="14" s="1"/>
  <c r="B142" i="14" a="1"/>
  <c r="B142" i="14" s="1"/>
  <c r="C142" i="14" a="1"/>
  <c r="C142" i="14" s="1"/>
  <c r="A143" i="14" a="1"/>
  <c r="A143" i="14" s="1"/>
  <c r="B143" i="14" a="1"/>
  <c r="B143" i="14" s="1"/>
  <c r="C143" i="14" a="1"/>
  <c r="C143" i="14" s="1"/>
  <c r="A144" i="14" a="1"/>
  <c r="A144" i="14" s="1"/>
  <c r="B144" i="14" a="1"/>
  <c r="B144" i="14" s="1"/>
  <c r="C144" i="14" a="1"/>
  <c r="C144" i="14" s="1"/>
  <c r="A145" i="14" a="1"/>
  <c r="A145" i="14" s="1"/>
  <c r="B145" i="14" a="1"/>
  <c r="B145" i="14" s="1"/>
  <c r="C145" i="14" a="1"/>
  <c r="C145" i="14" s="1"/>
  <c r="A146" i="14" a="1"/>
  <c r="A146" i="14" s="1"/>
  <c r="B146" i="14" a="1"/>
  <c r="B146" i="14" s="1"/>
  <c r="C146" i="14" a="1"/>
  <c r="C146" i="14" s="1"/>
  <c r="A147" i="14" a="1"/>
  <c r="A147" i="14" s="1"/>
  <c r="B147" i="14" a="1"/>
  <c r="B147" i="14" s="1"/>
  <c r="C147" i="14" a="1"/>
  <c r="C147" i="14" s="1"/>
  <c r="A148" i="14" a="1"/>
  <c r="A148" i="14" s="1"/>
  <c r="B148" i="14" a="1"/>
  <c r="B148" i="14" s="1"/>
  <c r="C148" i="14" a="1"/>
  <c r="C148" i="14" s="1"/>
  <c r="A149" i="14" a="1"/>
  <c r="A149" i="14" s="1"/>
  <c r="B149" i="14" a="1"/>
  <c r="B149" i="14" s="1"/>
  <c r="C149" i="14" a="1"/>
  <c r="C149" i="14" s="1"/>
  <c r="A150" i="14" a="1"/>
  <c r="A150" i="14" s="1"/>
  <c r="B150" i="14" a="1"/>
  <c r="B150" i="14" s="1"/>
  <c r="C150" i="14" a="1"/>
  <c r="C150" i="14" s="1"/>
  <c r="A151" i="14" a="1"/>
  <c r="A151" i="14" s="1"/>
  <c r="B151" i="14" a="1"/>
  <c r="B151" i="14" s="1"/>
  <c r="C151" i="14" a="1"/>
  <c r="C151" i="14" s="1"/>
  <c r="A152" i="14" a="1"/>
  <c r="A152" i="14" s="1"/>
  <c r="B152" i="14" a="1"/>
  <c r="B152" i="14" s="1"/>
  <c r="C152" i="14" a="1"/>
  <c r="C152" i="14" s="1"/>
  <c r="A153" i="14" a="1"/>
  <c r="A153" i="14" s="1"/>
  <c r="B153" i="14" a="1"/>
  <c r="B153" i="14" s="1"/>
  <c r="C153" i="14" a="1"/>
  <c r="C153" i="14" s="1"/>
  <c r="A154" i="14" a="1"/>
  <c r="A154" i="14" s="1"/>
  <c r="B154" i="14" a="1"/>
  <c r="B154" i="14" s="1"/>
  <c r="C154" i="14" a="1"/>
  <c r="C154" i="14" s="1"/>
  <c r="A155" i="14" a="1"/>
  <c r="A155" i="14" s="1"/>
  <c r="B155" i="14" a="1"/>
  <c r="B155" i="14" s="1"/>
  <c r="C155" i="14" a="1"/>
  <c r="C155" i="14" s="1"/>
  <c r="A156" i="14" a="1"/>
  <c r="A156" i="14" s="1"/>
  <c r="B156" i="14" a="1"/>
  <c r="B156" i="14" s="1"/>
  <c r="C156" i="14" a="1"/>
  <c r="C156" i="14" s="1"/>
  <c r="A157" i="14" a="1"/>
  <c r="A157" i="14" s="1"/>
  <c r="B157" i="14" a="1"/>
  <c r="B157" i="14" s="1"/>
  <c r="D157" i="14" s="1"/>
  <c r="C157" i="14" a="1"/>
  <c r="C157" i="14" s="1"/>
  <c r="A158" i="14" a="1"/>
  <c r="A158" i="14" s="1"/>
  <c r="B158" i="14" a="1"/>
  <c r="B158" i="14" s="1"/>
  <c r="C158" i="14" a="1"/>
  <c r="C158" i="14" s="1"/>
  <c r="A159" i="14" a="1"/>
  <c r="A159" i="14" s="1"/>
  <c r="B159" i="14" a="1"/>
  <c r="B159" i="14" s="1"/>
  <c r="C159" i="14" a="1"/>
  <c r="C159" i="14" s="1"/>
  <c r="A160" i="14" a="1"/>
  <c r="A160" i="14" s="1"/>
  <c r="B160" i="14" a="1"/>
  <c r="B160" i="14" s="1"/>
  <c r="C160" i="14" a="1"/>
  <c r="C160" i="14" s="1"/>
  <c r="A161" i="14" a="1"/>
  <c r="A161" i="14" s="1"/>
  <c r="B161" i="14" a="1"/>
  <c r="B161" i="14" s="1"/>
  <c r="C161" i="14" a="1"/>
  <c r="C161" i="14" s="1"/>
  <c r="A162" i="14" a="1"/>
  <c r="A162" i="14" s="1"/>
  <c r="B162" i="14" a="1"/>
  <c r="B162" i="14" s="1"/>
  <c r="C162" i="14" a="1"/>
  <c r="C162" i="14" s="1"/>
  <c r="A163" i="14" a="1"/>
  <c r="A163" i="14" s="1"/>
  <c r="B163" i="14" a="1"/>
  <c r="B163" i="14" s="1"/>
  <c r="C163" i="14" a="1"/>
  <c r="C163" i="14" s="1"/>
  <c r="A164" i="14" a="1"/>
  <c r="A164" i="14" s="1"/>
  <c r="B164" i="14" a="1"/>
  <c r="B164" i="14" s="1"/>
  <c r="C164" i="14" a="1"/>
  <c r="C164" i="14" s="1"/>
  <c r="A165" i="14" a="1"/>
  <c r="A165" i="14" s="1"/>
  <c r="B165" i="14" a="1"/>
  <c r="B165" i="14" s="1"/>
  <c r="C165" i="14" a="1"/>
  <c r="C165" i="14" s="1"/>
  <c r="A166" i="14" a="1"/>
  <c r="A166" i="14" s="1"/>
  <c r="B166" i="14" a="1"/>
  <c r="B166" i="14" s="1"/>
  <c r="C166" i="14" a="1"/>
  <c r="C166" i="14" s="1"/>
  <c r="A167" i="14" a="1"/>
  <c r="A167" i="14" s="1"/>
  <c r="B167" i="14" a="1"/>
  <c r="B167" i="14" s="1"/>
  <c r="C167" i="14" a="1"/>
  <c r="C167" i="14" s="1"/>
  <c r="A96" i="14" a="1"/>
  <c r="A96" i="14" s="1"/>
  <c r="B96" i="14" a="1"/>
  <c r="B96" i="14" s="1"/>
  <c r="C96" i="14" a="1"/>
  <c r="C96" i="14" s="1"/>
  <c r="A97" i="14" a="1"/>
  <c r="A97" i="14" s="1"/>
  <c r="B97" i="14" a="1"/>
  <c r="B97" i="14" s="1"/>
  <c r="C97" i="14" a="1"/>
  <c r="C97" i="14" s="1"/>
  <c r="A98" i="14" a="1"/>
  <c r="A98" i="14" s="1"/>
  <c r="B98" i="14" a="1"/>
  <c r="B98" i="14" s="1"/>
  <c r="C98" i="14" a="1"/>
  <c r="C98" i="14" s="1"/>
  <c r="A99" i="14" a="1"/>
  <c r="A99" i="14" s="1"/>
  <c r="B99" i="14" a="1"/>
  <c r="B99" i="14" s="1"/>
  <c r="C99" i="14" a="1"/>
  <c r="C99" i="14" s="1"/>
  <c r="A100" i="14" a="1"/>
  <c r="A100" i="14" s="1"/>
  <c r="B100" i="14" a="1"/>
  <c r="B100" i="14" s="1"/>
  <c r="C100" i="14" a="1"/>
  <c r="C100" i="14" s="1"/>
  <c r="A101" i="14" a="1"/>
  <c r="A101" i="14" s="1"/>
  <c r="B101" i="14" a="1"/>
  <c r="B101" i="14" s="1"/>
  <c r="C101" i="14" a="1"/>
  <c r="C101" i="14" s="1"/>
  <c r="A102" i="14" a="1"/>
  <c r="A102" i="14" s="1"/>
  <c r="B102" i="14" a="1"/>
  <c r="B102" i="14" s="1"/>
  <c r="C102" i="14" a="1"/>
  <c r="C102" i="14" s="1"/>
  <c r="A103" i="14" a="1"/>
  <c r="A103" i="14" s="1"/>
  <c r="B103" i="14" a="1"/>
  <c r="B103" i="14" s="1"/>
  <c r="C103" i="14" a="1"/>
  <c r="C103" i="14" s="1"/>
  <c r="A104" i="14" a="1"/>
  <c r="A104" i="14" s="1"/>
  <c r="B104" i="14" a="1"/>
  <c r="B104" i="14" s="1"/>
  <c r="C104" i="14" a="1"/>
  <c r="C104" i="14" s="1"/>
  <c r="A105" i="14" a="1"/>
  <c r="A105" i="14" s="1"/>
  <c r="B105" i="14" a="1"/>
  <c r="B105" i="14" s="1"/>
  <c r="C105" i="14" a="1"/>
  <c r="C105" i="14" s="1"/>
  <c r="A106" i="14" a="1"/>
  <c r="A106" i="14" s="1"/>
  <c r="B106" i="14" a="1"/>
  <c r="B106" i="14" s="1"/>
  <c r="C106" i="14" a="1"/>
  <c r="C106" i="14" s="1"/>
  <c r="A107" i="14" a="1"/>
  <c r="A107" i="14" s="1"/>
  <c r="B107" i="14" a="1"/>
  <c r="B107" i="14" s="1"/>
  <c r="C107" i="14" a="1"/>
  <c r="C107" i="14" s="1"/>
  <c r="A108" i="14" a="1"/>
  <c r="A108" i="14" s="1"/>
  <c r="B108" i="14" a="1"/>
  <c r="B108" i="14" s="1"/>
  <c r="C108" i="14" a="1"/>
  <c r="C108" i="14" s="1"/>
  <c r="A109" i="14" a="1"/>
  <c r="A109" i="14" s="1"/>
  <c r="B109" i="14" a="1"/>
  <c r="B109" i="14" s="1"/>
  <c r="C109" i="14" a="1"/>
  <c r="C109" i="14" s="1"/>
  <c r="A110" i="14" a="1"/>
  <c r="A110" i="14" s="1"/>
  <c r="B110" i="14" a="1"/>
  <c r="B110" i="14" s="1"/>
  <c r="C110" i="14" a="1"/>
  <c r="C110" i="14" s="1"/>
  <c r="A111" i="14" a="1"/>
  <c r="A111" i="14" s="1"/>
  <c r="B111" i="14" a="1"/>
  <c r="B111" i="14" s="1"/>
  <c r="C111" i="14" a="1"/>
  <c r="C111" i="14" s="1"/>
  <c r="A112" i="14" a="1"/>
  <c r="A112" i="14" s="1"/>
  <c r="B112" i="14" a="1"/>
  <c r="B112" i="14" s="1"/>
  <c r="C112" i="14" a="1"/>
  <c r="C112" i="14" s="1"/>
  <c r="A113" i="14" a="1"/>
  <c r="A113" i="14" s="1"/>
  <c r="B113" i="14" a="1"/>
  <c r="B113" i="14" s="1"/>
  <c r="C113" i="14" a="1"/>
  <c r="C113" i="14" s="1"/>
  <c r="A114" i="14" a="1"/>
  <c r="A114" i="14" s="1"/>
  <c r="B114" i="14" a="1"/>
  <c r="B114" i="14" s="1"/>
  <c r="C114" i="14" a="1"/>
  <c r="C114" i="14" s="1"/>
  <c r="A115" i="14" a="1"/>
  <c r="A115" i="14" s="1"/>
  <c r="B115" i="14" a="1"/>
  <c r="B115" i="14" s="1"/>
  <c r="C115" i="14" a="1"/>
  <c r="C115" i="14" s="1"/>
  <c r="A116" i="14" a="1"/>
  <c r="A116" i="14" s="1"/>
  <c r="B116" i="14" a="1"/>
  <c r="B116" i="14" s="1"/>
  <c r="C116" i="14" a="1"/>
  <c r="C116" i="14" s="1"/>
  <c r="A117" i="14" a="1"/>
  <c r="A117" i="14" s="1"/>
  <c r="B117" i="14" a="1"/>
  <c r="B117" i="14" s="1"/>
  <c r="C117" i="14" a="1"/>
  <c r="C117" i="14" s="1"/>
  <c r="A118" i="14" a="1"/>
  <c r="A118" i="14" s="1"/>
  <c r="B118" i="14" a="1"/>
  <c r="B118" i="14" s="1"/>
  <c r="C118" i="14" a="1"/>
  <c r="C118" i="14" s="1"/>
  <c r="A119" i="14" a="1"/>
  <c r="A119" i="14" s="1"/>
  <c r="B119" i="14" a="1"/>
  <c r="B119" i="14" s="1"/>
  <c r="C119" i="14" a="1"/>
  <c r="C119" i="14" s="1"/>
  <c r="A120" i="14" a="1"/>
  <c r="A120" i="14" s="1"/>
  <c r="B120" i="14" a="1"/>
  <c r="B120" i="14" s="1"/>
  <c r="C120" i="14" a="1"/>
  <c r="C120" i="14" s="1"/>
  <c r="A121" i="14" a="1"/>
  <c r="A121" i="14" s="1"/>
  <c r="B121" i="14" a="1"/>
  <c r="B121" i="14" s="1"/>
  <c r="C121" i="14" a="1"/>
  <c r="C121" i="14" s="1"/>
  <c r="A122" i="14" a="1"/>
  <c r="A122" i="14" s="1"/>
  <c r="B122" i="14" a="1"/>
  <c r="B122" i="14" s="1"/>
  <c r="C122" i="14" a="1"/>
  <c r="C122" i="14" s="1"/>
  <c r="A123" i="14" a="1"/>
  <c r="A123" i="14" s="1"/>
  <c r="B123" i="14" a="1"/>
  <c r="B123" i="14" s="1"/>
  <c r="C123" i="14" a="1"/>
  <c r="C123" i="14" s="1"/>
  <c r="A124" i="14" a="1"/>
  <c r="A124" i="14" s="1"/>
  <c r="B124" i="14" a="1"/>
  <c r="B124" i="14" s="1"/>
  <c r="C124" i="14" a="1"/>
  <c r="C124" i="14" s="1"/>
  <c r="A125" i="14" a="1"/>
  <c r="A125" i="14" s="1"/>
  <c r="B125" i="14" a="1"/>
  <c r="B125" i="14" s="1"/>
  <c r="C125" i="14" a="1"/>
  <c r="C125" i="14" s="1"/>
  <c r="A126" i="14" a="1"/>
  <c r="A126" i="14" s="1"/>
  <c r="B126" i="14" a="1"/>
  <c r="B126" i="14" s="1"/>
  <c r="C126" i="14" a="1"/>
  <c r="C126" i="14" s="1"/>
  <c r="A127" i="14" a="1"/>
  <c r="A127" i="14" s="1"/>
  <c r="B127" i="14" a="1"/>
  <c r="B127" i="14" s="1"/>
  <c r="C127" i="14" a="1"/>
  <c r="C127" i="14" s="1"/>
  <c r="A128" i="14" a="1"/>
  <c r="A128" i="14" s="1"/>
  <c r="B128" i="14" a="1"/>
  <c r="B128" i="14" s="1"/>
  <c r="C128" i="14" a="1"/>
  <c r="C128" i="14" s="1"/>
  <c r="A129" i="14" a="1"/>
  <c r="A129" i="14" s="1"/>
  <c r="B129" i="14" a="1"/>
  <c r="B129" i="14" s="1"/>
  <c r="C129" i="14" a="1"/>
  <c r="C129" i="14" s="1"/>
  <c r="A58" i="14" a="1"/>
  <c r="A58" i="14" s="1"/>
  <c r="B58" i="14" a="1"/>
  <c r="B58" i="14" s="1"/>
  <c r="C58" i="14" a="1"/>
  <c r="C58" i="14" s="1"/>
  <c r="A59" i="14" a="1"/>
  <c r="A59" i="14" s="1"/>
  <c r="B59" i="14" a="1"/>
  <c r="B59" i="14" s="1"/>
  <c r="C59" i="14" a="1"/>
  <c r="C59" i="14" s="1"/>
  <c r="A60" i="14" a="1"/>
  <c r="A60" i="14" s="1"/>
  <c r="B60" i="14" a="1"/>
  <c r="B60" i="14" s="1"/>
  <c r="C60" i="14" a="1"/>
  <c r="C60" i="14" s="1"/>
  <c r="A61" i="14" a="1"/>
  <c r="A61" i="14" s="1"/>
  <c r="B61" i="14" a="1"/>
  <c r="B61" i="14" s="1"/>
  <c r="C61" i="14" a="1"/>
  <c r="C61" i="14" s="1"/>
  <c r="A62" i="14" a="1"/>
  <c r="A62" i="14" s="1"/>
  <c r="B62" i="14" a="1"/>
  <c r="B62" i="14" s="1"/>
  <c r="C62" i="14" a="1"/>
  <c r="C62" i="14" s="1"/>
  <c r="A63" i="14" a="1"/>
  <c r="A63" i="14" s="1"/>
  <c r="B63" i="14" a="1"/>
  <c r="B63" i="14" s="1"/>
  <c r="C63" i="14" a="1"/>
  <c r="C63" i="14" s="1"/>
  <c r="A64" i="14" a="1"/>
  <c r="A64" i="14" s="1"/>
  <c r="B64" i="14" a="1"/>
  <c r="B64" i="14" s="1"/>
  <c r="C64" i="14" a="1"/>
  <c r="C64" i="14" s="1"/>
  <c r="A65" i="14" a="1"/>
  <c r="A65" i="14" s="1"/>
  <c r="B65" i="14" a="1"/>
  <c r="B65" i="14" s="1"/>
  <c r="C65" i="14" a="1"/>
  <c r="C65" i="14" s="1"/>
  <c r="A66" i="14" a="1"/>
  <c r="A66" i="14" s="1"/>
  <c r="B66" i="14" a="1"/>
  <c r="B66" i="14" s="1"/>
  <c r="C66" i="14" a="1"/>
  <c r="C66" i="14" s="1"/>
  <c r="A67" i="14" a="1"/>
  <c r="A67" i="14" s="1"/>
  <c r="B67" i="14" a="1"/>
  <c r="B67" i="14" s="1"/>
  <c r="C67" i="14" a="1"/>
  <c r="C67" i="14" s="1"/>
  <c r="A68" i="14" a="1"/>
  <c r="A68" i="14" s="1"/>
  <c r="B68" i="14" a="1"/>
  <c r="B68" i="14" s="1"/>
  <c r="C68" i="14" a="1"/>
  <c r="C68" i="14" s="1"/>
  <c r="A69" i="14" a="1"/>
  <c r="A69" i="14" s="1"/>
  <c r="B69" i="14" a="1"/>
  <c r="B69" i="14" s="1"/>
  <c r="C69" i="14" a="1"/>
  <c r="C69" i="14" s="1"/>
  <c r="A70" i="14" a="1"/>
  <c r="A70" i="14" s="1"/>
  <c r="B70" i="14" a="1"/>
  <c r="B70" i="14" s="1"/>
  <c r="C70" i="14" a="1"/>
  <c r="C70" i="14" s="1"/>
  <c r="A71" i="14" a="1"/>
  <c r="A71" i="14" s="1"/>
  <c r="B71" i="14" a="1"/>
  <c r="B71" i="14" s="1"/>
  <c r="C71" i="14" a="1"/>
  <c r="C71" i="14" s="1"/>
  <c r="A72" i="14" a="1"/>
  <c r="A72" i="14" s="1"/>
  <c r="B72" i="14" a="1"/>
  <c r="B72" i="14" s="1"/>
  <c r="C72" i="14" a="1"/>
  <c r="C72" i="14" s="1"/>
  <c r="A73" i="14" a="1"/>
  <c r="A73" i="14" s="1"/>
  <c r="B73" i="14" a="1"/>
  <c r="B73" i="14" s="1"/>
  <c r="C73" i="14" a="1"/>
  <c r="C73" i="14" s="1"/>
  <c r="A74" i="14" a="1"/>
  <c r="A74" i="14" s="1"/>
  <c r="B74" i="14" a="1"/>
  <c r="B74" i="14" s="1"/>
  <c r="C74" i="14" a="1"/>
  <c r="C74" i="14" s="1"/>
  <c r="A75" i="14" a="1"/>
  <c r="A75" i="14" s="1"/>
  <c r="B75" i="14" a="1"/>
  <c r="B75" i="14" s="1"/>
  <c r="C75" i="14" a="1"/>
  <c r="C75" i="14" s="1"/>
  <c r="A76" i="14" a="1"/>
  <c r="A76" i="14" s="1"/>
  <c r="B76" i="14" a="1"/>
  <c r="B76" i="14" s="1"/>
  <c r="C76" i="14" a="1"/>
  <c r="C76" i="14" s="1"/>
  <c r="A77" i="14" a="1"/>
  <c r="A77" i="14" s="1"/>
  <c r="B77" i="14" a="1"/>
  <c r="B77" i="14" s="1"/>
  <c r="C77" i="14" a="1"/>
  <c r="C77" i="14" s="1"/>
  <c r="A78" i="14" a="1"/>
  <c r="A78" i="14" s="1"/>
  <c r="B78" i="14" a="1"/>
  <c r="B78" i="14" s="1"/>
  <c r="C78" i="14" a="1"/>
  <c r="C78" i="14" s="1"/>
  <c r="A79" i="14" a="1"/>
  <c r="A79" i="14" s="1"/>
  <c r="B79" i="14" a="1"/>
  <c r="B79" i="14" s="1"/>
  <c r="C79" i="14" a="1"/>
  <c r="C79" i="14" s="1"/>
  <c r="A80" i="14" a="1"/>
  <c r="A80" i="14" s="1"/>
  <c r="B80" i="14" a="1"/>
  <c r="B80" i="14" s="1"/>
  <c r="C80" i="14" a="1"/>
  <c r="C80" i="14" s="1"/>
  <c r="A81" i="14" a="1"/>
  <c r="A81" i="14" s="1"/>
  <c r="B81" i="14" a="1"/>
  <c r="B81" i="14" s="1"/>
  <c r="C81" i="14" a="1"/>
  <c r="C81" i="14" s="1"/>
  <c r="A82" i="14" a="1"/>
  <c r="A82" i="14" s="1"/>
  <c r="B82" i="14" a="1"/>
  <c r="B82" i="14" s="1"/>
  <c r="C82" i="14" a="1"/>
  <c r="C82" i="14" s="1"/>
  <c r="A83" i="14" a="1"/>
  <c r="A83" i="14" s="1"/>
  <c r="B83" i="14" a="1"/>
  <c r="B83" i="14" s="1"/>
  <c r="C83" i="14" a="1"/>
  <c r="C83" i="14" s="1"/>
  <c r="A84" i="14" a="1"/>
  <c r="A84" i="14" s="1"/>
  <c r="B84" i="14" a="1"/>
  <c r="B84" i="14" s="1"/>
  <c r="C84" i="14" a="1"/>
  <c r="C84" i="14" s="1"/>
  <c r="A85" i="14" a="1"/>
  <c r="A85" i="14" s="1"/>
  <c r="B85" i="14" a="1"/>
  <c r="B85" i="14" s="1"/>
  <c r="C85" i="14" a="1"/>
  <c r="C85" i="14" s="1"/>
  <c r="A86" i="14" a="1"/>
  <c r="A86" i="14" s="1"/>
  <c r="B86" i="14" a="1"/>
  <c r="B86" i="14" s="1"/>
  <c r="C86" i="14" a="1"/>
  <c r="C86" i="14" s="1"/>
  <c r="A87" i="14" a="1"/>
  <c r="A87" i="14" s="1"/>
  <c r="B87" i="14" a="1"/>
  <c r="B87" i="14" s="1"/>
  <c r="C87" i="14" a="1"/>
  <c r="C87" i="14" s="1"/>
  <c r="A88" i="14" a="1"/>
  <c r="A88" i="14" s="1"/>
  <c r="B88" i="14" a="1"/>
  <c r="B88" i="14" s="1"/>
  <c r="C88" i="14" a="1"/>
  <c r="C88" i="14" s="1"/>
  <c r="A89" i="14" a="1"/>
  <c r="A89" i="14" s="1"/>
  <c r="B89" i="14" a="1"/>
  <c r="B89" i="14" s="1"/>
  <c r="C89" i="14" a="1"/>
  <c r="C89" i="14" s="1"/>
  <c r="A90" i="14" a="1"/>
  <c r="A90" i="14" s="1"/>
  <c r="B90" i="14" a="1"/>
  <c r="B90" i="14" s="1"/>
  <c r="C90" i="14" a="1"/>
  <c r="C90" i="14" s="1"/>
  <c r="A91" i="14" a="1"/>
  <c r="A91" i="14" s="1"/>
  <c r="B91" i="14" a="1"/>
  <c r="B91" i="14" s="1"/>
  <c r="C91" i="14" a="1"/>
  <c r="C91" i="14" s="1"/>
  <c r="A20" i="14" a="1"/>
  <c r="A20" i="14" s="1"/>
  <c r="B20" i="14" a="1"/>
  <c r="B20" i="14" s="1"/>
  <c r="C20" i="14" a="1"/>
  <c r="C20" i="14" s="1"/>
  <c r="A21" i="14" a="1"/>
  <c r="A21" i="14" s="1"/>
  <c r="B21" i="14" a="1"/>
  <c r="B21" i="14" s="1"/>
  <c r="C21" i="14" a="1"/>
  <c r="C21" i="14" s="1"/>
  <c r="A22" i="14" a="1"/>
  <c r="A22" i="14" s="1"/>
  <c r="B22" i="14" a="1"/>
  <c r="B22" i="14" s="1"/>
  <c r="C22" i="14" a="1"/>
  <c r="C22" i="14" s="1"/>
  <c r="A23" i="14" a="1"/>
  <c r="A23" i="14" s="1"/>
  <c r="B23" i="14" a="1"/>
  <c r="B23" i="14" s="1"/>
  <c r="C23" i="14" a="1"/>
  <c r="C23" i="14" s="1"/>
  <c r="A24" i="14" a="1"/>
  <c r="A24" i="14" s="1"/>
  <c r="B24" i="14" a="1"/>
  <c r="B24" i="14" s="1"/>
  <c r="C24" i="14" a="1"/>
  <c r="C24" i="14" s="1"/>
  <c r="A25" i="14" a="1"/>
  <c r="A25" i="14" s="1"/>
  <c r="B25" i="14" a="1"/>
  <c r="B25" i="14" s="1"/>
  <c r="C25" i="14" a="1"/>
  <c r="C25" i="14" s="1"/>
  <c r="A26" i="14" a="1"/>
  <c r="A26" i="14" s="1"/>
  <c r="B26" i="14" a="1"/>
  <c r="B26" i="14" s="1"/>
  <c r="C26" i="14" a="1"/>
  <c r="C26" i="14" s="1"/>
  <c r="A27" i="14" a="1"/>
  <c r="A27" i="14" s="1"/>
  <c r="B27" i="14" a="1"/>
  <c r="B27" i="14" s="1"/>
  <c r="C27" i="14" a="1"/>
  <c r="C27" i="14" s="1"/>
  <c r="A28" i="14" a="1"/>
  <c r="A28" i="14" s="1"/>
  <c r="B28" i="14" a="1"/>
  <c r="B28" i="14" s="1"/>
  <c r="C28" i="14" a="1"/>
  <c r="C28" i="14" s="1"/>
  <c r="A29" i="14" a="1"/>
  <c r="A29" i="14" s="1"/>
  <c r="B29" i="14" a="1"/>
  <c r="B29" i="14" s="1"/>
  <c r="C29" i="14" a="1"/>
  <c r="C29" i="14" s="1"/>
  <c r="A30" i="14" a="1"/>
  <c r="A30" i="14" s="1"/>
  <c r="B30" i="14" a="1"/>
  <c r="B30" i="14" s="1"/>
  <c r="C30" i="14" a="1"/>
  <c r="C30" i="14" s="1"/>
  <c r="A31" i="14" a="1"/>
  <c r="A31" i="14" s="1"/>
  <c r="B31" i="14" a="1"/>
  <c r="B31" i="14" s="1"/>
  <c r="C31" i="14" a="1"/>
  <c r="C31" i="14" s="1"/>
  <c r="A32" i="14" a="1"/>
  <c r="A32" i="14" s="1"/>
  <c r="B32" i="14" a="1"/>
  <c r="B32" i="14" s="1"/>
  <c r="C32" i="14" a="1"/>
  <c r="C32" i="14" s="1"/>
  <c r="A33" i="14" a="1"/>
  <c r="A33" i="14" s="1"/>
  <c r="B33" i="14" a="1"/>
  <c r="B33" i="14" s="1"/>
  <c r="C33" i="14" a="1"/>
  <c r="C33" i="14" s="1"/>
  <c r="A34" i="14" a="1"/>
  <c r="A34" i="14" s="1"/>
  <c r="B34" i="14" a="1"/>
  <c r="B34" i="14" s="1"/>
  <c r="C34" i="14" a="1"/>
  <c r="C34" i="14" s="1"/>
  <c r="A35" i="14" a="1"/>
  <c r="A35" i="14" s="1"/>
  <c r="B35" i="14" a="1"/>
  <c r="B35" i="14" s="1"/>
  <c r="C35" i="14" a="1"/>
  <c r="C35" i="14" s="1"/>
  <c r="A36" i="14" a="1"/>
  <c r="A36" i="14" s="1"/>
  <c r="B36" i="14" a="1"/>
  <c r="B36" i="14" s="1"/>
  <c r="C36" i="14" a="1"/>
  <c r="C36" i="14" s="1"/>
  <c r="A37" i="14" a="1"/>
  <c r="A37" i="14" s="1"/>
  <c r="B37" i="14" a="1"/>
  <c r="B37" i="14" s="1"/>
  <c r="C37" i="14" a="1"/>
  <c r="C37" i="14" s="1"/>
  <c r="A38" i="14" a="1"/>
  <c r="A38" i="14" s="1"/>
  <c r="B38" i="14" a="1"/>
  <c r="B38" i="14" s="1"/>
  <c r="C38" i="14" a="1"/>
  <c r="C38" i="14" s="1"/>
  <c r="A39" i="14" a="1"/>
  <c r="A39" i="14" s="1"/>
  <c r="B39" i="14" a="1"/>
  <c r="B39" i="14" s="1"/>
  <c r="C39" i="14" a="1"/>
  <c r="C39" i="14" s="1"/>
  <c r="A40" i="14" a="1"/>
  <c r="A40" i="14" s="1"/>
  <c r="B40" i="14" a="1"/>
  <c r="B40" i="14" s="1"/>
  <c r="C40" i="14" a="1"/>
  <c r="C40" i="14" s="1"/>
  <c r="A41" i="14" a="1"/>
  <c r="A41" i="14" s="1"/>
  <c r="B41" i="14" a="1"/>
  <c r="B41" i="14" s="1"/>
  <c r="C41" i="14" a="1"/>
  <c r="C41" i="14" s="1"/>
  <c r="A42" i="14" a="1"/>
  <c r="A42" i="14" s="1"/>
  <c r="B42" i="14" a="1"/>
  <c r="B42" i="14" s="1"/>
  <c r="C42" i="14" a="1"/>
  <c r="C42" i="14" s="1"/>
  <c r="A43" i="14" a="1"/>
  <c r="A43" i="14" s="1"/>
  <c r="B43" i="14" a="1"/>
  <c r="B43" i="14" s="1"/>
  <c r="C43" i="14" a="1"/>
  <c r="C43" i="14" s="1"/>
  <c r="A44" i="14" a="1"/>
  <c r="A44" i="14" s="1"/>
  <c r="B44" i="14" a="1"/>
  <c r="B44" i="14" s="1"/>
  <c r="C44" i="14" a="1"/>
  <c r="C44" i="14" s="1"/>
  <c r="A45" i="14" a="1"/>
  <c r="A45" i="14" s="1"/>
  <c r="B45" i="14" a="1"/>
  <c r="B45" i="14" s="1"/>
  <c r="C45" i="14" a="1"/>
  <c r="C45" i="14" s="1"/>
  <c r="A46" i="14" a="1"/>
  <c r="A46" i="14" s="1"/>
  <c r="B46" i="14" a="1"/>
  <c r="B46" i="14" s="1"/>
  <c r="C46" i="14" a="1"/>
  <c r="C46" i="14" s="1"/>
  <c r="A47" i="14" a="1"/>
  <c r="A47" i="14" s="1"/>
  <c r="B47" i="14" a="1"/>
  <c r="B47" i="14" s="1"/>
  <c r="C47" i="14" a="1"/>
  <c r="C47" i="14" s="1"/>
  <c r="A48" i="14" a="1"/>
  <c r="A48" i="14" s="1"/>
  <c r="B48" i="14" a="1"/>
  <c r="B48" i="14" s="1"/>
  <c r="C48" i="14" a="1"/>
  <c r="C48" i="14" s="1"/>
  <c r="A49" i="14" a="1"/>
  <c r="A49" i="14" s="1"/>
  <c r="B49" i="14" a="1"/>
  <c r="B49" i="14" s="1"/>
  <c r="C49" i="14" a="1"/>
  <c r="C49" i="14" s="1"/>
  <c r="A50" i="14" a="1"/>
  <c r="A50" i="14" s="1"/>
  <c r="B50" i="14" a="1"/>
  <c r="B50" i="14" s="1"/>
  <c r="C50" i="14" a="1"/>
  <c r="C50" i="14" s="1"/>
  <c r="A51" i="14" a="1"/>
  <c r="A51" i="14" s="1"/>
  <c r="B51" i="14" a="1"/>
  <c r="B51" i="14" s="1"/>
  <c r="C51" i="14" a="1"/>
  <c r="C51" i="14" s="1"/>
  <c r="A52" i="14" a="1"/>
  <c r="A52" i="14" s="1"/>
  <c r="B52" i="14" a="1"/>
  <c r="B52" i="14" s="1"/>
  <c r="C52" i="14" a="1"/>
  <c r="C52" i="14" s="1"/>
  <c r="A53" i="14" a="1"/>
  <c r="A53" i="14" s="1"/>
  <c r="B53" i="14" a="1"/>
  <c r="B53" i="14" s="1"/>
  <c r="C53" i="14" a="1"/>
  <c r="C53" i="14" s="1"/>
  <c r="C703" i="14" a="1"/>
  <c r="C703" i="14" s="1"/>
  <c r="B703" i="14" a="1"/>
  <c r="B703" i="14" s="1"/>
  <c r="A703" i="14" a="1"/>
  <c r="A703" i="14" s="1"/>
  <c r="C665" i="14" a="1"/>
  <c r="C665" i="14" s="1"/>
  <c r="B665" i="14" a="1"/>
  <c r="B665" i="14" s="1"/>
  <c r="A665" i="14" a="1"/>
  <c r="A665" i="14" s="1"/>
  <c r="C627" i="14" a="1"/>
  <c r="C627" i="14" s="1"/>
  <c r="B627" i="14" a="1"/>
  <c r="B627" i="14" s="1"/>
  <c r="A627" i="14" a="1"/>
  <c r="A627" i="14" s="1"/>
  <c r="C589" i="14" a="1"/>
  <c r="C589" i="14" s="1"/>
  <c r="B589" i="14" a="1"/>
  <c r="B589" i="14" s="1"/>
  <c r="A589" i="14" a="1"/>
  <c r="A589" i="14" s="1"/>
  <c r="C551" i="14" a="1"/>
  <c r="C551" i="14" s="1"/>
  <c r="B551" i="14" a="1"/>
  <c r="B551" i="14" s="1"/>
  <c r="A551" i="14" a="1"/>
  <c r="A551" i="14" s="1"/>
  <c r="C513" i="14" a="1"/>
  <c r="C513" i="14" s="1"/>
  <c r="B513" i="14" a="1"/>
  <c r="B513" i="14" s="1"/>
  <c r="A513" i="14" a="1"/>
  <c r="A513" i="14" s="1"/>
  <c r="C475" i="14" a="1"/>
  <c r="C475" i="14" s="1"/>
  <c r="B475" i="14" a="1"/>
  <c r="B475" i="14" s="1"/>
  <c r="A475" i="14" a="1"/>
  <c r="A475" i="14" s="1"/>
  <c r="C437" i="14" a="1"/>
  <c r="C437" i="14" s="1"/>
  <c r="B437" i="14" a="1"/>
  <c r="B437" i="14" s="1"/>
  <c r="A437" i="14" a="1"/>
  <c r="A437" i="14" s="1"/>
  <c r="C399" i="14" a="1"/>
  <c r="C399" i="14" s="1"/>
  <c r="B399" i="14" a="1"/>
  <c r="B399" i="14" s="1"/>
  <c r="A399" i="14" a="1"/>
  <c r="A399" i="14" s="1"/>
  <c r="C361" i="14" a="1"/>
  <c r="C361" i="14" s="1"/>
  <c r="B361" i="14" a="1"/>
  <c r="B361" i="14" s="1"/>
  <c r="A361" i="14" a="1"/>
  <c r="A361" i="14" s="1"/>
  <c r="C323" i="14" a="1"/>
  <c r="C323" i="14" s="1"/>
  <c r="B323" i="14" a="1"/>
  <c r="B323" i="14" s="1"/>
  <c r="A323" i="14" a="1"/>
  <c r="A323" i="14" s="1"/>
  <c r="C285" i="14" a="1"/>
  <c r="C285" i="14" s="1"/>
  <c r="B285" i="14" a="1"/>
  <c r="B285" i="14" s="1"/>
  <c r="A285" i="14" a="1"/>
  <c r="A285" i="14" s="1"/>
  <c r="C247" i="14" a="1"/>
  <c r="C247" i="14" s="1"/>
  <c r="B247" i="14" a="1"/>
  <c r="B247" i="14" s="1"/>
  <c r="A247" i="14" a="1"/>
  <c r="A247" i="14" s="1"/>
  <c r="C209" i="14" a="1"/>
  <c r="C209" i="14" s="1"/>
  <c r="B209" i="14" a="1"/>
  <c r="B209" i="14" s="1"/>
  <c r="A209" i="14" a="1"/>
  <c r="A209" i="14" s="1"/>
  <c r="C171" i="14" a="1"/>
  <c r="C171" i="14" s="1"/>
  <c r="B171" i="14" a="1"/>
  <c r="B171" i="14" s="1"/>
  <c r="A171" i="14" a="1"/>
  <c r="A171" i="14" s="1"/>
  <c r="C133" i="14" a="1"/>
  <c r="C133" i="14" s="1"/>
  <c r="B133" i="14" a="1"/>
  <c r="B133" i="14" s="1"/>
  <c r="A133" i="14" a="1"/>
  <c r="A133" i="14" s="1"/>
  <c r="C95" i="14" a="1"/>
  <c r="C95" i="14" s="1"/>
  <c r="B95" i="14" a="1"/>
  <c r="B95" i="14" s="1"/>
  <c r="A95" i="14" a="1"/>
  <c r="A95" i="14" s="1"/>
  <c r="C57" i="14" a="1"/>
  <c r="C57" i="14" s="1"/>
  <c r="B57" i="14" a="1"/>
  <c r="B57" i="14" s="1"/>
  <c r="A57" i="14" a="1"/>
  <c r="A57" i="14" s="1"/>
  <c r="C19" i="14" a="1"/>
  <c r="C19" i="14" s="1"/>
  <c r="B19" i="14" a="1"/>
  <c r="B19" i="14" s="1"/>
  <c r="A19" i="14" a="1"/>
  <c r="A19" i="14" s="1"/>
  <c r="C129" i="13" a="1"/>
  <c r="C129" i="13" s="1"/>
  <c r="B129" i="13" a="1"/>
  <c r="B129" i="13" s="1"/>
  <c r="A129" i="13" a="1"/>
  <c r="A129" i="13" s="1"/>
  <c r="C128" i="13" a="1"/>
  <c r="C128" i="13" s="1"/>
  <c r="B128" i="13" a="1"/>
  <c r="B128" i="13" s="1"/>
  <c r="A128" i="13" a="1"/>
  <c r="A128" i="13" s="1"/>
  <c r="C127" i="13" a="1"/>
  <c r="C127" i="13" s="1"/>
  <c r="B127" i="13" a="1"/>
  <c r="B127" i="13" s="1"/>
  <c r="A127" i="13" a="1"/>
  <c r="A127" i="13" s="1"/>
  <c r="C126" i="13" a="1"/>
  <c r="C126" i="13" s="1"/>
  <c r="B126" i="13" a="1"/>
  <c r="B126" i="13" s="1"/>
  <c r="A126" i="13" a="1"/>
  <c r="A126" i="13" s="1"/>
  <c r="C125" i="13" a="1"/>
  <c r="C125" i="13" s="1"/>
  <c r="B125" i="13" a="1"/>
  <c r="B125" i="13" s="1"/>
  <c r="A125" i="13" a="1"/>
  <c r="A125" i="13" s="1"/>
  <c r="C124" i="13" a="1"/>
  <c r="C124" i="13" s="1"/>
  <c r="B124" i="13" a="1"/>
  <c r="B124" i="13" s="1"/>
  <c r="A124" i="13" a="1"/>
  <c r="A124" i="13" s="1"/>
  <c r="C123" i="13" a="1"/>
  <c r="C123" i="13" s="1"/>
  <c r="B123" i="13" a="1"/>
  <c r="B123" i="13" s="1"/>
  <c r="A123" i="13" a="1"/>
  <c r="A123" i="13" s="1"/>
  <c r="C122" i="13" a="1"/>
  <c r="C122" i="13" s="1"/>
  <c r="B122" i="13" a="1"/>
  <c r="B122" i="13" s="1"/>
  <c r="A122" i="13" a="1"/>
  <c r="A122" i="13" s="1"/>
  <c r="C121" i="13" a="1"/>
  <c r="C121" i="13" s="1"/>
  <c r="B121" i="13" a="1"/>
  <c r="B121" i="13" s="1"/>
  <c r="A121" i="13" a="1"/>
  <c r="A121" i="13" s="1"/>
  <c r="C120" i="13" a="1"/>
  <c r="C120" i="13" s="1"/>
  <c r="B120" i="13" a="1"/>
  <c r="B120" i="13" s="1"/>
  <c r="A120" i="13" a="1"/>
  <c r="A120" i="13" s="1"/>
  <c r="C119" i="13" a="1"/>
  <c r="C119" i="13" s="1"/>
  <c r="B119" i="13" a="1"/>
  <c r="B119" i="13" s="1"/>
  <c r="A119" i="13" a="1"/>
  <c r="A119" i="13" s="1"/>
  <c r="C118" i="13" a="1"/>
  <c r="C118" i="13" s="1"/>
  <c r="B118" i="13" a="1"/>
  <c r="B118" i="13" s="1"/>
  <c r="A118" i="13" a="1"/>
  <c r="A118" i="13" s="1"/>
  <c r="C117" i="13" a="1"/>
  <c r="C117" i="13" s="1"/>
  <c r="B117" i="13" a="1"/>
  <c r="B117" i="13" s="1"/>
  <c r="A117" i="13" a="1"/>
  <c r="A117" i="13" s="1"/>
  <c r="C116" i="13" a="1"/>
  <c r="C116" i="13" s="1"/>
  <c r="B116" i="13" a="1"/>
  <c r="B116" i="13" s="1"/>
  <c r="A116" i="13" a="1"/>
  <c r="A116" i="13" s="1"/>
  <c r="C115" i="13" a="1"/>
  <c r="C115" i="13" s="1"/>
  <c r="B115" i="13" a="1"/>
  <c r="B115" i="13" s="1"/>
  <c r="A115" i="13" a="1"/>
  <c r="A115" i="13" s="1"/>
  <c r="C114" i="13" a="1"/>
  <c r="C114" i="13" s="1"/>
  <c r="B114" i="13" a="1"/>
  <c r="B114" i="13" s="1"/>
  <c r="A114" i="13" a="1"/>
  <c r="A114" i="13" s="1"/>
  <c r="C113" i="13" a="1"/>
  <c r="C113" i="13" s="1"/>
  <c r="B113" i="13" a="1"/>
  <c r="B113" i="13" s="1"/>
  <c r="A113" i="13" a="1"/>
  <c r="A113" i="13" s="1"/>
  <c r="C112" i="13" a="1"/>
  <c r="C112" i="13" s="1"/>
  <c r="B112" i="13" a="1"/>
  <c r="B112" i="13" s="1"/>
  <c r="A112" i="13" a="1"/>
  <c r="A112" i="13" s="1"/>
  <c r="C111" i="13" a="1"/>
  <c r="C111" i="13" s="1"/>
  <c r="B111" i="13" a="1"/>
  <c r="B111" i="13" s="1"/>
  <c r="A111" i="13" a="1"/>
  <c r="A111" i="13" s="1"/>
  <c r="C110" i="13" a="1"/>
  <c r="C110" i="13" s="1"/>
  <c r="B110" i="13" a="1"/>
  <c r="B110" i="13" s="1"/>
  <c r="A110" i="13" a="1"/>
  <c r="A110" i="13" s="1"/>
  <c r="C109" i="13" a="1"/>
  <c r="C109" i="13" s="1"/>
  <c r="B109" i="13" a="1"/>
  <c r="B109" i="13" s="1"/>
  <c r="A109" i="13" a="1"/>
  <c r="A109" i="13" s="1"/>
  <c r="C108" i="13" a="1"/>
  <c r="C108" i="13" s="1"/>
  <c r="B108" i="13" a="1"/>
  <c r="B108" i="13" s="1"/>
  <c r="A108" i="13" a="1"/>
  <c r="A108" i="13" s="1"/>
  <c r="C107" i="13" a="1"/>
  <c r="C107" i="13" s="1"/>
  <c r="B107" i="13" a="1"/>
  <c r="B107" i="13" s="1"/>
  <c r="A107" i="13" a="1"/>
  <c r="A107" i="13" s="1"/>
  <c r="C106" i="13" a="1"/>
  <c r="C106" i="13" s="1"/>
  <c r="B106" i="13" a="1"/>
  <c r="B106" i="13" s="1"/>
  <c r="A106" i="13" a="1"/>
  <c r="A106" i="13" s="1"/>
  <c r="C105" i="13" a="1"/>
  <c r="C105" i="13" s="1"/>
  <c r="B105" i="13" a="1"/>
  <c r="B105" i="13" s="1"/>
  <c r="A105" i="13" a="1"/>
  <c r="A105" i="13" s="1"/>
  <c r="C104" i="13" a="1"/>
  <c r="C104" i="13" s="1"/>
  <c r="B104" i="13" a="1"/>
  <c r="B104" i="13" s="1"/>
  <c r="A104" i="13" a="1"/>
  <c r="A104" i="13" s="1"/>
  <c r="C103" i="13" a="1"/>
  <c r="C103" i="13" s="1"/>
  <c r="B103" i="13" a="1"/>
  <c r="B103" i="13" s="1"/>
  <c r="A103" i="13" a="1"/>
  <c r="A103" i="13" s="1"/>
  <c r="C102" i="13" a="1"/>
  <c r="C102" i="13" s="1"/>
  <c r="B102" i="13" a="1"/>
  <c r="B102" i="13" s="1"/>
  <c r="A102" i="13" a="1"/>
  <c r="A102" i="13" s="1"/>
  <c r="C101" i="13" a="1"/>
  <c r="C101" i="13" s="1"/>
  <c r="B101" i="13" a="1"/>
  <c r="B101" i="13" s="1"/>
  <c r="A101" i="13" a="1"/>
  <c r="A101" i="13" s="1"/>
  <c r="C100" i="13" a="1"/>
  <c r="C100" i="13" s="1"/>
  <c r="B100" i="13" a="1"/>
  <c r="B100" i="13" s="1"/>
  <c r="A100" i="13" a="1"/>
  <c r="A100" i="13" s="1"/>
  <c r="C99" i="13" a="1"/>
  <c r="C99" i="13" s="1"/>
  <c r="B99" i="13" a="1"/>
  <c r="B99" i="13" s="1"/>
  <c r="A99" i="13" a="1"/>
  <c r="A99" i="13" s="1"/>
  <c r="C98" i="13" a="1"/>
  <c r="C98" i="13" s="1"/>
  <c r="B98" i="13" a="1"/>
  <c r="B98" i="13" s="1"/>
  <c r="A98" i="13" a="1"/>
  <c r="A98" i="13" s="1"/>
  <c r="C97" i="13" a="1"/>
  <c r="C97" i="13" s="1"/>
  <c r="B97" i="13" a="1"/>
  <c r="B97" i="13" s="1"/>
  <c r="A97" i="13" a="1"/>
  <c r="A97" i="13" s="1"/>
  <c r="C96" i="13" a="1"/>
  <c r="C96" i="13" s="1"/>
  <c r="B96" i="13" a="1"/>
  <c r="B96" i="13" s="1"/>
  <c r="A96" i="13" a="1"/>
  <c r="A96" i="13" s="1"/>
  <c r="C95" i="13" a="1"/>
  <c r="C95" i="13" s="1"/>
  <c r="B95" i="13" a="1"/>
  <c r="B95" i="13" s="1"/>
  <c r="A95" i="13" a="1"/>
  <c r="A95" i="13" s="1"/>
  <c r="C91" i="13" a="1"/>
  <c r="C91" i="13" s="1"/>
  <c r="B91" i="13" a="1"/>
  <c r="B91" i="13" s="1"/>
  <c r="A91" i="13" a="1"/>
  <c r="A91" i="13" s="1"/>
  <c r="C90" i="13" a="1"/>
  <c r="C90" i="13" s="1"/>
  <c r="B90" i="13" a="1"/>
  <c r="B90" i="13" s="1"/>
  <c r="A90" i="13" a="1"/>
  <c r="A90" i="13" s="1"/>
  <c r="C89" i="13" a="1"/>
  <c r="C89" i="13" s="1"/>
  <c r="B89" i="13" a="1"/>
  <c r="B89" i="13" s="1"/>
  <c r="A89" i="13" a="1"/>
  <c r="A89" i="13" s="1"/>
  <c r="C88" i="13" a="1"/>
  <c r="C88" i="13" s="1"/>
  <c r="B88" i="13" a="1"/>
  <c r="B88" i="13" s="1"/>
  <c r="A88" i="13" a="1"/>
  <c r="A88" i="13" s="1"/>
  <c r="C87" i="13" a="1"/>
  <c r="C87" i="13" s="1"/>
  <c r="B87" i="13" a="1"/>
  <c r="B87" i="13" s="1"/>
  <c r="A87" i="13" a="1"/>
  <c r="A87" i="13" s="1"/>
  <c r="C86" i="13" a="1"/>
  <c r="C86" i="13" s="1"/>
  <c r="B86" i="13" a="1"/>
  <c r="B86" i="13" s="1"/>
  <c r="A86" i="13" a="1"/>
  <c r="A86" i="13" s="1"/>
  <c r="C85" i="13" a="1"/>
  <c r="C85" i="13" s="1"/>
  <c r="B85" i="13" a="1"/>
  <c r="B85" i="13" s="1"/>
  <c r="A85" i="13" a="1"/>
  <c r="A85" i="13" s="1"/>
  <c r="C84" i="13" a="1"/>
  <c r="C84" i="13" s="1"/>
  <c r="B84" i="13" a="1"/>
  <c r="B84" i="13" s="1"/>
  <c r="A84" i="13" a="1"/>
  <c r="A84" i="13" s="1"/>
  <c r="C83" i="13" a="1"/>
  <c r="C83" i="13" s="1"/>
  <c r="B83" i="13" a="1"/>
  <c r="B83" i="13" s="1"/>
  <c r="A83" i="13" a="1"/>
  <c r="A83" i="13" s="1"/>
  <c r="C82" i="13" a="1"/>
  <c r="C82" i="13" s="1"/>
  <c r="B82" i="13" a="1"/>
  <c r="B82" i="13" s="1"/>
  <c r="A82" i="13" a="1"/>
  <c r="A82" i="13" s="1"/>
  <c r="C81" i="13" a="1"/>
  <c r="C81" i="13" s="1"/>
  <c r="B81" i="13" a="1"/>
  <c r="B81" i="13" s="1"/>
  <c r="A81" i="13" a="1"/>
  <c r="A81" i="13" s="1"/>
  <c r="C80" i="13" a="1"/>
  <c r="C80" i="13" s="1"/>
  <c r="B80" i="13" a="1"/>
  <c r="B80" i="13" s="1"/>
  <c r="A80" i="13" a="1"/>
  <c r="A80" i="13" s="1"/>
  <c r="C79" i="13" a="1"/>
  <c r="C79" i="13" s="1"/>
  <c r="B79" i="13" a="1"/>
  <c r="B79" i="13" s="1"/>
  <c r="A79" i="13" a="1"/>
  <c r="A79" i="13" s="1"/>
  <c r="C78" i="13" a="1"/>
  <c r="C78" i="13" s="1"/>
  <c r="B78" i="13" a="1"/>
  <c r="B78" i="13" s="1"/>
  <c r="A78" i="13" a="1"/>
  <c r="A78" i="13" s="1"/>
  <c r="C77" i="13" a="1"/>
  <c r="C77" i="13" s="1"/>
  <c r="B77" i="13" a="1"/>
  <c r="B77" i="13" s="1"/>
  <c r="A77" i="13" a="1"/>
  <c r="A77" i="13" s="1"/>
  <c r="C76" i="13" a="1"/>
  <c r="C76" i="13" s="1"/>
  <c r="B76" i="13" a="1"/>
  <c r="B76" i="13" s="1"/>
  <c r="A76" i="13" a="1"/>
  <c r="A76" i="13" s="1"/>
  <c r="C75" i="13" a="1"/>
  <c r="C75" i="13" s="1"/>
  <c r="B75" i="13" a="1"/>
  <c r="B75" i="13" s="1"/>
  <c r="A75" i="13" a="1"/>
  <c r="A75" i="13" s="1"/>
  <c r="C74" i="13" a="1"/>
  <c r="C74" i="13" s="1"/>
  <c r="B74" i="13" a="1"/>
  <c r="B74" i="13" s="1"/>
  <c r="A74" i="13" a="1"/>
  <c r="A74" i="13" s="1"/>
  <c r="C73" i="13" a="1"/>
  <c r="C73" i="13" s="1"/>
  <c r="B73" i="13" a="1"/>
  <c r="B73" i="13" s="1"/>
  <c r="A73" i="13" a="1"/>
  <c r="A73" i="13" s="1"/>
  <c r="C72" i="13" a="1"/>
  <c r="C72" i="13" s="1"/>
  <c r="B72" i="13" a="1"/>
  <c r="B72" i="13" s="1"/>
  <c r="A72" i="13" a="1"/>
  <c r="A72" i="13" s="1"/>
  <c r="C71" i="13" a="1"/>
  <c r="C71" i="13" s="1"/>
  <c r="B71" i="13" a="1"/>
  <c r="B71" i="13" s="1"/>
  <c r="A71" i="13" a="1"/>
  <c r="A71" i="13" s="1"/>
  <c r="C70" i="13" a="1"/>
  <c r="C70" i="13" s="1"/>
  <c r="B70" i="13" a="1"/>
  <c r="B70" i="13" s="1"/>
  <c r="A70" i="13" a="1"/>
  <c r="A70" i="13" s="1"/>
  <c r="C69" i="13" a="1"/>
  <c r="C69" i="13" s="1"/>
  <c r="B69" i="13" a="1"/>
  <c r="B69" i="13" s="1"/>
  <c r="A69" i="13" a="1"/>
  <c r="A69" i="13" s="1"/>
  <c r="C68" i="13" a="1"/>
  <c r="C68" i="13" s="1"/>
  <c r="B68" i="13" a="1"/>
  <c r="B68" i="13" s="1"/>
  <c r="A68" i="13" a="1"/>
  <c r="A68" i="13" s="1"/>
  <c r="C67" i="13" a="1"/>
  <c r="C67" i="13" s="1"/>
  <c r="B67" i="13" a="1"/>
  <c r="B67" i="13" s="1"/>
  <c r="A67" i="13" a="1"/>
  <c r="A67" i="13" s="1"/>
  <c r="C66" i="13" a="1"/>
  <c r="C66" i="13" s="1"/>
  <c r="B66" i="13" a="1"/>
  <c r="B66" i="13" s="1"/>
  <c r="A66" i="13" a="1"/>
  <c r="A66" i="13" s="1"/>
  <c r="C65" i="13" a="1"/>
  <c r="C65" i="13" s="1"/>
  <c r="B65" i="13" a="1"/>
  <c r="B65" i="13" s="1"/>
  <c r="A65" i="13" a="1"/>
  <c r="A65" i="13" s="1"/>
  <c r="C64" i="13" a="1"/>
  <c r="C64" i="13" s="1"/>
  <c r="B64" i="13" a="1"/>
  <c r="B64" i="13" s="1"/>
  <c r="A64" i="13" a="1"/>
  <c r="A64" i="13" s="1"/>
  <c r="C63" i="13" a="1"/>
  <c r="C63" i="13" s="1"/>
  <c r="B63" i="13" a="1"/>
  <c r="B63" i="13" s="1"/>
  <c r="A63" i="13" a="1"/>
  <c r="A63" i="13" s="1"/>
  <c r="C62" i="13" a="1"/>
  <c r="C62" i="13" s="1"/>
  <c r="B62" i="13" a="1"/>
  <c r="B62" i="13" s="1"/>
  <c r="A62" i="13" a="1"/>
  <c r="A62" i="13" s="1"/>
  <c r="C61" i="13" a="1"/>
  <c r="C61" i="13" s="1"/>
  <c r="B61" i="13" a="1"/>
  <c r="B61" i="13" s="1"/>
  <c r="A61" i="13" a="1"/>
  <c r="A61" i="13" s="1"/>
  <c r="C60" i="13" a="1"/>
  <c r="C60" i="13" s="1"/>
  <c r="B60" i="13" a="1"/>
  <c r="B60" i="13" s="1"/>
  <c r="A60" i="13" a="1"/>
  <c r="A60" i="13" s="1"/>
  <c r="C59" i="13" a="1"/>
  <c r="C59" i="13" s="1"/>
  <c r="B59" i="13" a="1"/>
  <c r="B59" i="13" s="1"/>
  <c r="A59" i="13" a="1"/>
  <c r="A59" i="13" s="1"/>
  <c r="C58" i="13" a="1"/>
  <c r="C58" i="13" s="1"/>
  <c r="B58" i="13" a="1"/>
  <c r="B58" i="13" s="1"/>
  <c r="A58" i="13" a="1"/>
  <c r="A58" i="13" s="1"/>
  <c r="C57" i="13" a="1"/>
  <c r="C57" i="13" s="1"/>
  <c r="B57" i="13" a="1"/>
  <c r="B57" i="13" s="1"/>
  <c r="A57" i="13" a="1"/>
  <c r="A57" i="13" s="1"/>
  <c r="C53" i="13" a="1"/>
  <c r="C53" i="13" s="1"/>
  <c r="B53" i="13" a="1"/>
  <c r="B53" i="13" s="1"/>
  <c r="A53" i="13" a="1"/>
  <c r="A53" i="13" s="1"/>
  <c r="C52" i="13" a="1"/>
  <c r="C52" i="13" s="1"/>
  <c r="B52" i="13" a="1"/>
  <c r="B52" i="13" s="1"/>
  <c r="A52" i="13" a="1"/>
  <c r="A52" i="13" s="1"/>
  <c r="C51" i="13" a="1"/>
  <c r="C51" i="13" s="1"/>
  <c r="B51" i="13" a="1"/>
  <c r="B51" i="13" s="1"/>
  <c r="A51" i="13" a="1"/>
  <c r="A51" i="13" s="1"/>
  <c r="C50" i="13" a="1"/>
  <c r="C50" i="13" s="1"/>
  <c r="B50" i="13" a="1"/>
  <c r="B50" i="13" s="1"/>
  <c r="A50" i="13" a="1"/>
  <c r="A50" i="13" s="1"/>
  <c r="C49" i="13" a="1"/>
  <c r="C49" i="13" s="1"/>
  <c r="B49" i="13" a="1"/>
  <c r="B49" i="13" s="1"/>
  <c r="A49" i="13" a="1"/>
  <c r="A49" i="13" s="1"/>
  <c r="C48" i="13" a="1"/>
  <c r="C48" i="13" s="1"/>
  <c r="B48" i="13" a="1"/>
  <c r="B48" i="13" s="1"/>
  <c r="A48" i="13" a="1"/>
  <c r="A48" i="13" s="1"/>
  <c r="C47" i="13" a="1"/>
  <c r="C47" i="13" s="1"/>
  <c r="B47" i="13" a="1"/>
  <c r="B47" i="13" s="1"/>
  <c r="A47" i="13" a="1"/>
  <c r="A47" i="13" s="1"/>
  <c r="C46" i="13" a="1"/>
  <c r="C46" i="13" s="1"/>
  <c r="B46" i="13" a="1"/>
  <c r="B46" i="13" s="1"/>
  <c r="A46" i="13" a="1"/>
  <c r="A46" i="13" s="1"/>
  <c r="C45" i="13" a="1"/>
  <c r="C45" i="13" s="1"/>
  <c r="B45" i="13" a="1"/>
  <c r="B45" i="13" s="1"/>
  <c r="A45" i="13" a="1"/>
  <c r="A45" i="13" s="1"/>
  <c r="C44" i="13" a="1"/>
  <c r="C44" i="13" s="1"/>
  <c r="B44" i="13" a="1"/>
  <c r="B44" i="13" s="1"/>
  <c r="A44" i="13" a="1"/>
  <c r="A44" i="13" s="1"/>
  <c r="C43" i="13" a="1"/>
  <c r="C43" i="13" s="1"/>
  <c r="B43" i="13" a="1"/>
  <c r="B43" i="13" s="1"/>
  <c r="A43" i="13" a="1"/>
  <c r="A43" i="13" s="1"/>
  <c r="C42" i="13" a="1"/>
  <c r="C42" i="13" s="1"/>
  <c r="B42" i="13" a="1"/>
  <c r="B42" i="13" s="1"/>
  <c r="A42" i="13" a="1"/>
  <c r="A42" i="13" s="1"/>
  <c r="C41" i="13" a="1"/>
  <c r="C41" i="13" s="1"/>
  <c r="B41" i="13" a="1"/>
  <c r="B41" i="13" s="1"/>
  <c r="A41" i="13" a="1"/>
  <c r="A41" i="13" s="1"/>
  <c r="C40" i="13" a="1"/>
  <c r="C40" i="13" s="1"/>
  <c r="B40" i="13" a="1"/>
  <c r="B40" i="13" s="1"/>
  <c r="A40" i="13" a="1"/>
  <c r="A40" i="13" s="1"/>
  <c r="C39" i="13" a="1"/>
  <c r="C39" i="13" s="1"/>
  <c r="B39" i="13" a="1"/>
  <c r="B39" i="13" s="1"/>
  <c r="A39" i="13" a="1"/>
  <c r="A39" i="13" s="1"/>
  <c r="C38" i="13" a="1"/>
  <c r="C38" i="13" s="1"/>
  <c r="B38" i="13" a="1"/>
  <c r="B38" i="13" s="1"/>
  <c r="A38" i="13" a="1"/>
  <c r="A38" i="13" s="1"/>
  <c r="C37" i="13" a="1"/>
  <c r="C37" i="13" s="1"/>
  <c r="B37" i="13" a="1"/>
  <c r="B37" i="13" s="1"/>
  <c r="A37" i="13" a="1"/>
  <c r="A37" i="13" s="1"/>
  <c r="C36" i="13" a="1"/>
  <c r="C36" i="13" s="1"/>
  <c r="B36" i="13" a="1"/>
  <c r="B36" i="13" s="1"/>
  <c r="A36" i="13" a="1"/>
  <c r="A36" i="13" s="1"/>
  <c r="C35" i="13" a="1"/>
  <c r="C35" i="13" s="1"/>
  <c r="B35" i="13" a="1"/>
  <c r="B35" i="13" s="1"/>
  <c r="A35" i="13" a="1"/>
  <c r="A35" i="13" s="1"/>
  <c r="C34" i="13" a="1"/>
  <c r="C34" i="13" s="1"/>
  <c r="B34" i="13" a="1"/>
  <c r="B34" i="13" s="1"/>
  <c r="D34" i="13" s="1"/>
  <c r="A34" i="13" a="1"/>
  <c r="A34" i="13" s="1"/>
  <c r="C33" i="13" a="1"/>
  <c r="C33" i="13" s="1"/>
  <c r="B33" i="13" a="1"/>
  <c r="B33" i="13" s="1"/>
  <c r="A33" i="13" a="1"/>
  <c r="A33" i="13" s="1"/>
  <c r="C32" i="13" a="1"/>
  <c r="C32" i="13" s="1"/>
  <c r="B32" i="13" a="1"/>
  <c r="B32" i="13" s="1"/>
  <c r="A32" i="13" a="1"/>
  <c r="A32" i="13" s="1"/>
  <c r="C31" i="13" a="1"/>
  <c r="C31" i="13" s="1"/>
  <c r="B31" i="13" a="1"/>
  <c r="B31" i="13" s="1"/>
  <c r="A31" i="13" a="1"/>
  <c r="A31" i="13" s="1"/>
  <c r="C30" i="13" a="1"/>
  <c r="C30" i="13" s="1"/>
  <c r="B30" i="13" a="1"/>
  <c r="B30" i="13" s="1"/>
  <c r="A30" i="13" a="1"/>
  <c r="A30" i="13" s="1"/>
  <c r="C29" i="13" a="1"/>
  <c r="C29" i="13" s="1"/>
  <c r="B29" i="13" a="1"/>
  <c r="B29" i="13" s="1"/>
  <c r="A29" i="13" a="1"/>
  <c r="A29" i="13" s="1"/>
  <c r="C28" i="13" a="1"/>
  <c r="C28" i="13" s="1"/>
  <c r="B28" i="13" a="1"/>
  <c r="B28" i="13" s="1"/>
  <c r="A28" i="13" a="1"/>
  <c r="A28" i="13" s="1"/>
  <c r="C27" i="13" a="1"/>
  <c r="C27" i="13" s="1"/>
  <c r="B27" i="13" a="1"/>
  <c r="B27" i="13" s="1"/>
  <c r="A27" i="13" a="1"/>
  <c r="A27" i="13" s="1"/>
  <c r="C26" i="13" a="1"/>
  <c r="C26" i="13" s="1"/>
  <c r="B26" i="13" a="1"/>
  <c r="B26" i="13" s="1"/>
  <c r="A26" i="13" a="1"/>
  <c r="A26" i="13" s="1"/>
  <c r="C25" i="13" a="1"/>
  <c r="C25" i="13" s="1"/>
  <c r="B25" i="13" a="1"/>
  <c r="B25" i="13" s="1"/>
  <c r="A25" i="13" a="1"/>
  <c r="A25" i="13" s="1"/>
  <c r="C24" i="13" a="1"/>
  <c r="C24" i="13" s="1"/>
  <c r="B24" i="13" a="1"/>
  <c r="B24" i="13" s="1"/>
  <c r="A24" i="13" a="1"/>
  <c r="A24" i="13" s="1"/>
  <c r="C23" i="13" a="1"/>
  <c r="C23" i="13" s="1"/>
  <c r="B23" i="13" a="1"/>
  <c r="B23" i="13" s="1"/>
  <c r="A23" i="13" a="1"/>
  <c r="A23" i="13" s="1"/>
  <c r="C22" i="13" a="1"/>
  <c r="C22" i="13" s="1"/>
  <c r="B22" i="13" a="1"/>
  <c r="B22" i="13" s="1"/>
  <c r="A22" i="13" a="1"/>
  <c r="A22" i="13" s="1"/>
  <c r="C21" i="13" a="1"/>
  <c r="C21" i="13" s="1"/>
  <c r="B21" i="13" a="1"/>
  <c r="B21" i="13" s="1"/>
  <c r="A21" i="13" a="1"/>
  <c r="A21" i="13" s="1"/>
  <c r="C20" i="13" a="1"/>
  <c r="C20" i="13" s="1"/>
  <c r="B20" i="13" a="1"/>
  <c r="B20" i="13" s="1"/>
  <c r="A20" i="13" a="1"/>
  <c r="A20" i="13" s="1"/>
  <c r="C19" i="13" a="1"/>
  <c r="C19" i="13" s="1"/>
  <c r="B19" i="13" a="1"/>
  <c r="B19" i="13" s="1"/>
  <c r="A19" i="13" a="1"/>
  <c r="A19" i="13" s="1"/>
  <c r="D54" i="9" a="1"/>
  <c r="D54" i="9" s="1"/>
  <c r="X37" i="19" s="1"/>
  <c r="C54" i="9" a="1"/>
  <c r="C54" i="9" s="1"/>
  <c r="U37" i="19" s="1"/>
  <c r="B54" i="9" a="1"/>
  <c r="B54" i="9" s="1"/>
  <c r="D53" i="9" a="1"/>
  <c r="D53" i="9" s="1"/>
  <c r="X36" i="19" s="1"/>
  <c r="C53" i="9" a="1"/>
  <c r="C53" i="9" s="1"/>
  <c r="U36" i="19" s="1"/>
  <c r="B53" i="9" a="1"/>
  <c r="B53" i="9" s="1"/>
  <c r="D52" i="9" a="1"/>
  <c r="D52" i="9" s="1"/>
  <c r="X35" i="19" s="1"/>
  <c r="C52" i="9" a="1"/>
  <c r="C52" i="9" s="1"/>
  <c r="U35" i="19" s="1"/>
  <c r="B52" i="9" a="1"/>
  <c r="B52" i="9" s="1"/>
  <c r="D51" i="9" a="1"/>
  <c r="D51" i="9" s="1"/>
  <c r="X34" i="19" s="1"/>
  <c r="C51" i="9" a="1"/>
  <c r="C51" i="9" s="1"/>
  <c r="U34" i="19" s="1"/>
  <c r="B51" i="9" a="1"/>
  <c r="B51" i="9" s="1"/>
  <c r="D50" i="9" a="1"/>
  <c r="D50" i="9" s="1"/>
  <c r="X33" i="19" s="1"/>
  <c r="C50" i="9" a="1"/>
  <c r="C50" i="9" s="1"/>
  <c r="U33" i="19" s="1"/>
  <c r="B50" i="9" a="1"/>
  <c r="B50" i="9" s="1"/>
  <c r="D49" i="9" a="1"/>
  <c r="D49" i="9" s="1"/>
  <c r="X32" i="19" s="1"/>
  <c r="C49" i="9" a="1"/>
  <c r="C49" i="9" s="1"/>
  <c r="U32" i="19" s="1"/>
  <c r="B49" i="9" a="1"/>
  <c r="B49" i="9" s="1"/>
  <c r="D48" i="9" a="1"/>
  <c r="D48" i="9" s="1"/>
  <c r="X31" i="19" s="1"/>
  <c r="C48" i="9" a="1"/>
  <c r="C48" i="9" s="1"/>
  <c r="U31" i="19" s="1"/>
  <c r="B48" i="9" a="1"/>
  <c r="B48" i="9" s="1"/>
  <c r="D47" i="9" a="1"/>
  <c r="D47" i="9" s="1"/>
  <c r="X30" i="19" s="1"/>
  <c r="C47" i="9" a="1"/>
  <c r="C47" i="9" s="1"/>
  <c r="U30" i="19" s="1"/>
  <c r="B47" i="9" a="1"/>
  <c r="B47" i="9" s="1"/>
  <c r="D46" i="9" a="1"/>
  <c r="D46" i="9" s="1"/>
  <c r="X29" i="19" s="1"/>
  <c r="C46" i="9" a="1"/>
  <c r="C46" i="9" s="1"/>
  <c r="U29" i="19" s="1"/>
  <c r="B46" i="9" a="1"/>
  <c r="B46" i="9" s="1"/>
  <c r="D45" i="9" a="1"/>
  <c r="D45" i="9" s="1"/>
  <c r="X28" i="19" s="1"/>
  <c r="C45" i="9" a="1"/>
  <c r="C45" i="9" s="1"/>
  <c r="U28" i="19" s="1"/>
  <c r="B45" i="9" a="1"/>
  <c r="B45" i="9" s="1"/>
  <c r="D44" i="9" a="1"/>
  <c r="D44" i="9" s="1"/>
  <c r="X27" i="19" s="1"/>
  <c r="C44" i="9" a="1"/>
  <c r="C44" i="9" s="1"/>
  <c r="U27" i="19" s="1"/>
  <c r="B44" i="9" a="1"/>
  <c r="B44" i="9" s="1"/>
  <c r="D43" i="9" a="1"/>
  <c r="D43" i="9" s="1"/>
  <c r="X26" i="19" s="1"/>
  <c r="C43" i="9" a="1"/>
  <c r="C43" i="9" s="1"/>
  <c r="U26" i="19" s="1"/>
  <c r="B43" i="9" a="1"/>
  <c r="B43" i="9" s="1"/>
  <c r="D42" i="9" a="1"/>
  <c r="D42" i="9" s="1"/>
  <c r="X25" i="19" s="1"/>
  <c r="C42" i="9" a="1"/>
  <c r="C42" i="9" s="1"/>
  <c r="U25" i="19" s="1"/>
  <c r="B42" i="9" a="1"/>
  <c r="B42" i="9" s="1"/>
  <c r="D41" i="9" a="1"/>
  <c r="D41" i="9" s="1"/>
  <c r="X24" i="19" s="1"/>
  <c r="C41" i="9" a="1"/>
  <c r="C41" i="9" s="1"/>
  <c r="U24" i="19" s="1"/>
  <c r="B41" i="9" a="1"/>
  <c r="B41" i="9" s="1"/>
  <c r="D40" i="9" a="1"/>
  <c r="D40" i="9" s="1"/>
  <c r="X23" i="19" s="1"/>
  <c r="C40" i="9" a="1"/>
  <c r="C40" i="9" s="1"/>
  <c r="U23" i="19" s="1"/>
  <c r="B40" i="9" a="1"/>
  <c r="B40" i="9" s="1"/>
  <c r="D39" i="9" a="1"/>
  <c r="D39" i="9" s="1"/>
  <c r="X22" i="19" s="1"/>
  <c r="C39" i="9" a="1"/>
  <c r="C39" i="9" s="1"/>
  <c r="U22" i="19" s="1"/>
  <c r="B39" i="9" a="1"/>
  <c r="B39" i="9" s="1"/>
  <c r="D38" i="9" a="1"/>
  <c r="D38" i="9" s="1"/>
  <c r="X21" i="19" s="1"/>
  <c r="C38" i="9" a="1"/>
  <c r="C38" i="9" s="1"/>
  <c r="U21" i="19" s="1"/>
  <c r="B38" i="9" a="1"/>
  <c r="B38" i="9" s="1"/>
  <c r="D37" i="9" a="1"/>
  <c r="D37" i="9" s="1"/>
  <c r="X20" i="19" s="1"/>
  <c r="C37" i="9" a="1"/>
  <c r="C37" i="9" s="1"/>
  <c r="U20" i="19" s="1"/>
  <c r="B37" i="9" a="1"/>
  <c r="B37" i="9" s="1"/>
  <c r="D36" i="9" a="1"/>
  <c r="D36" i="9" s="1"/>
  <c r="X19" i="19" s="1"/>
  <c r="C36" i="9" a="1"/>
  <c r="C36" i="9" s="1"/>
  <c r="U19" i="19" s="1"/>
  <c r="B36" i="9" a="1"/>
  <c r="B36" i="9" s="1"/>
  <c r="D35" i="9" a="1"/>
  <c r="D35" i="9" s="1"/>
  <c r="X18" i="19" s="1"/>
  <c r="C35" i="9" a="1"/>
  <c r="C35" i="9" s="1"/>
  <c r="U18" i="19" s="1"/>
  <c r="B35" i="9" a="1"/>
  <c r="B35" i="9" s="1"/>
  <c r="D34" i="9" a="1"/>
  <c r="D34" i="9" s="1"/>
  <c r="X17" i="19" s="1"/>
  <c r="C34" i="9" a="1"/>
  <c r="C34" i="9" s="1"/>
  <c r="U17" i="19" s="1"/>
  <c r="B34" i="9" a="1"/>
  <c r="B34" i="9" s="1"/>
  <c r="D33" i="9" a="1"/>
  <c r="D33" i="9" s="1"/>
  <c r="X16" i="19" s="1"/>
  <c r="C33" i="9" a="1"/>
  <c r="C33" i="9" s="1"/>
  <c r="U16" i="19" s="1"/>
  <c r="B33" i="9" a="1"/>
  <c r="B33" i="9" s="1"/>
  <c r="D32" i="9" a="1"/>
  <c r="D32" i="9" s="1"/>
  <c r="X15" i="19" s="1"/>
  <c r="C32" i="9" a="1"/>
  <c r="C32" i="9" s="1"/>
  <c r="U15" i="19" s="1"/>
  <c r="B32" i="9" a="1"/>
  <c r="B32" i="9" s="1"/>
  <c r="D31" i="9" a="1"/>
  <c r="D31" i="9" s="1"/>
  <c r="X14" i="19" s="1"/>
  <c r="C31" i="9" a="1"/>
  <c r="C31" i="9" s="1"/>
  <c r="U14" i="19" s="1"/>
  <c r="B31" i="9" a="1"/>
  <c r="B31" i="9" s="1"/>
  <c r="D30" i="9" a="1"/>
  <c r="D30" i="9" s="1"/>
  <c r="X13" i="19" s="1"/>
  <c r="C30" i="9" a="1"/>
  <c r="C30" i="9" s="1"/>
  <c r="U13" i="19" s="1"/>
  <c r="B30" i="9" a="1"/>
  <c r="B30" i="9" s="1"/>
  <c r="D29" i="9" a="1"/>
  <c r="D29" i="9" s="1"/>
  <c r="X12" i="19" s="1"/>
  <c r="C29" i="9" a="1"/>
  <c r="C29" i="9" s="1"/>
  <c r="U12" i="19" s="1"/>
  <c r="B29" i="9" a="1"/>
  <c r="B29" i="9" s="1"/>
  <c r="D28" i="9" a="1"/>
  <c r="D28" i="9" s="1"/>
  <c r="X11" i="19" s="1"/>
  <c r="C28" i="9" a="1"/>
  <c r="C28" i="9" s="1"/>
  <c r="U11" i="19" s="1"/>
  <c r="B28" i="9" a="1"/>
  <c r="B28" i="9" s="1"/>
  <c r="D27" i="9" a="1"/>
  <c r="D27" i="9" s="1"/>
  <c r="X10" i="19" s="1"/>
  <c r="C27" i="9" a="1"/>
  <c r="C27" i="9" s="1"/>
  <c r="U10" i="19" s="1"/>
  <c r="B27" i="9" a="1"/>
  <c r="B27" i="9" s="1"/>
  <c r="D26" i="9" a="1"/>
  <c r="D26" i="9" s="1"/>
  <c r="X9" i="19" s="1"/>
  <c r="C26" i="9" a="1"/>
  <c r="C26" i="9" s="1"/>
  <c r="U9" i="19" s="1"/>
  <c r="B26" i="9" a="1"/>
  <c r="B26" i="9" s="1"/>
  <c r="D25" i="9" a="1"/>
  <c r="D25" i="9" s="1"/>
  <c r="X8" i="19" s="1"/>
  <c r="C25" i="9" a="1"/>
  <c r="C25" i="9" s="1"/>
  <c r="U8" i="19" s="1"/>
  <c r="B25" i="9" a="1"/>
  <c r="B25" i="9" s="1"/>
  <c r="D24" i="9" a="1"/>
  <c r="D24" i="9" s="1"/>
  <c r="X7" i="19" s="1"/>
  <c r="C24" i="9" a="1"/>
  <c r="C24" i="9" s="1"/>
  <c r="U7" i="19" s="1"/>
  <c r="B24" i="9" a="1"/>
  <c r="B24" i="9" s="1"/>
  <c r="D23" i="9" a="1"/>
  <c r="D23" i="9" s="1"/>
  <c r="X6" i="19" s="1"/>
  <c r="C23" i="9" a="1"/>
  <c r="C23" i="9" s="1"/>
  <c r="U6" i="19" s="1"/>
  <c r="B23" i="9" a="1"/>
  <c r="B23" i="9" s="1"/>
  <c r="D22" i="9" a="1"/>
  <c r="D22" i="9" s="1"/>
  <c r="X5" i="19" s="1"/>
  <c r="C22" i="9" a="1"/>
  <c r="C22" i="9" s="1"/>
  <c r="U5" i="19" s="1"/>
  <c r="B22" i="9" a="1"/>
  <c r="B22" i="9" s="1"/>
  <c r="D21" i="9" a="1"/>
  <c r="D21" i="9" s="1"/>
  <c r="X4" i="19" s="1"/>
  <c r="C21" i="9" a="1"/>
  <c r="C21" i="9" s="1"/>
  <c r="U4" i="19" s="1"/>
  <c r="B21" i="9" a="1"/>
  <c r="B21" i="9" s="1"/>
  <c r="D20" i="9" a="1"/>
  <c r="D20" i="9" s="1"/>
  <c r="X3" i="19" s="1"/>
  <c r="C20" i="9" a="1"/>
  <c r="C20" i="9" s="1"/>
  <c r="U3" i="19" s="1"/>
  <c r="B20" i="9" a="1"/>
  <c r="B20" i="9" s="1"/>
  <c r="CG20" i="9" s="1" a="1"/>
  <c r="CG20" i="9" s="1"/>
  <c r="DC3" i="19" s="1"/>
  <c r="B62" i="9" a="1"/>
  <c r="B62" i="9" s="1"/>
  <c r="C62" i="9" a="1"/>
  <c r="C62" i="9" s="1"/>
  <c r="DP4" i="19" s="1"/>
  <c r="D62" i="9" a="1"/>
  <c r="D62" i="9" s="1"/>
  <c r="DS4" i="19" s="1"/>
  <c r="B63" i="9" a="1"/>
  <c r="B63" i="9" s="1"/>
  <c r="C63" i="9" a="1"/>
  <c r="C63" i="9" s="1"/>
  <c r="DP5" i="19" s="1"/>
  <c r="D63" i="9" a="1"/>
  <c r="D63" i="9" s="1"/>
  <c r="DS5" i="19" s="1"/>
  <c r="B64" i="9" a="1"/>
  <c r="B64" i="9" s="1"/>
  <c r="C64" i="9" a="1"/>
  <c r="C64" i="9" s="1"/>
  <c r="DP6" i="19" s="1"/>
  <c r="D64" i="9" a="1"/>
  <c r="D64" i="9" s="1"/>
  <c r="DS6" i="19" s="1"/>
  <c r="B65" i="9" a="1"/>
  <c r="B65" i="9" s="1"/>
  <c r="C65" i="9" a="1"/>
  <c r="C65" i="9" s="1"/>
  <c r="DP7" i="19" s="1"/>
  <c r="D65" i="9" a="1"/>
  <c r="D65" i="9" s="1"/>
  <c r="DS7" i="19" s="1"/>
  <c r="B66" i="9" a="1"/>
  <c r="B66" i="9" s="1"/>
  <c r="C66" i="9" a="1"/>
  <c r="C66" i="9" s="1"/>
  <c r="DP8" i="19" s="1"/>
  <c r="D66" i="9" a="1"/>
  <c r="D66" i="9" s="1"/>
  <c r="DS8" i="19" s="1"/>
  <c r="B67" i="9" a="1"/>
  <c r="B67" i="9" s="1"/>
  <c r="C67" i="9" a="1"/>
  <c r="C67" i="9" s="1"/>
  <c r="DP9" i="19" s="1"/>
  <c r="D67" i="9" a="1"/>
  <c r="D67" i="9" s="1"/>
  <c r="DS9" i="19" s="1"/>
  <c r="B68" i="9" a="1"/>
  <c r="B68" i="9" s="1"/>
  <c r="C68" i="9" a="1"/>
  <c r="C68" i="9" s="1"/>
  <c r="DP10" i="19" s="1"/>
  <c r="D68" i="9" a="1"/>
  <c r="D68" i="9" s="1"/>
  <c r="DS10" i="19" s="1"/>
  <c r="B69" i="9" a="1"/>
  <c r="B69" i="9" s="1"/>
  <c r="C69" i="9" a="1"/>
  <c r="C69" i="9" s="1"/>
  <c r="DP11" i="19" s="1"/>
  <c r="D69" i="9" a="1"/>
  <c r="D69" i="9" s="1"/>
  <c r="DS11" i="19" s="1"/>
  <c r="B70" i="9" a="1"/>
  <c r="B70" i="9" s="1"/>
  <c r="C70" i="9" a="1"/>
  <c r="C70" i="9" s="1"/>
  <c r="DP12" i="19" s="1"/>
  <c r="D70" i="9" a="1"/>
  <c r="D70" i="9" s="1"/>
  <c r="DS12" i="19" s="1"/>
  <c r="B71" i="9" a="1"/>
  <c r="B71" i="9" s="1"/>
  <c r="C71" i="9" a="1"/>
  <c r="C71" i="9" s="1"/>
  <c r="DP13" i="19" s="1"/>
  <c r="D71" i="9" a="1"/>
  <c r="D71" i="9" s="1"/>
  <c r="DS13" i="19" s="1"/>
  <c r="B72" i="9" a="1"/>
  <c r="B72" i="9" s="1"/>
  <c r="C72" i="9" a="1"/>
  <c r="C72" i="9" s="1"/>
  <c r="DP14" i="19" s="1"/>
  <c r="D72" i="9" a="1"/>
  <c r="D72" i="9" s="1"/>
  <c r="DS14" i="19" s="1"/>
  <c r="B73" i="9" a="1"/>
  <c r="B73" i="9" s="1"/>
  <c r="C73" i="9" a="1"/>
  <c r="C73" i="9" s="1"/>
  <c r="DP15" i="19" s="1"/>
  <c r="D73" i="9" a="1"/>
  <c r="D73" i="9" s="1"/>
  <c r="DS15" i="19" s="1"/>
  <c r="B74" i="9" a="1"/>
  <c r="B74" i="9" s="1"/>
  <c r="C74" i="9" a="1"/>
  <c r="C74" i="9" s="1"/>
  <c r="DP16" i="19" s="1"/>
  <c r="D74" i="9" a="1"/>
  <c r="D74" i="9" s="1"/>
  <c r="DS16" i="19" s="1"/>
  <c r="B75" i="9" a="1"/>
  <c r="B75" i="9" s="1"/>
  <c r="C75" i="9" a="1"/>
  <c r="C75" i="9" s="1"/>
  <c r="DP17" i="19" s="1"/>
  <c r="D75" i="9" a="1"/>
  <c r="D75" i="9" s="1"/>
  <c r="DS17" i="19" s="1"/>
  <c r="B76" i="9" a="1"/>
  <c r="B76" i="9" s="1"/>
  <c r="C76" i="9" a="1"/>
  <c r="C76" i="9" s="1"/>
  <c r="DP18" i="19" s="1"/>
  <c r="D76" i="9" a="1"/>
  <c r="D76" i="9" s="1"/>
  <c r="DS18" i="19" s="1"/>
  <c r="B77" i="9" a="1"/>
  <c r="B77" i="9" s="1"/>
  <c r="C77" i="9" a="1"/>
  <c r="C77" i="9" s="1"/>
  <c r="DP19" i="19" s="1"/>
  <c r="D77" i="9" a="1"/>
  <c r="D77" i="9" s="1"/>
  <c r="DS19" i="19" s="1"/>
  <c r="B78" i="9" a="1"/>
  <c r="B78" i="9" s="1"/>
  <c r="C78" i="9" a="1"/>
  <c r="C78" i="9" s="1"/>
  <c r="DP20" i="19" s="1"/>
  <c r="D78" i="9" a="1"/>
  <c r="D78" i="9" s="1"/>
  <c r="DS20" i="19" s="1"/>
  <c r="B79" i="9" a="1"/>
  <c r="B79" i="9" s="1"/>
  <c r="C79" i="9" a="1"/>
  <c r="C79" i="9" s="1"/>
  <c r="DP21" i="19" s="1"/>
  <c r="D79" i="9" a="1"/>
  <c r="D79" i="9" s="1"/>
  <c r="DS21" i="19" s="1"/>
  <c r="B80" i="9" a="1"/>
  <c r="B80" i="9" s="1"/>
  <c r="C80" i="9" a="1"/>
  <c r="C80" i="9" s="1"/>
  <c r="DP22" i="19" s="1"/>
  <c r="D80" i="9" a="1"/>
  <c r="D80" i="9" s="1"/>
  <c r="DS22" i="19" s="1"/>
  <c r="B81" i="9" a="1"/>
  <c r="B81" i="9" s="1"/>
  <c r="C81" i="9" a="1"/>
  <c r="C81" i="9" s="1"/>
  <c r="DP23" i="19" s="1"/>
  <c r="D81" i="9" a="1"/>
  <c r="D81" i="9" s="1"/>
  <c r="DS23" i="19" s="1"/>
  <c r="B82" i="9" a="1"/>
  <c r="B82" i="9" s="1"/>
  <c r="C82" i="9" a="1"/>
  <c r="C82" i="9" s="1"/>
  <c r="DP24" i="19" s="1"/>
  <c r="D82" i="9" a="1"/>
  <c r="D82" i="9" s="1"/>
  <c r="DS24" i="19" s="1"/>
  <c r="B83" i="9" a="1"/>
  <c r="B83" i="9" s="1"/>
  <c r="C83" i="9" a="1"/>
  <c r="C83" i="9" s="1"/>
  <c r="DP25" i="19" s="1"/>
  <c r="D83" i="9" a="1"/>
  <c r="D83" i="9" s="1"/>
  <c r="DS25" i="19" s="1"/>
  <c r="B84" i="9" a="1"/>
  <c r="B84" i="9" s="1"/>
  <c r="C84" i="9" a="1"/>
  <c r="C84" i="9" s="1"/>
  <c r="DP26" i="19" s="1"/>
  <c r="D84" i="9" a="1"/>
  <c r="D84" i="9" s="1"/>
  <c r="DS26" i="19" s="1"/>
  <c r="B85" i="9" a="1"/>
  <c r="B85" i="9" s="1"/>
  <c r="C85" i="9" a="1"/>
  <c r="C85" i="9" s="1"/>
  <c r="DP27" i="19" s="1"/>
  <c r="D85" i="9" a="1"/>
  <c r="D85" i="9" s="1"/>
  <c r="DS27" i="19" s="1"/>
  <c r="B86" i="9" a="1"/>
  <c r="B86" i="9" s="1"/>
  <c r="C86" i="9" a="1"/>
  <c r="C86" i="9" s="1"/>
  <c r="DP28" i="19" s="1"/>
  <c r="D86" i="9" a="1"/>
  <c r="D86" i="9" s="1"/>
  <c r="DS28" i="19" s="1"/>
  <c r="B87" i="9" a="1"/>
  <c r="B87" i="9" s="1"/>
  <c r="C87" i="9" a="1"/>
  <c r="C87" i="9" s="1"/>
  <c r="DP29" i="19" s="1"/>
  <c r="D87" i="9" a="1"/>
  <c r="D87" i="9" s="1"/>
  <c r="DS29" i="19" s="1"/>
  <c r="B88" i="9" a="1"/>
  <c r="B88" i="9" s="1"/>
  <c r="C88" i="9" a="1"/>
  <c r="C88" i="9" s="1"/>
  <c r="DP30" i="19" s="1"/>
  <c r="D88" i="9" a="1"/>
  <c r="D88" i="9" s="1"/>
  <c r="DS30" i="19" s="1"/>
  <c r="B89" i="9" a="1"/>
  <c r="B89" i="9" s="1"/>
  <c r="C89" i="9" a="1"/>
  <c r="C89" i="9" s="1"/>
  <c r="DP31" i="19" s="1"/>
  <c r="D89" i="9" a="1"/>
  <c r="D89" i="9" s="1"/>
  <c r="DS31" i="19" s="1"/>
  <c r="B90" i="9" a="1"/>
  <c r="B90" i="9" s="1"/>
  <c r="C90" i="9" a="1"/>
  <c r="C90" i="9" s="1"/>
  <c r="DP32" i="19" s="1"/>
  <c r="D90" i="9" a="1"/>
  <c r="D90" i="9" s="1"/>
  <c r="DS32" i="19" s="1"/>
  <c r="B91" i="9" a="1"/>
  <c r="B91" i="9" s="1"/>
  <c r="C91" i="9" a="1"/>
  <c r="C91" i="9" s="1"/>
  <c r="DP33" i="19" s="1"/>
  <c r="D91" i="9" a="1"/>
  <c r="D91" i="9" s="1"/>
  <c r="DS33" i="19" s="1"/>
  <c r="B92" i="9" a="1"/>
  <c r="B92" i="9" s="1"/>
  <c r="C92" i="9" a="1"/>
  <c r="C92" i="9" s="1"/>
  <c r="DP34" i="19" s="1"/>
  <c r="D92" i="9" a="1"/>
  <c r="D92" i="9" s="1"/>
  <c r="DS34" i="19" s="1"/>
  <c r="B93" i="9" a="1"/>
  <c r="B93" i="9" s="1"/>
  <c r="C93" i="9" a="1"/>
  <c r="C93" i="9" s="1"/>
  <c r="DP35" i="19" s="1"/>
  <c r="D93" i="9" a="1"/>
  <c r="D93" i="9" s="1"/>
  <c r="DS35" i="19" s="1"/>
  <c r="B94" i="9" a="1"/>
  <c r="B94" i="9" s="1"/>
  <c r="C94" i="9" a="1"/>
  <c r="C94" i="9" s="1"/>
  <c r="DP36" i="19" s="1"/>
  <c r="D94" i="9" a="1"/>
  <c r="D94" i="9" s="1"/>
  <c r="DS36" i="19" s="1"/>
  <c r="D61" i="9" a="1"/>
  <c r="D61" i="9" s="1"/>
  <c r="DS3" i="19" s="1"/>
  <c r="C61" i="9" a="1"/>
  <c r="C61" i="9" s="1"/>
  <c r="DP3" i="19" s="1"/>
  <c r="B61" i="9" a="1"/>
  <c r="B61" i="9" s="1"/>
  <c r="AN61" i="9" s="1" a="1"/>
  <c r="AN61" i="9" s="1"/>
  <c r="D100" i="13" l="1"/>
  <c r="D108" i="13"/>
  <c r="D308" i="15"/>
  <c r="D1249" i="22"/>
  <c r="D51" i="13"/>
  <c r="D66" i="13"/>
  <c r="D70" i="13"/>
  <c r="D82" i="13"/>
  <c r="D90" i="13"/>
  <c r="D101" i="13"/>
  <c r="D668" i="21"/>
  <c r="D672" i="21"/>
  <c r="D723" i="21"/>
  <c r="D424" i="22"/>
  <c r="D1873" i="22"/>
  <c r="D823" i="22"/>
  <c r="D927" i="22"/>
  <c r="D943" i="22"/>
  <c r="D144" i="15"/>
  <c r="D152" i="15"/>
  <c r="D1486" i="21"/>
  <c r="CG30" i="9" a="1"/>
  <c r="CG30" i="9" s="1"/>
  <c r="DC13" i="19" s="1"/>
  <c r="T13" i="19"/>
  <c r="V13" i="19" s="1"/>
  <c r="CG34" i="9" a="1"/>
  <c r="CG34" i="9" s="1"/>
  <c r="DC17" i="19" s="1"/>
  <c r="T17" i="19"/>
  <c r="V17" i="19" s="1"/>
  <c r="CG54" i="9" a="1"/>
  <c r="CG54" i="9" s="1"/>
  <c r="DC37" i="19" s="1"/>
  <c r="T37" i="19"/>
  <c r="V37" i="19" s="1"/>
  <c r="CG23" i="9" a="1"/>
  <c r="CG23" i="9" s="1"/>
  <c r="DC6" i="19" s="1"/>
  <c r="T6" i="19"/>
  <c r="V6" i="19" s="1"/>
  <c r="CG27" i="9" a="1"/>
  <c r="CG27" i="9" s="1"/>
  <c r="DC10" i="19" s="1"/>
  <c r="T10" i="19"/>
  <c r="V10" i="19" s="1"/>
  <c r="CG31" i="9" a="1"/>
  <c r="CG31" i="9" s="1"/>
  <c r="DC14" i="19" s="1"/>
  <c r="T14" i="19"/>
  <c r="V14" i="19" s="1"/>
  <c r="CG35" i="9" a="1"/>
  <c r="CG35" i="9" s="1"/>
  <c r="DC18" i="19" s="1"/>
  <c r="T18" i="19"/>
  <c r="V18" i="19" s="1"/>
  <c r="CG39" i="9" a="1"/>
  <c r="CG39" i="9" s="1"/>
  <c r="DC22" i="19" s="1"/>
  <c r="T22" i="19"/>
  <c r="V22" i="19" s="1"/>
  <c r="CG43" i="9" a="1"/>
  <c r="CG43" i="9" s="1"/>
  <c r="DC26" i="19" s="1"/>
  <c r="T26" i="19"/>
  <c r="V26" i="19" s="1"/>
  <c r="CG47" i="9" a="1"/>
  <c r="CG47" i="9" s="1"/>
  <c r="DC30" i="19" s="1"/>
  <c r="T30" i="19"/>
  <c r="V30" i="19" s="1"/>
  <c r="CG51" i="9" a="1"/>
  <c r="CG51" i="9" s="1"/>
  <c r="DC34" i="19" s="1"/>
  <c r="T34" i="19"/>
  <c r="V34" i="19" s="1"/>
  <c r="D224" i="15"/>
  <c r="D357" i="15"/>
  <c r="D1487" i="21"/>
  <c r="D1561" i="21"/>
  <c r="CG38" i="9" a="1"/>
  <c r="CG38" i="9" s="1"/>
  <c r="DC21" i="19" s="1"/>
  <c r="T21" i="19"/>
  <c r="V21" i="19" s="1"/>
  <c r="CG50" i="9" a="1"/>
  <c r="CG50" i="9" s="1"/>
  <c r="DC33" i="19" s="1"/>
  <c r="T33" i="19"/>
  <c r="V33" i="19" s="1"/>
  <c r="CG46" i="9" a="1"/>
  <c r="CG46" i="9" s="1"/>
  <c r="DC29" i="19" s="1"/>
  <c r="T29" i="19"/>
  <c r="V29" i="19" s="1"/>
  <c r="CG21" i="9" a="1"/>
  <c r="CG21" i="9" s="1"/>
  <c r="DC4" i="19" s="1"/>
  <c r="T4" i="19"/>
  <c r="V4" i="19" s="1"/>
  <c r="CG25" i="9" a="1"/>
  <c r="CG25" i="9" s="1"/>
  <c r="DC8" i="19" s="1"/>
  <c r="T8" i="19"/>
  <c r="V8" i="19" s="1"/>
  <c r="CG29" i="9" a="1"/>
  <c r="CG29" i="9" s="1"/>
  <c r="DC12" i="19" s="1"/>
  <c r="T12" i="19"/>
  <c r="V12" i="19" s="1"/>
  <c r="CG33" i="9" a="1"/>
  <c r="CG33" i="9" s="1"/>
  <c r="DC16" i="19" s="1"/>
  <c r="T16" i="19"/>
  <c r="V16" i="19" s="1"/>
  <c r="CG37" i="9" a="1"/>
  <c r="CG37" i="9" s="1"/>
  <c r="DC20" i="19" s="1"/>
  <c r="T20" i="19"/>
  <c r="V20" i="19" s="1"/>
  <c r="CG41" i="9" a="1"/>
  <c r="CG41" i="9" s="1"/>
  <c r="DC24" i="19" s="1"/>
  <c r="T24" i="19"/>
  <c r="V24" i="19" s="1"/>
  <c r="CG45" i="9" a="1"/>
  <c r="CG45" i="9" s="1"/>
  <c r="DC28" i="19" s="1"/>
  <c r="T28" i="19"/>
  <c r="V28" i="19" s="1"/>
  <c r="CG49" i="9" a="1"/>
  <c r="CG49" i="9" s="1"/>
  <c r="DC32" i="19" s="1"/>
  <c r="T32" i="19"/>
  <c r="V32" i="19" s="1"/>
  <c r="CG53" i="9" a="1"/>
  <c r="CG53" i="9" s="1"/>
  <c r="DC36" i="19" s="1"/>
  <c r="T36" i="19"/>
  <c r="V36" i="19" s="1"/>
  <c r="D49" i="15"/>
  <c r="D53" i="15"/>
  <c r="D72" i="15"/>
  <c r="D724" i="22"/>
  <c r="CG22" i="9" a="1"/>
  <c r="CG22" i="9" s="1"/>
  <c r="DC5" i="19" s="1"/>
  <c r="T5" i="19"/>
  <c r="V5" i="19" s="1"/>
  <c r="CG26" i="9" a="1"/>
  <c r="CG26" i="9" s="1"/>
  <c r="DC9" i="19" s="1"/>
  <c r="T9" i="19"/>
  <c r="V9" i="19" s="1"/>
  <c r="CG42" i="9" a="1"/>
  <c r="CG42" i="9" s="1"/>
  <c r="DC25" i="19" s="1"/>
  <c r="T25" i="19"/>
  <c r="V25" i="19" s="1"/>
  <c r="CG24" i="9" a="1"/>
  <c r="CG24" i="9" s="1"/>
  <c r="DC7" i="19" s="1"/>
  <c r="T7" i="19"/>
  <c r="V7" i="19" s="1"/>
  <c r="CG28" i="9" a="1"/>
  <c r="CG28" i="9" s="1"/>
  <c r="DC11" i="19" s="1"/>
  <c r="T11" i="19"/>
  <c r="V11" i="19" s="1"/>
  <c r="CG32" i="9" a="1"/>
  <c r="CG32" i="9" s="1"/>
  <c r="DC15" i="19" s="1"/>
  <c r="T15" i="19"/>
  <c r="V15" i="19" s="1"/>
  <c r="CG36" i="9" a="1"/>
  <c r="CG36" i="9" s="1"/>
  <c r="DC19" i="19" s="1"/>
  <c r="T19" i="19"/>
  <c r="V19" i="19" s="1"/>
  <c r="CG40" i="9" a="1"/>
  <c r="CG40" i="9" s="1"/>
  <c r="DC23" i="19" s="1"/>
  <c r="T23" i="19"/>
  <c r="V23" i="19" s="1"/>
  <c r="CG44" i="9" a="1"/>
  <c r="CG44" i="9" s="1"/>
  <c r="DC27" i="19" s="1"/>
  <c r="T27" i="19"/>
  <c r="V27" i="19" s="1"/>
  <c r="CG48" i="9" a="1"/>
  <c r="CG48" i="9" s="1"/>
  <c r="DC31" i="19" s="1"/>
  <c r="T31" i="19"/>
  <c r="V31" i="19" s="1"/>
  <c r="CG52" i="9" a="1"/>
  <c r="CG52" i="9" s="1"/>
  <c r="DC35" i="19" s="1"/>
  <c r="T35" i="19"/>
  <c r="V35" i="19" s="1"/>
  <c r="D109" i="13"/>
  <c r="D133" i="15"/>
  <c r="D213" i="15"/>
  <c r="D272" i="15"/>
  <c r="D276" i="15"/>
  <c r="D391" i="21"/>
  <c r="D430" i="21"/>
  <c r="D535" i="21"/>
  <c r="D539" i="21"/>
  <c r="D543" i="21"/>
  <c r="D570" i="21"/>
  <c r="D574" i="21"/>
  <c r="D578" i="21"/>
  <c r="D644" i="21"/>
  <c r="D864" i="21"/>
  <c r="D876" i="21"/>
  <c r="D129" i="15"/>
  <c r="D640" i="22"/>
  <c r="D1648" i="22"/>
  <c r="D1644" i="22"/>
  <c r="D1635" i="22"/>
  <c r="D108" i="22"/>
  <c r="D204" i="22"/>
  <c r="D200" i="22"/>
  <c r="D196" i="22"/>
  <c r="D192" i="22"/>
  <c r="D188" i="22"/>
  <c r="D466" i="22"/>
  <c r="D454" i="22"/>
  <c r="D1363" i="22"/>
  <c r="D1784" i="22"/>
  <c r="D1780" i="22"/>
  <c r="D1772" i="22"/>
  <c r="D298" i="21"/>
  <c r="D518" i="21"/>
  <c r="D530" i="21"/>
  <c r="D793" i="21"/>
  <c r="D797" i="21"/>
  <c r="D809" i="21"/>
  <c r="D813" i="21"/>
  <c r="D863" i="21"/>
  <c r="D875" i="21"/>
  <c r="D879" i="21"/>
  <c r="D883" i="21"/>
  <c r="D887" i="21"/>
  <c r="D902" i="21"/>
  <c r="D914" i="21"/>
  <c r="D1184" i="21"/>
  <c r="D1188" i="21"/>
  <c r="D1494" i="21"/>
  <c r="D1509" i="21"/>
  <c r="D1529" i="21"/>
  <c r="D1604" i="21"/>
  <c r="D1640" i="21"/>
  <c r="D261" i="15"/>
  <c r="D330" i="15"/>
  <c r="D42" i="21"/>
  <c r="D595" i="21"/>
  <c r="D603" i="21"/>
  <c r="D619" i="21"/>
  <c r="D638" i="21"/>
  <c r="D988" i="21"/>
  <c r="D1096" i="21"/>
  <c r="D1170" i="21"/>
  <c r="D1174" i="21"/>
  <c r="D1178" i="21"/>
  <c r="D1223" i="21"/>
  <c r="D1227" i="21"/>
  <c r="D1262" i="21"/>
  <c r="D1266" i="21"/>
  <c r="D1622" i="21"/>
  <c r="D70" i="15"/>
  <c r="D91" i="15"/>
  <c r="D143" i="15"/>
  <c r="D147" i="15"/>
  <c r="D155" i="15"/>
  <c r="D163" i="15"/>
  <c r="D186" i="15"/>
  <c r="D190" i="15"/>
  <c r="D59" i="13"/>
  <c r="D437" i="14"/>
  <c r="D589" i="14"/>
  <c r="D201" i="14"/>
  <c r="D193" i="14"/>
  <c r="D185" i="14"/>
  <c r="D177" i="14"/>
  <c r="D543" i="14"/>
  <c r="D50" i="15"/>
  <c r="D69" i="15"/>
  <c r="D138" i="15"/>
  <c r="D146" i="15"/>
  <c r="D150" i="15"/>
  <c r="D162" i="15"/>
  <c r="D173" i="15"/>
  <c r="D185" i="15"/>
  <c r="D209" i="15"/>
  <c r="D250" i="15"/>
  <c r="D35" i="13"/>
  <c r="D75" i="13"/>
  <c r="D678" i="14"/>
  <c r="D674" i="14"/>
  <c r="D22" i="15"/>
  <c r="D30" i="15"/>
  <c r="D211" i="15"/>
  <c r="D553" i="21"/>
  <c r="D557" i="21"/>
  <c r="D1552" i="21"/>
  <c r="D1567" i="21"/>
  <c r="D1695" i="21"/>
  <c r="D1707" i="21"/>
  <c r="D1720" i="21"/>
  <c r="D166" i="5"/>
  <c r="D262" i="15"/>
  <c r="D267" i="15"/>
  <c r="D324" i="15"/>
  <c r="D1843" i="22"/>
  <c r="D394" i="22"/>
  <c r="D527" i="22"/>
  <c r="D1358" i="22"/>
  <c r="D28" i="21"/>
  <c r="D32" i="21"/>
  <c r="D585" i="21"/>
  <c r="D606" i="21"/>
  <c r="D618" i="21"/>
  <c r="D623" i="21"/>
  <c r="D722" i="21"/>
  <c r="D798" i="21"/>
  <c r="D918" i="21"/>
  <c r="D980" i="21"/>
  <c r="D1002" i="21"/>
  <c r="D1192" i="21"/>
  <c r="D1597" i="21"/>
  <c r="D1698" i="21"/>
  <c r="D1792" i="22"/>
  <c r="D1047" i="21"/>
  <c r="D1369" i="21"/>
  <c r="D1373" i="21"/>
  <c r="D1377" i="21"/>
  <c r="D1382" i="21"/>
  <c r="D1408" i="21"/>
  <c r="D1456" i="21"/>
  <c r="D294" i="15"/>
  <c r="D302" i="15"/>
  <c r="D306" i="15"/>
  <c r="D325" i="15"/>
  <c r="D408" i="22"/>
  <c r="D952" i="22"/>
  <c r="D948" i="22"/>
  <c r="D944" i="22"/>
  <c r="D1191" i="22"/>
  <c r="D1175" i="22"/>
  <c r="D1345" i="22"/>
  <c r="D1458" i="22"/>
  <c r="D157" i="21"/>
  <c r="D165" i="21"/>
  <c r="D522" i="21"/>
  <c r="D688" i="21"/>
  <c r="D692" i="21"/>
  <c r="D782" i="21"/>
  <c r="D880" i="21"/>
  <c r="D884" i="21"/>
  <c r="D959" i="21"/>
  <c r="D983" i="21"/>
  <c r="D991" i="21"/>
  <c r="D1127" i="21"/>
  <c r="D1435" i="21"/>
  <c r="D1443" i="21"/>
  <c r="D1451" i="21"/>
  <c r="D1478" i="21"/>
  <c r="D1595" i="21"/>
  <c r="D30" i="13"/>
  <c r="D43" i="13"/>
  <c r="D48" i="13"/>
  <c r="D62" i="13"/>
  <c r="D67" i="13"/>
  <c r="D78" i="13"/>
  <c r="D86" i="13"/>
  <c r="D97" i="13"/>
  <c r="D105" i="13"/>
  <c r="D112" i="13"/>
  <c r="D113" i="13"/>
  <c r="D118" i="13"/>
  <c r="D126" i="13"/>
  <c r="D506" i="14"/>
  <c r="D695" i="14"/>
  <c r="D673" i="14"/>
  <c r="D24" i="15"/>
  <c r="D29" i="15"/>
  <c r="D52" i="15"/>
  <c r="D68" i="15"/>
  <c r="D96" i="15"/>
  <c r="D113" i="15"/>
  <c r="D114" i="15"/>
  <c r="D203" i="15"/>
  <c r="D204" i="15"/>
  <c r="D205" i="15"/>
  <c r="D231" i="15"/>
  <c r="D96" i="13"/>
  <c r="D104" i="13"/>
  <c r="D151" i="14"/>
  <c r="D143" i="14"/>
  <c r="D234" i="14"/>
  <c r="D490" i="14"/>
  <c r="D679" i="14"/>
  <c r="D44" i="15"/>
  <c r="D22" i="13"/>
  <c r="D26" i="13"/>
  <c r="D46" i="13"/>
  <c r="D58" i="13"/>
  <c r="D74" i="13"/>
  <c r="D165" i="14"/>
  <c r="D243" i="14"/>
  <c r="D239" i="14"/>
  <c r="D235" i="14"/>
  <c r="D501" i="14"/>
  <c r="D497" i="14"/>
  <c r="D527" i="14"/>
  <c r="D519" i="14"/>
  <c r="D686" i="14"/>
  <c r="D180" i="15"/>
  <c r="D200" i="15"/>
  <c r="D252" i="15"/>
  <c r="D1767" i="22"/>
  <c r="D1643" i="22"/>
  <c r="D1759" i="22"/>
  <c r="D1734" i="22"/>
  <c r="D1791" i="22"/>
  <c r="D52" i="21"/>
  <c r="D67" i="21"/>
  <c r="D75" i="21"/>
  <c r="D149" i="21"/>
  <c r="D174" i="21"/>
  <c r="D218" i="21"/>
  <c r="D276" i="21"/>
  <c r="D314" i="21"/>
  <c r="D340" i="21"/>
  <c r="D386" i="21"/>
  <c r="D405" i="21"/>
  <c r="D499" i="21"/>
  <c r="D503" i="21"/>
  <c r="D253" i="22"/>
  <c r="D470" i="22"/>
  <c r="D458" i="22"/>
  <c r="D450" i="22"/>
  <c r="D564" i="22"/>
  <c r="D732" i="22"/>
  <c r="D1587" i="21"/>
  <c r="D256" i="15"/>
  <c r="D279" i="15"/>
  <c r="D82" i="22"/>
  <c r="D432" i="22"/>
  <c r="D416" i="22"/>
  <c r="D565" i="22"/>
  <c r="D648" i="22"/>
  <c r="D717" i="22"/>
  <c r="D709" i="22"/>
  <c r="D813" i="22"/>
  <c r="D959" i="22"/>
  <c r="D1269" i="22"/>
  <c r="D1265" i="22"/>
  <c r="D1287" i="22"/>
  <c r="D1279" i="22"/>
  <c r="D1632" i="22"/>
  <c r="D1628" i="22"/>
  <c r="D1773" i="22"/>
  <c r="D176" i="21"/>
  <c r="D234" i="21"/>
  <c r="D260" i="21"/>
  <c r="D311" i="21"/>
  <c r="D351" i="21"/>
  <c r="D375" i="21"/>
  <c r="D425" i="21"/>
  <c r="D445" i="21"/>
  <c r="D453" i="21"/>
  <c r="D461" i="21"/>
  <c r="D465" i="21"/>
  <c r="D307" i="15"/>
  <c r="D332" i="15"/>
  <c r="D336" i="15"/>
  <c r="D337" i="15"/>
  <c r="D338" i="15"/>
  <c r="D339" i="15"/>
  <c r="D354" i="15"/>
  <c r="D49" i="21"/>
  <c r="D60" i="21"/>
  <c r="D68" i="21"/>
  <c r="D76" i="21"/>
  <c r="D155" i="21"/>
  <c r="D183" i="21"/>
  <c r="D195" i="21"/>
  <c r="D199" i="21"/>
  <c r="D295" i="21"/>
  <c r="D356" i="21"/>
  <c r="D433" i="21"/>
  <c r="D440" i="21"/>
  <c r="D448" i="21"/>
  <c r="D456" i="21"/>
  <c r="D468" i="21"/>
  <c r="D479" i="21"/>
  <c r="D487" i="21"/>
  <c r="D500" i="21"/>
  <c r="D504" i="21"/>
  <c r="D508" i="21"/>
  <c r="D707" i="21"/>
  <c r="D711" i="21"/>
  <c r="D747" i="21"/>
  <c r="D785" i="21"/>
  <c r="D801" i="21"/>
  <c r="D519" i="21"/>
  <c r="D523" i="21"/>
  <c r="D527" i="21"/>
  <c r="D569" i="21"/>
  <c r="D573" i="21"/>
  <c r="D673" i="21"/>
  <c r="D724" i="21"/>
  <c r="D775" i="21"/>
  <c r="D789" i="21"/>
  <c r="D790" i="21"/>
  <c r="D794" i="21"/>
  <c r="D805" i="21"/>
  <c r="D806" i="21"/>
  <c r="D810" i="21"/>
  <c r="D840" i="21"/>
  <c r="D1381" i="21"/>
  <c r="D1393" i="21"/>
  <c r="D1416" i="21"/>
  <c r="D1522" i="21"/>
  <c r="D1530" i="21"/>
  <c r="D1581" i="21"/>
  <c r="D1588" i="21"/>
  <c r="D1704" i="21"/>
  <c r="D1714" i="21"/>
  <c r="D243" i="5"/>
  <c r="D128" i="18"/>
  <c r="D962" i="21"/>
  <c r="D1056" i="21"/>
  <c r="D1071" i="21"/>
  <c r="D1075" i="21"/>
  <c r="D1224" i="21"/>
  <c r="D1343" i="21"/>
  <c r="D1344" i="21"/>
  <c r="D1359" i="21"/>
  <c r="D128" i="5"/>
  <c r="D205" i="5"/>
  <c r="D488" i="21"/>
  <c r="D534" i="21"/>
  <c r="D538" i="21"/>
  <c r="D554" i="21"/>
  <c r="D558" i="21"/>
  <c r="D562" i="21"/>
  <c r="D591" i="21"/>
  <c r="D602" i="21"/>
  <c r="D607" i="21"/>
  <c r="D611" i="21"/>
  <c r="D708" i="21"/>
  <c r="D712" i="21"/>
  <c r="D758" i="21"/>
  <c r="D763" i="21"/>
  <c r="D786" i="21"/>
  <c r="D802" i="21"/>
  <c r="D821" i="21"/>
  <c r="D825" i="21"/>
  <c r="D829" i="21"/>
  <c r="D833" i="21"/>
  <c r="D848" i="21"/>
  <c r="D1261" i="21"/>
  <c r="D1328" i="21"/>
  <c r="D1366" i="21"/>
  <c r="D1370" i="21"/>
  <c r="D1374" i="21"/>
  <c r="D1409" i="21"/>
  <c r="D1427" i="21"/>
  <c r="D1466" i="21"/>
  <c r="D1470" i="21"/>
  <c r="D1579" i="21"/>
  <c r="D1616" i="21"/>
  <c r="D1623" i="21"/>
  <c r="D1680" i="21"/>
  <c r="D1725" i="21"/>
  <c r="D292" i="14"/>
  <c r="D456" i="14"/>
  <c r="D440" i="14"/>
  <c r="D71" i="15"/>
  <c r="D210" i="15"/>
  <c r="D212" i="15"/>
  <c r="D109" i="22"/>
  <c r="D101" i="22"/>
  <c r="D252" i="22"/>
  <c r="D83" i="13"/>
  <c r="D91" i="13"/>
  <c r="D102" i="13"/>
  <c r="D110" i="13"/>
  <c r="D121" i="13"/>
  <c r="D125" i="13"/>
  <c r="D209" i="14"/>
  <c r="D167" i="14"/>
  <c r="D149" i="14"/>
  <c r="D231" i="14"/>
  <c r="D329" i="14"/>
  <c r="D383" i="14"/>
  <c r="D379" i="14"/>
  <c r="D367" i="14"/>
  <c r="D509" i="14"/>
  <c r="D498" i="14"/>
  <c r="D493" i="14"/>
  <c r="D568" i="14"/>
  <c r="D563" i="14"/>
  <c r="D633" i="14"/>
  <c r="D687" i="14"/>
  <c r="D682" i="14"/>
  <c r="D680" i="14"/>
  <c r="D196" i="15"/>
  <c r="D348" i="15"/>
  <c r="D352" i="15"/>
  <c r="D90" i="22"/>
  <c r="D467" i="22"/>
  <c r="D443" i="22"/>
  <c r="D561" i="22"/>
  <c r="D632" i="22"/>
  <c r="D28" i="13"/>
  <c r="D29" i="13"/>
  <c r="D42" i="13"/>
  <c r="D47" i="13"/>
  <c r="D50" i="13"/>
  <c r="D159" i="14"/>
  <c r="D141" i="14"/>
  <c r="D290" i="14"/>
  <c r="D394" i="14"/>
  <c r="D432" i="14"/>
  <c r="D428" i="14"/>
  <c r="D424" i="14"/>
  <c r="D420" i="14"/>
  <c r="D416" i="14"/>
  <c r="D505" i="14"/>
  <c r="D489" i="14"/>
  <c r="D535" i="14"/>
  <c r="D584" i="14"/>
  <c r="D579" i="14"/>
  <c r="D736" i="14"/>
  <c r="D66" i="15"/>
  <c r="D67" i="15"/>
  <c r="D89" i="15"/>
  <c r="D108" i="15"/>
  <c r="D109" i="15"/>
  <c r="D110" i="15"/>
  <c r="D111" i="15"/>
  <c r="D124" i="15"/>
  <c r="D125" i="15"/>
  <c r="D126" i="15"/>
  <c r="D127" i="15"/>
  <c r="D154" i="15"/>
  <c r="D159" i="15"/>
  <c r="D160" i="15"/>
  <c r="D167" i="15"/>
  <c r="D189" i="15"/>
  <c r="D199" i="15"/>
  <c r="D215" i="15"/>
  <c r="D230" i="15"/>
  <c r="D241" i="15"/>
  <c r="D242" i="15"/>
  <c r="D243" i="15"/>
  <c r="D248" i="15"/>
  <c r="D266" i="15"/>
  <c r="D268" i="15"/>
  <c r="D271" i="15"/>
  <c r="D297" i="15"/>
  <c r="D301" i="15"/>
  <c r="D329" i="15"/>
  <c r="D350" i="15"/>
  <c r="D513" i="22"/>
  <c r="D91" i="22"/>
  <c r="D83" i="22"/>
  <c r="D121" i="22"/>
  <c r="D155" i="22"/>
  <c r="D147" i="22"/>
  <c r="D139" i="22"/>
  <c r="D428" i="22"/>
  <c r="D420" i="22"/>
  <c r="D412" i="22"/>
  <c r="D402" i="22"/>
  <c r="D456" i="22"/>
  <c r="D733" i="22"/>
  <c r="D725" i="22"/>
  <c r="D23" i="13"/>
  <c r="D44" i="13"/>
  <c r="D52" i="13"/>
  <c r="D63" i="13"/>
  <c r="D71" i="13"/>
  <c r="D79" i="13"/>
  <c r="D87" i="13"/>
  <c r="D98" i="13"/>
  <c r="D106" i="13"/>
  <c r="D114" i="13"/>
  <c r="D124" i="13"/>
  <c r="D127" i="13"/>
  <c r="D128" i="13"/>
  <c r="D129" i="13"/>
  <c r="D20" i="15"/>
  <c r="D73" i="15"/>
  <c r="D88" i="15"/>
  <c r="D104" i="15"/>
  <c r="D115" i="15"/>
  <c r="D120" i="15"/>
  <c r="D134" i="15"/>
  <c r="D136" i="15"/>
  <c r="D139" i="15"/>
  <c r="D166" i="15"/>
  <c r="D174" i="15"/>
  <c r="D175" i="15"/>
  <c r="D176" i="15"/>
  <c r="D193" i="15"/>
  <c r="D214" i="15"/>
  <c r="D225" i="15"/>
  <c r="D226" i="15"/>
  <c r="D227" i="15"/>
  <c r="D228" i="15"/>
  <c r="D229" i="15"/>
  <c r="D240" i="15"/>
  <c r="D259" i="15"/>
  <c r="D264" i="15"/>
  <c r="D292" i="15"/>
  <c r="D295" i="15"/>
  <c r="D314" i="15"/>
  <c r="D328" i="15"/>
  <c r="D345" i="15"/>
  <c r="D349" i="15"/>
  <c r="D355" i="15"/>
  <c r="D285" i="22"/>
  <c r="D1691" i="22"/>
  <c r="D60" i="22"/>
  <c r="D471" i="22"/>
  <c r="D585" i="22"/>
  <c r="D581" i="22"/>
  <c r="D577" i="22"/>
  <c r="D573" i="22"/>
  <c r="D569" i="22"/>
  <c r="D656" i="22"/>
  <c r="D655" i="22"/>
  <c r="D647" i="22"/>
  <c r="D710" i="22"/>
  <c r="D947" i="22"/>
  <c r="D937" i="22"/>
  <c r="D1188" i="22"/>
  <c r="D1307" i="22"/>
  <c r="D1286" i="22"/>
  <c r="D1278" i="22"/>
  <c r="D1354" i="22"/>
  <c r="D1640" i="22"/>
  <c r="D1636" i="22"/>
  <c r="D1627" i="22"/>
  <c r="D1750" i="22"/>
  <c r="D1742" i="22"/>
  <c r="D1797" i="22"/>
  <c r="D1292" i="22"/>
  <c r="D182" i="21"/>
  <c r="D716" i="22"/>
  <c r="D708" i="22"/>
  <c r="D963" i="22"/>
  <c r="D1180" i="22"/>
  <c r="D1299" i="22"/>
  <c r="D1294" i="22"/>
  <c r="D1362" i="22"/>
  <c r="D1357" i="22"/>
  <c r="D964" i="22"/>
  <c r="D960" i="22"/>
  <c r="D1183" i="22"/>
  <c r="D1167" i="22"/>
  <c r="D1749" i="22"/>
  <c r="D1801" i="22"/>
  <c r="D1788" i="22"/>
  <c r="D136" i="21"/>
  <c r="D140" i="21"/>
  <c r="D152" i="21"/>
  <c r="D156" i="21"/>
  <c r="D175" i="21"/>
  <c r="D261" i="21"/>
  <c r="D280" i="21"/>
  <c r="D296" i="21"/>
  <c r="D315" i="21"/>
  <c r="D328" i="21"/>
  <c r="D341" i="21"/>
  <c r="D363" i="21"/>
  <c r="D376" i="21"/>
  <c r="D395" i="21"/>
  <c r="D404" i="21"/>
  <c r="D416" i="21"/>
  <c r="D426" i="21"/>
  <c r="D480" i="21"/>
  <c r="D496" i="21"/>
  <c r="D501" i="21"/>
  <c r="D507" i="21"/>
  <c r="D515" i="21"/>
  <c r="D520" i="21"/>
  <c r="D526" i="21"/>
  <c r="D531" i="21"/>
  <c r="D536" i="21"/>
  <c r="D542" i="21"/>
  <c r="D547" i="21"/>
  <c r="D561" i="21"/>
  <c r="D566" i="21"/>
  <c r="D577" i="21"/>
  <c r="D582" i="21"/>
  <c r="D621" i="21"/>
  <c r="D622" i="21"/>
  <c r="D642" i="21"/>
  <c r="D495" i="21"/>
  <c r="D546" i="21"/>
  <c r="D565" i="21"/>
  <c r="D581" i="21"/>
  <c r="D654" i="21"/>
  <c r="D656" i="21"/>
  <c r="D657" i="21"/>
  <c r="D1783" i="22"/>
  <c r="D35" i="21"/>
  <c r="D37" i="21"/>
  <c r="D144" i="21"/>
  <c r="D160" i="21"/>
  <c r="D179" i="21"/>
  <c r="D223" i="21"/>
  <c r="D264" i="21"/>
  <c r="D277" i="21"/>
  <c r="D299" i="21"/>
  <c r="D312" i="21"/>
  <c r="D325" i="21"/>
  <c r="D344" i="21"/>
  <c r="D357" i="21"/>
  <c r="D379" i="21"/>
  <c r="D392" i="21"/>
  <c r="D423" i="21"/>
  <c r="D424" i="21"/>
  <c r="D429" i="21"/>
  <c r="D509" i="21"/>
  <c r="D528" i="21"/>
  <c r="D544" i="21"/>
  <c r="D605" i="21"/>
  <c r="D25" i="21"/>
  <c r="D44" i="21"/>
  <c r="D83" i="21"/>
  <c r="D84" i="21"/>
  <c r="D91" i="21"/>
  <c r="D102" i="21"/>
  <c r="D103" i="21"/>
  <c r="D110" i="21"/>
  <c r="D111" i="21"/>
  <c r="D118" i="21"/>
  <c r="D119" i="21"/>
  <c r="D126" i="21"/>
  <c r="D127" i="21"/>
  <c r="D141" i="21"/>
  <c r="D147" i="21"/>
  <c r="D163" i="21"/>
  <c r="D335" i="21"/>
  <c r="D370" i="21"/>
  <c r="D824" i="21"/>
  <c r="D832" i="21"/>
  <c r="D841" i="21"/>
  <c r="D1097" i="21"/>
  <c r="D1112" i="21"/>
  <c r="D1126" i="21"/>
  <c r="D1131" i="21"/>
  <c r="D1164" i="21"/>
  <c r="D1169" i="21"/>
  <c r="D1177" i="21"/>
  <c r="D1182" i="21"/>
  <c r="D1187" i="21"/>
  <c r="D1283" i="21"/>
  <c r="D1401" i="21"/>
  <c r="D1417" i="21"/>
  <c r="D1431" i="21"/>
  <c r="D1467" i="21"/>
  <c r="D1471" i="21"/>
  <c r="D661" i="21"/>
  <c r="D677" i="21"/>
  <c r="D710" i="21"/>
  <c r="D732" i="21"/>
  <c r="D746" i="21"/>
  <c r="D751" i="21"/>
  <c r="D762" i="21"/>
  <c r="D767" i="21"/>
  <c r="D916" i="21"/>
  <c r="D917" i="21"/>
  <c r="D923" i="21"/>
  <c r="D972" i="21"/>
  <c r="D975" i="21"/>
  <c r="D986" i="21"/>
  <c r="D1011" i="21"/>
  <c r="D1015" i="21"/>
  <c r="D1019" i="21"/>
  <c r="D1023" i="21"/>
  <c r="D1027" i="21"/>
  <c r="D1031" i="21"/>
  <c r="D1035" i="21"/>
  <c r="D1039" i="21"/>
  <c r="D1054" i="21"/>
  <c r="D1055" i="21"/>
  <c r="D1130" i="21"/>
  <c r="D1135" i="21"/>
  <c r="D1168" i="21"/>
  <c r="D1172" i="21"/>
  <c r="D1246" i="21"/>
  <c r="D1247" i="21"/>
  <c r="D1356" i="21"/>
  <c r="D1358" i="21"/>
  <c r="D1362" i="21"/>
  <c r="D1378" i="21"/>
  <c r="D1611" i="21"/>
  <c r="D669" i="21"/>
  <c r="D676" i="21"/>
  <c r="D683" i="21"/>
  <c r="D684" i="21"/>
  <c r="D685" i="21"/>
  <c r="D730" i="21"/>
  <c r="D731" i="21"/>
  <c r="D750" i="21"/>
  <c r="D755" i="21"/>
  <c r="D766" i="21"/>
  <c r="D849" i="21"/>
  <c r="D857" i="21"/>
  <c r="D859" i="21"/>
  <c r="D898" i="21"/>
  <c r="D906" i="21"/>
  <c r="D907" i="21"/>
  <c r="D911" i="21"/>
  <c r="D926" i="21"/>
  <c r="D933" i="21"/>
  <c r="D937" i="21"/>
  <c r="D941" i="21"/>
  <c r="D945" i="21"/>
  <c r="D949" i="21"/>
  <c r="D953" i="21"/>
  <c r="D996" i="21"/>
  <c r="D999" i="21"/>
  <c r="D1059" i="21"/>
  <c r="D1072" i="21"/>
  <c r="D1091" i="21"/>
  <c r="D1092" i="21"/>
  <c r="D1104" i="21"/>
  <c r="D1105" i="21"/>
  <c r="D1123" i="21"/>
  <c r="D1134" i="21"/>
  <c r="D1193" i="21"/>
  <c r="D1202" i="21"/>
  <c r="D1203" i="21"/>
  <c r="D1219" i="21"/>
  <c r="D1220" i="21"/>
  <c r="D1225" i="21"/>
  <c r="D1256" i="21"/>
  <c r="D1420" i="21"/>
  <c r="D1428" i="21"/>
  <c r="D1474" i="21"/>
  <c r="D1479" i="21"/>
  <c r="D1495" i="21"/>
  <c r="D717" i="21"/>
  <c r="D743" i="21"/>
  <c r="D754" i="21"/>
  <c r="D759" i="21"/>
  <c r="D770" i="21"/>
  <c r="D781" i="21"/>
  <c r="D1070" i="21"/>
  <c r="D1267" i="21"/>
  <c r="D1293" i="21"/>
  <c r="D1560" i="21"/>
  <c r="D1603" i="21"/>
  <c r="D1709" i="21"/>
  <c r="D1716" i="21"/>
  <c r="D1717" i="21"/>
  <c r="D1718" i="21"/>
  <c r="D167" i="18"/>
  <c r="D1517" i="21"/>
  <c r="D1524" i="21"/>
  <c r="D1525" i="21"/>
  <c r="D1533" i="21"/>
  <c r="D1541" i="21"/>
  <c r="D1545" i="21"/>
  <c r="D1549" i="21"/>
  <c r="D1553" i="21"/>
  <c r="D1559" i="21"/>
  <c r="D1589" i="21"/>
  <c r="D1596" i="21"/>
  <c r="D1624" i="21"/>
  <c r="D1630" i="21"/>
  <c r="D1631" i="21"/>
  <c r="D1632" i="21"/>
  <c r="D1639" i="21"/>
  <c r="D91" i="18"/>
  <c r="D1505" i="21"/>
  <c r="D1562" i="21"/>
  <c r="D1569" i="21"/>
  <c r="D1580" i="21"/>
  <c r="D1605" i="21"/>
  <c r="D1647" i="21"/>
  <c r="D1648" i="21"/>
  <c r="D1664" i="21"/>
  <c r="D1668" i="21"/>
  <c r="D1669" i="21"/>
  <c r="D1674" i="21"/>
  <c r="D1684" i="21"/>
  <c r="D1685" i="21"/>
  <c r="D1693" i="21"/>
  <c r="D1700" i="21"/>
  <c r="D1702" i="21"/>
  <c r="D90" i="5"/>
  <c r="D242" i="5"/>
  <c r="D184" i="15"/>
  <c r="D296" i="15"/>
  <c r="D21" i="15"/>
  <c r="D23" i="15"/>
  <c r="D31" i="15"/>
  <c r="D51" i="15"/>
  <c r="D87" i="15"/>
  <c r="D90" i="15"/>
  <c r="D98" i="15"/>
  <c r="D99" i="15"/>
  <c r="D103" i="15"/>
  <c r="D119" i="15"/>
  <c r="D149" i="15"/>
  <c r="D165" i="15"/>
  <c r="D187" i="15"/>
  <c r="D191" i="15"/>
  <c r="D194" i="15"/>
  <c r="D249" i="15"/>
  <c r="D263" i="15"/>
  <c r="D265" i="15"/>
  <c r="D273" i="15"/>
  <c r="D274" i="15"/>
  <c r="D280" i="15"/>
  <c r="D289" i="15"/>
  <c r="D290" i="15"/>
  <c r="D303" i="15"/>
  <c r="D309" i="15"/>
  <c r="D315" i="15"/>
  <c r="D331" i="15"/>
  <c r="D340" i="15"/>
  <c r="D341" i="15"/>
  <c r="D346" i="15"/>
  <c r="D353" i="15"/>
  <c r="D1729" i="22"/>
  <c r="D20" i="13"/>
  <c r="D21" i="13"/>
  <c r="D27" i="13"/>
  <c r="D36" i="13"/>
  <c r="D37" i="13"/>
  <c r="D38" i="13"/>
  <c r="D39" i="13"/>
  <c r="D40" i="13"/>
  <c r="D115" i="13"/>
  <c r="D116" i="13"/>
  <c r="D119" i="13"/>
  <c r="D120" i="13"/>
  <c r="D122" i="13"/>
  <c r="D247" i="14"/>
  <c r="D361" i="14"/>
  <c r="D551" i="14"/>
  <c r="D49" i="14"/>
  <c r="D41" i="14"/>
  <c r="D33" i="14"/>
  <c r="D124" i="14"/>
  <c r="D116" i="14"/>
  <c r="D108" i="14"/>
  <c r="D102" i="14"/>
  <c r="D163" i="14"/>
  <c r="D153" i="14"/>
  <c r="D147" i="14"/>
  <c r="D137" i="14"/>
  <c r="D240" i="14"/>
  <c r="D279" i="14"/>
  <c r="D271" i="14"/>
  <c r="D263" i="14"/>
  <c r="D255" i="14"/>
  <c r="D393" i="14"/>
  <c r="D382" i="14"/>
  <c r="D372" i="14"/>
  <c r="D366" i="14"/>
  <c r="D431" i="14"/>
  <c r="D423" i="14"/>
  <c r="D415" i="14"/>
  <c r="D479" i="14"/>
  <c r="D534" i="14"/>
  <c r="D533" i="14"/>
  <c r="D580" i="14"/>
  <c r="D575" i="14"/>
  <c r="D564" i="14"/>
  <c r="D618" i="14"/>
  <c r="D610" i="14"/>
  <c r="D602" i="14"/>
  <c r="D600" i="14"/>
  <c r="D592" i="14"/>
  <c r="D654" i="14"/>
  <c r="D646" i="14"/>
  <c r="D638" i="14"/>
  <c r="D691" i="14"/>
  <c r="D683" i="14"/>
  <c r="D32" i="15"/>
  <c r="D41" i="13"/>
  <c r="D45" i="13"/>
  <c r="D49" i="13"/>
  <c r="D53" i="13"/>
  <c r="D60" i="13"/>
  <c r="D64" i="13"/>
  <c r="D68" i="13"/>
  <c r="D72" i="13"/>
  <c r="D76" i="13"/>
  <c r="D80" i="13"/>
  <c r="D84" i="13"/>
  <c r="D88" i="13"/>
  <c r="D99" i="13"/>
  <c r="D103" i="13"/>
  <c r="D107" i="13"/>
  <c r="D111" i="13"/>
  <c r="D171" i="14"/>
  <c r="D27" i="14"/>
  <c r="D448" i="14"/>
  <c r="D502" i="14"/>
  <c r="D494" i="14"/>
  <c r="D576" i="14"/>
  <c r="D571" i="14"/>
  <c r="D619" i="14"/>
  <c r="D611" i="14"/>
  <c r="D603" i="14"/>
  <c r="D632" i="14"/>
  <c r="D733" i="14"/>
  <c r="D28" i="15"/>
  <c r="D35" i="15"/>
  <c r="D37" i="15"/>
  <c r="D38" i="15"/>
  <c r="D42" i="15"/>
  <c r="D43" i="15"/>
  <c r="D65" i="15"/>
  <c r="D82" i="15"/>
  <c r="D107" i="15"/>
  <c r="D123" i="15"/>
  <c r="D137" i="15"/>
  <c r="D140" i="15"/>
  <c r="D141" i="15"/>
  <c r="D142" i="15"/>
  <c r="D153" i="15"/>
  <c r="D156" i="15"/>
  <c r="D157" i="15"/>
  <c r="D158" i="15"/>
  <c r="D172" i="15"/>
  <c r="D179" i="15"/>
  <c r="D188" i="15"/>
  <c r="D192" i="15"/>
  <c r="D198" i="15"/>
  <c r="D201" i="15"/>
  <c r="D202" i="15"/>
  <c r="D223" i="15"/>
  <c r="D239" i="15"/>
  <c r="D254" i="15"/>
  <c r="D255" i="15"/>
  <c r="D257" i="15"/>
  <c r="D258" i="15"/>
  <c r="D260" i="15"/>
  <c r="D270" i="15"/>
  <c r="D277" i="15"/>
  <c r="D278" i="15"/>
  <c r="D287" i="15"/>
  <c r="D288" i="15"/>
  <c r="D293" i="15"/>
  <c r="D299" i="15"/>
  <c r="D300" i="15"/>
  <c r="D305" i="15"/>
  <c r="D311" i="15"/>
  <c r="D312" i="15"/>
  <c r="D313" i="15"/>
  <c r="D319" i="15"/>
  <c r="D327" i="15"/>
  <c r="D334" i="15"/>
  <c r="D335" i="15"/>
  <c r="D343" i="15"/>
  <c r="D344" i="15"/>
  <c r="D25" i="13"/>
  <c r="D31" i="13"/>
  <c r="D32" i="13"/>
  <c r="D61" i="13"/>
  <c r="D65" i="13"/>
  <c r="D69" i="13"/>
  <c r="D73" i="13"/>
  <c r="D77" i="13"/>
  <c r="D81" i="13"/>
  <c r="D85" i="13"/>
  <c r="D89" i="13"/>
  <c r="D117" i="13"/>
  <c r="D57" i="14"/>
  <c r="D475" i="14"/>
  <c r="D53" i="14"/>
  <c r="D45" i="14"/>
  <c r="D37" i="14"/>
  <c r="D128" i="14"/>
  <c r="D120" i="14"/>
  <c r="D112" i="14"/>
  <c r="D161" i="14"/>
  <c r="D155" i="14"/>
  <c r="D145" i="14"/>
  <c r="D139" i="14"/>
  <c r="D200" i="14"/>
  <c r="D199" i="14"/>
  <c r="D192" i="14"/>
  <c r="D191" i="14"/>
  <c r="D184" i="14"/>
  <c r="D183" i="14"/>
  <c r="D176" i="14"/>
  <c r="D174" i="14"/>
  <c r="D236" i="14"/>
  <c r="D225" i="14"/>
  <c r="D217" i="14"/>
  <c r="D289" i="14"/>
  <c r="D388" i="14"/>
  <c r="D369" i="14"/>
  <c r="D427" i="14"/>
  <c r="D419" i="14"/>
  <c r="D487" i="14"/>
  <c r="D542" i="14"/>
  <c r="D541" i="14"/>
  <c r="D526" i="14"/>
  <c r="D518" i="14"/>
  <c r="D583" i="14"/>
  <c r="D572" i="14"/>
  <c r="D567" i="14"/>
  <c r="D658" i="14"/>
  <c r="D650" i="14"/>
  <c r="D642" i="14"/>
  <c r="D26" i="15"/>
  <c r="D27" i="15"/>
  <c r="D33" i="15"/>
  <c r="D34" i="15"/>
  <c r="D36" i="15"/>
  <c r="D39" i="15"/>
  <c r="D40" i="15"/>
  <c r="D41" i="15"/>
  <c r="D45" i="15"/>
  <c r="D46" i="15"/>
  <c r="D59" i="15"/>
  <c r="D60" i="15"/>
  <c r="D61" i="15"/>
  <c r="D62" i="15"/>
  <c r="D63" i="15"/>
  <c r="D64" i="15"/>
  <c r="D74" i="15"/>
  <c r="D75" i="15"/>
  <c r="D76" i="15"/>
  <c r="D77" i="15"/>
  <c r="D79" i="15"/>
  <c r="D80" i="15"/>
  <c r="D81" i="15"/>
  <c r="D84" i="15"/>
  <c r="D85" i="15"/>
  <c r="D86" i="15"/>
  <c r="D100" i="15"/>
  <c r="D101" i="15"/>
  <c r="D102" i="15"/>
  <c r="D112" i="15"/>
  <c r="D116" i="15"/>
  <c r="D117" i="15"/>
  <c r="D118" i="15"/>
  <c r="D128" i="15"/>
  <c r="D135" i="15"/>
  <c r="D151" i="15"/>
  <c r="D177" i="15"/>
  <c r="D178" i="15"/>
  <c r="D181" i="15"/>
  <c r="D182" i="15"/>
  <c r="D183" i="15"/>
  <c r="D195" i="15"/>
  <c r="D217" i="15"/>
  <c r="D218" i="15"/>
  <c r="D219" i="15"/>
  <c r="D220" i="15"/>
  <c r="D221" i="15"/>
  <c r="D233" i="15"/>
  <c r="D234" i="15"/>
  <c r="D235" i="15"/>
  <c r="D236" i="15"/>
  <c r="D237" i="15"/>
  <c r="D275" i="15"/>
  <c r="D286" i="15"/>
  <c r="D291" i="15"/>
  <c r="D298" i="15"/>
  <c r="D310" i="15"/>
  <c r="D317" i="15"/>
  <c r="D318" i="15"/>
  <c r="D326" i="15"/>
  <c r="D333" i="15"/>
  <c r="D342" i="15"/>
  <c r="D347" i="15"/>
  <c r="D657" i="22"/>
  <c r="D649" i="22"/>
  <c r="D641" i="22"/>
  <c r="D734" i="22"/>
  <c r="D718" i="22"/>
  <c r="D807" i="22"/>
  <c r="D356" i="15"/>
  <c r="D1349" i="22"/>
  <c r="D75" i="22"/>
  <c r="D67" i="22"/>
  <c r="D115" i="22"/>
  <c r="D103" i="22"/>
  <c r="D162" i="22"/>
  <c r="D161" i="22"/>
  <c r="D154" i="22"/>
  <c r="D153" i="22"/>
  <c r="D146" i="22"/>
  <c r="D145" i="22"/>
  <c r="D138" i="22"/>
  <c r="D137" i="22"/>
  <c r="D203" i="22"/>
  <c r="D195" i="22"/>
  <c r="D187" i="22"/>
  <c r="D179" i="22"/>
  <c r="D357" i="22"/>
  <c r="D459" i="22"/>
  <c r="D528" i="22"/>
  <c r="D520" i="22"/>
  <c r="D559" i="22"/>
  <c r="D88" i="22"/>
  <c r="D80" i="22"/>
  <c r="D126" i="22"/>
  <c r="D254" i="22"/>
  <c r="D316" i="22"/>
  <c r="D308" i="22"/>
  <c r="D300" i="22"/>
  <c r="D292" i="22"/>
  <c r="D460" i="22"/>
  <c r="D452" i="22"/>
  <c r="D633" i="22"/>
  <c r="D726" i="22"/>
  <c r="D822" i="22"/>
  <c r="D53" i="22"/>
  <c r="D71" i="22"/>
  <c r="D120" i="22"/>
  <c r="D107" i="22"/>
  <c r="D100" i="22"/>
  <c r="D199" i="22"/>
  <c r="D191" i="22"/>
  <c r="D465" i="22"/>
  <c r="D455" i="22"/>
  <c r="D442" i="22"/>
  <c r="D441" i="22"/>
  <c r="D562" i="22"/>
  <c r="D795" i="22"/>
  <c r="D787" i="22"/>
  <c r="D1284" i="22"/>
  <c r="D1276" i="22"/>
  <c r="D1687" i="22"/>
  <c r="D1758" i="22"/>
  <c r="D1735" i="22"/>
  <c r="D1798" i="22"/>
  <c r="D1875" i="22"/>
  <c r="D1859" i="22"/>
  <c r="D26" i="21"/>
  <c r="D27" i="21"/>
  <c r="D33" i="21"/>
  <c r="D40" i="21"/>
  <c r="D43" i="21"/>
  <c r="D45" i="21"/>
  <c r="D956" i="22"/>
  <c r="D955" i="22"/>
  <c r="D1040" i="22"/>
  <c r="D1154" i="22"/>
  <c r="D1192" i="22"/>
  <c r="D1184" i="22"/>
  <c r="D1176" i="22"/>
  <c r="D1168" i="22"/>
  <c r="D61" i="21"/>
  <c r="D69" i="21"/>
  <c r="D77" i="21"/>
  <c r="D85" i="21"/>
  <c r="D104" i="21"/>
  <c r="D112" i="21"/>
  <c r="D120" i="21"/>
  <c r="D128" i="21"/>
  <c r="D187" i="21"/>
  <c r="D191" i="21"/>
  <c r="D214" i="21"/>
  <c r="D271" i="21"/>
  <c r="D279" i="21"/>
  <c r="D306" i="21"/>
  <c r="D926" i="22"/>
  <c r="D951" i="22"/>
  <c r="D1187" i="22"/>
  <c r="D1179" i="22"/>
  <c r="D1171" i="22"/>
  <c r="D1163" i="22"/>
  <c r="D1261" i="22"/>
  <c r="D1245" i="22"/>
  <c r="D1364" i="22"/>
  <c r="D1647" i="22"/>
  <c r="D1639" i="22"/>
  <c r="D1631" i="22"/>
  <c r="D1695" i="22"/>
  <c r="D1743" i="22"/>
  <c r="D1787" i="22"/>
  <c r="D1774" i="22"/>
  <c r="D1867" i="22"/>
  <c r="D24" i="21"/>
  <c r="D38" i="21"/>
  <c r="D50" i="21"/>
  <c r="D242" i="21"/>
  <c r="D1117" i="22"/>
  <c r="D1172" i="22"/>
  <c r="D1164" i="22"/>
  <c r="D1257" i="22"/>
  <c r="D1303" i="22"/>
  <c r="D1361" i="22"/>
  <c r="D1353" i="22"/>
  <c r="D1732" i="22"/>
  <c r="D1794" i="22"/>
  <c r="D148" i="21"/>
  <c r="D164" i="21"/>
  <c r="D227" i="21"/>
  <c r="D255" i="21"/>
  <c r="D263" i="21"/>
  <c r="D290" i="21"/>
  <c r="D327" i="21"/>
  <c r="D343" i="21"/>
  <c r="D378" i="21"/>
  <c r="D394" i="21"/>
  <c r="D415" i="21"/>
  <c r="D427" i="21"/>
  <c r="D439" i="21"/>
  <c r="D447" i="21"/>
  <c r="D455" i="21"/>
  <c r="D592" i="21"/>
  <c r="D608" i="21"/>
  <c r="D660" i="21"/>
  <c r="D670" i="21"/>
  <c r="D691" i="21"/>
  <c r="D698" i="21"/>
  <c r="D837" i="21"/>
  <c r="D845" i="21"/>
  <c r="D860" i="21"/>
  <c r="D555" i="21"/>
  <c r="D563" i="21"/>
  <c r="D571" i="21"/>
  <c r="D579" i="21"/>
  <c r="D748" i="21"/>
  <c r="D756" i="21"/>
  <c r="D764" i="21"/>
  <c r="D772" i="21"/>
  <c r="D783" i="21"/>
  <c r="D791" i="21"/>
  <c r="D799" i="21"/>
  <c r="D807" i="21"/>
  <c r="D819" i="21"/>
  <c r="D820" i="21"/>
  <c r="D827" i="21"/>
  <c r="D828" i="21"/>
  <c r="D835" i="21"/>
  <c r="D836" i="21"/>
  <c r="D843" i="21"/>
  <c r="D844" i="21"/>
  <c r="D851" i="21"/>
  <c r="D871" i="21"/>
  <c r="D872" i="21"/>
  <c r="D886" i="21"/>
  <c r="D978" i="21"/>
  <c r="D188" i="21"/>
  <c r="D203" i="21"/>
  <c r="D230" i="21"/>
  <c r="D238" i="21"/>
  <c r="D243" i="21"/>
  <c r="D253" i="21"/>
  <c r="D256" i="21"/>
  <c r="D269" i="21"/>
  <c r="D272" i="21"/>
  <c r="D288" i="21"/>
  <c r="D291" i="21"/>
  <c r="D304" i="21"/>
  <c r="D307" i="21"/>
  <c r="D333" i="21"/>
  <c r="D336" i="21"/>
  <c r="D349" i="21"/>
  <c r="D352" i="21"/>
  <c r="D368" i="21"/>
  <c r="D371" i="21"/>
  <c r="D384" i="21"/>
  <c r="D387" i="21"/>
  <c r="D409" i="21"/>
  <c r="D412" i="21"/>
  <c r="D421" i="21"/>
  <c r="D444" i="21"/>
  <c r="D452" i="21"/>
  <c r="D460" i="21"/>
  <c r="D464" i="21"/>
  <c r="D594" i="21"/>
  <c r="D600" i="21"/>
  <c r="D610" i="21"/>
  <c r="D616" i="21"/>
  <c r="D630" i="21"/>
  <c r="D636" i="21"/>
  <c r="D646" i="21"/>
  <c r="D652" i="21"/>
  <c r="D696" i="21"/>
  <c r="D716" i="21"/>
  <c r="D720" i="21"/>
  <c r="D728" i="21"/>
  <c r="D736" i="21"/>
  <c r="D771" i="21"/>
  <c r="D774" i="21"/>
  <c r="D867" i="21"/>
  <c r="D868" i="21"/>
  <c r="D235" i="21"/>
  <c r="D252" i="21"/>
  <c r="D268" i="21"/>
  <c r="D287" i="21"/>
  <c r="D303" i="21"/>
  <c r="D319" i="21"/>
  <c r="D332" i="21"/>
  <c r="D348" i="21"/>
  <c r="D367" i="21"/>
  <c r="D383" i="21"/>
  <c r="D407" i="21"/>
  <c r="D408" i="21"/>
  <c r="D420" i="21"/>
  <c r="D441" i="21"/>
  <c r="D449" i="21"/>
  <c r="D457" i="21"/>
  <c r="D469" i="21"/>
  <c r="D483" i="21"/>
  <c r="D484" i="21"/>
  <c r="D491" i="21"/>
  <c r="D492" i="21"/>
  <c r="D597" i="21"/>
  <c r="D598" i="21"/>
  <c r="D599" i="21"/>
  <c r="D613" i="21"/>
  <c r="D614" i="21"/>
  <c r="D615" i="21"/>
  <c r="D634" i="21"/>
  <c r="D650" i="21"/>
  <c r="D674" i="21"/>
  <c r="D679" i="21"/>
  <c r="D680" i="21"/>
  <c r="D693" i="21"/>
  <c r="D715" i="21"/>
  <c r="D719" i="21"/>
  <c r="D727" i="21"/>
  <c r="D735" i="21"/>
  <c r="D994" i="21"/>
  <c r="D899" i="21"/>
  <c r="D908" i="21"/>
  <c r="D909" i="21"/>
  <c r="D910" i="21"/>
  <c r="D915" i="21"/>
  <c r="D922" i="21"/>
  <c r="D939" i="21"/>
  <c r="D940" i="21"/>
  <c r="D947" i="21"/>
  <c r="D948" i="21"/>
  <c r="D979" i="21"/>
  <c r="D995" i="21"/>
  <c r="D1012" i="21"/>
  <c r="D1020" i="21"/>
  <c r="D1028" i="21"/>
  <c r="D1036" i="21"/>
  <c r="D1124" i="21"/>
  <c r="D1132" i="21"/>
  <c r="D1140" i="21"/>
  <c r="D1148" i="21"/>
  <c r="D1176" i="21"/>
  <c r="D897" i="21"/>
  <c r="D961" i="21"/>
  <c r="D1051" i="21"/>
  <c r="D1064" i="21"/>
  <c r="D1067" i="21"/>
  <c r="D1078" i="21"/>
  <c r="D1085" i="21"/>
  <c r="D1094" i="21"/>
  <c r="D1100" i="21"/>
  <c r="D1108" i="21"/>
  <c r="D1116" i="21"/>
  <c r="D1138" i="21"/>
  <c r="D1139" i="21"/>
  <c r="D1142" i="21"/>
  <c r="D1143" i="21"/>
  <c r="D1146" i="21"/>
  <c r="D1147" i="21"/>
  <c r="D1150" i="21"/>
  <c r="D1151" i="21"/>
  <c r="D1154" i="21"/>
  <c r="D1155" i="21"/>
  <c r="D1161" i="21"/>
  <c r="D1166" i="21"/>
  <c r="D1171" i="21"/>
  <c r="D1179" i="21"/>
  <c r="D1180" i="21"/>
  <c r="D865" i="21"/>
  <c r="D873" i="21"/>
  <c r="D881" i="21"/>
  <c r="D903" i="21"/>
  <c r="D925" i="21"/>
  <c r="D936" i="21"/>
  <c r="D944" i="21"/>
  <c r="D952" i="21"/>
  <c r="D958" i="21"/>
  <c r="D971" i="21"/>
  <c r="D987" i="21"/>
  <c r="D1003" i="21"/>
  <c r="D1016" i="21"/>
  <c r="D1024" i="21"/>
  <c r="D1032" i="21"/>
  <c r="D1040" i="21"/>
  <c r="D1062" i="21"/>
  <c r="D1063" i="21"/>
  <c r="D1077" i="21"/>
  <c r="D1087" i="21"/>
  <c r="D1088" i="21"/>
  <c r="D1101" i="21"/>
  <c r="D1109" i="21"/>
  <c r="D1114" i="21"/>
  <c r="D1115" i="21"/>
  <c r="D1163" i="21"/>
  <c r="D1209" i="21"/>
  <c r="D1212" i="21"/>
  <c r="D1216" i="21"/>
  <c r="D1222" i="21"/>
  <c r="D1231" i="21"/>
  <c r="D1252" i="21"/>
  <c r="D1255" i="21"/>
  <c r="D1259" i="21"/>
  <c r="D1265" i="21"/>
  <c r="D1279" i="21"/>
  <c r="D1282" i="21"/>
  <c r="D1287" i="21"/>
  <c r="D1297" i="21"/>
  <c r="D1303" i="21"/>
  <c r="D1316" i="21"/>
  <c r="D1322" i="21"/>
  <c r="D1332" i="21"/>
  <c r="D1338" i="21"/>
  <c r="D1345" i="21"/>
  <c r="D1352" i="21"/>
  <c r="D1355" i="21"/>
  <c r="D1363" i="21"/>
  <c r="D1391" i="21"/>
  <c r="D1392" i="21"/>
  <c r="D1399" i="21"/>
  <c r="D1400" i="21"/>
  <c r="D1407" i="21"/>
  <c r="D1415" i="21"/>
  <c r="D1186" i="21"/>
  <c r="D1199" i="21"/>
  <c r="D1207" i="21"/>
  <c r="D1208" i="21"/>
  <c r="D1211" i="21"/>
  <c r="D1214" i="21"/>
  <c r="D1215" i="21"/>
  <c r="D1243" i="21"/>
  <c r="D1250" i="21"/>
  <c r="D1251" i="21"/>
  <c r="D1254" i="21"/>
  <c r="D1258" i="21"/>
  <c r="D1277" i="21"/>
  <c r="D1278" i="21"/>
  <c r="D1281" i="21"/>
  <c r="D1285" i="21"/>
  <c r="D1301" i="21"/>
  <c r="D1320" i="21"/>
  <c r="D1336" i="21"/>
  <c r="D1354" i="21"/>
  <c r="D1361" i="21"/>
  <c r="D1389" i="21"/>
  <c r="D1397" i="21"/>
  <c r="D1405" i="21"/>
  <c r="D1413" i="21"/>
  <c r="D1421" i="21"/>
  <c r="D1436" i="21"/>
  <c r="D1444" i="21"/>
  <c r="D1452" i="21"/>
  <c r="D1185" i="21"/>
  <c r="D1190" i="21"/>
  <c r="D1229" i="21"/>
  <c r="D1238" i="21"/>
  <c r="D1241" i="21"/>
  <c r="D1242" i="21"/>
  <c r="D1289" i="21"/>
  <c r="D1295" i="21"/>
  <c r="D1305" i="21"/>
  <c r="D1314" i="21"/>
  <c r="D1324" i="21"/>
  <c r="D1330" i="21"/>
  <c r="D1340" i="21"/>
  <c r="D1367" i="21"/>
  <c r="D1375" i="21"/>
  <c r="D1383" i="21"/>
  <c r="D1396" i="21"/>
  <c r="D1404" i="21"/>
  <c r="D1412" i="21"/>
  <c r="D1434" i="21"/>
  <c r="D1442" i="21"/>
  <c r="D1450" i="21"/>
  <c r="D1459" i="21"/>
  <c r="D1488" i="21"/>
  <c r="D1508" i="21"/>
  <c r="D1516" i="21"/>
  <c r="D1532" i="21"/>
  <c r="D1554" i="21"/>
  <c r="D1568" i="21"/>
  <c r="D1570" i="21"/>
  <c r="D1657" i="21"/>
  <c r="D1658" i="21"/>
  <c r="D1659" i="21"/>
  <c r="D1665" i="21"/>
  <c r="D1670" i="21"/>
  <c r="D1675" i="21"/>
  <c r="D1681" i="21"/>
  <c r="D1686" i="21"/>
  <c r="D1696" i="21"/>
  <c r="D1699" i="21"/>
  <c r="D1708" i="21"/>
  <c r="D1710" i="21"/>
  <c r="D1719" i="21"/>
  <c r="D1722" i="21"/>
  <c r="D1496" i="21"/>
  <c r="D1526" i="21"/>
  <c r="D167" i="5"/>
  <c r="D1480" i="21"/>
  <c r="D1641" i="21"/>
  <c r="D1649" i="21"/>
  <c r="D1655" i="21"/>
  <c r="D1663" i="21"/>
  <c r="D1667" i="21"/>
  <c r="D1673" i="21"/>
  <c r="D1678" i="21"/>
  <c r="D1683" i="21"/>
  <c r="D1694" i="21"/>
  <c r="D1703" i="21"/>
  <c r="D1706" i="21"/>
  <c r="D1712" i="21"/>
  <c r="D1715" i="21"/>
  <c r="D1724" i="21"/>
  <c r="D53" i="5"/>
  <c r="D129" i="5"/>
  <c r="D1510" i="21"/>
  <c r="D1518" i="21"/>
  <c r="D1534" i="21"/>
  <c r="D1544" i="21"/>
  <c r="D1548" i="21"/>
  <c r="D1676" i="21"/>
  <c r="D1677" i="21"/>
  <c r="D1701" i="21"/>
  <c r="D53" i="18"/>
  <c r="D205" i="18"/>
  <c r="D204" i="5"/>
  <c r="D52" i="18"/>
  <c r="D90" i="18"/>
  <c r="D166" i="18"/>
  <c r="E1881" i="22"/>
  <c r="D33" i="13"/>
  <c r="D95" i="14"/>
  <c r="D47" i="15"/>
  <c r="D48" i="15"/>
  <c r="D78" i="15"/>
  <c r="D83" i="15"/>
  <c r="D105" i="15"/>
  <c r="D106" i="15"/>
  <c r="D121" i="15"/>
  <c r="D122" i="15"/>
  <c r="D197" i="15"/>
  <c r="D222" i="15"/>
  <c r="D238" i="15"/>
  <c r="D253" i="15"/>
  <c r="D269" i="15"/>
  <c r="D351" i="15"/>
  <c r="D24" i="13"/>
  <c r="D123" i="13"/>
  <c r="D399" i="14"/>
  <c r="D627" i="14"/>
  <c r="D25" i="15"/>
  <c r="D58" i="15"/>
  <c r="D97" i="15"/>
  <c r="D145" i="15"/>
  <c r="D148" i="15"/>
  <c r="D161" i="15"/>
  <c r="D164" i="15"/>
  <c r="D216" i="15"/>
  <c r="D232" i="15"/>
  <c r="D251" i="15"/>
  <c r="D281" i="15"/>
  <c r="D316" i="15"/>
  <c r="D469" i="14"/>
  <c r="D486" i="14"/>
  <c r="D532" i="14"/>
  <c r="D516" i="14"/>
  <c r="D582" i="14"/>
  <c r="D578" i="14"/>
  <c r="D574" i="14"/>
  <c r="D570" i="14"/>
  <c r="D554" i="14"/>
  <c r="D711" i="14"/>
  <c r="AW91" i="9" a="1"/>
  <c r="AW91" i="9" s="1"/>
  <c r="AS91" i="9" a="1"/>
  <c r="AS91" i="9" s="1"/>
  <c r="AO91" i="9" a="1"/>
  <c r="AO91" i="9" s="1"/>
  <c r="AK91" i="9" a="1"/>
  <c r="AK91" i="9" s="1"/>
  <c r="AG91" i="9" a="1"/>
  <c r="AG91" i="9" s="1"/>
  <c r="AC91" i="9" a="1"/>
  <c r="AC91" i="9" s="1"/>
  <c r="Y91" i="9" a="1"/>
  <c r="Y91" i="9" s="1"/>
  <c r="U91" i="9" a="1"/>
  <c r="U91" i="9" s="1"/>
  <c r="Q91" i="9" a="1"/>
  <c r="Q91" i="9" s="1"/>
  <c r="M91" i="9" a="1"/>
  <c r="M91" i="9" s="1"/>
  <c r="I91" i="9" a="1"/>
  <c r="I91" i="9" s="1"/>
  <c r="E91" i="9" a="1"/>
  <c r="E91" i="9" s="1"/>
  <c r="AT91" i="9" a="1"/>
  <c r="AT91" i="9" s="1"/>
  <c r="AP91" i="9" a="1"/>
  <c r="AP91" i="9" s="1"/>
  <c r="AL91" i="9" a="1"/>
  <c r="AL91" i="9" s="1"/>
  <c r="AH91" i="9" a="1"/>
  <c r="AH91" i="9" s="1"/>
  <c r="AD91" i="9" a="1"/>
  <c r="AD91" i="9" s="1"/>
  <c r="Z91" i="9" a="1"/>
  <c r="Z91" i="9" s="1"/>
  <c r="V91" i="9" a="1"/>
  <c r="V91" i="9" s="1"/>
  <c r="R91" i="9" a="1"/>
  <c r="R91" i="9" s="1"/>
  <c r="N91" i="9" a="1"/>
  <c r="N91" i="9" s="1"/>
  <c r="J91" i="9" a="1"/>
  <c r="J91" i="9" s="1"/>
  <c r="F91" i="9" a="1"/>
  <c r="F91" i="9" s="1"/>
  <c r="AQ91" i="9" a="1"/>
  <c r="AQ91" i="9" s="1"/>
  <c r="AI91" i="9" a="1"/>
  <c r="AI91" i="9" s="1"/>
  <c r="AA91" i="9" a="1"/>
  <c r="AA91" i="9" s="1"/>
  <c r="S91" i="9" a="1"/>
  <c r="S91" i="9" s="1"/>
  <c r="K91" i="9" a="1"/>
  <c r="K91" i="9" s="1"/>
  <c r="AV91" i="9" a="1"/>
  <c r="AV91" i="9" s="1"/>
  <c r="AN91" i="9" a="1"/>
  <c r="AN91" i="9" s="1"/>
  <c r="AF91" i="9" a="1"/>
  <c r="AF91" i="9" s="1"/>
  <c r="X91" i="9" a="1"/>
  <c r="X91" i="9" s="1"/>
  <c r="P91" i="9" a="1"/>
  <c r="P91" i="9" s="1"/>
  <c r="H91" i="9" a="1"/>
  <c r="H91" i="9" s="1"/>
  <c r="AM91" i="9" a="1"/>
  <c r="AM91" i="9" s="1"/>
  <c r="W91" i="9" a="1"/>
  <c r="W91" i="9" s="1"/>
  <c r="G91" i="9" a="1"/>
  <c r="G91" i="9" s="1"/>
  <c r="AJ91" i="9" a="1"/>
  <c r="AJ91" i="9" s="1"/>
  <c r="T91" i="9" a="1"/>
  <c r="T91" i="9" s="1"/>
  <c r="AE91" i="9" a="1"/>
  <c r="AE91" i="9" s="1"/>
  <c r="AB91" i="9" a="1"/>
  <c r="AB91" i="9" s="1"/>
  <c r="O91" i="9" a="1"/>
  <c r="O91" i="9" s="1"/>
  <c r="L91" i="9" a="1"/>
  <c r="L91" i="9" s="1"/>
  <c r="AU91" i="9" a="1"/>
  <c r="AU91" i="9" s="1"/>
  <c r="AR91" i="9" a="1"/>
  <c r="AR91" i="9" s="1"/>
  <c r="AW79" i="9" a="1"/>
  <c r="AW79" i="9" s="1"/>
  <c r="AS79" i="9" a="1"/>
  <c r="AS79" i="9" s="1"/>
  <c r="AO79" i="9" a="1"/>
  <c r="AO79" i="9" s="1"/>
  <c r="AK79" i="9" a="1"/>
  <c r="AK79" i="9" s="1"/>
  <c r="AG79" i="9" a="1"/>
  <c r="AG79" i="9" s="1"/>
  <c r="AC79" i="9" a="1"/>
  <c r="AC79" i="9" s="1"/>
  <c r="Y79" i="9" a="1"/>
  <c r="Y79" i="9" s="1"/>
  <c r="U79" i="9" a="1"/>
  <c r="U79" i="9" s="1"/>
  <c r="Q79" i="9" a="1"/>
  <c r="Q79" i="9" s="1"/>
  <c r="M79" i="9" a="1"/>
  <c r="M79" i="9" s="1"/>
  <c r="I79" i="9" a="1"/>
  <c r="I79" i="9" s="1"/>
  <c r="E79" i="9" a="1"/>
  <c r="E79" i="9" s="1"/>
  <c r="AV79" i="9" a="1"/>
  <c r="AV79" i="9" s="1"/>
  <c r="AQ79" i="9" a="1"/>
  <c r="AQ79" i="9" s="1"/>
  <c r="AL79" i="9" a="1"/>
  <c r="AL79" i="9" s="1"/>
  <c r="AF79" i="9" a="1"/>
  <c r="AF79" i="9" s="1"/>
  <c r="AA79" i="9" a="1"/>
  <c r="AA79" i="9" s="1"/>
  <c r="V79" i="9" a="1"/>
  <c r="V79" i="9" s="1"/>
  <c r="P79" i="9" a="1"/>
  <c r="P79" i="9" s="1"/>
  <c r="K79" i="9" a="1"/>
  <c r="K79" i="9" s="1"/>
  <c r="F79" i="9" a="1"/>
  <c r="F79" i="9" s="1"/>
  <c r="AU79" i="9" a="1"/>
  <c r="AU79" i="9" s="1"/>
  <c r="AP79" i="9" a="1"/>
  <c r="AP79" i="9" s="1"/>
  <c r="AJ79" i="9" a="1"/>
  <c r="AJ79" i="9" s="1"/>
  <c r="AE79" i="9" a="1"/>
  <c r="AE79" i="9" s="1"/>
  <c r="Z79" i="9" a="1"/>
  <c r="Z79" i="9" s="1"/>
  <c r="T79" i="9" a="1"/>
  <c r="T79" i="9" s="1"/>
  <c r="O79" i="9" a="1"/>
  <c r="O79" i="9" s="1"/>
  <c r="J79" i="9" a="1"/>
  <c r="J79" i="9" s="1"/>
  <c r="AT79" i="9" a="1"/>
  <c r="AT79" i="9" s="1"/>
  <c r="AI79" i="9" a="1"/>
  <c r="AI79" i="9" s="1"/>
  <c r="X79" i="9" a="1"/>
  <c r="X79" i="9" s="1"/>
  <c r="N79" i="9" a="1"/>
  <c r="N79" i="9" s="1"/>
  <c r="AR79" i="9" a="1"/>
  <c r="AR79" i="9" s="1"/>
  <c r="AH79" i="9" a="1"/>
  <c r="AH79" i="9" s="1"/>
  <c r="W79" i="9" a="1"/>
  <c r="W79" i="9" s="1"/>
  <c r="L79" i="9" a="1"/>
  <c r="L79" i="9" s="1"/>
  <c r="AD79" i="9" a="1"/>
  <c r="AD79" i="9" s="1"/>
  <c r="H79" i="9" a="1"/>
  <c r="H79" i="9" s="1"/>
  <c r="AB79" i="9" a="1"/>
  <c r="AB79" i="9" s="1"/>
  <c r="G79" i="9" a="1"/>
  <c r="G79" i="9" s="1"/>
  <c r="AN79" i="9" a="1"/>
  <c r="AN79" i="9" s="1"/>
  <c r="AM79" i="9" a="1"/>
  <c r="AM79" i="9" s="1"/>
  <c r="S79" i="9" a="1"/>
  <c r="S79" i="9" s="1"/>
  <c r="R79" i="9" a="1"/>
  <c r="R79" i="9" s="1"/>
  <c r="AW75" i="9" a="1"/>
  <c r="AW75" i="9" s="1"/>
  <c r="AS75" i="9" a="1"/>
  <c r="AS75" i="9" s="1"/>
  <c r="AO75" i="9" a="1"/>
  <c r="AO75" i="9" s="1"/>
  <c r="AK75" i="9" a="1"/>
  <c r="AK75" i="9" s="1"/>
  <c r="AG75" i="9" a="1"/>
  <c r="AG75" i="9" s="1"/>
  <c r="AC75" i="9" a="1"/>
  <c r="AC75" i="9" s="1"/>
  <c r="Y75" i="9" a="1"/>
  <c r="Y75" i="9" s="1"/>
  <c r="U75" i="9" a="1"/>
  <c r="U75" i="9" s="1"/>
  <c r="Q75" i="9" a="1"/>
  <c r="Q75" i="9" s="1"/>
  <c r="M75" i="9" a="1"/>
  <c r="M75" i="9" s="1"/>
  <c r="I75" i="9" a="1"/>
  <c r="I75" i="9" s="1"/>
  <c r="E75" i="9" a="1"/>
  <c r="E75" i="9" s="1"/>
  <c r="AU75" i="9" a="1"/>
  <c r="AU75" i="9" s="1"/>
  <c r="AP75" i="9" a="1"/>
  <c r="AP75" i="9" s="1"/>
  <c r="AJ75" i="9" a="1"/>
  <c r="AJ75" i="9" s="1"/>
  <c r="AE75" i="9" a="1"/>
  <c r="AE75" i="9" s="1"/>
  <c r="Z75" i="9" a="1"/>
  <c r="Z75" i="9" s="1"/>
  <c r="T75" i="9" a="1"/>
  <c r="T75" i="9" s="1"/>
  <c r="O75" i="9" a="1"/>
  <c r="O75" i="9" s="1"/>
  <c r="J75" i="9" a="1"/>
  <c r="J75" i="9" s="1"/>
  <c r="AT75" i="9" a="1"/>
  <c r="AT75" i="9" s="1"/>
  <c r="AN75" i="9" a="1"/>
  <c r="AN75" i="9" s="1"/>
  <c r="AI75" i="9" a="1"/>
  <c r="AI75" i="9" s="1"/>
  <c r="AD75" i="9" a="1"/>
  <c r="AD75" i="9" s="1"/>
  <c r="X75" i="9" a="1"/>
  <c r="X75" i="9" s="1"/>
  <c r="S75" i="9" a="1"/>
  <c r="S75" i="9" s="1"/>
  <c r="N75" i="9" a="1"/>
  <c r="N75" i="9" s="1"/>
  <c r="H75" i="9" a="1"/>
  <c r="H75" i="9" s="1"/>
  <c r="AR75" i="9" a="1"/>
  <c r="AR75" i="9" s="1"/>
  <c r="AH75" i="9" a="1"/>
  <c r="AH75" i="9" s="1"/>
  <c r="W75" i="9" a="1"/>
  <c r="W75" i="9" s="1"/>
  <c r="L75" i="9" a="1"/>
  <c r="L75" i="9" s="1"/>
  <c r="AQ75" i="9" a="1"/>
  <c r="AQ75" i="9" s="1"/>
  <c r="AF75" i="9" a="1"/>
  <c r="AF75" i="9" s="1"/>
  <c r="V75" i="9" a="1"/>
  <c r="V75" i="9" s="1"/>
  <c r="K75" i="9" a="1"/>
  <c r="K75" i="9" s="1"/>
  <c r="AM75" i="9" a="1"/>
  <c r="AM75" i="9" s="1"/>
  <c r="R75" i="9" a="1"/>
  <c r="R75" i="9" s="1"/>
  <c r="AL75" i="9" a="1"/>
  <c r="AL75" i="9" s="1"/>
  <c r="P75" i="9" a="1"/>
  <c r="P75" i="9" s="1"/>
  <c r="G75" i="9" a="1"/>
  <c r="G75" i="9" s="1"/>
  <c r="AV75" i="9" a="1"/>
  <c r="AV75" i="9" s="1"/>
  <c r="F75" i="9" a="1"/>
  <c r="F75" i="9" s="1"/>
  <c r="AB75" i="9" a="1"/>
  <c r="AB75" i="9" s="1"/>
  <c r="AA75" i="9" a="1"/>
  <c r="AA75" i="9" s="1"/>
  <c r="AW71" i="9" a="1"/>
  <c r="AW71" i="9" s="1"/>
  <c r="AS71" i="9" a="1"/>
  <c r="AS71" i="9" s="1"/>
  <c r="AO71" i="9" a="1"/>
  <c r="AO71" i="9" s="1"/>
  <c r="AK71" i="9" a="1"/>
  <c r="AK71" i="9" s="1"/>
  <c r="AG71" i="9" a="1"/>
  <c r="AG71" i="9" s="1"/>
  <c r="AC71" i="9" a="1"/>
  <c r="AC71" i="9" s="1"/>
  <c r="Y71" i="9" a="1"/>
  <c r="Y71" i="9" s="1"/>
  <c r="U71" i="9" a="1"/>
  <c r="U71" i="9" s="1"/>
  <c r="Q71" i="9" a="1"/>
  <c r="Q71" i="9" s="1"/>
  <c r="M71" i="9" a="1"/>
  <c r="M71" i="9" s="1"/>
  <c r="I71" i="9" a="1"/>
  <c r="I71" i="9" s="1"/>
  <c r="E71" i="9" a="1"/>
  <c r="E71" i="9" s="1"/>
  <c r="AV71" i="9" a="1"/>
  <c r="AV71" i="9" s="1"/>
  <c r="AR71" i="9" a="1"/>
  <c r="AR71" i="9" s="1"/>
  <c r="AN71" i="9" a="1"/>
  <c r="AN71" i="9" s="1"/>
  <c r="AJ71" i="9" a="1"/>
  <c r="AJ71" i="9" s="1"/>
  <c r="AF71" i="9" a="1"/>
  <c r="AF71" i="9" s="1"/>
  <c r="AB71" i="9" a="1"/>
  <c r="AB71" i="9" s="1"/>
  <c r="X71" i="9" a="1"/>
  <c r="X71" i="9" s="1"/>
  <c r="T71" i="9" a="1"/>
  <c r="T71" i="9" s="1"/>
  <c r="P71" i="9" a="1"/>
  <c r="P71" i="9" s="1"/>
  <c r="L71" i="9" a="1"/>
  <c r="L71" i="9" s="1"/>
  <c r="H71" i="9" a="1"/>
  <c r="H71" i="9" s="1"/>
  <c r="AQ71" i="9" a="1"/>
  <c r="AQ71" i="9" s="1"/>
  <c r="AI71" i="9" a="1"/>
  <c r="AI71" i="9" s="1"/>
  <c r="AA71" i="9" a="1"/>
  <c r="AA71" i="9" s="1"/>
  <c r="S71" i="9" a="1"/>
  <c r="S71" i="9" s="1"/>
  <c r="K71" i="9" a="1"/>
  <c r="K71" i="9" s="1"/>
  <c r="AP71" i="9" a="1"/>
  <c r="AP71" i="9" s="1"/>
  <c r="AH71" i="9" a="1"/>
  <c r="AH71" i="9" s="1"/>
  <c r="Z71" i="9" a="1"/>
  <c r="Z71" i="9" s="1"/>
  <c r="R71" i="9" a="1"/>
  <c r="R71" i="9" s="1"/>
  <c r="J71" i="9" a="1"/>
  <c r="J71" i="9" s="1"/>
  <c r="AU71" i="9" a="1"/>
  <c r="AU71" i="9" s="1"/>
  <c r="AE71" i="9" a="1"/>
  <c r="AE71" i="9" s="1"/>
  <c r="O71" i="9" a="1"/>
  <c r="O71" i="9" s="1"/>
  <c r="AT71" i="9" a="1"/>
  <c r="AT71" i="9" s="1"/>
  <c r="AD71" i="9" a="1"/>
  <c r="AD71" i="9" s="1"/>
  <c r="N71" i="9" a="1"/>
  <c r="N71" i="9" s="1"/>
  <c r="AM71" i="9" a="1"/>
  <c r="AM71" i="9" s="1"/>
  <c r="G71" i="9" a="1"/>
  <c r="G71" i="9" s="1"/>
  <c r="AL71" i="9" a="1"/>
  <c r="AL71" i="9" s="1"/>
  <c r="F71" i="9" a="1"/>
  <c r="F71" i="9" s="1"/>
  <c r="W71" i="9" a="1"/>
  <c r="W71" i="9" s="1"/>
  <c r="V71" i="9" a="1"/>
  <c r="V71" i="9" s="1"/>
  <c r="AT63" i="9" a="1"/>
  <c r="AT63" i="9" s="1"/>
  <c r="AP63" i="9" a="1"/>
  <c r="AP63" i="9" s="1"/>
  <c r="AL63" i="9" a="1"/>
  <c r="AL63" i="9" s="1"/>
  <c r="AH63" i="9" a="1"/>
  <c r="AH63" i="9" s="1"/>
  <c r="AD63" i="9" a="1"/>
  <c r="AD63" i="9" s="1"/>
  <c r="Z63" i="9" a="1"/>
  <c r="Z63" i="9" s="1"/>
  <c r="V63" i="9" a="1"/>
  <c r="V63" i="9" s="1"/>
  <c r="R63" i="9" a="1"/>
  <c r="R63" i="9" s="1"/>
  <c r="N63" i="9" a="1"/>
  <c r="N63" i="9" s="1"/>
  <c r="J63" i="9" a="1"/>
  <c r="J63" i="9" s="1"/>
  <c r="F63" i="9" a="1"/>
  <c r="F63" i="9" s="1"/>
  <c r="AW63" i="9" a="1"/>
  <c r="AW63" i="9" s="1"/>
  <c r="AS63" i="9" a="1"/>
  <c r="AS63" i="9" s="1"/>
  <c r="AO63" i="9" a="1"/>
  <c r="AO63" i="9" s="1"/>
  <c r="AK63" i="9" a="1"/>
  <c r="AK63" i="9" s="1"/>
  <c r="AG63" i="9" a="1"/>
  <c r="AG63" i="9" s="1"/>
  <c r="AC63" i="9" a="1"/>
  <c r="AC63" i="9" s="1"/>
  <c r="Y63" i="9" a="1"/>
  <c r="Y63" i="9" s="1"/>
  <c r="U63" i="9" a="1"/>
  <c r="U63" i="9" s="1"/>
  <c r="Q63" i="9" a="1"/>
  <c r="Q63" i="9" s="1"/>
  <c r="M63" i="9" a="1"/>
  <c r="M63" i="9" s="1"/>
  <c r="I63" i="9" a="1"/>
  <c r="I63" i="9" s="1"/>
  <c r="E63" i="9" a="1"/>
  <c r="E63" i="9" s="1"/>
  <c r="AV63" i="9" a="1"/>
  <c r="AV63" i="9" s="1"/>
  <c r="AN63" i="9" a="1"/>
  <c r="AN63" i="9" s="1"/>
  <c r="AF63" i="9" a="1"/>
  <c r="AF63" i="9" s="1"/>
  <c r="X63" i="9" a="1"/>
  <c r="X63" i="9" s="1"/>
  <c r="P63" i="9" a="1"/>
  <c r="P63" i="9" s="1"/>
  <c r="H63" i="9" a="1"/>
  <c r="H63" i="9" s="1"/>
  <c r="AU63" i="9" a="1"/>
  <c r="AU63" i="9" s="1"/>
  <c r="AM63" i="9" a="1"/>
  <c r="AM63" i="9" s="1"/>
  <c r="AE63" i="9" a="1"/>
  <c r="AE63" i="9" s="1"/>
  <c r="W63" i="9" a="1"/>
  <c r="W63" i="9" s="1"/>
  <c r="O63" i="9" a="1"/>
  <c r="O63" i="9" s="1"/>
  <c r="G63" i="9" a="1"/>
  <c r="G63" i="9" s="1"/>
  <c r="AJ63" i="9" a="1"/>
  <c r="AJ63" i="9" s="1"/>
  <c r="T63" i="9" a="1"/>
  <c r="T63" i="9" s="1"/>
  <c r="AI63" i="9" a="1"/>
  <c r="AI63" i="9" s="1"/>
  <c r="S63" i="9" a="1"/>
  <c r="S63" i="9" s="1"/>
  <c r="AR63" i="9" a="1"/>
  <c r="AR63" i="9" s="1"/>
  <c r="AB63" i="9" a="1"/>
  <c r="AB63" i="9" s="1"/>
  <c r="L63" i="9" a="1"/>
  <c r="L63" i="9" s="1"/>
  <c r="AQ63" i="9" a="1"/>
  <c r="AQ63" i="9" s="1"/>
  <c r="AA63" i="9" a="1"/>
  <c r="AA63" i="9" s="1"/>
  <c r="K63" i="9" a="1"/>
  <c r="K63" i="9" s="1"/>
  <c r="AV92" i="9" a="1"/>
  <c r="AV92" i="9" s="1"/>
  <c r="AR92" i="9" a="1"/>
  <c r="AR92" i="9" s="1"/>
  <c r="AN92" i="9" a="1"/>
  <c r="AN92" i="9" s="1"/>
  <c r="AJ92" i="9" a="1"/>
  <c r="AJ92" i="9" s="1"/>
  <c r="AF92" i="9" a="1"/>
  <c r="AF92" i="9" s="1"/>
  <c r="AB92" i="9" a="1"/>
  <c r="AB92" i="9" s="1"/>
  <c r="X92" i="9" a="1"/>
  <c r="X92" i="9" s="1"/>
  <c r="T92" i="9" a="1"/>
  <c r="T92" i="9" s="1"/>
  <c r="P92" i="9" a="1"/>
  <c r="P92" i="9" s="1"/>
  <c r="L92" i="9" a="1"/>
  <c r="L92" i="9" s="1"/>
  <c r="H92" i="9" a="1"/>
  <c r="H92" i="9" s="1"/>
  <c r="AW92" i="9" a="1"/>
  <c r="AW92" i="9" s="1"/>
  <c r="AS92" i="9" a="1"/>
  <c r="AS92" i="9" s="1"/>
  <c r="AO92" i="9" a="1"/>
  <c r="AO92" i="9" s="1"/>
  <c r="AK92" i="9" a="1"/>
  <c r="AK92" i="9" s="1"/>
  <c r="AG92" i="9" a="1"/>
  <c r="AG92" i="9" s="1"/>
  <c r="AC92" i="9" a="1"/>
  <c r="AC92" i="9" s="1"/>
  <c r="Y92" i="9" a="1"/>
  <c r="Y92" i="9" s="1"/>
  <c r="U92" i="9" a="1"/>
  <c r="U92" i="9" s="1"/>
  <c r="Q92" i="9" a="1"/>
  <c r="Q92" i="9" s="1"/>
  <c r="M92" i="9" a="1"/>
  <c r="M92" i="9" s="1"/>
  <c r="I92" i="9" a="1"/>
  <c r="I92" i="9" s="1"/>
  <c r="E92" i="9" a="1"/>
  <c r="E92" i="9" s="1"/>
  <c r="AT92" i="9" a="1"/>
  <c r="AT92" i="9" s="1"/>
  <c r="AL92" i="9" a="1"/>
  <c r="AL92" i="9" s="1"/>
  <c r="AD92" i="9" a="1"/>
  <c r="AD92" i="9" s="1"/>
  <c r="V92" i="9" a="1"/>
  <c r="V92" i="9" s="1"/>
  <c r="N92" i="9" a="1"/>
  <c r="N92" i="9" s="1"/>
  <c r="F92" i="9" a="1"/>
  <c r="F92" i="9" s="1"/>
  <c r="AQ92" i="9" a="1"/>
  <c r="AQ92" i="9" s="1"/>
  <c r="AI92" i="9" a="1"/>
  <c r="AI92" i="9" s="1"/>
  <c r="AA92" i="9" a="1"/>
  <c r="AA92" i="9" s="1"/>
  <c r="S92" i="9" a="1"/>
  <c r="S92" i="9" s="1"/>
  <c r="K92" i="9" a="1"/>
  <c r="K92" i="9" s="1"/>
  <c r="AP92" i="9" a="1"/>
  <c r="AP92" i="9" s="1"/>
  <c r="Z92" i="9" a="1"/>
  <c r="Z92" i="9" s="1"/>
  <c r="J92" i="9" a="1"/>
  <c r="J92" i="9" s="1"/>
  <c r="AM92" i="9" a="1"/>
  <c r="AM92" i="9" s="1"/>
  <c r="W92" i="9" a="1"/>
  <c r="W92" i="9" s="1"/>
  <c r="G92" i="9" a="1"/>
  <c r="G92" i="9" s="1"/>
  <c r="R92" i="9" a="1"/>
  <c r="R92" i="9" s="1"/>
  <c r="AU92" i="9" a="1"/>
  <c r="AU92" i="9" s="1"/>
  <c r="O92" i="9" a="1"/>
  <c r="O92" i="9" s="1"/>
  <c r="AH92" i="9" a="1"/>
  <c r="AH92" i="9" s="1"/>
  <c r="AE92" i="9" a="1"/>
  <c r="AE92" i="9" s="1"/>
  <c r="AV88" i="9" a="1"/>
  <c r="AV88" i="9" s="1"/>
  <c r="AR88" i="9" a="1"/>
  <c r="AR88" i="9" s="1"/>
  <c r="AN88" i="9" a="1"/>
  <c r="AN88" i="9" s="1"/>
  <c r="AJ88" i="9" a="1"/>
  <c r="AJ88" i="9" s="1"/>
  <c r="AF88" i="9" a="1"/>
  <c r="AF88" i="9" s="1"/>
  <c r="AB88" i="9" a="1"/>
  <c r="AB88" i="9" s="1"/>
  <c r="AW88" i="9" a="1"/>
  <c r="AW88" i="9" s="1"/>
  <c r="AQ88" i="9" a="1"/>
  <c r="AQ88" i="9" s="1"/>
  <c r="AL88" i="9" a="1"/>
  <c r="AL88" i="9" s="1"/>
  <c r="AG88" i="9" a="1"/>
  <c r="AG88" i="9" s="1"/>
  <c r="AA88" i="9" a="1"/>
  <c r="AA88" i="9" s="1"/>
  <c r="W88" i="9" a="1"/>
  <c r="W88" i="9" s="1"/>
  <c r="S88" i="9" a="1"/>
  <c r="S88" i="9" s="1"/>
  <c r="O88" i="9" a="1"/>
  <c r="O88" i="9" s="1"/>
  <c r="K88" i="9" a="1"/>
  <c r="K88" i="9" s="1"/>
  <c r="G88" i="9" a="1"/>
  <c r="G88" i="9" s="1"/>
  <c r="AU88" i="9" a="1"/>
  <c r="AU88" i="9" s="1"/>
  <c r="AP88" i="9" a="1"/>
  <c r="AP88" i="9" s="1"/>
  <c r="AK88" i="9" a="1"/>
  <c r="AK88" i="9" s="1"/>
  <c r="AE88" i="9" a="1"/>
  <c r="AE88" i="9" s="1"/>
  <c r="Z88" i="9" a="1"/>
  <c r="Z88" i="9" s="1"/>
  <c r="V88" i="9" a="1"/>
  <c r="V88" i="9" s="1"/>
  <c r="R88" i="9" a="1"/>
  <c r="R88" i="9" s="1"/>
  <c r="N88" i="9" a="1"/>
  <c r="N88" i="9" s="1"/>
  <c r="J88" i="9" a="1"/>
  <c r="J88" i="9" s="1"/>
  <c r="F88" i="9" a="1"/>
  <c r="F88" i="9" s="1"/>
  <c r="AO88" i="9" a="1"/>
  <c r="AO88" i="9" s="1"/>
  <c r="AD88" i="9" a="1"/>
  <c r="AD88" i="9" s="1"/>
  <c r="U88" i="9" a="1"/>
  <c r="U88" i="9" s="1"/>
  <c r="M88" i="9" a="1"/>
  <c r="M88" i="9" s="1"/>
  <c r="E88" i="9" a="1"/>
  <c r="E88" i="9" s="1"/>
  <c r="AM88" i="9" a="1"/>
  <c r="AM88" i="9" s="1"/>
  <c r="AC88" i="9" a="1"/>
  <c r="AC88" i="9" s="1"/>
  <c r="T88" i="9" a="1"/>
  <c r="T88" i="9" s="1"/>
  <c r="L88" i="9" a="1"/>
  <c r="L88" i="9" s="1"/>
  <c r="AT88" i="9" a="1"/>
  <c r="AT88" i="9" s="1"/>
  <c r="Y88" i="9" a="1"/>
  <c r="Y88" i="9" s="1"/>
  <c r="I88" i="9" a="1"/>
  <c r="I88" i="9" s="1"/>
  <c r="AS88" i="9" a="1"/>
  <c r="AS88" i="9" s="1"/>
  <c r="X88" i="9" a="1"/>
  <c r="X88" i="9" s="1"/>
  <c r="H88" i="9" a="1"/>
  <c r="H88" i="9" s="1"/>
  <c r="Q88" i="9" a="1"/>
  <c r="Q88" i="9" s="1"/>
  <c r="P88" i="9" a="1"/>
  <c r="P88" i="9" s="1"/>
  <c r="AI88" i="9" a="1"/>
  <c r="AI88" i="9" s="1"/>
  <c r="AH88" i="9" a="1"/>
  <c r="AH88" i="9" s="1"/>
  <c r="AU84" i="9" a="1"/>
  <c r="AU84" i="9" s="1"/>
  <c r="AQ84" i="9" a="1"/>
  <c r="AQ84" i="9" s="1"/>
  <c r="AM84" i="9" a="1"/>
  <c r="AM84" i="9" s="1"/>
  <c r="AI84" i="9" a="1"/>
  <c r="AI84" i="9" s="1"/>
  <c r="AE84" i="9" a="1"/>
  <c r="AE84" i="9" s="1"/>
  <c r="AT84" i="9" a="1"/>
  <c r="AT84" i="9" s="1"/>
  <c r="AP84" i="9" a="1"/>
  <c r="AP84" i="9" s="1"/>
  <c r="AL84" i="9" a="1"/>
  <c r="AL84" i="9" s="1"/>
  <c r="AH84" i="9" a="1"/>
  <c r="AH84" i="9" s="1"/>
  <c r="AW84" i="9" a="1"/>
  <c r="AW84" i="9" s="1"/>
  <c r="AO84" i="9" a="1"/>
  <c r="AO84" i="9" s="1"/>
  <c r="AG84" i="9" a="1"/>
  <c r="AG84" i="9" s="1"/>
  <c r="AB84" i="9" a="1"/>
  <c r="AB84" i="9" s="1"/>
  <c r="X84" i="9" a="1"/>
  <c r="X84" i="9" s="1"/>
  <c r="T84" i="9" a="1"/>
  <c r="T84" i="9" s="1"/>
  <c r="P84" i="9" a="1"/>
  <c r="P84" i="9" s="1"/>
  <c r="L84" i="9" a="1"/>
  <c r="L84" i="9" s="1"/>
  <c r="H84" i="9" a="1"/>
  <c r="H84" i="9" s="1"/>
  <c r="AV84" i="9" a="1"/>
  <c r="AV84" i="9" s="1"/>
  <c r="AN84" i="9" a="1"/>
  <c r="AN84" i="9" s="1"/>
  <c r="AF84" i="9" a="1"/>
  <c r="AF84" i="9" s="1"/>
  <c r="AA84" i="9" a="1"/>
  <c r="AA84" i="9" s="1"/>
  <c r="W84" i="9" a="1"/>
  <c r="W84" i="9" s="1"/>
  <c r="S84" i="9" a="1"/>
  <c r="S84" i="9" s="1"/>
  <c r="O84" i="9" a="1"/>
  <c r="O84" i="9" s="1"/>
  <c r="K84" i="9" a="1"/>
  <c r="K84" i="9" s="1"/>
  <c r="G84" i="9" a="1"/>
  <c r="G84" i="9" s="1"/>
  <c r="AS84" i="9" a="1"/>
  <c r="AS84" i="9" s="1"/>
  <c r="AD84" i="9" a="1"/>
  <c r="AD84" i="9" s="1"/>
  <c r="V84" i="9" a="1"/>
  <c r="V84" i="9" s="1"/>
  <c r="N84" i="9" a="1"/>
  <c r="N84" i="9" s="1"/>
  <c r="F84" i="9" a="1"/>
  <c r="F84" i="9" s="1"/>
  <c r="AR84" i="9" a="1"/>
  <c r="AR84" i="9" s="1"/>
  <c r="AC84" i="9" a="1"/>
  <c r="AC84" i="9" s="1"/>
  <c r="U84" i="9" a="1"/>
  <c r="U84" i="9" s="1"/>
  <c r="M84" i="9" a="1"/>
  <c r="M84" i="9" s="1"/>
  <c r="E84" i="9" a="1"/>
  <c r="E84" i="9" s="1"/>
  <c r="AK84" i="9" a="1"/>
  <c r="AK84" i="9" s="1"/>
  <c r="R84" i="9" a="1"/>
  <c r="R84" i="9" s="1"/>
  <c r="AJ84" i="9" a="1"/>
  <c r="AJ84" i="9" s="1"/>
  <c r="Q84" i="9" a="1"/>
  <c r="Q84" i="9" s="1"/>
  <c r="Z84" i="9" a="1"/>
  <c r="Z84" i="9" s="1"/>
  <c r="Y84" i="9" a="1"/>
  <c r="Y84" i="9" s="1"/>
  <c r="J84" i="9" a="1"/>
  <c r="J84" i="9" s="1"/>
  <c r="I84" i="9" a="1"/>
  <c r="I84" i="9" s="1"/>
  <c r="AV80" i="9" a="1"/>
  <c r="AV80" i="9" s="1"/>
  <c r="AR80" i="9" a="1"/>
  <c r="AR80" i="9" s="1"/>
  <c r="AN80" i="9" a="1"/>
  <c r="AN80" i="9" s="1"/>
  <c r="AJ80" i="9" a="1"/>
  <c r="AJ80" i="9" s="1"/>
  <c r="AF80" i="9" a="1"/>
  <c r="AF80" i="9" s="1"/>
  <c r="AB80" i="9" a="1"/>
  <c r="AB80" i="9" s="1"/>
  <c r="X80" i="9" a="1"/>
  <c r="X80" i="9" s="1"/>
  <c r="T80" i="9" a="1"/>
  <c r="T80" i="9" s="1"/>
  <c r="P80" i="9" a="1"/>
  <c r="P80" i="9" s="1"/>
  <c r="L80" i="9" a="1"/>
  <c r="L80" i="9" s="1"/>
  <c r="H80" i="9" a="1"/>
  <c r="H80" i="9" s="1"/>
  <c r="AT80" i="9" a="1"/>
  <c r="AT80" i="9" s="1"/>
  <c r="AO80" i="9" a="1"/>
  <c r="AO80" i="9" s="1"/>
  <c r="AI80" i="9" a="1"/>
  <c r="AI80" i="9" s="1"/>
  <c r="AD80" i="9" a="1"/>
  <c r="AD80" i="9" s="1"/>
  <c r="Y80" i="9" a="1"/>
  <c r="Y80" i="9" s="1"/>
  <c r="S80" i="9" a="1"/>
  <c r="S80" i="9" s="1"/>
  <c r="N80" i="9" a="1"/>
  <c r="N80" i="9" s="1"/>
  <c r="I80" i="9" a="1"/>
  <c r="I80" i="9" s="1"/>
  <c r="AS80" i="9" a="1"/>
  <c r="AS80" i="9" s="1"/>
  <c r="AM80" i="9" a="1"/>
  <c r="AM80" i="9" s="1"/>
  <c r="AH80" i="9" a="1"/>
  <c r="AH80" i="9" s="1"/>
  <c r="AC80" i="9" a="1"/>
  <c r="AC80" i="9" s="1"/>
  <c r="W80" i="9" a="1"/>
  <c r="W80" i="9" s="1"/>
  <c r="R80" i="9" a="1"/>
  <c r="R80" i="9" s="1"/>
  <c r="M80" i="9" a="1"/>
  <c r="M80" i="9" s="1"/>
  <c r="G80" i="9" a="1"/>
  <c r="G80" i="9" s="1"/>
  <c r="AQ80" i="9" a="1"/>
  <c r="AQ80" i="9" s="1"/>
  <c r="AG80" i="9" a="1"/>
  <c r="AG80" i="9" s="1"/>
  <c r="V80" i="9" a="1"/>
  <c r="V80" i="9" s="1"/>
  <c r="K80" i="9" a="1"/>
  <c r="K80" i="9" s="1"/>
  <c r="AP80" i="9" a="1"/>
  <c r="AP80" i="9" s="1"/>
  <c r="AE80" i="9" a="1"/>
  <c r="AE80" i="9" s="1"/>
  <c r="U80" i="9" a="1"/>
  <c r="U80" i="9" s="1"/>
  <c r="J80" i="9" a="1"/>
  <c r="J80" i="9" s="1"/>
  <c r="AW80" i="9" a="1"/>
  <c r="AW80" i="9" s="1"/>
  <c r="AA80" i="9" a="1"/>
  <c r="AA80" i="9" s="1"/>
  <c r="F80" i="9" a="1"/>
  <c r="F80" i="9" s="1"/>
  <c r="AU80" i="9" a="1"/>
  <c r="AU80" i="9" s="1"/>
  <c r="Z80" i="9" a="1"/>
  <c r="Z80" i="9" s="1"/>
  <c r="E80" i="9" a="1"/>
  <c r="E80" i="9" s="1"/>
  <c r="AL80" i="9" a="1"/>
  <c r="AL80" i="9" s="1"/>
  <c r="AK80" i="9" a="1"/>
  <c r="AK80" i="9" s="1"/>
  <c r="Q80" i="9" a="1"/>
  <c r="Q80" i="9" s="1"/>
  <c r="O80" i="9" a="1"/>
  <c r="O80" i="9" s="1"/>
  <c r="AV76" i="9" a="1"/>
  <c r="AV76" i="9" s="1"/>
  <c r="AR76" i="9" a="1"/>
  <c r="AR76" i="9" s="1"/>
  <c r="AN76" i="9" a="1"/>
  <c r="AN76" i="9" s="1"/>
  <c r="AJ76" i="9" a="1"/>
  <c r="AJ76" i="9" s="1"/>
  <c r="AF76" i="9" a="1"/>
  <c r="AF76" i="9" s="1"/>
  <c r="AB76" i="9" a="1"/>
  <c r="AB76" i="9" s="1"/>
  <c r="X76" i="9" a="1"/>
  <c r="X76" i="9" s="1"/>
  <c r="T76" i="9" a="1"/>
  <c r="T76" i="9" s="1"/>
  <c r="P76" i="9" a="1"/>
  <c r="P76" i="9" s="1"/>
  <c r="L76" i="9" a="1"/>
  <c r="L76" i="9" s="1"/>
  <c r="H76" i="9" a="1"/>
  <c r="H76" i="9" s="1"/>
  <c r="AS76" i="9" a="1"/>
  <c r="AS76" i="9" s="1"/>
  <c r="AM76" i="9" a="1"/>
  <c r="AM76" i="9" s="1"/>
  <c r="AH76" i="9" a="1"/>
  <c r="AH76" i="9" s="1"/>
  <c r="AC76" i="9" a="1"/>
  <c r="AC76" i="9" s="1"/>
  <c r="W76" i="9" a="1"/>
  <c r="W76" i="9" s="1"/>
  <c r="R76" i="9" a="1"/>
  <c r="R76" i="9" s="1"/>
  <c r="M76" i="9" a="1"/>
  <c r="M76" i="9" s="1"/>
  <c r="G76" i="9" a="1"/>
  <c r="G76" i="9" s="1"/>
  <c r="AW76" i="9" a="1"/>
  <c r="AW76" i="9" s="1"/>
  <c r="AQ76" i="9" a="1"/>
  <c r="AQ76" i="9" s="1"/>
  <c r="AL76" i="9" a="1"/>
  <c r="AL76" i="9" s="1"/>
  <c r="AG76" i="9" a="1"/>
  <c r="AG76" i="9" s="1"/>
  <c r="AA76" i="9" a="1"/>
  <c r="AA76" i="9" s="1"/>
  <c r="V76" i="9" a="1"/>
  <c r="V76" i="9" s="1"/>
  <c r="Q76" i="9" a="1"/>
  <c r="Q76" i="9" s="1"/>
  <c r="K76" i="9" a="1"/>
  <c r="K76" i="9" s="1"/>
  <c r="F76" i="9" a="1"/>
  <c r="F76" i="9" s="1"/>
  <c r="AP76" i="9" a="1"/>
  <c r="AP76" i="9" s="1"/>
  <c r="AE76" i="9" a="1"/>
  <c r="AE76" i="9" s="1"/>
  <c r="U76" i="9" a="1"/>
  <c r="U76" i="9" s="1"/>
  <c r="J76" i="9" a="1"/>
  <c r="J76" i="9" s="1"/>
  <c r="AO76" i="9" a="1"/>
  <c r="AO76" i="9" s="1"/>
  <c r="AD76" i="9" a="1"/>
  <c r="AD76" i="9" s="1"/>
  <c r="S76" i="9" a="1"/>
  <c r="S76" i="9" s="1"/>
  <c r="I76" i="9" a="1"/>
  <c r="I76" i="9" s="1"/>
  <c r="AK76" i="9" a="1"/>
  <c r="AK76" i="9" s="1"/>
  <c r="O76" i="9" a="1"/>
  <c r="O76" i="9" s="1"/>
  <c r="AI76" i="9" a="1"/>
  <c r="AI76" i="9" s="1"/>
  <c r="N76" i="9" a="1"/>
  <c r="N76" i="9" s="1"/>
  <c r="AU76" i="9" a="1"/>
  <c r="AU76" i="9" s="1"/>
  <c r="E76" i="9" a="1"/>
  <c r="E76" i="9" s="1"/>
  <c r="AT76" i="9" a="1"/>
  <c r="AT76" i="9" s="1"/>
  <c r="Z76" i="9" a="1"/>
  <c r="Z76" i="9" s="1"/>
  <c r="Y76" i="9" a="1"/>
  <c r="Y76" i="9" s="1"/>
  <c r="AV72" i="9" a="1"/>
  <c r="AV72" i="9" s="1"/>
  <c r="AR72" i="9" a="1"/>
  <c r="AR72" i="9" s="1"/>
  <c r="AN72" i="9" a="1"/>
  <c r="AN72" i="9" s="1"/>
  <c r="AJ72" i="9" a="1"/>
  <c r="AJ72" i="9" s="1"/>
  <c r="AF72" i="9" a="1"/>
  <c r="AF72" i="9" s="1"/>
  <c r="AB72" i="9" a="1"/>
  <c r="AB72" i="9" s="1"/>
  <c r="X72" i="9" a="1"/>
  <c r="X72" i="9" s="1"/>
  <c r="T72" i="9" a="1"/>
  <c r="T72" i="9" s="1"/>
  <c r="P72" i="9" a="1"/>
  <c r="P72" i="9" s="1"/>
  <c r="L72" i="9" a="1"/>
  <c r="L72" i="9" s="1"/>
  <c r="H72" i="9" a="1"/>
  <c r="H72" i="9" s="1"/>
  <c r="AU72" i="9" a="1"/>
  <c r="AU72" i="9" s="1"/>
  <c r="AQ72" i="9" a="1"/>
  <c r="AQ72" i="9" s="1"/>
  <c r="AM72" i="9" a="1"/>
  <c r="AM72" i="9" s="1"/>
  <c r="AI72" i="9" a="1"/>
  <c r="AI72" i="9" s="1"/>
  <c r="AE72" i="9" a="1"/>
  <c r="AE72" i="9" s="1"/>
  <c r="AA72" i="9" a="1"/>
  <c r="AA72" i="9" s="1"/>
  <c r="W72" i="9" a="1"/>
  <c r="W72" i="9" s="1"/>
  <c r="S72" i="9" a="1"/>
  <c r="S72" i="9" s="1"/>
  <c r="O72" i="9" a="1"/>
  <c r="O72" i="9" s="1"/>
  <c r="K72" i="9" a="1"/>
  <c r="K72" i="9" s="1"/>
  <c r="G72" i="9" a="1"/>
  <c r="G72" i="9" s="1"/>
  <c r="AT72" i="9" a="1"/>
  <c r="AT72" i="9" s="1"/>
  <c r="AL72" i="9" a="1"/>
  <c r="AL72" i="9" s="1"/>
  <c r="AD72" i="9" a="1"/>
  <c r="AD72" i="9" s="1"/>
  <c r="V72" i="9" a="1"/>
  <c r="V72" i="9" s="1"/>
  <c r="N72" i="9" a="1"/>
  <c r="N72" i="9" s="1"/>
  <c r="F72" i="9" a="1"/>
  <c r="F72" i="9" s="1"/>
  <c r="AS72" i="9" a="1"/>
  <c r="AS72" i="9" s="1"/>
  <c r="AK72" i="9" a="1"/>
  <c r="AK72" i="9" s="1"/>
  <c r="AC72" i="9" a="1"/>
  <c r="AC72" i="9" s="1"/>
  <c r="U72" i="9" a="1"/>
  <c r="U72" i="9" s="1"/>
  <c r="M72" i="9" a="1"/>
  <c r="M72" i="9" s="1"/>
  <c r="E72" i="9" a="1"/>
  <c r="E72" i="9" s="1"/>
  <c r="AH72" i="9" a="1"/>
  <c r="AH72" i="9" s="1"/>
  <c r="R72" i="9" a="1"/>
  <c r="R72" i="9" s="1"/>
  <c r="AW72" i="9" a="1"/>
  <c r="AW72" i="9" s="1"/>
  <c r="AG72" i="9" a="1"/>
  <c r="AG72" i="9" s="1"/>
  <c r="Q72" i="9" a="1"/>
  <c r="Q72" i="9" s="1"/>
  <c r="Z72" i="9" a="1"/>
  <c r="Z72" i="9" s="1"/>
  <c r="Y72" i="9" a="1"/>
  <c r="Y72" i="9" s="1"/>
  <c r="AP72" i="9" a="1"/>
  <c r="AP72" i="9" s="1"/>
  <c r="J72" i="9" a="1"/>
  <c r="J72" i="9" s="1"/>
  <c r="AO72" i="9" a="1"/>
  <c r="AO72" i="9" s="1"/>
  <c r="I72" i="9" a="1"/>
  <c r="I72" i="9" s="1"/>
  <c r="AV68" i="9" a="1"/>
  <c r="AV68" i="9" s="1"/>
  <c r="AR68" i="9" a="1"/>
  <c r="AR68" i="9" s="1"/>
  <c r="AN68" i="9" a="1"/>
  <c r="AN68" i="9" s="1"/>
  <c r="AJ68" i="9" a="1"/>
  <c r="AJ68" i="9" s="1"/>
  <c r="AF68" i="9" a="1"/>
  <c r="AF68" i="9" s="1"/>
  <c r="AB68" i="9" a="1"/>
  <c r="AB68" i="9" s="1"/>
  <c r="AU68" i="9" a="1"/>
  <c r="AU68" i="9" s="1"/>
  <c r="AQ68" i="9" a="1"/>
  <c r="AQ68" i="9" s="1"/>
  <c r="AM68" i="9" a="1"/>
  <c r="AM68" i="9" s="1"/>
  <c r="AI68" i="9" a="1"/>
  <c r="AI68" i="9" s="1"/>
  <c r="AE68" i="9" a="1"/>
  <c r="AE68" i="9" s="1"/>
  <c r="AA68" i="9" a="1"/>
  <c r="AA68" i="9" s="1"/>
  <c r="W68" i="9" a="1"/>
  <c r="W68" i="9" s="1"/>
  <c r="AP68" i="9" a="1"/>
  <c r="AP68" i="9" s="1"/>
  <c r="AH68" i="9" a="1"/>
  <c r="AH68" i="9" s="1"/>
  <c r="Z68" i="9" a="1"/>
  <c r="Z68" i="9" s="1"/>
  <c r="U68" i="9" a="1"/>
  <c r="U68" i="9" s="1"/>
  <c r="Q68" i="9" a="1"/>
  <c r="Q68" i="9" s="1"/>
  <c r="M68" i="9" a="1"/>
  <c r="M68" i="9" s="1"/>
  <c r="I68" i="9" a="1"/>
  <c r="I68" i="9" s="1"/>
  <c r="E68" i="9" a="1"/>
  <c r="E68" i="9" s="1"/>
  <c r="AW68" i="9" a="1"/>
  <c r="AW68" i="9" s="1"/>
  <c r="AO68" i="9" a="1"/>
  <c r="AO68" i="9" s="1"/>
  <c r="AG68" i="9" a="1"/>
  <c r="AG68" i="9" s="1"/>
  <c r="Y68" i="9" a="1"/>
  <c r="Y68" i="9" s="1"/>
  <c r="T68" i="9" a="1"/>
  <c r="T68" i="9" s="1"/>
  <c r="P68" i="9" a="1"/>
  <c r="P68" i="9" s="1"/>
  <c r="L68" i="9" a="1"/>
  <c r="L68" i="9" s="1"/>
  <c r="H68" i="9" a="1"/>
  <c r="H68" i="9" s="1"/>
  <c r="AL68" i="9" a="1"/>
  <c r="AL68" i="9" s="1"/>
  <c r="X68" i="9" a="1"/>
  <c r="X68" i="9" s="1"/>
  <c r="O68" i="9" a="1"/>
  <c r="O68" i="9" s="1"/>
  <c r="G68" i="9" a="1"/>
  <c r="G68" i="9" s="1"/>
  <c r="AK68" i="9" a="1"/>
  <c r="AK68" i="9" s="1"/>
  <c r="V68" i="9" a="1"/>
  <c r="V68" i="9" s="1"/>
  <c r="N68" i="9" a="1"/>
  <c r="N68" i="9" s="1"/>
  <c r="F68" i="9" a="1"/>
  <c r="F68" i="9" s="1"/>
  <c r="AT68" i="9" a="1"/>
  <c r="AT68" i="9" s="1"/>
  <c r="S68" i="9" a="1"/>
  <c r="S68" i="9" s="1"/>
  <c r="AS68" i="9" a="1"/>
  <c r="AS68" i="9" s="1"/>
  <c r="R68" i="9" a="1"/>
  <c r="R68" i="9" s="1"/>
  <c r="AD68" i="9" a="1"/>
  <c r="AD68" i="9" s="1"/>
  <c r="K68" i="9" a="1"/>
  <c r="K68" i="9" s="1"/>
  <c r="AC68" i="9" a="1"/>
  <c r="AC68" i="9" s="1"/>
  <c r="J68" i="9" a="1"/>
  <c r="J68" i="9" s="1"/>
  <c r="AW64" i="9" a="1"/>
  <c r="AW64" i="9" s="1"/>
  <c r="AS64" i="9" a="1"/>
  <c r="AS64" i="9" s="1"/>
  <c r="AO64" i="9" a="1"/>
  <c r="AO64" i="9" s="1"/>
  <c r="AK64" i="9" a="1"/>
  <c r="AK64" i="9" s="1"/>
  <c r="AG64" i="9" a="1"/>
  <c r="AG64" i="9" s="1"/>
  <c r="AC64" i="9" a="1"/>
  <c r="AC64" i="9" s="1"/>
  <c r="Y64" i="9" a="1"/>
  <c r="Y64" i="9" s="1"/>
  <c r="U64" i="9" a="1"/>
  <c r="U64" i="9" s="1"/>
  <c r="Q64" i="9" a="1"/>
  <c r="Q64" i="9" s="1"/>
  <c r="M64" i="9" a="1"/>
  <c r="M64" i="9" s="1"/>
  <c r="I64" i="9" a="1"/>
  <c r="I64" i="9" s="1"/>
  <c r="E64" i="9" a="1"/>
  <c r="E64" i="9" s="1"/>
  <c r="AV64" i="9" a="1"/>
  <c r="AV64" i="9" s="1"/>
  <c r="AR64" i="9" a="1"/>
  <c r="AR64" i="9" s="1"/>
  <c r="AN64" i="9" a="1"/>
  <c r="AN64" i="9" s="1"/>
  <c r="AJ64" i="9" a="1"/>
  <c r="AJ64" i="9" s="1"/>
  <c r="AF64" i="9" a="1"/>
  <c r="AF64" i="9" s="1"/>
  <c r="AB64" i="9" a="1"/>
  <c r="AB64" i="9" s="1"/>
  <c r="X64" i="9" a="1"/>
  <c r="X64" i="9" s="1"/>
  <c r="T64" i="9" a="1"/>
  <c r="T64" i="9" s="1"/>
  <c r="P64" i="9" a="1"/>
  <c r="P64" i="9" s="1"/>
  <c r="L64" i="9" a="1"/>
  <c r="L64" i="9" s="1"/>
  <c r="H64" i="9" a="1"/>
  <c r="H64" i="9" s="1"/>
  <c r="AQ64" i="9" a="1"/>
  <c r="AQ64" i="9" s="1"/>
  <c r="AI64" i="9" a="1"/>
  <c r="AI64" i="9" s="1"/>
  <c r="AA64" i="9" a="1"/>
  <c r="AA64" i="9" s="1"/>
  <c r="S64" i="9" a="1"/>
  <c r="S64" i="9" s="1"/>
  <c r="K64" i="9" a="1"/>
  <c r="K64" i="9" s="1"/>
  <c r="AP64" i="9" a="1"/>
  <c r="AP64" i="9" s="1"/>
  <c r="AH64" i="9" a="1"/>
  <c r="AH64" i="9" s="1"/>
  <c r="Z64" i="9" a="1"/>
  <c r="Z64" i="9" s="1"/>
  <c r="R64" i="9" a="1"/>
  <c r="R64" i="9" s="1"/>
  <c r="J64" i="9" a="1"/>
  <c r="J64" i="9" s="1"/>
  <c r="AM64" i="9" a="1"/>
  <c r="AM64" i="9" s="1"/>
  <c r="W64" i="9" a="1"/>
  <c r="W64" i="9" s="1"/>
  <c r="G64" i="9" a="1"/>
  <c r="G64" i="9" s="1"/>
  <c r="AL64" i="9" a="1"/>
  <c r="AL64" i="9" s="1"/>
  <c r="V64" i="9" a="1"/>
  <c r="V64" i="9" s="1"/>
  <c r="F64" i="9" a="1"/>
  <c r="F64" i="9" s="1"/>
  <c r="AU64" i="9" a="1"/>
  <c r="AU64" i="9" s="1"/>
  <c r="AE64" i="9" a="1"/>
  <c r="AE64" i="9" s="1"/>
  <c r="O64" i="9" a="1"/>
  <c r="O64" i="9" s="1"/>
  <c r="N64" i="9" a="1"/>
  <c r="N64" i="9" s="1"/>
  <c r="AT64" i="9" a="1"/>
  <c r="AT64" i="9" s="1"/>
  <c r="AD64" i="9" a="1"/>
  <c r="AD64" i="9" s="1"/>
  <c r="D410" i="14"/>
  <c r="D453" i="14"/>
  <c r="D540" i="14"/>
  <c r="D616" i="14"/>
  <c r="D727" i="14"/>
  <c r="AU93" i="9" a="1"/>
  <c r="AU93" i="9" s="1"/>
  <c r="AQ93" i="9" a="1"/>
  <c r="AQ93" i="9" s="1"/>
  <c r="AM93" i="9" a="1"/>
  <c r="AM93" i="9" s="1"/>
  <c r="AI93" i="9" a="1"/>
  <c r="AI93" i="9" s="1"/>
  <c r="AE93" i="9" a="1"/>
  <c r="AE93" i="9" s="1"/>
  <c r="AA93" i="9" a="1"/>
  <c r="AA93" i="9" s="1"/>
  <c r="W93" i="9" a="1"/>
  <c r="W93" i="9" s="1"/>
  <c r="S93" i="9" a="1"/>
  <c r="S93" i="9" s="1"/>
  <c r="O93" i="9" a="1"/>
  <c r="O93" i="9" s="1"/>
  <c r="K93" i="9" a="1"/>
  <c r="K93" i="9" s="1"/>
  <c r="G93" i="9" a="1"/>
  <c r="G93" i="9" s="1"/>
  <c r="AW93" i="9" a="1"/>
  <c r="AW93" i="9" s="1"/>
  <c r="AS93" i="9" a="1"/>
  <c r="AS93" i="9" s="1"/>
  <c r="AO93" i="9" a="1"/>
  <c r="AO93" i="9" s="1"/>
  <c r="AK93" i="9" a="1"/>
  <c r="AK93" i="9" s="1"/>
  <c r="AG93" i="9" a="1"/>
  <c r="AG93" i="9" s="1"/>
  <c r="AC93" i="9" a="1"/>
  <c r="AC93" i="9" s="1"/>
  <c r="AV93" i="9" a="1"/>
  <c r="AV93" i="9" s="1"/>
  <c r="AR93" i="9" a="1"/>
  <c r="AR93" i="9" s="1"/>
  <c r="AN93" i="9" a="1"/>
  <c r="AN93" i="9" s="1"/>
  <c r="AJ93" i="9" a="1"/>
  <c r="AJ93" i="9" s="1"/>
  <c r="AF93" i="9" a="1"/>
  <c r="AF93" i="9" s="1"/>
  <c r="AB93" i="9" a="1"/>
  <c r="AB93" i="9" s="1"/>
  <c r="X93" i="9" a="1"/>
  <c r="X93" i="9" s="1"/>
  <c r="T93" i="9" a="1"/>
  <c r="T93" i="9" s="1"/>
  <c r="P93" i="9" a="1"/>
  <c r="P93" i="9" s="1"/>
  <c r="L93" i="9" a="1"/>
  <c r="L93" i="9" s="1"/>
  <c r="H93" i="9" a="1"/>
  <c r="H93" i="9" s="1"/>
  <c r="AL93" i="9" a="1"/>
  <c r="AL93" i="9" s="1"/>
  <c r="Y93" i="9" a="1"/>
  <c r="Y93" i="9" s="1"/>
  <c r="Q93" i="9" a="1"/>
  <c r="Q93" i="9" s="1"/>
  <c r="I93" i="9" a="1"/>
  <c r="I93" i="9" s="1"/>
  <c r="AH93" i="9" a="1"/>
  <c r="AH93" i="9" s="1"/>
  <c r="V93" i="9" a="1"/>
  <c r="V93" i="9" s="1"/>
  <c r="N93" i="9" a="1"/>
  <c r="N93" i="9" s="1"/>
  <c r="F93" i="9" a="1"/>
  <c r="F93" i="9" s="1"/>
  <c r="AD93" i="9" a="1"/>
  <c r="AD93" i="9" s="1"/>
  <c r="M93" i="9" a="1"/>
  <c r="M93" i="9" s="1"/>
  <c r="Z93" i="9" a="1"/>
  <c r="Z93" i="9" s="1"/>
  <c r="J93" i="9" a="1"/>
  <c r="J93" i="9" s="1"/>
  <c r="AT93" i="9" a="1"/>
  <c r="AT93" i="9" s="1"/>
  <c r="E93" i="9" a="1"/>
  <c r="E93" i="9" s="1"/>
  <c r="AP93" i="9" a="1"/>
  <c r="AP93" i="9" s="1"/>
  <c r="U93" i="9" a="1"/>
  <c r="U93" i="9" s="1"/>
  <c r="R93" i="9" a="1"/>
  <c r="R93" i="9" s="1"/>
  <c r="AU89" i="9" a="1"/>
  <c r="AU89" i="9" s="1"/>
  <c r="AQ89" i="9" a="1"/>
  <c r="AQ89" i="9" s="1"/>
  <c r="AM89" i="9" a="1"/>
  <c r="AM89" i="9" s="1"/>
  <c r="AI89" i="9" a="1"/>
  <c r="AI89" i="9" s="1"/>
  <c r="AE89" i="9" a="1"/>
  <c r="AE89" i="9" s="1"/>
  <c r="AA89" i="9" a="1"/>
  <c r="AA89" i="9" s="1"/>
  <c r="W89" i="9" a="1"/>
  <c r="W89" i="9" s="1"/>
  <c r="S89" i="9" a="1"/>
  <c r="S89" i="9" s="1"/>
  <c r="O89" i="9" a="1"/>
  <c r="O89" i="9" s="1"/>
  <c r="K89" i="9" a="1"/>
  <c r="K89" i="9" s="1"/>
  <c r="G89" i="9" a="1"/>
  <c r="G89" i="9" s="1"/>
  <c r="AT89" i="9" a="1"/>
  <c r="AT89" i="9" s="1"/>
  <c r="AO89" i="9" a="1"/>
  <c r="AO89" i="9" s="1"/>
  <c r="AJ89" i="9" a="1"/>
  <c r="AJ89" i="9" s="1"/>
  <c r="AD89" i="9" a="1"/>
  <c r="AD89" i="9" s="1"/>
  <c r="Y89" i="9" a="1"/>
  <c r="Y89" i="9" s="1"/>
  <c r="T89" i="9" a="1"/>
  <c r="T89" i="9" s="1"/>
  <c r="N89" i="9" a="1"/>
  <c r="N89" i="9" s="1"/>
  <c r="I89" i="9" a="1"/>
  <c r="I89" i="9" s="1"/>
  <c r="AS89" i="9" a="1"/>
  <c r="AS89" i="9" s="1"/>
  <c r="AN89" i="9" a="1"/>
  <c r="AN89" i="9" s="1"/>
  <c r="AH89" i="9" a="1"/>
  <c r="AH89" i="9" s="1"/>
  <c r="AC89" i="9" a="1"/>
  <c r="AC89" i="9" s="1"/>
  <c r="X89" i="9" a="1"/>
  <c r="X89" i="9" s="1"/>
  <c r="R89" i="9" a="1"/>
  <c r="R89" i="9" s="1"/>
  <c r="M89" i="9" a="1"/>
  <c r="M89" i="9" s="1"/>
  <c r="H89" i="9" a="1"/>
  <c r="H89" i="9" s="1"/>
  <c r="AW89" i="9" a="1"/>
  <c r="AW89" i="9" s="1"/>
  <c r="AL89" i="9" a="1"/>
  <c r="AL89" i="9" s="1"/>
  <c r="AB89" i="9" a="1"/>
  <c r="AB89" i="9" s="1"/>
  <c r="Q89" i="9" a="1"/>
  <c r="Q89" i="9" s="1"/>
  <c r="F89" i="9" a="1"/>
  <c r="F89" i="9" s="1"/>
  <c r="AV89" i="9" a="1"/>
  <c r="AV89" i="9" s="1"/>
  <c r="AK89" i="9" a="1"/>
  <c r="AK89" i="9" s="1"/>
  <c r="Z89" i="9" a="1"/>
  <c r="Z89" i="9" s="1"/>
  <c r="P89" i="9" a="1"/>
  <c r="P89" i="9" s="1"/>
  <c r="E89" i="9" a="1"/>
  <c r="E89" i="9" s="1"/>
  <c r="AR89" i="9" a="1"/>
  <c r="AR89" i="9" s="1"/>
  <c r="V89" i="9" a="1"/>
  <c r="V89" i="9" s="1"/>
  <c r="AP89" i="9" a="1"/>
  <c r="AP89" i="9" s="1"/>
  <c r="U89" i="9" a="1"/>
  <c r="U89" i="9" s="1"/>
  <c r="L89" i="9" a="1"/>
  <c r="L89" i="9" s="1"/>
  <c r="J89" i="9" a="1"/>
  <c r="J89" i="9" s="1"/>
  <c r="AG89" i="9" a="1"/>
  <c r="AG89" i="9" s="1"/>
  <c r="AF89" i="9" a="1"/>
  <c r="AF89" i="9" s="1"/>
  <c r="AT85" i="9" a="1"/>
  <c r="AT85" i="9" s="1"/>
  <c r="AP85" i="9" a="1"/>
  <c r="AP85" i="9" s="1"/>
  <c r="AL85" i="9" a="1"/>
  <c r="AL85" i="9" s="1"/>
  <c r="AH85" i="9" a="1"/>
  <c r="AH85" i="9" s="1"/>
  <c r="AD85" i="9" a="1"/>
  <c r="AD85" i="9" s="1"/>
  <c r="Z85" i="9" a="1"/>
  <c r="Z85" i="9" s="1"/>
  <c r="V85" i="9" a="1"/>
  <c r="V85" i="9" s="1"/>
  <c r="R85" i="9" a="1"/>
  <c r="R85" i="9" s="1"/>
  <c r="N85" i="9" a="1"/>
  <c r="N85" i="9" s="1"/>
  <c r="J85" i="9" a="1"/>
  <c r="J85" i="9" s="1"/>
  <c r="F85" i="9" a="1"/>
  <c r="F85" i="9" s="1"/>
  <c r="AW85" i="9" a="1"/>
  <c r="AW85" i="9" s="1"/>
  <c r="AS85" i="9" a="1"/>
  <c r="AS85" i="9" s="1"/>
  <c r="AO85" i="9" a="1"/>
  <c r="AO85" i="9" s="1"/>
  <c r="AK85" i="9" a="1"/>
  <c r="AK85" i="9" s="1"/>
  <c r="AG85" i="9" a="1"/>
  <c r="AG85" i="9" s="1"/>
  <c r="AC85" i="9" a="1"/>
  <c r="AC85" i="9" s="1"/>
  <c r="Y85" i="9" a="1"/>
  <c r="Y85" i="9" s="1"/>
  <c r="U85" i="9" a="1"/>
  <c r="U85" i="9" s="1"/>
  <c r="Q85" i="9" a="1"/>
  <c r="Q85" i="9" s="1"/>
  <c r="M85" i="9" a="1"/>
  <c r="M85" i="9" s="1"/>
  <c r="I85" i="9" a="1"/>
  <c r="I85" i="9" s="1"/>
  <c r="E85" i="9" a="1"/>
  <c r="E85" i="9" s="1"/>
  <c r="AR85" i="9" a="1"/>
  <c r="AR85" i="9" s="1"/>
  <c r="AJ85" i="9" a="1"/>
  <c r="AJ85" i="9" s="1"/>
  <c r="AB85" i="9" a="1"/>
  <c r="AB85" i="9" s="1"/>
  <c r="T85" i="9" a="1"/>
  <c r="T85" i="9" s="1"/>
  <c r="L85" i="9" a="1"/>
  <c r="L85" i="9" s="1"/>
  <c r="AQ85" i="9" a="1"/>
  <c r="AQ85" i="9" s="1"/>
  <c r="AI85" i="9" a="1"/>
  <c r="AI85" i="9" s="1"/>
  <c r="AA85" i="9" a="1"/>
  <c r="AA85" i="9" s="1"/>
  <c r="S85" i="9" a="1"/>
  <c r="S85" i="9" s="1"/>
  <c r="K85" i="9" a="1"/>
  <c r="K85" i="9" s="1"/>
  <c r="AV85" i="9" a="1"/>
  <c r="AV85" i="9" s="1"/>
  <c r="AF85" i="9" a="1"/>
  <c r="AF85" i="9" s="1"/>
  <c r="P85" i="9" a="1"/>
  <c r="P85" i="9" s="1"/>
  <c r="AU85" i="9" a="1"/>
  <c r="AU85" i="9" s="1"/>
  <c r="AE85" i="9" a="1"/>
  <c r="AE85" i="9" s="1"/>
  <c r="O85" i="9" a="1"/>
  <c r="O85" i="9" s="1"/>
  <c r="X85" i="9" a="1"/>
  <c r="X85" i="9" s="1"/>
  <c r="W85" i="9" a="1"/>
  <c r="W85" i="9" s="1"/>
  <c r="AN85" i="9" a="1"/>
  <c r="AN85" i="9" s="1"/>
  <c r="AM85" i="9" a="1"/>
  <c r="AM85" i="9" s="1"/>
  <c r="H85" i="9" a="1"/>
  <c r="H85" i="9" s="1"/>
  <c r="G85" i="9" a="1"/>
  <c r="G85" i="9" s="1"/>
  <c r="AU81" i="9" a="1"/>
  <c r="AU81" i="9" s="1"/>
  <c r="AQ81" i="9" a="1"/>
  <c r="AQ81" i="9" s="1"/>
  <c r="AM81" i="9" a="1"/>
  <c r="AM81" i="9" s="1"/>
  <c r="AI81" i="9" a="1"/>
  <c r="AI81" i="9" s="1"/>
  <c r="AE81" i="9" a="1"/>
  <c r="AE81" i="9" s="1"/>
  <c r="AA81" i="9" a="1"/>
  <c r="AA81" i="9" s="1"/>
  <c r="W81" i="9" a="1"/>
  <c r="W81" i="9" s="1"/>
  <c r="S81" i="9" a="1"/>
  <c r="S81" i="9" s="1"/>
  <c r="O81" i="9" a="1"/>
  <c r="O81" i="9" s="1"/>
  <c r="K81" i="9" a="1"/>
  <c r="K81" i="9" s="1"/>
  <c r="G81" i="9" a="1"/>
  <c r="G81" i="9" s="1"/>
  <c r="AW81" i="9" a="1"/>
  <c r="AW81" i="9" s="1"/>
  <c r="AR81" i="9" a="1"/>
  <c r="AR81" i="9" s="1"/>
  <c r="AL81" i="9" a="1"/>
  <c r="AL81" i="9" s="1"/>
  <c r="AG81" i="9" a="1"/>
  <c r="AG81" i="9" s="1"/>
  <c r="AB81" i="9" a="1"/>
  <c r="AB81" i="9" s="1"/>
  <c r="V81" i="9" a="1"/>
  <c r="V81" i="9" s="1"/>
  <c r="Q81" i="9" a="1"/>
  <c r="Q81" i="9" s="1"/>
  <c r="L81" i="9" a="1"/>
  <c r="L81" i="9" s="1"/>
  <c r="F81" i="9" a="1"/>
  <c r="F81" i="9" s="1"/>
  <c r="AV81" i="9" a="1"/>
  <c r="AV81" i="9" s="1"/>
  <c r="AP81" i="9" a="1"/>
  <c r="AP81" i="9" s="1"/>
  <c r="AK81" i="9" a="1"/>
  <c r="AK81" i="9" s="1"/>
  <c r="AF81" i="9" a="1"/>
  <c r="AF81" i="9" s="1"/>
  <c r="Z81" i="9" a="1"/>
  <c r="Z81" i="9" s="1"/>
  <c r="U81" i="9" a="1"/>
  <c r="U81" i="9" s="1"/>
  <c r="P81" i="9" a="1"/>
  <c r="P81" i="9" s="1"/>
  <c r="J81" i="9" a="1"/>
  <c r="J81" i="9" s="1"/>
  <c r="E81" i="9" a="1"/>
  <c r="E81" i="9" s="1"/>
  <c r="AO81" i="9" a="1"/>
  <c r="AO81" i="9" s="1"/>
  <c r="AD81" i="9" a="1"/>
  <c r="AD81" i="9" s="1"/>
  <c r="T81" i="9" a="1"/>
  <c r="T81" i="9" s="1"/>
  <c r="I81" i="9" a="1"/>
  <c r="I81" i="9" s="1"/>
  <c r="AN81" i="9" a="1"/>
  <c r="AN81" i="9" s="1"/>
  <c r="AC81" i="9" a="1"/>
  <c r="AC81" i="9" s="1"/>
  <c r="R81" i="9" a="1"/>
  <c r="R81" i="9" s="1"/>
  <c r="H81" i="9" a="1"/>
  <c r="H81" i="9" s="1"/>
  <c r="AT81" i="9" a="1"/>
  <c r="AT81" i="9" s="1"/>
  <c r="Y81" i="9" a="1"/>
  <c r="Y81" i="9" s="1"/>
  <c r="AS81" i="9" a="1"/>
  <c r="AS81" i="9" s="1"/>
  <c r="X81" i="9" a="1"/>
  <c r="X81" i="9" s="1"/>
  <c r="AJ81" i="9" a="1"/>
  <c r="AJ81" i="9" s="1"/>
  <c r="AH81" i="9" a="1"/>
  <c r="AH81" i="9" s="1"/>
  <c r="N81" i="9" a="1"/>
  <c r="N81" i="9" s="1"/>
  <c r="M81" i="9" a="1"/>
  <c r="M81" i="9" s="1"/>
  <c r="AU77" i="9" a="1"/>
  <c r="AU77" i="9" s="1"/>
  <c r="AQ77" i="9" a="1"/>
  <c r="AQ77" i="9" s="1"/>
  <c r="AM77" i="9" a="1"/>
  <c r="AM77" i="9" s="1"/>
  <c r="AI77" i="9" a="1"/>
  <c r="AI77" i="9" s="1"/>
  <c r="AE77" i="9" a="1"/>
  <c r="AE77" i="9" s="1"/>
  <c r="AA77" i="9" a="1"/>
  <c r="AA77" i="9" s="1"/>
  <c r="W77" i="9" a="1"/>
  <c r="W77" i="9" s="1"/>
  <c r="S77" i="9" a="1"/>
  <c r="S77" i="9" s="1"/>
  <c r="O77" i="9" a="1"/>
  <c r="O77" i="9" s="1"/>
  <c r="K77" i="9" a="1"/>
  <c r="K77" i="9" s="1"/>
  <c r="G77" i="9" a="1"/>
  <c r="G77" i="9" s="1"/>
  <c r="AV77" i="9" a="1"/>
  <c r="AV77" i="9" s="1"/>
  <c r="AP77" i="9" a="1"/>
  <c r="AP77" i="9" s="1"/>
  <c r="AK77" i="9" a="1"/>
  <c r="AK77" i="9" s="1"/>
  <c r="AF77" i="9" a="1"/>
  <c r="AF77" i="9" s="1"/>
  <c r="Z77" i="9" a="1"/>
  <c r="Z77" i="9" s="1"/>
  <c r="U77" i="9" a="1"/>
  <c r="U77" i="9" s="1"/>
  <c r="P77" i="9" a="1"/>
  <c r="P77" i="9" s="1"/>
  <c r="J77" i="9" a="1"/>
  <c r="J77" i="9" s="1"/>
  <c r="E77" i="9" a="1"/>
  <c r="E77" i="9" s="1"/>
  <c r="AT77" i="9" a="1"/>
  <c r="AT77" i="9" s="1"/>
  <c r="AO77" i="9" a="1"/>
  <c r="AO77" i="9" s="1"/>
  <c r="AJ77" i="9" a="1"/>
  <c r="AJ77" i="9" s="1"/>
  <c r="AD77" i="9" a="1"/>
  <c r="AD77" i="9" s="1"/>
  <c r="Y77" i="9" a="1"/>
  <c r="Y77" i="9" s="1"/>
  <c r="T77" i="9" a="1"/>
  <c r="T77" i="9" s="1"/>
  <c r="N77" i="9" a="1"/>
  <c r="N77" i="9" s="1"/>
  <c r="I77" i="9" a="1"/>
  <c r="I77" i="9" s="1"/>
  <c r="AN77" i="9" a="1"/>
  <c r="AN77" i="9" s="1"/>
  <c r="AC77" i="9" a="1"/>
  <c r="AC77" i="9" s="1"/>
  <c r="R77" i="9" a="1"/>
  <c r="R77" i="9" s="1"/>
  <c r="H77" i="9" a="1"/>
  <c r="H77" i="9" s="1"/>
  <c r="AW77" i="9" a="1"/>
  <c r="AW77" i="9" s="1"/>
  <c r="AL77" i="9" a="1"/>
  <c r="AL77" i="9" s="1"/>
  <c r="AB77" i="9" a="1"/>
  <c r="AB77" i="9" s="1"/>
  <c r="Q77" i="9" a="1"/>
  <c r="Q77" i="9" s="1"/>
  <c r="F77" i="9" a="1"/>
  <c r="F77" i="9" s="1"/>
  <c r="AH77" i="9" a="1"/>
  <c r="AH77" i="9" s="1"/>
  <c r="M77" i="9" a="1"/>
  <c r="M77" i="9" s="1"/>
  <c r="AG77" i="9" a="1"/>
  <c r="AG77" i="9" s="1"/>
  <c r="L77" i="9" a="1"/>
  <c r="L77" i="9" s="1"/>
  <c r="AS77" i="9" a="1"/>
  <c r="AS77" i="9" s="1"/>
  <c r="AR77" i="9" a="1"/>
  <c r="AR77" i="9" s="1"/>
  <c r="X77" i="9" a="1"/>
  <c r="X77" i="9" s="1"/>
  <c r="V77" i="9" a="1"/>
  <c r="V77" i="9" s="1"/>
  <c r="AU73" i="9" a="1"/>
  <c r="AU73" i="9" s="1"/>
  <c r="AQ73" i="9" a="1"/>
  <c r="AQ73" i="9" s="1"/>
  <c r="AM73" i="9" a="1"/>
  <c r="AM73" i="9" s="1"/>
  <c r="AI73" i="9" a="1"/>
  <c r="AI73" i="9" s="1"/>
  <c r="AE73" i="9" a="1"/>
  <c r="AE73" i="9" s="1"/>
  <c r="AA73" i="9" a="1"/>
  <c r="AA73" i="9" s="1"/>
  <c r="W73" i="9" a="1"/>
  <c r="W73" i="9" s="1"/>
  <c r="S73" i="9" a="1"/>
  <c r="S73" i="9" s="1"/>
  <c r="AT73" i="9" a="1"/>
  <c r="AT73" i="9" s="1"/>
  <c r="AO73" i="9" a="1"/>
  <c r="AO73" i="9" s="1"/>
  <c r="AJ73" i="9" a="1"/>
  <c r="AJ73" i="9" s="1"/>
  <c r="AD73" i="9" a="1"/>
  <c r="AD73" i="9" s="1"/>
  <c r="Y73" i="9" a="1"/>
  <c r="Y73" i="9" s="1"/>
  <c r="T73" i="9" a="1"/>
  <c r="T73" i="9" s="1"/>
  <c r="O73" i="9" a="1"/>
  <c r="O73" i="9" s="1"/>
  <c r="K73" i="9" a="1"/>
  <c r="K73" i="9" s="1"/>
  <c r="G73" i="9" a="1"/>
  <c r="G73" i="9" s="1"/>
  <c r="AS73" i="9" a="1"/>
  <c r="AS73" i="9" s="1"/>
  <c r="AN73" i="9" a="1"/>
  <c r="AN73" i="9" s="1"/>
  <c r="AH73" i="9" a="1"/>
  <c r="AH73" i="9" s="1"/>
  <c r="AC73" i="9" a="1"/>
  <c r="AC73" i="9" s="1"/>
  <c r="X73" i="9" a="1"/>
  <c r="X73" i="9" s="1"/>
  <c r="R73" i="9" a="1"/>
  <c r="R73" i="9" s="1"/>
  <c r="N73" i="9" a="1"/>
  <c r="N73" i="9" s="1"/>
  <c r="J73" i="9" a="1"/>
  <c r="J73" i="9" s="1"/>
  <c r="F73" i="9" a="1"/>
  <c r="F73" i="9" s="1"/>
  <c r="AW73" i="9" a="1"/>
  <c r="AW73" i="9" s="1"/>
  <c r="AL73" i="9" a="1"/>
  <c r="AL73" i="9" s="1"/>
  <c r="AB73" i="9" a="1"/>
  <c r="AB73" i="9" s="1"/>
  <c r="Q73" i="9" a="1"/>
  <c r="Q73" i="9" s="1"/>
  <c r="I73" i="9" a="1"/>
  <c r="I73" i="9" s="1"/>
  <c r="AV73" i="9" a="1"/>
  <c r="AV73" i="9" s="1"/>
  <c r="AK73" i="9" a="1"/>
  <c r="AK73" i="9" s="1"/>
  <c r="Z73" i="9" a="1"/>
  <c r="Z73" i="9" s="1"/>
  <c r="P73" i="9" a="1"/>
  <c r="P73" i="9" s="1"/>
  <c r="H73" i="9" a="1"/>
  <c r="H73" i="9" s="1"/>
  <c r="AR73" i="9" a="1"/>
  <c r="AR73" i="9" s="1"/>
  <c r="V73" i="9" a="1"/>
  <c r="V73" i="9" s="1"/>
  <c r="E73" i="9" a="1"/>
  <c r="E73" i="9" s="1"/>
  <c r="AP73" i="9" a="1"/>
  <c r="AP73" i="9" s="1"/>
  <c r="U73" i="9" a="1"/>
  <c r="U73" i="9" s="1"/>
  <c r="M73" i="9" a="1"/>
  <c r="M73" i="9" s="1"/>
  <c r="L73" i="9" a="1"/>
  <c r="L73" i="9" s="1"/>
  <c r="AG73" i="9" a="1"/>
  <c r="AG73" i="9" s="1"/>
  <c r="AF73" i="9" a="1"/>
  <c r="AF73" i="9" s="1"/>
  <c r="AU69" i="9" a="1"/>
  <c r="AU69" i="9" s="1"/>
  <c r="AQ69" i="9" a="1"/>
  <c r="AQ69" i="9" s="1"/>
  <c r="AM69" i="9" a="1"/>
  <c r="AM69" i="9" s="1"/>
  <c r="AI69" i="9" a="1"/>
  <c r="AI69" i="9" s="1"/>
  <c r="AE69" i="9" a="1"/>
  <c r="AE69" i="9" s="1"/>
  <c r="AA69" i="9" a="1"/>
  <c r="AA69" i="9" s="1"/>
  <c r="W69" i="9" a="1"/>
  <c r="W69" i="9" s="1"/>
  <c r="S69" i="9" a="1"/>
  <c r="S69" i="9" s="1"/>
  <c r="O69" i="9" a="1"/>
  <c r="O69" i="9" s="1"/>
  <c r="K69" i="9" a="1"/>
  <c r="K69" i="9" s="1"/>
  <c r="G69" i="9" a="1"/>
  <c r="G69" i="9" s="1"/>
  <c r="AT69" i="9" a="1"/>
  <c r="AT69" i="9" s="1"/>
  <c r="AP69" i="9" a="1"/>
  <c r="AP69" i="9" s="1"/>
  <c r="AL69" i="9" a="1"/>
  <c r="AL69" i="9" s="1"/>
  <c r="AH69" i="9" a="1"/>
  <c r="AH69" i="9" s="1"/>
  <c r="AD69" i="9" a="1"/>
  <c r="AD69" i="9" s="1"/>
  <c r="Z69" i="9" a="1"/>
  <c r="Z69" i="9" s="1"/>
  <c r="V69" i="9" a="1"/>
  <c r="V69" i="9" s="1"/>
  <c r="R69" i="9" a="1"/>
  <c r="R69" i="9" s="1"/>
  <c r="N69" i="9" a="1"/>
  <c r="N69" i="9" s="1"/>
  <c r="J69" i="9" a="1"/>
  <c r="J69" i="9" s="1"/>
  <c r="F69" i="9" a="1"/>
  <c r="F69" i="9" s="1"/>
  <c r="AS69" i="9" a="1"/>
  <c r="AS69" i="9" s="1"/>
  <c r="AK69" i="9" a="1"/>
  <c r="AK69" i="9" s="1"/>
  <c r="AC69" i="9" a="1"/>
  <c r="AC69" i="9" s="1"/>
  <c r="U69" i="9" a="1"/>
  <c r="U69" i="9" s="1"/>
  <c r="M69" i="9" a="1"/>
  <c r="M69" i="9" s="1"/>
  <c r="E69" i="9" a="1"/>
  <c r="E69" i="9" s="1"/>
  <c r="AR69" i="9" a="1"/>
  <c r="AR69" i="9" s="1"/>
  <c r="AJ69" i="9" a="1"/>
  <c r="AJ69" i="9" s="1"/>
  <c r="AB69" i="9" a="1"/>
  <c r="AB69" i="9" s="1"/>
  <c r="T69" i="9" a="1"/>
  <c r="T69" i="9" s="1"/>
  <c r="L69" i="9" a="1"/>
  <c r="L69" i="9" s="1"/>
  <c r="AO69" i="9" a="1"/>
  <c r="AO69" i="9" s="1"/>
  <c r="Y69" i="9" a="1"/>
  <c r="Y69" i="9" s="1"/>
  <c r="I69" i="9" a="1"/>
  <c r="I69" i="9" s="1"/>
  <c r="AN69" i="9" a="1"/>
  <c r="AN69" i="9" s="1"/>
  <c r="X69" i="9" a="1"/>
  <c r="X69" i="9" s="1"/>
  <c r="H69" i="9" a="1"/>
  <c r="H69" i="9" s="1"/>
  <c r="AG69" i="9" a="1"/>
  <c r="AG69" i="9" s="1"/>
  <c r="AF69" i="9" a="1"/>
  <c r="AF69" i="9" s="1"/>
  <c r="AW69" i="9" a="1"/>
  <c r="AW69" i="9" s="1"/>
  <c r="Q69" i="9" a="1"/>
  <c r="Q69" i="9" s="1"/>
  <c r="AV69" i="9" a="1"/>
  <c r="AV69" i="9" s="1"/>
  <c r="P69" i="9" a="1"/>
  <c r="P69" i="9" s="1"/>
  <c r="AV65" i="9" a="1"/>
  <c r="AV65" i="9" s="1"/>
  <c r="AR65" i="9" a="1"/>
  <c r="AR65" i="9" s="1"/>
  <c r="AN65" i="9" a="1"/>
  <c r="AN65" i="9" s="1"/>
  <c r="AJ65" i="9" a="1"/>
  <c r="AJ65" i="9" s="1"/>
  <c r="AF65" i="9" a="1"/>
  <c r="AF65" i="9" s="1"/>
  <c r="AB65" i="9" a="1"/>
  <c r="AB65" i="9" s="1"/>
  <c r="X65" i="9" a="1"/>
  <c r="X65" i="9" s="1"/>
  <c r="T65" i="9" a="1"/>
  <c r="T65" i="9" s="1"/>
  <c r="P65" i="9" a="1"/>
  <c r="P65" i="9" s="1"/>
  <c r="L65" i="9" a="1"/>
  <c r="L65" i="9" s="1"/>
  <c r="H65" i="9" a="1"/>
  <c r="H65" i="9" s="1"/>
  <c r="AU65" i="9" a="1"/>
  <c r="AU65" i="9" s="1"/>
  <c r="AQ65" i="9" a="1"/>
  <c r="AQ65" i="9" s="1"/>
  <c r="AM65" i="9" a="1"/>
  <c r="AM65" i="9" s="1"/>
  <c r="AI65" i="9" a="1"/>
  <c r="AI65" i="9" s="1"/>
  <c r="AE65" i="9" a="1"/>
  <c r="AE65" i="9" s="1"/>
  <c r="AA65" i="9" a="1"/>
  <c r="AA65" i="9" s="1"/>
  <c r="W65" i="9" a="1"/>
  <c r="W65" i="9" s="1"/>
  <c r="S65" i="9" a="1"/>
  <c r="S65" i="9" s="1"/>
  <c r="O65" i="9" a="1"/>
  <c r="O65" i="9" s="1"/>
  <c r="K65" i="9" a="1"/>
  <c r="K65" i="9" s="1"/>
  <c r="G65" i="9" a="1"/>
  <c r="G65" i="9" s="1"/>
  <c r="AT65" i="9" a="1"/>
  <c r="AT65" i="9" s="1"/>
  <c r="AL65" i="9" a="1"/>
  <c r="AL65" i="9" s="1"/>
  <c r="AD65" i="9" a="1"/>
  <c r="AD65" i="9" s="1"/>
  <c r="V65" i="9" a="1"/>
  <c r="V65" i="9" s="1"/>
  <c r="N65" i="9" a="1"/>
  <c r="N65" i="9" s="1"/>
  <c r="F65" i="9" a="1"/>
  <c r="F65" i="9" s="1"/>
  <c r="AS65" i="9" a="1"/>
  <c r="AS65" i="9" s="1"/>
  <c r="AK65" i="9" a="1"/>
  <c r="AK65" i="9" s="1"/>
  <c r="AC65" i="9" a="1"/>
  <c r="AC65" i="9" s="1"/>
  <c r="U65" i="9" a="1"/>
  <c r="U65" i="9" s="1"/>
  <c r="M65" i="9" a="1"/>
  <c r="M65" i="9" s="1"/>
  <c r="E65" i="9" a="1"/>
  <c r="E65" i="9" s="1"/>
  <c r="AP65" i="9" a="1"/>
  <c r="AP65" i="9" s="1"/>
  <c r="Z65" i="9" a="1"/>
  <c r="Z65" i="9" s="1"/>
  <c r="J65" i="9" a="1"/>
  <c r="J65" i="9" s="1"/>
  <c r="AO65" i="9" a="1"/>
  <c r="AO65" i="9" s="1"/>
  <c r="Y65" i="9" a="1"/>
  <c r="Y65" i="9" s="1"/>
  <c r="I65" i="9" a="1"/>
  <c r="I65" i="9" s="1"/>
  <c r="AH65" i="9" a="1"/>
  <c r="AH65" i="9" s="1"/>
  <c r="R65" i="9" a="1"/>
  <c r="R65" i="9" s="1"/>
  <c r="AG65" i="9" a="1"/>
  <c r="AG65" i="9" s="1"/>
  <c r="Q65" i="9" a="1"/>
  <c r="Q65" i="9" s="1"/>
  <c r="AW65" i="9" a="1"/>
  <c r="AW65" i="9" s="1"/>
  <c r="CQ23" i="9" a="1"/>
  <c r="CQ23" i="9" s="1"/>
  <c r="CM23" i="9" a="1"/>
  <c r="CM23" i="9" s="1"/>
  <c r="CI23" i="9" a="1"/>
  <c r="CI23" i="9" s="1"/>
  <c r="CD23" i="9" a="1"/>
  <c r="CD23" i="9" s="1"/>
  <c r="BZ23" i="9" a="1"/>
  <c r="BZ23" i="9" s="1"/>
  <c r="BV23" i="9" a="1"/>
  <c r="BV23" i="9" s="1"/>
  <c r="BR23" i="9" a="1"/>
  <c r="BR23" i="9" s="1"/>
  <c r="BN23" i="9" a="1"/>
  <c r="BN23" i="9" s="1"/>
  <c r="BJ23" i="9" a="1"/>
  <c r="BJ23" i="9" s="1"/>
  <c r="BF23" i="9" a="1"/>
  <c r="BF23" i="9" s="1"/>
  <c r="BB23" i="9" a="1"/>
  <c r="BB23" i="9" s="1"/>
  <c r="AX23" i="9" a="1"/>
  <c r="AX23" i="9" s="1"/>
  <c r="AT23" i="9" a="1"/>
  <c r="AT23" i="9" s="1"/>
  <c r="AP23" i="9" a="1"/>
  <c r="AP23" i="9" s="1"/>
  <c r="AL23" i="9" a="1"/>
  <c r="AL23" i="9" s="1"/>
  <c r="AH23" i="9" a="1"/>
  <c r="AH23" i="9" s="1"/>
  <c r="AD23" i="9" a="1"/>
  <c r="AD23" i="9" s="1"/>
  <c r="Z23" i="9" a="1"/>
  <c r="Z23" i="9" s="1"/>
  <c r="V23" i="9" a="1"/>
  <c r="V23" i="9" s="1"/>
  <c r="R23" i="9" a="1"/>
  <c r="R23" i="9" s="1"/>
  <c r="N23" i="9" a="1"/>
  <c r="N23" i="9" s="1"/>
  <c r="J23" i="9" a="1"/>
  <c r="J23" i="9" s="1"/>
  <c r="F23" i="9" a="1"/>
  <c r="F23" i="9" s="1"/>
  <c r="CP23" i="9" a="1"/>
  <c r="CP23" i="9" s="1"/>
  <c r="CL23" i="9" a="1"/>
  <c r="CL23" i="9" s="1"/>
  <c r="CH23" i="9" a="1"/>
  <c r="CH23" i="9" s="1"/>
  <c r="CC23" i="9" a="1"/>
  <c r="CC23" i="9" s="1"/>
  <c r="BY23" i="9" a="1"/>
  <c r="BY23" i="9" s="1"/>
  <c r="BU23" i="9" a="1"/>
  <c r="BU23" i="9" s="1"/>
  <c r="BQ23" i="9" a="1"/>
  <c r="BQ23" i="9" s="1"/>
  <c r="BM23" i="9" a="1"/>
  <c r="BM23" i="9" s="1"/>
  <c r="BI23" i="9" a="1"/>
  <c r="BI23" i="9" s="1"/>
  <c r="BE23" i="9" a="1"/>
  <c r="BE23" i="9" s="1"/>
  <c r="BA23" i="9" a="1"/>
  <c r="BA23" i="9" s="1"/>
  <c r="AW23" i="9" a="1"/>
  <c r="AW23" i="9" s="1"/>
  <c r="AS23" i="9" a="1"/>
  <c r="AS23" i="9" s="1"/>
  <c r="AO23" i="9" a="1"/>
  <c r="AO23" i="9" s="1"/>
  <c r="AK23" i="9" a="1"/>
  <c r="AK23" i="9" s="1"/>
  <c r="AG23" i="9" a="1"/>
  <c r="AG23" i="9" s="1"/>
  <c r="AC23" i="9" a="1"/>
  <c r="AC23" i="9" s="1"/>
  <c r="Y23" i="9" a="1"/>
  <c r="Y23" i="9" s="1"/>
  <c r="U23" i="9" a="1"/>
  <c r="U23" i="9" s="1"/>
  <c r="Q23" i="9" a="1"/>
  <c r="Q23" i="9" s="1"/>
  <c r="M23" i="9" a="1"/>
  <c r="M23" i="9" s="1"/>
  <c r="I23" i="9" a="1"/>
  <c r="I23" i="9" s="1"/>
  <c r="E23" i="9" a="1"/>
  <c r="E23" i="9" s="1"/>
  <c r="CR23" i="9" a="1"/>
  <c r="CR23" i="9" s="1"/>
  <c r="CJ23" i="9" a="1"/>
  <c r="CJ23" i="9" s="1"/>
  <c r="CA23" i="9" a="1"/>
  <c r="CA23" i="9" s="1"/>
  <c r="BS23" i="9" a="1"/>
  <c r="BS23" i="9" s="1"/>
  <c r="BK23" i="9" a="1"/>
  <c r="BK23" i="9" s="1"/>
  <c r="BC23" i="9" a="1"/>
  <c r="BC23" i="9" s="1"/>
  <c r="AU23" i="9" a="1"/>
  <c r="AU23" i="9" s="1"/>
  <c r="AM23" i="9" a="1"/>
  <c r="AM23" i="9" s="1"/>
  <c r="AE23" i="9" a="1"/>
  <c r="AE23" i="9" s="1"/>
  <c r="W23" i="9" a="1"/>
  <c r="W23" i="9" s="1"/>
  <c r="O23" i="9" a="1"/>
  <c r="O23" i="9" s="1"/>
  <c r="G23" i="9" a="1"/>
  <c r="G23" i="9" s="1"/>
  <c r="CO23" i="9" a="1"/>
  <c r="CO23" i="9" s="1"/>
  <c r="CF23" i="9" a="1"/>
  <c r="CF23" i="9" s="1"/>
  <c r="BX23" i="9" a="1"/>
  <c r="BX23" i="9" s="1"/>
  <c r="BP23" i="9" a="1"/>
  <c r="BP23" i="9" s="1"/>
  <c r="BH23" i="9" a="1"/>
  <c r="BH23" i="9" s="1"/>
  <c r="AZ23" i="9" a="1"/>
  <c r="AZ23" i="9" s="1"/>
  <c r="AR23" i="9" a="1"/>
  <c r="AR23" i="9" s="1"/>
  <c r="AJ23" i="9" a="1"/>
  <c r="AJ23" i="9" s="1"/>
  <c r="AB23" i="9" a="1"/>
  <c r="AB23" i="9" s="1"/>
  <c r="T23" i="9" a="1"/>
  <c r="T23" i="9" s="1"/>
  <c r="L23" i="9" a="1"/>
  <c r="L23" i="9" s="1"/>
  <c r="CN23" i="9" a="1"/>
  <c r="CN23" i="9" s="1"/>
  <c r="CE23" i="9" a="1"/>
  <c r="CE23" i="9" s="1"/>
  <c r="BW23" i="9" a="1"/>
  <c r="BW23" i="9" s="1"/>
  <c r="BO23" i="9" a="1"/>
  <c r="BO23" i="9" s="1"/>
  <c r="BG23" i="9" a="1"/>
  <c r="BG23" i="9" s="1"/>
  <c r="AY23" i="9" a="1"/>
  <c r="AY23" i="9" s="1"/>
  <c r="AQ23" i="9" a="1"/>
  <c r="AQ23" i="9" s="1"/>
  <c r="AI23" i="9" a="1"/>
  <c r="AI23" i="9" s="1"/>
  <c r="AA23" i="9" a="1"/>
  <c r="AA23" i="9" s="1"/>
  <c r="S23" i="9" a="1"/>
  <c r="S23" i="9" s="1"/>
  <c r="K23" i="9" a="1"/>
  <c r="K23" i="9" s="1"/>
  <c r="CK23" i="9" a="1"/>
  <c r="CK23" i="9" s="1"/>
  <c r="CB23" i="9" a="1"/>
  <c r="CB23" i="9" s="1"/>
  <c r="BT23" i="9" a="1"/>
  <c r="BT23" i="9" s="1"/>
  <c r="BL23" i="9" a="1"/>
  <c r="BL23" i="9" s="1"/>
  <c r="BD23" i="9" a="1"/>
  <c r="BD23" i="9" s="1"/>
  <c r="AV23" i="9" a="1"/>
  <c r="AV23" i="9" s="1"/>
  <c r="AN23" i="9" a="1"/>
  <c r="AN23" i="9" s="1"/>
  <c r="AF23" i="9" a="1"/>
  <c r="AF23" i="9" s="1"/>
  <c r="X23" i="9" a="1"/>
  <c r="X23" i="9" s="1"/>
  <c r="P23" i="9" a="1"/>
  <c r="P23" i="9" s="1"/>
  <c r="H23" i="9" a="1"/>
  <c r="H23" i="9" s="1"/>
  <c r="CQ27" i="9" a="1"/>
  <c r="CQ27" i="9" s="1"/>
  <c r="CM27" i="9" a="1"/>
  <c r="CM27" i="9" s="1"/>
  <c r="CI27" i="9" a="1"/>
  <c r="CI27" i="9" s="1"/>
  <c r="CD27" i="9" a="1"/>
  <c r="CD27" i="9" s="1"/>
  <c r="BZ27" i="9" a="1"/>
  <c r="BZ27" i="9" s="1"/>
  <c r="BV27" i="9" a="1"/>
  <c r="BV27" i="9" s="1"/>
  <c r="BR27" i="9" a="1"/>
  <c r="BR27" i="9" s="1"/>
  <c r="BN27" i="9" a="1"/>
  <c r="BN27" i="9" s="1"/>
  <c r="BJ27" i="9" a="1"/>
  <c r="BJ27" i="9" s="1"/>
  <c r="BF27" i="9" a="1"/>
  <c r="BF27" i="9" s="1"/>
  <c r="BB27" i="9" a="1"/>
  <c r="BB27" i="9" s="1"/>
  <c r="AX27" i="9" a="1"/>
  <c r="AX27" i="9" s="1"/>
  <c r="AT27" i="9" a="1"/>
  <c r="AT27" i="9" s="1"/>
  <c r="AP27" i="9" a="1"/>
  <c r="AP27" i="9" s="1"/>
  <c r="AL27" i="9" a="1"/>
  <c r="AL27" i="9" s="1"/>
  <c r="AH27" i="9" a="1"/>
  <c r="AH27" i="9" s="1"/>
  <c r="AD27" i="9" a="1"/>
  <c r="AD27" i="9" s="1"/>
  <c r="Z27" i="9" a="1"/>
  <c r="Z27" i="9" s="1"/>
  <c r="V27" i="9" a="1"/>
  <c r="V27" i="9" s="1"/>
  <c r="R27" i="9" a="1"/>
  <c r="R27" i="9" s="1"/>
  <c r="N27" i="9" a="1"/>
  <c r="N27" i="9" s="1"/>
  <c r="J27" i="9" a="1"/>
  <c r="J27" i="9" s="1"/>
  <c r="F27" i="9" a="1"/>
  <c r="F27" i="9" s="1"/>
  <c r="CP27" i="9" a="1"/>
  <c r="CP27" i="9" s="1"/>
  <c r="CL27" i="9" a="1"/>
  <c r="CL27" i="9" s="1"/>
  <c r="CH27" i="9" a="1"/>
  <c r="CH27" i="9" s="1"/>
  <c r="CC27" i="9" a="1"/>
  <c r="CC27" i="9" s="1"/>
  <c r="BY27" i="9" a="1"/>
  <c r="BY27" i="9" s="1"/>
  <c r="BU27" i="9" a="1"/>
  <c r="BU27" i="9" s="1"/>
  <c r="BQ27" i="9" a="1"/>
  <c r="BQ27" i="9" s="1"/>
  <c r="BM27" i="9" a="1"/>
  <c r="BM27" i="9" s="1"/>
  <c r="BI27" i="9" a="1"/>
  <c r="BI27" i="9" s="1"/>
  <c r="BE27" i="9" a="1"/>
  <c r="BE27" i="9" s="1"/>
  <c r="BA27" i="9" a="1"/>
  <c r="BA27" i="9" s="1"/>
  <c r="AW27" i="9" a="1"/>
  <c r="AW27" i="9" s="1"/>
  <c r="AS27" i="9" a="1"/>
  <c r="AS27" i="9" s="1"/>
  <c r="AO27" i="9" a="1"/>
  <c r="AO27" i="9" s="1"/>
  <c r="AK27" i="9" a="1"/>
  <c r="AK27" i="9" s="1"/>
  <c r="AG27" i="9" a="1"/>
  <c r="AG27" i="9" s="1"/>
  <c r="AC27" i="9" a="1"/>
  <c r="AC27" i="9" s="1"/>
  <c r="Y27" i="9" a="1"/>
  <c r="Y27" i="9" s="1"/>
  <c r="U27" i="9" a="1"/>
  <c r="U27" i="9" s="1"/>
  <c r="Q27" i="9" a="1"/>
  <c r="Q27" i="9" s="1"/>
  <c r="M27" i="9" a="1"/>
  <c r="M27" i="9" s="1"/>
  <c r="I27" i="9" a="1"/>
  <c r="I27" i="9" s="1"/>
  <c r="E27" i="9" a="1"/>
  <c r="E27" i="9" s="1"/>
  <c r="CN27" i="9" a="1"/>
  <c r="CN27" i="9" s="1"/>
  <c r="CE27" i="9" a="1"/>
  <c r="CE27" i="9" s="1"/>
  <c r="BW27" i="9" a="1"/>
  <c r="BW27" i="9" s="1"/>
  <c r="BO27" i="9" a="1"/>
  <c r="BO27" i="9" s="1"/>
  <c r="BG27" i="9" a="1"/>
  <c r="BG27" i="9" s="1"/>
  <c r="AY27" i="9" a="1"/>
  <c r="AY27" i="9" s="1"/>
  <c r="AQ27" i="9" a="1"/>
  <c r="AQ27" i="9" s="1"/>
  <c r="AI27" i="9" a="1"/>
  <c r="AI27" i="9" s="1"/>
  <c r="AA27" i="9" a="1"/>
  <c r="AA27" i="9" s="1"/>
  <c r="S27" i="9" a="1"/>
  <c r="S27" i="9" s="1"/>
  <c r="K27" i="9" a="1"/>
  <c r="K27" i="9" s="1"/>
  <c r="CK27" i="9" a="1"/>
  <c r="CK27" i="9" s="1"/>
  <c r="CB27" i="9" a="1"/>
  <c r="CB27" i="9" s="1"/>
  <c r="BT27" i="9" a="1"/>
  <c r="BT27" i="9" s="1"/>
  <c r="BL27" i="9" a="1"/>
  <c r="BL27" i="9" s="1"/>
  <c r="BD27" i="9" a="1"/>
  <c r="BD27" i="9" s="1"/>
  <c r="AV27" i="9" a="1"/>
  <c r="AV27" i="9" s="1"/>
  <c r="AN27" i="9" a="1"/>
  <c r="AN27" i="9" s="1"/>
  <c r="AF27" i="9" a="1"/>
  <c r="AF27" i="9" s="1"/>
  <c r="X27" i="9" a="1"/>
  <c r="X27" i="9" s="1"/>
  <c r="P27" i="9" a="1"/>
  <c r="P27" i="9" s="1"/>
  <c r="H27" i="9" a="1"/>
  <c r="H27" i="9" s="1"/>
  <c r="CR27" i="9" a="1"/>
  <c r="CR27" i="9" s="1"/>
  <c r="CJ27" i="9" a="1"/>
  <c r="CJ27" i="9" s="1"/>
  <c r="CA27" i="9" a="1"/>
  <c r="CA27" i="9" s="1"/>
  <c r="BS27" i="9" a="1"/>
  <c r="BS27" i="9" s="1"/>
  <c r="BK27" i="9" a="1"/>
  <c r="BK27" i="9" s="1"/>
  <c r="BC27" i="9" a="1"/>
  <c r="BC27" i="9" s="1"/>
  <c r="AU27" i="9" a="1"/>
  <c r="AU27" i="9" s="1"/>
  <c r="AM27" i="9" a="1"/>
  <c r="AM27" i="9" s="1"/>
  <c r="AE27" i="9" a="1"/>
  <c r="AE27" i="9" s="1"/>
  <c r="W27" i="9" a="1"/>
  <c r="W27" i="9" s="1"/>
  <c r="O27" i="9" a="1"/>
  <c r="O27" i="9" s="1"/>
  <c r="G27" i="9" a="1"/>
  <c r="G27" i="9" s="1"/>
  <c r="CO27" i="9" a="1"/>
  <c r="CO27" i="9" s="1"/>
  <c r="CF27" i="9" a="1"/>
  <c r="CF27" i="9" s="1"/>
  <c r="BX27" i="9" a="1"/>
  <c r="BX27" i="9" s="1"/>
  <c r="BP27" i="9" a="1"/>
  <c r="BP27" i="9" s="1"/>
  <c r="BH27" i="9" a="1"/>
  <c r="BH27" i="9" s="1"/>
  <c r="AZ27" i="9" a="1"/>
  <c r="AZ27" i="9" s="1"/>
  <c r="AR27" i="9" a="1"/>
  <c r="AR27" i="9" s="1"/>
  <c r="AJ27" i="9" a="1"/>
  <c r="AJ27" i="9" s="1"/>
  <c r="AB27" i="9" a="1"/>
  <c r="AB27" i="9" s="1"/>
  <c r="T27" i="9" a="1"/>
  <c r="T27" i="9" s="1"/>
  <c r="L27" i="9" a="1"/>
  <c r="L27" i="9" s="1"/>
  <c r="CQ31" i="9" a="1"/>
  <c r="CQ31" i="9" s="1"/>
  <c r="CM31" i="9" a="1"/>
  <c r="CM31" i="9" s="1"/>
  <c r="CI31" i="9" a="1"/>
  <c r="CI31" i="9" s="1"/>
  <c r="CD31" i="9" a="1"/>
  <c r="CD31" i="9" s="1"/>
  <c r="BZ31" i="9" a="1"/>
  <c r="BZ31" i="9" s="1"/>
  <c r="BV31" i="9" a="1"/>
  <c r="BV31" i="9" s="1"/>
  <c r="BR31" i="9" a="1"/>
  <c r="BR31" i="9" s="1"/>
  <c r="BN31" i="9" a="1"/>
  <c r="BN31" i="9" s="1"/>
  <c r="BJ31" i="9" a="1"/>
  <c r="BJ31" i="9" s="1"/>
  <c r="BF31" i="9" a="1"/>
  <c r="BF31" i="9" s="1"/>
  <c r="BB31" i="9" a="1"/>
  <c r="BB31" i="9" s="1"/>
  <c r="AX31" i="9" a="1"/>
  <c r="AX31" i="9" s="1"/>
  <c r="AT31" i="9" a="1"/>
  <c r="AT31" i="9" s="1"/>
  <c r="AP31" i="9" a="1"/>
  <c r="AP31" i="9" s="1"/>
  <c r="AL31" i="9" a="1"/>
  <c r="AL31" i="9" s="1"/>
  <c r="AH31" i="9" a="1"/>
  <c r="AH31" i="9" s="1"/>
  <c r="AD31" i="9" a="1"/>
  <c r="AD31" i="9" s="1"/>
  <c r="Z31" i="9" a="1"/>
  <c r="Z31" i="9" s="1"/>
  <c r="V31" i="9" a="1"/>
  <c r="V31" i="9" s="1"/>
  <c r="R31" i="9" a="1"/>
  <c r="R31" i="9" s="1"/>
  <c r="N31" i="9" a="1"/>
  <c r="N31" i="9" s="1"/>
  <c r="J31" i="9" a="1"/>
  <c r="J31" i="9" s="1"/>
  <c r="F31" i="9" a="1"/>
  <c r="F31" i="9" s="1"/>
  <c r="CP31" i="9" a="1"/>
  <c r="CP31" i="9" s="1"/>
  <c r="CL31" i="9" a="1"/>
  <c r="CL31" i="9" s="1"/>
  <c r="CH31" i="9" a="1"/>
  <c r="CH31" i="9" s="1"/>
  <c r="CC31" i="9" a="1"/>
  <c r="CC31" i="9" s="1"/>
  <c r="BY31" i="9" a="1"/>
  <c r="BY31" i="9" s="1"/>
  <c r="BU31" i="9" a="1"/>
  <c r="BU31" i="9" s="1"/>
  <c r="BQ31" i="9" a="1"/>
  <c r="BQ31" i="9" s="1"/>
  <c r="BM31" i="9" a="1"/>
  <c r="BM31" i="9" s="1"/>
  <c r="BI31" i="9" a="1"/>
  <c r="BI31" i="9" s="1"/>
  <c r="BE31" i="9" a="1"/>
  <c r="BE31" i="9" s="1"/>
  <c r="BA31" i="9" a="1"/>
  <c r="BA31" i="9" s="1"/>
  <c r="AW31" i="9" a="1"/>
  <c r="AW31" i="9" s="1"/>
  <c r="AS31" i="9" a="1"/>
  <c r="AS31" i="9" s="1"/>
  <c r="AO31" i="9" a="1"/>
  <c r="AO31" i="9" s="1"/>
  <c r="AK31" i="9" a="1"/>
  <c r="AK31" i="9" s="1"/>
  <c r="AG31" i="9" a="1"/>
  <c r="AG31" i="9" s="1"/>
  <c r="AC31" i="9" a="1"/>
  <c r="AC31" i="9" s="1"/>
  <c r="Y31" i="9" a="1"/>
  <c r="Y31" i="9" s="1"/>
  <c r="U31" i="9" a="1"/>
  <c r="U31" i="9" s="1"/>
  <c r="Q31" i="9" a="1"/>
  <c r="Q31" i="9" s="1"/>
  <c r="M31" i="9" a="1"/>
  <c r="M31" i="9" s="1"/>
  <c r="I31" i="9" a="1"/>
  <c r="I31" i="9" s="1"/>
  <c r="E31" i="9" a="1"/>
  <c r="E31" i="9" s="1"/>
  <c r="CR31" i="9" a="1"/>
  <c r="CR31" i="9" s="1"/>
  <c r="CJ31" i="9" a="1"/>
  <c r="CJ31" i="9" s="1"/>
  <c r="CA31" i="9" a="1"/>
  <c r="CA31" i="9" s="1"/>
  <c r="BS31" i="9" a="1"/>
  <c r="BS31" i="9" s="1"/>
  <c r="BK31" i="9" a="1"/>
  <c r="BK31" i="9" s="1"/>
  <c r="BC31" i="9" a="1"/>
  <c r="BC31" i="9" s="1"/>
  <c r="AU31" i="9" a="1"/>
  <c r="AU31" i="9" s="1"/>
  <c r="AM31" i="9" a="1"/>
  <c r="AM31" i="9" s="1"/>
  <c r="AE31" i="9" a="1"/>
  <c r="AE31" i="9" s="1"/>
  <c r="W31" i="9" a="1"/>
  <c r="W31" i="9" s="1"/>
  <c r="O31" i="9" a="1"/>
  <c r="O31" i="9" s="1"/>
  <c r="G31" i="9" a="1"/>
  <c r="G31" i="9" s="1"/>
  <c r="CO31" i="9" a="1"/>
  <c r="CO31" i="9" s="1"/>
  <c r="CF31" i="9" a="1"/>
  <c r="CF31" i="9" s="1"/>
  <c r="BX31" i="9" a="1"/>
  <c r="BX31" i="9" s="1"/>
  <c r="BP31" i="9" a="1"/>
  <c r="BP31" i="9" s="1"/>
  <c r="BH31" i="9" a="1"/>
  <c r="BH31" i="9" s="1"/>
  <c r="AZ31" i="9" a="1"/>
  <c r="AZ31" i="9" s="1"/>
  <c r="AR31" i="9" a="1"/>
  <c r="AR31" i="9" s="1"/>
  <c r="AJ31" i="9" a="1"/>
  <c r="AJ31" i="9" s="1"/>
  <c r="AB31" i="9" a="1"/>
  <c r="AB31" i="9" s="1"/>
  <c r="T31" i="9" a="1"/>
  <c r="T31" i="9" s="1"/>
  <c r="L31" i="9" a="1"/>
  <c r="L31" i="9" s="1"/>
  <c r="CN31" i="9" a="1"/>
  <c r="CN31" i="9" s="1"/>
  <c r="CE31" i="9" a="1"/>
  <c r="CE31" i="9" s="1"/>
  <c r="BW31" i="9" a="1"/>
  <c r="BW31" i="9" s="1"/>
  <c r="BO31" i="9" a="1"/>
  <c r="BO31" i="9" s="1"/>
  <c r="BG31" i="9" a="1"/>
  <c r="BG31" i="9" s="1"/>
  <c r="AY31" i="9" a="1"/>
  <c r="AY31" i="9" s="1"/>
  <c r="AQ31" i="9" a="1"/>
  <c r="AQ31" i="9" s="1"/>
  <c r="AI31" i="9" a="1"/>
  <c r="AI31" i="9" s="1"/>
  <c r="AA31" i="9" a="1"/>
  <c r="AA31" i="9" s="1"/>
  <c r="S31" i="9" a="1"/>
  <c r="S31" i="9" s="1"/>
  <c r="K31" i="9" a="1"/>
  <c r="K31" i="9" s="1"/>
  <c r="CK31" i="9" a="1"/>
  <c r="CK31" i="9" s="1"/>
  <c r="CB31" i="9" a="1"/>
  <c r="CB31" i="9" s="1"/>
  <c r="BT31" i="9" a="1"/>
  <c r="BT31" i="9" s="1"/>
  <c r="BL31" i="9" a="1"/>
  <c r="BL31" i="9" s="1"/>
  <c r="BD31" i="9" a="1"/>
  <c r="BD31" i="9" s="1"/>
  <c r="AV31" i="9" a="1"/>
  <c r="AV31" i="9" s="1"/>
  <c r="AN31" i="9" a="1"/>
  <c r="AN31" i="9" s="1"/>
  <c r="AF31" i="9" a="1"/>
  <c r="AF31" i="9" s="1"/>
  <c r="X31" i="9" a="1"/>
  <c r="X31" i="9" s="1"/>
  <c r="P31" i="9" a="1"/>
  <c r="P31" i="9" s="1"/>
  <c r="H31" i="9" a="1"/>
  <c r="H31" i="9" s="1"/>
  <c r="CQ35" i="9" a="1"/>
  <c r="CQ35" i="9" s="1"/>
  <c r="CM35" i="9" a="1"/>
  <c r="CM35" i="9" s="1"/>
  <c r="CI35" i="9" a="1"/>
  <c r="CI35" i="9" s="1"/>
  <c r="CD35" i="9" a="1"/>
  <c r="CD35" i="9" s="1"/>
  <c r="BZ35" i="9" a="1"/>
  <c r="BZ35" i="9" s="1"/>
  <c r="BV35" i="9" a="1"/>
  <c r="BV35" i="9" s="1"/>
  <c r="BR35" i="9" a="1"/>
  <c r="BR35" i="9" s="1"/>
  <c r="BN35" i="9" a="1"/>
  <c r="BN35" i="9" s="1"/>
  <c r="BJ35" i="9" a="1"/>
  <c r="BJ35" i="9" s="1"/>
  <c r="BF35" i="9" a="1"/>
  <c r="BF35" i="9" s="1"/>
  <c r="BB35" i="9" a="1"/>
  <c r="BB35" i="9" s="1"/>
  <c r="AX35" i="9" a="1"/>
  <c r="AX35" i="9" s="1"/>
  <c r="AT35" i="9" a="1"/>
  <c r="AT35" i="9" s="1"/>
  <c r="AP35" i="9" a="1"/>
  <c r="AP35" i="9" s="1"/>
  <c r="AL35" i="9" a="1"/>
  <c r="AL35" i="9" s="1"/>
  <c r="AH35" i="9" a="1"/>
  <c r="AH35" i="9" s="1"/>
  <c r="AD35" i="9" a="1"/>
  <c r="AD35" i="9" s="1"/>
  <c r="Z35" i="9" a="1"/>
  <c r="Z35" i="9" s="1"/>
  <c r="V35" i="9" a="1"/>
  <c r="V35" i="9" s="1"/>
  <c r="R35" i="9" a="1"/>
  <c r="R35" i="9" s="1"/>
  <c r="N35" i="9" a="1"/>
  <c r="N35" i="9" s="1"/>
  <c r="J35" i="9" a="1"/>
  <c r="J35" i="9" s="1"/>
  <c r="F35" i="9" a="1"/>
  <c r="F35" i="9" s="1"/>
  <c r="CP35" i="9" a="1"/>
  <c r="CP35" i="9" s="1"/>
  <c r="CL35" i="9" a="1"/>
  <c r="CL35" i="9" s="1"/>
  <c r="CH35" i="9" a="1"/>
  <c r="CH35" i="9" s="1"/>
  <c r="CC35" i="9" a="1"/>
  <c r="CC35" i="9" s="1"/>
  <c r="BY35" i="9" a="1"/>
  <c r="BY35" i="9" s="1"/>
  <c r="BU35" i="9" a="1"/>
  <c r="BU35" i="9" s="1"/>
  <c r="BQ35" i="9" a="1"/>
  <c r="BQ35" i="9" s="1"/>
  <c r="BM35" i="9" a="1"/>
  <c r="BM35" i="9" s="1"/>
  <c r="BI35" i="9" a="1"/>
  <c r="BI35" i="9" s="1"/>
  <c r="BE35" i="9" a="1"/>
  <c r="BE35" i="9" s="1"/>
  <c r="BA35" i="9" a="1"/>
  <c r="BA35" i="9" s="1"/>
  <c r="AW35" i="9" a="1"/>
  <c r="AW35" i="9" s="1"/>
  <c r="AS35" i="9" a="1"/>
  <c r="AS35" i="9" s="1"/>
  <c r="AO35" i="9" a="1"/>
  <c r="AO35" i="9" s="1"/>
  <c r="AK35" i="9" a="1"/>
  <c r="AK35" i="9" s="1"/>
  <c r="AG35" i="9" a="1"/>
  <c r="AG35" i="9" s="1"/>
  <c r="AC35" i="9" a="1"/>
  <c r="AC35" i="9" s="1"/>
  <c r="Y35" i="9" a="1"/>
  <c r="Y35" i="9" s="1"/>
  <c r="U35" i="9" a="1"/>
  <c r="U35" i="9" s="1"/>
  <c r="Q35" i="9" a="1"/>
  <c r="Q35" i="9" s="1"/>
  <c r="M35" i="9" a="1"/>
  <c r="M35" i="9" s="1"/>
  <c r="I35" i="9" a="1"/>
  <c r="I35" i="9" s="1"/>
  <c r="E35" i="9" a="1"/>
  <c r="E35" i="9" s="1"/>
  <c r="CK35" i="9" a="1"/>
  <c r="CK35" i="9" s="1"/>
  <c r="CB35" i="9" a="1"/>
  <c r="CB35" i="9" s="1"/>
  <c r="BT35" i="9" a="1"/>
  <c r="BT35" i="9" s="1"/>
  <c r="BL35" i="9" a="1"/>
  <c r="BL35" i="9" s="1"/>
  <c r="BD35" i="9" a="1"/>
  <c r="BD35" i="9" s="1"/>
  <c r="AV35" i="9" a="1"/>
  <c r="AV35" i="9" s="1"/>
  <c r="AN35" i="9" a="1"/>
  <c r="AN35" i="9" s="1"/>
  <c r="AF35" i="9" a="1"/>
  <c r="AF35" i="9" s="1"/>
  <c r="X35" i="9" a="1"/>
  <c r="X35" i="9" s="1"/>
  <c r="P35" i="9" a="1"/>
  <c r="P35" i="9" s="1"/>
  <c r="H35" i="9" a="1"/>
  <c r="H35" i="9" s="1"/>
  <c r="CO35" i="9" a="1"/>
  <c r="CO35" i="9" s="1"/>
  <c r="CF35" i="9" a="1"/>
  <c r="CF35" i="9" s="1"/>
  <c r="BX35" i="9" a="1"/>
  <c r="BX35" i="9" s="1"/>
  <c r="BP35" i="9" a="1"/>
  <c r="BP35" i="9" s="1"/>
  <c r="BH35" i="9" a="1"/>
  <c r="BH35" i="9" s="1"/>
  <c r="AZ35" i="9" a="1"/>
  <c r="AZ35" i="9" s="1"/>
  <c r="AR35" i="9" a="1"/>
  <c r="AR35" i="9" s="1"/>
  <c r="AJ35" i="9" a="1"/>
  <c r="AJ35" i="9" s="1"/>
  <c r="AB35" i="9" a="1"/>
  <c r="AB35" i="9" s="1"/>
  <c r="T35" i="9" a="1"/>
  <c r="T35" i="9" s="1"/>
  <c r="L35" i="9" a="1"/>
  <c r="L35" i="9" s="1"/>
  <c r="CN35" i="9" a="1"/>
  <c r="CN35" i="9" s="1"/>
  <c r="CE35" i="9" a="1"/>
  <c r="CE35" i="9" s="1"/>
  <c r="BW35" i="9" a="1"/>
  <c r="BW35" i="9" s="1"/>
  <c r="BO35" i="9" a="1"/>
  <c r="BO35" i="9" s="1"/>
  <c r="BG35" i="9" a="1"/>
  <c r="BG35" i="9" s="1"/>
  <c r="AY35" i="9" a="1"/>
  <c r="AY35" i="9" s="1"/>
  <c r="AQ35" i="9" a="1"/>
  <c r="AQ35" i="9" s="1"/>
  <c r="AI35" i="9" a="1"/>
  <c r="AI35" i="9" s="1"/>
  <c r="AA35" i="9" a="1"/>
  <c r="AA35" i="9" s="1"/>
  <c r="S35" i="9" a="1"/>
  <c r="S35" i="9" s="1"/>
  <c r="K35" i="9" a="1"/>
  <c r="K35" i="9" s="1"/>
  <c r="CA35" i="9" a="1"/>
  <c r="CA35" i="9" s="1"/>
  <c r="AU35" i="9" a="1"/>
  <c r="AU35" i="9" s="1"/>
  <c r="O35" i="9" a="1"/>
  <c r="O35" i="9" s="1"/>
  <c r="BS35" i="9" a="1"/>
  <c r="BS35" i="9" s="1"/>
  <c r="AM35" i="9" a="1"/>
  <c r="AM35" i="9" s="1"/>
  <c r="G35" i="9" a="1"/>
  <c r="G35" i="9" s="1"/>
  <c r="CR35" i="9" a="1"/>
  <c r="CR35" i="9" s="1"/>
  <c r="BK35" i="9" a="1"/>
  <c r="BK35" i="9" s="1"/>
  <c r="AE35" i="9" a="1"/>
  <c r="AE35" i="9" s="1"/>
  <c r="CJ35" i="9" a="1"/>
  <c r="CJ35" i="9" s="1"/>
  <c r="BC35" i="9" a="1"/>
  <c r="BC35" i="9" s="1"/>
  <c r="W35" i="9" a="1"/>
  <c r="W35" i="9" s="1"/>
  <c r="CP39" i="9" a="1"/>
  <c r="CP39" i="9" s="1"/>
  <c r="CL39" i="9" a="1"/>
  <c r="CL39" i="9" s="1"/>
  <c r="CH39" i="9" a="1"/>
  <c r="CH39" i="9" s="1"/>
  <c r="CC39" i="9" a="1"/>
  <c r="CC39" i="9" s="1"/>
  <c r="BY39" i="9" a="1"/>
  <c r="BY39" i="9" s="1"/>
  <c r="BU39" i="9" a="1"/>
  <c r="BU39" i="9" s="1"/>
  <c r="BQ39" i="9" a="1"/>
  <c r="BQ39" i="9" s="1"/>
  <c r="BM39" i="9" a="1"/>
  <c r="BM39" i="9" s="1"/>
  <c r="BI39" i="9" a="1"/>
  <c r="BI39" i="9" s="1"/>
  <c r="BE39" i="9" a="1"/>
  <c r="BE39" i="9" s="1"/>
  <c r="BA39" i="9" a="1"/>
  <c r="BA39" i="9" s="1"/>
  <c r="AW39" i="9" a="1"/>
  <c r="AW39" i="9" s="1"/>
  <c r="AS39" i="9" a="1"/>
  <c r="AS39" i="9" s="1"/>
  <c r="CO39" i="9" a="1"/>
  <c r="CO39" i="9" s="1"/>
  <c r="CK39" i="9" a="1"/>
  <c r="CK39" i="9" s="1"/>
  <c r="CF39" i="9" a="1"/>
  <c r="CF39" i="9" s="1"/>
  <c r="CB39" i="9" a="1"/>
  <c r="CB39" i="9" s="1"/>
  <c r="BX39" i="9" a="1"/>
  <c r="BX39" i="9" s="1"/>
  <c r="BT39" i="9" a="1"/>
  <c r="BT39" i="9" s="1"/>
  <c r="BP39" i="9" a="1"/>
  <c r="BP39" i="9" s="1"/>
  <c r="BL39" i="9" a="1"/>
  <c r="BL39" i="9" s="1"/>
  <c r="BH39" i="9" a="1"/>
  <c r="BH39" i="9" s="1"/>
  <c r="BD39" i="9" a="1"/>
  <c r="BD39" i="9" s="1"/>
  <c r="AZ39" i="9" a="1"/>
  <c r="AZ39" i="9" s="1"/>
  <c r="AV39" i="9" a="1"/>
  <c r="AV39" i="9" s="1"/>
  <c r="AR39" i="9" a="1"/>
  <c r="AR39" i="9" s="1"/>
  <c r="CM39" i="9" a="1"/>
  <c r="CM39" i="9" s="1"/>
  <c r="CD39" i="9" a="1"/>
  <c r="CD39" i="9" s="1"/>
  <c r="BV39" i="9" a="1"/>
  <c r="BV39" i="9" s="1"/>
  <c r="BN39" i="9" a="1"/>
  <c r="BN39" i="9" s="1"/>
  <c r="BF39" i="9" a="1"/>
  <c r="BF39" i="9" s="1"/>
  <c r="AX39" i="9" a="1"/>
  <c r="AX39" i="9" s="1"/>
  <c r="AP39" i="9" a="1"/>
  <c r="AP39" i="9" s="1"/>
  <c r="AL39" i="9" a="1"/>
  <c r="AL39" i="9" s="1"/>
  <c r="AH39" i="9" a="1"/>
  <c r="AH39" i="9" s="1"/>
  <c r="AD39" i="9" a="1"/>
  <c r="AD39" i="9" s="1"/>
  <c r="Z39" i="9" a="1"/>
  <c r="Z39" i="9" s="1"/>
  <c r="V39" i="9" a="1"/>
  <c r="V39" i="9" s="1"/>
  <c r="R39" i="9" a="1"/>
  <c r="R39" i="9" s="1"/>
  <c r="N39" i="9" a="1"/>
  <c r="N39" i="9" s="1"/>
  <c r="J39" i="9" a="1"/>
  <c r="J39" i="9" s="1"/>
  <c r="F39" i="9" a="1"/>
  <c r="F39" i="9" s="1"/>
  <c r="CR39" i="9" a="1"/>
  <c r="CR39" i="9" s="1"/>
  <c r="CJ39" i="9" a="1"/>
  <c r="CJ39" i="9" s="1"/>
  <c r="CA39" i="9" a="1"/>
  <c r="CA39" i="9" s="1"/>
  <c r="BS39" i="9" a="1"/>
  <c r="BS39" i="9" s="1"/>
  <c r="BK39" i="9" a="1"/>
  <c r="BK39" i="9" s="1"/>
  <c r="BC39" i="9" a="1"/>
  <c r="BC39" i="9" s="1"/>
  <c r="AU39" i="9" a="1"/>
  <c r="AU39" i="9" s="1"/>
  <c r="AO39" i="9" a="1"/>
  <c r="AO39" i="9" s="1"/>
  <c r="AK39" i="9" a="1"/>
  <c r="AK39" i="9" s="1"/>
  <c r="AG39" i="9" a="1"/>
  <c r="AG39" i="9" s="1"/>
  <c r="AC39" i="9" a="1"/>
  <c r="AC39" i="9" s="1"/>
  <c r="Y39" i="9" a="1"/>
  <c r="Y39" i="9" s="1"/>
  <c r="U39" i="9" a="1"/>
  <c r="U39" i="9" s="1"/>
  <c r="Q39" i="9" a="1"/>
  <c r="Q39" i="9" s="1"/>
  <c r="M39" i="9" a="1"/>
  <c r="M39" i="9" s="1"/>
  <c r="I39" i="9" a="1"/>
  <c r="I39" i="9" s="1"/>
  <c r="E39" i="9" a="1"/>
  <c r="E39" i="9" s="1"/>
  <c r="CQ39" i="9" a="1"/>
  <c r="CQ39" i="9" s="1"/>
  <c r="CI39" i="9" a="1"/>
  <c r="CI39" i="9" s="1"/>
  <c r="BZ39" i="9" a="1"/>
  <c r="BZ39" i="9" s="1"/>
  <c r="BR39" i="9" a="1"/>
  <c r="BR39" i="9" s="1"/>
  <c r="BJ39" i="9" a="1"/>
  <c r="BJ39" i="9" s="1"/>
  <c r="BB39" i="9" a="1"/>
  <c r="BB39" i="9" s="1"/>
  <c r="AT39" i="9" a="1"/>
  <c r="AT39" i="9" s="1"/>
  <c r="AN39" i="9" a="1"/>
  <c r="AN39" i="9" s="1"/>
  <c r="AJ39" i="9" a="1"/>
  <c r="AJ39" i="9" s="1"/>
  <c r="AF39" i="9" a="1"/>
  <c r="AF39" i="9" s="1"/>
  <c r="AB39" i="9" a="1"/>
  <c r="AB39" i="9" s="1"/>
  <c r="X39" i="9" a="1"/>
  <c r="X39" i="9" s="1"/>
  <c r="T39" i="9" a="1"/>
  <c r="T39" i="9" s="1"/>
  <c r="P39" i="9" a="1"/>
  <c r="P39" i="9" s="1"/>
  <c r="L39" i="9" a="1"/>
  <c r="L39" i="9" s="1"/>
  <c r="H39" i="9" a="1"/>
  <c r="H39" i="9" s="1"/>
  <c r="CE39" i="9" a="1"/>
  <c r="CE39" i="9" s="1"/>
  <c r="AY39" i="9" a="1"/>
  <c r="AY39" i="9" s="1"/>
  <c r="AE39" i="9" a="1"/>
  <c r="AE39" i="9" s="1"/>
  <c r="O39" i="9" a="1"/>
  <c r="O39" i="9" s="1"/>
  <c r="BW39" i="9" a="1"/>
  <c r="BW39" i="9" s="1"/>
  <c r="AQ39" i="9" a="1"/>
  <c r="AQ39" i="9" s="1"/>
  <c r="AA39" i="9" a="1"/>
  <c r="AA39" i="9" s="1"/>
  <c r="K39" i="9" a="1"/>
  <c r="K39" i="9" s="1"/>
  <c r="BO39" i="9" a="1"/>
  <c r="BO39" i="9" s="1"/>
  <c r="AM39" i="9" a="1"/>
  <c r="AM39" i="9" s="1"/>
  <c r="W39" i="9" a="1"/>
  <c r="W39" i="9" s="1"/>
  <c r="G39" i="9" a="1"/>
  <c r="G39" i="9" s="1"/>
  <c r="CN39" i="9" a="1"/>
  <c r="CN39" i="9" s="1"/>
  <c r="BG39" i="9" a="1"/>
  <c r="BG39" i="9" s="1"/>
  <c r="AI39" i="9" a="1"/>
  <c r="AI39" i="9" s="1"/>
  <c r="S39" i="9" a="1"/>
  <c r="S39" i="9" s="1"/>
  <c r="CP43" i="9" a="1"/>
  <c r="CP43" i="9" s="1"/>
  <c r="CL43" i="9" a="1"/>
  <c r="CL43" i="9" s="1"/>
  <c r="CH43" i="9" a="1"/>
  <c r="CH43" i="9" s="1"/>
  <c r="CC43" i="9" a="1"/>
  <c r="CC43" i="9" s="1"/>
  <c r="BY43" i="9" a="1"/>
  <c r="BY43" i="9" s="1"/>
  <c r="BU43" i="9" a="1"/>
  <c r="BU43" i="9" s="1"/>
  <c r="BQ43" i="9" a="1"/>
  <c r="BQ43" i="9" s="1"/>
  <c r="BM43" i="9" a="1"/>
  <c r="BM43" i="9" s="1"/>
  <c r="BI43" i="9" a="1"/>
  <c r="BI43" i="9" s="1"/>
  <c r="BE43" i="9" a="1"/>
  <c r="BE43" i="9" s="1"/>
  <c r="BA43" i="9" a="1"/>
  <c r="BA43" i="9" s="1"/>
  <c r="AW43" i="9" a="1"/>
  <c r="AW43" i="9" s="1"/>
  <c r="AS43" i="9" a="1"/>
  <c r="AS43" i="9" s="1"/>
  <c r="AO43" i="9" a="1"/>
  <c r="AO43" i="9" s="1"/>
  <c r="AK43" i="9" a="1"/>
  <c r="AK43" i="9" s="1"/>
  <c r="AG43" i="9" a="1"/>
  <c r="AG43" i="9" s="1"/>
  <c r="AC43" i="9" a="1"/>
  <c r="AC43" i="9" s="1"/>
  <c r="Y43" i="9" a="1"/>
  <c r="Y43" i="9" s="1"/>
  <c r="U43" i="9" a="1"/>
  <c r="U43" i="9" s="1"/>
  <c r="Q43" i="9" a="1"/>
  <c r="Q43" i="9" s="1"/>
  <c r="M43" i="9" a="1"/>
  <c r="M43" i="9" s="1"/>
  <c r="I43" i="9" a="1"/>
  <c r="I43" i="9" s="1"/>
  <c r="E43" i="9" a="1"/>
  <c r="E43" i="9" s="1"/>
  <c r="CO43" i="9" a="1"/>
  <c r="CO43" i="9" s="1"/>
  <c r="CK43" i="9" a="1"/>
  <c r="CK43" i="9" s="1"/>
  <c r="CF43" i="9" a="1"/>
  <c r="CF43" i="9" s="1"/>
  <c r="CB43" i="9" a="1"/>
  <c r="CB43" i="9" s="1"/>
  <c r="BX43" i="9" a="1"/>
  <c r="BX43" i="9" s="1"/>
  <c r="BT43" i="9" a="1"/>
  <c r="BT43" i="9" s="1"/>
  <c r="BP43" i="9" a="1"/>
  <c r="BP43" i="9" s="1"/>
  <c r="BL43" i="9" a="1"/>
  <c r="BL43" i="9" s="1"/>
  <c r="BH43" i="9" a="1"/>
  <c r="BH43" i="9" s="1"/>
  <c r="BD43" i="9" a="1"/>
  <c r="BD43" i="9" s="1"/>
  <c r="AZ43" i="9" a="1"/>
  <c r="AZ43" i="9" s="1"/>
  <c r="AV43" i="9" a="1"/>
  <c r="AV43" i="9" s="1"/>
  <c r="AR43" i="9" a="1"/>
  <c r="AR43" i="9" s="1"/>
  <c r="AN43" i="9" a="1"/>
  <c r="AN43" i="9" s="1"/>
  <c r="AJ43" i="9" a="1"/>
  <c r="AJ43" i="9" s="1"/>
  <c r="AF43" i="9" a="1"/>
  <c r="AF43" i="9" s="1"/>
  <c r="AB43" i="9" a="1"/>
  <c r="AB43" i="9" s="1"/>
  <c r="X43" i="9" a="1"/>
  <c r="X43" i="9" s="1"/>
  <c r="T43" i="9" a="1"/>
  <c r="T43" i="9" s="1"/>
  <c r="P43" i="9" a="1"/>
  <c r="P43" i="9" s="1"/>
  <c r="L43" i="9" a="1"/>
  <c r="L43" i="9" s="1"/>
  <c r="H43" i="9" a="1"/>
  <c r="H43" i="9" s="1"/>
  <c r="CQ43" i="9" a="1"/>
  <c r="CQ43" i="9" s="1"/>
  <c r="CI43" i="9" a="1"/>
  <c r="CI43" i="9" s="1"/>
  <c r="BZ43" i="9" a="1"/>
  <c r="BZ43" i="9" s="1"/>
  <c r="BR43" i="9" a="1"/>
  <c r="BR43" i="9" s="1"/>
  <c r="BJ43" i="9" a="1"/>
  <c r="BJ43" i="9" s="1"/>
  <c r="BB43" i="9" a="1"/>
  <c r="BB43" i="9" s="1"/>
  <c r="AT43" i="9" a="1"/>
  <c r="AT43" i="9" s="1"/>
  <c r="AL43" i="9" a="1"/>
  <c r="AL43" i="9" s="1"/>
  <c r="AD43" i="9" a="1"/>
  <c r="AD43" i="9" s="1"/>
  <c r="V43" i="9" a="1"/>
  <c r="V43" i="9" s="1"/>
  <c r="N43" i="9" a="1"/>
  <c r="N43" i="9" s="1"/>
  <c r="F43" i="9" a="1"/>
  <c r="F43" i="9" s="1"/>
  <c r="CN43" i="9" a="1"/>
  <c r="CN43" i="9" s="1"/>
  <c r="CE43" i="9" a="1"/>
  <c r="CE43" i="9" s="1"/>
  <c r="BW43" i="9" a="1"/>
  <c r="BW43" i="9" s="1"/>
  <c r="BO43" i="9" a="1"/>
  <c r="BO43" i="9" s="1"/>
  <c r="BG43" i="9" a="1"/>
  <c r="BG43" i="9" s="1"/>
  <c r="AY43" i="9" a="1"/>
  <c r="AY43" i="9" s="1"/>
  <c r="AQ43" i="9" a="1"/>
  <c r="AQ43" i="9" s="1"/>
  <c r="AI43" i="9" a="1"/>
  <c r="AI43" i="9" s="1"/>
  <c r="AA43" i="9" a="1"/>
  <c r="AA43" i="9" s="1"/>
  <c r="S43" i="9" a="1"/>
  <c r="S43" i="9" s="1"/>
  <c r="K43" i="9" a="1"/>
  <c r="K43" i="9" s="1"/>
  <c r="CM43" i="9" a="1"/>
  <c r="CM43" i="9" s="1"/>
  <c r="CD43" i="9" a="1"/>
  <c r="CD43" i="9" s="1"/>
  <c r="BV43" i="9" a="1"/>
  <c r="BV43" i="9" s="1"/>
  <c r="BN43" i="9" a="1"/>
  <c r="BN43" i="9" s="1"/>
  <c r="BF43" i="9" a="1"/>
  <c r="BF43" i="9" s="1"/>
  <c r="AX43" i="9" a="1"/>
  <c r="AX43" i="9" s="1"/>
  <c r="AP43" i="9" a="1"/>
  <c r="AP43" i="9" s="1"/>
  <c r="AH43" i="9" a="1"/>
  <c r="AH43" i="9" s="1"/>
  <c r="Z43" i="9" a="1"/>
  <c r="Z43" i="9" s="1"/>
  <c r="R43" i="9" a="1"/>
  <c r="R43" i="9" s="1"/>
  <c r="J43" i="9" a="1"/>
  <c r="J43" i="9" s="1"/>
  <c r="BS43" i="9" a="1"/>
  <c r="BS43" i="9" s="1"/>
  <c r="AM43" i="9" a="1"/>
  <c r="AM43" i="9" s="1"/>
  <c r="G43" i="9" a="1"/>
  <c r="G43" i="9" s="1"/>
  <c r="CR43" i="9" a="1"/>
  <c r="CR43" i="9" s="1"/>
  <c r="BK43" i="9" a="1"/>
  <c r="BK43" i="9" s="1"/>
  <c r="AE43" i="9" a="1"/>
  <c r="AE43" i="9" s="1"/>
  <c r="CJ43" i="9" a="1"/>
  <c r="CJ43" i="9" s="1"/>
  <c r="BC43" i="9" a="1"/>
  <c r="BC43" i="9" s="1"/>
  <c r="W43" i="9" a="1"/>
  <c r="W43" i="9" s="1"/>
  <c r="CA43" i="9" a="1"/>
  <c r="CA43" i="9" s="1"/>
  <c r="AU43" i="9" a="1"/>
  <c r="AU43" i="9" s="1"/>
  <c r="O43" i="9" a="1"/>
  <c r="O43" i="9" s="1"/>
  <c r="CR47" i="9" a="1"/>
  <c r="CR47" i="9" s="1"/>
  <c r="CN47" i="9" a="1"/>
  <c r="CN47" i="9" s="1"/>
  <c r="CJ47" i="9" a="1"/>
  <c r="CJ47" i="9" s="1"/>
  <c r="CE47" i="9" a="1"/>
  <c r="CE47" i="9" s="1"/>
  <c r="CA47" i="9" a="1"/>
  <c r="CA47" i="9" s="1"/>
  <c r="BW47" i="9" a="1"/>
  <c r="BW47" i="9" s="1"/>
  <c r="BS47" i="9" a="1"/>
  <c r="BS47" i="9" s="1"/>
  <c r="BO47" i="9" a="1"/>
  <c r="BO47" i="9" s="1"/>
  <c r="BK47" i="9" a="1"/>
  <c r="BK47" i="9" s="1"/>
  <c r="BG47" i="9" a="1"/>
  <c r="BG47" i="9" s="1"/>
  <c r="BC47" i="9" a="1"/>
  <c r="BC47" i="9" s="1"/>
  <c r="AY47" i="9" a="1"/>
  <c r="AY47" i="9" s="1"/>
  <c r="AU47" i="9" a="1"/>
  <c r="AU47" i="9" s="1"/>
  <c r="AQ47" i="9" a="1"/>
  <c r="AQ47" i="9" s="1"/>
  <c r="AM47" i="9" a="1"/>
  <c r="AM47" i="9" s="1"/>
  <c r="AI47" i="9" a="1"/>
  <c r="AI47" i="9" s="1"/>
  <c r="AE47" i="9" a="1"/>
  <c r="AE47" i="9" s="1"/>
  <c r="AA47" i="9" a="1"/>
  <c r="AA47" i="9" s="1"/>
  <c r="W47" i="9" a="1"/>
  <c r="W47" i="9" s="1"/>
  <c r="S47" i="9" a="1"/>
  <c r="S47" i="9" s="1"/>
  <c r="O47" i="9" a="1"/>
  <c r="O47" i="9" s="1"/>
  <c r="K47" i="9" a="1"/>
  <c r="K47" i="9" s="1"/>
  <c r="G47" i="9" a="1"/>
  <c r="G47" i="9" s="1"/>
  <c r="CQ47" i="9" a="1"/>
  <c r="CQ47" i="9" s="1"/>
  <c r="CM47" i="9" a="1"/>
  <c r="CM47" i="9" s="1"/>
  <c r="CI47" i="9" a="1"/>
  <c r="CI47" i="9" s="1"/>
  <c r="CD47" i="9" a="1"/>
  <c r="CD47" i="9" s="1"/>
  <c r="BZ47" i="9" a="1"/>
  <c r="BZ47" i="9" s="1"/>
  <c r="BV47" i="9" a="1"/>
  <c r="BV47" i="9" s="1"/>
  <c r="BR47" i="9" a="1"/>
  <c r="BR47" i="9" s="1"/>
  <c r="BN47" i="9" a="1"/>
  <c r="BN47" i="9" s="1"/>
  <c r="BJ47" i="9" a="1"/>
  <c r="BJ47" i="9" s="1"/>
  <c r="BF47" i="9" a="1"/>
  <c r="BF47" i="9" s="1"/>
  <c r="BB47" i="9" a="1"/>
  <c r="BB47" i="9" s="1"/>
  <c r="AX47" i="9" a="1"/>
  <c r="AX47" i="9" s="1"/>
  <c r="AT47" i="9" a="1"/>
  <c r="AT47" i="9" s="1"/>
  <c r="AP47" i="9" a="1"/>
  <c r="AP47" i="9" s="1"/>
  <c r="AL47" i="9" a="1"/>
  <c r="AL47" i="9" s="1"/>
  <c r="AH47" i="9" a="1"/>
  <c r="AH47" i="9" s="1"/>
  <c r="AD47" i="9" a="1"/>
  <c r="AD47" i="9" s="1"/>
  <c r="Z47" i="9" a="1"/>
  <c r="Z47" i="9" s="1"/>
  <c r="V47" i="9" a="1"/>
  <c r="V47" i="9" s="1"/>
  <c r="R47" i="9" a="1"/>
  <c r="R47" i="9" s="1"/>
  <c r="N47" i="9" a="1"/>
  <c r="N47" i="9" s="1"/>
  <c r="J47" i="9" a="1"/>
  <c r="J47" i="9" s="1"/>
  <c r="F47" i="9" a="1"/>
  <c r="F47" i="9" s="1"/>
  <c r="CP47" i="9" a="1"/>
  <c r="CP47" i="9" s="1"/>
  <c r="CH47" i="9" a="1"/>
  <c r="CH47" i="9" s="1"/>
  <c r="BY47" i="9" a="1"/>
  <c r="BY47" i="9" s="1"/>
  <c r="BQ47" i="9" a="1"/>
  <c r="BQ47" i="9" s="1"/>
  <c r="BI47" i="9" a="1"/>
  <c r="BI47" i="9" s="1"/>
  <c r="BA47" i="9" a="1"/>
  <c r="BA47" i="9" s="1"/>
  <c r="AS47" i="9" a="1"/>
  <c r="AS47" i="9" s="1"/>
  <c r="AK47" i="9" a="1"/>
  <c r="AK47" i="9" s="1"/>
  <c r="AC47" i="9" a="1"/>
  <c r="AC47" i="9" s="1"/>
  <c r="U47" i="9" a="1"/>
  <c r="U47" i="9" s="1"/>
  <c r="M47" i="9" a="1"/>
  <c r="M47" i="9" s="1"/>
  <c r="E47" i="9" a="1"/>
  <c r="E47" i="9" s="1"/>
  <c r="CO47" i="9" a="1"/>
  <c r="CO47" i="9" s="1"/>
  <c r="CF47" i="9" a="1"/>
  <c r="CF47" i="9" s="1"/>
  <c r="BX47" i="9" a="1"/>
  <c r="BX47" i="9" s="1"/>
  <c r="BP47" i="9" a="1"/>
  <c r="BP47" i="9" s="1"/>
  <c r="BH47" i="9" a="1"/>
  <c r="BH47" i="9" s="1"/>
  <c r="AZ47" i="9" a="1"/>
  <c r="AZ47" i="9" s="1"/>
  <c r="AR47" i="9" a="1"/>
  <c r="AR47" i="9" s="1"/>
  <c r="AJ47" i="9" a="1"/>
  <c r="AJ47" i="9" s="1"/>
  <c r="AB47" i="9" a="1"/>
  <c r="AB47" i="9" s="1"/>
  <c r="T47" i="9" a="1"/>
  <c r="T47" i="9" s="1"/>
  <c r="L47" i="9" a="1"/>
  <c r="L47" i="9" s="1"/>
  <c r="CL47" i="9" a="1"/>
  <c r="CL47" i="9" s="1"/>
  <c r="CK47" i="9" a="1"/>
  <c r="CK47" i="9" s="1"/>
  <c r="BT47" i="9" a="1"/>
  <c r="BT47" i="9" s="1"/>
  <c r="BD47" i="9" a="1"/>
  <c r="BD47" i="9" s="1"/>
  <c r="AN47" i="9" a="1"/>
  <c r="AN47" i="9" s="1"/>
  <c r="X47" i="9" a="1"/>
  <c r="X47" i="9" s="1"/>
  <c r="H47" i="9" a="1"/>
  <c r="H47" i="9" s="1"/>
  <c r="CC47" i="9" a="1"/>
  <c r="CC47" i="9" s="1"/>
  <c r="BM47" i="9" a="1"/>
  <c r="BM47" i="9" s="1"/>
  <c r="AW47" i="9" a="1"/>
  <c r="AW47" i="9" s="1"/>
  <c r="AG47" i="9" a="1"/>
  <c r="AG47" i="9" s="1"/>
  <c r="Q47" i="9" a="1"/>
  <c r="Q47" i="9" s="1"/>
  <c r="BU47" i="9" a="1"/>
  <c r="BU47" i="9" s="1"/>
  <c r="AO47" i="9" a="1"/>
  <c r="AO47" i="9" s="1"/>
  <c r="I47" i="9" a="1"/>
  <c r="I47" i="9" s="1"/>
  <c r="BL47" i="9" a="1"/>
  <c r="BL47" i="9" s="1"/>
  <c r="AF47" i="9" a="1"/>
  <c r="AF47" i="9" s="1"/>
  <c r="BE47" i="9" a="1"/>
  <c r="BE47" i="9" s="1"/>
  <c r="Y47" i="9" a="1"/>
  <c r="Y47" i="9" s="1"/>
  <c r="AV47" i="9" a="1"/>
  <c r="AV47" i="9" s="1"/>
  <c r="P47" i="9" a="1"/>
  <c r="P47" i="9" s="1"/>
  <c r="CB47" i="9" a="1"/>
  <c r="CB47" i="9" s="1"/>
  <c r="CR51" i="9" a="1"/>
  <c r="CR51" i="9" s="1"/>
  <c r="CN51" i="9" a="1"/>
  <c r="CN51" i="9" s="1"/>
  <c r="CJ51" i="9" a="1"/>
  <c r="CJ51" i="9" s="1"/>
  <c r="CE51" i="9" a="1"/>
  <c r="CE51" i="9" s="1"/>
  <c r="CA51" i="9" a="1"/>
  <c r="CA51" i="9" s="1"/>
  <c r="BW51" i="9" a="1"/>
  <c r="BW51" i="9" s="1"/>
  <c r="BS51" i="9" a="1"/>
  <c r="BS51" i="9" s="1"/>
  <c r="BO51" i="9" a="1"/>
  <c r="BO51" i="9" s="1"/>
  <c r="BK51" i="9" a="1"/>
  <c r="BK51" i="9" s="1"/>
  <c r="BG51" i="9" a="1"/>
  <c r="BG51" i="9" s="1"/>
  <c r="BC51" i="9" a="1"/>
  <c r="BC51" i="9" s="1"/>
  <c r="AY51" i="9" a="1"/>
  <c r="AY51" i="9" s="1"/>
  <c r="AU51" i="9" a="1"/>
  <c r="AU51" i="9" s="1"/>
  <c r="AQ51" i="9" a="1"/>
  <c r="AQ51" i="9" s="1"/>
  <c r="AM51" i="9" a="1"/>
  <c r="AM51" i="9" s="1"/>
  <c r="AI51" i="9" a="1"/>
  <c r="AI51" i="9" s="1"/>
  <c r="AE51" i="9" a="1"/>
  <c r="AE51" i="9" s="1"/>
  <c r="AA51" i="9" a="1"/>
  <c r="AA51" i="9" s="1"/>
  <c r="W51" i="9" a="1"/>
  <c r="W51" i="9" s="1"/>
  <c r="S51" i="9" a="1"/>
  <c r="S51" i="9" s="1"/>
  <c r="O51" i="9" a="1"/>
  <c r="O51" i="9" s="1"/>
  <c r="K51" i="9" a="1"/>
  <c r="K51" i="9" s="1"/>
  <c r="G51" i="9" a="1"/>
  <c r="G51" i="9" s="1"/>
  <c r="CQ51" i="9" a="1"/>
  <c r="CQ51" i="9" s="1"/>
  <c r="CM51" i="9" a="1"/>
  <c r="CM51" i="9" s="1"/>
  <c r="CI51" i="9" a="1"/>
  <c r="CI51" i="9" s="1"/>
  <c r="CD51" i="9" a="1"/>
  <c r="CD51" i="9" s="1"/>
  <c r="BZ51" i="9" a="1"/>
  <c r="BZ51" i="9" s="1"/>
  <c r="BV51" i="9" a="1"/>
  <c r="BV51" i="9" s="1"/>
  <c r="BR51" i="9" a="1"/>
  <c r="BR51" i="9" s="1"/>
  <c r="BN51" i="9" a="1"/>
  <c r="BN51" i="9" s="1"/>
  <c r="BJ51" i="9" a="1"/>
  <c r="BJ51" i="9" s="1"/>
  <c r="BF51" i="9" a="1"/>
  <c r="BF51" i="9" s="1"/>
  <c r="BB51" i="9" a="1"/>
  <c r="BB51" i="9" s="1"/>
  <c r="AX51" i="9" a="1"/>
  <c r="AX51" i="9" s="1"/>
  <c r="AT51" i="9" a="1"/>
  <c r="AT51" i="9" s="1"/>
  <c r="AP51" i="9" a="1"/>
  <c r="AP51" i="9" s="1"/>
  <c r="AL51" i="9" a="1"/>
  <c r="AL51" i="9" s="1"/>
  <c r="AH51" i="9" a="1"/>
  <c r="AH51" i="9" s="1"/>
  <c r="AD51" i="9" a="1"/>
  <c r="AD51" i="9" s="1"/>
  <c r="Z51" i="9" a="1"/>
  <c r="Z51" i="9" s="1"/>
  <c r="V51" i="9" a="1"/>
  <c r="V51" i="9" s="1"/>
  <c r="R51" i="9" a="1"/>
  <c r="R51" i="9" s="1"/>
  <c r="N51" i="9" a="1"/>
  <c r="N51" i="9" s="1"/>
  <c r="J51" i="9" a="1"/>
  <c r="J51" i="9" s="1"/>
  <c r="F51" i="9" a="1"/>
  <c r="F51" i="9" s="1"/>
  <c r="CL51" i="9" a="1"/>
  <c r="CL51" i="9" s="1"/>
  <c r="CC51" i="9" a="1"/>
  <c r="CC51" i="9" s="1"/>
  <c r="BU51" i="9" a="1"/>
  <c r="BU51" i="9" s="1"/>
  <c r="BM51" i="9" a="1"/>
  <c r="BM51" i="9" s="1"/>
  <c r="BE51" i="9" a="1"/>
  <c r="BE51" i="9" s="1"/>
  <c r="AW51" i="9" a="1"/>
  <c r="AW51" i="9" s="1"/>
  <c r="AO51" i="9" a="1"/>
  <c r="AO51" i="9" s="1"/>
  <c r="AG51" i="9" a="1"/>
  <c r="AG51" i="9" s="1"/>
  <c r="Y51" i="9" a="1"/>
  <c r="Y51" i="9" s="1"/>
  <c r="Q51" i="9" a="1"/>
  <c r="Q51" i="9" s="1"/>
  <c r="I51" i="9" a="1"/>
  <c r="I51" i="9" s="1"/>
  <c r="CK51" i="9" a="1"/>
  <c r="CK51" i="9" s="1"/>
  <c r="CB51" i="9" a="1"/>
  <c r="CB51" i="9" s="1"/>
  <c r="BT51" i="9" a="1"/>
  <c r="BT51" i="9" s="1"/>
  <c r="BL51" i="9" a="1"/>
  <c r="BL51" i="9" s="1"/>
  <c r="BD51" i="9" a="1"/>
  <c r="BD51" i="9" s="1"/>
  <c r="AV51" i="9" a="1"/>
  <c r="AV51" i="9" s="1"/>
  <c r="AN51" i="9" a="1"/>
  <c r="AN51" i="9" s="1"/>
  <c r="AF51" i="9" a="1"/>
  <c r="AF51" i="9" s="1"/>
  <c r="X51" i="9" a="1"/>
  <c r="X51" i="9" s="1"/>
  <c r="P51" i="9" a="1"/>
  <c r="P51" i="9" s="1"/>
  <c r="H51" i="9" a="1"/>
  <c r="H51" i="9" s="1"/>
  <c r="CP51" i="9" a="1"/>
  <c r="CP51" i="9" s="1"/>
  <c r="BY51" i="9" a="1"/>
  <c r="BY51" i="9" s="1"/>
  <c r="BI51" i="9" a="1"/>
  <c r="BI51" i="9" s="1"/>
  <c r="AS51" i="9" a="1"/>
  <c r="AS51" i="9" s="1"/>
  <c r="AC51" i="9" a="1"/>
  <c r="AC51" i="9" s="1"/>
  <c r="M51" i="9" a="1"/>
  <c r="M51" i="9" s="1"/>
  <c r="CO51" i="9" a="1"/>
  <c r="CO51" i="9" s="1"/>
  <c r="BX51" i="9" a="1"/>
  <c r="BX51" i="9" s="1"/>
  <c r="BH51" i="9" a="1"/>
  <c r="BH51" i="9" s="1"/>
  <c r="AR51" i="9" a="1"/>
  <c r="AR51" i="9" s="1"/>
  <c r="AB51" i="9" a="1"/>
  <c r="AB51" i="9" s="1"/>
  <c r="L51" i="9" a="1"/>
  <c r="L51" i="9" s="1"/>
  <c r="CH51" i="9" a="1"/>
  <c r="CH51" i="9" s="1"/>
  <c r="BQ51" i="9" a="1"/>
  <c r="BQ51" i="9" s="1"/>
  <c r="BA51" i="9" a="1"/>
  <c r="BA51" i="9" s="1"/>
  <c r="AK51" i="9" a="1"/>
  <c r="AK51" i="9" s="1"/>
  <c r="U51" i="9" a="1"/>
  <c r="U51" i="9" s="1"/>
  <c r="E51" i="9" a="1"/>
  <c r="E51" i="9" s="1"/>
  <c r="CF51" i="9" a="1"/>
  <c r="CF51" i="9" s="1"/>
  <c r="T51" i="9" a="1"/>
  <c r="T51" i="9" s="1"/>
  <c r="BP51" i="9" a="1"/>
  <c r="BP51" i="9" s="1"/>
  <c r="AZ51" i="9" a="1"/>
  <c r="AZ51" i="9" s="1"/>
  <c r="AJ51" i="9" a="1"/>
  <c r="AJ51" i="9" s="1"/>
  <c r="D285" i="14"/>
  <c r="D513" i="14"/>
  <c r="D665" i="14"/>
  <c r="D26" i="14"/>
  <c r="D127" i="14"/>
  <c r="D123" i="14"/>
  <c r="D119" i="14"/>
  <c r="D115" i="14"/>
  <c r="D111" i="14"/>
  <c r="D107" i="14"/>
  <c r="D105" i="14"/>
  <c r="D99" i="14"/>
  <c r="D198" i="14"/>
  <c r="D190" i="14"/>
  <c r="D182" i="14"/>
  <c r="D233" i="14"/>
  <c r="D224" i="14"/>
  <c r="D216" i="14"/>
  <c r="D278" i="14"/>
  <c r="D270" i="14"/>
  <c r="D262" i="14"/>
  <c r="D254" i="14"/>
  <c r="D288" i="14"/>
  <c r="D357" i="14"/>
  <c r="D354" i="14"/>
  <c r="D353" i="14"/>
  <c r="D350" i="14"/>
  <c r="D349" i="14"/>
  <c r="D346" i="14"/>
  <c r="D345" i="14"/>
  <c r="D342" i="14"/>
  <c r="D341" i="14"/>
  <c r="D338" i="14"/>
  <c r="D337" i="14"/>
  <c r="D334" i="14"/>
  <c r="D333" i="14"/>
  <c r="D330" i="14"/>
  <c r="D385" i="14"/>
  <c r="D381" i="14"/>
  <c r="D368" i="14"/>
  <c r="D406" i="14"/>
  <c r="D468" i="14"/>
  <c r="D460" i="14"/>
  <c r="D452" i="14"/>
  <c r="D444" i="14"/>
  <c r="D483" i="14"/>
  <c r="D545" i="14"/>
  <c r="D537" i="14"/>
  <c r="D529" i="14"/>
  <c r="D521" i="14"/>
  <c r="D559" i="14"/>
  <c r="D621" i="14"/>
  <c r="D613" i="14"/>
  <c r="D605" i="14"/>
  <c r="D597" i="14"/>
  <c r="D634" i="14"/>
  <c r="D685" i="14"/>
  <c r="D677" i="14"/>
  <c r="D675" i="14"/>
  <c r="D668" i="14"/>
  <c r="D735" i="14"/>
  <c r="D726" i="14"/>
  <c r="D718" i="14"/>
  <c r="D710" i="14"/>
  <c r="D551" i="22"/>
  <c r="D1159" i="22"/>
  <c r="D137" i="21"/>
  <c r="D153" i="21"/>
  <c r="D184" i="21"/>
  <c r="AV87" i="9" a="1"/>
  <c r="AV87" i="9" s="1"/>
  <c r="AR87" i="9" a="1"/>
  <c r="AR87" i="9" s="1"/>
  <c r="AN87" i="9" a="1"/>
  <c r="AN87" i="9" s="1"/>
  <c r="AJ87" i="9" a="1"/>
  <c r="AJ87" i="9" s="1"/>
  <c r="AF87" i="9" a="1"/>
  <c r="AF87" i="9" s="1"/>
  <c r="AB87" i="9" a="1"/>
  <c r="AB87" i="9" s="1"/>
  <c r="X87" i="9" a="1"/>
  <c r="X87" i="9" s="1"/>
  <c r="T87" i="9" a="1"/>
  <c r="T87" i="9" s="1"/>
  <c r="P87" i="9" a="1"/>
  <c r="P87" i="9" s="1"/>
  <c r="L87" i="9" a="1"/>
  <c r="L87" i="9" s="1"/>
  <c r="H87" i="9" a="1"/>
  <c r="H87" i="9" s="1"/>
  <c r="AU87" i="9" a="1"/>
  <c r="AU87" i="9" s="1"/>
  <c r="AQ87" i="9" a="1"/>
  <c r="AQ87" i="9" s="1"/>
  <c r="AM87" i="9" a="1"/>
  <c r="AM87" i="9" s="1"/>
  <c r="AI87" i="9" a="1"/>
  <c r="AI87" i="9" s="1"/>
  <c r="AE87" i="9" a="1"/>
  <c r="AE87" i="9" s="1"/>
  <c r="AA87" i="9" a="1"/>
  <c r="AA87" i="9" s="1"/>
  <c r="W87" i="9" a="1"/>
  <c r="W87" i="9" s="1"/>
  <c r="S87" i="9" a="1"/>
  <c r="S87" i="9" s="1"/>
  <c r="O87" i="9" a="1"/>
  <c r="O87" i="9" s="1"/>
  <c r="K87" i="9" a="1"/>
  <c r="K87" i="9" s="1"/>
  <c r="G87" i="9" a="1"/>
  <c r="G87" i="9" s="1"/>
  <c r="AP87" i="9" a="1"/>
  <c r="AP87" i="9" s="1"/>
  <c r="AH87" i="9" a="1"/>
  <c r="AH87" i="9" s="1"/>
  <c r="Z87" i="9" a="1"/>
  <c r="Z87" i="9" s="1"/>
  <c r="R87" i="9" a="1"/>
  <c r="R87" i="9" s="1"/>
  <c r="J87" i="9" a="1"/>
  <c r="J87" i="9" s="1"/>
  <c r="AW87" i="9" a="1"/>
  <c r="AW87" i="9" s="1"/>
  <c r="AO87" i="9" a="1"/>
  <c r="AO87" i="9" s="1"/>
  <c r="AG87" i="9" a="1"/>
  <c r="AG87" i="9" s="1"/>
  <c r="Y87" i="9" a="1"/>
  <c r="Y87" i="9" s="1"/>
  <c r="Q87" i="9" a="1"/>
  <c r="Q87" i="9" s="1"/>
  <c r="I87" i="9" a="1"/>
  <c r="I87" i="9" s="1"/>
  <c r="AL87" i="9" a="1"/>
  <c r="AL87" i="9" s="1"/>
  <c r="V87" i="9" a="1"/>
  <c r="V87" i="9" s="1"/>
  <c r="F87" i="9" a="1"/>
  <c r="F87" i="9" s="1"/>
  <c r="AK87" i="9" a="1"/>
  <c r="AK87" i="9" s="1"/>
  <c r="U87" i="9" a="1"/>
  <c r="U87" i="9" s="1"/>
  <c r="E87" i="9" a="1"/>
  <c r="E87" i="9" s="1"/>
  <c r="AD87" i="9" a="1"/>
  <c r="AD87" i="9" s="1"/>
  <c r="AC87" i="9" a="1"/>
  <c r="AC87" i="9" s="1"/>
  <c r="N87" i="9" a="1"/>
  <c r="N87" i="9" s="1"/>
  <c r="M87" i="9" a="1"/>
  <c r="M87" i="9" s="1"/>
  <c r="AT87" i="9" a="1"/>
  <c r="AT87" i="9" s="1"/>
  <c r="AS87" i="9" a="1"/>
  <c r="AS87" i="9" s="1"/>
  <c r="AW83" i="9" a="1"/>
  <c r="AW83" i="9" s="1"/>
  <c r="AS83" i="9" a="1"/>
  <c r="AS83" i="9" s="1"/>
  <c r="AO83" i="9" a="1"/>
  <c r="AO83" i="9" s="1"/>
  <c r="AK83" i="9" a="1"/>
  <c r="AK83" i="9" s="1"/>
  <c r="AG83" i="9" a="1"/>
  <c r="AG83" i="9" s="1"/>
  <c r="AC83" i="9" a="1"/>
  <c r="AC83" i="9" s="1"/>
  <c r="Y83" i="9" a="1"/>
  <c r="Y83" i="9" s="1"/>
  <c r="U83" i="9" a="1"/>
  <c r="U83" i="9" s="1"/>
  <c r="Q83" i="9" a="1"/>
  <c r="Q83" i="9" s="1"/>
  <c r="M83" i="9" a="1"/>
  <c r="M83" i="9" s="1"/>
  <c r="I83" i="9" a="1"/>
  <c r="I83" i="9" s="1"/>
  <c r="E83" i="9" a="1"/>
  <c r="E83" i="9" s="1"/>
  <c r="AV83" i="9" a="1"/>
  <c r="AV83" i="9" s="1"/>
  <c r="AR83" i="9" a="1"/>
  <c r="AR83" i="9" s="1"/>
  <c r="AM83" i="9" a="1"/>
  <c r="AM83" i="9" s="1"/>
  <c r="AH83" i="9" a="1"/>
  <c r="AH83" i="9" s="1"/>
  <c r="AB83" i="9" a="1"/>
  <c r="AB83" i="9" s="1"/>
  <c r="W83" i="9" a="1"/>
  <c r="W83" i="9" s="1"/>
  <c r="R83" i="9" a="1"/>
  <c r="R83" i="9" s="1"/>
  <c r="L83" i="9" a="1"/>
  <c r="L83" i="9" s="1"/>
  <c r="G83" i="9" a="1"/>
  <c r="G83" i="9" s="1"/>
  <c r="AQ83" i="9" a="1"/>
  <c r="AQ83" i="9" s="1"/>
  <c r="AL83" i="9" a="1"/>
  <c r="AL83" i="9" s="1"/>
  <c r="AF83" i="9" a="1"/>
  <c r="AF83" i="9" s="1"/>
  <c r="AA83" i="9" a="1"/>
  <c r="AA83" i="9" s="1"/>
  <c r="V83" i="9" a="1"/>
  <c r="V83" i="9" s="1"/>
  <c r="P83" i="9" a="1"/>
  <c r="P83" i="9" s="1"/>
  <c r="K83" i="9" a="1"/>
  <c r="K83" i="9" s="1"/>
  <c r="F83" i="9" a="1"/>
  <c r="F83" i="9" s="1"/>
  <c r="AU83" i="9" a="1"/>
  <c r="AU83" i="9" s="1"/>
  <c r="AJ83" i="9" a="1"/>
  <c r="AJ83" i="9" s="1"/>
  <c r="Z83" i="9" a="1"/>
  <c r="Z83" i="9" s="1"/>
  <c r="O83" i="9" a="1"/>
  <c r="O83" i="9" s="1"/>
  <c r="AT83" i="9" a="1"/>
  <c r="AT83" i="9" s="1"/>
  <c r="AI83" i="9" a="1"/>
  <c r="AI83" i="9" s="1"/>
  <c r="X83" i="9" a="1"/>
  <c r="X83" i="9" s="1"/>
  <c r="N83" i="9" a="1"/>
  <c r="N83" i="9" s="1"/>
  <c r="AP83" i="9" a="1"/>
  <c r="AP83" i="9" s="1"/>
  <c r="T83" i="9" a="1"/>
  <c r="T83" i="9" s="1"/>
  <c r="AN83" i="9" a="1"/>
  <c r="AN83" i="9" s="1"/>
  <c r="S83" i="9" a="1"/>
  <c r="S83" i="9" s="1"/>
  <c r="AE83" i="9" a="1"/>
  <c r="AE83" i="9" s="1"/>
  <c r="AD83" i="9" a="1"/>
  <c r="AD83" i="9" s="1"/>
  <c r="J83" i="9" a="1"/>
  <c r="J83" i="9" s="1"/>
  <c r="H83" i="9" a="1"/>
  <c r="H83" i="9" s="1"/>
  <c r="AT67" i="9" a="1"/>
  <c r="AT67" i="9" s="1"/>
  <c r="AP67" i="9" a="1"/>
  <c r="AP67" i="9" s="1"/>
  <c r="AL67" i="9" a="1"/>
  <c r="AL67" i="9" s="1"/>
  <c r="AH67" i="9" a="1"/>
  <c r="AH67" i="9" s="1"/>
  <c r="AD67" i="9" a="1"/>
  <c r="AD67" i="9" s="1"/>
  <c r="Z67" i="9" a="1"/>
  <c r="Z67" i="9" s="1"/>
  <c r="V67" i="9" a="1"/>
  <c r="V67" i="9" s="1"/>
  <c r="R67" i="9" a="1"/>
  <c r="R67" i="9" s="1"/>
  <c r="N67" i="9" a="1"/>
  <c r="N67" i="9" s="1"/>
  <c r="J67" i="9" a="1"/>
  <c r="J67" i="9" s="1"/>
  <c r="F67" i="9" a="1"/>
  <c r="F67" i="9" s="1"/>
  <c r="AW67" i="9" a="1"/>
  <c r="AW67" i="9" s="1"/>
  <c r="AS67" i="9" a="1"/>
  <c r="AS67" i="9" s="1"/>
  <c r="AO67" i="9" a="1"/>
  <c r="AO67" i="9" s="1"/>
  <c r="AK67" i="9" a="1"/>
  <c r="AK67" i="9" s="1"/>
  <c r="AG67" i="9" a="1"/>
  <c r="AG67" i="9" s="1"/>
  <c r="AC67" i="9" a="1"/>
  <c r="AC67" i="9" s="1"/>
  <c r="Y67" i="9" a="1"/>
  <c r="Y67" i="9" s="1"/>
  <c r="U67" i="9" a="1"/>
  <c r="U67" i="9" s="1"/>
  <c r="Q67" i="9" a="1"/>
  <c r="Q67" i="9" s="1"/>
  <c r="M67" i="9" a="1"/>
  <c r="M67" i="9" s="1"/>
  <c r="I67" i="9" a="1"/>
  <c r="I67" i="9" s="1"/>
  <c r="E67" i="9" a="1"/>
  <c r="E67" i="9" s="1"/>
  <c r="AR67" i="9" a="1"/>
  <c r="AR67" i="9" s="1"/>
  <c r="AJ67" i="9" a="1"/>
  <c r="AJ67" i="9" s="1"/>
  <c r="AB67" i="9" a="1"/>
  <c r="AB67" i="9" s="1"/>
  <c r="T67" i="9" a="1"/>
  <c r="T67" i="9" s="1"/>
  <c r="L67" i="9" a="1"/>
  <c r="L67" i="9" s="1"/>
  <c r="AQ67" i="9" a="1"/>
  <c r="AQ67" i="9" s="1"/>
  <c r="AI67" i="9" a="1"/>
  <c r="AI67" i="9" s="1"/>
  <c r="AA67" i="9" a="1"/>
  <c r="AA67" i="9" s="1"/>
  <c r="S67" i="9" a="1"/>
  <c r="S67" i="9" s="1"/>
  <c r="K67" i="9" a="1"/>
  <c r="K67" i="9" s="1"/>
  <c r="AV67" i="9" a="1"/>
  <c r="AV67" i="9" s="1"/>
  <c r="AF67" i="9" a="1"/>
  <c r="AF67" i="9" s="1"/>
  <c r="P67" i="9" a="1"/>
  <c r="P67" i="9" s="1"/>
  <c r="AU67" i="9" a="1"/>
  <c r="AU67" i="9" s="1"/>
  <c r="AE67" i="9" a="1"/>
  <c r="AE67" i="9" s="1"/>
  <c r="O67" i="9" a="1"/>
  <c r="O67" i="9" s="1"/>
  <c r="AN67" i="9" a="1"/>
  <c r="AN67" i="9" s="1"/>
  <c r="X67" i="9" a="1"/>
  <c r="X67" i="9" s="1"/>
  <c r="H67" i="9" a="1"/>
  <c r="H67" i="9" s="1"/>
  <c r="G67" i="9" a="1"/>
  <c r="G67" i="9" s="1"/>
  <c r="AM67" i="9" a="1"/>
  <c r="AM67" i="9" s="1"/>
  <c r="W67" i="9" a="1"/>
  <c r="W67" i="9" s="1"/>
  <c r="CR20" i="9" a="1"/>
  <c r="CR20" i="9" s="1"/>
  <c r="CN20" i="9" a="1"/>
  <c r="CN20" i="9" s="1"/>
  <c r="CJ20" i="9" a="1"/>
  <c r="CJ20" i="9" s="1"/>
  <c r="CE20" i="9" a="1"/>
  <c r="CE20" i="9" s="1"/>
  <c r="CA20" i="9" a="1"/>
  <c r="CA20" i="9" s="1"/>
  <c r="BW20" i="9" a="1"/>
  <c r="BW20" i="9" s="1"/>
  <c r="BS20" i="9" a="1"/>
  <c r="BS20" i="9" s="1"/>
  <c r="BO20" i="9" a="1"/>
  <c r="BO20" i="9" s="1"/>
  <c r="BK20" i="9" a="1"/>
  <c r="BK20" i="9" s="1"/>
  <c r="BG20" i="9" a="1"/>
  <c r="BG20" i="9" s="1"/>
  <c r="BC20" i="9" a="1"/>
  <c r="BC20" i="9" s="1"/>
  <c r="AY20" i="9" a="1"/>
  <c r="AY20" i="9" s="1"/>
  <c r="AU20" i="9" a="1"/>
  <c r="AU20" i="9" s="1"/>
  <c r="AQ20" i="9" a="1"/>
  <c r="AQ20" i="9" s="1"/>
  <c r="AM20" i="9" a="1"/>
  <c r="AM20" i="9" s="1"/>
  <c r="AI20" i="9" a="1"/>
  <c r="AI20" i="9" s="1"/>
  <c r="AE20" i="9" a="1"/>
  <c r="AE20" i="9" s="1"/>
  <c r="AA20" i="9" a="1"/>
  <c r="AA20" i="9" s="1"/>
  <c r="W20" i="9" a="1"/>
  <c r="W20" i="9" s="1"/>
  <c r="S20" i="9" a="1"/>
  <c r="S20" i="9" s="1"/>
  <c r="O20" i="9" a="1"/>
  <c r="O20" i="9" s="1"/>
  <c r="K20" i="9" a="1"/>
  <c r="K20" i="9" s="1"/>
  <c r="G20" i="9" a="1"/>
  <c r="G20" i="9" s="1"/>
  <c r="CQ20" i="9" a="1"/>
  <c r="CQ20" i="9" s="1"/>
  <c r="CM20" i="9" a="1"/>
  <c r="CM20" i="9" s="1"/>
  <c r="CI20" i="9" a="1"/>
  <c r="CI20" i="9" s="1"/>
  <c r="CD20" i="9" a="1"/>
  <c r="CD20" i="9" s="1"/>
  <c r="BZ20" i="9" a="1"/>
  <c r="BZ20" i="9" s="1"/>
  <c r="BV20" i="9" a="1"/>
  <c r="BV20" i="9" s="1"/>
  <c r="BR20" i="9" a="1"/>
  <c r="BR20" i="9" s="1"/>
  <c r="BN20" i="9" a="1"/>
  <c r="BN20" i="9" s="1"/>
  <c r="BJ20" i="9" a="1"/>
  <c r="BJ20" i="9" s="1"/>
  <c r="BF20" i="9" a="1"/>
  <c r="BF20" i="9" s="1"/>
  <c r="BB20" i="9" a="1"/>
  <c r="BB20" i="9" s="1"/>
  <c r="AX20" i="9" a="1"/>
  <c r="AX20" i="9" s="1"/>
  <c r="AT20" i="9" a="1"/>
  <c r="AT20" i="9" s="1"/>
  <c r="AP20" i="9" a="1"/>
  <c r="AP20" i="9" s="1"/>
  <c r="AL20" i="9" a="1"/>
  <c r="AL20" i="9" s="1"/>
  <c r="AH20" i="9" a="1"/>
  <c r="AH20" i="9" s="1"/>
  <c r="AD20" i="9" a="1"/>
  <c r="AD20" i="9" s="1"/>
  <c r="Z20" i="9" a="1"/>
  <c r="Z20" i="9" s="1"/>
  <c r="V20" i="9" a="1"/>
  <c r="V20" i="9" s="1"/>
  <c r="R20" i="9" a="1"/>
  <c r="R20" i="9" s="1"/>
  <c r="N20" i="9" a="1"/>
  <c r="N20" i="9" s="1"/>
  <c r="J20" i="9" a="1"/>
  <c r="J20" i="9" s="1"/>
  <c r="F20" i="9" a="1"/>
  <c r="F20" i="9" s="1"/>
  <c r="CK20" i="9" a="1"/>
  <c r="CK20" i="9" s="1"/>
  <c r="CB20" i="9" a="1"/>
  <c r="CB20" i="9" s="1"/>
  <c r="BT20" i="9" a="1"/>
  <c r="BT20" i="9" s="1"/>
  <c r="BL20" i="9" a="1"/>
  <c r="BL20" i="9" s="1"/>
  <c r="BD20" i="9" a="1"/>
  <c r="BD20" i="9" s="1"/>
  <c r="AV20" i="9" a="1"/>
  <c r="AV20" i="9" s="1"/>
  <c r="AN20" i="9" a="1"/>
  <c r="AN20" i="9" s="1"/>
  <c r="AF20" i="9" a="1"/>
  <c r="AF20" i="9" s="1"/>
  <c r="X20" i="9" a="1"/>
  <c r="X20" i="9" s="1"/>
  <c r="P20" i="9" a="1"/>
  <c r="P20" i="9" s="1"/>
  <c r="H20" i="9" a="1"/>
  <c r="H20" i="9" s="1"/>
  <c r="CP20" i="9" a="1"/>
  <c r="CP20" i="9" s="1"/>
  <c r="CH20" i="9" a="1"/>
  <c r="CH20" i="9" s="1"/>
  <c r="BY20" i="9" a="1"/>
  <c r="BY20" i="9" s="1"/>
  <c r="BQ20" i="9" a="1"/>
  <c r="BQ20" i="9" s="1"/>
  <c r="BI20" i="9" a="1"/>
  <c r="BI20" i="9" s="1"/>
  <c r="BA20" i="9" a="1"/>
  <c r="BA20" i="9" s="1"/>
  <c r="AS20" i="9" a="1"/>
  <c r="AS20" i="9" s="1"/>
  <c r="AK20" i="9" a="1"/>
  <c r="AK20" i="9" s="1"/>
  <c r="AC20" i="9" a="1"/>
  <c r="AC20" i="9" s="1"/>
  <c r="U20" i="9" a="1"/>
  <c r="U20" i="9" s="1"/>
  <c r="M20" i="9" a="1"/>
  <c r="M20" i="9" s="1"/>
  <c r="E20" i="9" a="1"/>
  <c r="E20" i="9" s="1"/>
  <c r="CO20" i="9" a="1"/>
  <c r="CO20" i="9" s="1"/>
  <c r="CF20" i="9" a="1"/>
  <c r="CF20" i="9" s="1"/>
  <c r="BX20" i="9" a="1"/>
  <c r="BX20" i="9" s="1"/>
  <c r="BP20" i="9" a="1"/>
  <c r="BP20" i="9" s="1"/>
  <c r="BH20" i="9" a="1"/>
  <c r="BH20" i="9" s="1"/>
  <c r="AZ20" i="9" a="1"/>
  <c r="AZ20" i="9" s="1"/>
  <c r="AR20" i="9" a="1"/>
  <c r="AR20" i="9" s="1"/>
  <c r="AJ20" i="9" a="1"/>
  <c r="AJ20" i="9" s="1"/>
  <c r="AB20" i="9" a="1"/>
  <c r="AB20" i="9" s="1"/>
  <c r="T20" i="9" a="1"/>
  <c r="T20" i="9" s="1"/>
  <c r="L20" i="9" a="1"/>
  <c r="L20" i="9" s="1"/>
  <c r="CL20" i="9" a="1"/>
  <c r="CL20" i="9" s="1"/>
  <c r="CC20" i="9" a="1"/>
  <c r="CC20" i="9" s="1"/>
  <c r="BU20" i="9" a="1"/>
  <c r="BU20" i="9" s="1"/>
  <c r="BM20" i="9" a="1"/>
  <c r="BM20" i="9" s="1"/>
  <c r="BE20" i="9" a="1"/>
  <c r="BE20" i="9" s="1"/>
  <c r="AW20" i="9" a="1"/>
  <c r="AW20" i="9" s="1"/>
  <c r="AO20" i="9" a="1"/>
  <c r="AO20" i="9" s="1"/>
  <c r="AG20" i="9" a="1"/>
  <c r="AG20" i="9" s="1"/>
  <c r="Y20" i="9" a="1"/>
  <c r="Y20" i="9" s="1"/>
  <c r="Q20" i="9" a="1"/>
  <c r="Q20" i="9" s="1"/>
  <c r="I20" i="9" a="1"/>
  <c r="I20" i="9" s="1"/>
  <c r="CR24" i="9" a="1"/>
  <c r="CR24" i="9" s="1"/>
  <c r="CN24" i="9" a="1"/>
  <c r="CN24" i="9" s="1"/>
  <c r="CJ24" i="9" a="1"/>
  <c r="CJ24" i="9" s="1"/>
  <c r="CE24" i="9" a="1"/>
  <c r="CE24" i="9" s="1"/>
  <c r="CA24" i="9" a="1"/>
  <c r="CA24" i="9" s="1"/>
  <c r="BW24" i="9" a="1"/>
  <c r="BW24" i="9" s="1"/>
  <c r="BS24" i="9" a="1"/>
  <c r="BS24" i="9" s="1"/>
  <c r="BO24" i="9" a="1"/>
  <c r="BO24" i="9" s="1"/>
  <c r="BK24" i="9" a="1"/>
  <c r="BK24" i="9" s="1"/>
  <c r="BG24" i="9" a="1"/>
  <c r="BG24" i="9" s="1"/>
  <c r="BC24" i="9" a="1"/>
  <c r="BC24" i="9" s="1"/>
  <c r="AY24" i="9" a="1"/>
  <c r="AY24" i="9" s="1"/>
  <c r="AU24" i="9" a="1"/>
  <c r="AU24" i="9" s="1"/>
  <c r="AQ24" i="9" a="1"/>
  <c r="AQ24" i="9" s="1"/>
  <c r="AM24" i="9" a="1"/>
  <c r="AM24" i="9" s="1"/>
  <c r="AI24" i="9" a="1"/>
  <c r="AI24" i="9" s="1"/>
  <c r="AE24" i="9" a="1"/>
  <c r="AE24" i="9" s="1"/>
  <c r="AA24" i="9" a="1"/>
  <c r="AA24" i="9" s="1"/>
  <c r="W24" i="9" a="1"/>
  <c r="W24" i="9" s="1"/>
  <c r="S24" i="9" a="1"/>
  <c r="S24" i="9" s="1"/>
  <c r="O24" i="9" a="1"/>
  <c r="O24" i="9" s="1"/>
  <c r="K24" i="9" a="1"/>
  <c r="K24" i="9" s="1"/>
  <c r="G24" i="9" a="1"/>
  <c r="G24" i="9" s="1"/>
  <c r="CQ24" i="9" a="1"/>
  <c r="CQ24" i="9" s="1"/>
  <c r="CM24" i="9" a="1"/>
  <c r="CM24" i="9" s="1"/>
  <c r="CI24" i="9" a="1"/>
  <c r="CI24" i="9" s="1"/>
  <c r="CD24" i="9" a="1"/>
  <c r="CD24" i="9" s="1"/>
  <c r="BZ24" i="9" a="1"/>
  <c r="BZ24" i="9" s="1"/>
  <c r="BV24" i="9" a="1"/>
  <c r="BV24" i="9" s="1"/>
  <c r="BR24" i="9" a="1"/>
  <c r="BR24" i="9" s="1"/>
  <c r="BN24" i="9" a="1"/>
  <c r="BN24" i="9" s="1"/>
  <c r="BJ24" i="9" a="1"/>
  <c r="BJ24" i="9" s="1"/>
  <c r="BF24" i="9" a="1"/>
  <c r="BF24" i="9" s="1"/>
  <c r="BB24" i="9" a="1"/>
  <c r="BB24" i="9" s="1"/>
  <c r="AX24" i="9" a="1"/>
  <c r="AX24" i="9" s="1"/>
  <c r="AT24" i="9" a="1"/>
  <c r="AT24" i="9" s="1"/>
  <c r="AP24" i="9" a="1"/>
  <c r="AP24" i="9" s="1"/>
  <c r="AL24" i="9" a="1"/>
  <c r="AL24" i="9" s="1"/>
  <c r="AH24" i="9" a="1"/>
  <c r="AH24" i="9" s="1"/>
  <c r="AD24" i="9" a="1"/>
  <c r="AD24" i="9" s="1"/>
  <c r="Z24" i="9" a="1"/>
  <c r="Z24" i="9" s="1"/>
  <c r="V24" i="9" a="1"/>
  <c r="V24" i="9" s="1"/>
  <c r="R24" i="9" a="1"/>
  <c r="R24" i="9" s="1"/>
  <c r="N24" i="9" a="1"/>
  <c r="N24" i="9" s="1"/>
  <c r="J24" i="9" a="1"/>
  <c r="J24" i="9" s="1"/>
  <c r="F24" i="9" a="1"/>
  <c r="F24" i="9" s="1"/>
  <c r="CO24" i="9" a="1"/>
  <c r="CO24" i="9" s="1"/>
  <c r="CF24" i="9" a="1"/>
  <c r="CF24" i="9" s="1"/>
  <c r="BX24" i="9" a="1"/>
  <c r="BX24" i="9" s="1"/>
  <c r="BP24" i="9" a="1"/>
  <c r="BP24" i="9" s="1"/>
  <c r="BH24" i="9" a="1"/>
  <c r="BH24" i="9" s="1"/>
  <c r="AZ24" i="9" a="1"/>
  <c r="AZ24" i="9" s="1"/>
  <c r="AR24" i="9" a="1"/>
  <c r="AR24" i="9" s="1"/>
  <c r="AJ24" i="9" a="1"/>
  <c r="AJ24" i="9" s="1"/>
  <c r="AB24" i="9" a="1"/>
  <c r="AB24" i="9" s="1"/>
  <c r="T24" i="9" a="1"/>
  <c r="T24" i="9" s="1"/>
  <c r="L24" i="9" a="1"/>
  <c r="L24" i="9" s="1"/>
  <c r="CL24" i="9" a="1"/>
  <c r="CL24" i="9" s="1"/>
  <c r="CC24" i="9" a="1"/>
  <c r="CC24" i="9" s="1"/>
  <c r="BU24" i="9" a="1"/>
  <c r="BU24" i="9" s="1"/>
  <c r="BM24" i="9" a="1"/>
  <c r="BM24" i="9" s="1"/>
  <c r="BE24" i="9" a="1"/>
  <c r="BE24" i="9" s="1"/>
  <c r="AW24" i="9" a="1"/>
  <c r="AW24" i="9" s="1"/>
  <c r="AO24" i="9" a="1"/>
  <c r="AO24" i="9" s="1"/>
  <c r="AG24" i="9" a="1"/>
  <c r="AG24" i="9" s="1"/>
  <c r="Y24" i="9" a="1"/>
  <c r="Y24" i="9" s="1"/>
  <c r="Q24" i="9" a="1"/>
  <c r="Q24" i="9" s="1"/>
  <c r="I24" i="9" a="1"/>
  <c r="I24" i="9" s="1"/>
  <c r="CK24" i="9" a="1"/>
  <c r="CK24" i="9" s="1"/>
  <c r="CB24" i="9" a="1"/>
  <c r="CB24" i="9" s="1"/>
  <c r="BT24" i="9" a="1"/>
  <c r="BT24" i="9" s="1"/>
  <c r="BL24" i="9" a="1"/>
  <c r="BL24" i="9" s="1"/>
  <c r="BD24" i="9" a="1"/>
  <c r="BD24" i="9" s="1"/>
  <c r="AV24" i="9" a="1"/>
  <c r="AV24" i="9" s="1"/>
  <c r="AN24" i="9" a="1"/>
  <c r="AN24" i="9" s="1"/>
  <c r="AF24" i="9" a="1"/>
  <c r="AF24" i="9" s="1"/>
  <c r="X24" i="9" a="1"/>
  <c r="X24" i="9" s="1"/>
  <c r="P24" i="9" a="1"/>
  <c r="P24" i="9" s="1"/>
  <c r="H24" i="9" a="1"/>
  <c r="H24" i="9" s="1"/>
  <c r="CP24" i="9" a="1"/>
  <c r="CP24" i="9" s="1"/>
  <c r="CH24" i="9" a="1"/>
  <c r="CH24" i="9" s="1"/>
  <c r="BY24" i="9" a="1"/>
  <c r="BY24" i="9" s="1"/>
  <c r="BQ24" i="9" a="1"/>
  <c r="BQ24" i="9" s="1"/>
  <c r="BI24" i="9" a="1"/>
  <c r="BI24" i="9" s="1"/>
  <c r="BA24" i="9" a="1"/>
  <c r="BA24" i="9" s="1"/>
  <c r="AS24" i="9" a="1"/>
  <c r="AS24" i="9" s="1"/>
  <c r="AK24" i="9" a="1"/>
  <c r="AK24" i="9" s="1"/>
  <c r="AC24" i="9" a="1"/>
  <c r="AC24" i="9" s="1"/>
  <c r="U24" i="9" a="1"/>
  <c r="U24" i="9" s="1"/>
  <c r="M24" i="9" a="1"/>
  <c r="M24" i="9" s="1"/>
  <c r="E24" i="9" a="1"/>
  <c r="E24" i="9" s="1"/>
  <c r="CR28" i="9" a="1"/>
  <c r="CR28" i="9" s="1"/>
  <c r="CN28" i="9" a="1"/>
  <c r="CN28" i="9" s="1"/>
  <c r="CJ28" i="9" a="1"/>
  <c r="CJ28" i="9" s="1"/>
  <c r="CE28" i="9" a="1"/>
  <c r="CE28" i="9" s="1"/>
  <c r="CA28" i="9" a="1"/>
  <c r="CA28" i="9" s="1"/>
  <c r="BW28" i="9" a="1"/>
  <c r="BW28" i="9" s="1"/>
  <c r="BS28" i="9" a="1"/>
  <c r="BS28" i="9" s="1"/>
  <c r="BO28" i="9" a="1"/>
  <c r="BO28" i="9" s="1"/>
  <c r="BK28" i="9" a="1"/>
  <c r="BK28" i="9" s="1"/>
  <c r="BG28" i="9" a="1"/>
  <c r="BG28" i="9" s="1"/>
  <c r="BC28" i="9" a="1"/>
  <c r="BC28" i="9" s="1"/>
  <c r="AY28" i="9" a="1"/>
  <c r="AY28" i="9" s="1"/>
  <c r="AU28" i="9" a="1"/>
  <c r="AU28" i="9" s="1"/>
  <c r="AQ28" i="9" a="1"/>
  <c r="AQ28" i="9" s="1"/>
  <c r="AM28" i="9" a="1"/>
  <c r="AM28" i="9" s="1"/>
  <c r="AI28" i="9" a="1"/>
  <c r="AI28" i="9" s="1"/>
  <c r="AE28" i="9" a="1"/>
  <c r="AE28" i="9" s="1"/>
  <c r="AA28" i="9" a="1"/>
  <c r="AA28" i="9" s="1"/>
  <c r="W28" i="9" a="1"/>
  <c r="W28" i="9" s="1"/>
  <c r="S28" i="9" a="1"/>
  <c r="S28" i="9" s="1"/>
  <c r="O28" i="9" a="1"/>
  <c r="O28" i="9" s="1"/>
  <c r="K28" i="9" a="1"/>
  <c r="K28" i="9" s="1"/>
  <c r="G28" i="9" a="1"/>
  <c r="G28" i="9" s="1"/>
  <c r="CQ28" i="9" a="1"/>
  <c r="CQ28" i="9" s="1"/>
  <c r="CM28" i="9" a="1"/>
  <c r="CM28" i="9" s="1"/>
  <c r="CI28" i="9" a="1"/>
  <c r="CI28" i="9" s="1"/>
  <c r="CD28" i="9" a="1"/>
  <c r="CD28" i="9" s="1"/>
  <c r="BZ28" i="9" a="1"/>
  <c r="BZ28" i="9" s="1"/>
  <c r="BV28" i="9" a="1"/>
  <c r="BV28" i="9" s="1"/>
  <c r="BR28" i="9" a="1"/>
  <c r="BR28" i="9" s="1"/>
  <c r="BN28" i="9" a="1"/>
  <c r="BN28" i="9" s="1"/>
  <c r="BJ28" i="9" a="1"/>
  <c r="BJ28" i="9" s="1"/>
  <c r="BF28" i="9" a="1"/>
  <c r="BF28" i="9" s="1"/>
  <c r="BB28" i="9" a="1"/>
  <c r="BB28" i="9" s="1"/>
  <c r="AX28" i="9" a="1"/>
  <c r="AX28" i="9" s="1"/>
  <c r="AT28" i="9" a="1"/>
  <c r="AT28" i="9" s="1"/>
  <c r="AP28" i="9" a="1"/>
  <c r="AP28" i="9" s="1"/>
  <c r="AL28" i="9" a="1"/>
  <c r="AL28" i="9" s="1"/>
  <c r="AH28" i="9" a="1"/>
  <c r="AH28" i="9" s="1"/>
  <c r="AD28" i="9" a="1"/>
  <c r="AD28" i="9" s="1"/>
  <c r="Z28" i="9" a="1"/>
  <c r="Z28" i="9" s="1"/>
  <c r="V28" i="9" a="1"/>
  <c r="V28" i="9" s="1"/>
  <c r="R28" i="9" a="1"/>
  <c r="R28" i="9" s="1"/>
  <c r="N28" i="9" a="1"/>
  <c r="N28" i="9" s="1"/>
  <c r="J28" i="9" a="1"/>
  <c r="J28" i="9" s="1"/>
  <c r="F28" i="9" a="1"/>
  <c r="F28" i="9" s="1"/>
  <c r="CK28" i="9" a="1"/>
  <c r="CK28" i="9" s="1"/>
  <c r="CB28" i="9" a="1"/>
  <c r="CB28" i="9" s="1"/>
  <c r="BT28" i="9" a="1"/>
  <c r="BT28" i="9" s="1"/>
  <c r="BL28" i="9" a="1"/>
  <c r="BL28" i="9" s="1"/>
  <c r="BD28" i="9" a="1"/>
  <c r="BD28" i="9" s="1"/>
  <c r="AV28" i="9" a="1"/>
  <c r="AV28" i="9" s="1"/>
  <c r="AN28" i="9" a="1"/>
  <c r="AN28" i="9" s="1"/>
  <c r="AF28" i="9" a="1"/>
  <c r="AF28" i="9" s="1"/>
  <c r="X28" i="9" a="1"/>
  <c r="X28" i="9" s="1"/>
  <c r="P28" i="9" a="1"/>
  <c r="P28" i="9" s="1"/>
  <c r="H28" i="9" a="1"/>
  <c r="H28" i="9" s="1"/>
  <c r="CP28" i="9" a="1"/>
  <c r="CP28" i="9" s="1"/>
  <c r="CH28" i="9" a="1"/>
  <c r="CH28" i="9" s="1"/>
  <c r="BY28" i="9" a="1"/>
  <c r="BY28" i="9" s="1"/>
  <c r="BQ28" i="9" a="1"/>
  <c r="BQ28" i="9" s="1"/>
  <c r="BI28" i="9" a="1"/>
  <c r="BI28" i="9" s="1"/>
  <c r="BA28" i="9" a="1"/>
  <c r="BA28" i="9" s="1"/>
  <c r="AS28" i="9" a="1"/>
  <c r="AS28" i="9" s="1"/>
  <c r="AK28" i="9" a="1"/>
  <c r="AK28" i="9" s="1"/>
  <c r="AC28" i="9" a="1"/>
  <c r="AC28" i="9" s="1"/>
  <c r="U28" i="9" a="1"/>
  <c r="U28" i="9" s="1"/>
  <c r="M28" i="9" a="1"/>
  <c r="M28" i="9" s="1"/>
  <c r="E28" i="9" a="1"/>
  <c r="E28" i="9" s="1"/>
  <c r="CO28" i="9" a="1"/>
  <c r="CO28" i="9" s="1"/>
  <c r="CF28" i="9" a="1"/>
  <c r="CF28" i="9" s="1"/>
  <c r="BX28" i="9" a="1"/>
  <c r="BX28" i="9" s="1"/>
  <c r="BP28" i="9" a="1"/>
  <c r="BP28" i="9" s="1"/>
  <c r="BH28" i="9" a="1"/>
  <c r="BH28" i="9" s="1"/>
  <c r="AZ28" i="9" a="1"/>
  <c r="AZ28" i="9" s="1"/>
  <c r="AR28" i="9" a="1"/>
  <c r="AR28" i="9" s="1"/>
  <c r="AJ28" i="9" a="1"/>
  <c r="AJ28" i="9" s="1"/>
  <c r="AB28" i="9" a="1"/>
  <c r="AB28" i="9" s="1"/>
  <c r="T28" i="9" a="1"/>
  <c r="T28" i="9" s="1"/>
  <c r="L28" i="9" a="1"/>
  <c r="L28" i="9" s="1"/>
  <c r="CL28" i="9" a="1"/>
  <c r="CL28" i="9" s="1"/>
  <c r="CC28" i="9" a="1"/>
  <c r="CC28" i="9" s="1"/>
  <c r="BU28" i="9" a="1"/>
  <c r="BU28" i="9" s="1"/>
  <c r="BM28" i="9" a="1"/>
  <c r="BM28" i="9" s="1"/>
  <c r="BE28" i="9" a="1"/>
  <c r="BE28" i="9" s="1"/>
  <c r="AW28" i="9" a="1"/>
  <c r="AW28" i="9" s="1"/>
  <c r="AO28" i="9" a="1"/>
  <c r="AO28" i="9" s="1"/>
  <c r="AG28" i="9" a="1"/>
  <c r="AG28" i="9" s="1"/>
  <c r="Y28" i="9" a="1"/>
  <c r="Y28" i="9" s="1"/>
  <c r="Q28" i="9" a="1"/>
  <c r="Q28" i="9" s="1"/>
  <c r="I28" i="9" a="1"/>
  <c r="I28" i="9" s="1"/>
  <c r="CR32" i="9" a="1"/>
  <c r="CR32" i="9" s="1"/>
  <c r="CN32" i="9" a="1"/>
  <c r="CN32" i="9" s="1"/>
  <c r="CJ32" i="9" a="1"/>
  <c r="CJ32" i="9" s="1"/>
  <c r="CE32" i="9" a="1"/>
  <c r="CE32" i="9" s="1"/>
  <c r="CA32" i="9" a="1"/>
  <c r="CA32" i="9" s="1"/>
  <c r="BW32" i="9" a="1"/>
  <c r="BW32" i="9" s="1"/>
  <c r="BS32" i="9" a="1"/>
  <c r="BS32" i="9" s="1"/>
  <c r="BO32" i="9" a="1"/>
  <c r="BO32" i="9" s="1"/>
  <c r="BK32" i="9" a="1"/>
  <c r="BK32" i="9" s="1"/>
  <c r="BG32" i="9" a="1"/>
  <c r="BG32" i="9" s="1"/>
  <c r="BC32" i="9" a="1"/>
  <c r="BC32" i="9" s="1"/>
  <c r="AY32" i="9" a="1"/>
  <c r="AY32" i="9" s="1"/>
  <c r="AU32" i="9" a="1"/>
  <c r="AU32" i="9" s="1"/>
  <c r="AQ32" i="9" a="1"/>
  <c r="AQ32" i="9" s="1"/>
  <c r="AM32" i="9" a="1"/>
  <c r="AM32" i="9" s="1"/>
  <c r="AI32" i="9" a="1"/>
  <c r="AI32" i="9" s="1"/>
  <c r="AE32" i="9" a="1"/>
  <c r="AE32" i="9" s="1"/>
  <c r="AA32" i="9" a="1"/>
  <c r="AA32" i="9" s="1"/>
  <c r="W32" i="9" a="1"/>
  <c r="W32" i="9" s="1"/>
  <c r="S32" i="9" a="1"/>
  <c r="S32" i="9" s="1"/>
  <c r="O32" i="9" a="1"/>
  <c r="O32" i="9" s="1"/>
  <c r="K32" i="9" a="1"/>
  <c r="K32" i="9" s="1"/>
  <c r="G32" i="9" a="1"/>
  <c r="G32" i="9" s="1"/>
  <c r="CQ32" i="9" a="1"/>
  <c r="CQ32" i="9" s="1"/>
  <c r="CM32" i="9" a="1"/>
  <c r="CM32" i="9" s="1"/>
  <c r="CI32" i="9" a="1"/>
  <c r="CI32" i="9" s="1"/>
  <c r="CD32" i="9" a="1"/>
  <c r="CD32" i="9" s="1"/>
  <c r="BZ32" i="9" a="1"/>
  <c r="BZ32" i="9" s="1"/>
  <c r="BV32" i="9" a="1"/>
  <c r="BV32" i="9" s="1"/>
  <c r="BR32" i="9" a="1"/>
  <c r="BR32" i="9" s="1"/>
  <c r="BN32" i="9" a="1"/>
  <c r="BN32" i="9" s="1"/>
  <c r="BJ32" i="9" a="1"/>
  <c r="BJ32" i="9" s="1"/>
  <c r="BF32" i="9" a="1"/>
  <c r="BF32" i="9" s="1"/>
  <c r="BB32" i="9" a="1"/>
  <c r="BB32" i="9" s="1"/>
  <c r="AX32" i="9" a="1"/>
  <c r="AX32" i="9" s="1"/>
  <c r="AT32" i="9" a="1"/>
  <c r="AT32" i="9" s="1"/>
  <c r="AP32" i="9" a="1"/>
  <c r="AP32" i="9" s="1"/>
  <c r="AL32" i="9" a="1"/>
  <c r="AL32" i="9" s="1"/>
  <c r="AH32" i="9" a="1"/>
  <c r="AH32" i="9" s="1"/>
  <c r="AD32" i="9" a="1"/>
  <c r="AD32" i="9" s="1"/>
  <c r="Z32" i="9" a="1"/>
  <c r="Z32" i="9" s="1"/>
  <c r="V32" i="9" a="1"/>
  <c r="V32" i="9" s="1"/>
  <c r="R32" i="9" a="1"/>
  <c r="R32" i="9" s="1"/>
  <c r="N32" i="9" a="1"/>
  <c r="N32" i="9" s="1"/>
  <c r="J32" i="9" a="1"/>
  <c r="J32" i="9" s="1"/>
  <c r="F32" i="9" a="1"/>
  <c r="F32" i="9" s="1"/>
  <c r="CO32" i="9" a="1"/>
  <c r="CO32" i="9" s="1"/>
  <c r="CF32" i="9" a="1"/>
  <c r="CF32" i="9" s="1"/>
  <c r="CH32" i="9" a="1"/>
  <c r="CH32" i="9" s="1"/>
  <c r="BX32" i="9" a="1"/>
  <c r="BX32" i="9" s="1"/>
  <c r="BP32" i="9" a="1"/>
  <c r="BP32" i="9" s="1"/>
  <c r="BH32" i="9" a="1"/>
  <c r="BH32" i="9" s="1"/>
  <c r="AZ32" i="9" a="1"/>
  <c r="AZ32" i="9" s="1"/>
  <c r="AR32" i="9" a="1"/>
  <c r="AR32" i="9" s="1"/>
  <c r="AJ32" i="9" a="1"/>
  <c r="AJ32" i="9" s="1"/>
  <c r="AB32" i="9" a="1"/>
  <c r="AB32" i="9" s="1"/>
  <c r="T32" i="9" a="1"/>
  <c r="T32" i="9" s="1"/>
  <c r="L32" i="9" a="1"/>
  <c r="L32" i="9" s="1"/>
  <c r="CP32" i="9" a="1"/>
  <c r="CP32" i="9" s="1"/>
  <c r="CC32" i="9" a="1"/>
  <c r="CC32" i="9" s="1"/>
  <c r="BU32" i="9" a="1"/>
  <c r="BU32" i="9" s="1"/>
  <c r="BM32" i="9" a="1"/>
  <c r="BM32" i="9" s="1"/>
  <c r="BE32" i="9" a="1"/>
  <c r="BE32" i="9" s="1"/>
  <c r="AW32" i="9" a="1"/>
  <c r="AW32" i="9" s="1"/>
  <c r="AO32" i="9" a="1"/>
  <c r="AO32" i="9" s="1"/>
  <c r="AG32" i="9" a="1"/>
  <c r="AG32" i="9" s="1"/>
  <c r="Y32" i="9" a="1"/>
  <c r="Y32" i="9" s="1"/>
  <c r="Q32" i="9" a="1"/>
  <c r="Q32" i="9" s="1"/>
  <c r="I32" i="9" a="1"/>
  <c r="I32" i="9" s="1"/>
  <c r="CL32" i="9" a="1"/>
  <c r="CL32" i="9" s="1"/>
  <c r="CB32" i="9" a="1"/>
  <c r="CB32" i="9" s="1"/>
  <c r="BT32" i="9" a="1"/>
  <c r="BT32" i="9" s="1"/>
  <c r="BL32" i="9" a="1"/>
  <c r="BL32" i="9" s="1"/>
  <c r="BD32" i="9" a="1"/>
  <c r="BD32" i="9" s="1"/>
  <c r="AV32" i="9" a="1"/>
  <c r="AV32" i="9" s="1"/>
  <c r="AN32" i="9" a="1"/>
  <c r="AN32" i="9" s="1"/>
  <c r="AF32" i="9" a="1"/>
  <c r="AF32" i="9" s="1"/>
  <c r="X32" i="9" a="1"/>
  <c r="X32" i="9" s="1"/>
  <c r="P32" i="9" a="1"/>
  <c r="P32" i="9" s="1"/>
  <c r="H32" i="9" a="1"/>
  <c r="H32" i="9" s="1"/>
  <c r="CK32" i="9" a="1"/>
  <c r="CK32" i="9" s="1"/>
  <c r="BY32" i="9" a="1"/>
  <c r="BY32" i="9" s="1"/>
  <c r="BQ32" i="9" a="1"/>
  <c r="BQ32" i="9" s="1"/>
  <c r="BI32" i="9" a="1"/>
  <c r="BI32" i="9" s="1"/>
  <c r="BA32" i="9" a="1"/>
  <c r="BA32" i="9" s="1"/>
  <c r="AS32" i="9" a="1"/>
  <c r="AS32" i="9" s="1"/>
  <c r="AK32" i="9" a="1"/>
  <c r="AK32" i="9" s="1"/>
  <c r="AC32" i="9" a="1"/>
  <c r="AC32" i="9" s="1"/>
  <c r="U32" i="9" a="1"/>
  <c r="U32" i="9" s="1"/>
  <c r="M32" i="9" a="1"/>
  <c r="M32" i="9" s="1"/>
  <c r="E32" i="9" a="1"/>
  <c r="E32" i="9" s="1"/>
  <c r="CR36" i="9" a="1"/>
  <c r="CR36" i="9" s="1"/>
  <c r="CN36" i="9" a="1"/>
  <c r="CN36" i="9" s="1"/>
  <c r="CJ36" i="9" a="1"/>
  <c r="CJ36" i="9" s="1"/>
  <c r="CE36" i="9" a="1"/>
  <c r="CE36" i="9" s="1"/>
  <c r="CA36" i="9" a="1"/>
  <c r="CA36" i="9" s="1"/>
  <c r="BW36" i="9" a="1"/>
  <c r="BW36" i="9" s="1"/>
  <c r="BS36" i="9" a="1"/>
  <c r="BS36" i="9" s="1"/>
  <c r="BO36" i="9" a="1"/>
  <c r="BO36" i="9" s="1"/>
  <c r="BK36" i="9" a="1"/>
  <c r="BK36" i="9" s="1"/>
  <c r="BG36" i="9" a="1"/>
  <c r="BG36" i="9" s="1"/>
  <c r="BC36" i="9" a="1"/>
  <c r="BC36" i="9" s="1"/>
  <c r="AY36" i="9" a="1"/>
  <c r="AY36" i="9" s="1"/>
  <c r="AU36" i="9" a="1"/>
  <c r="AU36" i="9" s="1"/>
  <c r="AQ36" i="9" a="1"/>
  <c r="AQ36" i="9" s="1"/>
  <c r="AM36" i="9" a="1"/>
  <c r="AM36" i="9" s="1"/>
  <c r="AI36" i="9" a="1"/>
  <c r="AI36" i="9" s="1"/>
  <c r="AE36" i="9" a="1"/>
  <c r="AE36" i="9" s="1"/>
  <c r="AA36" i="9" a="1"/>
  <c r="AA36" i="9" s="1"/>
  <c r="W36" i="9" a="1"/>
  <c r="W36" i="9" s="1"/>
  <c r="S36" i="9" a="1"/>
  <c r="S36" i="9" s="1"/>
  <c r="O36" i="9" a="1"/>
  <c r="O36" i="9" s="1"/>
  <c r="K36" i="9" a="1"/>
  <c r="K36" i="9" s="1"/>
  <c r="G36" i="9" a="1"/>
  <c r="G36" i="9" s="1"/>
  <c r="CQ36" i="9" a="1"/>
  <c r="CQ36" i="9" s="1"/>
  <c r="CM36" i="9" a="1"/>
  <c r="CM36" i="9" s="1"/>
  <c r="CI36" i="9" a="1"/>
  <c r="CI36" i="9" s="1"/>
  <c r="CD36" i="9" a="1"/>
  <c r="CD36" i="9" s="1"/>
  <c r="BZ36" i="9" a="1"/>
  <c r="BZ36" i="9" s="1"/>
  <c r="BV36" i="9" a="1"/>
  <c r="BV36" i="9" s="1"/>
  <c r="BR36" i="9" a="1"/>
  <c r="BR36" i="9" s="1"/>
  <c r="BN36" i="9" a="1"/>
  <c r="BN36" i="9" s="1"/>
  <c r="BJ36" i="9" a="1"/>
  <c r="BJ36" i="9" s="1"/>
  <c r="BF36" i="9" a="1"/>
  <c r="BF36" i="9" s="1"/>
  <c r="BB36" i="9" a="1"/>
  <c r="BB36" i="9" s="1"/>
  <c r="AX36" i="9" a="1"/>
  <c r="AX36" i="9" s="1"/>
  <c r="AT36" i="9" a="1"/>
  <c r="AT36" i="9" s="1"/>
  <c r="AP36" i="9" a="1"/>
  <c r="AP36" i="9" s="1"/>
  <c r="AL36" i="9" a="1"/>
  <c r="AL36" i="9" s="1"/>
  <c r="AH36" i="9" a="1"/>
  <c r="AH36" i="9" s="1"/>
  <c r="AD36" i="9" a="1"/>
  <c r="AD36" i="9" s="1"/>
  <c r="Z36" i="9" a="1"/>
  <c r="Z36" i="9" s="1"/>
  <c r="V36" i="9" a="1"/>
  <c r="V36" i="9" s="1"/>
  <c r="R36" i="9" a="1"/>
  <c r="R36" i="9" s="1"/>
  <c r="N36" i="9" a="1"/>
  <c r="N36" i="9" s="1"/>
  <c r="J36" i="9" a="1"/>
  <c r="J36" i="9" s="1"/>
  <c r="F36" i="9" a="1"/>
  <c r="F36" i="9" s="1"/>
  <c r="CP36" i="9" a="1"/>
  <c r="CP36" i="9" s="1"/>
  <c r="CL36" i="9" a="1"/>
  <c r="CL36" i="9" s="1"/>
  <c r="CH36" i="9" a="1"/>
  <c r="CH36" i="9" s="1"/>
  <c r="CC36" i="9" a="1"/>
  <c r="CC36" i="9" s="1"/>
  <c r="BY36" i="9" a="1"/>
  <c r="BY36" i="9" s="1"/>
  <c r="BU36" i="9" a="1"/>
  <c r="BU36" i="9" s="1"/>
  <c r="BQ36" i="9" a="1"/>
  <c r="BQ36" i="9" s="1"/>
  <c r="BM36" i="9" a="1"/>
  <c r="BM36" i="9" s="1"/>
  <c r="BI36" i="9" a="1"/>
  <c r="BI36" i="9" s="1"/>
  <c r="CB36" i="9" a="1"/>
  <c r="CB36" i="9" s="1"/>
  <c r="BL36" i="9" a="1"/>
  <c r="BL36" i="9" s="1"/>
  <c r="BA36" i="9" a="1"/>
  <c r="BA36" i="9" s="1"/>
  <c r="AS36" i="9" a="1"/>
  <c r="AS36" i="9" s="1"/>
  <c r="AK36" i="9" a="1"/>
  <c r="AK36" i="9" s="1"/>
  <c r="AC36" i="9" a="1"/>
  <c r="AC36" i="9" s="1"/>
  <c r="U36" i="9" a="1"/>
  <c r="U36" i="9" s="1"/>
  <c r="M36" i="9" a="1"/>
  <c r="M36" i="9" s="1"/>
  <c r="E36" i="9" a="1"/>
  <c r="E36" i="9" s="1"/>
  <c r="CO36" i="9" a="1"/>
  <c r="CO36" i="9" s="1"/>
  <c r="BX36" i="9" a="1"/>
  <c r="BX36" i="9" s="1"/>
  <c r="BH36" i="9" a="1"/>
  <c r="BH36" i="9" s="1"/>
  <c r="CK36" i="9" a="1"/>
  <c r="CK36" i="9" s="1"/>
  <c r="BT36" i="9" a="1"/>
  <c r="BT36" i="9" s="1"/>
  <c r="BE36" i="9" a="1"/>
  <c r="BE36" i="9" s="1"/>
  <c r="AW36" i="9" a="1"/>
  <c r="AW36" i="9" s="1"/>
  <c r="AO36" i="9" a="1"/>
  <c r="AO36" i="9" s="1"/>
  <c r="AG36" i="9" a="1"/>
  <c r="AG36" i="9" s="1"/>
  <c r="Y36" i="9" a="1"/>
  <c r="Y36" i="9" s="1"/>
  <c r="Q36" i="9" a="1"/>
  <c r="Q36" i="9" s="1"/>
  <c r="I36" i="9" a="1"/>
  <c r="I36" i="9" s="1"/>
  <c r="CF36" i="9" a="1"/>
  <c r="CF36" i="9" s="1"/>
  <c r="BP36" i="9" a="1"/>
  <c r="BP36" i="9" s="1"/>
  <c r="BD36" i="9" a="1"/>
  <c r="BD36" i="9" s="1"/>
  <c r="AV36" i="9" a="1"/>
  <c r="AV36" i="9" s="1"/>
  <c r="AN36" i="9" a="1"/>
  <c r="AN36" i="9" s="1"/>
  <c r="AF36" i="9" a="1"/>
  <c r="AF36" i="9" s="1"/>
  <c r="X36" i="9" a="1"/>
  <c r="X36" i="9" s="1"/>
  <c r="P36" i="9" a="1"/>
  <c r="P36" i="9" s="1"/>
  <c r="H36" i="9" a="1"/>
  <c r="H36" i="9" s="1"/>
  <c r="AZ36" i="9" a="1"/>
  <c r="AZ36" i="9" s="1"/>
  <c r="T36" i="9" a="1"/>
  <c r="T36" i="9" s="1"/>
  <c r="AR36" i="9" a="1"/>
  <c r="AR36" i="9" s="1"/>
  <c r="L36" i="9" a="1"/>
  <c r="L36" i="9" s="1"/>
  <c r="AJ36" i="9" a="1"/>
  <c r="AJ36" i="9" s="1"/>
  <c r="AB36" i="9" a="1"/>
  <c r="AB36" i="9" s="1"/>
  <c r="CQ40" i="9" a="1"/>
  <c r="CQ40" i="9" s="1"/>
  <c r="CM40" i="9" a="1"/>
  <c r="CM40" i="9" s="1"/>
  <c r="CI40" i="9" a="1"/>
  <c r="CI40" i="9" s="1"/>
  <c r="CD40" i="9" a="1"/>
  <c r="CD40" i="9" s="1"/>
  <c r="BZ40" i="9" a="1"/>
  <c r="BZ40" i="9" s="1"/>
  <c r="BV40" i="9" a="1"/>
  <c r="BV40" i="9" s="1"/>
  <c r="BR40" i="9" a="1"/>
  <c r="BR40" i="9" s="1"/>
  <c r="BN40" i="9" a="1"/>
  <c r="BN40" i="9" s="1"/>
  <c r="BJ40" i="9" a="1"/>
  <c r="BJ40" i="9" s="1"/>
  <c r="BF40" i="9" a="1"/>
  <c r="BF40" i="9" s="1"/>
  <c r="BB40" i="9" a="1"/>
  <c r="BB40" i="9" s="1"/>
  <c r="AX40" i="9" a="1"/>
  <c r="AX40" i="9" s="1"/>
  <c r="AT40" i="9" a="1"/>
  <c r="AT40" i="9" s="1"/>
  <c r="AP40" i="9" a="1"/>
  <c r="AP40" i="9" s="1"/>
  <c r="AL40" i="9" a="1"/>
  <c r="AL40" i="9" s="1"/>
  <c r="AH40" i="9" a="1"/>
  <c r="AH40" i="9" s="1"/>
  <c r="AD40" i="9" a="1"/>
  <c r="AD40" i="9" s="1"/>
  <c r="Z40" i="9" a="1"/>
  <c r="Z40" i="9" s="1"/>
  <c r="V40" i="9" a="1"/>
  <c r="V40" i="9" s="1"/>
  <c r="R40" i="9" a="1"/>
  <c r="R40" i="9" s="1"/>
  <c r="N40" i="9" a="1"/>
  <c r="N40" i="9" s="1"/>
  <c r="J40" i="9" a="1"/>
  <c r="J40" i="9" s="1"/>
  <c r="F40" i="9" a="1"/>
  <c r="F40" i="9" s="1"/>
  <c r="CP40" i="9" a="1"/>
  <c r="CP40" i="9" s="1"/>
  <c r="CL40" i="9" a="1"/>
  <c r="CL40" i="9" s="1"/>
  <c r="CH40" i="9" a="1"/>
  <c r="CH40" i="9" s="1"/>
  <c r="CC40" i="9" a="1"/>
  <c r="CC40" i="9" s="1"/>
  <c r="BY40" i="9" a="1"/>
  <c r="BY40" i="9" s="1"/>
  <c r="BU40" i="9" a="1"/>
  <c r="BU40" i="9" s="1"/>
  <c r="BQ40" i="9" a="1"/>
  <c r="BQ40" i="9" s="1"/>
  <c r="BM40" i="9" a="1"/>
  <c r="BM40" i="9" s="1"/>
  <c r="BI40" i="9" a="1"/>
  <c r="BI40" i="9" s="1"/>
  <c r="BE40" i="9" a="1"/>
  <c r="BE40" i="9" s="1"/>
  <c r="BA40" i="9" a="1"/>
  <c r="BA40" i="9" s="1"/>
  <c r="AW40" i="9" a="1"/>
  <c r="AW40" i="9" s="1"/>
  <c r="AS40" i="9" a="1"/>
  <c r="AS40" i="9" s="1"/>
  <c r="AO40" i="9" a="1"/>
  <c r="AO40" i="9" s="1"/>
  <c r="AK40" i="9" a="1"/>
  <c r="AK40" i="9" s="1"/>
  <c r="AG40" i="9" a="1"/>
  <c r="AG40" i="9" s="1"/>
  <c r="AC40" i="9" a="1"/>
  <c r="AC40" i="9" s="1"/>
  <c r="Y40" i="9" a="1"/>
  <c r="Y40" i="9" s="1"/>
  <c r="U40" i="9" a="1"/>
  <c r="U40" i="9" s="1"/>
  <c r="Q40" i="9" a="1"/>
  <c r="Q40" i="9" s="1"/>
  <c r="M40" i="9" a="1"/>
  <c r="M40" i="9" s="1"/>
  <c r="I40" i="9" a="1"/>
  <c r="I40" i="9" s="1"/>
  <c r="E40" i="9" a="1"/>
  <c r="E40" i="9" s="1"/>
  <c r="CR40" i="9" a="1"/>
  <c r="CR40" i="9" s="1"/>
  <c r="CJ40" i="9" a="1"/>
  <c r="CJ40" i="9" s="1"/>
  <c r="CA40" i="9" a="1"/>
  <c r="CA40" i="9" s="1"/>
  <c r="BS40" i="9" a="1"/>
  <c r="BS40" i="9" s="1"/>
  <c r="BK40" i="9" a="1"/>
  <c r="BK40" i="9" s="1"/>
  <c r="BC40" i="9" a="1"/>
  <c r="BC40" i="9" s="1"/>
  <c r="AU40" i="9" a="1"/>
  <c r="AU40" i="9" s="1"/>
  <c r="AM40" i="9" a="1"/>
  <c r="AM40" i="9" s="1"/>
  <c r="AE40" i="9" a="1"/>
  <c r="AE40" i="9" s="1"/>
  <c r="W40" i="9" a="1"/>
  <c r="W40" i="9" s="1"/>
  <c r="O40" i="9" a="1"/>
  <c r="O40" i="9" s="1"/>
  <c r="G40" i="9" a="1"/>
  <c r="G40" i="9" s="1"/>
  <c r="CO40" i="9" a="1"/>
  <c r="CO40" i="9" s="1"/>
  <c r="CF40" i="9" a="1"/>
  <c r="CF40" i="9" s="1"/>
  <c r="BX40" i="9" a="1"/>
  <c r="BX40" i="9" s="1"/>
  <c r="BP40" i="9" a="1"/>
  <c r="BP40" i="9" s="1"/>
  <c r="BH40" i="9" a="1"/>
  <c r="BH40" i="9" s="1"/>
  <c r="AZ40" i="9" a="1"/>
  <c r="AZ40" i="9" s="1"/>
  <c r="AR40" i="9" a="1"/>
  <c r="AR40" i="9" s="1"/>
  <c r="AJ40" i="9" a="1"/>
  <c r="AJ40" i="9" s="1"/>
  <c r="AB40" i="9" a="1"/>
  <c r="AB40" i="9" s="1"/>
  <c r="T40" i="9" a="1"/>
  <c r="T40" i="9" s="1"/>
  <c r="L40" i="9" a="1"/>
  <c r="L40" i="9" s="1"/>
  <c r="CN40" i="9" a="1"/>
  <c r="CN40" i="9" s="1"/>
  <c r="CE40" i="9" a="1"/>
  <c r="CE40" i="9" s="1"/>
  <c r="BW40" i="9" a="1"/>
  <c r="BW40" i="9" s="1"/>
  <c r="BO40" i="9" a="1"/>
  <c r="BO40" i="9" s="1"/>
  <c r="BG40" i="9" a="1"/>
  <c r="BG40" i="9" s="1"/>
  <c r="AY40" i="9" a="1"/>
  <c r="AY40" i="9" s="1"/>
  <c r="AQ40" i="9" a="1"/>
  <c r="AQ40" i="9" s="1"/>
  <c r="AI40" i="9" a="1"/>
  <c r="AI40" i="9" s="1"/>
  <c r="AA40" i="9" a="1"/>
  <c r="AA40" i="9" s="1"/>
  <c r="S40" i="9" a="1"/>
  <c r="S40" i="9" s="1"/>
  <c r="K40" i="9" a="1"/>
  <c r="K40" i="9" s="1"/>
  <c r="CK40" i="9" a="1"/>
  <c r="CK40" i="9" s="1"/>
  <c r="BD40" i="9" a="1"/>
  <c r="BD40" i="9" s="1"/>
  <c r="X40" i="9" a="1"/>
  <c r="X40" i="9" s="1"/>
  <c r="CB40" i="9" a="1"/>
  <c r="CB40" i="9" s="1"/>
  <c r="AV40" i="9" a="1"/>
  <c r="AV40" i="9" s="1"/>
  <c r="P40" i="9" a="1"/>
  <c r="P40" i="9" s="1"/>
  <c r="BT40" i="9" a="1"/>
  <c r="BT40" i="9" s="1"/>
  <c r="AN40" i="9" a="1"/>
  <c r="AN40" i="9" s="1"/>
  <c r="H40" i="9" a="1"/>
  <c r="H40" i="9" s="1"/>
  <c r="BL40" i="9" a="1"/>
  <c r="BL40" i="9" s="1"/>
  <c r="AF40" i="9" a="1"/>
  <c r="AF40" i="9" s="1"/>
  <c r="CQ44" i="9" a="1"/>
  <c r="CQ44" i="9" s="1"/>
  <c r="CM44" i="9" a="1"/>
  <c r="CM44" i="9" s="1"/>
  <c r="CI44" i="9" a="1"/>
  <c r="CI44" i="9" s="1"/>
  <c r="CD44" i="9" a="1"/>
  <c r="CD44" i="9" s="1"/>
  <c r="BZ44" i="9" a="1"/>
  <c r="BZ44" i="9" s="1"/>
  <c r="BV44" i="9" a="1"/>
  <c r="BV44" i="9" s="1"/>
  <c r="BR44" i="9" a="1"/>
  <c r="BR44" i="9" s="1"/>
  <c r="BN44" i="9" a="1"/>
  <c r="BN44" i="9" s="1"/>
  <c r="BJ44" i="9" a="1"/>
  <c r="BJ44" i="9" s="1"/>
  <c r="BF44" i="9" a="1"/>
  <c r="BF44" i="9" s="1"/>
  <c r="BB44" i="9" a="1"/>
  <c r="BB44" i="9" s="1"/>
  <c r="AX44" i="9" a="1"/>
  <c r="AX44" i="9" s="1"/>
  <c r="AT44" i="9" a="1"/>
  <c r="AT44" i="9" s="1"/>
  <c r="AP44" i="9" a="1"/>
  <c r="AP44" i="9" s="1"/>
  <c r="AL44" i="9" a="1"/>
  <c r="AL44" i="9" s="1"/>
  <c r="AH44" i="9" a="1"/>
  <c r="AH44" i="9" s="1"/>
  <c r="AD44" i="9" a="1"/>
  <c r="AD44" i="9" s="1"/>
  <c r="Z44" i="9" a="1"/>
  <c r="Z44" i="9" s="1"/>
  <c r="V44" i="9" a="1"/>
  <c r="V44" i="9" s="1"/>
  <c r="R44" i="9" a="1"/>
  <c r="R44" i="9" s="1"/>
  <c r="N44" i="9" a="1"/>
  <c r="N44" i="9" s="1"/>
  <c r="J44" i="9" a="1"/>
  <c r="J44" i="9" s="1"/>
  <c r="F44" i="9" a="1"/>
  <c r="F44" i="9" s="1"/>
  <c r="CP44" i="9" a="1"/>
  <c r="CP44" i="9" s="1"/>
  <c r="CL44" i="9" a="1"/>
  <c r="CL44" i="9" s="1"/>
  <c r="CH44" i="9" a="1"/>
  <c r="CH44" i="9" s="1"/>
  <c r="CC44" i="9" a="1"/>
  <c r="CC44" i="9" s="1"/>
  <c r="BY44" i="9" a="1"/>
  <c r="BY44" i="9" s="1"/>
  <c r="BU44" i="9" a="1"/>
  <c r="BU44" i="9" s="1"/>
  <c r="BQ44" i="9" a="1"/>
  <c r="BQ44" i="9" s="1"/>
  <c r="BM44" i="9" a="1"/>
  <c r="BM44" i="9" s="1"/>
  <c r="BI44" i="9" a="1"/>
  <c r="BI44" i="9" s="1"/>
  <c r="BE44" i="9" a="1"/>
  <c r="BE44" i="9" s="1"/>
  <c r="BA44" i="9" a="1"/>
  <c r="BA44" i="9" s="1"/>
  <c r="AW44" i="9" a="1"/>
  <c r="AW44" i="9" s="1"/>
  <c r="AS44" i="9" a="1"/>
  <c r="AS44" i="9" s="1"/>
  <c r="AO44" i="9" a="1"/>
  <c r="AO44" i="9" s="1"/>
  <c r="AK44" i="9" a="1"/>
  <c r="AK44" i="9" s="1"/>
  <c r="AG44" i="9" a="1"/>
  <c r="AG44" i="9" s="1"/>
  <c r="AC44" i="9" a="1"/>
  <c r="AC44" i="9" s="1"/>
  <c r="Y44" i="9" a="1"/>
  <c r="Y44" i="9" s="1"/>
  <c r="U44" i="9" a="1"/>
  <c r="U44" i="9" s="1"/>
  <c r="Q44" i="9" a="1"/>
  <c r="Q44" i="9" s="1"/>
  <c r="M44" i="9" a="1"/>
  <c r="M44" i="9" s="1"/>
  <c r="I44" i="9" a="1"/>
  <c r="I44" i="9" s="1"/>
  <c r="E44" i="9" a="1"/>
  <c r="E44" i="9" s="1"/>
  <c r="CN44" i="9" a="1"/>
  <c r="CN44" i="9" s="1"/>
  <c r="CE44" i="9" a="1"/>
  <c r="CE44" i="9" s="1"/>
  <c r="BW44" i="9" a="1"/>
  <c r="BW44" i="9" s="1"/>
  <c r="BO44" i="9" a="1"/>
  <c r="BO44" i="9" s="1"/>
  <c r="BG44" i="9" a="1"/>
  <c r="BG44" i="9" s="1"/>
  <c r="AY44" i="9" a="1"/>
  <c r="AY44" i="9" s="1"/>
  <c r="AQ44" i="9" a="1"/>
  <c r="AQ44" i="9" s="1"/>
  <c r="AI44" i="9" a="1"/>
  <c r="AI44" i="9" s="1"/>
  <c r="AA44" i="9" a="1"/>
  <c r="AA44" i="9" s="1"/>
  <c r="S44" i="9" a="1"/>
  <c r="S44" i="9" s="1"/>
  <c r="K44" i="9" a="1"/>
  <c r="K44" i="9" s="1"/>
  <c r="CK44" i="9" a="1"/>
  <c r="CK44" i="9" s="1"/>
  <c r="CB44" i="9" a="1"/>
  <c r="CB44" i="9" s="1"/>
  <c r="BT44" i="9" a="1"/>
  <c r="BT44" i="9" s="1"/>
  <c r="BL44" i="9" a="1"/>
  <c r="BL44" i="9" s="1"/>
  <c r="BD44" i="9" a="1"/>
  <c r="BD44" i="9" s="1"/>
  <c r="AV44" i="9" a="1"/>
  <c r="AV44" i="9" s="1"/>
  <c r="AN44" i="9" a="1"/>
  <c r="AN44" i="9" s="1"/>
  <c r="AF44" i="9" a="1"/>
  <c r="AF44" i="9" s="1"/>
  <c r="X44" i="9" a="1"/>
  <c r="X44" i="9" s="1"/>
  <c r="P44" i="9" a="1"/>
  <c r="P44" i="9" s="1"/>
  <c r="H44" i="9" a="1"/>
  <c r="H44" i="9" s="1"/>
  <c r="CR44" i="9" a="1"/>
  <c r="CR44" i="9" s="1"/>
  <c r="CJ44" i="9" a="1"/>
  <c r="CJ44" i="9" s="1"/>
  <c r="CA44" i="9" a="1"/>
  <c r="CA44" i="9" s="1"/>
  <c r="BS44" i="9" a="1"/>
  <c r="BS44" i="9" s="1"/>
  <c r="BK44" i="9" a="1"/>
  <c r="BK44" i="9" s="1"/>
  <c r="BC44" i="9" a="1"/>
  <c r="BC44" i="9" s="1"/>
  <c r="AU44" i="9" a="1"/>
  <c r="AU44" i="9" s="1"/>
  <c r="AM44" i="9" a="1"/>
  <c r="AM44" i="9" s="1"/>
  <c r="AE44" i="9" a="1"/>
  <c r="AE44" i="9" s="1"/>
  <c r="W44" i="9" a="1"/>
  <c r="W44" i="9" s="1"/>
  <c r="O44" i="9" a="1"/>
  <c r="O44" i="9" s="1"/>
  <c r="G44" i="9" a="1"/>
  <c r="G44" i="9" s="1"/>
  <c r="BX44" i="9" a="1"/>
  <c r="BX44" i="9" s="1"/>
  <c r="AR44" i="9" a="1"/>
  <c r="AR44" i="9" s="1"/>
  <c r="L44" i="9" a="1"/>
  <c r="L44" i="9" s="1"/>
  <c r="BP44" i="9" a="1"/>
  <c r="BP44" i="9" s="1"/>
  <c r="AJ44" i="9" a="1"/>
  <c r="AJ44" i="9" s="1"/>
  <c r="CO44" i="9" a="1"/>
  <c r="CO44" i="9" s="1"/>
  <c r="BH44" i="9" a="1"/>
  <c r="BH44" i="9" s="1"/>
  <c r="AB44" i="9" a="1"/>
  <c r="AB44" i="9" s="1"/>
  <c r="CF44" i="9" a="1"/>
  <c r="CF44" i="9" s="1"/>
  <c r="AZ44" i="9" a="1"/>
  <c r="AZ44" i="9" s="1"/>
  <c r="T44" i="9" a="1"/>
  <c r="T44" i="9" s="1"/>
  <c r="CO48" i="9" a="1"/>
  <c r="CO48" i="9" s="1"/>
  <c r="CK48" i="9" a="1"/>
  <c r="CK48" i="9" s="1"/>
  <c r="CF48" i="9" a="1"/>
  <c r="CF48" i="9" s="1"/>
  <c r="CB48" i="9" a="1"/>
  <c r="CB48" i="9" s="1"/>
  <c r="BX48" i="9" a="1"/>
  <c r="BX48" i="9" s="1"/>
  <c r="BT48" i="9" a="1"/>
  <c r="BT48" i="9" s="1"/>
  <c r="BP48" i="9" a="1"/>
  <c r="BP48" i="9" s="1"/>
  <c r="BL48" i="9" a="1"/>
  <c r="BL48" i="9" s="1"/>
  <c r="BH48" i="9" a="1"/>
  <c r="BH48" i="9" s="1"/>
  <c r="BD48" i="9" a="1"/>
  <c r="BD48" i="9" s="1"/>
  <c r="AZ48" i="9" a="1"/>
  <c r="AZ48" i="9" s="1"/>
  <c r="AV48" i="9" a="1"/>
  <c r="AV48" i="9" s="1"/>
  <c r="AR48" i="9" a="1"/>
  <c r="AR48" i="9" s="1"/>
  <c r="AN48" i="9" a="1"/>
  <c r="AN48" i="9" s="1"/>
  <c r="AJ48" i="9" a="1"/>
  <c r="AJ48" i="9" s="1"/>
  <c r="AF48" i="9" a="1"/>
  <c r="AF48" i="9" s="1"/>
  <c r="AB48" i="9" a="1"/>
  <c r="AB48" i="9" s="1"/>
  <c r="X48" i="9" a="1"/>
  <c r="X48" i="9" s="1"/>
  <c r="T48" i="9" a="1"/>
  <c r="T48" i="9" s="1"/>
  <c r="P48" i="9" a="1"/>
  <c r="P48" i="9" s="1"/>
  <c r="L48" i="9" a="1"/>
  <c r="L48" i="9" s="1"/>
  <c r="H48" i="9" a="1"/>
  <c r="H48" i="9" s="1"/>
  <c r="CR48" i="9" a="1"/>
  <c r="CR48" i="9" s="1"/>
  <c r="CN48" i="9" a="1"/>
  <c r="CN48" i="9" s="1"/>
  <c r="CJ48" i="9" a="1"/>
  <c r="CJ48" i="9" s="1"/>
  <c r="CE48" i="9" a="1"/>
  <c r="CE48" i="9" s="1"/>
  <c r="CA48" i="9" a="1"/>
  <c r="CA48" i="9" s="1"/>
  <c r="BW48" i="9" a="1"/>
  <c r="BW48" i="9" s="1"/>
  <c r="BS48" i="9" a="1"/>
  <c r="BS48" i="9" s="1"/>
  <c r="BO48" i="9" a="1"/>
  <c r="BO48" i="9" s="1"/>
  <c r="BK48" i="9" a="1"/>
  <c r="BK48" i="9" s="1"/>
  <c r="BG48" i="9" a="1"/>
  <c r="BG48" i="9" s="1"/>
  <c r="BC48" i="9" a="1"/>
  <c r="BC48" i="9" s="1"/>
  <c r="AY48" i="9" a="1"/>
  <c r="AY48" i="9" s="1"/>
  <c r="AU48" i="9" a="1"/>
  <c r="AU48" i="9" s="1"/>
  <c r="AQ48" i="9" a="1"/>
  <c r="AQ48" i="9" s="1"/>
  <c r="AM48" i="9" a="1"/>
  <c r="AM48" i="9" s="1"/>
  <c r="AI48" i="9" a="1"/>
  <c r="AI48" i="9" s="1"/>
  <c r="AE48" i="9" a="1"/>
  <c r="AE48" i="9" s="1"/>
  <c r="AA48" i="9" a="1"/>
  <c r="AA48" i="9" s="1"/>
  <c r="W48" i="9" a="1"/>
  <c r="W48" i="9" s="1"/>
  <c r="S48" i="9" a="1"/>
  <c r="S48" i="9" s="1"/>
  <c r="O48" i="9" a="1"/>
  <c r="O48" i="9" s="1"/>
  <c r="K48" i="9" a="1"/>
  <c r="K48" i="9" s="1"/>
  <c r="G48" i="9" a="1"/>
  <c r="G48" i="9" s="1"/>
  <c r="CM48" i="9" a="1"/>
  <c r="CM48" i="9" s="1"/>
  <c r="CD48" i="9" a="1"/>
  <c r="CD48" i="9" s="1"/>
  <c r="BV48" i="9" a="1"/>
  <c r="BV48" i="9" s="1"/>
  <c r="BN48" i="9" a="1"/>
  <c r="BN48" i="9" s="1"/>
  <c r="BF48" i="9" a="1"/>
  <c r="BF48" i="9" s="1"/>
  <c r="AX48" i="9" a="1"/>
  <c r="AX48" i="9" s="1"/>
  <c r="AP48" i="9" a="1"/>
  <c r="AP48" i="9" s="1"/>
  <c r="AH48" i="9" a="1"/>
  <c r="AH48" i="9" s="1"/>
  <c r="Z48" i="9" a="1"/>
  <c r="Z48" i="9" s="1"/>
  <c r="R48" i="9" a="1"/>
  <c r="R48" i="9" s="1"/>
  <c r="J48" i="9" a="1"/>
  <c r="J48" i="9" s="1"/>
  <c r="CL48" i="9" a="1"/>
  <c r="CL48" i="9" s="1"/>
  <c r="CC48" i="9" a="1"/>
  <c r="CC48" i="9" s="1"/>
  <c r="BU48" i="9" a="1"/>
  <c r="BU48" i="9" s="1"/>
  <c r="BM48" i="9" a="1"/>
  <c r="BM48" i="9" s="1"/>
  <c r="BE48" i="9" a="1"/>
  <c r="BE48" i="9" s="1"/>
  <c r="AW48" i="9" a="1"/>
  <c r="AW48" i="9" s="1"/>
  <c r="AO48" i="9" a="1"/>
  <c r="AO48" i="9" s="1"/>
  <c r="AG48" i="9" a="1"/>
  <c r="AG48" i="9" s="1"/>
  <c r="Y48" i="9" a="1"/>
  <c r="Y48" i="9" s="1"/>
  <c r="Q48" i="9" a="1"/>
  <c r="Q48" i="9" s="1"/>
  <c r="I48" i="9" a="1"/>
  <c r="I48" i="9" s="1"/>
  <c r="CQ48" i="9" a="1"/>
  <c r="CQ48" i="9" s="1"/>
  <c r="BZ48" i="9" a="1"/>
  <c r="BZ48" i="9" s="1"/>
  <c r="BJ48" i="9" a="1"/>
  <c r="BJ48" i="9" s="1"/>
  <c r="AT48" i="9" a="1"/>
  <c r="AT48" i="9" s="1"/>
  <c r="AD48" i="9" a="1"/>
  <c r="AD48" i="9" s="1"/>
  <c r="N48" i="9" a="1"/>
  <c r="N48" i="9" s="1"/>
  <c r="CP48" i="9" a="1"/>
  <c r="CP48" i="9" s="1"/>
  <c r="BY48" i="9" a="1"/>
  <c r="BY48" i="9" s="1"/>
  <c r="BI48" i="9" a="1"/>
  <c r="BI48" i="9" s="1"/>
  <c r="AS48" i="9" a="1"/>
  <c r="AS48" i="9" s="1"/>
  <c r="AC48" i="9" a="1"/>
  <c r="AC48" i="9" s="1"/>
  <c r="M48" i="9" a="1"/>
  <c r="M48" i="9" s="1"/>
  <c r="CI48" i="9" a="1"/>
  <c r="CI48" i="9" s="1"/>
  <c r="BR48" i="9" a="1"/>
  <c r="BR48" i="9" s="1"/>
  <c r="BB48" i="9" a="1"/>
  <c r="BB48" i="9" s="1"/>
  <c r="AL48" i="9" a="1"/>
  <c r="AL48" i="9" s="1"/>
  <c r="V48" i="9" a="1"/>
  <c r="V48" i="9" s="1"/>
  <c r="F48" i="9" a="1"/>
  <c r="F48" i="9" s="1"/>
  <c r="AK48" i="9" a="1"/>
  <c r="AK48" i="9" s="1"/>
  <c r="CH48" i="9" a="1"/>
  <c r="CH48" i="9" s="1"/>
  <c r="U48" i="9" a="1"/>
  <c r="U48" i="9" s="1"/>
  <c r="BQ48" i="9" a="1"/>
  <c r="BQ48" i="9" s="1"/>
  <c r="E48" i="9" a="1"/>
  <c r="E48" i="9" s="1"/>
  <c r="BA48" i="9" a="1"/>
  <c r="BA48" i="9" s="1"/>
  <c r="CO52" i="9" a="1"/>
  <c r="CO52" i="9" s="1"/>
  <c r="CK52" i="9" a="1"/>
  <c r="CK52" i="9" s="1"/>
  <c r="CF52" i="9" a="1"/>
  <c r="CF52" i="9" s="1"/>
  <c r="CB52" i="9" a="1"/>
  <c r="CB52" i="9" s="1"/>
  <c r="BX52" i="9" a="1"/>
  <c r="BX52" i="9" s="1"/>
  <c r="BT52" i="9" a="1"/>
  <c r="BT52" i="9" s="1"/>
  <c r="BP52" i="9" a="1"/>
  <c r="BP52" i="9" s="1"/>
  <c r="BL52" i="9" a="1"/>
  <c r="BL52" i="9" s="1"/>
  <c r="BH52" i="9" a="1"/>
  <c r="BH52" i="9" s="1"/>
  <c r="BD52" i="9" a="1"/>
  <c r="BD52" i="9" s="1"/>
  <c r="AZ52" i="9" a="1"/>
  <c r="AZ52" i="9" s="1"/>
  <c r="AV52" i="9" a="1"/>
  <c r="AV52" i="9" s="1"/>
  <c r="AR52" i="9" a="1"/>
  <c r="AR52" i="9" s="1"/>
  <c r="AN52" i="9" a="1"/>
  <c r="AN52" i="9" s="1"/>
  <c r="AJ52" i="9" a="1"/>
  <c r="AJ52" i="9" s="1"/>
  <c r="AF52" i="9" a="1"/>
  <c r="AF52" i="9" s="1"/>
  <c r="AB52" i="9" a="1"/>
  <c r="AB52" i="9" s="1"/>
  <c r="X52" i="9" a="1"/>
  <c r="X52" i="9" s="1"/>
  <c r="T52" i="9" a="1"/>
  <c r="T52" i="9" s="1"/>
  <c r="P52" i="9" a="1"/>
  <c r="P52" i="9" s="1"/>
  <c r="L52" i="9" a="1"/>
  <c r="L52" i="9" s="1"/>
  <c r="H52" i="9" a="1"/>
  <c r="H52" i="9" s="1"/>
  <c r="CR52" i="9" a="1"/>
  <c r="CR52" i="9" s="1"/>
  <c r="CN52" i="9" a="1"/>
  <c r="CN52" i="9" s="1"/>
  <c r="CJ52" i="9" a="1"/>
  <c r="CJ52" i="9" s="1"/>
  <c r="CE52" i="9" a="1"/>
  <c r="CE52" i="9" s="1"/>
  <c r="CA52" i="9" a="1"/>
  <c r="CA52" i="9" s="1"/>
  <c r="BW52" i="9" a="1"/>
  <c r="BW52" i="9" s="1"/>
  <c r="BS52" i="9" a="1"/>
  <c r="BS52" i="9" s="1"/>
  <c r="BO52" i="9" a="1"/>
  <c r="BO52" i="9" s="1"/>
  <c r="BK52" i="9" a="1"/>
  <c r="BK52" i="9" s="1"/>
  <c r="BG52" i="9" a="1"/>
  <c r="BG52" i="9" s="1"/>
  <c r="BC52" i="9" a="1"/>
  <c r="BC52" i="9" s="1"/>
  <c r="AY52" i="9" a="1"/>
  <c r="AY52" i="9" s="1"/>
  <c r="AU52" i="9" a="1"/>
  <c r="AU52" i="9" s="1"/>
  <c r="AQ52" i="9" a="1"/>
  <c r="AQ52" i="9" s="1"/>
  <c r="AM52" i="9" a="1"/>
  <c r="AM52" i="9" s="1"/>
  <c r="AI52" i="9" a="1"/>
  <c r="AI52" i="9" s="1"/>
  <c r="AE52" i="9" a="1"/>
  <c r="AE52" i="9" s="1"/>
  <c r="AA52" i="9" a="1"/>
  <c r="AA52" i="9" s="1"/>
  <c r="W52" i="9" a="1"/>
  <c r="W52" i="9" s="1"/>
  <c r="S52" i="9" a="1"/>
  <c r="S52" i="9" s="1"/>
  <c r="O52" i="9" a="1"/>
  <c r="O52" i="9" s="1"/>
  <c r="K52" i="9" a="1"/>
  <c r="K52" i="9" s="1"/>
  <c r="G52" i="9" a="1"/>
  <c r="G52" i="9" s="1"/>
  <c r="CQ52" i="9" a="1"/>
  <c r="CQ52" i="9" s="1"/>
  <c r="CI52" i="9" a="1"/>
  <c r="CI52" i="9" s="1"/>
  <c r="BZ52" i="9" a="1"/>
  <c r="BZ52" i="9" s="1"/>
  <c r="BR52" i="9" a="1"/>
  <c r="BR52" i="9" s="1"/>
  <c r="BJ52" i="9" a="1"/>
  <c r="BJ52" i="9" s="1"/>
  <c r="BB52" i="9" a="1"/>
  <c r="BB52" i="9" s="1"/>
  <c r="AT52" i="9" a="1"/>
  <c r="AT52" i="9" s="1"/>
  <c r="AL52" i="9" a="1"/>
  <c r="AL52" i="9" s="1"/>
  <c r="AD52" i="9" a="1"/>
  <c r="AD52" i="9" s="1"/>
  <c r="V52" i="9" a="1"/>
  <c r="V52" i="9" s="1"/>
  <c r="N52" i="9" a="1"/>
  <c r="N52" i="9" s="1"/>
  <c r="F52" i="9" a="1"/>
  <c r="F52" i="9" s="1"/>
  <c r="CP52" i="9" a="1"/>
  <c r="CP52" i="9" s="1"/>
  <c r="CH52" i="9" a="1"/>
  <c r="CH52" i="9" s="1"/>
  <c r="BY52" i="9" a="1"/>
  <c r="BY52" i="9" s="1"/>
  <c r="BQ52" i="9" a="1"/>
  <c r="BQ52" i="9" s="1"/>
  <c r="BI52" i="9" a="1"/>
  <c r="BI52" i="9" s="1"/>
  <c r="BA52" i="9" a="1"/>
  <c r="BA52" i="9" s="1"/>
  <c r="AS52" i="9" a="1"/>
  <c r="AS52" i="9" s="1"/>
  <c r="AK52" i="9" a="1"/>
  <c r="AK52" i="9" s="1"/>
  <c r="AC52" i="9" a="1"/>
  <c r="AC52" i="9" s="1"/>
  <c r="U52" i="9" a="1"/>
  <c r="U52" i="9" s="1"/>
  <c r="M52" i="9" a="1"/>
  <c r="M52" i="9" s="1"/>
  <c r="E52" i="9" a="1"/>
  <c r="E52" i="9" s="1"/>
  <c r="CD52" i="9" a="1"/>
  <c r="CD52" i="9" s="1"/>
  <c r="BN52" i="9" a="1"/>
  <c r="BN52" i="9" s="1"/>
  <c r="AX52" i="9" a="1"/>
  <c r="AX52" i="9" s="1"/>
  <c r="AH52" i="9" a="1"/>
  <c r="AH52" i="9" s="1"/>
  <c r="R52" i="9" a="1"/>
  <c r="R52" i="9" s="1"/>
  <c r="CC52" i="9" a="1"/>
  <c r="CC52" i="9" s="1"/>
  <c r="BM52" i="9" a="1"/>
  <c r="BM52" i="9" s="1"/>
  <c r="AW52" i="9" a="1"/>
  <c r="AW52" i="9" s="1"/>
  <c r="AG52" i="9" a="1"/>
  <c r="AG52" i="9" s="1"/>
  <c r="Q52" i="9" a="1"/>
  <c r="Q52" i="9" s="1"/>
  <c r="CM52" i="9" a="1"/>
  <c r="CM52" i="9" s="1"/>
  <c r="BV52" i="9" a="1"/>
  <c r="BV52" i="9" s="1"/>
  <c r="BF52" i="9" a="1"/>
  <c r="BF52" i="9" s="1"/>
  <c r="AP52" i="9" a="1"/>
  <c r="AP52" i="9" s="1"/>
  <c r="Z52" i="9" a="1"/>
  <c r="Z52" i="9" s="1"/>
  <c r="J52" i="9" a="1"/>
  <c r="J52" i="9" s="1"/>
  <c r="BE52" i="9" a="1"/>
  <c r="BE52" i="9" s="1"/>
  <c r="AO52" i="9" a="1"/>
  <c r="AO52" i="9" s="1"/>
  <c r="CL52" i="9" a="1"/>
  <c r="CL52" i="9" s="1"/>
  <c r="Y52" i="9" a="1"/>
  <c r="Y52" i="9" s="1"/>
  <c r="BU52" i="9" a="1"/>
  <c r="BU52" i="9" s="1"/>
  <c r="I52" i="9" a="1"/>
  <c r="I52" i="9" s="1"/>
  <c r="D461" i="14"/>
  <c r="D445" i="14"/>
  <c r="D478" i="14"/>
  <c r="D524" i="14"/>
  <c r="D566" i="14"/>
  <c r="D562" i="14"/>
  <c r="D608" i="14"/>
  <c r="D696" i="14"/>
  <c r="D692" i="14"/>
  <c r="D688" i="14"/>
  <c r="D669" i="14"/>
  <c r="D719" i="14"/>
  <c r="D437" i="22"/>
  <c r="AT94" i="9" a="1"/>
  <c r="AT94" i="9" s="1"/>
  <c r="AP94" i="9" a="1"/>
  <c r="AP94" i="9" s="1"/>
  <c r="AL94" i="9" a="1"/>
  <c r="AL94" i="9" s="1"/>
  <c r="AH94" i="9" a="1"/>
  <c r="AH94" i="9" s="1"/>
  <c r="AD94" i="9" a="1"/>
  <c r="AD94" i="9" s="1"/>
  <c r="Z94" i="9" a="1"/>
  <c r="Z94" i="9" s="1"/>
  <c r="V94" i="9" a="1"/>
  <c r="V94" i="9" s="1"/>
  <c r="R94" i="9" a="1"/>
  <c r="R94" i="9" s="1"/>
  <c r="N94" i="9" a="1"/>
  <c r="N94" i="9" s="1"/>
  <c r="J94" i="9" a="1"/>
  <c r="J94" i="9" s="1"/>
  <c r="F94" i="9" a="1"/>
  <c r="F94" i="9" s="1"/>
  <c r="AV94" i="9" a="1"/>
  <c r="AV94" i="9" s="1"/>
  <c r="AR94" i="9" a="1"/>
  <c r="AR94" i="9" s="1"/>
  <c r="AN94" i="9" a="1"/>
  <c r="AN94" i="9" s="1"/>
  <c r="AJ94" i="9" a="1"/>
  <c r="AJ94" i="9" s="1"/>
  <c r="AF94" i="9" a="1"/>
  <c r="AF94" i="9" s="1"/>
  <c r="AB94" i="9" a="1"/>
  <c r="AB94" i="9" s="1"/>
  <c r="X94" i="9" a="1"/>
  <c r="X94" i="9" s="1"/>
  <c r="T94" i="9" a="1"/>
  <c r="T94" i="9" s="1"/>
  <c r="P94" i="9" a="1"/>
  <c r="P94" i="9" s="1"/>
  <c r="L94" i="9" a="1"/>
  <c r="L94" i="9" s="1"/>
  <c r="H94" i="9" a="1"/>
  <c r="H94" i="9" s="1"/>
  <c r="AU94" i="9" a="1"/>
  <c r="AU94" i="9" s="1"/>
  <c r="AQ94" i="9" a="1"/>
  <c r="AQ94" i="9" s="1"/>
  <c r="AM94" i="9" a="1"/>
  <c r="AM94" i="9" s="1"/>
  <c r="AI94" i="9" a="1"/>
  <c r="AI94" i="9" s="1"/>
  <c r="AE94" i="9" a="1"/>
  <c r="AE94" i="9" s="1"/>
  <c r="AA94" i="9" a="1"/>
  <c r="AA94" i="9" s="1"/>
  <c r="W94" i="9" a="1"/>
  <c r="W94" i="9" s="1"/>
  <c r="S94" i="9" a="1"/>
  <c r="S94" i="9" s="1"/>
  <c r="O94" i="9" a="1"/>
  <c r="O94" i="9" s="1"/>
  <c r="K94" i="9" a="1"/>
  <c r="K94" i="9" s="1"/>
  <c r="G94" i="9" a="1"/>
  <c r="G94" i="9" s="1"/>
  <c r="AO94" i="9" a="1"/>
  <c r="AO94" i="9" s="1"/>
  <c r="Y94" i="9" a="1"/>
  <c r="Y94" i="9" s="1"/>
  <c r="I94" i="9" a="1"/>
  <c r="I94" i="9" s="1"/>
  <c r="AK94" i="9" a="1"/>
  <c r="AK94" i="9" s="1"/>
  <c r="U94" i="9" a="1"/>
  <c r="U94" i="9" s="1"/>
  <c r="E94" i="9" a="1"/>
  <c r="E94" i="9" s="1"/>
  <c r="AW94" i="9" a="1"/>
  <c r="AW94" i="9" s="1"/>
  <c r="Q94" i="9" a="1"/>
  <c r="Q94" i="9" s="1"/>
  <c r="AS94" i="9" a="1"/>
  <c r="AS94" i="9" s="1"/>
  <c r="M94" i="9" a="1"/>
  <c r="M94" i="9" s="1"/>
  <c r="AG94" i="9" a="1"/>
  <c r="AG94" i="9" s="1"/>
  <c r="AC94" i="9" a="1"/>
  <c r="AC94" i="9" s="1"/>
  <c r="AT90" i="9" a="1"/>
  <c r="AT90" i="9" s="1"/>
  <c r="AP90" i="9" a="1"/>
  <c r="AP90" i="9" s="1"/>
  <c r="AL90" i="9" a="1"/>
  <c r="AL90" i="9" s="1"/>
  <c r="AH90" i="9" a="1"/>
  <c r="AH90" i="9" s="1"/>
  <c r="AD90" i="9" a="1"/>
  <c r="AD90" i="9" s="1"/>
  <c r="Z90" i="9" a="1"/>
  <c r="Z90" i="9" s="1"/>
  <c r="V90" i="9" a="1"/>
  <c r="V90" i="9" s="1"/>
  <c r="R90" i="9" a="1"/>
  <c r="R90" i="9" s="1"/>
  <c r="N90" i="9" a="1"/>
  <c r="N90" i="9" s="1"/>
  <c r="J90" i="9" a="1"/>
  <c r="J90" i="9" s="1"/>
  <c r="F90" i="9" a="1"/>
  <c r="F90" i="9" s="1"/>
  <c r="AU90" i="9" a="1"/>
  <c r="AU90" i="9" s="1"/>
  <c r="AQ90" i="9" a="1"/>
  <c r="AQ90" i="9" s="1"/>
  <c r="AM90" i="9" a="1"/>
  <c r="AM90" i="9" s="1"/>
  <c r="AV90" i="9" a="1"/>
  <c r="AV90" i="9" s="1"/>
  <c r="AN90" i="9" a="1"/>
  <c r="AN90" i="9" s="1"/>
  <c r="AG90" i="9" a="1"/>
  <c r="AG90" i="9" s="1"/>
  <c r="AB90" i="9" a="1"/>
  <c r="AB90" i="9" s="1"/>
  <c r="W90" i="9" a="1"/>
  <c r="W90" i="9" s="1"/>
  <c r="Q90" i="9" a="1"/>
  <c r="Q90" i="9" s="1"/>
  <c r="L90" i="9" a="1"/>
  <c r="L90" i="9" s="1"/>
  <c r="G90" i="9" a="1"/>
  <c r="G90" i="9" s="1"/>
  <c r="AS90" i="9" a="1"/>
  <c r="AS90" i="9" s="1"/>
  <c r="AK90" i="9" a="1"/>
  <c r="AK90" i="9" s="1"/>
  <c r="AF90" i="9" a="1"/>
  <c r="AF90" i="9" s="1"/>
  <c r="AA90" i="9" a="1"/>
  <c r="AA90" i="9" s="1"/>
  <c r="U90" i="9" a="1"/>
  <c r="U90" i="9" s="1"/>
  <c r="P90" i="9" a="1"/>
  <c r="P90" i="9" s="1"/>
  <c r="K90" i="9" a="1"/>
  <c r="K90" i="9" s="1"/>
  <c r="E90" i="9" a="1"/>
  <c r="E90" i="9" s="1"/>
  <c r="AJ90" i="9" a="1"/>
  <c r="AJ90" i="9" s="1"/>
  <c r="Y90" i="9" a="1"/>
  <c r="Y90" i="9" s="1"/>
  <c r="O90" i="9" a="1"/>
  <c r="O90" i="9" s="1"/>
  <c r="AW90" i="9" a="1"/>
  <c r="AW90" i="9" s="1"/>
  <c r="AI90" i="9" a="1"/>
  <c r="AI90" i="9" s="1"/>
  <c r="X90" i="9" a="1"/>
  <c r="X90" i="9" s="1"/>
  <c r="M90" i="9" a="1"/>
  <c r="M90" i="9" s="1"/>
  <c r="AR90" i="9" a="1"/>
  <c r="AR90" i="9" s="1"/>
  <c r="T90" i="9" a="1"/>
  <c r="T90" i="9" s="1"/>
  <c r="AO90" i="9" a="1"/>
  <c r="AO90" i="9" s="1"/>
  <c r="S90" i="9" a="1"/>
  <c r="S90" i="9" s="1"/>
  <c r="I90" i="9" a="1"/>
  <c r="I90" i="9" s="1"/>
  <c r="H90" i="9" a="1"/>
  <c r="H90" i="9" s="1"/>
  <c r="AE90" i="9" a="1"/>
  <c r="AE90" i="9" s="1"/>
  <c r="AC90" i="9" a="1"/>
  <c r="AC90" i="9" s="1"/>
  <c r="AW86" i="9" a="1"/>
  <c r="AW86" i="9" s="1"/>
  <c r="AS86" i="9" a="1"/>
  <c r="AS86" i="9" s="1"/>
  <c r="AO86" i="9" a="1"/>
  <c r="AO86" i="9" s="1"/>
  <c r="AK86" i="9" a="1"/>
  <c r="AK86" i="9" s="1"/>
  <c r="AG86" i="9" a="1"/>
  <c r="AG86" i="9" s="1"/>
  <c r="AC86" i="9" a="1"/>
  <c r="AC86" i="9" s="1"/>
  <c r="Y86" i="9" a="1"/>
  <c r="Y86" i="9" s="1"/>
  <c r="U86" i="9" a="1"/>
  <c r="U86" i="9" s="1"/>
  <c r="Q86" i="9" a="1"/>
  <c r="Q86" i="9" s="1"/>
  <c r="M86" i="9" a="1"/>
  <c r="M86" i="9" s="1"/>
  <c r="I86" i="9" a="1"/>
  <c r="I86" i="9" s="1"/>
  <c r="E86" i="9" a="1"/>
  <c r="E86" i="9" s="1"/>
  <c r="AV86" i="9" a="1"/>
  <c r="AV86" i="9" s="1"/>
  <c r="AR86" i="9" a="1"/>
  <c r="AR86" i="9" s="1"/>
  <c r="AN86" i="9" a="1"/>
  <c r="AN86" i="9" s="1"/>
  <c r="AJ86" i="9" a="1"/>
  <c r="AJ86" i="9" s="1"/>
  <c r="AF86" i="9" a="1"/>
  <c r="AF86" i="9" s="1"/>
  <c r="AB86" i="9" a="1"/>
  <c r="AB86" i="9" s="1"/>
  <c r="X86" i="9" a="1"/>
  <c r="X86" i="9" s="1"/>
  <c r="T86" i="9" a="1"/>
  <c r="T86" i="9" s="1"/>
  <c r="P86" i="9" a="1"/>
  <c r="P86" i="9" s="1"/>
  <c r="L86" i="9" a="1"/>
  <c r="L86" i="9" s="1"/>
  <c r="H86" i="9" a="1"/>
  <c r="H86" i="9" s="1"/>
  <c r="AU86" i="9" a="1"/>
  <c r="AU86" i="9" s="1"/>
  <c r="AM86" i="9" a="1"/>
  <c r="AM86" i="9" s="1"/>
  <c r="AE86" i="9" a="1"/>
  <c r="AE86" i="9" s="1"/>
  <c r="W86" i="9" a="1"/>
  <c r="W86" i="9" s="1"/>
  <c r="O86" i="9" a="1"/>
  <c r="O86" i="9" s="1"/>
  <c r="G86" i="9" a="1"/>
  <c r="G86" i="9" s="1"/>
  <c r="AT86" i="9" a="1"/>
  <c r="AT86" i="9" s="1"/>
  <c r="AL86" i="9" a="1"/>
  <c r="AL86" i="9" s="1"/>
  <c r="AD86" i="9" a="1"/>
  <c r="AD86" i="9" s="1"/>
  <c r="V86" i="9" a="1"/>
  <c r="V86" i="9" s="1"/>
  <c r="N86" i="9" a="1"/>
  <c r="N86" i="9" s="1"/>
  <c r="F86" i="9" a="1"/>
  <c r="F86" i="9" s="1"/>
  <c r="AI86" i="9" a="1"/>
  <c r="AI86" i="9" s="1"/>
  <c r="S86" i="9" a="1"/>
  <c r="S86" i="9" s="1"/>
  <c r="AH86" i="9" a="1"/>
  <c r="AH86" i="9" s="1"/>
  <c r="R86" i="9" a="1"/>
  <c r="R86" i="9" s="1"/>
  <c r="AQ86" i="9" a="1"/>
  <c r="AQ86" i="9" s="1"/>
  <c r="K86" i="9" a="1"/>
  <c r="K86" i="9" s="1"/>
  <c r="AP86" i="9" a="1"/>
  <c r="AP86" i="9" s="1"/>
  <c r="J86" i="9" a="1"/>
  <c r="J86" i="9" s="1"/>
  <c r="AA86" i="9" a="1"/>
  <c r="AA86" i="9" s="1"/>
  <c r="Z86" i="9" a="1"/>
  <c r="Z86" i="9" s="1"/>
  <c r="AT82" i="9" a="1"/>
  <c r="AT82" i="9" s="1"/>
  <c r="AP82" i="9" a="1"/>
  <c r="AP82" i="9" s="1"/>
  <c r="AL82" i="9" a="1"/>
  <c r="AL82" i="9" s="1"/>
  <c r="AH82" i="9" a="1"/>
  <c r="AH82" i="9" s="1"/>
  <c r="AD82" i="9" a="1"/>
  <c r="AD82" i="9" s="1"/>
  <c r="Z82" i="9" a="1"/>
  <c r="Z82" i="9" s="1"/>
  <c r="V82" i="9" a="1"/>
  <c r="V82" i="9" s="1"/>
  <c r="R82" i="9" a="1"/>
  <c r="R82" i="9" s="1"/>
  <c r="N82" i="9" a="1"/>
  <c r="N82" i="9" s="1"/>
  <c r="J82" i="9" a="1"/>
  <c r="J82" i="9" s="1"/>
  <c r="F82" i="9" a="1"/>
  <c r="F82" i="9" s="1"/>
  <c r="AU82" i="9" a="1"/>
  <c r="AU82" i="9" s="1"/>
  <c r="AO82" i="9" a="1"/>
  <c r="AO82" i="9" s="1"/>
  <c r="AJ82" i="9" a="1"/>
  <c r="AJ82" i="9" s="1"/>
  <c r="AE82" i="9" a="1"/>
  <c r="AE82" i="9" s="1"/>
  <c r="Y82" i="9" a="1"/>
  <c r="Y82" i="9" s="1"/>
  <c r="T82" i="9" a="1"/>
  <c r="T82" i="9" s="1"/>
  <c r="O82" i="9" a="1"/>
  <c r="O82" i="9" s="1"/>
  <c r="I82" i="9" a="1"/>
  <c r="I82" i="9" s="1"/>
  <c r="AS82" i="9" a="1"/>
  <c r="AS82" i="9" s="1"/>
  <c r="AN82" i="9" a="1"/>
  <c r="AN82" i="9" s="1"/>
  <c r="AI82" i="9" a="1"/>
  <c r="AI82" i="9" s="1"/>
  <c r="AC82" i="9" a="1"/>
  <c r="AC82" i="9" s="1"/>
  <c r="X82" i="9" a="1"/>
  <c r="X82" i="9" s="1"/>
  <c r="S82" i="9" a="1"/>
  <c r="S82" i="9" s="1"/>
  <c r="M82" i="9" a="1"/>
  <c r="M82" i="9" s="1"/>
  <c r="H82" i="9" a="1"/>
  <c r="H82" i="9" s="1"/>
  <c r="AW82" i="9" a="1"/>
  <c r="AW82" i="9" s="1"/>
  <c r="AM82" i="9" a="1"/>
  <c r="AM82" i="9" s="1"/>
  <c r="AB82" i="9" a="1"/>
  <c r="AB82" i="9" s="1"/>
  <c r="Q82" i="9" a="1"/>
  <c r="Q82" i="9" s="1"/>
  <c r="G82" i="9" a="1"/>
  <c r="G82" i="9" s="1"/>
  <c r="AV82" i="9" a="1"/>
  <c r="AV82" i="9" s="1"/>
  <c r="AK82" i="9" a="1"/>
  <c r="AK82" i="9" s="1"/>
  <c r="AA82" i="9" a="1"/>
  <c r="AA82" i="9" s="1"/>
  <c r="P82" i="9" a="1"/>
  <c r="P82" i="9" s="1"/>
  <c r="E82" i="9" a="1"/>
  <c r="E82" i="9" s="1"/>
  <c r="AR82" i="9" a="1"/>
  <c r="AR82" i="9" s="1"/>
  <c r="W82" i="9" a="1"/>
  <c r="W82" i="9" s="1"/>
  <c r="AQ82" i="9" a="1"/>
  <c r="AQ82" i="9" s="1"/>
  <c r="U82" i="9" a="1"/>
  <c r="U82" i="9" s="1"/>
  <c r="AG82" i="9" a="1"/>
  <c r="AG82" i="9" s="1"/>
  <c r="AF82" i="9" a="1"/>
  <c r="AF82" i="9" s="1"/>
  <c r="L82" i="9" a="1"/>
  <c r="L82" i="9" s="1"/>
  <c r="K82" i="9" a="1"/>
  <c r="K82" i="9" s="1"/>
  <c r="AT78" i="9" a="1"/>
  <c r="AT78" i="9" s="1"/>
  <c r="AP78" i="9" a="1"/>
  <c r="AP78" i="9" s="1"/>
  <c r="AL78" i="9" a="1"/>
  <c r="AL78" i="9" s="1"/>
  <c r="AH78" i="9" a="1"/>
  <c r="AH78" i="9" s="1"/>
  <c r="AD78" i="9" a="1"/>
  <c r="AD78" i="9" s="1"/>
  <c r="Z78" i="9" a="1"/>
  <c r="Z78" i="9" s="1"/>
  <c r="V78" i="9" a="1"/>
  <c r="V78" i="9" s="1"/>
  <c r="R78" i="9" a="1"/>
  <c r="R78" i="9" s="1"/>
  <c r="N78" i="9" a="1"/>
  <c r="N78" i="9" s="1"/>
  <c r="J78" i="9" a="1"/>
  <c r="J78" i="9" s="1"/>
  <c r="F78" i="9" a="1"/>
  <c r="F78" i="9" s="1"/>
  <c r="AS78" i="9" a="1"/>
  <c r="AS78" i="9" s="1"/>
  <c r="AN78" i="9" a="1"/>
  <c r="AN78" i="9" s="1"/>
  <c r="AI78" i="9" a="1"/>
  <c r="AI78" i="9" s="1"/>
  <c r="AC78" i="9" a="1"/>
  <c r="AC78" i="9" s="1"/>
  <c r="X78" i="9" a="1"/>
  <c r="X78" i="9" s="1"/>
  <c r="S78" i="9" a="1"/>
  <c r="S78" i="9" s="1"/>
  <c r="M78" i="9" a="1"/>
  <c r="M78" i="9" s="1"/>
  <c r="H78" i="9" a="1"/>
  <c r="H78" i="9" s="1"/>
  <c r="AW78" i="9" a="1"/>
  <c r="AW78" i="9" s="1"/>
  <c r="AR78" i="9" a="1"/>
  <c r="AR78" i="9" s="1"/>
  <c r="AM78" i="9" a="1"/>
  <c r="AM78" i="9" s="1"/>
  <c r="AG78" i="9" a="1"/>
  <c r="AG78" i="9" s="1"/>
  <c r="AB78" i="9" a="1"/>
  <c r="AB78" i="9" s="1"/>
  <c r="W78" i="9" a="1"/>
  <c r="W78" i="9" s="1"/>
  <c r="Q78" i="9" a="1"/>
  <c r="Q78" i="9" s="1"/>
  <c r="L78" i="9" a="1"/>
  <c r="L78" i="9" s="1"/>
  <c r="G78" i="9" a="1"/>
  <c r="G78" i="9" s="1"/>
  <c r="AV78" i="9" a="1"/>
  <c r="AV78" i="9" s="1"/>
  <c r="AK78" i="9" a="1"/>
  <c r="AK78" i="9" s="1"/>
  <c r="AA78" i="9" a="1"/>
  <c r="AA78" i="9" s="1"/>
  <c r="P78" i="9" a="1"/>
  <c r="P78" i="9" s="1"/>
  <c r="E78" i="9" a="1"/>
  <c r="E78" i="9" s="1"/>
  <c r="AU78" i="9" a="1"/>
  <c r="AU78" i="9" s="1"/>
  <c r="AJ78" i="9" a="1"/>
  <c r="AJ78" i="9" s="1"/>
  <c r="Y78" i="9" a="1"/>
  <c r="Y78" i="9" s="1"/>
  <c r="O78" i="9" a="1"/>
  <c r="O78" i="9" s="1"/>
  <c r="AF78" i="9" a="1"/>
  <c r="AF78" i="9" s="1"/>
  <c r="K78" i="9" a="1"/>
  <c r="K78" i="9" s="1"/>
  <c r="AE78" i="9" a="1"/>
  <c r="AE78" i="9" s="1"/>
  <c r="I78" i="9" a="1"/>
  <c r="I78" i="9" s="1"/>
  <c r="AQ78" i="9" a="1"/>
  <c r="AQ78" i="9" s="1"/>
  <c r="AO78" i="9" a="1"/>
  <c r="AO78" i="9" s="1"/>
  <c r="U78" i="9" a="1"/>
  <c r="U78" i="9" s="1"/>
  <c r="T78" i="9" a="1"/>
  <c r="T78" i="9" s="1"/>
  <c r="AT74" i="9" a="1"/>
  <c r="AT74" i="9" s="1"/>
  <c r="AP74" i="9" a="1"/>
  <c r="AP74" i="9" s="1"/>
  <c r="AL74" i="9" a="1"/>
  <c r="AL74" i="9" s="1"/>
  <c r="AH74" i="9" a="1"/>
  <c r="AH74" i="9" s="1"/>
  <c r="AD74" i="9" a="1"/>
  <c r="AD74" i="9" s="1"/>
  <c r="Z74" i="9" a="1"/>
  <c r="Z74" i="9" s="1"/>
  <c r="V74" i="9" a="1"/>
  <c r="V74" i="9" s="1"/>
  <c r="R74" i="9" a="1"/>
  <c r="R74" i="9" s="1"/>
  <c r="N74" i="9" a="1"/>
  <c r="N74" i="9" s="1"/>
  <c r="J74" i="9" a="1"/>
  <c r="J74" i="9" s="1"/>
  <c r="F74" i="9" a="1"/>
  <c r="F74" i="9" s="1"/>
  <c r="AW74" i="9" a="1"/>
  <c r="AW74" i="9" s="1"/>
  <c r="AR74" i="9" a="1"/>
  <c r="AR74" i="9" s="1"/>
  <c r="AM74" i="9" a="1"/>
  <c r="AM74" i="9" s="1"/>
  <c r="AG74" i="9" a="1"/>
  <c r="AG74" i="9" s="1"/>
  <c r="AB74" i="9" a="1"/>
  <c r="AB74" i="9" s="1"/>
  <c r="W74" i="9" a="1"/>
  <c r="W74" i="9" s="1"/>
  <c r="Q74" i="9" a="1"/>
  <c r="Q74" i="9" s="1"/>
  <c r="L74" i="9" a="1"/>
  <c r="L74" i="9" s="1"/>
  <c r="G74" i="9" a="1"/>
  <c r="G74" i="9" s="1"/>
  <c r="AV74" i="9" a="1"/>
  <c r="AV74" i="9" s="1"/>
  <c r="AQ74" i="9" a="1"/>
  <c r="AQ74" i="9" s="1"/>
  <c r="AK74" i="9" a="1"/>
  <c r="AK74" i="9" s="1"/>
  <c r="AF74" i="9" a="1"/>
  <c r="AF74" i="9" s="1"/>
  <c r="AA74" i="9" a="1"/>
  <c r="AA74" i="9" s="1"/>
  <c r="U74" i="9" a="1"/>
  <c r="U74" i="9" s="1"/>
  <c r="P74" i="9" a="1"/>
  <c r="P74" i="9" s="1"/>
  <c r="K74" i="9" a="1"/>
  <c r="K74" i="9" s="1"/>
  <c r="E74" i="9" a="1"/>
  <c r="E74" i="9" s="1"/>
  <c r="AU74" i="9" a="1"/>
  <c r="AU74" i="9" s="1"/>
  <c r="AJ74" i="9" a="1"/>
  <c r="AJ74" i="9" s="1"/>
  <c r="Y74" i="9" a="1"/>
  <c r="Y74" i="9" s="1"/>
  <c r="O74" i="9" a="1"/>
  <c r="O74" i="9" s="1"/>
  <c r="AS74" i="9" a="1"/>
  <c r="AS74" i="9" s="1"/>
  <c r="AI74" i="9" a="1"/>
  <c r="AI74" i="9" s="1"/>
  <c r="X74" i="9" a="1"/>
  <c r="X74" i="9" s="1"/>
  <c r="M74" i="9" a="1"/>
  <c r="M74" i="9" s="1"/>
  <c r="AO74" i="9" a="1"/>
  <c r="AO74" i="9" s="1"/>
  <c r="T74" i="9" a="1"/>
  <c r="T74" i="9" s="1"/>
  <c r="AN74" i="9" a="1"/>
  <c r="AN74" i="9" s="1"/>
  <c r="S74" i="9" a="1"/>
  <c r="S74" i="9" s="1"/>
  <c r="I74" i="9" a="1"/>
  <c r="I74" i="9" s="1"/>
  <c r="H74" i="9" a="1"/>
  <c r="H74" i="9" s="1"/>
  <c r="AE74" i="9" a="1"/>
  <c r="AE74" i="9" s="1"/>
  <c r="AC74" i="9" a="1"/>
  <c r="AC74" i="9" s="1"/>
  <c r="AT70" i="9" a="1"/>
  <c r="AT70" i="9" s="1"/>
  <c r="AP70" i="9" a="1"/>
  <c r="AP70" i="9" s="1"/>
  <c r="AL70" i="9" a="1"/>
  <c r="AL70" i="9" s="1"/>
  <c r="AH70" i="9" a="1"/>
  <c r="AH70" i="9" s="1"/>
  <c r="AD70" i="9" a="1"/>
  <c r="AD70" i="9" s="1"/>
  <c r="Z70" i="9" a="1"/>
  <c r="Z70" i="9" s="1"/>
  <c r="V70" i="9" a="1"/>
  <c r="V70" i="9" s="1"/>
  <c r="R70" i="9" a="1"/>
  <c r="R70" i="9" s="1"/>
  <c r="N70" i="9" a="1"/>
  <c r="N70" i="9" s="1"/>
  <c r="J70" i="9" a="1"/>
  <c r="J70" i="9" s="1"/>
  <c r="F70" i="9" a="1"/>
  <c r="F70" i="9" s="1"/>
  <c r="AW70" i="9" a="1"/>
  <c r="AW70" i="9" s="1"/>
  <c r="AS70" i="9" a="1"/>
  <c r="AS70" i="9" s="1"/>
  <c r="AO70" i="9" a="1"/>
  <c r="AO70" i="9" s="1"/>
  <c r="AK70" i="9" a="1"/>
  <c r="AK70" i="9" s="1"/>
  <c r="AG70" i="9" a="1"/>
  <c r="AG70" i="9" s="1"/>
  <c r="AC70" i="9" a="1"/>
  <c r="AC70" i="9" s="1"/>
  <c r="Y70" i="9" a="1"/>
  <c r="Y70" i="9" s="1"/>
  <c r="U70" i="9" a="1"/>
  <c r="U70" i="9" s="1"/>
  <c r="Q70" i="9" a="1"/>
  <c r="Q70" i="9" s="1"/>
  <c r="M70" i="9" a="1"/>
  <c r="M70" i="9" s="1"/>
  <c r="I70" i="9" a="1"/>
  <c r="I70" i="9" s="1"/>
  <c r="E70" i="9" a="1"/>
  <c r="E70" i="9" s="1"/>
  <c r="AV70" i="9" a="1"/>
  <c r="AV70" i="9" s="1"/>
  <c r="AN70" i="9" a="1"/>
  <c r="AN70" i="9" s="1"/>
  <c r="AF70" i="9" a="1"/>
  <c r="AF70" i="9" s="1"/>
  <c r="X70" i="9" a="1"/>
  <c r="X70" i="9" s="1"/>
  <c r="P70" i="9" a="1"/>
  <c r="P70" i="9" s="1"/>
  <c r="H70" i="9" a="1"/>
  <c r="H70" i="9" s="1"/>
  <c r="AU70" i="9" a="1"/>
  <c r="AU70" i="9" s="1"/>
  <c r="AM70" i="9" a="1"/>
  <c r="AM70" i="9" s="1"/>
  <c r="AE70" i="9" a="1"/>
  <c r="AE70" i="9" s="1"/>
  <c r="W70" i="9" a="1"/>
  <c r="W70" i="9" s="1"/>
  <c r="O70" i="9" a="1"/>
  <c r="O70" i="9" s="1"/>
  <c r="G70" i="9" a="1"/>
  <c r="G70" i="9" s="1"/>
  <c r="AR70" i="9" a="1"/>
  <c r="AR70" i="9" s="1"/>
  <c r="AB70" i="9" a="1"/>
  <c r="AB70" i="9" s="1"/>
  <c r="L70" i="9" a="1"/>
  <c r="L70" i="9" s="1"/>
  <c r="AQ70" i="9" a="1"/>
  <c r="AQ70" i="9" s="1"/>
  <c r="AA70" i="9" a="1"/>
  <c r="AA70" i="9" s="1"/>
  <c r="K70" i="9" a="1"/>
  <c r="K70" i="9" s="1"/>
  <c r="T70" i="9" a="1"/>
  <c r="T70" i="9" s="1"/>
  <c r="S70" i="9" a="1"/>
  <c r="S70" i="9" s="1"/>
  <c r="AJ70" i="9" a="1"/>
  <c r="AJ70" i="9" s="1"/>
  <c r="AI70" i="9" a="1"/>
  <c r="AI70" i="9" s="1"/>
  <c r="AU66" i="9" a="1"/>
  <c r="AU66" i="9" s="1"/>
  <c r="AQ66" i="9" a="1"/>
  <c r="AQ66" i="9" s="1"/>
  <c r="AM66" i="9" a="1"/>
  <c r="AM66" i="9" s="1"/>
  <c r="AI66" i="9" a="1"/>
  <c r="AI66" i="9" s="1"/>
  <c r="AE66" i="9" a="1"/>
  <c r="AE66" i="9" s="1"/>
  <c r="AA66" i="9" a="1"/>
  <c r="AA66" i="9" s="1"/>
  <c r="W66" i="9" a="1"/>
  <c r="W66" i="9" s="1"/>
  <c r="S66" i="9" a="1"/>
  <c r="S66" i="9" s="1"/>
  <c r="O66" i="9" a="1"/>
  <c r="O66" i="9" s="1"/>
  <c r="K66" i="9" a="1"/>
  <c r="K66" i="9" s="1"/>
  <c r="G66" i="9" a="1"/>
  <c r="G66" i="9" s="1"/>
  <c r="AT66" i="9" a="1"/>
  <c r="AT66" i="9" s="1"/>
  <c r="AP66" i="9" a="1"/>
  <c r="AP66" i="9" s="1"/>
  <c r="AL66" i="9" a="1"/>
  <c r="AL66" i="9" s="1"/>
  <c r="AH66" i="9" a="1"/>
  <c r="AH66" i="9" s="1"/>
  <c r="AD66" i="9" a="1"/>
  <c r="AD66" i="9" s="1"/>
  <c r="Z66" i="9" a="1"/>
  <c r="Z66" i="9" s="1"/>
  <c r="V66" i="9" a="1"/>
  <c r="V66" i="9" s="1"/>
  <c r="R66" i="9" a="1"/>
  <c r="R66" i="9" s="1"/>
  <c r="N66" i="9" a="1"/>
  <c r="N66" i="9" s="1"/>
  <c r="J66" i="9" a="1"/>
  <c r="J66" i="9" s="1"/>
  <c r="F66" i="9" a="1"/>
  <c r="F66" i="9" s="1"/>
  <c r="AW66" i="9" a="1"/>
  <c r="AW66" i="9" s="1"/>
  <c r="AO66" i="9" a="1"/>
  <c r="AO66" i="9" s="1"/>
  <c r="AG66" i="9" a="1"/>
  <c r="AG66" i="9" s="1"/>
  <c r="Y66" i="9" a="1"/>
  <c r="Y66" i="9" s="1"/>
  <c r="Q66" i="9" a="1"/>
  <c r="Q66" i="9" s="1"/>
  <c r="I66" i="9" a="1"/>
  <c r="I66" i="9" s="1"/>
  <c r="AV66" i="9" a="1"/>
  <c r="AV66" i="9" s="1"/>
  <c r="AN66" i="9" a="1"/>
  <c r="AN66" i="9" s="1"/>
  <c r="AF66" i="9" a="1"/>
  <c r="AF66" i="9" s="1"/>
  <c r="X66" i="9" a="1"/>
  <c r="X66" i="9" s="1"/>
  <c r="P66" i="9" a="1"/>
  <c r="P66" i="9" s="1"/>
  <c r="H66" i="9" a="1"/>
  <c r="H66" i="9" s="1"/>
  <c r="AS66" i="9" a="1"/>
  <c r="AS66" i="9" s="1"/>
  <c r="AC66" i="9" a="1"/>
  <c r="AC66" i="9" s="1"/>
  <c r="M66" i="9" a="1"/>
  <c r="M66" i="9" s="1"/>
  <c r="AR66" i="9" a="1"/>
  <c r="AR66" i="9" s="1"/>
  <c r="AB66" i="9" a="1"/>
  <c r="AB66" i="9" s="1"/>
  <c r="L66" i="9" a="1"/>
  <c r="L66" i="9" s="1"/>
  <c r="AK66" i="9" a="1"/>
  <c r="AK66" i="9" s="1"/>
  <c r="U66" i="9" a="1"/>
  <c r="U66" i="9" s="1"/>
  <c r="E66" i="9" a="1"/>
  <c r="E66" i="9" s="1"/>
  <c r="AJ66" i="9" a="1"/>
  <c r="AJ66" i="9" s="1"/>
  <c r="T66" i="9" a="1"/>
  <c r="T66" i="9" s="1"/>
  <c r="AU62" i="9" a="1"/>
  <c r="AU62" i="9" s="1"/>
  <c r="AQ62" i="9" a="1"/>
  <c r="AQ62" i="9" s="1"/>
  <c r="AM62" i="9" a="1"/>
  <c r="AM62" i="9" s="1"/>
  <c r="AI62" i="9" a="1"/>
  <c r="AI62" i="9" s="1"/>
  <c r="AE62" i="9" a="1"/>
  <c r="AE62" i="9" s="1"/>
  <c r="AA62" i="9" a="1"/>
  <c r="AA62" i="9" s="1"/>
  <c r="W62" i="9" a="1"/>
  <c r="W62" i="9" s="1"/>
  <c r="S62" i="9" a="1"/>
  <c r="S62" i="9" s="1"/>
  <c r="O62" i="9" a="1"/>
  <c r="O62" i="9" s="1"/>
  <c r="K62" i="9" a="1"/>
  <c r="K62" i="9" s="1"/>
  <c r="G62" i="9" a="1"/>
  <c r="G62" i="9" s="1"/>
  <c r="AT62" i="9" a="1"/>
  <c r="AT62" i="9" s="1"/>
  <c r="AP62" i="9" a="1"/>
  <c r="AP62" i="9" s="1"/>
  <c r="AL62" i="9" a="1"/>
  <c r="AL62" i="9" s="1"/>
  <c r="AH62" i="9" a="1"/>
  <c r="AH62" i="9" s="1"/>
  <c r="AD62" i="9" a="1"/>
  <c r="AD62" i="9" s="1"/>
  <c r="Z62" i="9" a="1"/>
  <c r="Z62" i="9" s="1"/>
  <c r="V62" i="9" a="1"/>
  <c r="V62" i="9" s="1"/>
  <c r="R62" i="9" a="1"/>
  <c r="R62" i="9" s="1"/>
  <c r="N62" i="9" a="1"/>
  <c r="N62" i="9" s="1"/>
  <c r="J62" i="9" a="1"/>
  <c r="J62" i="9" s="1"/>
  <c r="F62" i="9" a="1"/>
  <c r="F62" i="9" s="1"/>
  <c r="AS62" i="9" a="1"/>
  <c r="AS62" i="9" s="1"/>
  <c r="AK62" i="9" a="1"/>
  <c r="AK62" i="9" s="1"/>
  <c r="AC62" i="9" a="1"/>
  <c r="AC62" i="9" s="1"/>
  <c r="U62" i="9" a="1"/>
  <c r="U62" i="9" s="1"/>
  <c r="M62" i="9" a="1"/>
  <c r="M62" i="9" s="1"/>
  <c r="E62" i="9" a="1"/>
  <c r="E62" i="9" s="1"/>
  <c r="AR62" i="9" a="1"/>
  <c r="AR62" i="9" s="1"/>
  <c r="AJ62" i="9" a="1"/>
  <c r="AJ62" i="9" s="1"/>
  <c r="AB62" i="9" a="1"/>
  <c r="AB62" i="9" s="1"/>
  <c r="T62" i="9" a="1"/>
  <c r="T62" i="9" s="1"/>
  <c r="L62" i="9" a="1"/>
  <c r="L62" i="9" s="1"/>
  <c r="AW62" i="9" a="1"/>
  <c r="AW62" i="9" s="1"/>
  <c r="AG62" i="9" a="1"/>
  <c r="AG62" i="9" s="1"/>
  <c r="Q62" i="9" a="1"/>
  <c r="Q62" i="9" s="1"/>
  <c r="AV62" i="9" a="1"/>
  <c r="AV62" i="9" s="1"/>
  <c r="AF62" i="9" a="1"/>
  <c r="AF62" i="9" s="1"/>
  <c r="P62" i="9" a="1"/>
  <c r="P62" i="9" s="1"/>
  <c r="AO62" i="9" a="1"/>
  <c r="AO62" i="9" s="1"/>
  <c r="Y62" i="9" a="1"/>
  <c r="Y62" i="9" s="1"/>
  <c r="I62" i="9" a="1"/>
  <c r="I62" i="9" s="1"/>
  <c r="AN62" i="9" a="1"/>
  <c r="AN62" i="9" s="1"/>
  <c r="X62" i="9" a="1"/>
  <c r="X62" i="9" s="1"/>
  <c r="H62" i="9" a="1"/>
  <c r="H62" i="9" s="1"/>
  <c r="CP22" i="9" a="1"/>
  <c r="CP22" i="9" s="1"/>
  <c r="CL22" i="9" a="1"/>
  <c r="CL22" i="9" s="1"/>
  <c r="CH22" i="9" a="1"/>
  <c r="CH22" i="9" s="1"/>
  <c r="CC22" i="9" a="1"/>
  <c r="CC22" i="9" s="1"/>
  <c r="BY22" i="9" a="1"/>
  <c r="BY22" i="9" s="1"/>
  <c r="BU22" i="9" a="1"/>
  <c r="BU22" i="9" s="1"/>
  <c r="BQ22" i="9" a="1"/>
  <c r="BQ22" i="9" s="1"/>
  <c r="BM22" i="9" a="1"/>
  <c r="BM22" i="9" s="1"/>
  <c r="BI22" i="9" a="1"/>
  <c r="BI22" i="9" s="1"/>
  <c r="BE22" i="9" a="1"/>
  <c r="BE22" i="9" s="1"/>
  <c r="BA22" i="9" a="1"/>
  <c r="BA22" i="9" s="1"/>
  <c r="AW22" i="9" a="1"/>
  <c r="AW22" i="9" s="1"/>
  <c r="AS22" i="9" a="1"/>
  <c r="AS22" i="9" s="1"/>
  <c r="AO22" i="9" a="1"/>
  <c r="AO22" i="9" s="1"/>
  <c r="AK22" i="9" a="1"/>
  <c r="AK22" i="9" s="1"/>
  <c r="AG22" i="9" a="1"/>
  <c r="AG22" i="9" s="1"/>
  <c r="AC22" i="9" a="1"/>
  <c r="AC22" i="9" s="1"/>
  <c r="Y22" i="9" a="1"/>
  <c r="Y22" i="9" s="1"/>
  <c r="U22" i="9" a="1"/>
  <c r="U22" i="9" s="1"/>
  <c r="Q22" i="9" a="1"/>
  <c r="Q22" i="9" s="1"/>
  <c r="M22" i="9" a="1"/>
  <c r="M22" i="9" s="1"/>
  <c r="I22" i="9" a="1"/>
  <c r="I22" i="9" s="1"/>
  <c r="E22" i="9" a="1"/>
  <c r="E22" i="9" s="1"/>
  <c r="CO22" i="9" a="1"/>
  <c r="CO22" i="9" s="1"/>
  <c r="CK22" i="9" a="1"/>
  <c r="CK22" i="9" s="1"/>
  <c r="CF22" i="9" a="1"/>
  <c r="CF22" i="9" s="1"/>
  <c r="CB22" i="9" a="1"/>
  <c r="CB22" i="9" s="1"/>
  <c r="BX22" i="9" a="1"/>
  <c r="BX22" i="9" s="1"/>
  <c r="BT22" i="9" a="1"/>
  <c r="BT22" i="9" s="1"/>
  <c r="BP22" i="9" a="1"/>
  <c r="BP22" i="9" s="1"/>
  <c r="BL22" i="9" a="1"/>
  <c r="BL22" i="9" s="1"/>
  <c r="BH22" i="9" a="1"/>
  <c r="BH22" i="9" s="1"/>
  <c r="BD22" i="9" a="1"/>
  <c r="BD22" i="9" s="1"/>
  <c r="AZ22" i="9" a="1"/>
  <c r="AZ22" i="9" s="1"/>
  <c r="AV22" i="9" a="1"/>
  <c r="AV22" i="9" s="1"/>
  <c r="AR22" i="9" a="1"/>
  <c r="AR22" i="9" s="1"/>
  <c r="AN22" i="9" a="1"/>
  <c r="AN22" i="9" s="1"/>
  <c r="AJ22" i="9" a="1"/>
  <c r="AJ22" i="9" s="1"/>
  <c r="AF22" i="9" a="1"/>
  <c r="AF22" i="9" s="1"/>
  <c r="AB22" i="9" a="1"/>
  <c r="AB22" i="9" s="1"/>
  <c r="X22" i="9" a="1"/>
  <c r="X22" i="9" s="1"/>
  <c r="T22" i="9" a="1"/>
  <c r="T22" i="9" s="1"/>
  <c r="P22" i="9" a="1"/>
  <c r="P22" i="9" s="1"/>
  <c r="L22" i="9" a="1"/>
  <c r="L22" i="9" s="1"/>
  <c r="H22" i="9" a="1"/>
  <c r="H22" i="9" s="1"/>
  <c r="CM22" i="9" a="1"/>
  <c r="CM22" i="9" s="1"/>
  <c r="CD22" i="9" a="1"/>
  <c r="CD22" i="9" s="1"/>
  <c r="BV22" i="9" a="1"/>
  <c r="BV22" i="9" s="1"/>
  <c r="BN22" i="9" a="1"/>
  <c r="BN22" i="9" s="1"/>
  <c r="BF22" i="9" a="1"/>
  <c r="BF22" i="9" s="1"/>
  <c r="AX22" i="9" a="1"/>
  <c r="AX22" i="9" s="1"/>
  <c r="AP22" i="9" a="1"/>
  <c r="AP22" i="9" s="1"/>
  <c r="AH22" i="9" a="1"/>
  <c r="AH22" i="9" s="1"/>
  <c r="Z22" i="9" a="1"/>
  <c r="Z22" i="9" s="1"/>
  <c r="R22" i="9" a="1"/>
  <c r="R22" i="9" s="1"/>
  <c r="J22" i="9" a="1"/>
  <c r="J22" i="9" s="1"/>
  <c r="CR22" i="9" a="1"/>
  <c r="CR22" i="9" s="1"/>
  <c r="CJ22" i="9" a="1"/>
  <c r="CJ22" i="9" s="1"/>
  <c r="CA22" i="9" a="1"/>
  <c r="CA22" i="9" s="1"/>
  <c r="BS22" i="9" a="1"/>
  <c r="BS22" i="9" s="1"/>
  <c r="BK22" i="9" a="1"/>
  <c r="BK22" i="9" s="1"/>
  <c r="BC22" i="9" a="1"/>
  <c r="BC22" i="9" s="1"/>
  <c r="AU22" i="9" a="1"/>
  <c r="AU22" i="9" s="1"/>
  <c r="AM22" i="9" a="1"/>
  <c r="AM22" i="9" s="1"/>
  <c r="AE22" i="9" a="1"/>
  <c r="AE22" i="9" s="1"/>
  <c r="W22" i="9" a="1"/>
  <c r="W22" i="9" s="1"/>
  <c r="O22" i="9" a="1"/>
  <c r="O22" i="9" s="1"/>
  <c r="G22" i="9" a="1"/>
  <c r="G22" i="9" s="1"/>
  <c r="CQ22" i="9" a="1"/>
  <c r="CQ22" i="9" s="1"/>
  <c r="CI22" i="9" a="1"/>
  <c r="CI22" i="9" s="1"/>
  <c r="BZ22" i="9" a="1"/>
  <c r="BZ22" i="9" s="1"/>
  <c r="BR22" i="9" a="1"/>
  <c r="BR22" i="9" s="1"/>
  <c r="BJ22" i="9" a="1"/>
  <c r="BJ22" i="9" s="1"/>
  <c r="BB22" i="9" a="1"/>
  <c r="BB22" i="9" s="1"/>
  <c r="AT22" i="9" a="1"/>
  <c r="AT22" i="9" s="1"/>
  <c r="AL22" i="9" a="1"/>
  <c r="AL22" i="9" s="1"/>
  <c r="AD22" i="9" a="1"/>
  <c r="AD22" i="9" s="1"/>
  <c r="V22" i="9" a="1"/>
  <c r="V22" i="9" s="1"/>
  <c r="N22" i="9" a="1"/>
  <c r="N22" i="9" s="1"/>
  <c r="F22" i="9" a="1"/>
  <c r="F22" i="9" s="1"/>
  <c r="CN22" i="9" a="1"/>
  <c r="CN22" i="9" s="1"/>
  <c r="CE22" i="9" a="1"/>
  <c r="CE22" i="9" s="1"/>
  <c r="BW22" i="9" a="1"/>
  <c r="BW22" i="9" s="1"/>
  <c r="BO22" i="9" a="1"/>
  <c r="BO22" i="9" s="1"/>
  <c r="BG22" i="9" a="1"/>
  <c r="BG22" i="9" s="1"/>
  <c r="AY22" i="9" a="1"/>
  <c r="AY22" i="9" s="1"/>
  <c r="AQ22" i="9" a="1"/>
  <c r="AQ22" i="9" s="1"/>
  <c r="AI22" i="9" a="1"/>
  <c r="AI22" i="9" s="1"/>
  <c r="AA22" i="9" a="1"/>
  <c r="AA22" i="9" s="1"/>
  <c r="S22" i="9" a="1"/>
  <c r="S22" i="9" s="1"/>
  <c r="K22" i="9" a="1"/>
  <c r="K22" i="9" s="1"/>
  <c r="CP26" i="9" a="1"/>
  <c r="CP26" i="9" s="1"/>
  <c r="CL26" i="9" a="1"/>
  <c r="CL26" i="9" s="1"/>
  <c r="CH26" i="9" a="1"/>
  <c r="CH26" i="9" s="1"/>
  <c r="CC26" i="9" a="1"/>
  <c r="CC26" i="9" s="1"/>
  <c r="BY26" i="9" a="1"/>
  <c r="BY26" i="9" s="1"/>
  <c r="BU26" i="9" a="1"/>
  <c r="BU26" i="9" s="1"/>
  <c r="BQ26" i="9" a="1"/>
  <c r="BQ26" i="9" s="1"/>
  <c r="BM26" i="9" a="1"/>
  <c r="BM26" i="9" s="1"/>
  <c r="BI26" i="9" a="1"/>
  <c r="BI26" i="9" s="1"/>
  <c r="BE26" i="9" a="1"/>
  <c r="BE26" i="9" s="1"/>
  <c r="BA26" i="9" a="1"/>
  <c r="BA26" i="9" s="1"/>
  <c r="AW26" i="9" a="1"/>
  <c r="AW26" i="9" s="1"/>
  <c r="AS26" i="9" a="1"/>
  <c r="AS26" i="9" s="1"/>
  <c r="AO26" i="9" a="1"/>
  <c r="AO26" i="9" s="1"/>
  <c r="AK26" i="9" a="1"/>
  <c r="AK26" i="9" s="1"/>
  <c r="AG26" i="9" a="1"/>
  <c r="AG26" i="9" s="1"/>
  <c r="AC26" i="9" a="1"/>
  <c r="AC26" i="9" s="1"/>
  <c r="Y26" i="9" a="1"/>
  <c r="Y26" i="9" s="1"/>
  <c r="U26" i="9" a="1"/>
  <c r="U26" i="9" s="1"/>
  <c r="Q26" i="9" a="1"/>
  <c r="Q26" i="9" s="1"/>
  <c r="M26" i="9" a="1"/>
  <c r="M26" i="9" s="1"/>
  <c r="I26" i="9" a="1"/>
  <c r="I26" i="9" s="1"/>
  <c r="E26" i="9" a="1"/>
  <c r="E26" i="9" s="1"/>
  <c r="CO26" i="9" a="1"/>
  <c r="CO26" i="9" s="1"/>
  <c r="CK26" i="9" a="1"/>
  <c r="CK26" i="9" s="1"/>
  <c r="CF26" i="9" a="1"/>
  <c r="CF26" i="9" s="1"/>
  <c r="CB26" i="9" a="1"/>
  <c r="CB26" i="9" s="1"/>
  <c r="BX26" i="9" a="1"/>
  <c r="BX26" i="9" s="1"/>
  <c r="BT26" i="9" a="1"/>
  <c r="BT26" i="9" s="1"/>
  <c r="BP26" i="9" a="1"/>
  <c r="BP26" i="9" s="1"/>
  <c r="BL26" i="9" a="1"/>
  <c r="BL26" i="9" s="1"/>
  <c r="BH26" i="9" a="1"/>
  <c r="BH26" i="9" s="1"/>
  <c r="BD26" i="9" a="1"/>
  <c r="BD26" i="9" s="1"/>
  <c r="AZ26" i="9" a="1"/>
  <c r="AZ26" i="9" s="1"/>
  <c r="AV26" i="9" a="1"/>
  <c r="AV26" i="9" s="1"/>
  <c r="AR26" i="9" a="1"/>
  <c r="AR26" i="9" s="1"/>
  <c r="AN26" i="9" a="1"/>
  <c r="AN26" i="9" s="1"/>
  <c r="AJ26" i="9" a="1"/>
  <c r="AJ26" i="9" s="1"/>
  <c r="AF26" i="9" a="1"/>
  <c r="AF26" i="9" s="1"/>
  <c r="AB26" i="9" a="1"/>
  <c r="AB26" i="9" s="1"/>
  <c r="X26" i="9" a="1"/>
  <c r="X26" i="9" s="1"/>
  <c r="T26" i="9" a="1"/>
  <c r="T26" i="9" s="1"/>
  <c r="P26" i="9" a="1"/>
  <c r="P26" i="9" s="1"/>
  <c r="L26" i="9" a="1"/>
  <c r="L26" i="9" s="1"/>
  <c r="H26" i="9" a="1"/>
  <c r="H26" i="9" s="1"/>
  <c r="CQ26" i="9" a="1"/>
  <c r="CQ26" i="9" s="1"/>
  <c r="CI26" i="9" a="1"/>
  <c r="CI26" i="9" s="1"/>
  <c r="BZ26" i="9" a="1"/>
  <c r="BZ26" i="9" s="1"/>
  <c r="BR26" i="9" a="1"/>
  <c r="BR26" i="9" s="1"/>
  <c r="BJ26" i="9" a="1"/>
  <c r="BJ26" i="9" s="1"/>
  <c r="BB26" i="9" a="1"/>
  <c r="BB26" i="9" s="1"/>
  <c r="AT26" i="9" a="1"/>
  <c r="AT26" i="9" s="1"/>
  <c r="AL26" i="9" a="1"/>
  <c r="AL26" i="9" s="1"/>
  <c r="AD26" i="9" a="1"/>
  <c r="AD26" i="9" s="1"/>
  <c r="V26" i="9" a="1"/>
  <c r="V26" i="9" s="1"/>
  <c r="N26" i="9" a="1"/>
  <c r="N26" i="9" s="1"/>
  <c r="F26" i="9" a="1"/>
  <c r="F26" i="9" s="1"/>
  <c r="CN26" i="9" a="1"/>
  <c r="CN26" i="9" s="1"/>
  <c r="CE26" i="9" a="1"/>
  <c r="CE26" i="9" s="1"/>
  <c r="BW26" i="9" a="1"/>
  <c r="BW26" i="9" s="1"/>
  <c r="BO26" i="9" a="1"/>
  <c r="BO26" i="9" s="1"/>
  <c r="BG26" i="9" a="1"/>
  <c r="BG26" i="9" s="1"/>
  <c r="AY26" i="9" a="1"/>
  <c r="AY26" i="9" s="1"/>
  <c r="AQ26" i="9" a="1"/>
  <c r="AQ26" i="9" s="1"/>
  <c r="AI26" i="9" a="1"/>
  <c r="AI26" i="9" s="1"/>
  <c r="AA26" i="9" a="1"/>
  <c r="AA26" i="9" s="1"/>
  <c r="S26" i="9" a="1"/>
  <c r="S26" i="9" s="1"/>
  <c r="K26" i="9" a="1"/>
  <c r="K26" i="9" s="1"/>
  <c r="CM26" i="9" a="1"/>
  <c r="CM26" i="9" s="1"/>
  <c r="CD26" i="9" a="1"/>
  <c r="CD26" i="9" s="1"/>
  <c r="BV26" i="9" a="1"/>
  <c r="BV26" i="9" s="1"/>
  <c r="BN26" i="9" a="1"/>
  <c r="BN26" i="9" s="1"/>
  <c r="BF26" i="9" a="1"/>
  <c r="BF26" i="9" s="1"/>
  <c r="AX26" i="9" a="1"/>
  <c r="AX26" i="9" s="1"/>
  <c r="AP26" i="9" a="1"/>
  <c r="AP26" i="9" s="1"/>
  <c r="AH26" i="9" a="1"/>
  <c r="AH26" i="9" s="1"/>
  <c r="Z26" i="9" a="1"/>
  <c r="Z26" i="9" s="1"/>
  <c r="R26" i="9" a="1"/>
  <c r="R26" i="9" s="1"/>
  <c r="J26" i="9" a="1"/>
  <c r="J26" i="9" s="1"/>
  <c r="CR26" i="9" a="1"/>
  <c r="CR26" i="9" s="1"/>
  <c r="CJ26" i="9" a="1"/>
  <c r="CJ26" i="9" s="1"/>
  <c r="CA26" i="9" a="1"/>
  <c r="CA26" i="9" s="1"/>
  <c r="BS26" i="9" a="1"/>
  <c r="BS26" i="9" s="1"/>
  <c r="BK26" i="9" a="1"/>
  <c r="BK26" i="9" s="1"/>
  <c r="BC26" i="9" a="1"/>
  <c r="BC26" i="9" s="1"/>
  <c r="AU26" i="9" a="1"/>
  <c r="AU26" i="9" s="1"/>
  <c r="AM26" i="9" a="1"/>
  <c r="AM26" i="9" s="1"/>
  <c r="AE26" i="9" a="1"/>
  <c r="AE26" i="9" s="1"/>
  <c r="W26" i="9" a="1"/>
  <c r="W26" i="9" s="1"/>
  <c r="O26" i="9" a="1"/>
  <c r="O26" i="9" s="1"/>
  <c r="G26" i="9" a="1"/>
  <c r="G26" i="9" s="1"/>
  <c r="CP30" i="9" a="1"/>
  <c r="CP30" i="9" s="1"/>
  <c r="CL30" i="9" a="1"/>
  <c r="CL30" i="9" s="1"/>
  <c r="CH30" i="9" a="1"/>
  <c r="CH30" i="9" s="1"/>
  <c r="CC30" i="9" a="1"/>
  <c r="CC30" i="9" s="1"/>
  <c r="BY30" i="9" a="1"/>
  <c r="BY30" i="9" s="1"/>
  <c r="BU30" i="9" a="1"/>
  <c r="BU30" i="9" s="1"/>
  <c r="BQ30" i="9" a="1"/>
  <c r="BQ30" i="9" s="1"/>
  <c r="BM30" i="9" a="1"/>
  <c r="BM30" i="9" s="1"/>
  <c r="BI30" i="9" a="1"/>
  <c r="BI30" i="9" s="1"/>
  <c r="BE30" i="9" a="1"/>
  <c r="BE30" i="9" s="1"/>
  <c r="BA30" i="9" a="1"/>
  <c r="BA30" i="9" s="1"/>
  <c r="AW30" i="9" a="1"/>
  <c r="AW30" i="9" s="1"/>
  <c r="AS30" i="9" a="1"/>
  <c r="AS30" i="9" s="1"/>
  <c r="AO30" i="9" a="1"/>
  <c r="AO30" i="9" s="1"/>
  <c r="AK30" i="9" a="1"/>
  <c r="AK30" i="9" s="1"/>
  <c r="AG30" i="9" a="1"/>
  <c r="AG30" i="9" s="1"/>
  <c r="AC30" i="9" a="1"/>
  <c r="AC30" i="9" s="1"/>
  <c r="Y30" i="9" a="1"/>
  <c r="Y30" i="9" s="1"/>
  <c r="U30" i="9" a="1"/>
  <c r="U30" i="9" s="1"/>
  <c r="Q30" i="9" a="1"/>
  <c r="Q30" i="9" s="1"/>
  <c r="M30" i="9" a="1"/>
  <c r="M30" i="9" s="1"/>
  <c r="I30" i="9" a="1"/>
  <c r="I30" i="9" s="1"/>
  <c r="E30" i="9" a="1"/>
  <c r="E30" i="9" s="1"/>
  <c r="CO30" i="9" a="1"/>
  <c r="CO30" i="9" s="1"/>
  <c r="CK30" i="9" a="1"/>
  <c r="CK30" i="9" s="1"/>
  <c r="CF30" i="9" a="1"/>
  <c r="CF30" i="9" s="1"/>
  <c r="CB30" i="9" a="1"/>
  <c r="CB30" i="9" s="1"/>
  <c r="BX30" i="9" a="1"/>
  <c r="BX30" i="9" s="1"/>
  <c r="BT30" i="9" a="1"/>
  <c r="BT30" i="9" s="1"/>
  <c r="BP30" i="9" a="1"/>
  <c r="BP30" i="9" s="1"/>
  <c r="BL30" i="9" a="1"/>
  <c r="BL30" i="9" s="1"/>
  <c r="BH30" i="9" a="1"/>
  <c r="BH30" i="9" s="1"/>
  <c r="BD30" i="9" a="1"/>
  <c r="BD30" i="9" s="1"/>
  <c r="AZ30" i="9" a="1"/>
  <c r="AZ30" i="9" s="1"/>
  <c r="AV30" i="9" a="1"/>
  <c r="AV30" i="9" s="1"/>
  <c r="AR30" i="9" a="1"/>
  <c r="AR30" i="9" s="1"/>
  <c r="AN30" i="9" a="1"/>
  <c r="AN30" i="9" s="1"/>
  <c r="AJ30" i="9" a="1"/>
  <c r="AJ30" i="9" s="1"/>
  <c r="AF30" i="9" a="1"/>
  <c r="AF30" i="9" s="1"/>
  <c r="AB30" i="9" a="1"/>
  <c r="AB30" i="9" s="1"/>
  <c r="X30" i="9" a="1"/>
  <c r="X30" i="9" s="1"/>
  <c r="T30" i="9" a="1"/>
  <c r="T30" i="9" s="1"/>
  <c r="P30" i="9" a="1"/>
  <c r="P30" i="9" s="1"/>
  <c r="L30" i="9" a="1"/>
  <c r="L30" i="9" s="1"/>
  <c r="H30" i="9" a="1"/>
  <c r="H30" i="9" s="1"/>
  <c r="CM30" i="9" a="1"/>
  <c r="CM30" i="9" s="1"/>
  <c r="CD30" i="9" a="1"/>
  <c r="CD30" i="9" s="1"/>
  <c r="BV30" i="9" a="1"/>
  <c r="BV30" i="9" s="1"/>
  <c r="BN30" i="9" a="1"/>
  <c r="BN30" i="9" s="1"/>
  <c r="BF30" i="9" a="1"/>
  <c r="BF30" i="9" s="1"/>
  <c r="AX30" i="9" a="1"/>
  <c r="AX30" i="9" s="1"/>
  <c r="AP30" i="9" a="1"/>
  <c r="AP30" i="9" s="1"/>
  <c r="AH30" i="9" a="1"/>
  <c r="AH30" i="9" s="1"/>
  <c r="Z30" i="9" a="1"/>
  <c r="Z30" i="9" s="1"/>
  <c r="R30" i="9" a="1"/>
  <c r="R30" i="9" s="1"/>
  <c r="J30" i="9" a="1"/>
  <c r="J30" i="9" s="1"/>
  <c r="CR30" i="9" a="1"/>
  <c r="CR30" i="9" s="1"/>
  <c r="CJ30" i="9" a="1"/>
  <c r="CJ30" i="9" s="1"/>
  <c r="CA30" i="9" a="1"/>
  <c r="CA30" i="9" s="1"/>
  <c r="BS30" i="9" a="1"/>
  <c r="BS30" i="9" s="1"/>
  <c r="BK30" i="9" a="1"/>
  <c r="BK30" i="9" s="1"/>
  <c r="BC30" i="9" a="1"/>
  <c r="BC30" i="9" s="1"/>
  <c r="AU30" i="9" a="1"/>
  <c r="AU30" i="9" s="1"/>
  <c r="AM30" i="9" a="1"/>
  <c r="AM30" i="9" s="1"/>
  <c r="AE30" i="9" a="1"/>
  <c r="AE30" i="9" s="1"/>
  <c r="W30" i="9" a="1"/>
  <c r="W30" i="9" s="1"/>
  <c r="O30" i="9" a="1"/>
  <c r="O30" i="9" s="1"/>
  <c r="G30" i="9" a="1"/>
  <c r="G30" i="9" s="1"/>
  <c r="CQ30" i="9" a="1"/>
  <c r="CQ30" i="9" s="1"/>
  <c r="CI30" i="9" a="1"/>
  <c r="CI30" i="9" s="1"/>
  <c r="BZ30" i="9" a="1"/>
  <c r="BZ30" i="9" s="1"/>
  <c r="BR30" i="9" a="1"/>
  <c r="BR30" i="9" s="1"/>
  <c r="BJ30" i="9" a="1"/>
  <c r="BJ30" i="9" s="1"/>
  <c r="BB30" i="9" a="1"/>
  <c r="BB30" i="9" s="1"/>
  <c r="AT30" i="9" a="1"/>
  <c r="AT30" i="9" s="1"/>
  <c r="AL30" i="9" a="1"/>
  <c r="AL30" i="9" s="1"/>
  <c r="AD30" i="9" a="1"/>
  <c r="AD30" i="9" s="1"/>
  <c r="V30" i="9" a="1"/>
  <c r="V30" i="9" s="1"/>
  <c r="N30" i="9" a="1"/>
  <c r="N30" i="9" s="1"/>
  <c r="F30" i="9" a="1"/>
  <c r="F30" i="9" s="1"/>
  <c r="CN30" i="9" a="1"/>
  <c r="CN30" i="9" s="1"/>
  <c r="CE30" i="9" a="1"/>
  <c r="CE30" i="9" s="1"/>
  <c r="BW30" i="9" a="1"/>
  <c r="BW30" i="9" s="1"/>
  <c r="BO30" i="9" a="1"/>
  <c r="BO30" i="9" s="1"/>
  <c r="BG30" i="9" a="1"/>
  <c r="BG30" i="9" s="1"/>
  <c r="AY30" i="9" a="1"/>
  <c r="AY30" i="9" s="1"/>
  <c r="AQ30" i="9" a="1"/>
  <c r="AQ30" i="9" s="1"/>
  <c r="AI30" i="9" a="1"/>
  <c r="AI30" i="9" s="1"/>
  <c r="AA30" i="9" a="1"/>
  <c r="AA30" i="9" s="1"/>
  <c r="S30" i="9" a="1"/>
  <c r="S30" i="9" s="1"/>
  <c r="K30" i="9" a="1"/>
  <c r="K30" i="9" s="1"/>
  <c r="CP34" i="9" a="1"/>
  <c r="CP34" i="9" s="1"/>
  <c r="CL34" i="9" a="1"/>
  <c r="CL34" i="9" s="1"/>
  <c r="CH34" i="9" a="1"/>
  <c r="CH34" i="9" s="1"/>
  <c r="CC34" i="9" a="1"/>
  <c r="CC34" i="9" s="1"/>
  <c r="BY34" i="9" a="1"/>
  <c r="BY34" i="9" s="1"/>
  <c r="BU34" i="9" a="1"/>
  <c r="BU34" i="9" s="1"/>
  <c r="BQ34" i="9" a="1"/>
  <c r="BQ34" i="9" s="1"/>
  <c r="BM34" i="9" a="1"/>
  <c r="BM34" i="9" s="1"/>
  <c r="BI34" i="9" a="1"/>
  <c r="BI34" i="9" s="1"/>
  <c r="BE34" i="9" a="1"/>
  <c r="BE34" i="9" s="1"/>
  <c r="BA34" i="9" a="1"/>
  <c r="BA34" i="9" s="1"/>
  <c r="AW34" i="9" a="1"/>
  <c r="AW34" i="9" s="1"/>
  <c r="AS34" i="9" a="1"/>
  <c r="AS34" i="9" s="1"/>
  <c r="AO34" i="9" a="1"/>
  <c r="AO34" i="9" s="1"/>
  <c r="AK34" i="9" a="1"/>
  <c r="AK34" i="9" s="1"/>
  <c r="AG34" i="9" a="1"/>
  <c r="AG34" i="9" s="1"/>
  <c r="AC34" i="9" a="1"/>
  <c r="AC34" i="9" s="1"/>
  <c r="Y34" i="9" a="1"/>
  <c r="Y34" i="9" s="1"/>
  <c r="U34" i="9" a="1"/>
  <c r="U34" i="9" s="1"/>
  <c r="Q34" i="9" a="1"/>
  <c r="Q34" i="9" s="1"/>
  <c r="M34" i="9" a="1"/>
  <c r="M34" i="9" s="1"/>
  <c r="I34" i="9" a="1"/>
  <c r="I34" i="9" s="1"/>
  <c r="E34" i="9" a="1"/>
  <c r="E34" i="9" s="1"/>
  <c r="CO34" i="9" a="1"/>
  <c r="CO34" i="9" s="1"/>
  <c r="CK34" i="9" a="1"/>
  <c r="CK34" i="9" s="1"/>
  <c r="CF34" i="9" a="1"/>
  <c r="CF34" i="9" s="1"/>
  <c r="CB34" i="9" a="1"/>
  <c r="CB34" i="9" s="1"/>
  <c r="BX34" i="9" a="1"/>
  <c r="BX34" i="9" s="1"/>
  <c r="BT34" i="9" a="1"/>
  <c r="BT34" i="9" s="1"/>
  <c r="BP34" i="9" a="1"/>
  <c r="BP34" i="9" s="1"/>
  <c r="BL34" i="9" a="1"/>
  <c r="BL34" i="9" s="1"/>
  <c r="BH34" i="9" a="1"/>
  <c r="BH34" i="9" s="1"/>
  <c r="BD34" i="9" a="1"/>
  <c r="BD34" i="9" s="1"/>
  <c r="AZ34" i="9" a="1"/>
  <c r="AZ34" i="9" s="1"/>
  <c r="AV34" i="9" a="1"/>
  <c r="AV34" i="9" s="1"/>
  <c r="AR34" i="9" a="1"/>
  <c r="AR34" i="9" s="1"/>
  <c r="AN34" i="9" a="1"/>
  <c r="AN34" i="9" s="1"/>
  <c r="AJ34" i="9" a="1"/>
  <c r="AJ34" i="9" s="1"/>
  <c r="AF34" i="9" a="1"/>
  <c r="AF34" i="9" s="1"/>
  <c r="AB34" i="9" a="1"/>
  <c r="AB34" i="9" s="1"/>
  <c r="X34" i="9" a="1"/>
  <c r="X34" i="9" s="1"/>
  <c r="T34" i="9" a="1"/>
  <c r="T34" i="9" s="1"/>
  <c r="P34" i="9" a="1"/>
  <c r="P34" i="9" s="1"/>
  <c r="L34" i="9" a="1"/>
  <c r="L34" i="9" s="1"/>
  <c r="H34" i="9" a="1"/>
  <c r="H34" i="9" s="1"/>
  <c r="CN34" i="9" a="1"/>
  <c r="CN34" i="9" s="1"/>
  <c r="CE34" i="9" a="1"/>
  <c r="CE34" i="9" s="1"/>
  <c r="BW34" i="9" a="1"/>
  <c r="BW34" i="9" s="1"/>
  <c r="BO34" i="9" a="1"/>
  <c r="BO34" i="9" s="1"/>
  <c r="BG34" i="9" a="1"/>
  <c r="BG34" i="9" s="1"/>
  <c r="AY34" i="9" a="1"/>
  <c r="AY34" i="9" s="1"/>
  <c r="AQ34" i="9" a="1"/>
  <c r="AQ34" i="9" s="1"/>
  <c r="AI34" i="9" a="1"/>
  <c r="AI34" i="9" s="1"/>
  <c r="AA34" i="9" a="1"/>
  <c r="AA34" i="9" s="1"/>
  <c r="S34" i="9" a="1"/>
  <c r="S34" i="9" s="1"/>
  <c r="K34" i="9" a="1"/>
  <c r="K34" i="9" s="1"/>
  <c r="CR34" i="9" a="1"/>
  <c r="CR34" i="9" s="1"/>
  <c r="CJ34" i="9" a="1"/>
  <c r="CJ34" i="9" s="1"/>
  <c r="CA34" i="9" a="1"/>
  <c r="CA34" i="9" s="1"/>
  <c r="BS34" i="9" a="1"/>
  <c r="BS34" i="9" s="1"/>
  <c r="BK34" i="9" a="1"/>
  <c r="BK34" i="9" s="1"/>
  <c r="BC34" i="9" a="1"/>
  <c r="BC34" i="9" s="1"/>
  <c r="AU34" i="9" a="1"/>
  <c r="AU34" i="9" s="1"/>
  <c r="AM34" i="9" a="1"/>
  <c r="AM34" i="9" s="1"/>
  <c r="AE34" i="9" a="1"/>
  <c r="AE34" i="9" s="1"/>
  <c r="W34" i="9" a="1"/>
  <c r="W34" i="9" s="1"/>
  <c r="O34" i="9" a="1"/>
  <c r="O34" i="9" s="1"/>
  <c r="G34" i="9" a="1"/>
  <c r="G34" i="9" s="1"/>
  <c r="CQ34" i="9" a="1"/>
  <c r="CQ34" i="9" s="1"/>
  <c r="CI34" i="9" a="1"/>
  <c r="CI34" i="9" s="1"/>
  <c r="BZ34" i="9" a="1"/>
  <c r="BZ34" i="9" s="1"/>
  <c r="BR34" i="9" a="1"/>
  <c r="BR34" i="9" s="1"/>
  <c r="BJ34" i="9" a="1"/>
  <c r="BJ34" i="9" s="1"/>
  <c r="BB34" i="9" a="1"/>
  <c r="BB34" i="9" s="1"/>
  <c r="AT34" i="9" a="1"/>
  <c r="AT34" i="9" s="1"/>
  <c r="AL34" i="9" a="1"/>
  <c r="AL34" i="9" s="1"/>
  <c r="AD34" i="9" a="1"/>
  <c r="AD34" i="9" s="1"/>
  <c r="V34" i="9" a="1"/>
  <c r="V34" i="9" s="1"/>
  <c r="N34" i="9" a="1"/>
  <c r="N34" i="9" s="1"/>
  <c r="F34" i="9" a="1"/>
  <c r="F34" i="9" s="1"/>
  <c r="BV34" i="9" a="1"/>
  <c r="BV34" i="9" s="1"/>
  <c r="AP34" i="9" a="1"/>
  <c r="AP34" i="9" s="1"/>
  <c r="J34" i="9" a="1"/>
  <c r="J34" i="9" s="1"/>
  <c r="BN34" i="9" a="1"/>
  <c r="BN34" i="9" s="1"/>
  <c r="AH34" i="9" a="1"/>
  <c r="AH34" i="9" s="1"/>
  <c r="CM34" i="9" a="1"/>
  <c r="CM34" i="9" s="1"/>
  <c r="BF34" i="9" a="1"/>
  <c r="BF34" i="9" s="1"/>
  <c r="Z34" i="9" a="1"/>
  <c r="Z34" i="9" s="1"/>
  <c r="CD34" i="9" a="1"/>
  <c r="CD34" i="9" s="1"/>
  <c r="AX34" i="9" a="1"/>
  <c r="AX34" i="9" s="1"/>
  <c r="R34" i="9" a="1"/>
  <c r="R34" i="9" s="1"/>
  <c r="CP38" i="9" a="1"/>
  <c r="CP38" i="9" s="1"/>
  <c r="CL38" i="9" a="1"/>
  <c r="CL38" i="9" s="1"/>
  <c r="CH38" i="9" a="1"/>
  <c r="CH38" i="9" s="1"/>
  <c r="CC38" i="9" a="1"/>
  <c r="CC38" i="9" s="1"/>
  <c r="BY38" i="9" a="1"/>
  <c r="BY38" i="9" s="1"/>
  <c r="BU38" i="9" a="1"/>
  <c r="BU38" i="9" s="1"/>
  <c r="BQ38" i="9" a="1"/>
  <c r="BQ38" i="9" s="1"/>
  <c r="BM38" i="9" a="1"/>
  <c r="BM38" i="9" s="1"/>
  <c r="BI38" i="9" a="1"/>
  <c r="BI38" i="9" s="1"/>
  <c r="BE38" i="9" a="1"/>
  <c r="BE38" i="9" s="1"/>
  <c r="BA38" i="9" a="1"/>
  <c r="BA38" i="9" s="1"/>
  <c r="AW38" i="9" a="1"/>
  <c r="AW38" i="9" s="1"/>
  <c r="AS38" i="9" a="1"/>
  <c r="AS38" i="9" s="1"/>
  <c r="AO38" i="9" a="1"/>
  <c r="AO38" i="9" s="1"/>
  <c r="AK38" i="9" a="1"/>
  <c r="AK38" i="9" s="1"/>
  <c r="AG38" i="9" a="1"/>
  <c r="AG38" i="9" s="1"/>
  <c r="AC38" i="9" a="1"/>
  <c r="AC38" i="9" s="1"/>
  <c r="Y38" i="9" a="1"/>
  <c r="Y38" i="9" s="1"/>
  <c r="U38" i="9" a="1"/>
  <c r="U38" i="9" s="1"/>
  <c r="Q38" i="9" a="1"/>
  <c r="Q38" i="9" s="1"/>
  <c r="M38" i="9" a="1"/>
  <c r="M38" i="9" s="1"/>
  <c r="I38" i="9" a="1"/>
  <c r="I38" i="9" s="1"/>
  <c r="E38" i="9" a="1"/>
  <c r="E38" i="9" s="1"/>
  <c r="CO38" i="9" a="1"/>
  <c r="CO38" i="9" s="1"/>
  <c r="CK38" i="9" a="1"/>
  <c r="CK38" i="9" s="1"/>
  <c r="CF38" i="9" a="1"/>
  <c r="CF38" i="9" s="1"/>
  <c r="CB38" i="9" a="1"/>
  <c r="CB38" i="9" s="1"/>
  <c r="BX38" i="9" a="1"/>
  <c r="BX38" i="9" s="1"/>
  <c r="BT38" i="9" a="1"/>
  <c r="BT38" i="9" s="1"/>
  <c r="BP38" i="9" a="1"/>
  <c r="BP38" i="9" s="1"/>
  <c r="BL38" i="9" a="1"/>
  <c r="BL38" i="9" s="1"/>
  <c r="BH38" i="9" a="1"/>
  <c r="BH38" i="9" s="1"/>
  <c r="BD38" i="9" a="1"/>
  <c r="BD38" i="9" s="1"/>
  <c r="AZ38" i="9" a="1"/>
  <c r="AZ38" i="9" s="1"/>
  <c r="AV38" i="9" a="1"/>
  <c r="AV38" i="9" s="1"/>
  <c r="AR38" i="9" a="1"/>
  <c r="AR38" i="9" s="1"/>
  <c r="AN38" i="9" a="1"/>
  <c r="AN38" i="9" s="1"/>
  <c r="AJ38" i="9" a="1"/>
  <c r="AJ38" i="9" s="1"/>
  <c r="AF38" i="9" a="1"/>
  <c r="AF38" i="9" s="1"/>
  <c r="AB38" i="9" a="1"/>
  <c r="AB38" i="9" s="1"/>
  <c r="X38" i="9" a="1"/>
  <c r="X38" i="9" s="1"/>
  <c r="T38" i="9" a="1"/>
  <c r="T38" i="9" s="1"/>
  <c r="P38" i="9" a="1"/>
  <c r="P38" i="9" s="1"/>
  <c r="L38" i="9" a="1"/>
  <c r="L38" i="9" s="1"/>
  <c r="H38" i="9" a="1"/>
  <c r="H38" i="9" s="1"/>
  <c r="CR38" i="9" a="1"/>
  <c r="CR38" i="9" s="1"/>
  <c r="CN38" i="9" a="1"/>
  <c r="CN38" i="9" s="1"/>
  <c r="CJ38" i="9" a="1"/>
  <c r="CJ38" i="9" s="1"/>
  <c r="CE38" i="9" a="1"/>
  <c r="CE38" i="9" s="1"/>
  <c r="CA38" i="9" a="1"/>
  <c r="CA38" i="9" s="1"/>
  <c r="BW38" i="9" a="1"/>
  <c r="BW38" i="9" s="1"/>
  <c r="BS38" i="9" a="1"/>
  <c r="BS38" i="9" s="1"/>
  <c r="BO38" i="9" a="1"/>
  <c r="BO38" i="9" s="1"/>
  <c r="BK38" i="9" a="1"/>
  <c r="BK38" i="9" s="1"/>
  <c r="BG38" i="9" a="1"/>
  <c r="BG38" i="9" s="1"/>
  <c r="BC38" i="9" a="1"/>
  <c r="BC38" i="9" s="1"/>
  <c r="AY38" i="9" a="1"/>
  <c r="AY38" i="9" s="1"/>
  <c r="AU38" i="9" a="1"/>
  <c r="AU38" i="9" s="1"/>
  <c r="AQ38" i="9" a="1"/>
  <c r="AQ38" i="9" s="1"/>
  <c r="AM38" i="9" a="1"/>
  <c r="AM38" i="9" s="1"/>
  <c r="AI38" i="9" a="1"/>
  <c r="AI38" i="9" s="1"/>
  <c r="AE38" i="9" a="1"/>
  <c r="AE38" i="9" s="1"/>
  <c r="AA38" i="9" a="1"/>
  <c r="AA38" i="9" s="1"/>
  <c r="W38" i="9" a="1"/>
  <c r="W38" i="9" s="1"/>
  <c r="S38" i="9" a="1"/>
  <c r="S38" i="9" s="1"/>
  <c r="O38" i="9" a="1"/>
  <c r="O38" i="9" s="1"/>
  <c r="K38" i="9" a="1"/>
  <c r="K38" i="9" s="1"/>
  <c r="G38" i="9" a="1"/>
  <c r="G38" i="9" s="1"/>
  <c r="CM38" i="9" a="1"/>
  <c r="CM38" i="9" s="1"/>
  <c r="BV38" i="9" a="1"/>
  <c r="BV38" i="9" s="1"/>
  <c r="BF38" i="9" a="1"/>
  <c r="BF38" i="9" s="1"/>
  <c r="AP38" i="9" a="1"/>
  <c r="AP38" i="9" s="1"/>
  <c r="Z38" i="9" a="1"/>
  <c r="Z38" i="9" s="1"/>
  <c r="J38" i="9" a="1"/>
  <c r="J38" i="9" s="1"/>
  <c r="CI38" i="9" a="1"/>
  <c r="CI38" i="9" s="1"/>
  <c r="BR38" i="9" a="1"/>
  <c r="BR38" i="9" s="1"/>
  <c r="BB38" i="9" a="1"/>
  <c r="BB38" i="9" s="1"/>
  <c r="AL38" i="9" a="1"/>
  <c r="AL38" i="9" s="1"/>
  <c r="V38" i="9" a="1"/>
  <c r="V38" i="9" s="1"/>
  <c r="F38" i="9" a="1"/>
  <c r="F38" i="9" s="1"/>
  <c r="CD38" i="9" a="1"/>
  <c r="CD38" i="9" s="1"/>
  <c r="BN38" i="9" a="1"/>
  <c r="BN38" i="9" s="1"/>
  <c r="AX38" i="9" a="1"/>
  <c r="AX38" i="9" s="1"/>
  <c r="AH38" i="9" a="1"/>
  <c r="AH38" i="9" s="1"/>
  <c r="R38" i="9" a="1"/>
  <c r="R38" i="9" s="1"/>
  <c r="CQ38" i="9" a="1"/>
  <c r="CQ38" i="9" s="1"/>
  <c r="BZ38" i="9" a="1"/>
  <c r="BZ38" i="9" s="1"/>
  <c r="BJ38" i="9" a="1"/>
  <c r="BJ38" i="9" s="1"/>
  <c r="AT38" i="9" a="1"/>
  <c r="AT38" i="9" s="1"/>
  <c r="AD38" i="9" a="1"/>
  <c r="AD38" i="9" s="1"/>
  <c r="N38" i="9" a="1"/>
  <c r="N38" i="9" s="1"/>
  <c r="CO42" i="9" a="1"/>
  <c r="CO42" i="9" s="1"/>
  <c r="CK42" i="9" a="1"/>
  <c r="CK42" i="9" s="1"/>
  <c r="CF42" i="9" a="1"/>
  <c r="CF42" i="9" s="1"/>
  <c r="CB42" i="9" a="1"/>
  <c r="CB42" i="9" s="1"/>
  <c r="BX42" i="9" a="1"/>
  <c r="BX42" i="9" s="1"/>
  <c r="BT42" i="9" a="1"/>
  <c r="BT42" i="9" s="1"/>
  <c r="BP42" i="9" a="1"/>
  <c r="BP42" i="9" s="1"/>
  <c r="BL42" i="9" a="1"/>
  <c r="BL42" i="9" s="1"/>
  <c r="BH42" i="9" a="1"/>
  <c r="BH42" i="9" s="1"/>
  <c r="BD42" i="9" a="1"/>
  <c r="BD42" i="9" s="1"/>
  <c r="AZ42" i="9" a="1"/>
  <c r="AZ42" i="9" s="1"/>
  <c r="AV42" i="9" a="1"/>
  <c r="AV42" i="9" s="1"/>
  <c r="AR42" i="9" a="1"/>
  <c r="AR42" i="9" s="1"/>
  <c r="AN42" i="9" a="1"/>
  <c r="AN42" i="9" s="1"/>
  <c r="AJ42" i="9" a="1"/>
  <c r="AJ42" i="9" s="1"/>
  <c r="AF42" i="9" a="1"/>
  <c r="AF42" i="9" s="1"/>
  <c r="AB42" i="9" a="1"/>
  <c r="AB42" i="9" s="1"/>
  <c r="X42" i="9" a="1"/>
  <c r="X42" i="9" s="1"/>
  <c r="T42" i="9" a="1"/>
  <c r="T42" i="9" s="1"/>
  <c r="P42" i="9" a="1"/>
  <c r="P42" i="9" s="1"/>
  <c r="L42" i="9" a="1"/>
  <c r="L42" i="9" s="1"/>
  <c r="H42" i="9" a="1"/>
  <c r="H42" i="9" s="1"/>
  <c r="CR42" i="9" a="1"/>
  <c r="CR42" i="9" s="1"/>
  <c r="CN42" i="9" a="1"/>
  <c r="CN42" i="9" s="1"/>
  <c r="CJ42" i="9" a="1"/>
  <c r="CJ42" i="9" s="1"/>
  <c r="CE42" i="9" a="1"/>
  <c r="CE42" i="9" s="1"/>
  <c r="CA42" i="9" a="1"/>
  <c r="CA42" i="9" s="1"/>
  <c r="BW42" i="9" a="1"/>
  <c r="BW42" i="9" s="1"/>
  <c r="BS42" i="9" a="1"/>
  <c r="BS42" i="9" s="1"/>
  <c r="BO42" i="9" a="1"/>
  <c r="BO42" i="9" s="1"/>
  <c r="BK42" i="9" a="1"/>
  <c r="BK42" i="9" s="1"/>
  <c r="BG42" i="9" a="1"/>
  <c r="BG42" i="9" s="1"/>
  <c r="BC42" i="9" a="1"/>
  <c r="BC42" i="9" s="1"/>
  <c r="AY42" i="9" a="1"/>
  <c r="AY42" i="9" s="1"/>
  <c r="AU42" i="9" a="1"/>
  <c r="AU42" i="9" s="1"/>
  <c r="AQ42" i="9" a="1"/>
  <c r="AQ42" i="9" s="1"/>
  <c r="AM42" i="9" a="1"/>
  <c r="AM42" i="9" s="1"/>
  <c r="AI42" i="9" a="1"/>
  <c r="AI42" i="9" s="1"/>
  <c r="AE42" i="9" a="1"/>
  <c r="AE42" i="9" s="1"/>
  <c r="AA42" i="9" a="1"/>
  <c r="AA42" i="9" s="1"/>
  <c r="W42" i="9" a="1"/>
  <c r="W42" i="9" s="1"/>
  <c r="S42" i="9" a="1"/>
  <c r="S42" i="9" s="1"/>
  <c r="O42" i="9" a="1"/>
  <c r="O42" i="9" s="1"/>
  <c r="K42" i="9" a="1"/>
  <c r="K42" i="9" s="1"/>
  <c r="G42" i="9" a="1"/>
  <c r="G42" i="9" s="1"/>
  <c r="CL42" i="9" a="1"/>
  <c r="CL42" i="9" s="1"/>
  <c r="CC42" i="9" a="1"/>
  <c r="CC42" i="9" s="1"/>
  <c r="BU42" i="9" a="1"/>
  <c r="BU42" i="9" s="1"/>
  <c r="BM42" i="9" a="1"/>
  <c r="BM42" i="9" s="1"/>
  <c r="BE42" i="9" a="1"/>
  <c r="BE42" i="9" s="1"/>
  <c r="AW42" i="9" a="1"/>
  <c r="AW42" i="9" s="1"/>
  <c r="AO42" i="9" a="1"/>
  <c r="AO42" i="9" s="1"/>
  <c r="AG42" i="9" a="1"/>
  <c r="AG42" i="9" s="1"/>
  <c r="Y42" i="9" a="1"/>
  <c r="Y42" i="9" s="1"/>
  <c r="Q42" i="9" a="1"/>
  <c r="Q42" i="9" s="1"/>
  <c r="I42" i="9" a="1"/>
  <c r="I42" i="9" s="1"/>
  <c r="CQ42" i="9" a="1"/>
  <c r="CQ42" i="9" s="1"/>
  <c r="CI42" i="9" a="1"/>
  <c r="CI42" i="9" s="1"/>
  <c r="BZ42" i="9" a="1"/>
  <c r="BZ42" i="9" s="1"/>
  <c r="BR42" i="9" a="1"/>
  <c r="BR42" i="9" s="1"/>
  <c r="BJ42" i="9" a="1"/>
  <c r="BJ42" i="9" s="1"/>
  <c r="BB42" i="9" a="1"/>
  <c r="BB42" i="9" s="1"/>
  <c r="AT42" i="9" a="1"/>
  <c r="AT42" i="9" s="1"/>
  <c r="AL42" i="9" a="1"/>
  <c r="AL42" i="9" s="1"/>
  <c r="AD42" i="9" a="1"/>
  <c r="AD42" i="9" s="1"/>
  <c r="V42" i="9" a="1"/>
  <c r="V42" i="9" s="1"/>
  <c r="N42" i="9" a="1"/>
  <c r="N42" i="9" s="1"/>
  <c r="F42" i="9" a="1"/>
  <c r="F42" i="9" s="1"/>
  <c r="CP42" i="9" a="1"/>
  <c r="CP42" i="9" s="1"/>
  <c r="CH42" i="9" a="1"/>
  <c r="CH42" i="9" s="1"/>
  <c r="BY42" i="9" a="1"/>
  <c r="BY42" i="9" s="1"/>
  <c r="BQ42" i="9" a="1"/>
  <c r="BQ42" i="9" s="1"/>
  <c r="BI42" i="9" a="1"/>
  <c r="BI42" i="9" s="1"/>
  <c r="BA42" i="9" a="1"/>
  <c r="BA42" i="9" s="1"/>
  <c r="AS42" i="9" a="1"/>
  <c r="AS42" i="9" s="1"/>
  <c r="AK42" i="9" a="1"/>
  <c r="AK42" i="9" s="1"/>
  <c r="AC42" i="9" a="1"/>
  <c r="AC42" i="9" s="1"/>
  <c r="U42" i="9" a="1"/>
  <c r="U42" i="9" s="1"/>
  <c r="M42" i="9" a="1"/>
  <c r="M42" i="9" s="1"/>
  <c r="E42" i="9" a="1"/>
  <c r="E42" i="9" s="1"/>
  <c r="BN42" i="9" a="1"/>
  <c r="BN42" i="9" s="1"/>
  <c r="AH42" i="9" a="1"/>
  <c r="AH42" i="9" s="1"/>
  <c r="CM42" i="9" a="1"/>
  <c r="CM42" i="9" s="1"/>
  <c r="BF42" i="9" a="1"/>
  <c r="BF42" i="9" s="1"/>
  <c r="Z42" i="9" a="1"/>
  <c r="Z42" i="9" s="1"/>
  <c r="CD42" i="9" a="1"/>
  <c r="CD42" i="9" s="1"/>
  <c r="AX42" i="9" a="1"/>
  <c r="AX42" i="9" s="1"/>
  <c r="R42" i="9" a="1"/>
  <c r="R42" i="9" s="1"/>
  <c r="BV42" i="9" a="1"/>
  <c r="BV42" i="9" s="1"/>
  <c r="AP42" i="9" a="1"/>
  <c r="AP42" i="9" s="1"/>
  <c r="J42" i="9" a="1"/>
  <c r="J42" i="9" s="1"/>
  <c r="CQ46" i="9" a="1"/>
  <c r="CQ46" i="9" s="1"/>
  <c r="CM46" i="9" a="1"/>
  <c r="CM46" i="9" s="1"/>
  <c r="CP46" i="9" a="1"/>
  <c r="CP46" i="9" s="1"/>
  <c r="CL46" i="9" a="1"/>
  <c r="CL46" i="9" s="1"/>
  <c r="CK46" i="9" a="1"/>
  <c r="CK46" i="9" s="1"/>
  <c r="CF46" i="9" a="1"/>
  <c r="CF46" i="9" s="1"/>
  <c r="CB46" i="9" a="1"/>
  <c r="CB46" i="9" s="1"/>
  <c r="BX46" i="9" a="1"/>
  <c r="BX46" i="9" s="1"/>
  <c r="BT46" i="9" a="1"/>
  <c r="BT46" i="9" s="1"/>
  <c r="BP46" i="9" a="1"/>
  <c r="BP46" i="9" s="1"/>
  <c r="BL46" i="9" a="1"/>
  <c r="BL46" i="9" s="1"/>
  <c r="BH46" i="9" a="1"/>
  <c r="BH46" i="9" s="1"/>
  <c r="BD46" i="9" a="1"/>
  <c r="BD46" i="9" s="1"/>
  <c r="AZ46" i="9" a="1"/>
  <c r="AZ46" i="9" s="1"/>
  <c r="AV46" i="9" a="1"/>
  <c r="AV46" i="9" s="1"/>
  <c r="AR46" i="9" a="1"/>
  <c r="AR46" i="9" s="1"/>
  <c r="AN46" i="9" a="1"/>
  <c r="AN46" i="9" s="1"/>
  <c r="AJ46" i="9" a="1"/>
  <c r="AJ46" i="9" s="1"/>
  <c r="AF46" i="9" a="1"/>
  <c r="AF46" i="9" s="1"/>
  <c r="AB46" i="9" a="1"/>
  <c r="AB46" i="9" s="1"/>
  <c r="X46" i="9" a="1"/>
  <c r="X46" i="9" s="1"/>
  <c r="T46" i="9" a="1"/>
  <c r="T46" i="9" s="1"/>
  <c r="P46" i="9" a="1"/>
  <c r="P46" i="9" s="1"/>
  <c r="L46" i="9" a="1"/>
  <c r="L46" i="9" s="1"/>
  <c r="H46" i="9" a="1"/>
  <c r="H46" i="9" s="1"/>
  <c r="CR46" i="9" a="1"/>
  <c r="CR46" i="9" s="1"/>
  <c r="CJ46" i="9" a="1"/>
  <c r="CJ46" i="9" s="1"/>
  <c r="CE46" i="9" a="1"/>
  <c r="CE46" i="9" s="1"/>
  <c r="CA46" i="9" a="1"/>
  <c r="CA46" i="9" s="1"/>
  <c r="BW46" i="9" a="1"/>
  <c r="BW46" i="9" s="1"/>
  <c r="BS46" i="9" a="1"/>
  <c r="BS46" i="9" s="1"/>
  <c r="BO46" i="9" a="1"/>
  <c r="BO46" i="9" s="1"/>
  <c r="BK46" i="9" a="1"/>
  <c r="BK46" i="9" s="1"/>
  <c r="BG46" i="9" a="1"/>
  <c r="BG46" i="9" s="1"/>
  <c r="BC46" i="9" a="1"/>
  <c r="BC46" i="9" s="1"/>
  <c r="AY46" i="9" a="1"/>
  <c r="AY46" i="9" s="1"/>
  <c r="AU46" i="9" a="1"/>
  <c r="AU46" i="9" s="1"/>
  <c r="AQ46" i="9" a="1"/>
  <c r="AQ46" i="9" s="1"/>
  <c r="AM46" i="9" a="1"/>
  <c r="AM46" i="9" s="1"/>
  <c r="AI46" i="9" a="1"/>
  <c r="AI46" i="9" s="1"/>
  <c r="AE46" i="9" a="1"/>
  <c r="AE46" i="9" s="1"/>
  <c r="AA46" i="9" a="1"/>
  <c r="AA46" i="9" s="1"/>
  <c r="W46" i="9" a="1"/>
  <c r="W46" i="9" s="1"/>
  <c r="S46" i="9" a="1"/>
  <c r="S46" i="9" s="1"/>
  <c r="O46" i="9" a="1"/>
  <c r="O46" i="9" s="1"/>
  <c r="K46" i="9" a="1"/>
  <c r="K46" i="9" s="1"/>
  <c r="G46" i="9" a="1"/>
  <c r="G46" i="9" s="1"/>
  <c r="CH46" i="9" a="1"/>
  <c r="CH46" i="9" s="1"/>
  <c r="BY46" i="9" a="1"/>
  <c r="BY46" i="9" s="1"/>
  <c r="BQ46" i="9" a="1"/>
  <c r="BQ46" i="9" s="1"/>
  <c r="BI46" i="9" a="1"/>
  <c r="BI46" i="9" s="1"/>
  <c r="BA46" i="9" a="1"/>
  <c r="BA46" i="9" s="1"/>
  <c r="AS46" i="9" a="1"/>
  <c r="AS46" i="9" s="1"/>
  <c r="AK46" i="9" a="1"/>
  <c r="AK46" i="9" s="1"/>
  <c r="CO46" i="9" a="1"/>
  <c r="CO46" i="9" s="1"/>
  <c r="CC46" i="9" a="1"/>
  <c r="CC46" i="9" s="1"/>
  <c r="BR46" i="9" a="1"/>
  <c r="BR46" i="9" s="1"/>
  <c r="BF46" i="9" a="1"/>
  <c r="BF46" i="9" s="1"/>
  <c r="AW46" i="9" a="1"/>
  <c r="AW46" i="9" s="1"/>
  <c r="AL46" i="9" a="1"/>
  <c r="AL46" i="9" s="1"/>
  <c r="AC46" i="9" a="1"/>
  <c r="AC46" i="9" s="1"/>
  <c r="U46" i="9" a="1"/>
  <c r="U46" i="9" s="1"/>
  <c r="M46" i="9" a="1"/>
  <c r="M46" i="9" s="1"/>
  <c r="E46" i="9" a="1"/>
  <c r="E46" i="9" s="1"/>
  <c r="CN46" i="9" a="1"/>
  <c r="CN46" i="9" s="1"/>
  <c r="BZ46" i="9" a="1"/>
  <c r="BZ46" i="9" s="1"/>
  <c r="BN46" i="9" a="1"/>
  <c r="BN46" i="9" s="1"/>
  <c r="BE46" i="9" a="1"/>
  <c r="BE46" i="9" s="1"/>
  <c r="AT46" i="9" a="1"/>
  <c r="AT46" i="9" s="1"/>
  <c r="AH46" i="9" a="1"/>
  <c r="AH46" i="9" s="1"/>
  <c r="Z46" i="9" a="1"/>
  <c r="Z46" i="9" s="1"/>
  <c r="R46" i="9" a="1"/>
  <c r="R46" i="9" s="1"/>
  <c r="J46" i="9" a="1"/>
  <c r="J46" i="9" s="1"/>
  <c r="CI46" i="9" a="1"/>
  <c r="CI46" i="9" s="1"/>
  <c r="BV46" i="9" a="1"/>
  <c r="BV46" i="9" s="1"/>
  <c r="BM46" i="9" a="1"/>
  <c r="BM46" i="9" s="1"/>
  <c r="BB46" i="9" a="1"/>
  <c r="BB46" i="9" s="1"/>
  <c r="AP46" i="9" a="1"/>
  <c r="AP46" i="9" s="1"/>
  <c r="AG46" i="9" a="1"/>
  <c r="AG46" i="9" s="1"/>
  <c r="Y46" i="9" a="1"/>
  <c r="Y46" i="9" s="1"/>
  <c r="Q46" i="9" a="1"/>
  <c r="Q46" i="9" s="1"/>
  <c r="I46" i="9" a="1"/>
  <c r="I46" i="9" s="1"/>
  <c r="BJ46" i="9" a="1"/>
  <c r="BJ46" i="9" s="1"/>
  <c r="V46" i="9" a="1"/>
  <c r="V46" i="9" s="1"/>
  <c r="AX46" i="9" a="1"/>
  <c r="AX46" i="9" s="1"/>
  <c r="N46" i="9" a="1"/>
  <c r="N46" i="9" s="1"/>
  <c r="CD46" i="9" a="1"/>
  <c r="CD46" i="9" s="1"/>
  <c r="AO46" i="9" a="1"/>
  <c r="AO46" i="9" s="1"/>
  <c r="F46" i="9" a="1"/>
  <c r="F46" i="9" s="1"/>
  <c r="BU46" i="9" a="1"/>
  <c r="BU46" i="9" s="1"/>
  <c r="AD46" i="9" a="1"/>
  <c r="AD46" i="9" s="1"/>
  <c r="CQ50" i="9" a="1"/>
  <c r="CQ50" i="9" s="1"/>
  <c r="CM50" i="9" a="1"/>
  <c r="CM50" i="9" s="1"/>
  <c r="CI50" i="9" a="1"/>
  <c r="CI50" i="9" s="1"/>
  <c r="CD50" i="9" a="1"/>
  <c r="CD50" i="9" s="1"/>
  <c r="BZ50" i="9" a="1"/>
  <c r="BZ50" i="9" s="1"/>
  <c r="BV50" i="9" a="1"/>
  <c r="BV50" i="9" s="1"/>
  <c r="BR50" i="9" a="1"/>
  <c r="BR50" i="9" s="1"/>
  <c r="BN50" i="9" a="1"/>
  <c r="BN50" i="9" s="1"/>
  <c r="BJ50" i="9" a="1"/>
  <c r="BJ50" i="9" s="1"/>
  <c r="BF50" i="9" a="1"/>
  <c r="BF50" i="9" s="1"/>
  <c r="BB50" i="9" a="1"/>
  <c r="BB50" i="9" s="1"/>
  <c r="AX50" i="9" a="1"/>
  <c r="AX50" i="9" s="1"/>
  <c r="AT50" i="9" a="1"/>
  <c r="AT50" i="9" s="1"/>
  <c r="AP50" i="9" a="1"/>
  <c r="AP50" i="9" s="1"/>
  <c r="AL50" i="9" a="1"/>
  <c r="AL50" i="9" s="1"/>
  <c r="AH50" i="9" a="1"/>
  <c r="AH50" i="9" s="1"/>
  <c r="AD50" i="9" a="1"/>
  <c r="AD50" i="9" s="1"/>
  <c r="Z50" i="9" a="1"/>
  <c r="Z50" i="9" s="1"/>
  <c r="V50" i="9" a="1"/>
  <c r="V50" i="9" s="1"/>
  <c r="R50" i="9" a="1"/>
  <c r="R50" i="9" s="1"/>
  <c r="N50" i="9" a="1"/>
  <c r="N50" i="9" s="1"/>
  <c r="J50" i="9" a="1"/>
  <c r="J50" i="9" s="1"/>
  <c r="F50" i="9" a="1"/>
  <c r="F50" i="9" s="1"/>
  <c r="CP50" i="9" a="1"/>
  <c r="CP50" i="9" s="1"/>
  <c r="CL50" i="9" a="1"/>
  <c r="CL50" i="9" s="1"/>
  <c r="CH50" i="9" a="1"/>
  <c r="CH50" i="9" s="1"/>
  <c r="CC50" i="9" a="1"/>
  <c r="CC50" i="9" s="1"/>
  <c r="BY50" i="9" a="1"/>
  <c r="BY50" i="9" s="1"/>
  <c r="BU50" i="9" a="1"/>
  <c r="BU50" i="9" s="1"/>
  <c r="BQ50" i="9" a="1"/>
  <c r="BQ50" i="9" s="1"/>
  <c r="BM50" i="9" a="1"/>
  <c r="BM50" i="9" s="1"/>
  <c r="BI50" i="9" a="1"/>
  <c r="BI50" i="9" s="1"/>
  <c r="BE50" i="9" a="1"/>
  <c r="BE50" i="9" s="1"/>
  <c r="BA50" i="9" a="1"/>
  <c r="BA50" i="9" s="1"/>
  <c r="AW50" i="9" a="1"/>
  <c r="AW50" i="9" s="1"/>
  <c r="AS50" i="9" a="1"/>
  <c r="AS50" i="9" s="1"/>
  <c r="AO50" i="9" a="1"/>
  <c r="AO50" i="9" s="1"/>
  <c r="AK50" i="9" a="1"/>
  <c r="AK50" i="9" s="1"/>
  <c r="AG50" i="9" a="1"/>
  <c r="AG50" i="9" s="1"/>
  <c r="AC50" i="9" a="1"/>
  <c r="AC50" i="9" s="1"/>
  <c r="Y50" i="9" a="1"/>
  <c r="Y50" i="9" s="1"/>
  <c r="U50" i="9" a="1"/>
  <c r="U50" i="9" s="1"/>
  <c r="Q50" i="9" a="1"/>
  <c r="Q50" i="9" s="1"/>
  <c r="M50" i="9" a="1"/>
  <c r="M50" i="9" s="1"/>
  <c r="I50" i="9" a="1"/>
  <c r="I50" i="9" s="1"/>
  <c r="E50" i="9" a="1"/>
  <c r="E50" i="9" s="1"/>
  <c r="CO50" i="9" a="1"/>
  <c r="CO50" i="9" s="1"/>
  <c r="CF50" i="9" a="1"/>
  <c r="CF50" i="9" s="1"/>
  <c r="BX50" i="9" a="1"/>
  <c r="BX50" i="9" s="1"/>
  <c r="BP50" i="9" a="1"/>
  <c r="BP50" i="9" s="1"/>
  <c r="BH50" i="9" a="1"/>
  <c r="BH50" i="9" s="1"/>
  <c r="AZ50" i="9" a="1"/>
  <c r="AZ50" i="9" s="1"/>
  <c r="AR50" i="9" a="1"/>
  <c r="AR50" i="9" s="1"/>
  <c r="AJ50" i="9" a="1"/>
  <c r="AJ50" i="9" s="1"/>
  <c r="AB50" i="9" a="1"/>
  <c r="AB50" i="9" s="1"/>
  <c r="T50" i="9" a="1"/>
  <c r="T50" i="9" s="1"/>
  <c r="L50" i="9" a="1"/>
  <c r="L50" i="9" s="1"/>
  <c r="CN50" i="9" a="1"/>
  <c r="CN50" i="9" s="1"/>
  <c r="CE50" i="9" a="1"/>
  <c r="CE50" i="9" s="1"/>
  <c r="BW50" i="9" a="1"/>
  <c r="BW50" i="9" s="1"/>
  <c r="BO50" i="9" a="1"/>
  <c r="BO50" i="9" s="1"/>
  <c r="BG50" i="9" a="1"/>
  <c r="BG50" i="9" s="1"/>
  <c r="AY50" i="9" a="1"/>
  <c r="AY50" i="9" s="1"/>
  <c r="AQ50" i="9" a="1"/>
  <c r="AQ50" i="9" s="1"/>
  <c r="AI50" i="9" a="1"/>
  <c r="AI50" i="9" s="1"/>
  <c r="AA50" i="9" a="1"/>
  <c r="AA50" i="9" s="1"/>
  <c r="S50" i="9" a="1"/>
  <c r="S50" i="9" s="1"/>
  <c r="K50" i="9" a="1"/>
  <c r="K50" i="9" s="1"/>
  <c r="CK50" i="9" a="1"/>
  <c r="CK50" i="9" s="1"/>
  <c r="BT50" i="9" a="1"/>
  <c r="BT50" i="9" s="1"/>
  <c r="BD50" i="9" a="1"/>
  <c r="BD50" i="9" s="1"/>
  <c r="AN50" i="9" a="1"/>
  <c r="AN50" i="9" s="1"/>
  <c r="X50" i="9" a="1"/>
  <c r="X50" i="9" s="1"/>
  <c r="H50" i="9" a="1"/>
  <c r="H50" i="9" s="1"/>
  <c r="CJ50" i="9" a="1"/>
  <c r="CJ50" i="9" s="1"/>
  <c r="BS50" i="9" a="1"/>
  <c r="BS50" i="9" s="1"/>
  <c r="BC50" i="9" a="1"/>
  <c r="BC50" i="9" s="1"/>
  <c r="AM50" i="9" a="1"/>
  <c r="AM50" i="9" s="1"/>
  <c r="W50" i="9" a="1"/>
  <c r="W50" i="9" s="1"/>
  <c r="G50" i="9" a="1"/>
  <c r="G50" i="9" s="1"/>
  <c r="CB50" i="9" a="1"/>
  <c r="CB50" i="9" s="1"/>
  <c r="BL50" i="9" a="1"/>
  <c r="BL50" i="9" s="1"/>
  <c r="AV50" i="9" a="1"/>
  <c r="AV50" i="9" s="1"/>
  <c r="AF50" i="9" a="1"/>
  <c r="AF50" i="9" s="1"/>
  <c r="P50" i="9" a="1"/>
  <c r="P50" i="9" s="1"/>
  <c r="AU50" i="9" a="1"/>
  <c r="AU50" i="9" s="1"/>
  <c r="CR50" i="9" a="1"/>
  <c r="CR50" i="9" s="1"/>
  <c r="AE50" i="9" a="1"/>
  <c r="AE50" i="9" s="1"/>
  <c r="CA50" i="9" a="1"/>
  <c r="CA50" i="9" s="1"/>
  <c r="O50" i="9" a="1"/>
  <c r="O50" i="9" s="1"/>
  <c r="BK50" i="9" a="1"/>
  <c r="BK50" i="9" s="1"/>
  <c r="CQ54" i="9" a="1"/>
  <c r="CQ54" i="9" s="1"/>
  <c r="CM54" i="9" a="1"/>
  <c r="CM54" i="9" s="1"/>
  <c r="CI54" i="9" a="1"/>
  <c r="CI54" i="9" s="1"/>
  <c r="CD54" i="9" a="1"/>
  <c r="CD54" i="9" s="1"/>
  <c r="BZ54" i="9" a="1"/>
  <c r="BZ54" i="9" s="1"/>
  <c r="BV54" i="9" a="1"/>
  <c r="BV54" i="9" s="1"/>
  <c r="BR54" i="9" a="1"/>
  <c r="BR54" i="9" s="1"/>
  <c r="BN54" i="9" a="1"/>
  <c r="BN54" i="9" s="1"/>
  <c r="BJ54" i="9" a="1"/>
  <c r="BJ54" i="9" s="1"/>
  <c r="BF54" i="9" a="1"/>
  <c r="BF54" i="9" s="1"/>
  <c r="BB54" i="9" a="1"/>
  <c r="BB54" i="9" s="1"/>
  <c r="AX54" i="9" a="1"/>
  <c r="AX54" i="9" s="1"/>
  <c r="AT54" i="9" a="1"/>
  <c r="AT54" i="9" s="1"/>
  <c r="AP54" i="9" a="1"/>
  <c r="AP54" i="9" s="1"/>
  <c r="AL54" i="9" a="1"/>
  <c r="AL54" i="9" s="1"/>
  <c r="AH54" i="9" a="1"/>
  <c r="AH54" i="9" s="1"/>
  <c r="AD54" i="9" a="1"/>
  <c r="AD54" i="9" s="1"/>
  <c r="Z54" i="9" a="1"/>
  <c r="Z54" i="9" s="1"/>
  <c r="V54" i="9" a="1"/>
  <c r="V54" i="9" s="1"/>
  <c r="R54" i="9" a="1"/>
  <c r="R54" i="9" s="1"/>
  <c r="N54" i="9" a="1"/>
  <c r="N54" i="9" s="1"/>
  <c r="J54" i="9" a="1"/>
  <c r="J54" i="9" s="1"/>
  <c r="F54" i="9" a="1"/>
  <c r="F54" i="9" s="1"/>
  <c r="CP54" i="9" a="1"/>
  <c r="CP54" i="9" s="1"/>
  <c r="CL54" i="9" a="1"/>
  <c r="CL54" i="9" s="1"/>
  <c r="CH54" i="9" a="1"/>
  <c r="CH54" i="9" s="1"/>
  <c r="CC54" i="9" a="1"/>
  <c r="CC54" i="9" s="1"/>
  <c r="BY54" i="9" a="1"/>
  <c r="BY54" i="9" s="1"/>
  <c r="BU54" i="9" a="1"/>
  <c r="BU54" i="9" s="1"/>
  <c r="BQ54" i="9" a="1"/>
  <c r="BQ54" i="9" s="1"/>
  <c r="BM54" i="9" a="1"/>
  <c r="BM54" i="9" s="1"/>
  <c r="BI54" i="9" a="1"/>
  <c r="BI54" i="9" s="1"/>
  <c r="BE54" i="9" a="1"/>
  <c r="BE54" i="9" s="1"/>
  <c r="BA54" i="9" a="1"/>
  <c r="BA54" i="9" s="1"/>
  <c r="AW54" i="9" a="1"/>
  <c r="AW54" i="9" s="1"/>
  <c r="AS54" i="9" a="1"/>
  <c r="AS54" i="9" s="1"/>
  <c r="AO54" i="9" a="1"/>
  <c r="AO54" i="9" s="1"/>
  <c r="AK54" i="9" a="1"/>
  <c r="AK54" i="9" s="1"/>
  <c r="AG54" i="9" a="1"/>
  <c r="AG54" i="9" s="1"/>
  <c r="AC54" i="9" a="1"/>
  <c r="AC54" i="9" s="1"/>
  <c r="Y54" i="9" a="1"/>
  <c r="Y54" i="9" s="1"/>
  <c r="U54" i="9" a="1"/>
  <c r="U54" i="9" s="1"/>
  <c r="Q54" i="9" a="1"/>
  <c r="Q54" i="9" s="1"/>
  <c r="M54" i="9" a="1"/>
  <c r="M54" i="9" s="1"/>
  <c r="I54" i="9" a="1"/>
  <c r="I54" i="9" s="1"/>
  <c r="E54" i="9" a="1"/>
  <c r="E54" i="9" s="1"/>
  <c r="CK54" i="9" a="1"/>
  <c r="CK54" i="9" s="1"/>
  <c r="CB54" i="9" a="1"/>
  <c r="CB54" i="9" s="1"/>
  <c r="BT54" i="9" a="1"/>
  <c r="BT54" i="9" s="1"/>
  <c r="BL54" i="9" a="1"/>
  <c r="BL54" i="9" s="1"/>
  <c r="BD54" i="9" a="1"/>
  <c r="BD54" i="9" s="1"/>
  <c r="AV54" i="9" a="1"/>
  <c r="AV54" i="9" s="1"/>
  <c r="AN54" i="9" a="1"/>
  <c r="AN54" i="9" s="1"/>
  <c r="AF54" i="9" a="1"/>
  <c r="AF54" i="9" s="1"/>
  <c r="X54" i="9" a="1"/>
  <c r="X54" i="9" s="1"/>
  <c r="P54" i="9" a="1"/>
  <c r="P54" i="9" s="1"/>
  <c r="H54" i="9" a="1"/>
  <c r="H54" i="9" s="1"/>
  <c r="CR54" i="9" a="1"/>
  <c r="CR54" i="9" s="1"/>
  <c r="CJ54" i="9" a="1"/>
  <c r="CJ54" i="9" s="1"/>
  <c r="CA54" i="9" a="1"/>
  <c r="CA54" i="9" s="1"/>
  <c r="BS54" i="9" a="1"/>
  <c r="BS54" i="9" s="1"/>
  <c r="BK54" i="9" a="1"/>
  <c r="BK54" i="9" s="1"/>
  <c r="BC54" i="9" a="1"/>
  <c r="BC54" i="9" s="1"/>
  <c r="AU54" i="9" a="1"/>
  <c r="AU54" i="9" s="1"/>
  <c r="AM54" i="9" a="1"/>
  <c r="AM54" i="9" s="1"/>
  <c r="AE54" i="9" a="1"/>
  <c r="AE54" i="9" s="1"/>
  <c r="W54" i="9" a="1"/>
  <c r="W54" i="9" s="1"/>
  <c r="O54" i="9" a="1"/>
  <c r="O54" i="9" s="1"/>
  <c r="G54" i="9" a="1"/>
  <c r="G54" i="9" s="1"/>
  <c r="CO54" i="9" a="1"/>
  <c r="CO54" i="9" s="1"/>
  <c r="BX54" i="9" a="1"/>
  <c r="BX54" i="9" s="1"/>
  <c r="BH54" i="9" a="1"/>
  <c r="BH54" i="9" s="1"/>
  <c r="AR54" i="9" a="1"/>
  <c r="AR54" i="9" s="1"/>
  <c r="AB54" i="9" a="1"/>
  <c r="AB54" i="9" s="1"/>
  <c r="L54" i="9" a="1"/>
  <c r="L54" i="9" s="1"/>
  <c r="CN54" i="9" a="1"/>
  <c r="CN54" i="9" s="1"/>
  <c r="BW54" i="9" a="1"/>
  <c r="BW54" i="9" s="1"/>
  <c r="BG54" i="9" a="1"/>
  <c r="BG54" i="9" s="1"/>
  <c r="AQ54" i="9" a="1"/>
  <c r="AQ54" i="9" s="1"/>
  <c r="AA54" i="9" a="1"/>
  <c r="AA54" i="9" s="1"/>
  <c r="K54" i="9" a="1"/>
  <c r="K54" i="9" s="1"/>
  <c r="CF54" i="9" a="1"/>
  <c r="CF54" i="9" s="1"/>
  <c r="BP54" i="9" a="1"/>
  <c r="BP54" i="9" s="1"/>
  <c r="AZ54" i="9" a="1"/>
  <c r="AZ54" i="9" s="1"/>
  <c r="AJ54" i="9" a="1"/>
  <c r="AJ54" i="9" s="1"/>
  <c r="T54" i="9" a="1"/>
  <c r="T54" i="9" s="1"/>
  <c r="BO54" i="9" a="1"/>
  <c r="BO54" i="9" s="1"/>
  <c r="AY54" i="9" a="1"/>
  <c r="AY54" i="9" s="1"/>
  <c r="AI54" i="9" a="1"/>
  <c r="AI54" i="9" s="1"/>
  <c r="CE54" i="9" a="1"/>
  <c r="CE54" i="9" s="1"/>
  <c r="S54" i="9" a="1"/>
  <c r="S54" i="9" s="1"/>
  <c r="D19" i="14"/>
  <c r="D323" i="14"/>
  <c r="D703" i="14"/>
  <c r="D50" i="14"/>
  <c r="D46" i="14"/>
  <c r="D42" i="14"/>
  <c r="D38" i="14"/>
  <c r="D34" i="14"/>
  <c r="D31" i="14"/>
  <c r="D23" i="14"/>
  <c r="D126" i="14"/>
  <c r="D122" i="14"/>
  <c r="D118" i="14"/>
  <c r="D114" i="14"/>
  <c r="D110" i="14"/>
  <c r="D106" i="14"/>
  <c r="D98" i="14"/>
  <c r="D164" i="14"/>
  <c r="D160" i="14"/>
  <c r="D156" i="14"/>
  <c r="D152" i="14"/>
  <c r="D148" i="14"/>
  <c r="D144" i="14"/>
  <c r="D140" i="14"/>
  <c r="D136" i="14"/>
  <c r="D203" i="14"/>
  <c r="D195" i="14"/>
  <c r="D187" i="14"/>
  <c r="D179" i="14"/>
  <c r="D232" i="14"/>
  <c r="D229" i="14"/>
  <c r="D221" i="14"/>
  <c r="D213" i="14"/>
  <c r="D275" i="14"/>
  <c r="D267" i="14"/>
  <c r="D259" i="14"/>
  <c r="D251" i="14"/>
  <c r="D327" i="14"/>
  <c r="D391" i="14"/>
  <c r="D384" i="14"/>
  <c r="D380" i="14"/>
  <c r="D377" i="14"/>
  <c r="D365" i="14"/>
  <c r="D413" i="14"/>
  <c r="D403" i="14"/>
  <c r="D465" i="14"/>
  <c r="D457" i="14"/>
  <c r="D449" i="14"/>
  <c r="D441" i="14"/>
  <c r="D482" i="14"/>
  <c r="D544" i="14"/>
  <c r="D536" i="14"/>
  <c r="D528" i="14"/>
  <c r="D520" i="14"/>
  <c r="D558" i="14"/>
  <c r="D620" i="14"/>
  <c r="D612" i="14"/>
  <c r="D604" i="14"/>
  <c r="D596" i="14"/>
  <c r="D631" i="14"/>
  <c r="D684" i="14"/>
  <c r="D676" i="14"/>
  <c r="D734" i="14"/>
  <c r="D731" i="14"/>
  <c r="D723" i="14"/>
  <c r="D715" i="14"/>
  <c r="D707" i="14"/>
  <c r="D817" i="22"/>
  <c r="D1116" i="22"/>
  <c r="CO21" i="9" a="1"/>
  <c r="CO21" i="9" s="1"/>
  <c r="CK21" i="9" a="1"/>
  <c r="CK21" i="9" s="1"/>
  <c r="CF21" i="9" a="1"/>
  <c r="CF21" i="9" s="1"/>
  <c r="CB21" i="9" a="1"/>
  <c r="CB21" i="9" s="1"/>
  <c r="BX21" i="9" a="1"/>
  <c r="BX21" i="9" s="1"/>
  <c r="BT21" i="9" a="1"/>
  <c r="BT21" i="9" s="1"/>
  <c r="BP21" i="9" a="1"/>
  <c r="BP21" i="9" s="1"/>
  <c r="BL21" i="9" a="1"/>
  <c r="BL21" i="9" s="1"/>
  <c r="BH21" i="9" a="1"/>
  <c r="BH21" i="9" s="1"/>
  <c r="BD21" i="9" a="1"/>
  <c r="BD21" i="9" s="1"/>
  <c r="AZ21" i="9" a="1"/>
  <c r="AZ21" i="9" s="1"/>
  <c r="AV21" i="9" a="1"/>
  <c r="AV21" i="9" s="1"/>
  <c r="AR21" i="9" a="1"/>
  <c r="AR21" i="9" s="1"/>
  <c r="AN21" i="9" a="1"/>
  <c r="AN21" i="9" s="1"/>
  <c r="AJ21" i="9" a="1"/>
  <c r="AJ21" i="9" s="1"/>
  <c r="AF21" i="9" a="1"/>
  <c r="AF21" i="9" s="1"/>
  <c r="AB21" i="9" a="1"/>
  <c r="AB21" i="9" s="1"/>
  <c r="X21" i="9" a="1"/>
  <c r="X21" i="9" s="1"/>
  <c r="T21" i="9" a="1"/>
  <c r="T21" i="9" s="1"/>
  <c r="P21" i="9" a="1"/>
  <c r="P21" i="9" s="1"/>
  <c r="L21" i="9" a="1"/>
  <c r="L21" i="9" s="1"/>
  <c r="H21" i="9" a="1"/>
  <c r="H21" i="9" s="1"/>
  <c r="CR21" i="9" a="1"/>
  <c r="CR21" i="9" s="1"/>
  <c r="CN21" i="9" a="1"/>
  <c r="CN21" i="9" s="1"/>
  <c r="CJ21" i="9" a="1"/>
  <c r="CJ21" i="9" s="1"/>
  <c r="CE21" i="9" a="1"/>
  <c r="CE21" i="9" s="1"/>
  <c r="CA21" i="9" a="1"/>
  <c r="CA21" i="9" s="1"/>
  <c r="BW21" i="9" a="1"/>
  <c r="BW21" i="9" s="1"/>
  <c r="BS21" i="9" a="1"/>
  <c r="BS21" i="9" s="1"/>
  <c r="BO21" i="9" a="1"/>
  <c r="BO21" i="9" s="1"/>
  <c r="BK21" i="9" a="1"/>
  <c r="BK21" i="9" s="1"/>
  <c r="BG21" i="9" a="1"/>
  <c r="BG21" i="9" s="1"/>
  <c r="BC21" i="9" a="1"/>
  <c r="BC21" i="9" s="1"/>
  <c r="AY21" i="9" a="1"/>
  <c r="AY21" i="9" s="1"/>
  <c r="AU21" i="9" a="1"/>
  <c r="AU21" i="9" s="1"/>
  <c r="AQ21" i="9" a="1"/>
  <c r="AQ21" i="9" s="1"/>
  <c r="AM21" i="9" a="1"/>
  <c r="AM21" i="9" s="1"/>
  <c r="AI21" i="9" a="1"/>
  <c r="AI21" i="9" s="1"/>
  <c r="AE21" i="9" a="1"/>
  <c r="AE21" i="9" s="1"/>
  <c r="AA21" i="9" a="1"/>
  <c r="AA21" i="9" s="1"/>
  <c r="W21" i="9" a="1"/>
  <c r="W21" i="9" s="1"/>
  <c r="S21" i="9" a="1"/>
  <c r="S21" i="9" s="1"/>
  <c r="O21" i="9" a="1"/>
  <c r="O21" i="9" s="1"/>
  <c r="K21" i="9" a="1"/>
  <c r="K21" i="9" s="1"/>
  <c r="G21" i="9" a="1"/>
  <c r="G21" i="9" s="1"/>
  <c r="CP21" i="9" a="1"/>
  <c r="CP21" i="9" s="1"/>
  <c r="CH21" i="9" a="1"/>
  <c r="CH21" i="9" s="1"/>
  <c r="BY21" i="9" a="1"/>
  <c r="BY21" i="9" s="1"/>
  <c r="BQ21" i="9" a="1"/>
  <c r="BQ21" i="9" s="1"/>
  <c r="BI21" i="9" a="1"/>
  <c r="BI21" i="9" s="1"/>
  <c r="BA21" i="9" a="1"/>
  <c r="BA21" i="9" s="1"/>
  <c r="AS21" i="9" a="1"/>
  <c r="AS21" i="9" s="1"/>
  <c r="AK21" i="9" a="1"/>
  <c r="AK21" i="9" s="1"/>
  <c r="AC21" i="9" a="1"/>
  <c r="AC21" i="9" s="1"/>
  <c r="U21" i="9" a="1"/>
  <c r="U21" i="9" s="1"/>
  <c r="M21" i="9" a="1"/>
  <c r="M21" i="9" s="1"/>
  <c r="E21" i="9" a="1"/>
  <c r="E21" i="9" s="1"/>
  <c r="CM21" i="9" a="1"/>
  <c r="CM21" i="9" s="1"/>
  <c r="CD21" i="9" a="1"/>
  <c r="CD21" i="9" s="1"/>
  <c r="BV21" i="9" a="1"/>
  <c r="BV21" i="9" s="1"/>
  <c r="BN21" i="9" a="1"/>
  <c r="BN21" i="9" s="1"/>
  <c r="BF21" i="9" a="1"/>
  <c r="BF21" i="9" s="1"/>
  <c r="AX21" i="9" a="1"/>
  <c r="AX21" i="9" s="1"/>
  <c r="AP21" i="9" a="1"/>
  <c r="AP21" i="9" s="1"/>
  <c r="AH21" i="9" a="1"/>
  <c r="AH21" i="9" s="1"/>
  <c r="Z21" i="9" a="1"/>
  <c r="Z21" i="9" s="1"/>
  <c r="R21" i="9" a="1"/>
  <c r="R21" i="9" s="1"/>
  <c r="J21" i="9" a="1"/>
  <c r="J21" i="9" s="1"/>
  <c r="CL21" i="9" a="1"/>
  <c r="CL21" i="9" s="1"/>
  <c r="CC21" i="9" a="1"/>
  <c r="CC21" i="9" s="1"/>
  <c r="BU21" i="9" a="1"/>
  <c r="BU21" i="9" s="1"/>
  <c r="BM21" i="9" a="1"/>
  <c r="BM21" i="9" s="1"/>
  <c r="BE21" i="9" a="1"/>
  <c r="BE21" i="9" s="1"/>
  <c r="AW21" i="9" a="1"/>
  <c r="AW21" i="9" s="1"/>
  <c r="AO21" i="9" a="1"/>
  <c r="AO21" i="9" s="1"/>
  <c r="AG21" i="9" a="1"/>
  <c r="AG21" i="9" s="1"/>
  <c r="Y21" i="9" a="1"/>
  <c r="Y21" i="9" s="1"/>
  <c r="Q21" i="9" a="1"/>
  <c r="Q21" i="9" s="1"/>
  <c r="I21" i="9" a="1"/>
  <c r="I21" i="9" s="1"/>
  <c r="CQ21" i="9" a="1"/>
  <c r="CQ21" i="9" s="1"/>
  <c r="CI21" i="9" a="1"/>
  <c r="CI21" i="9" s="1"/>
  <c r="BZ21" i="9" a="1"/>
  <c r="BZ21" i="9" s="1"/>
  <c r="BR21" i="9" a="1"/>
  <c r="BR21" i="9" s="1"/>
  <c r="BJ21" i="9" a="1"/>
  <c r="BJ21" i="9" s="1"/>
  <c r="BB21" i="9" a="1"/>
  <c r="BB21" i="9" s="1"/>
  <c r="AT21" i="9" a="1"/>
  <c r="AT21" i="9" s="1"/>
  <c r="AL21" i="9" a="1"/>
  <c r="AL21" i="9" s="1"/>
  <c r="AD21" i="9" a="1"/>
  <c r="AD21" i="9" s="1"/>
  <c r="V21" i="9" a="1"/>
  <c r="V21" i="9" s="1"/>
  <c r="N21" i="9" a="1"/>
  <c r="N21" i="9" s="1"/>
  <c r="F21" i="9" a="1"/>
  <c r="F21" i="9" s="1"/>
  <c r="CO25" i="9" a="1"/>
  <c r="CO25" i="9" s="1"/>
  <c r="CK25" i="9" a="1"/>
  <c r="CK25" i="9" s="1"/>
  <c r="CF25" i="9" a="1"/>
  <c r="CF25" i="9" s="1"/>
  <c r="CB25" i="9" a="1"/>
  <c r="CB25" i="9" s="1"/>
  <c r="BX25" i="9" a="1"/>
  <c r="BX25" i="9" s="1"/>
  <c r="BT25" i="9" a="1"/>
  <c r="BT25" i="9" s="1"/>
  <c r="BP25" i="9" a="1"/>
  <c r="BP25" i="9" s="1"/>
  <c r="BL25" i="9" a="1"/>
  <c r="BL25" i="9" s="1"/>
  <c r="BH25" i="9" a="1"/>
  <c r="BH25" i="9" s="1"/>
  <c r="BD25" i="9" a="1"/>
  <c r="BD25" i="9" s="1"/>
  <c r="AZ25" i="9" a="1"/>
  <c r="AZ25" i="9" s="1"/>
  <c r="AV25" i="9" a="1"/>
  <c r="AV25" i="9" s="1"/>
  <c r="AR25" i="9" a="1"/>
  <c r="AR25" i="9" s="1"/>
  <c r="AN25" i="9" a="1"/>
  <c r="AN25" i="9" s="1"/>
  <c r="AJ25" i="9" a="1"/>
  <c r="AJ25" i="9" s="1"/>
  <c r="AF25" i="9" a="1"/>
  <c r="AF25" i="9" s="1"/>
  <c r="AB25" i="9" a="1"/>
  <c r="AB25" i="9" s="1"/>
  <c r="X25" i="9" a="1"/>
  <c r="X25" i="9" s="1"/>
  <c r="T25" i="9" a="1"/>
  <c r="T25" i="9" s="1"/>
  <c r="P25" i="9" a="1"/>
  <c r="P25" i="9" s="1"/>
  <c r="L25" i="9" a="1"/>
  <c r="L25" i="9" s="1"/>
  <c r="H25" i="9" a="1"/>
  <c r="H25" i="9" s="1"/>
  <c r="CR25" i="9" a="1"/>
  <c r="CR25" i="9" s="1"/>
  <c r="CN25" i="9" a="1"/>
  <c r="CN25" i="9" s="1"/>
  <c r="CJ25" i="9" a="1"/>
  <c r="CJ25" i="9" s="1"/>
  <c r="CE25" i="9" a="1"/>
  <c r="CE25" i="9" s="1"/>
  <c r="CA25" i="9" a="1"/>
  <c r="CA25" i="9" s="1"/>
  <c r="BW25" i="9" a="1"/>
  <c r="BW25" i="9" s="1"/>
  <c r="BS25" i="9" a="1"/>
  <c r="BS25" i="9" s="1"/>
  <c r="BO25" i="9" a="1"/>
  <c r="BO25" i="9" s="1"/>
  <c r="BK25" i="9" a="1"/>
  <c r="BK25" i="9" s="1"/>
  <c r="BG25" i="9" a="1"/>
  <c r="BG25" i="9" s="1"/>
  <c r="BC25" i="9" a="1"/>
  <c r="BC25" i="9" s="1"/>
  <c r="AY25" i="9" a="1"/>
  <c r="AY25" i="9" s="1"/>
  <c r="AU25" i="9" a="1"/>
  <c r="AU25" i="9" s="1"/>
  <c r="AQ25" i="9" a="1"/>
  <c r="AQ25" i="9" s="1"/>
  <c r="AM25" i="9" a="1"/>
  <c r="AM25" i="9" s="1"/>
  <c r="AI25" i="9" a="1"/>
  <c r="AI25" i="9" s="1"/>
  <c r="AE25" i="9" a="1"/>
  <c r="AE25" i="9" s="1"/>
  <c r="AA25" i="9" a="1"/>
  <c r="AA25" i="9" s="1"/>
  <c r="W25" i="9" a="1"/>
  <c r="W25" i="9" s="1"/>
  <c r="S25" i="9" a="1"/>
  <c r="S25" i="9" s="1"/>
  <c r="O25" i="9" a="1"/>
  <c r="O25" i="9" s="1"/>
  <c r="K25" i="9" a="1"/>
  <c r="K25" i="9" s="1"/>
  <c r="G25" i="9" a="1"/>
  <c r="G25" i="9" s="1"/>
  <c r="CL25" i="9" a="1"/>
  <c r="CL25" i="9" s="1"/>
  <c r="CC25" i="9" a="1"/>
  <c r="CC25" i="9" s="1"/>
  <c r="BU25" i="9" a="1"/>
  <c r="BU25" i="9" s="1"/>
  <c r="BM25" i="9" a="1"/>
  <c r="BM25" i="9" s="1"/>
  <c r="BE25" i="9" a="1"/>
  <c r="BE25" i="9" s="1"/>
  <c r="AW25" i="9" a="1"/>
  <c r="AW25" i="9" s="1"/>
  <c r="AO25" i="9" a="1"/>
  <c r="AO25" i="9" s="1"/>
  <c r="AG25" i="9" a="1"/>
  <c r="AG25" i="9" s="1"/>
  <c r="Y25" i="9" a="1"/>
  <c r="Y25" i="9" s="1"/>
  <c r="Q25" i="9" a="1"/>
  <c r="Q25" i="9" s="1"/>
  <c r="I25" i="9" a="1"/>
  <c r="I25" i="9" s="1"/>
  <c r="CQ25" i="9" a="1"/>
  <c r="CQ25" i="9" s="1"/>
  <c r="CI25" i="9" a="1"/>
  <c r="CI25" i="9" s="1"/>
  <c r="BZ25" i="9" a="1"/>
  <c r="BZ25" i="9" s="1"/>
  <c r="BR25" i="9" a="1"/>
  <c r="BR25" i="9" s="1"/>
  <c r="BJ25" i="9" a="1"/>
  <c r="BJ25" i="9" s="1"/>
  <c r="BB25" i="9" a="1"/>
  <c r="BB25" i="9" s="1"/>
  <c r="AT25" i="9" a="1"/>
  <c r="AT25" i="9" s="1"/>
  <c r="AL25" i="9" a="1"/>
  <c r="AL25" i="9" s="1"/>
  <c r="AD25" i="9" a="1"/>
  <c r="AD25" i="9" s="1"/>
  <c r="V25" i="9" a="1"/>
  <c r="V25" i="9" s="1"/>
  <c r="N25" i="9" a="1"/>
  <c r="N25" i="9" s="1"/>
  <c r="F25" i="9" a="1"/>
  <c r="F25" i="9" s="1"/>
  <c r="CP25" i="9" a="1"/>
  <c r="CP25" i="9" s="1"/>
  <c r="CH25" i="9" a="1"/>
  <c r="CH25" i="9" s="1"/>
  <c r="BY25" i="9" a="1"/>
  <c r="BY25" i="9" s="1"/>
  <c r="BQ25" i="9" a="1"/>
  <c r="BQ25" i="9" s="1"/>
  <c r="BI25" i="9" a="1"/>
  <c r="BI25" i="9" s="1"/>
  <c r="BA25" i="9" a="1"/>
  <c r="BA25" i="9" s="1"/>
  <c r="AS25" i="9" a="1"/>
  <c r="AS25" i="9" s="1"/>
  <c r="AK25" i="9" a="1"/>
  <c r="AK25" i="9" s="1"/>
  <c r="AC25" i="9" a="1"/>
  <c r="AC25" i="9" s="1"/>
  <c r="U25" i="9" a="1"/>
  <c r="U25" i="9" s="1"/>
  <c r="M25" i="9" a="1"/>
  <c r="M25" i="9" s="1"/>
  <c r="E25" i="9" a="1"/>
  <c r="E25" i="9" s="1"/>
  <c r="CM25" i="9" a="1"/>
  <c r="CM25" i="9" s="1"/>
  <c r="CD25" i="9" a="1"/>
  <c r="CD25" i="9" s="1"/>
  <c r="BV25" i="9" a="1"/>
  <c r="BV25" i="9" s="1"/>
  <c r="BN25" i="9" a="1"/>
  <c r="BN25" i="9" s="1"/>
  <c r="BF25" i="9" a="1"/>
  <c r="BF25" i="9" s="1"/>
  <c r="AX25" i="9" a="1"/>
  <c r="AX25" i="9" s="1"/>
  <c r="AP25" i="9" a="1"/>
  <c r="AP25" i="9" s="1"/>
  <c r="AH25" i="9" a="1"/>
  <c r="AH25" i="9" s="1"/>
  <c r="Z25" i="9" a="1"/>
  <c r="Z25" i="9" s="1"/>
  <c r="R25" i="9" a="1"/>
  <c r="R25" i="9" s="1"/>
  <c r="J25" i="9" a="1"/>
  <c r="J25" i="9" s="1"/>
  <c r="CO29" i="9" a="1"/>
  <c r="CO29" i="9" s="1"/>
  <c r="CK29" i="9" a="1"/>
  <c r="CK29" i="9" s="1"/>
  <c r="CF29" i="9" a="1"/>
  <c r="CF29" i="9" s="1"/>
  <c r="CB29" i="9" a="1"/>
  <c r="CB29" i="9" s="1"/>
  <c r="BX29" i="9" a="1"/>
  <c r="BX29" i="9" s="1"/>
  <c r="BT29" i="9" a="1"/>
  <c r="BT29" i="9" s="1"/>
  <c r="BP29" i="9" a="1"/>
  <c r="BP29" i="9" s="1"/>
  <c r="BL29" i="9" a="1"/>
  <c r="BL29" i="9" s="1"/>
  <c r="BH29" i="9" a="1"/>
  <c r="BH29" i="9" s="1"/>
  <c r="BD29" i="9" a="1"/>
  <c r="BD29" i="9" s="1"/>
  <c r="AZ29" i="9" a="1"/>
  <c r="AZ29" i="9" s="1"/>
  <c r="AV29" i="9" a="1"/>
  <c r="AV29" i="9" s="1"/>
  <c r="AR29" i="9" a="1"/>
  <c r="AR29" i="9" s="1"/>
  <c r="AN29" i="9" a="1"/>
  <c r="AN29" i="9" s="1"/>
  <c r="AJ29" i="9" a="1"/>
  <c r="AJ29" i="9" s="1"/>
  <c r="AF29" i="9" a="1"/>
  <c r="AF29" i="9" s="1"/>
  <c r="AB29" i="9" a="1"/>
  <c r="AB29" i="9" s="1"/>
  <c r="X29" i="9" a="1"/>
  <c r="X29" i="9" s="1"/>
  <c r="T29" i="9" a="1"/>
  <c r="T29" i="9" s="1"/>
  <c r="P29" i="9" a="1"/>
  <c r="P29" i="9" s="1"/>
  <c r="L29" i="9" a="1"/>
  <c r="L29" i="9" s="1"/>
  <c r="H29" i="9" a="1"/>
  <c r="H29" i="9" s="1"/>
  <c r="CR29" i="9" a="1"/>
  <c r="CR29" i="9" s="1"/>
  <c r="CN29" i="9" a="1"/>
  <c r="CN29" i="9" s="1"/>
  <c r="CJ29" i="9" a="1"/>
  <c r="CJ29" i="9" s="1"/>
  <c r="CE29" i="9" a="1"/>
  <c r="CE29" i="9" s="1"/>
  <c r="CA29" i="9" a="1"/>
  <c r="CA29" i="9" s="1"/>
  <c r="BW29" i="9" a="1"/>
  <c r="BW29" i="9" s="1"/>
  <c r="BS29" i="9" a="1"/>
  <c r="BS29" i="9" s="1"/>
  <c r="BO29" i="9" a="1"/>
  <c r="BO29" i="9" s="1"/>
  <c r="BK29" i="9" a="1"/>
  <c r="BK29" i="9" s="1"/>
  <c r="BG29" i="9" a="1"/>
  <c r="BG29" i="9" s="1"/>
  <c r="BC29" i="9" a="1"/>
  <c r="BC29" i="9" s="1"/>
  <c r="AY29" i="9" a="1"/>
  <c r="AY29" i="9" s="1"/>
  <c r="AU29" i="9" a="1"/>
  <c r="AU29" i="9" s="1"/>
  <c r="AQ29" i="9" a="1"/>
  <c r="AQ29" i="9" s="1"/>
  <c r="AM29" i="9" a="1"/>
  <c r="AM29" i="9" s="1"/>
  <c r="AI29" i="9" a="1"/>
  <c r="AI29" i="9" s="1"/>
  <c r="AE29" i="9" a="1"/>
  <c r="AE29" i="9" s="1"/>
  <c r="AA29" i="9" a="1"/>
  <c r="AA29" i="9" s="1"/>
  <c r="W29" i="9" a="1"/>
  <c r="W29" i="9" s="1"/>
  <c r="S29" i="9" a="1"/>
  <c r="S29" i="9" s="1"/>
  <c r="O29" i="9" a="1"/>
  <c r="O29" i="9" s="1"/>
  <c r="K29" i="9" a="1"/>
  <c r="K29" i="9" s="1"/>
  <c r="G29" i="9" a="1"/>
  <c r="G29" i="9" s="1"/>
  <c r="CP29" i="9" a="1"/>
  <c r="CP29" i="9" s="1"/>
  <c r="CH29" i="9" a="1"/>
  <c r="CH29" i="9" s="1"/>
  <c r="BY29" i="9" a="1"/>
  <c r="BY29" i="9" s="1"/>
  <c r="BQ29" i="9" a="1"/>
  <c r="BQ29" i="9" s="1"/>
  <c r="BI29" i="9" a="1"/>
  <c r="BI29" i="9" s="1"/>
  <c r="BA29" i="9" a="1"/>
  <c r="BA29" i="9" s="1"/>
  <c r="AS29" i="9" a="1"/>
  <c r="AS29" i="9" s="1"/>
  <c r="AK29" i="9" a="1"/>
  <c r="AK29" i="9" s="1"/>
  <c r="AC29" i="9" a="1"/>
  <c r="AC29" i="9" s="1"/>
  <c r="U29" i="9" a="1"/>
  <c r="U29" i="9" s="1"/>
  <c r="M29" i="9" a="1"/>
  <c r="M29" i="9" s="1"/>
  <c r="E29" i="9" a="1"/>
  <c r="E29" i="9" s="1"/>
  <c r="CM29" i="9" a="1"/>
  <c r="CM29" i="9" s="1"/>
  <c r="CD29" i="9" a="1"/>
  <c r="CD29" i="9" s="1"/>
  <c r="BV29" i="9" a="1"/>
  <c r="BV29" i="9" s="1"/>
  <c r="BN29" i="9" a="1"/>
  <c r="BN29" i="9" s="1"/>
  <c r="BF29" i="9" a="1"/>
  <c r="BF29" i="9" s="1"/>
  <c r="AX29" i="9" a="1"/>
  <c r="AX29" i="9" s="1"/>
  <c r="AP29" i="9" a="1"/>
  <c r="AP29" i="9" s="1"/>
  <c r="AH29" i="9" a="1"/>
  <c r="AH29" i="9" s="1"/>
  <c r="Z29" i="9" a="1"/>
  <c r="Z29" i="9" s="1"/>
  <c r="R29" i="9" a="1"/>
  <c r="R29" i="9" s="1"/>
  <c r="J29" i="9" a="1"/>
  <c r="J29" i="9" s="1"/>
  <c r="CL29" i="9" a="1"/>
  <c r="CL29" i="9" s="1"/>
  <c r="CC29" i="9" a="1"/>
  <c r="CC29" i="9" s="1"/>
  <c r="BU29" i="9" a="1"/>
  <c r="BU29" i="9" s="1"/>
  <c r="BM29" i="9" a="1"/>
  <c r="BM29" i="9" s="1"/>
  <c r="BE29" i="9" a="1"/>
  <c r="BE29" i="9" s="1"/>
  <c r="AW29" i="9" a="1"/>
  <c r="AW29" i="9" s="1"/>
  <c r="AO29" i="9" a="1"/>
  <c r="AO29" i="9" s="1"/>
  <c r="AG29" i="9" a="1"/>
  <c r="AG29" i="9" s="1"/>
  <c r="Y29" i="9" a="1"/>
  <c r="Y29" i="9" s="1"/>
  <c r="Q29" i="9" a="1"/>
  <c r="Q29" i="9" s="1"/>
  <c r="I29" i="9" a="1"/>
  <c r="I29" i="9" s="1"/>
  <c r="CQ29" i="9" a="1"/>
  <c r="CQ29" i="9" s="1"/>
  <c r="CI29" i="9" a="1"/>
  <c r="CI29" i="9" s="1"/>
  <c r="BZ29" i="9" a="1"/>
  <c r="BZ29" i="9" s="1"/>
  <c r="BR29" i="9" a="1"/>
  <c r="BR29" i="9" s="1"/>
  <c r="BJ29" i="9" a="1"/>
  <c r="BJ29" i="9" s="1"/>
  <c r="BB29" i="9" a="1"/>
  <c r="BB29" i="9" s="1"/>
  <c r="AT29" i="9" a="1"/>
  <c r="AT29" i="9" s="1"/>
  <c r="AL29" i="9" a="1"/>
  <c r="AL29" i="9" s="1"/>
  <c r="AD29" i="9" a="1"/>
  <c r="AD29" i="9" s="1"/>
  <c r="V29" i="9" a="1"/>
  <c r="V29" i="9" s="1"/>
  <c r="N29" i="9" a="1"/>
  <c r="N29" i="9" s="1"/>
  <c r="F29" i="9" a="1"/>
  <c r="F29" i="9" s="1"/>
  <c r="CO33" i="9" a="1"/>
  <c r="CO33" i="9" s="1"/>
  <c r="CK33" i="9" a="1"/>
  <c r="CK33" i="9" s="1"/>
  <c r="CF33" i="9" a="1"/>
  <c r="CF33" i="9" s="1"/>
  <c r="CB33" i="9" a="1"/>
  <c r="CB33" i="9" s="1"/>
  <c r="BX33" i="9" a="1"/>
  <c r="BX33" i="9" s="1"/>
  <c r="BT33" i="9" a="1"/>
  <c r="BT33" i="9" s="1"/>
  <c r="BP33" i="9" a="1"/>
  <c r="BP33" i="9" s="1"/>
  <c r="BL33" i="9" a="1"/>
  <c r="BL33" i="9" s="1"/>
  <c r="BH33" i="9" a="1"/>
  <c r="BH33" i="9" s="1"/>
  <c r="BD33" i="9" a="1"/>
  <c r="BD33" i="9" s="1"/>
  <c r="AZ33" i="9" a="1"/>
  <c r="AZ33" i="9" s="1"/>
  <c r="AV33" i="9" a="1"/>
  <c r="AV33" i="9" s="1"/>
  <c r="AR33" i="9" a="1"/>
  <c r="AR33" i="9" s="1"/>
  <c r="AN33" i="9" a="1"/>
  <c r="AN33" i="9" s="1"/>
  <c r="AJ33" i="9" a="1"/>
  <c r="AJ33" i="9" s="1"/>
  <c r="AF33" i="9" a="1"/>
  <c r="AF33" i="9" s="1"/>
  <c r="AB33" i="9" a="1"/>
  <c r="AB33" i="9" s="1"/>
  <c r="X33" i="9" a="1"/>
  <c r="X33" i="9" s="1"/>
  <c r="T33" i="9" a="1"/>
  <c r="T33" i="9" s="1"/>
  <c r="P33" i="9" a="1"/>
  <c r="P33" i="9" s="1"/>
  <c r="L33" i="9" a="1"/>
  <c r="L33" i="9" s="1"/>
  <c r="H33" i="9" a="1"/>
  <c r="H33" i="9" s="1"/>
  <c r="CR33" i="9" a="1"/>
  <c r="CR33" i="9" s="1"/>
  <c r="CN33" i="9" a="1"/>
  <c r="CN33" i="9" s="1"/>
  <c r="CJ33" i="9" a="1"/>
  <c r="CJ33" i="9" s="1"/>
  <c r="CE33" i="9" a="1"/>
  <c r="CE33" i="9" s="1"/>
  <c r="CA33" i="9" a="1"/>
  <c r="CA33" i="9" s="1"/>
  <c r="BW33" i="9" a="1"/>
  <c r="BW33" i="9" s="1"/>
  <c r="BS33" i="9" a="1"/>
  <c r="BS33" i="9" s="1"/>
  <c r="BO33" i="9" a="1"/>
  <c r="BO33" i="9" s="1"/>
  <c r="BK33" i="9" a="1"/>
  <c r="BK33" i="9" s="1"/>
  <c r="BG33" i="9" a="1"/>
  <c r="BG33" i="9" s="1"/>
  <c r="BC33" i="9" a="1"/>
  <c r="BC33" i="9" s="1"/>
  <c r="AY33" i="9" a="1"/>
  <c r="AY33" i="9" s="1"/>
  <c r="AU33" i="9" a="1"/>
  <c r="AU33" i="9" s="1"/>
  <c r="AQ33" i="9" a="1"/>
  <c r="AQ33" i="9" s="1"/>
  <c r="AM33" i="9" a="1"/>
  <c r="AM33" i="9" s="1"/>
  <c r="AI33" i="9" a="1"/>
  <c r="AI33" i="9" s="1"/>
  <c r="AE33" i="9" a="1"/>
  <c r="AE33" i="9" s="1"/>
  <c r="AA33" i="9" a="1"/>
  <c r="AA33" i="9" s="1"/>
  <c r="W33" i="9" a="1"/>
  <c r="W33" i="9" s="1"/>
  <c r="S33" i="9" a="1"/>
  <c r="S33" i="9" s="1"/>
  <c r="O33" i="9" a="1"/>
  <c r="O33" i="9" s="1"/>
  <c r="K33" i="9" a="1"/>
  <c r="K33" i="9" s="1"/>
  <c r="G33" i="9" a="1"/>
  <c r="G33" i="9" s="1"/>
  <c r="CQ33" i="9" a="1"/>
  <c r="CQ33" i="9" s="1"/>
  <c r="CM33" i="9" a="1"/>
  <c r="CM33" i="9" s="1"/>
  <c r="CD33" i="9" a="1"/>
  <c r="CD33" i="9" s="1"/>
  <c r="BV33" i="9" a="1"/>
  <c r="BV33" i="9" s="1"/>
  <c r="BN33" i="9" a="1"/>
  <c r="BN33" i="9" s="1"/>
  <c r="BF33" i="9" a="1"/>
  <c r="BF33" i="9" s="1"/>
  <c r="AX33" i="9" a="1"/>
  <c r="AX33" i="9" s="1"/>
  <c r="AP33" i="9" a="1"/>
  <c r="AP33" i="9" s="1"/>
  <c r="AH33" i="9" a="1"/>
  <c r="AH33" i="9" s="1"/>
  <c r="Z33" i="9" a="1"/>
  <c r="Z33" i="9" s="1"/>
  <c r="R33" i="9" a="1"/>
  <c r="R33" i="9" s="1"/>
  <c r="CL33" i="9" a="1"/>
  <c r="CL33" i="9" s="1"/>
  <c r="CC33" i="9" a="1"/>
  <c r="CC33" i="9" s="1"/>
  <c r="BU33" i="9" a="1"/>
  <c r="BU33" i="9" s="1"/>
  <c r="BM33" i="9" a="1"/>
  <c r="BM33" i="9" s="1"/>
  <c r="BE33" i="9" a="1"/>
  <c r="BE33" i="9" s="1"/>
  <c r="AW33" i="9" a="1"/>
  <c r="AW33" i="9" s="1"/>
  <c r="AO33" i="9" a="1"/>
  <c r="AO33" i="9" s="1"/>
  <c r="AG33" i="9" a="1"/>
  <c r="AG33" i="9" s="1"/>
  <c r="Y33" i="9" a="1"/>
  <c r="Y33" i="9" s="1"/>
  <c r="Q33" i="9" a="1"/>
  <c r="Q33" i="9" s="1"/>
  <c r="I33" i="9" a="1"/>
  <c r="I33" i="9" s="1"/>
  <c r="BZ33" i="9" a="1"/>
  <c r="BZ33" i="9" s="1"/>
  <c r="BJ33" i="9" a="1"/>
  <c r="BJ33" i="9" s="1"/>
  <c r="AT33" i="9" a="1"/>
  <c r="AT33" i="9" s="1"/>
  <c r="AD33" i="9" a="1"/>
  <c r="AD33" i="9" s="1"/>
  <c r="N33" i="9" a="1"/>
  <c r="N33" i="9" s="1"/>
  <c r="E33" i="9" a="1"/>
  <c r="E33" i="9" s="1"/>
  <c r="CP33" i="9" a="1"/>
  <c r="CP33" i="9" s="1"/>
  <c r="BY33" i="9" a="1"/>
  <c r="BY33" i="9" s="1"/>
  <c r="BI33" i="9" a="1"/>
  <c r="BI33" i="9" s="1"/>
  <c r="AS33" i="9" a="1"/>
  <c r="AS33" i="9" s="1"/>
  <c r="AC33" i="9" a="1"/>
  <c r="AC33" i="9" s="1"/>
  <c r="M33" i="9" a="1"/>
  <c r="M33" i="9" s="1"/>
  <c r="CI33" i="9" a="1"/>
  <c r="CI33" i="9" s="1"/>
  <c r="BR33" i="9" a="1"/>
  <c r="BR33" i="9" s="1"/>
  <c r="BB33" i="9" a="1"/>
  <c r="BB33" i="9" s="1"/>
  <c r="AL33" i="9" a="1"/>
  <c r="AL33" i="9" s="1"/>
  <c r="V33" i="9" a="1"/>
  <c r="V33" i="9" s="1"/>
  <c r="J33" i="9" a="1"/>
  <c r="J33" i="9" s="1"/>
  <c r="CH33" i="9" a="1"/>
  <c r="CH33" i="9" s="1"/>
  <c r="BQ33" i="9" a="1"/>
  <c r="BQ33" i="9" s="1"/>
  <c r="BA33" i="9" a="1"/>
  <c r="BA33" i="9" s="1"/>
  <c r="AK33" i="9" a="1"/>
  <c r="AK33" i="9" s="1"/>
  <c r="U33" i="9" a="1"/>
  <c r="U33" i="9" s="1"/>
  <c r="F33" i="9" a="1"/>
  <c r="F33" i="9" s="1"/>
  <c r="CO37" i="9" a="1"/>
  <c r="CO37" i="9" s="1"/>
  <c r="CK37" i="9" a="1"/>
  <c r="CK37" i="9" s="1"/>
  <c r="CF37" i="9" a="1"/>
  <c r="CF37" i="9" s="1"/>
  <c r="CB37" i="9" a="1"/>
  <c r="CB37" i="9" s="1"/>
  <c r="BX37" i="9" a="1"/>
  <c r="BX37" i="9" s="1"/>
  <c r="BT37" i="9" a="1"/>
  <c r="BT37" i="9" s="1"/>
  <c r="BP37" i="9" a="1"/>
  <c r="BP37" i="9" s="1"/>
  <c r="BL37" i="9" a="1"/>
  <c r="BL37" i="9" s="1"/>
  <c r="BH37" i="9" a="1"/>
  <c r="BH37" i="9" s="1"/>
  <c r="BD37" i="9" a="1"/>
  <c r="BD37" i="9" s="1"/>
  <c r="AZ37" i="9" a="1"/>
  <c r="AZ37" i="9" s="1"/>
  <c r="AV37" i="9" a="1"/>
  <c r="AV37" i="9" s="1"/>
  <c r="AR37" i="9" a="1"/>
  <c r="AR37" i="9" s="1"/>
  <c r="AN37" i="9" a="1"/>
  <c r="AN37" i="9" s="1"/>
  <c r="AJ37" i="9" a="1"/>
  <c r="AJ37" i="9" s="1"/>
  <c r="AF37" i="9" a="1"/>
  <c r="AF37" i="9" s="1"/>
  <c r="AB37" i="9" a="1"/>
  <c r="AB37" i="9" s="1"/>
  <c r="X37" i="9" a="1"/>
  <c r="X37" i="9" s="1"/>
  <c r="T37" i="9" a="1"/>
  <c r="T37" i="9" s="1"/>
  <c r="P37" i="9" a="1"/>
  <c r="P37" i="9" s="1"/>
  <c r="L37" i="9" a="1"/>
  <c r="L37" i="9" s="1"/>
  <c r="H37" i="9" a="1"/>
  <c r="H37" i="9" s="1"/>
  <c r="CR37" i="9" a="1"/>
  <c r="CR37" i="9" s="1"/>
  <c r="CN37" i="9" a="1"/>
  <c r="CN37" i="9" s="1"/>
  <c r="CJ37" i="9" a="1"/>
  <c r="CJ37" i="9" s="1"/>
  <c r="CE37" i="9" a="1"/>
  <c r="CE37" i="9" s="1"/>
  <c r="CA37" i="9" a="1"/>
  <c r="CA37" i="9" s="1"/>
  <c r="BW37" i="9" a="1"/>
  <c r="BW37" i="9" s="1"/>
  <c r="BS37" i="9" a="1"/>
  <c r="BS37" i="9" s="1"/>
  <c r="BO37" i="9" a="1"/>
  <c r="BO37" i="9" s="1"/>
  <c r="BK37" i="9" a="1"/>
  <c r="BK37" i="9" s="1"/>
  <c r="BG37" i="9" a="1"/>
  <c r="BG37" i="9" s="1"/>
  <c r="BC37" i="9" a="1"/>
  <c r="BC37" i="9" s="1"/>
  <c r="AY37" i="9" a="1"/>
  <c r="AY37" i="9" s="1"/>
  <c r="AU37" i="9" a="1"/>
  <c r="AU37" i="9" s="1"/>
  <c r="AQ37" i="9" a="1"/>
  <c r="AQ37" i="9" s="1"/>
  <c r="AM37" i="9" a="1"/>
  <c r="AM37" i="9" s="1"/>
  <c r="AI37" i="9" a="1"/>
  <c r="AI37" i="9" s="1"/>
  <c r="AE37" i="9" a="1"/>
  <c r="AE37" i="9" s="1"/>
  <c r="AA37" i="9" a="1"/>
  <c r="AA37" i="9" s="1"/>
  <c r="W37" i="9" a="1"/>
  <c r="W37" i="9" s="1"/>
  <c r="S37" i="9" a="1"/>
  <c r="S37" i="9" s="1"/>
  <c r="O37" i="9" a="1"/>
  <c r="O37" i="9" s="1"/>
  <c r="K37" i="9" a="1"/>
  <c r="K37" i="9" s="1"/>
  <c r="G37" i="9" a="1"/>
  <c r="G37" i="9" s="1"/>
  <c r="CQ37" i="9" a="1"/>
  <c r="CQ37" i="9" s="1"/>
  <c r="CM37" i="9" a="1"/>
  <c r="CM37" i="9" s="1"/>
  <c r="CI37" i="9" a="1"/>
  <c r="CI37" i="9" s="1"/>
  <c r="CD37" i="9" a="1"/>
  <c r="CD37" i="9" s="1"/>
  <c r="BZ37" i="9" a="1"/>
  <c r="BZ37" i="9" s="1"/>
  <c r="BV37" i="9" a="1"/>
  <c r="BV37" i="9" s="1"/>
  <c r="BR37" i="9" a="1"/>
  <c r="BR37" i="9" s="1"/>
  <c r="BN37" i="9" a="1"/>
  <c r="BN37" i="9" s="1"/>
  <c r="BJ37" i="9" a="1"/>
  <c r="BJ37" i="9" s="1"/>
  <c r="BF37" i="9" a="1"/>
  <c r="BF37" i="9" s="1"/>
  <c r="BB37" i="9" a="1"/>
  <c r="BB37" i="9" s="1"/>
  <c r="AX37" i="9" a="1"/>
  <c r="AX37" i="9" s="1"/>
  <c r="AT37" i="9" a="1"/>
  <c r="AT37" i="9" s="1"/>
  <c r="AP37" i="9" a="1"/>
  <c r="AP37" i="9" s="1"/>
  <c r="AL37" i="9" a="1"/>
  <c r="AL37" i="9" s="1"/>
  <c r="AH37" i="9" a="1"/>
  <c r="AH37" i="9" s="1"/>
  <c r="AD37" i="9" a="1"/>
  <c r="AD37" i="9" s="1"/>
  <c r="Z37" i="9" a="1"/>
  <c r="Z37" i="9" s="1"/>
  <c r="V37" i="9" a="1"/>
  <c r="V37" i="9" s="1"/>
  <c r="R37" i="9" a="1"/>
  <c r="R37" i="9" s="1"/>
  <c r="N37" i="9" a="1"/>
  <c r="N37" i="9" s="1"/>
  <c r="J37" i="9" a="1"/>
  <c r="J37" i="9" s="1"/>
  <c r="F37" i="9" a="1"/>
  <c r="F37" i="9" s="1"/>
  <c r="CH37" i="9" a="1"/>
  <c r="CH37" i="9" s="1"/>
  <c r="BQ37" i="9" a="1"/>
  <c r="BQ37" i="9" s="1"/>
  <c r="BA37" i="9" a="1"/>
  <c r="BA37" i="9" s="1"/>
  <c r="AK37" i="9" a="1"/>
  <c r="AK37" i="9" s="1"/>
  <c r="U37" i="9" a="1"/>
  <c r="U37" i="9" s="1"/>
  <c r="E37" i="9" a="1"/>
  <c r="E37" i="9" s="1"/>
  <c r="CC37" i="9" a="1"/>
  <c r="CC37" i="9" s="1"/>
  <c r="BM37" i="9" a="1"/>
  <c r="BM37" i="9" s="1"/>
  <c r="AW37" i="9" a="1"/>
  <c r="AW37" i="9" s="1"/>
  <c r="AG37" i="9" a="1"/>
  <c r="AG37" i="9" s="1"/>
  <c r="Q37" i="9" a="1"/>
  <c r="Q37" i="9" s="1"/>
  <c r="CP37" i="9" a="1"/>
  <c r="CP37" i="9" s="1"/>
  <c r="BY37" i="9" a="1"/>
  <c r="BY37" i="9" s="1"/>
  <c r="BI37" i="9" a="1"/>
  <c r="BI37" i="9" s="1"/>
  <c r="AS37" i="9" a="1"/>
  <c r="AS37" i="9" s="1"/>
  <c r="AC37" i="9" a="1"/>
  <c r="AC37" i="9" s="1"/>
  <c r="M37" i="9" a="1"/>
  <c r="M37" i="9" s="1"/>
  <c r="CL37" i="9" a="1"/>
  <c r="CL37" i="9" s="1"/>
  <c r="BU37" i="9" a="1"/>
  <c r="BU37" i="9" s="1"/>
  <c r="BE37" i="9" a="1"/>
  <c r="BE37" i="9" s="1"/>
  <c r="AO37" i="9" a="1"/>
  <c r="AO37" i="9" s="1"/>
  <c r="Y37" i="9" a="1"/>
  <c r="Y37" i="9" s="1"/>
  <c r="I37" i="9" a="1"/>
  <c r="I37" i="9" s="1"/>
  <c r="CR41" i="9" a="1"/>
  <c r="CR41" i="9" s="1"/>
  <c r="CN41" i="9" a="1"/>
  <c r="CN41" i="9" s="1"/>
  <c r="CJ41" i="9" a="1"/>
  <c r="CJ41" i="9" s="1"/>
  <c r="CE41" i="9" a="1"/>
  <c r="CE41" i="9" s="1"/>
  <c r="CA41" i="9" a="1"/>
  <c r="CA41" i="9" s="1"/>
  <c r="BW41" i="9" a="1"/>
  <c r="BW41" i="9" s="1"/>
  <c r="BS41" i="9" a="1"/>
  <c r="BS41" i="9" s="1"/>
  <c r="BO41" i="9" a="1"/>
  <c r="BO41" i="9" s="1"/>
  <c r="BK41" i="9" a="1"/>
  <c r="BK41" i="9" s="1"/>
  <c r="BG41" i="9" a="1"/>
  <c r="BG41" i="9" s="1"/>
  <c r="BC41" i="9" a="1"/>
  <c r="BC41" i="9" s="1"/>
  <c r="AY41" i="9" a="1"/>
  <c r="AY41" i="9" s="1"/>
  <c r="AU41" i="9" a="1"/>
  <c r="AU41" i="9" s="1"/>
  <c r="AQ41" i="9" a="1"/>
  <c r="AQ41" i="9" s="1"/>
  <c r="AM41" i="9" a="1"/>
  <c r="AM41" i="9" s="1"/>
  <c r="AI41" i="9" a="1"/>
  <c r="AI41" i="9" s="1"/>
  <c r="AE41" i="9" a="1"/>
  <c r="AE41" i="9" s="1"/>
  <c r="AA41" i="9" a="1"/>
  <c r="AA41" i="9" s="1"/>
  <c r="W41" i="9" a="1"/>
  <c r="W41" i="9" s="1"/>
  <c r="S41" i="9" a="1"/>
  <c r="S41" i="9" s="1"/>
  <c r="O41" i="9" a="1"/>
  <c r="O41" i="9" s="1"/>
  <c r="K41" i="9" a="1"/>
  <c r="K41" i="9" s="1"/>
  <c r="G41" i="9" a="1"/>
  <c r="G41" i="9" s="1"/>
  <c r="CQ41" i="9" a="1"/>
  <c r="CQ41" i="9" s="1"/>
  <c r="CM41" i="9" a="1"/>
  <c r="CM41" i="9" s="1"/>
  <c r="CI41" i="9" a="1"/>
  <c r="CI41" i="9" s="1"/>
  <c r="CD41" i="9" a="1"/>
  <c r="CD41" i="9" s="1"/>
  <c r="BZ41" i="9" a="1"/>
  <c r="BZ41" i="9" s="1"/>
  <c r="BV41" i="9" a="1"/>
  <c r="BV41" i="9" s="1"/>
  <c r="BR41" i="9" a="1"/>
  <c r="BR41" i="9" s="1"/>
  <c r="BN41" i="9" a="1"/>
  <c r="BN41" i="9" s="1"/>
  <c r="BJ41" i="9" a="1"/>
  <c r="BJ41" i="9" s="1"/>
  <c r="BF41" i="9" a="1"/>
  <c r="BF41" i="9" s="1"/>
  <c r="BB41" i="9" a="1"/>
  <c r="BB41" i="9" s="1"/>
  <c r="AX41" i="9" a="1"/>
  <c r="AX41" i="9" s="1"/>
  <c r="AT41" i="9" a="1"/>
  <c r="AT41" i="9" s="1"/>
  <c r="AP41" i="9" a="1"/>
  <c r="AP41" i="9" s="1"/>
  <c r="AL41" i="9" a="1"/>
  <c r="AL41" i="9" s="1"/>
  <c r="AH41" i="9" a="1"/>
  <c r="AH41" i="9" s="1"/>
  <c r="AD41" i="9" a="1"/>
  <c r="AD41" i="9" s="1"/>
  <c r="Z41" i="9" a="1"/>
  <c r="Z41" i="9" s="1"/>
  <c r="V41" i="9" a="1"/>
  <c r="V41" i="9" s="1"/>
  <c r="R41" i="9" a="1"/>
  <c r="R41" i="9" s="1"/>
  <c r="N41" i="9" a="1"/>
  <c r="N41" i="9" s="1"/>
  <c r="J41" i="9" a="1"/>
  <c r="J41" i="9" s="1"/>
  <c r="F41" i="9" a="1"/>
  <c r="F41" i="9" s="1"/>
  <c r="CO41" i="9" a="1"/>
  <c r="CO41" i="9" s="1"/>
  <c r="CF41" i="9" a="1"/>
  <c r="CF41" i="9" s="1"/>
  <c r="BX41" i="9" a="1"/>
  <c r="BX41" i="9" s="1"/>
  <c r="BP41" i="9" a="1"/>
  <c r="BP41" i="9" s="1"/>
  <c r="BH41" i="9" a="1"/>
  <c r="BH41" i="9" s="1"/>
  <c r="AZ41" i="9" a="1"/>
  <c r="AZ41" i="9" s="1"/>
  <c r="AR41" i="9" a="1"/>
  <c r="AR41" i="9" s="1"/>
  <c r="AJ41" i="9" a="1"/>
  <c r="AJ41" i="9" s="1"/>
  <c r="AB41" i="9" a="1"/>
  <c r="AB41" i="9" s="1"/>
  <c r="T41" i="9" a="1"/>
  <c r="T41" i="9" s="1"/>
  <c r="L41" i="9" a="1"/>
  <c r="L41" i="9" s="1"/>
  <c r="CL41" i="9" a="1"/>
  <c r="CL41" i="9" s="1"/>
  <c r="CC41" i="9" a="1"/>
  <c r="CC41" i="9" s="1"/>
  <c r="BU41" i="9" a="1"/>
  <c r="BU41" i="9" s="1"/>
  <c r="BM41" i="9" a="1"/>
  <c r="BM41" i="9" s="1"/>
  <c r="BE41" i="9" a="1"/>
  <c r="BE41" i="9" s="1"/>
  <c r="AW41" i="9" a="1"/>
  <c r="AW41" i="9" s="1"/>
  <c r="AO41" i="9" a="1"/>
  <c r="AO41" i="9" s="1"/>
  <c r="AG41" i="9" a="1"/>
  <c r="AG41" i="9" s="1"/>
  <c r="Y41" i="9" a="1"/>
  <c r="Y41" i="9" s="1"/>
  <c r="Q41" i="9" a="1"/>
  <c r="Q41" i="9" s="1"/>
  <c r="I41" i="9" a="1"/>
  <c r="I41" i="9" s="1"/>
  <c r="CK41" i="9" a="1"/>
  <c r="CK41" i="9" s="1"/>
  <c r="CB41" i="9" a="1"/>
  <c r="CB41" i="9" s="1"/>
  <c r="BT41" i="9" a="1"/>
  <c r="BT41" i="9" s="1"/>
  <c r="BL41" i="9" a="1"/>
  <c r="BL41" i="9" s="1"/>
  <c r="BD41" i="9" a="1"/>
  <c r="BD41" i="9" s="1"/>
  <c r="AV41" i="9" a="1"/>
  <c r="AV41" i="9" s="1"/>
  <c r="AN41" i="9" a="1"/>
  <c r="AN41" i="9" s="1"/>
  <c r="AF41" i="9" a="1"/>
  <c r="AF41" i="9" s="1"/>
  <c r="X41" i="9" a="1"/>
  <c r="X41" i="9" s="1"/>
  <c r="P41" i="9" a="1"/>
  <c r="P41" i="9" s="1"/>
  <c r="H41" i="9" a="1"/>
  <c r="H41" i="9" s="1"/>
  <c r="CP41" i="9" a="1"/>
  <c r="CP41" i="9" s="1"/>
  <c r="BI41" i="9" a="1"/>
  <c r="BI41" i="9" s="1"/>
  <c r="AC41" i="9" a="1"/>
  <c r="AC41" i="9" s="1"/>
  <c r="CH41" i="9" a="1"/>
  <c r="CH41" i="9" s="1"/>
  <c r="BA41" i="9" a="1"/>
  <c r="BA41" i="9" s="1"/>
  <c r="U41" i="9" a="1"/>
  <c r="U41" i="9" s="1"/>
  <c r="BY41" i="9" a="1"/>
  <c r="BY41" i="9" s="1"/>
  <c r="AS41" i="9" a="1"/>
  <c r="AS41" i="9" s="1"/>
  <c r="M41" i="9" a="1"/>
  <c r="M41" i="9" s="1"/>
  <c r="BQ41" i="9" a="1"/>
  <c r="BQ41" i="9" s="1"/>
  <c r="AK41" i="9" a="1"/>
  <c r="AK41" i="9" s="1"/>
  <c r="E41" i="9" a="1"/>
  <c r="E41" i="9" s="1"/>
  <c r="CR45" i="9" a="1"/>
  <c r="CR45" i="9" s="1"/>
  <c r="CN45" i="9" a="1"/>
  <c r="CN45" i="9" s="1"/>
  <c r="CJ45" i="9" a="1"/>
  <c r="CJ45" i="9" s="1"/>
  <c r="CE45" i="9" a="1"/>
  <c r="CE45" i="9" s="1"/>
  <c r="CA45" i="9" a="1"/>
  <c r="CA45" i="9" s="1"/>
  <c r="BW45" i="9" a="1"/>
  <c r="BW45" i="9" s="1"/>
  <c r="BS45" i="9" a="1"/>
  <c r="BS45" i="9" s="1"/>
  <c r="BO45" i="9" a="1"/>
  <c r="BO45" i="9" s="1"/>
  <c r="BK45" i="9" a="1"/>
  <c r="BK45" i="9" s="1"/>
  <c r="BG45" i="9" a="1"/>
  <c r="BG45" i="9" s="1"/>
  <c r="BC45" i="9" a="1"/>
  <c r="BC45" i="9" s="1"/>
  <c r="AY45" i="9" a="1"/>
  <c r="AY45" i="9" s="1"/>
  <c r="AU45" i="9" a="1"/>
  <c r="AU45" i="9" s="1"/>
  <c r="AQ45" i="9" a="1"/>
  <c r="AQ45" i="9" s="1"/>
  <c r="AM45" i="9" a="1"/>
  <c r="AM45" i="9" s="1"/>
  <c r="AI45" i="9" a="1"/>
  <c r="AI45" i="9" s="1"/>
  <c r="AE45" i="9" a="1"/>
  <c r="AE45" i="9" s="1"/>
  <c r="AA45" i="9" a="1"/>
  <c r="AA45" i="9" s="1"/>
  <c r="W45" i="9" a="1"/>
  <c r="W45" i="9" s="1"/>
  <c r="S45" i="9" a="1"/>
  <c r="S45" i="9" s="1"/>
  <c r="O45" i="9" a="1"/>
  <c r="O45" i="9" s="1"/>
  <c r="K45" i="9" a="1"/>
  <c r="K45" i="9" s="1"/>
  <c r="G45" i="9" a="1"/>
  <c r="G45" i="9" s="1"/>
  <c r="CQ45" i="9" a="1"/>
  <c r="CQ45" i="9" s="1"/>
  <c r="CM45" i="9" a="1"/>
  <c r="CM45" i="9" s="1"/>
  <c r="CI45" i="9" a="1"/>
  <c r="CI45" i="9" s="1"/>
  <c r="CD45" i="9" a="1"/>
  <c r="CD45" i="9" s="1"/>
  <c r="BZ45" i="9" a="1"/>
  <c r="BZ45" i="9" s="1"/>
  <c r="BV45" i="9" a="1"/>
  <c r="BV45" i="9" s="1"/>
  <c r="BR45" i="9" a="1"/>
  <c r="BR45" i="9" s="1"/>
  <c r="BN45" i="9" a="1"/>
  <c r="BN45" i="9" s="1"/>
  <c r="BJ45" i="9" a="1"/>
  <c r="BJ45" i="9" s="1"/>
  <c r="BF45" i="9" a="1"/>
  <c r="BF45" i="9" s="1"/>
  <c r="BB45" i="9" a="1"/>
  <c r="BB45" i="9" s="1"/>
  <c r="AX45" i="9" a="1"/>
  <c r="AX45" i="9" s="1"/>
  <c r="AT45" i="9" a="1"/>
  <c r="AT45" i="9" s="1"/>
  <c r="AP45" i="9" a="1"/>
  <c r="AP45" i="9" s="1"/>
  <c r="AL45" i="9" a="1"/>
  <c r="AL45" i="9" s="1"/>
  <c r="AH45" i="9" a="1"/>
  <c r="AH45" i="9" s="1"/>
  <c r="AD45" i="9" a="1"/>
  <c r="AD45" i="9" s="1"/>
  <c r="Z45" i="9" a="1"/>
  <c r="Z45" i="9" s="1"/>
  <c r="V45" i="9" a="1"/>
  <c r="V45" i="9" s="1"/>
  <c r="R45" i="9" a="1"/>
  <c r="R45" i="9" s="1"/>
  <c r="N45" i="9" a="1"/>
  <c r="N45" i="9" s="1"/>
  <c r="J45" i="9" a="1"/>
  <c r="J45" i="9" s="1"/>
  <c r="F45" i="9" a="1"/>
  <c r="F45" i="9" s="1"/>
  <c r="CK45" i="9" a="1"/>
  <c r="CK45" i="9" s="1"/>
  <c r="CB45" i="9" a="1"/>
  <c r="CB45" i="9" s="1"/>
  <c r="BT45" i="9" a="1"/>
  <c r="BT45" i="9" s="1"/>
  <c r="BL45" i="9" a="1"/>
  <c r="BL45" i="9" s="1"/>
  <c r="BD45" i="9" a="1"/>
  <c r="BD45" i="9" s="1"/>
  <c r="AV45" i="9" a="1"/>
  <c r="AV45" i="9" s="1"/>
  <c r="AN45" i="9" a="1"/>
  <c r="AN45" i="9" s="1"/>
  <c r="AF45" i="9" a="1"/>
  <c r="AF45" i="9" s="1"/>
  <c r="X45" i="9" a="1"/>
  <c r="X45" i="9" s="1"/>
  <c r="P45" i="9" a="1"/>
  <c r="P45" i="9" s="1"/>
  <c r="H45" i="9" a="1"/>
  <c r="H45" i="9" s="1"/>
  <c r="CP45" i="9" a="1"/>
  <c r="CP45" i="9" s="1"/>
  <c r="CH45" i="9" a="1"/>
  <c r="CH45" i="9" s="1"/>
  <c r="BY45" i="9" a="1"/>
  <c r="BY45" i="9" s="1"/>
  <c r="BQ45" i="9" a="1"/>
  <c r="BQ45" i="9" s="1"/>
  <c r="BI45" i="9" a="1"/>
  <c r="BI45" i="9" s="1"/>
  <c r="BA45" i="9" a="1"/>
  <c r="BA45" i="9" s="1"/>
  <c r="AS45" i="9" a="1"/>
  <c r="AS45" i="9" s="1"/>
  <c r="AK45" i="9" a="1"/>
  <c r="AK45" i="9" s="1"/>
  <c r="AC45" i="9" a="1"/>
  <c r="AC45" i="9" s="1"/>
  <c r="U45" i="9" a="1"/>
  <c r="U45" i="9" s="1"/>
  <c r="M45" i="9" a="1"/>
  <c r="M45" i="9" s="1"/>
  <c r="E45" i="9" a="1"/>
  <c r="E45" i="9" s="1"/>
  <c r="CO45" i="9" a="1"/>
  <c r="CO45" i="9" s="1"/>
  <c r="CF45" i="9" a="1"/>
  <c r="CF45" i="9" s="1"/>
  <c r="BX45" i="9" a="1"/>
  <c r="BX45" i="9" s="1"/>
  <c r="BP45" i="9" a="1"/>
  <c r="BP45" i="9" s="1"/>
  <c r="BH45" i="9" a="1"/>
  <c r="BH45" i="9" s="1"/>
  <c r="AZ45" i="9" a="1"/>
  <c r="AZ45" i="9" s="1"/>
  <c r="AR45" i="9" a="1"/>
  <c r="AR45" i="9" s="1"/>
  <c r="AJ45" i="9" a="1"/>
  <c r="AJ45" i="9" s="1"/>
  <c r="AB45" i="9" a="1"/>
  <c r="AB45" i="9" s="1"/>
  <c r="T45" i="9" a="1"/>
  <c r="T45" i="9" s="1"/>
  <c r="L45" i="9" a="1"/>
  <c r="L45" i="9" s="1"/>
  <c r="CC45" i="9" a="1"/>
  <c r="CC45" i="9" s="1"/>
  <c r="AW45" i="9" a="1"/>
  <c r="AW45" i="9" s="1"/>
  <c r="Q45" i="9" a="1"/>
  <c r="Q45" i="9" s="1"/>
  <c r="BU45" i="9" a="1"/>
  <c r="BU45" i="9" s="1"/>
  <c r="AO45" i="9" a="1"/>
  <c r="AO45" i="9" s="1"/>
  <c r="I45" i="9" a="1"/>
  <c r="I45" i="9" s="1"/>
  <c r="BM45" i="9" a="1"/>
  <c r="BM45" i="9" s="1"/>
  <c r="AG45" i="9" a="1"/>
  <c r="AG45" i="9" s="1"/>
  <c r="CL45" i="9" a="1"/>
  <c r="CL45" i="9" s="1"/>
  <c r="BE45" i="9" a="1"/>
  <c r="BE45" i="9" s="1"/>
  <c r="Y45" i="9" a="1"/>
  <c r="Y45" i="9" s="1"/>
  <c r="CP49" i="9" a="1"/>
  <c r="CP49" i="9" s="1"/>
  <c r="CL49" i="9" a="1"/>
  <c r="CL49" i="9" s="1"/>
  <c r="CH49" i="9" a="1"/>
  <c r="CH49" i="9" s="1"/>
  <c r="CC49" i="9" a="1"/>
  <c r="CC49" i="9" s="1"/>
  <c r="BY49" i="9" a="1"/>
  <c r="BY49" i="9" s="1"/>
  <c r="BU49" i="9" a="1"/>
  <c r="BU49" i="9" s="1"/>
  <c r="BQ49" i="9" a="1"/>
  <c r="BQ49" i="9" s="1"/>
  <c r="BM49" i="9" a="1"/>
  <c r="BM49" i="9" s="1"/>
  <c r="BI49" i="9" a="1"/>
  <c r="BI49" i="9" s="1"/>
  <c r="BE49" i="9" a="1"/>
  <c r="BE49" i="9" s="1"/>
  <c r="BA49" i="9" a="1"/>
  <c r="BA49" i="9" s="1"/>
  <c r="AW49" i="9" a="1"/>
  <c r="AW49" i="9" s="1"/>
  <c r="AS49" i="9" a="1"/>
  <c r="AS49" i="9" s="1"/>
  <c r="AO49" i="9" a="1"/>
  <c r="AO49" i="9" s="1"/>
  <c r="AK49" i="9" a="1"/>
  <c r="AK49" i="9" s="1"/>
  <c r="AG49" i="9" a="1"/>
  <c r="AG49" i="9" s="1"/>
  <c r="AC49" i="9" a="1"/>
  <c r="AC49" i="9" s="1"/>
  <c r="Y49" i="9" a="1"/>
  <c r="Y49" i="9" s="1"/>
  <c r="U49" i="9" a="1"/>
  <c r="U49" i="9" s="1"/>
  <c r="Q49" i="9" a="1"/>
  <c r="Q49" i="9" s="1"/>
  <c r="M49" i="9" a="1"/>
  <c r="M49" i="9" s="1"/>
  <c r="I49" i="9" a="1"/>
  <c r="I49" i="9" s="1"/>
  <c r="E49" i="9" a="1"/>
  <c r="E49" i="9" s="1"/>
  <c r="CO49" i="9" a="1"/>
  <c r="CO49" i="9" s="1"/>
  <c r="CK49" i="9" a="1"/>
  <c r="CK49" i="9" s="1"/>
  <c r="CF49" i="9" a="1"/>
  <c r="CF49" i="9" s="1"/>
  <c r="CB49" i="9" a="1"/>
  <c r="CB49" i="9" s="1"/>
  <c r="BX49" i="9" a="1"/>
  <c r="BX49" i="9" s="1"/>
  <c r="BT49" i="9" a="1"/>
  <c r="BT49" i="9" s="1"/>
  <c r="BP49" i="9" a="1"/>
  <c r="BP49" i="9" s="1"/>
  <c r="BL49" i="9" a="1"/>
  <c r="BL49" i="9" s="1"/>
  <c r="BH49" i="9" a="1"/>
  <c r="BH49" i="9" s="1"/>
  <c r="BD49" i="9" a="1"/>
  <c r="BD49" i="9" s="1"/>
  <c r="AZ49" i="9" a="1"/>
  <c r="AZ49" i="9" s="1"/>
  <c r="AV49" i="9" a="1"/>
  <c r="AV49" i="9" s="1"/>
  <c r="AR49" i="9" a="1"/>
  <c r="AR49" i="9" s="1"/>
  <c r="AN49" i="9" a="1"/>
  <c r="AN49" i="9" s="1"/>
  <c r="AJ49" i="9" a="1"/>
  <c r="AJ49" i="9" s="1"/>
  <c r="AF49" i="9" a="1"/>
  <c r="AF49" i="9" s="1"/>
  <c r="AB49" i="9" a="1"/>
  <c r="AB49" i="9" s="1"/>
  <c r="X49" i="9" a="1"/>
  <c r="X49" i="9" s="1"/>
  <c r="T49" i="9" a="1"/>
  <c r="T49" i="9" s="1"/>
  <c r="P49" i="9" a="1"/>
  <c r="P49" i="9" s="1"/>
  <c r="L49" i="9" a="1"/>
  <c r="L49" i="9" s="1"/>
  <c r="H49" i="9" a="1"/>
  <c r="H49" i="9" s="1"/>
  <c r="CR49" i="9" a="1"/>
  <c r="CR49" i="9" s="1"/>
  <c r="CJ49" i="9" a="1"/>
  <c r="CJ49" i="9" s="1"/>
  <c r="CA49" i="9" a="1"/>
  <c r="CA49" i="9" s="1"/>
  <c r="BS49" i="9" a="1"/>
  <c r="BS49" i="9" s="1"/>
  <c r="BK49" i="9" a="1"/>
  <c r="BK49" i="9" s="1"/>
  <c r="BC49" i="9" a="1"/>
  <c r="BC49" i="9" s="1"/>
  <c r="AU49" i="9" a="1"/>
  <c r="AU49" i="9" s="1"/>
  <c r="AM49" i="9" a="1"/>
  <c r="AM49" i="9" s="1"/>
  <c r="AE49" i="9" a="1"/>
  <c r="AE49" i="9" s="1"/>
  <c r="W49" i="9" a="1"/>
  <c r="W49" i="9" s="1"/>
  <c r="O49" i="9" a="1"/>
  <c r="O49" i="9" s="1"/>
  <c r="G49" i="9" a="1"/>
  <c r="G49" i="9" s="1"/>
  <c r="CQ49" i="9" a="1"/>
  <c r="CQ49" i="9" s="1"/>
  <c r="CI49" i="9" a="1"/>
  <c r="CI49" i="9" s="1"/>
  <c r="BZ49" i="9" a="1"/>
  <c r="BZ49" i="9" s="1"/>
  <c r="BR49" i="9" a="1"/>
  <c r="BR49" i="9" s="1"/>
  <c r="BJ49" i="9" a="1"/>
  <c r="BJ49" i="9" s="1"/>
  <c r="BB49" i="9" a="1"/>
  <c r="BB49" i="9" s="1"/>
  <c r="AT49" i="9" a="1"/>
  <c r="AT49" i="9" s="1"/>
  <c r="AL49" i="9" a="1"/>
  <c r="AL49" i="9" s="1"/>
  <c r="AD49" i="9" a="1"/>
  <c r="AD49" i="9" s="1"/>
  <c r="V49" i="9" a="1"/>
  <c r="V49" i="9" s="1"/>
  <c r="N49" i="9" a="1"/>
  <c r="N49" i="9" s="1"/>
  <c r="F49" i="9" a="1"/>
  <c r="F49" i="9" s="1"/>
  <c r="CE49" i="9" a="1"/>
  <c r="CE49" i="9" s="1"/>
  <c r="BO49" i="9" a="1"/>
  <c r="BO49" i="9" s="1"/>
  <c r="AY49" i="9" a="1"/>
  <c r="AY49" i="9" s="1"/>
  <c r="AI49" i="9" a="1"/>
  <c r="AI49" i="9" s="1"/>
  <c r="S49" i="9" a="1"/>
  <c r="S49" i="9" s="1"/>
  <c r="CD49" i="9" a="1"/>
  <c r="CD49" i="9" s="1"/>
  <c r="BN49" i="9" a="1"/>
  <c r="BN49" i="9" s="1"/>
  <c r="AX49" i="9" a="1"/>
  <c r="AX49" i="9" s="1"/>
  <c r="AH49" i="9" a="1"/>
  <c r="AH49" i="9" s="1"/>
  <c r="R49" i="9" a="1"/>
  <c r="R49" i="9" s="1"/>
  <c r="CN49" i="9" a="1"/>
  <c r="CN49" i="9" s="1"/>
  <c r="BW49" i="9" a="1"/>
  <c r="BW49" i="9" s="1"/>
  <c r="BG49" i="9" a="1"/>
  <c r="BG49" i="9" s="1"/>
  <c r="AQ49" i="9" a="1"/>
  <c r="AQ49" i="9" s="1"/>
  <c r="AA49" i="9" a="1"/>
  <c r="AA49" i="9" s="1"/>
  <c r="K49" i="9" a="1"/>
  <c r="K49" i="9" s="1"/>
  <c r="BV49" i="9" a="1"/>
  <c r="BV49" i="9" s="1"/>
  <c r="J49" i="9" a="1"/>
  <c r="J49" i="9" s="1"/>
  <c r="BF49" i="9" a="1"/>
  <c r="BF49" i="9" s="1"/>
  <c r="AP49" i="9" a="1"/>
  <c r="AP49" i="9" s="1"/>
  <c r="CM49" i="9" a="1"/>
  <c r="CM49" i="9" s="1"/>
  <c r="Z49" i="9" a="1"/>
  <c r="Z49" i="9" s="1"/>
  <c r="CP53" i="9" a="1"/>
  <c r="CP53" i="9" s="1"/>
  <c r="CL53" i="9" a="1"/>
  <c r="CL53" i="9" s="1"/>
  <c r="CH53" i="9" a="1"/>
  <c r="CH53" i="9" s="1"/>
  <c r="CC53" i="9" a="1"/>
  <c r="CC53" i="9" s="1"/>
  <c r="BY53" i="9" a="1"/>
  <c r="BY53" i="9" s="1"/>
  <c r="BU53" i="9" a="1"/>
  <c r="BU53" i="9" s="1"/>
  <c r="BQ53" i="9" a="1"/>
  <c r="BQ53" i="9" s="1"/>
  <c r="BM53" i="9" a="1"/>
  <c r="BM53" i="9" s="1"/>
  <c r="BI53" i="9" a="1"/>
  <c r="BI53" i="9" s="1"/>
  <c r="BE53" i="9" a="1"/>
  <c r="BE53" i="9" s="1"/>
  <c r="BA53" i="9" a="1"/>
  <c r="BA53" i="9" s="1"/>
  <c r="AW53" i="9" a="1"/>
  <c r="AW53" i="9" s="1"/>
  <c r="AS53" i="9" a="1"/>
  <c r="AS53" i="9" s="1"/>
  <c r="AO53" i="9" a="1"/>
  <c r="AO53" i="9" s="1"/>
  <c r="AK53" i="9" a="1"/>
  <c r="AK53" i="9" s="1"/>
  <c r="AG53" i="9" a="1"/>
  <c r="AG53" i="9" s="1"/>
  <c r="AC53" i="9" a="1"/>
  <c r="AC53" i="9" s="1"/>
  <c r="Y53" i="9" a="1"/>
  <c r="Y53" i="9" s="1"/>
  <c r="U53" i="9" a="1"/>
  <c r="U53" i="9" s="1"/>
  <c r="Q53" i="9" a="1"/>
  <c r="Q53" i="9" s="1"/>
  <c r="M53" i="9" a="1"/>
  <c r="M53" i="9" s="1"/>
  <c r="I53" i="9" a="1"/>
  <c r="I53" i="9" s="1"/>
  <c r="E53" i="9" a="1"/>
  <c r="E53" i="9" s="1"/>
  <c r="CO53" i="9" a="1"/>
  <c r="CO53" i="9" s="1"/>
  <c r="CK53" i="9" a="1"/>
  <c r="CK53" i="9" s="1"/>
  <c r="CF53" i="9" a="1"/>
  <c r="CF53" i="9" s="1"/>
  <c r="CB53" i="9" a="1"/>
  <c r="CB53" i="9" s="1"/>
  <c r="BX53" i="9" a="1"/>
  <c r="BX53" i="9" s="1"/>
  <c r="BT53" i="9" a="1"/>
  <c r="BT53" i="9" s="1"/>
  <c r="BP53" i="9" a="1"/>
  <c r="BP53" i="9" s="1"/>
  <c r="BL53" i="9" a="1"/>
  <c r="BL53" i="9" s="1"/>
  <c r="BH53" i="9" a="1"/>
  <c r="BH53" i="9" s="1"/>
  <c r="BD53" i="9" a="1"/>
  <c r="BD53" i="9" s="1"/>
  <c r="AZ53" i="9" a="1"/>
  <c r="AZ53" i="9" s="1"/>
  <c r="AV53" i="9" a="1"/>
  <c r="AV53" i="9" s="1"/>
  <c r="AR53" i="9" a="1"/>
  <c r="AR53" i="9" s="1"/>
  <c r="AN53" i="9" a="1"/>
  <c r="AN53" i="9" s="1"/>
  <c r="AJ53" i="9" a="1"/>
  <c r="AJ53" i="9" s="1"/>
  <c r="AF53" i="9" a="1"/>
  <c r="AF53" i="9" s="1"/>
  <c r="AB53" i="9" a="1"/>
  <c r="AB53" i="9" s="1"/>
  <c r="X53" i="9" a="1"/>
  <c r="X53" i="9" s="1"/>
  <c r="T53" i="9" a="1"/>
  <c r="T53" i="9" s="1"/>
  <c r="P53" i="9" a="1"/>
  <c r="P53" i="9" s="1"/>
  <c r="L53" i="9" a="1"/>
  <c r="L53" i="9" s="1"/>
  <c r="H53" i="9" a="1"/>
  <c r="H53" i="9" s="1"/>
  <c r="CN53" i="9" a="1"/>
  <c r="CN53" i="9" s="1"/>
  <c r="CE53" i="9" a="1"/>
  <c r="CE53" i="9" s="1"/>
  <c r="BW53" i="9" a="1"/>
  <c r="BW53" i="9" s="1"/>
  <c r="BO53" i="9" a="1"/>
  <c r="BO53" i="9" s="1"/>
  <c r="BG53" i="9" a="1"/>
  <c r="BG53" i="9" s="1"/>
  <c r="AY53" i="9" a="1"/>
  <c r="AY53" i="9" s="1"/>
  <c r="AQ53" i="9" a="1"/>
  <c r="AQ53" i="9" s="1"/>
  <c r="AI53" i="9" a="1"/>
  <c r="AI53" i="9" s="1"/>
  <c r="AA53" i="9" a="1"/>
  <c r="AA53" i="9" s="1"/>
  <c r="S53" i="9" a="1"/>
  <c r="S53" i="9" s="1"/>
  <c r="K53" i="9" a="1"/>
  <c r="K53" i="9" s="1"/>
  <c r="CM53" i="9" a="1"/>
  <c r="CM53" i="9" s="1"/>
  <c r="CD53" i="9" a="1"/>
  <c r="CD53" i="9" s="1"/>
  <c r="BV53" i="9" a="1"/>
  <c r="BV53" i="9" s="1"/>
  <c r="BN53" i="9" a="1"/>
  <c r="BN53" i="9" s="1"/>
  <c r="BF53" i="9" a="1"/>
  <c r="BF53" i="9" s="1"/>
  <c r="AX53" i="9" a="1"/>
  <c r="AX53" i="9" s="1"/>
  <c r="AP53" i="9" a="1"/>
  <c r="AP53" i="9" s="1"/>
  <c r="AH53" i="9" a="1"/>
  <c r="AH53" i="9" s="1"/>
  <c r="Z53" i="9" a="1"/>
  <c r="Z53" i="9" s="1"/>
  <c r="R53" i="9" a="1"/>
  <c r="R53" i="9" s="1"/>
  <c r="J53" i="9" a="1"/>
  <c r="J53" i="9" s="1"/>
  <c r="CJ53" i="9" a="1"/>
  <c r="CJ53" i="9" s="1"/>
  <c r="BS53" i="9" a="1"/>
  <c r="BS53" i="9" s="1"/>
  <c r="BC53" i="9" a="1"/>
  <c r="BC53" i="9" s="1"/>
  <c r="AM53" i="9" a="1"/>
  <c r="AM53" i="9" s="1"/>
  <c r="W53" i="9" a="1"/>
  <c r="W53" i="9" s="1"/>
  <c r="G53" i="9" a="1"/>
  <c r="G53" i="9" s="1"/>
  <c r="CI53" i="9" a="1"/>
  <c r="CI53" i="9" s="1"/>
  <c r="BR53" i="9" a="1"/>
  <c r="BR53" i="9" s="1"/>
  <c r="BB53" i="9" a="1"/>
  <c r="BB53" i="9" s="1"/>
  <c r="AL53" i="9" a="1"/>
  <c r="AL53" i="9" s="1"/>
  <c r="V53" i="9" a="1"/>
  <c r="V53" i="9" s="1"/>
  <c r="F53" i="9" a="1"/>
  <c r="F53" i="9" s="1"/>
  <c r="CR53" i="9" a="1"/>
  <c r="CR53" i="9" s="1"/>
  <c r="CA53" i="9" a="1"/>
  <c r="CA53" i="9" s="1"/>
  <c r="BK53" i="9" a="1"/>
  <c r="BK53" i="9" s="1"/>
  <c r="AU53" i="9" a="1"/>
  <c r="AU53" i="9" s="1"/>
  <c r="AE53" i="9" a="1"/>
  <c r="AE53" i="9" s="1"/>
  <c r="O53" i="9" a="1"/>
  <c r="O53" i="9" s="1"/>
  <c r="CQ53" i="9" a="1"/>
  <c r="CQ53" i="9" s="1"/>
  <c r="AD53" i="9" a="1"/>
  <c r="AD53" i="9" s="1"/>
  <c r="BZ53" i="9" a="1"/>
  <c r="BZ53" i="9" s="1"/>
  <c r="N53" i="9" a="1"/>
  <c r="N53" i="9" s="1"/>
  <c r="BJ53" i="9" a="1"/>
  <c r="BJ53" i="9" s="1"/>
  <c r="AT53" i="9" a="1"/>
  <c r="AT53" i="9" s="1"/>
  <c r="D30" i="14"/>
  <c r="D22" i="14"/>
  <c r="D91" i="14"/>
  <c r="D88" i="14"/>
  <c r="D87" i="14"/>
  <c r="D84" i="14"/>
  <c r="D83" i="14"/>
  <c r="D80" i="14"/>
  <c r="D79" i="14"/>
  <c r="D76" i="14"/>
  <c r="D75" i="14"/>
  <c r="D72" i="14"/>
  <c r="D71" i="14"/>
  <c r="D68" i="14"/>
  <c r="D67" i="14"/>
  <c r="D64" i="14"/>
  <c r="D63" i="14"/>
  <c r="D60" i="14"/>
  <c r="D59" i="14"/>
  <c r="D103" i="14"/>
  <c r="D202" i="14"/>
  <c r="D194" i="14"/>
  <c r="D186" i="14"/>
  <c r="D178" i="14"/>
  <c r="D175" i="14"/>
  <c r="D228" i="14"/>
  <c r="D220" i="14"/>
  <c r="D212" i="14"/>
  <c r="D274" i="14"/>
  <c r="D266" i="14"/>
  <c r="D258" i="14"/>
  <c r="D250" i="14"/>
  <c r="D319" i="14"/>
  <c r="D316" i="14"/>
  <c r="D315" i="14"/>
  <c r="D312" i="14"/>
  <c r="D311" i="14"/>
  <c r="D308" i="14"/>
  <c r="D307" i="14"/>
  <c r="D304" i="14"/>
  <c r="D303" i="14"/>
  <c r="D300" i="14"/>
  <c r="D299" i="14"/>
  <c r="D296" i="14"/>
  <c r="D295" i="14"/>
  <c r="D293" i="14"/>
  <c r="D326" i="14"/>
  <c r="D392" i="14"/>
  <c r="D376" i="14"/>
  <c r="D364" i="14"/>
  <c r="D430" i="14"/>
  <c r="D426" i="14"/>
  <c r="D422" i="14"/>
  <c r="D418" i="14"/>
  <c r="D414" i="14"/>
  <c r="D402" i="14"/>
  <c r="D464" i="14"/>
  <c r="D525" i="14"/>
  <c r="D517" i="14"/>
  <c r="D555" i="14"/>
  <c r="D617" i="14"/>
  <c r="D609" i="14"/>
  <c r="D601" i="14"/>
  <c r="D593" i="14"/>
  <c r="D637" i="14"/>
  <c r="D630" i="14"/>
  <c r="D681" i="14"/>
  <c r="D672" i="14"/>
  <c r="D730" i="14"/>
  <c r="D722" i="14"/>
  <c r="D714" i="14"/>
  <c r="D706" i="14"/>
  <c r="D779" i="22"/>
  <c r="D1420" i="22"/>
  <c r="D46" i="21"/>
  <c r="D59" i="21"/>
  <c r="D145" i="21"/>
  <c r="D161" i="21"/>
  <c r="D180" i="21"/>
  <c r="D399" i="22"/>
  <c r="D85" i="22"/>
  <c r="D77" i="22"/>
  <c r="D122" i="22"/>
  <c r="D114" i="22"/>
  <c r="D113" i="22"/>
  <c r="D111" i="22"/>
  <c r="D102" i="22"/>
  <c r="D160" i="22"/>
  <c r="D152" i="22"/>
  <c r="D144" i="22"/>
  <c r="D136" i="22"/>
  <c r="D202" i="22"/>
  <c r="D198" i="22"/>
  <c r="D194" i="22"/>
  <c r="D190" i="22"/>
  <c r="D186" i="22"/>
  <c r="D178" i="22"/>
  <c r="D251" i="22"/>
  <c r="D313" i="22"/>
  <c r="D305" i="22"/>
  <c r="D297" i="22"/>
  <c r="D289" i="22"/>
  <c r="D395" i="22"/>
  <c r="D431" i="22"/>
  <c r="D427" i="22"/>
  <c r="D423" i="22"/>
  <c r="D419" i="22"/>
  <c r="D415" i="22"/>
  <c r="D411" i="22"/>
  <c r="D407" i="22"/>
  <c r="D469" i="22"/>
  <c r="D449" i="22"/>
  <c r="D440" i="22"/>
  <c r="D509" i="22"/>
  <c r="D525" i="22"/>
  <c r="D517" i="22"/>
  <c r="D558" i="22"/>
  <c r="D654" i="22"/>
  <c r="D646" i="22"/>
  <c r="D638" i="22"/>
  <c r="D630" i="22"/>
  <c r="D730" i="22"/>
  <c r="D722" i="22"/>
  <c r="D714" i="22"/>
  <c r="D706" i="22"/>
  <c r="D811" i="22"/>
  <c r="D809" i="22"/>
  <c r="D799" i="22"/>
  <c r="D791" i="22"/>
  <c r="D783" i="22"/>
  <c r="D962" i="22"/>
  <c r="D958" i="22"/>
  <c r="D954" i="22"/>
  <c r="D950" i="22"/>
  <c r="D946" i="22"/>
  <c r="D942" i="22"/>
  <c r="D934" i="22"/>
  <c r="D1003" i="22"/>
  <c r="D1002" i="22"/>
  <c r="D1239" i="22"/>
  <c r="D1295" i="22"/>
  <c r="D1289" i="22"/>
  <c r="D1281" i="22"/>
  <c r="D1360" i="22"/>
  <c r="D1356" i="22"/>
  <c r="D1352" i="22"/>
  <c r="D1588" i="22"/>
  <c r="D1580" i="22"/>
  <c r="D1646" i="22"/>
  <c r="D1642" i="22"/>
  <c r="D1638" i="22"/>
  <c r="D1634" i="22"/>
  <c r="D1630" i="22"/>
  <c r="D1626" i="22"/>
  <c r="D1618" i="22"/>
  <c r="D1694" i="22"/>
  <c r="D1756" i="22"/>
  <c r="D1745" i="22"/>
  <c r="D1737" i="22"/>
  <c r="D1790" i="22"/>
  <c r="D1789" i="22"/>
  <c r="D1786" i="22"/>
  <c r="D1785" i="22"/>
  <c r="D1782" i="22"/>
  <c r="D1781" i="22"/>
  <c r="D1779" i="22"/>
  <c r="D1771" i="22"/>
  <c r="D1838" i="22"/>
  <c r="D1874" i="22"/>
  <c r="D1872" i="22"/>
  <c r="D1866" i="22"/>
  <c r="D1858" i="22"/>
  <c r="D1850" i="22"/>
  <c r="D84" i="22"/>
  <c r="D76" i="22"/>
  <c r="D72" i="22"/>
  <c r="D68" i="22"/>
  <c r="D64" i="22"/>
  <c r="D119" i="22"/>
  <c r="D110" i="22"/>
  <c r="D99" i="22"/>
  <c r="D163" i="22"/>
  <c r="D157" i="22"/>
  <c r="D149" i="22"/>
  <c r="D141" i="22"/>
  <c r="D183" i="22"/>
  <c r="D175" i="22"/>
  <c r="D250" i="22"/>
  <c r="D312" i="22"/>
  <c r="D304" i="22"/>
  <c r="D296" i="22"/>
  <c r="D288" i="22"/>
  <c r="D430" i="22"/>
  <c r="D426" i="22"/>
  <c r="D422" i="22"/>
  <c r="D418" i="22"/>
  <c r="D414" i="22"/>
  <c r="D410" i="22"/>
  <c r="D406" i="22"/>
  <c r="D468" i="22"/>
  <c r="D448" i="22"/>
  <c r="D531" i="22"/>
  <c r="D524" i="22"/>
  <c r="D516" i="22"/>
  <c r="D582" i="22"/>
  <c r="D578" i="22"/>
  <c r="D574" i="22"/>
  <c r="D570" i="22"/>
  <c r="D566" i="22"/>
  <c r="D555" i="22"/>
  <c r="D659" i="22"/>
  <c r="D651" i="22"/>
  <c r="D643" i="22"/>
  <c r="D635" i="22"/>
  <c r="D735" i="22"/>
  <c r="D727" i="22"/>
  <c r="D719" i="22"/>
  <c r="D711" i="22"/>
  <c r="D810" i="22"/>
  <c r="D798" i="22"/>
  <c r="D790" i="22"/>
  <c r="D782" i="22"/>
  <c r="D851" i="22"/>
  <c r="D848" i="22"/>
  <c r="D847" i="22"/>
  <c r="D844" i="22"/>
  <c r="D843" i="22"/>
  <c r="D840" i="22"/>
  <c r="D839" i="22"/>
  <c r="D836" i="22"/>
  <c r="D835" i="22"/>
  <c r="D832" i="22"/>
  <c r="D831" i="22"/>
  <c r="D828" i="22"/>
  <c r="D827" i="22"/>
  <c r="D824" i="22"/>
  <c r="D939" i="22"/>
  <c r="D1238" i="22"/>
  <c r="D1304" i="22"/>
  <c r="D1300" i="22"/>
  <c r="D1296" i="22"/>
  <c r="D1288" i="22"/>
  <c r="D1280" i="22"/>
  <c r="D1610" i="22"/>
  <c r="D1609" i="22"/>
  <c r="D1606" i="22"/>
  <c r="D1605" i="22"/>
  <c r="D1602" i="22"/>
  <c r="D1601" i="22"/>
  <c r="D1598" i="22"/>
  <c r="D1597" i="22"/>
  <c r="D1594" i="22"/>
  <c r="D1593" i="22"/>
  <c r="D1585" i="22"/>
  <c r="D1623" i="22"/>
  <c r="D1697" i="22"/>
  <c r="D1761" i="22"/>
  <c r="D1753" i="22"/>
  <c r="D1751" i="22"/>
  <c r="D1744" i="22"/>
  <c r="D1736" i="22"/>
  <c r="D1778" i="22"/>
  <c r="D1770" i="22"/>
  <c r="D1839" i="22"/>
  <c r="D1871" i="22"/>
  <c r="D1863" i="22"/>
  <c r="D1855" i="22"/>
  <c r="D1847" i="22"/>
  <c r="D21" i="21"/>
  <c r="D22" i="21"/>
  <c r="D23" i="21"/>
  <c r="D47" i="21"/>
  <c r="D53" i="21"/>
  <c r="D62" i="21"/>
  <c r="D70" i="21"/>
  <c r="D78" i="21"/>
  <c r="D86" i="21"/>
  <c r="D97" i="21"/>
  <c r="D105" i="21"/>
  <c r="D113" i="21"/>
  <c r="D121" i="21"/>
  <c r="D129" i="21"/>
  <c r="D142" i="21"/>
  <c r="D150" i="21"/>
  <c r="D158" i="21"/>
  <c r="D166" i="21"/>
  <c r="D177" i="21"/>
  <c r="D185" i="21"/>
  <c r="D226" i="21"/>
  <c r="D249" i="21"/>
  <c r="D265" i="21"/>
  <c r="D281" i="21"/>
  <c r="D300" i="21"/>
  <c r="D316" i="21"/>
  <c r="D329" i="21"/>
  <c r="D345" i="21"/>
  <c r="D364" i="21"/>
  <c r="D380" i="21"/>
  <c r="D417" i="21"/>
  <c r="D640" i="21"/>
  <c r="D689" i="21"/>
  <c r="D984" i="21"/>
  <c r="D1000" i="21"/>
  <c r="D1060" i="21"/>
  <c r="D1076" i="21"/>
  <c r="D1093" i="21"/>
  <c r="D1175" i="21"/>
  <c r="D1181" i="21"/>
  <c r="D1191" i="21"/>
  <c r="D1206" i="21"/>
  <c r="D1239" i="21"/>
  <c r="D1249" i="21"/>
  <c r="D1276" i="21"/>
  <c r="D1291" i="21"/>
  <c r="D1307" i="21"/>
  <c r="D1326" i="21"/>
  <c r="D1342" i="21"/>
  <c r="D1351" i="21"/>
  <c r="D1577" i="22"/>
  <c r="D89" i="22"/>
  <c r="D81" i="22"/>
  <c r="D61" i="22"/>
  <c r="D125" i="22"/>
  <c r="D118" i="22"/>
  <c r="D106" i="22"/>
  <c r="D98" i="22"/>
  <c r="D167" i="22"/>
  <c r="D164" i="22"/>
  <c r="D156" i="22"/>
  <c r="D148" i="22"/>
  <c r="D140" i="22"/>
  <c r="D182" i="22"/>
  <c r="D174" i="22"/>
  <c r="D281" i="22"/>
  <c r="D278" i="22"/>
  <c r="D277" i="22"/>
  <c r="D274" i="22"/>
  <c r="D273" i="22"/>
  <c r="D270" i="22"/>
  <c r="D269" i="22"/>
  <c r="D266" i="22"/>
  <c r="D265" i="22"/>
  <c r="D262" i="22"/>
  <c r="D261" i="22"/>
  <c r="D258" i="22"/>
  <c r="D255" i="22"/>
  <c r="D317" i="22"/>
  <c r="D309" i="22"/>
  <c r="D301" i="22"/>
  <c r="D293" i="22"/>
  <c r="D403" i="22"/>
  <c r="D464" i="22"/>
  <c r="D463" i="22"/>
  <c r="D461" i="22"/>
  <c r="D457" i="22"/>
  <c r="D453" i="22"/>
  <c r="D451" i="22"/>
  <c r="D444" i="22"/>
  <c r="D544" i="22"/>
  <c r="D540" i="22"/>
  <c r="D536" i="22"/>
  <c r="D532" i="22"/>
  <c r="D521" i="22"/>
  <c r="D563" i="22"/>
  <c r="D554" i="22"/>
  <c r="D658" i="22"/>
  <c r="D650" i="22"/>
  <c r="D642" i="22"/>
  <c r="D634" i="22"/>
  <c r="D821" i="22"/>
  <c r="D938" i="22"/>
  <c r="D1293" i="22"/>
  <c r="D1285" i="22"/>
  <c r="D1277" i="22"/>
  <c r="D1383" i="22"/>
  <c r="D1381" i="22"/>
  <c r="D1380" i="22"/>
  <c r="D1379" i="22"/>
  <c r="D1377" i="22"/>
  <c r="D1376" i="22"/>
  <c r="D1375" i="22"/>
  <c r="D1373" i="22"/>
  <c r="D1372" i="22"/>
  <c r="D1371" i="22"/>
  <c r="D1369" i="22"/>
  <c r="D1368" i="22"/>
  <c r="D1367" i="22"/>
  <c r="D1365" i="22"/>
  <c r="D1608" i="22"/>
  <c r="D1604" i="22"/>
  <c r="D1600" i="22"/>
  <c r="D1596" i="22"/>
  <c r="D1592" i="22"/>
  <c r="D1584" i="22"/>
  <c r="D1622" i="22"/>
  <c r="D1725" i="22"/>
  <c r="D1722" i="22"/>
  <c r="D1721" i="22"/>
  <c r="D1718" i="22"/>
  <c r="D1717" i="22"/>
  <c r="D1714" i="22"/>
  <c r="D1713" i="22"/>
  <c r="D1710" i="22"/>
  <c r="D1706" i="22"/>
  <c r="D1702" i="22"/>
  <c r="D1698" i="22"/>
  <c r="D1760" i="22"/>
  <c r="D1752" i="22"/>
  <c r="D1741" i="22"/>
  <c r="D1733" i="22"/>
  <c r="D1793" i="22"/>
  <c r="D1775" i="22"/>
  <c r="D1870" i="22"/>
  <c r="D1862" i="22"/>
  <c r="D1854" i="22"/>
  <c r="D1846" i="22"/>
  <c r="D34" i="21"/>
  <c r="D36" i="21"/>
  <c r="D48" i="21"/>
  <c r="D63" i="21"/>
  <c r="D64" i="21"/>
  <c r="D71" i="21"/>
  <c r="D72" i="21"/>
  <c r="D79" i="21"/>
  <c r="D80" i="21"/>
  <c r="D87" i="21"/>
  <c r="D88" i="21"/>
  <c r="D98" i="21"/>
  <c r="D99" i="21"/>
  <c r="D106" i="21"/>
  <c r="D107" i="21"/>
  <c r="D114" i="21"/>
  <c r="D115" i="21"/>
  <c r="D122" i="21"/>
  <c r="D123" i="21"/>
  <c r="D135" i="21"/>
  <c r="D143" i="21"/>
  <c r="D151" i="21"/>
  <c r="D159" i="21"/>
  <c r="D167" i="21"/>
  <c r="D178" i="21"/>
  <c r="D186" i="21"/>
  <c r="D192" i="21"/>
  <c r="D196" i="21"/>
  <c r="D200" i="21"/>
  <c r="D204" i="21"/>
  <c r="D211" i="21"/>
  <c r="D215" i="21"/>
  <c r="D219" i="21"/>
  <c r="D222" i="21"/>
  <c r="D639" i="22"/>
  <c r="D631" i="22"/>
  <c r="D731" i="22"/>
  <c r="D723" i="22"/>
  <c r="D715" i="22"/>
  <c r="D707" i="22"/>
  <c r="D812" i="22"/>
  <c r="D806" i="22"/>
  <c r="D805" i="22"/>
  <c r="D802" i="22"/>
  <c r="D801" i="22"/>
  <c r="D800" i="22"/>
  <c r="D794" i="22"/>
  <c r="D793" i="22"/>
  <c r="D792" i="22"/>
  <c r="D786" i="22"/>
  <c r="D820" i="22"/>
  <c r="D935" i="22"/>
  <c r="D1190" i="22"/>
  <c r="D1186" i="22"/>
  <c r="D1182" i="22"/>
  <c r="D1178" i="22"/>
  <c r="D1174" i="22"/>
  <c r="D1170" i="22"/>
  <c r="D1166" i="22"/>
  <c r="D1162" i="22"/>
  <c r="D1266" i="22"/>
  <c r="D1262" i="22"/>
  <c r="D1258" i="22"/>
  <c r="D1254" i="22"/>
  <c r="D1250" i="22"/>
  <c r="D1246" i="22"/>
  <c r="D1242" i="22"/>
  <c r="D1589" i="22"/>
  <c r="D1581" i="22"/>
  <c r="D1619" i="22"/>
  <c r="D1757" i="22"/>
  <c r="D1748" i="22"/>
  <c r="D1740" i="22"/>
  <c r="D1851" i="22"/>
  <c r="D29" i="21"/>
  <c r="D30" i="21"/>
  <c r="D31" i="21"/>
  <c r="D39" i="21"/>
  <c r="D41" i="21"/>
  <c r="D51" i="21"/>
  <c r="D65" i="21"/>
  <c r="D66" i="21"/>
  <c r="D73" i="21"/>
  <c r="D74" i="21"/>
  <c r="D81" i="21"/>
  <c r="D82" i="21"/>
  <c r="D89" i="21"/>
  <c r="D90" i="21"/>
  <c r="D100" i="21"/>
  <c r="D101" i="21"/>
  <c r="D108" i="21"/>
  <c r="D109" i="21"/>
  <c r="D116" i="21"/>
  <c r="D117" i="21"/>
  <c r="D124" i="21"/>
  <c r="D125" i="21"/>
  <c r="D138" i="21"/>
  <c r="D146" i="21"/>
  <c r="D154" i="21"/>
  <c r="D162" i="21"/>
  <c r="D173" i="21"/>
  <c r="D181" i="21"/>
  <c r="D189" i="21"/>
  <c r="D190" i="21"/>
  <c r="D193" i="21"/>
  <c r="D194" i="21"/>
  <c r="D197" i="21"/>
  <c r="D198" i="21"/>
  <c r="D201" i="21"/>
  <c r="D202" i="21"/>
  <c r="D205" i="21"/>
  <c r="D212" i="21"/>
  <c r="D213" i="21"/>
  <c r="D216" i="21"/>
  <c r="D217" i="21"/>
  <c r="D220" i="21"/>
  <c r="D231" i="21"/>
  <c r="D257" i="21"/>
  <c r="D273" i="21"/>
  <c r="D292" i="21"/>
  <c r="D308" i="21"/>
  <c r="D337" i="21"/>
  <c r="D353" i="21"/>
  <c r="D372" i="21"/>
  <c r="D388" i="21"/>
  <c r="D401" i="21"/>
  <c r="D413" i="21"/>
  <c r="D632" i="21"/>
  <c r="D648" i="21"/>
  <c r="D667" i="21"/>
  <c r="D697" i="21"/>
  <c r="D955" i="21"/>
  <c r="D963" i="21"/>
  <c r="D976" i="21"/>
  <c r="D992" i="21"/>
  <c r="D1052" i="21"/>
  <c r="D1068" i="21"/>
  <c r="D1167" i="21"/>
  <c r="D1173" i="21"/>
  <c r="D1183" i="21"/>
  <c r="D1189" i="21"/>
  <c r="D1228" i="21"/>
  <c r="D1299" i="21"/>
  <c r="D1318" i="21"/>
  <c r="D1334" i="21"/>
  <c r="D1365" i="21"/>
  <c r="D1656" i="21"/>
  <c r="D221" i="21"/>
  <c r="D224" i="21"/>
  <c r="D225" i="21"/>
  <c r="D228" i="21"/>
  <c r="D229" i="21"/>
  <c r="D232" i="21"/>
  <c r="D233" i="21"/>
  <c r="D236" i="21"/>
  <c r="D237" i="21"/>
  <c r="D240" i="21"/>
  <c r="D241" i="21"/>
  <c r="D254" i="21"/>
  <c r="D262" i="21"/>
  <c r="D270" i="21"/>
  <c r="D278" i="21"/>
  <c r="D289" i="21"/>
  <c r="D297" i="21"/>
  <c r="D305" i="21"/>
  <c r="D313" i="21"/>
  <c r="D326" i="21"/>
  <c r="D334" i="21"/>
  <c r="D342" i="21"/>
  <c r="D350" i="21"/>
  <c r="D369" i="21"/>
  <c r="D377" i="21"/>
  <c r="D385" i="21"/>
  <c r="D393" i="21"/>
  <c r="D406" i="21"/>
  <c r="D414" i="21"/>
  <c r="D422" i="21"/>
  <c r="D432" i="21"/>
  <c r="D446" i="21"/>
  <c r="D454" i="21"/>
  <c r="D462" i="21"/>
  <c r="D470" i="21"/>
  <c r="D482" i="21"/>
  <c r="D490" i="21"/>
  <c r="D498" i="21"/>
  <c r="D506" i="21"/>
  <c r="D517" i="21"/>
  <c r="D525" i="21"/>
  <c r="D533" i="21"/>
  <c r="D541" i="21"/>
  <c r="D560" i="21"/>
  <c r="D568" i="21"/>
  <c r="D576" i="21"/>
  <c r="D584" i="21"/>
  <c r="D629" i="21"/>
  <c r="D631" i="21"/>
  <c r="D637" i="21"/>
  <c r="D639" i="21"/>
  <c r="D645" i="21"/>
  <c r="D647" i="21"/>
  <c r="D653" i="21"/>
  <c r="D655" i="21"/>
  <c r="D659" i="21"/>
  <c r="D678" i="21"/>
  <c r="D682" i="21"/>
  <c r="D687" i="21"/>
  <c r="D706" i="21"/>
  <c r="D721" i="21"/>
  <c r="D729" i="21"/>
  <c r="D737" i="21"/>
  <c r="D745" i="21"/>
  <c r="D753" i="21"/>
  <c r="D761" i="21"/>
  <c r="D769" i="21"/>
  <c r="D788" i="21"/>
  <c r="D796" i="21"/>
  <c r="D804" i="21"/>
  <c r="D812" i="21"/>
  <c r="D826" i="21"/>
  <c r="D834" i="21"/>
  <c r="D842" i="21"/>
  <c r="D850" i="21"/>
  <c r="D862" i="21"/>
  <c r="D870" i="21"/>
  <c r="D878" i="21"/>
  <c r="D889" i="21"/>
  <c r="D896" i="21"/>
  <c r="D904" i="21"/>
  <c r="D905" i="21"/>
  <c r="D919" i="21"/>
  <c r="D920" i="21"/>
  <c r="D921" i="21"/>
  <c r="D927" i="21"/>
  <c r="D938" i="21"/>
  <c r="D946" i="21"/>
  <c r="D954" i="21"/>
  <c r="D960" i="21"/>
  <c r="D977" i="21"/>
  <c r="D985" i="21"/>
  <c r="D993" i="21"/>
  <c r="D1001" i="21"/>
  <c r="D1053" i="21"/>
  <c r="D1061" i="21"/>
  <c r="D1069" i="21"/>
  <c r="D1090" i="21"/>
  <c r="D1113" i="21"/>
  <c r="D1129" i="21"/>
  <c r="D1137" i="21"/>
  <c r="D1145" i="21"/>
  <c r="D1153" i="21"/>
  <c r="D1217" i="21"/>
  <c r="D1221" i="21"/>
  <c r="D1226" i="21"/>
  <c r="D1244" i="21"/>
  <c r="D1248" i="21"/>
  <c r="D1253" i="21"/>
  <c r="D1275" i="21"/>
  <c r="D1280" i="21"/>
  <c r="D1288" i="21"/>
  <c r="D1290" i="21"/>
  <c r="D1296" i="21"/>
  <c r="D1298" i="21"/>
  <c r="D1304" i="21"/>
  <c r="D1306" i="21"/>
  <c r="D1315" i="21"/>
  <c r="D1317" i="21"/>
  <c r="D1323" i="21"/>
  <c r="D1325" i="21"/>
  <c r="D1331" i="21"/>
  <c r="D1333" i="21"/>
  <c r="D1339" i="21"/>
  <c r="D1341" i="21"/>
  <c r="D1353" i="21"/>
  <c r="D1357" i="21"/>
  <c r="D1364" i="21"/>
  <c r="D1368" i="21"/>
  <c r="D1376" i="21"/>
  <c r="D1394" i="21"/>
  <c r="D1402" i="21"/>
  <c r="D1410" i="21"/>
  <c r="D1418" i="21"/>
  <c r="D1429" i="21"/>
  <c r="D1437" i="21"/>
  <c r="D1445" i="21"/>
  <c r="D1453" i="21"/>
  <c r="D1465" i="21"/>
  <c r="D1473" i="21"/>
  <c r="D1481" i="21"/>
  <c r="D1489" i="21"/>
  <c r="D1497" i="21"/>
  <c r="D1503" i="21"/>
  <c r="D1511" i="21"/>
  <c r="D1519" i="21"/>
  <c r="D1527" i="21"/>
  <c r="D1535" i="21"/>
  <c r="D1543" i="21"/>
  <c r="D1551" i="21"/>
  <c r="D1582" i="21"/>
  <c r="D1590" i="21"/>
  <c r="D1598" i="21"/>
  <c r="D1606" i="21"/>
  <c r="D1617" i="21"/>
  <c r="D1625" i="21"/>
  <c r="D1633" i="21"/>
  <c r="D1642" i="21"/>
  <c r="D463" i="21"/>
  <c r="D471" i="21"/>
  <c r="D477" i="21"/>
  <c r="D485" i="21"/>
  <c r="D493" i="21"/>
  <c r="D1200" i="21"/>
  <c r="D1204" i="21"/>
  <c r="D1213" i="21"/>
  <c r="D1218" i="21"/>
  <c r="D1230" i="21"/>
  <c r="D1240" i="21"/>
  <c r="D1245" i="21"/>
  <c r="D1257" i="21"/>
  <c r="D1263" i="21"/>
  <c r="D1268" i="21"/>
  <c r="D1284" i="21"/>
  <c r="D1360" i="21"/>
  <c r="D1371" i="21"/>
  <c r="D1379" i="21"/>
  <c r="D1395" i="21"/>
  <c r="D1403" i="21"/>
  <c r="D1411" i="21"/>
  <c r="D1419" i="21"/>
  <c r="D1430" i="21"/>
  <c r="D1438" i="21"/>
  <c r="D1446" i="21"/>
  <c r="D1454" i="21"/>
  <c r="D1468" i="21"/>
  <c r="D1475" i="21"/>
  <c r="D1476" i="21"/>
  <c r="D1482" i="21"/>
  <c r="D1483" i="21"/>
  <c r="D1484" i="21"/>
  <c r="D1490" i="21"/>
  <c r="D1491" i="21"/>
  <c r="D1492" i="21"/>
  <c r="D1504" i="21"/>
  <c r="D1512" i="21"/>
  <c r="D1520" i="21"/>
  <c r="D1528" i="21"/>
  <c r="D1546" i="21"/>
  <c r="D1555" i="21"/>
  <c r="D1563" i="21"/>
  <c r="D1571" i="21"/>
  <c r="D1583" i="21"/>
  <c r="D1584" i="21"/>
  <c r="D1591" i="21"/>
  <c r="D1592" i="21"/>
  <c r="D1599" i="21"/>
  <c r="D1600" i="21"/>
  <c r="D1607" i="21"/>
  <c r="D1608" i="21"/>
  <c r="D1618" i="21"/>
  <c r="D1619" i="21"/>
  <c r="D1626" i="21"/>
  <c r="D1627" i="21"/>
  <c r="D1634" i="21"/>
  <c r="D1635" i="21"/>
  <c r="D1636" i="21"/>
  <c r="D1643" i="21"/>
  <c r="D1644" i="21"/>
  <c r="D1660" i="21"/>
  <c r="D1662" i="21"/>
  <c r="D1666" i="21"/>
  <c r="D1672" i="21"/>
  <c r="D1682" i="21"/>
  <c r="D1711" i="21"/>
  <c r="D1723" i="21"/>
  <c r="D250" i="21"/>
  <c r="D258" i="21"/>
  <c r="D266" i="21"/>
  <c r="D274" i="21"/>
  <c r="D293" i="21"/>
  <c r="D301" i="21"/>
  <c r="D309" i="21"/>
  <c r="D317" i="21"/>
  <c r="D330" i="21"/>
  <c r="D338" i="21"/>
  <c r="D346" i="21"/>
  <c r="D354" i="21"/>
  <c r="D365" i="21"/>
  <c r="D373" i="21"/>
  <c r="D381" i="21"/>
  <c r="D389" i="21"/>
  <c r="D402" i="21"/>
  <c r="D410" i="21"/>
  <c r="D418" i="21"/>
  <c r="D428" i="21"/>
  <c r="D442" i="21"/>
  <c r="D450" i="21"/>
  <c r="D458" i="21"/>
  <c r="D466" i="21"/>
  <c r="D478" i="21"/>
  <c r="D486" i="21"/>
  <c r="D494" i="21"/>
  <c r="D502" i="21"/>
  <c r="D521" i="21"/>
  <c r="D529" i="21"/>
  <c r="D537" i="21"/>
  <c r="D545" i="21"/>
  <c r="D556" i="21"/>
  <c r="D564" i="21"/>
  <c r="D572" i="21"/>
  <c r="D580" i="21"/>
  <c r="D633" i="21"/>
  <c r="D635" i="21"/>
  <c r="D641" i="21"/>
  <c r="D643" i="21"/>
  <c r="D649" i="21"/>
  <c r="D651" i="21"/>
  <c r="D671" i="21"/>
  <c r="D694" i="21"/>
  <c r="D713" i="21"/>
  <c r="D725" i="21"/>
  <c r="D733" i="21"/>
  <c r="D749" i="21"/>
  <c r="D757" i="21"/>
  <c r="D765" i="21"/>
  <c r="D773" i="21"/>
  <c r="D784" i="21"/>
  <c r="D792" i="21"/>
  <c r="D800" i="21"/>
  <c r="D808" i="21"/>
  <c r="D822" i="21"/>
  <c r="D830" i="21"/>
  <c r="D838" i="21"/>
  <c r="D846" i="21"/>
  <c r="D858" i="21"/>
  <c r="D866" i="21"/>
  <c r="D874" i="21"/>
  <c r="D882" i="21"/>
  <c r="D900" i="21"/>
  <c r="D912" i="21"/>
  <c r="D913" i="21"/>
  <c r="D934" i="21"/>
  <c r="D942" i="21"/>
  <c r="D950" i="21"/>
  <c r="D956" i="21"/>
  <c r="D964" i="21"/>
  <c r="D973" i="21"/>
  <c r="D981" i="21"/>
  <c r="D989" i="21"/>
  <c r="D997" i="21"/>
  <c r="D1009" i="21"/>
  <c r="D1010" i="21"/>
  <c r="D1013" i="21"/>
  <c r="D1014" i="21"/>
  <c r="D1017" i="21"/>
  <c r="D1018" i="21"/>
  <c r="D1021" i="21"/>
  <c r="D1022" i="21"/>
  <c r="D1025" i="21"/>
  <c r="D1026" i="21"/>
  <c r="D1029" i="21"/>
  <c r="D1030" i="21"/>
  <c r="D1033" i="21"/>
  <c r="D1034" i="21"/>
  <c r="D1037" i="21"/>
  <c r="D1038" i="21"/>
  <c r="D1041" i="21"/>
  <c r="D1048" i="21"/>
  <c r="D1049" i="21"/>
  <c r="D1057" i="21"/>
  <c r="D1065" i="21"/>
  <c r="D1073" i="21"/>
  <c r="D1098" i="21"/>
  <c r="D1102" i="21"/>
  <c r="D1106" i="21"/>
  <c r="D1110" i="21"/>
  <c r="D1117" i="21"/>
  <c r="D1125" i="21"/>
  <c r="D1133" i="21"/>
  <c r="D1141" i="21"/>
  <c r="D1149" i="21"/>
  <c r="D1201" i="21"/>
  <c r="D1205" i="21"/>
  <c r="D1210" i="21"/>
  <c r="D1237" i="21"/>
  <c r="D1260" i="21"/>
  <c r="D1264" i="21"/>
  <c r="D1269" i="21"/>
  <c r="D1286" i="21"/>
  <c r="D1292" i="21"/>
  <c r="D1294" i="21"/>
  <c r="D1300" i="21"/>
  <c r="D1302" i="21"/>
  <c r="D1313" i="21"/>
  <c r="D1319" i="21"/>
  <c r="D1321" i="21"/>
  <c r="D1327" i="21"/>
  <c r="D1329" i="21"/>
  <c r="D1335" i="21"/>
  <c r="D1337" i="21"/>
  <c r="D1372" i="21"/>
  <c r="D1380" i="21"/>
  <c r="D1390" i="21"/>
  <c r="D1398" i="21"/>
  <c r="D1406" i="21"/>
  <c r="D1414" i="21"/>
  <c r="D1432" i="21"/>
  <c r="D1433" i="21"/>
  <c r="D1439" i="21"/>
  <c r="D1440" i="21"/>
  <c r="D1441" i="21"/>
  <c r="D1447" i="21"/>
  <c r="D1448" i="21"/>
  <c r="D1449" i="21"/>
  <c r="D1455" i="21"/>
  <c r="D1457" i="21"/>
  <c r="D1469" i="21"/>
  <c r="D1477" i="21"/>
  <c r="D1485" i="21"/>
  <c r="D1493" i="21"/>
  <c r="D1506" i="21"/>
  <c r="D1507" i="21"/>
  <c r="D1513" i="21"/>
  <c r="D1514" i="21"/>
  <c r="D1515" i="21"/>
  <c r="D1521" i="21"/>
  <c r="D1523" i="21"/>
  <c r="D1531" i="21"/>
  <c r="D1547" i="21"/>
  <c r="D1556" i="21"/>
  <c r="D1557" i="21"/>
  <c r="D1564" i="21"/>
  <c r="D1565" i="21"/>
  <c r="D1572" i="21"/>
  <c r="D1573" i="21"/>
  <c r="D1585" i="21"/>
  <c r="D1586" i="21"/>
  <c r="D1593" i="21"/>
  <c r="D1594" i="21"/>
  <c r="D1601" i="21"/>
  <c r="D1602" i="21"/>
  <c r="D1609" i="21"/>
  <c r="D1610" i="21"/>
  <c r="D1620" i="21"/>
  <c r="D1621" i="21"/>
  <c r="D1628" i="21"/>
  <c r="D1629" i="21"/>
  <c r="D1637" i="21"/>
  <c r="D1638" i="21"/>
  <c r="D1645" i="21"/>
  <c r="D1646" i="21"/>
  <c r="D239" i="21"/>
  <c r="D251" i="21"/>
  <c r="D259" i="21"/>
  <c r="D267" i="21"/>
  <c r="D275" i="21"/>
  <c r="D294" i="21"/>
  <c r="D302" i="21"/>
  <c r="D310" i="21"/>
  <c r="D318" i="21"/>
  <c r="D331" i="21"/>
  <c r="D339" i="21"/>
  <c r="D347" i="21"/>
  <c r="D355" i="21"/>
  <c r="D366" i="21"/>
  <c r="D374" i="21"/>
  <c r="D382" i="21"/>
  <c r="D390" i="21"/>
  <c r="D403" i="21"/>
  <c r="D411" i="21"/>
  <c r="D419" i="21"/>
  <c r="D431" i="21"/>
  <c r="D443" i="21"/>
  <c r="D451" i="21"/>
  <c r="D459" i="21"/>
  <c r="D467" i="21"/>
  <c r="D481" i="21"/>
  <c r="D489" i="21"/>
  <c r="D497" i="21"/>
  <c r="D505" i="21"/>
  <c r="D516" i="21"/>
  <c r="D524" i="21"/>
  <c r="D532" i="21"/>
  <c r="D540" i="21"/>
  <c r="D559" i="21"/>
  <c r="D567" i="21"/>
  <c r="D575" i="21"/>
  <c r="D583" i="21"/>
  <c r="D593" i="21"/>
  <c r="D596" i="21"/>
  <c r="D601" i="21"/>
  <c r="D604" i="21"/>
  <c r="D609" i="21"/>
  <c r="D612" i="21"/>
  <c r="D617" i="21"/>
  <c r="D620" i="21"/>
  <c r="D658" i="21"/>
  <c r="D675" i="21"/>
  <c r="D681" i="21"/>
  <c r="D686" i="21"/>
  <c r="D690" i="21"/>
  <c r="D695" i="21"/>
  <c r="D699" i="21"/>
  <c r="D705" i="21"/>
  <c r="D709" i="21"/>
  <c r="D714" i="21"/>
  <c r="D718" i="21"/>
  <c r="D726" i="21"/>
  <c r="D734" i="21"/>
  <c r="D744" i="21"/>
  <c r="D752" i="21"/>
  <c r="D760" i="21"/>
  <c r="D768" i="21"/>
  <c r="D787" i="21"/>
  <c r="D795" i="21"/>
  <c r="D803" i="21"/>
  <c r="D811" i="21"/>
  <c r="D823" i="21"/>
  <c r="D831" i="21"/>
  <c r="D839" i="21"/>
  <c r="D847" i="21"/>
  <c r="D861" i="21"/>
  <c r="D869" i="21"/>
  <c r="D877" i="21"/>
  <c r="D885" i="21"/>
  <c r="D888" i="21"/>
  <c r="D895" i="21"/>
  <c r="D901" i="21"/>
  <c r="D924" i="21"/>
  <c r="D935" i="21"/>
  <c r="D943" i="21"/>
  <c r="D951" i="21"/>
  <c r="D957" i="21"/>
  <c r="D965" i="21"/>
  <c r="D974" i="21"/>
  <c r="D982" i="21"/>
  <c r="D990" i="21"/>
  <c r="D998" i="21"/>
  <c r="D1050" i="21"/>
  <c r="D1058" i="21"/>
  <c r="D1066" i="21"/>
  <c r="D1074" i="21"/>
  <c r="D1079" i="21"/>
  <c r="D1086" i="21"/>
  <c r="D1089" i="21"/>
  <c r="D1095" i="21"/>
  <c r="D1099" i="21"/>
  <c r="D1103" i="21"/>
  <c r="D1107" i="21"/>
  <c r="D1111" i="21"/>
  <c r="D1128" i="21"/>
  <c r="D1136" i="21"/>
  <c r="D1144" i="21"/>
  <c r="D1152" i="21"/>
  <c r="D1162" i="21"/>
  <c r="D1458" i="21"/>
  <c r="D1472" i="21"/>
  <c r="D1542" i="21"/>
  <c r="D1550" i="21"/>
  <c r="D1558" i="21"/>
  <c r="D1566" i="21"/>
  <c r="D1661" i="21"/>
  <c r="D1697" i="21"/>
  <c r="D1705" i="21"/>
  <c r="D1713" i="21"/>
  <c r="D1721" i="21"/>
  <c r="D52" i="5"/>
  <c r="D91" i="5"/>
  <c r="D1671" i="21"/>
  <c r="D1679" i="21"/>
  <c r="D1687" i="21"/>
  <c r="D129" i="18"/>
  <c r="D204" i="18"/>
  <c r="E61" i="9" a="1"/>
  <c r="E61" i="9" s="1"/>
  <c r="T61" i="9" a="1"/>
  <c r="T61" i="9" s="1"/>
  <c r="AJ61" i="9" a="1"/>
  <c r="AJ61" i="9" s="1"/>
  <c r="H61" i="9" a="1"/>
  <c r="H61" i="9" s="1"/>
  <c r="X61" i="9" a="1"/>
  <c r="X61" i="9" s="1"/>
  <c r="AU61" i="9" a="1"/>
  <c r="AU61" i="9" s="1"/>
  <c r="AQ61" i="9" a="1"/>
  <c r="AQ61" i="9" s="1"/>
  <c r="AM61" i="9" a="1"/>
  <c r="AM61" i="9" s="1"/>
  <c r="AI61" i="9" a="1"/>
  <c r="AI61" i="9" s="1"/>
  <c r="AE61" i="9" a="1"/>
  <c r="AE61" i="9" s="1"/>
  <c r="AA61" i="9" a="1"/>
  <c r="AA61" i="9" s="1"/>
  <c r="W61" i="9" a="1"/>
  <c r="W61" i="9" s="1"/>
  <c r="S61" i="9" a="1"/>
  <c r="S61" i="9" s="1"/>
  <c r="O61" i="9" a="1"/>
  <c r="O61" i="9" s="1"/>
  <c r="K61" i="9" a="1"/>
  <c r="K61" i="9" s="1"/>
  <c r="G61" i="9" a="1"/>
  <c r="G61" i="9" s="1"/>
  <c r="AT61" i="9" a="1"/>
  <c r="AT61" i="9" s="1"/>
  <c r="AP61" i="9" a="1"/>
  <c r="AP61" i="9" s="1"/>
  <c r="AL61" i="9" a="1"/>
  <c r="AL61" i="9" s="1"/>
  <c r="AH61" i="9" a="1"/>
  <c r="AH61" i="9" s="1"/>
  <c r="AD61" i="9" a="1"/>
  <c r="AD61" i="9" s="1"/>
  <c r="Z61" i="9" a="1"/>
  <c r="Z61" i="9" s="1"/>
  <c r="V61" i="9" a="1"/>
  <c r="V61" i="9" s="1"/>
  <c r="R61" i="9" a="1"/>
  <c r="R61" i="9" s="1"/>
  <c r="N61" i="9" a="1"/>
  <c r="N61" i="9" s="1"/>
  <c r="J61" i="9" a="1"/>
  <c r="J61" i="9" s="1"/>
  <c r="F61" i="9" a="1"/>
  <c r="F61" i="9" s="1"/>
  <c r="AW61" i="9" a="1"/>
  <c r="AW61" i="9" s="1"/>
  <c r="AS61" i="9" a="1"/>
  <c r="AS61" i="9" s="1"/>
  <c r="AO61" i="9" a="1"/>
  <c r="AO61" i="9" s="1"/>
  <c r="AK61" i="9" a="1"/>
  <c r="AK61" i="9" s="1"/>
  <c r="AG61" i="9" a="1"/>
  <c r="AG61" i="9" s="1"/>
  <c r="AC61" i="9" a="1"/>
  <c r="AC61" i="9" s="1"/>
  <c r="Y61" i="9" a="1"/>
  <c r="Y61" i="9" s="1"/>
  <c r="U61" i="9" a="1"/>
  <c r="U61" i="9" s="1"/>
  <c r="Q61" i="9" a="1"/>
  <c r="Q61" i="9" s="1"/>
  <c r="M61" i="9" a="1"/>
  <c r="M61" i="9" s="1"/>
  <c r="I61" i="9" a="1"/>
  <c r="I61" i="9" s="1"/>
  <c r="L61" i="9" a="1"/>
  <c r="L61" i="9" s="1"/>
  <c r="AB61" i="9" a="1"/>
  <c r="AB61" i="9" s="1"/>
  <c r="AR61" i="9" a="1"/>
  <c r="AR61" i="9" s="1"/>
  <c r="P61" i="9" a="1"/>
  <c r="P61" i="9" s="1"/>
  <c r="AF61" i="9" a="1"/>
  <c r="AF61" i="9" s="1"/>
  <c r="AV61" i="9" a="1"/>
  <c r="AV61" i="9" s="1"/>
  <c r="D1615" i="21"/>
  <c r="D1877" i="22"/>
  <c r="D1876" i="22"/>
  <c r="D1869" i="22"/>
  <c r="D1868" i="22"/>
  <c r="D1861" i="22"/>
  <c r="D1860" i="22"/>
  <c r="D1853" i="22"/>
  <c r="D1852" i="22"/>
  <c r="D1845" i="22"/>
  <c r="D1844" i="22"/>
  <c r="D1865" i="22"/>
  <c r="D1864" i="22"/>
  <c r="D1857" i="22"/>
  <c r="D1856" i="22"/>
  <c r="D1849" i="22"/>
  <c r="D1848" i="22"/>
  <c r="D1777" i="22"/>
  <c r="D1776" i="22"/>
  <c r="D1769" i="22"/>
  <c r="D1768" i="22"/>
  <c r="D1800" i="22"/>
  <c r="D1799" i="22"/>
  <c r="D1796" i="22"/>
  <c r="D1795" i="22"/>
  <c r="D1747" i="22"/>
  <c r="D1746" i="22"/>
  <c r="D1739" i="22"/>
  <c r="D1738" i="22"/>
  <c r="D1731" i="22"/>
  <c r="D1730" i="22"/>
  <c r="D1763" i="22"/>
  <c r="D1762" i="22"/>
  <c r="D1755" i="22"/>
  <c r="D1754" i="22"/>
  <c r="D1693" i="22"/>
  <c r="D1692" i="22"/>
  <c r="D1724" i="22"/>
  <c r="D1723" i="22"/>
  <c r="D1720" i="22"/>
  <c r="D1719" i="22"/>
  <c r="D1716" i="22"/>
  <c r="D1715" i="22"/>
  <c r="D1712" i="22"/>
  <c r="D1711" i="22"/>
  <c r="D1708" i="22"/>
  <c r="D1707" i="22"/>
  <c r="D1704" i="22"/>
  <c r="D1703" i="22"/>
  <c r="D1700" i="22"/>
  <c r="D1699" i="22"/>
  <c r="D1709" i="22"/>
  <c r="D1705" i="22"/>
  <c r="D1701" i="22"/>
  <c r="D1696" i="22"/>
  <c r="D1686" i="22"/>
  <c r="D1649" i="22"/>
  <c r="D1645" i="22"/>
  <c r="D1641" i="22"/>
  <c r="D1637" i="22"/>
  <c r="D1633" i="22"/>
  <c r="D1629" i="22"/>
  <c r="D1625" i="22"/>
  <c r="D1624" i="22"/>
  <c r="D1617" i="22"/>
  <c r="D1616" i="22"/>
  <c r="D1621" i="22"/>
  <c r="D1620" i="22"/>
  <c r="D1587" i="22"/>
  <c r="D1586" i="22"/>
  <c r="D1579" i="22"/>
  <c r="D1578" i="22"/>
  <c r="D1611" i="22"/>
  <c r="D1607" i="22"/>
  <c r="D1603" i="22"/>
  <c r="D1599" i="22"/>
  <c r="D1595" i="22"/>
  <c r="D1591" i="22"/>
  <c r="D1590" i="22"/>
  <c r="D1583" i="22"/>
  <c r="D1582" i="22"/>
  <c r="D1572" i="22"/>
  <c r="D1573" i="22"/>
  <c r="D1534" i="22"/>
  <c r="D1535" i="22"/>
  <c r="D1497" i="22"/>
  <c r="D1496" i="22"/>
  <c r="D1459" i="22"/>
  <c r="D1421" i="22"/>
  <c r="D1359" i="22"/>
  <c r="D1355" i="22"/>
  <c r="D1351" i="22"/>
  <c r="D1350" i="22"/>
  <c r="D1382" i="22"/>
  <c r="D1378" i="22"/>
  <c r="D1374" i="22"/>
  <c r="D1370" i="22"/>
  <c r="D1366" i="22"/>
  <c r="D1344" i="22"/>
  <c r="D1291" i="22"/>
  <c r="D1290" i="22"/>
  <c r="D1283" i="22"/>
  <c r="D1282" i="22"/>
  <c r="D1275" i="22"/>
  <c r="D1274" i="22"/>
  <c r="D1306" i="22"/>
  <c r="D1305" i="22"/>
  <c r="D1302" i="22"/>
  <c r="D1301" i="22"/>
  <c r="D1298" i="22"/>
  <c r="D1297" i="22"/>
  <c r="D1237" i="22"/>
  <c r="D1236" i="22"/>
  <c r="D1268" i="22"/>
  <c r="D1267" i="22"/>
  <c r="D1264" i="22"/>
  <c r="D1263" i="22"/>
  <c r="D1260" i="22"/>
  <c r="D1259" i="22"/>
  <c r="D1256" i="22"/>
  <c r="D1255" i="22"/>
  <c r="D1252" i="22"/>
  <c r="D1251" i="22"/>
  <c r="D1248" i="22"/>
  <c r="D1247" i="22"/>
  <c r="D1244" i="22"/>
  <c r="D1243" i="22"/>
  <c r="D1241" i="22"/>
  <c r="D1240" i="22"/>
  <c r="D1231" i="22"/>
  <c r="D1230" i="22"/>
  <c r="D1193" i="22"/>
  <c r="D1189" i="22"/>
  <c r="D1185" i="22"/>
  <c r="D1181" i="22"/>
  <c r="D1177" i="22"/>
  <c r="D1173" i="22"/>
  <c r="D1169" i="22"/>
  <c r="D1165" i="22"/>
  <c r="D1161" i="22"/>
  <c r="D1160" i="22"/>
  <c r="D1155" i="22"/>
  <c r="D1078" i="22"/>
  <c r="D1079" i="22"/>
  <c r="D1041" i="22"/>
  <c r="D965" i="22"/>
  <c r="D961" i="22"/>
  <c r="D957" i="22"/>
  <c r="D953" i="22"/>
  <c r="D949" i="22"/>
  <c r="D945" i="22"/>
  <c r="D941" i="22"/>
  <c r="D940" i="22"/>
  <c r="D933" i="22"/>
  <c r="D932" i="22"/>
  <c r="D936" i="22"/>
  <c r="D889" i="22"/>
  <c r="D888" i="22"/>
  <c r="D819" i="22"/>
  <c r="D818" i="22"/>
  <c r="D850" i="22"/>
  <c r="D849" i="22"/>
  <c r="D846" i="22"/>
  <c r="D845" i="22"/>
  <c r="D842" i="22"/>
  <c r="D841" i="22"/>
  <c r="D838" i="22"/>
  <c r="D837" i="22"/>
  <c r="D834" i="22"/>
  <c r="D833" i="22"/>
  <c r="D830" i="22"/>
  <c r="D829" i="22"/>
  <c r="D826" i="22"/>
  <c r="D825" i="22"/>
  <c r="D808" i="22"/>
  <c r="D797" i="22"/>
  <c r="D796" i="22"/>
  <c r="D789" i="22"/>
  <c r="D788" i="22"/>
  <c r="D781" i="22"/>
  <c r="D780" i="22"/>
  <c r="D804" i="22"/>
  <c r="D803" i="22"/>
  <c r="D785" i="22"/>
  <c r="D784" i="22"/>
  <c r="D774" i="22"/>
  <c r="D775" i="22"/>
  <c r="D737" i="22"/>
  <c r="D736" i="22"/>
  <c r="D729" i="22"/>
  <c r="D728" i="22"/>
  <c r="D721" i="22"/>
  <c r="D720" i="22"/>
  <c r="D713" i="22"/>
  <c r="D712" i="22"/>
  <c r="D705" i="22"/>
  <c r="D704" i="22"/>
  <c r="D699" i="22"/>
  <c r="D698" i="22"/>
  <c r="D661" i="22"/>
  <c r="D660" i="22"/>
  <c r="D653" i="22"/>
  <c r="D652" i="22"/>
  <c r="D645" i="22"/>
  <c r="D644" i="22"/>
  <c r="D637" i="22"/>
  <c r="D636" i="22"/>
  <c r="D629" i="22"/>
  <c r="D628" i="22"/>
  <c r="D623" i="22"/>
  <c r="D622" i="22"/>
  <c r="D560" i="22"/>
  <c r="D553" i="22"/>
  <c r="D552" i="22"/>
  <c r="D584" i="22"/>
  <c r="D583" i="22"/>
  <c r="D580" i="22"/>
  <c r="D579" i="22"/>
  <c r="D576" i="22"/>
  <c r="D575" i="22"/>
  <c r="D572" i="22"/>
  <c r="D571" i="22"/>
  <c r="D568" i="22"/>
  <c r="D567" i="22"/>
  <c r="D557" i="22"/>
  <c r="D556" i="22"/>
  <c r="D546" i="22"/>
  <c r="D545" i="22"/>
  <c r="D542" i="22"/>
  <c r="D541" i="22"/>
  <c r="D538" i="22"/>
  <c r="D537" i="22"/>
  <c r="D534" i="22"/>
  <c r="D533" i="22"/>
  <c r="D523" i="22"/>
  <c r="D522" i="22"/>
  <c r="D515" i="22"/>
  <c r="D514" i="22"/>
  <c r="D547" i="22"/>
  <c r="D543" i="22"/>
  <c r="D539" i="22"/>
  <c r="D535" i="22"/>
  <c r="D530" i="22"/>
  <c r="D529" i="22"/>
  <c r="D526" i="22"/>
  <c r="D519" i="22"/>
  <c r="D518" i="22"/>
  <c r="D508" i="22"/>
  <c r="D439" i="22"/>
  <c r="D438" i="22"/>
  <c r="D462" i="22"/>
  <c r="D447" i="22"/>
  <c r="D446" i="22"/>
  <c r="D445" i="22"/>
  <c r="D401" i="22"/>
  <c r="D400" i="22"/>
  <c r="D433" i="22"/>
  <c r="D429" i="22"/>
  <c r="D425" i="22"/>
  <c r="D421" i="22"/>
  <c r="D417" i="22"/>
  <c r="D413" i="22"/>
  <c r="D409" i="22"/>
  <c r="D405" i="22"/>
  <c r="D404" i="22"/>
  <c r="D356" i="22"/>
  <c r="D319" i="22"/>
  <c r="D318" i="22"/>
  <c r="D311" i="22"/>
  <c r="D310" i="22"/>
  <c r="D303" i="22"/>
  <c r="D302" i="22"/>
  <c r="D295" i="22"/>
  <c r="D294" i="22"/>
  <c r="D287" i="22"/>
  <c r="D286" i="22"/>
  <c r="D315" i="22"/>
  <c r="D314" i="22"/>
  <c r="D307" i="22"/>
  <c r="D306" i="22"/>
  <c r="D299" i="22"/>
  <c r="D298" i="22"/>
  <c r="D291" i="22"/>
  <c r="D290" i="22"/>
  <c r="D280" i="22"/>
  <c r="D279" i="22"/>
  <c r="D276" i="22"/>
  <c r="D275" i="22"/>
  <c r="D272" i="22"/>
  <c r="D271" i="22"/>
  <c r="D268" i="22"/>
  <c r="D267" i="22"/>
  <c r="D264" i="22"/>
  <c r="D263" i="22"/>
  <c r="D260" i="22"/>
  <c r="D259" i="22"/>
  <c r="D256" i="22"/>
  <c r="D249" i="22"/>
  <c r="D248" i="22"/>
  <c r="D257" i="22"/>
  <c r="D243" i="22"/>
  <c r="D242" i="22"/>
  <c r="D181" i="22"/>
  <c r="D180" i="22"/>
  <c r="D173" i="22"/>
  <c r="D172" i="22"/>
  <c r="D205" i="22"/>
  <c r="D201" i="22"/>
  <c r="D197" i="22"/>
  <c r="D193" i="22"/>
  <c r="D189" i="22"/>
  <c r="D185" i="22"/>
  <c r="D184" i="22"/>
  <c r="D177" i="22"/>
  <c r="D176" i="22"/>
  <c r="D159" i="22"/>
  <c r="D158" i="22"/>
  <c r="D151" i="22"/>
  <c r="D150" i="22"/>
  <c r="D143" i="22"/>
  <c r="D142" i="22"/>
  <c r="D135" i="22"/>
  <c r="D134" i="22"/>
  <c r="D166" i="22"/>
  <c r="D165" i="22"/>
  <c r="D128" i="22"/>
  <c r="D127" i="22"/>
  <c r="D117" i="22"/>
  <c r="D116" i="22"/>
  <c r="D105" i="22"/>
  <c r="D104" i="22"/>
  <c r="D97" i="22"/>
  <c r="D96" i="22"/>
  <c r="D129" i="22"/>
  <c r="D124" i="22"/>
  <c r="D123" i="22"/>
  <c r="D112" i="22"/>
  <c r="D87" i="22"/>
  <c r="D86" i="22"/>
  <c r="D79" i="22"/>
  <c r="D78" i="22"/>
  <c r="D59" i="22"/>
  <c r="D58" i="22"/>
  <c r="D74" i="22"/>
  <c r="D73" i="22"/>
  <c r="D70" i="22"/>
  <c r="D69" i="22"/>
  <c r="D66" i="22"/>
  <c r="D65" i="22"/>
  <c r="D63" i="22"/>
  <c r="D62" i="22"/>
  <c r="D52" i="22"/>
  <c r="D57" i="22"/>
  <c r="D95" i="22"/>
  <c r="D133" i="22"/>
  <c r="D931" i="22"/>
  <c r="D247" i="22"/>
  <c r="D1615" i="22"/>
  <c r="D171" i="22"/>
  <c r="D627" i="22"/>
  <c r="D703" i="22"/>
  <c r="D1235" i="22"/>
  <c r="D1273" i="22"/>
  <c r="D171" i="15"/>
  <c r="E171" i="15" s="1"/>
  <c r="D247" i="15"/>
  <c r="D95" i="15"/>
  <c r="D57" i="15"/>
  <c r="D285" i="15"/>
  <c r="D323" i="15"/>
  <c r="D729" i="14"/>
  <c r="D728" i="14"/>
  <c r="D721" i="14"/>
  <c r="D720" i="14"/>
  <c r="D713" i="14"/>
  <c r="D712" i="14"/>
  <c r="D705" i="14"/>
  <c r="D704" i="14"/>
  <c r="D737" i="14"/>
  <c r="D732" i="14"/>
  <c r="D725" i="14"/>
  <c r="D724" i="14"/>
  <c r="D717" i="14"/>
  <c r="D716" i="14"/>
  <c r="D709" i="14"/>
  <c r="D708" i="14"/>
  <c r="D667" i="14"/>
  <c r="D666" i="14"/>
  <c r="D699" i="14"/>
  <c r="D698" i="14"/>
  <c r="D697" i="14"/>
  <c r="D694" i="14"/>
  <c r="D693" i="14"/>
  <c r="D690" i="14"/>
  <c r="D689" i="14"/>
  <c r="D671" i="14"/>
  <c r="D670" i="14"/>
  <c r="D660" i="14"/>
  <c r="D652" i="14"/>
  <c r="D639" i="14"/>
  <c r="D659" i="14"/>
  <c r="D656" i="14"/>
  <c r="D655" i="14"/>
  <c r="D651" i="14"/>
  <c r="D648" i="14"/>
  <c r="D647" i="14"/>
  <c r="D644" i="14"/>
  <c r="D643" i="14"/>
  <c r="D640" i="14"/>
  <c r="D629" i="14"/>
  <c r="D628" i="14"/>
  <c r="D661" i="14"/>
  <c r="D657" i="14"/>
  <c r="D653" i="14"/>
  <c r="D649" i="14"/>
  <c r="D645" i="14"/>
  <c r="D641" i="14"/>
  <c r="D636" i="14"/>
  <c r="D635" i="14"/>
  <c r="D623" i="14"/>
  <c r="D622" i="14"/>
  <c r="D615" i="14"/>
  <c r="D614" i="14"/>
  <c r="D607" i="14"/>
  <c r="D606" i="14"/>
  <c r="D599" i="14"/>
  <c r="D598" i="14"/>
  <c r="D591" i="14"/>
  <c r="D590" i="14"/>
  <c r="D595" i="14"/>
  <c r="D594" i="14"/>
  <c r="D585" i="14"/>
  <c r="D581" i="14"/>
  <c r="D577" i="14"/>
  <c r="D573" i="14"/>
  <c r="D569" i="14"/>
  <c r="D565" i="14"/>
  <c r="D561" i="14"/>
  <c r="D560" i="14"/>
  <c r="D553" i="14"/>
  <c r="D552" i="14"/>
  <c r="D557" i="14"/>
  <c r="D556" i="14"/>
  <c r="D547" i="14"/>
  <c r="D546" i="14"/>
  <c r="D539" i="14"/>
  <c r="D538" i="14"/>
  <c r="D531" i="14"/>
  <c r="D530" i="14"/>
  <c r="D523" i="14"/>
  <c r="D522" i="14"/>
  <c r="D515" i="14"/>
  <c r="D514" i="14"/>
  <c r="D485" i="14"/>
  <c r="D484" i="14"/>
  <c r="D477" i="14"/>
  <c r="D476" i="14"/>
  <c r="D508" i="14"/>
  <c r="D507" i="14"/>
  <c r="D504" i="14"/>
  <c r="D503" i="14"/>
  <c r="D500" i="14"/>
  <c r="D499" i="14"/>
  <c r="D496" i="14"/>
  <c r="D495" i="14"/>
  <c r="D492" i="14"/>
  <c r="D491" i="14"/>
  <c r="D488" i="14"/>
  <c r="D481" i="14"/>
  <c r="D480" i="14"/>
  <c r="D471" i="14"/>
  <c r="D470" i="14"/>
  <c r="D463" i="14"/>
  <c r="D462" i="14"/>
  <c r="D455" i="14"/>
  <c r="D454" i="14"/>
  <c r="D447" i="14"/>
  <c r="D446" i="14"/>
  <c r="D439" i="14"/>
  <c r="D438" i="14"/>
  <c r="D467" i="14"/>
  <c r="D466" i="14"/>
  <c r="D459" i="14"/>
  <c r="D458" i="14"/>
  <c r="D451" i="14"/>
  <c r="D450" i="14"/>
  <c r="D443" i="14"/>
  <c r="D442" i="14"/>
  <c r="D433" i="14"/>
  <c r="D429" i="14"/>
  <c r="D425" i="14"/>
  <c r="D421" i="14"/>
  <c r="D417" i="14"/>
  <c r="D412" i="14"/>
  <c r="D411" i="14"/>
  <c r="D401" i="14"/>
  <c r="D400" i="14"/>
  <c r="D409" i="14"/>
  <c r="D408" i="14"/>
  <c r="D407" i="14"/>
  <c r="D405" i="14"/>
  <c r="D404" i="14"/>
  <c r="D395" i="14"/>
  <c r="D390" i="14"/>
  <c r="D389" i="14"/>
  <c r="D375" i="14"/>
  <c r="D374" i="14"/>
  <c r="D373" i="14"/>
  <c r="D370" i="14"/>
  <c r="D363" i="14"/>
  <c r="D362" i="14"/>
  <c r="D387" i="14"/>
  <c r="D386" i="14"/>
  <c r="D371" i="14"/>
  <c r="D378" i="14"/>
  <c r="D325" i="14"/>
  <c r="D324" i="14"/>
  <c r="D356" i="14"/>
  <c r="D355" i="14"/>
  <c r="D352" i="14"/>
  <c r="D351" i="14"/>
  <c r="D348" i="14"/>
  <c r="D347" i="14"/>
  <c r="D344" i="14"/>
  <c r="D343" i="14"/>
  <c r="D340" i="14"/>
  <c r="D339" i="14"/>
  <c r="D336" i="14"/>
  <c r="D335" i="14"/>
  <c r="D332" i="14"/>
  <c r="D331" i="14"/>
  <c r="D328" i="14"/>
  <c r="D287" i="14"/>
  <c r="D286" i="14"/>
  <c r="D318" i="14"/>
  <c r="D317" i="14"/>
  <c r="D314" i="14"/>
  <c r="D313" i="14"/>
  <c r="D310" i="14"/>
  <c r="D309" i="14"/>
  <c r="D306" i="14"/>
  <c r="D305" i="14"/>
  <c r="D302" i="14"/>
  <c r="D301" i="14"/>
  <c r="D298" i="14"/>
  <c r="D297" i="14"/>
  <c r="D294" i="14"/>
  <c r="D281" i="14"/>
  <c r="D280" i="14"/>
  <c r="D273" i="14"/>
  <c r="D272" i="14"/>
  <c r="D265" i="14"/>
  <c r="D264" i="14"/>
  <c r="D257" i="14"/>
  <c r="D256" i="14"/>
  <c r="D249" i="14"/>
  <c r="D248" i="14"/>
  <c r="D277" i="14"/>
  <c r="D276" i="14"/>
  <c r="D269" i="14"/>
  <c r="D268" i="14"/>
  <c r="D261" i="14"/>
  <c r="D260" i="14"/>
  <c r="D253" i="14"/>
  <c r="D252" i="14"/>
  <c r="D242" i="14"/>
  <c r="D241" i="14"/>
  <c r="D238" i="14"/>
  <c r="D237" i="14"/>
  <c r="D227" i="14"/>
  <c r="D226" i="14"/>
  <c r="D219" i="14"/>
  <c r="D218" i="14"/>
  <c r="D211" i="14"/>
  <c r="D210" i="14"/>
  <c r="D230" i="14"/>
  <c r="D223" i="14"/>
  <c r="D222" i="14"/>
  <c r="D215" i="14"/>
  <c r="D214" i="14"/>
  <c r="D173" i="14"/>
  <c r="D172" i="14"/>
  <c r="D205" i="14"/>
  <c r="D204" i="14"/>
  <c r="D197" i="14"/>
  <c r="D196" i="14"/>
  <c r="D189" i="14"/>
  <c r="D188" i="14"/>
  <c r="D181" i="14"/>
  <c r="D180" i="14"/>
  <c r="D166" i="14"/>
  <c r="D162" i="14"/>
  <c r="D158" i="14"/>
  <c r="D154" i="14"/>
  <c r="D150" i="14"/>
  <c r="D146" i="14"/>
  <c r="D142" i="14"/>
  <c r="D138" i="14"/>
  <c r="D134" i="14"/>
  <c r="D135" i="14"/>
  <c r="D129" i="14"/>
  <c r="D125" i="14"/>
  <c r="D121" i="14"/>
  <c r="D117" i="14"/>
  <c r="D113" i="14"/>
  <c r="D109" i="14"/>
  <c r="D104" i="14"/>
  <c r="D97" i="14"/>
  <c r="D96" i="14"/>
  <c r="D101" i="14"/>
  <c r="D100" i="14"/>
  <c r="D90" i="14"/>
  <c r="D89" i="14"/>
  <c r="D86" i="14"/>
  <c r="D85" i="14"/>
  <c r="D82" i="14"/>
  <c r="D81" i="14"/>
  <c r="D78" i="14"/>
  <c r="D77" i="14"/>
  <c r="D74" i="14"/>
  <c r="D73" i="14"/>
  <c r="D70" i="14"/>
  <c r="D69" i="14"/>
  <c r="D66" i="14"/>
  <c r="D65" i="14"/>
  <c r="D62" i="14"/>
  <c r="D61" i="14"/>
  <c r="D58" i="14"/>
  <c r="D29" i="14"/>
  <c r="D28" i="14"/>
  <c r="D21" i="14"/>
  <c r="D20" i="14"/>
  <c r="D52" i="14"/>
  <c r="D51" i="14"/>
  <c r="D48" i="14"/>
  <c r="D47" i="14"/>
  <c r="D44" i="14"/>
  <c r="D43" i="14"/>
  <c r="D40" i="14"/>
  <c r="D39" i="14"/>
  <c r="D36" i="14"/>
  <c r="D35" i="14"/>
  <c r="D32" i="14"/>
  <c r="D25" i="14"/>
  <c r="D24" i="14"/>
  <c r="D133" i="14"/>
  <c r="D19" i="13"/>
  <c r="D57" i="13"/>
  <c r="D95" i="13"/>
  <c r="DO31" i="19"/>
  <c r="DQ31" i="19" s="1"/>
  <c r="DO23" i="19"/>
  <c r="DQ23" i="19" s="1"/>
  <c r="DO15" i="19"/>
  <c r="DQ15" i="19" s="1"/>
  <c r="DO5" i="19"/>
  <c r="DQ5" i="19" s="1"/>
  <c r="DO29" i="19"/>
  <c r="DQ29" i="19" s="1"/>
  <c r="DO25" i="19"/>
  <c r="DQ25" i="19" s="1"/>
  <c r="DO21" i="19"/>
  <c r="DQ21" i="19" s="1"/>
  <c r="DO17" i="19"/>
  <c r="DQ17" i="19" s="1"/>
  <c r="DO9" i="19"/>
  <c r="DQ9" i="19" s="1"/>
  <c r="DO19" i="19"/>
  <c r="DQ19" i="19" s="1"/>
  <c r="DO13" i="19"/>
  <c r="DQ13" i="19" s="1"/>
  <c r="DO12" i="19"/>
  <c r="DQ12" i="19" s="1"/>
  <c r="DO7" i="19"/>
  <c r="DQ7" i="19" s="1"/>
  <c r="DO6" i="19"/>
  <c r="DQ6" i="19" s="1"/>
  <c r="DO32" i="19"/>
  <c r="DQ32" i="19" s="1"/>
  <c r="DO26" i="19"/>
  <c r="DQ26" i="19" s="1"/>
  <c r="DO34" i="19"/>
  <c r="DQ34" i="19" s="1"/>
  <c r="DO27" i="19"/>
  <c r="DQ27" i="19" s="1"/>
  <c r="DO20" i="19"/>
  <c r="DQ20" i="19" s="1"/>
  <c r="DO14" i="19"/>
  <c r="DQ14" i="19" s="1"/>
  <c r="DO8" i="19"/>
  <c r="DQ8" i="19" s="1"/>
  <c r="DO33" i="19"/>
  <c r="DQ33" i="19" s="1"/>
  <c r="DO35" i="19"/>
  <c r="DQ35" i="19" s="1"/>
  <c r="DO28" i="19"/>
  <c r="DQ28" i="19" s="1"/>
  <c r="DO22" i="19"/>
  <c r="DQ22" i="19" s="1"/>
  <c r="DO16" i="19"/>
  <c r="DQ16" i="19" s="1"/>
  <c r="DO10" i="19"/>
  <c r="DQ10" i="19" s="1"/>
  <c r="DO36" i="19"/>
  <c r="DQ36" i="19" s="1"/>
  <c r="DO30" i="19"/>
  <c r="DQ30" i="19" s="1"/>
  <c r="DO24" i="19"/>
  <c r="DQ24" i="19" s="1"/>
  <c r="DO18" i="19"/>
  <c r="DQ18" i="19" s="1"/>
  <c r="DO11" i="19"/>
  <c r="DQ11" i="19" s="1"/>
  <c r="DO4" i="19"/>
  <c r="DQ4" i="19" s="1"/>
  <c r="E1692" i="21"/>
  <c r="G4" i="19"/>
  <c r="H4" i="19"/>
  <c r="G5" i="19"/>
  <c r="H5" i="19"/>
  <c r="G6" i="19"/>
  <c r="H6" i="19"/>
  <c r="G7" i="19"/>
  <c r="H7" i="19"/>
  <c r="G8" i="19"/>
  <c r="H8" i="19"/>
  <c r="G9" i="19"/>
  <c r="H9" i="19"/>
  <c r="G10" i="19"/>
  <c r="H10" i="19"/>
  <c r="G11" i="19"/>
  <c r="H11" i="19"/>
  <c r="G12" i="19"/>
  <c r="H12" i="19"/>
  <c r="G13" i="19"/>
  <c r="H13" i="19"/>
  <c r="H3" i="19"/>
  <c r="G3" i="19"/>
  <c r="F13" i="19"/>
  <c r="F14" i="19"/>
  <c r="F15" i="19"/>
  <c r="F12" i="19"/>
  <c r="F8" i="19"/>
  <c r="F9" i="19"/>
  <c r="F10" i="19"/>
  <c r="F11" i="19"/>
  <c r="F7" i="19"/>
  <c r="F6" i="19"/>
  <c r="F3" i="19"/>
  <c r="F4" i="19"/>
  <c r="F5" i="19"/>
  <c r="F2" i="19"/>
  <c r="E172" i="15"/>
  <c r="E704" i="14"/>
  <c r="E703" i="14"/>
  <c r="E666" i="14" l="1"/>
  <c r="E709" i="14"/>
  <c r="E715" i="14"/>
  <c r="E721" i="14"/>
  <c r="E727" i="14"/>
  <c r="E733" i="14"/>
  <c r="E737" i="14"/>
  <c r="E177" i="15"/>
  <c r="E183" i="15"/>
  <c r="E189" i="15"/>
  <c r="E195" i="15"/>
  <c r="E201" i="15"/>
  <c r="E1696" i="21"/>
  <c r="E1704" i="21"/>
  <c r="E1710" i="21"/>
  <c r="E1720" i="21"/>
  <c r="E628" i="14"/>
  <c r="E668" i="14"/>
  <c r="E670" i="14"/>
  <c r="E672" i="14"/>
  <c r="E674" i="14"/>
  <c r="E676" i="14"/>
  <c r="E678" i="14"/>
  <c r="E680" i="14"/>
  <c r="E682" i="14"/>
  <c r="E684" i="14"/>
  <c r="E686" i="14"/>
  <c r="E688" i="14"/>
  <c r="E690" i="14"/>
  <c r="E692" i="14"/>
  <c r="E694" i="14"/>
  <c r="E696" i="14"/>
  <c r="E698" i="14"/>
  <c r="E138" i="15"/>
  <c r="E140" i="15"/>
  <c r="E142" i="15"/>
  <c r="E144" i="15"/>
  <c r="E146" i="15"/>
  <c r="E148" i="15"/>
  <c r="E150" i="15"/>
  <c r="E152" i="15"/>
  <c r="E154" i="15"/>
  <c r="E156" i="15"/>
  <c r="E158" i="15"/>
  <c r="E160" i="15"/>
  <c r="E162" i="15"/>
  <c r="E164" i="15"/>
  <c r="E166" i="15"/>
  <c r="E705" i="14"/>
  <c r="E711" i="14"/>
  <c r="E717" i="14"/>
  <c r="E723" i="14"/>
  <c r="E729" i="14"/>
  <c r="E735" i="14"/>
  <c r="E175" i="15"/>
  <c r="E181" i="15"/>
  <c r="E187" i="15"/>
  <c r="E193" i="15"/>
  <c r="E199" i="15"/>
  <c r="E205" i="15"/>
  <c r="E1698" i="21"/>
  <c r="E1702" i="21"/>
  <c r="E1706" i="21"/>
  <c r="E1712" i="21"/>
  <c r="E1716" i="21"/>
  <c r="E1724" i="21"/>
  <c r="E706" i="14"/>
  <c r="E710" i="14"/>
  <c r="E716" i="14"/>
  <c r="E724" i="14"/>
  <c r="E178" i="15"/>
  <c r="E182" i="15"/>
  <c r="E184" i="15"/>
  <c r="E190" i="15"/>
  <c r="E192" i="15"/>
  <c r="E196" i="15"/>
  <c r="E198" i="15"/>
  <c r="E200" i="15"/>
  <c r="E202" i="15"/>
  <c r="E1695" i="21"/>
  <c r="E1697" i="21"/>
  <c r="E1699" i="21"/>
  <c r="E1701" i="21"/>
  <c r="E1703" i="21"/>
  <c r="E1705" i="21"/>
  <c r="E1707" i="21"/>
  <c r="E1709" i="21"/>
  <c r="E1711" i="21"/>
  <c r="E1713" i="21"/>
  <c r="E1715" i="21"/>
  <c r="E1717" i="21"/>
  <c r="E1719" i="21"/>
  <c r="E1721" i="21"/>
  <c r="E1723" i="21"/>
  <c r="E1725" i="21"/>
  <c r="E707" i="14"/>
  <c r="E713" i="14"/>
  <c r="E719" i="14"/>
  <c r="E725" i="14"/>
  <c r="E731" i="14"/>
  <c r="E179" i="15"/>
  <c r="E185" i="15"/>
  <c r="E191" i="15"/>
  <c r="E197" i="15"/>
  <c r="E203" i="15"/>
  <c r="E1694" i="21"/>
  <c r="E1700" i="21"/>
  <c r="E1708" i="21"/>
  <c r="E1714" i="21"/>
  <c r="E1718" i="21"/>
  <c r="E1722" i="21"/>
  <c r="E708" i="14"/>
  <c r="E712" i="14"/>
  <c r="E714" i="14"/>
  <c r="E718" i="14"/>
  <c r="E720" i="14"/>
  <c r="E722" i="14"/>
  <c r="E726" i="14"/>
  <c r="E728" i="14"/>
  <c r="E730" i="14"/>
  <c r="E732" i="14"/>
  <c r="E734" i="14"/>
  <c r="E736" i="14"/>
  <c r="E176" i="15"/>
  <c r="E180" i="15"/>
  <c r="E186" i="15"/>
  <c r="E188" i="15"/>
  <c r="E194" i="15"/>
  <c r="E204" i="15"/>
  <c r="E140" i="14"/>
  <c r="E144" i="14"/>
  <c r="E148" i="14"/>
  <c r="E152" i="14"/>
  <c r="E156" i="14"/>
  <c r="E160" i="14"/>
  <c r="E162" i="14"/>
  <c r="E164" i="14"/>
  <c r="E213" i="14"/>
  <c r="E217" i="14"/>
  <c r="E221" i="14"/>
  <c r="E225" i="14"/>
  <c r="E229" i="14"/>
  <c r="E233" i="14"/>
  <c r="E241" i="14"/>
  <c r="E290" i="14"/>
  <c r="E292" i="14"/>
  <c r="E294" i="14"/>
  <c r="E296" i="14"/>
  <c r="E298" i="14"/>
  <c r="E302" i="14"/>
  <c r="E306" i="14"/>
  <c r="E310" i="14"/>
  <c r="E314" i="14"/>
  <c r="E318" i="14"/>
  <c r="E363" i="14"/>
  <c r="E367" i="14"/>
  <c r="E369" i="14"/>
  <c r="E371" i="14"/>
  <c r="E375" i="14"/>
  <c r="E377" i="14"/>
  <c r="E379" i="14"/>
  <c r="E383" i="14"/>
  <c r="E385" i="14"/>
  <c r="E387" i="14"/>
  <c r="E391" i="14"/>
  <c r="E393" i="14"/>
  <c r="E395" i="14"/>
  <c r="E400" i="14"/>
  <c r="E516" i="14"/>
  <c r="E518" i="14"/>
  <c r="E520" i="14"/>
  <c r="E524" i="14"/>
  <c r="E526" i="14"/>
  <c r="E528" i="14"/>
  <c r="E532" i="14"/>
  <c r="E536" i="14"/>
  <c r="E540" i="14"/>
  <c r="E542" i="14"/>
  <c r="E544" i="14"/>
  <c r="E665" i="14"/>
  <c r="E667" i="14"/>
  <c r="E669" i="14"/>
  <c r="E671" i="14"/>
  <c r="E673" i="14"/>
  <c r="E675" i="14"/>
  <c r="E677" i="14"/>
  <c r="E679" i="14"/>
  <c r="E681" i="14"/>
  <c r="E683" i="14"/>
  <c r="E685" i="14"/>
  <c r="E687" i="14"/>
  <c r="E689" i="14"/>
  <c r="E691" i="14"/>
  <c r="E693" i="14"/>
  <c r="E695" i="14"/>
  <c r="E697" i="14"/>
  <c r="E699" i="14"/>
  <c r="E133" i="15"/>
  <c r="E137" i="15"/>
  <c r="E139" i="15"/>
  <c r="E141" i="15"/>
  <c r="E143" i="15"/>
  <c r="E145" i="15"/>
  <c r="E147" i="15"/>
  <c r="E149" i="15"/>
  <c r="E151" i="15"/>
  <c r="E153" i="15"/>
  <c r="E155" i="15"/>
  <c r="E157" i="15"/>
  <c r="E159" i="15"/>
  <c r="E161" i="15"/>
  <c r="E163" i="15"/>
  <c r="E165" i="15"/>
  <c r="E167" i="15"/>
  <c r="E1691" i="21"/>
  <c r="E514" i="14"/>
  <c r="E630" i="14"/>
  <c r="E632" i="14"/>
  <c r="E634" i="14"/>
  <c r="E636" i="14"/>
  <c r="E638" i="14"/>
  <c r="E640" i="14"/>
  <c r="E642" i="14"/>
  <c r="E644" i="14"/>
  <c r="E646" i="14"/>
  <c r="E648" i="14"/>
  <c r="E650" i="14"/>
  <c r="E652" i="14"/>
  <c r="E654" i="14"/>
  <c r="E656" i="14"/>
  <c r="E658" i="14"/>
  <c r="E660" i="14"/>
  <c r="E629" i="14"/>
  <c r="E631" i="14"/>
  <c r="E633" i="14"/>
  <c r="E635" i="14"/>
  <c r="E637" i="14"/>
  <c r="E639" i="14"/>
  <c r="E641" i="14"/>
  <c r="E643" i="14"/>
  <c r="E645" i="14"/>
  <c r="E647" i="14"/>
  <c r="E649" i="14"/>
  <c r="E651" i="14"/>
  <c r="E653" i="14"/>
  <c r="E655" i="14"/>
  <c r="E657" i="14"/>
  <c r="E659" i="14"/>
  <c r="E661" i="14"/>
  <c r="E522" i="14"/>
  <c r="E530" i="14"/>
  <c r="E534" i="14"/>
  <c r="E538" i="14"/>
  <c r="E546" i="14"/>
  <c r="E515" i="14"/>
  <c r="E517" i="14"/>
  <c r="E519" i="14"/>
  <c r="E521" i="14"/>
  <c r="E523" i="14"/>
  <c r="E525" i="14"/>
  <c r="E527" i="14"/>
  <c r="E529" i="14"/>
  <c r="E531" i="14"/>
  <c r="E533" i="14"/>
  <c r="E535" i="14"/>
  <c r="E537" i="14"/>
  <c r="E539" i="14"/>
  <c r="E541" i="14"/>
  <c r="E543" i="14"/>
  <c r="E545" i="14"/>
  <c r="E547" i="14"/>
  <c r="E402" i="14"/>
  <c r="E404" i="14"/>
  <c r="E406" i="14"/>
  <c r="E408" i="14"/>
  <c r="E410" i="14"/>
  <c r="E412" i="14"/>
  <c r="E414" i="14"/>
  <c r="E416" i="14"/>
  <c r="E418" i="14"/>
  <c r="E420" i="14"/>
  <c r="E422" i="14"/>
  <c r="E424" i="14"/>
  <c r="E426" i="14"/>
  <c r="E428" i="14"/>
  <c r="E430" i="14"/>
  <c r="E432" i="14"/>
  <c r="E401" i="14"/>
  <c r="E403" i="14"/>
  <c r="E405" i="14"/>
  <c r="E407" i="14"/>
  <c r="E409" i="14"/>
  <c r="E411" i="14"/>
  <c r="E413" i="14"/>
  <c r="E415" i="14"/>
  <c r="E417" i="14"/>
  <c r="E419" i="14"/>
  <c r="E421" i="14"/>
  <c r="E423" i="14"/>
  <c r="E425" i="14"/>
  <c r="E427" i="14"/>
  <c r="E429" i="14"/>
  <c r="E431" i="14"/>
  <c r="E362" i="14"/>
  <c r="E300" i="14"/>
  <c r="E304" i="14"/>
  <c r="E308" i="14"/>
  <c r="E312" i="14"/>
  <c r="E316" i="14"/>
  <c r="E365" i="14"/>
  <c r="E373" i="14"/>
  <c r="E381" i="14"/>
  <c r="E389" i="14"/>
  <c r="E433" i="14"/>
  <c r="E324" i="14"/>
  <c r="E364" i="14"/>
  <c r="E366" i="14"/>
  <c r="E368" i="14"/>
  <c r="E370" i="14"/>
  <c r="E372" i="14"/>
  <c r="E374" i="14"/>
  <c r="E376" i="14"/>
  <c r="E378" i="14"/>
  <c r="E380" i="14"/>
  <c r="E382" i="14"/>
  <c r="E384" i="14"/>
  <c r="E386" i="14"/>
  <c r="E388" i="14"/>
  <c r="E390" i="14"/>
  <c r="E392" i="14"/>
  <c r="E394" i="14"/>
  <c r="E286" i="14"/>
  <c r="E326" i="14"/>
  <c r="E328" i="14"/>
  <c r="E330" i="14"/>
  <c r="E332" i="14"/>
  <c r="E334" i="14"/>
  <c r="E336" i="14"/>
  <c r="E338" i="14"/>
  <c r="E340" i="14"/>
  <c r="E342" i="14"/>
  <c r="E344" i="14"/>
  <c r="E346" i="14"/>
  <c r="E348" i="14"/>
  <c r="E350" i="14"/>
  <c r="E352" i="14"/>
  <c r="E354" i="14"/>
  <c r="E356" i="14"/>
  <c r="E325" i="14"/>
  <c r="E327" i="14"/>
  <c r="E329" i="14"/>
  <c r="E331" i="14"/>
  <c r="E333" i="14"/>
  <c r="E335" i="14"/>
  <c r="E337" i="14"/>
  <c r="E339" i="14"/>
  <c r="E341" i="14"/>
  <c r="E343" i="14"/>
  <c r="E345" i="14"/>
  <c r="E347" i="14"/>
  <c r="E349" i="14"/>
  <c r="E351" i="14"/>
  <c r="E353" i="14"/>
  <c r="E355" i="14"/>
  <c r="E357" i="14"/>
  <c r="E287" i="14"/>
  <c r="E289" i="14"/>
  <c r="E291" i="14"/>
  <c r="E293" i="14"/>
  <c r="E295" i="14"/>
  <c r="E297" i="14"/>
  <c r="E299" i="14"/>
  <c r="E301" i="14"/>
  <c r="E303" i="14"/>
  <c r="E305" i="14"/>
  <c r="E307" i="14"/>
  <c r="E309" i="14"/>
  <c r="E311" i="14"/>
  <c r="E313" i="14"/>
  <c r="E315" i="14"/>
  <c r="E317" i="14"/>
  <c r="E319" i="14"/>
  <c r="E210" i="14"/>
  <c r="E250" i="14"/>
  <c r="E252" i="14"/>
  <c r="E254" i="14"/>
  <c r="E256" i="14"/>
  <c r="E258" i="14"/>
  <c r="E260" i="14"/>
  <c r="E262" i="14"/>
  <c r="E264" i="14"/>
  <c r="E266" i="14"/>
  <c r="E268" i="14"/>
  <c r="E270" i="14"/>
  <c r="E272" i="14"/>
  <c r="E274" i="14"/>
  <c r="E276" i="14"/>
  <c r="E278" i="14"/>
  <c r="E280" i="14"/>
  <c r="E249" i="14"/>
  <c r="E251" i="14"/>
  <c r="E253" i="14"/>
  <c r="E255" i="14"/>
  <c r="E257" i="14"/>
  <c r="E259" i="14"/>
  <c r="E261" i="14"/>
  <c r="E263" i="14"/>
  <c r="E265" i="14"/>
  <c r="E267" i="14"/>
  <c r="E269" i="14"/>
  <c r="E271" i="14"/>
  <c r="E273" i="14"/>
  <c r="E275" i="14"/>
  <c r="E277" i="14"/>
  <c r="E279" i="14"/>
  <c r="E281" i="14"/>
  <c r="E172" i="14"/>
  <c r="E212" i="14"/>
  <c r="E214" i="14"/>
  <c r="E216" i="14"/>
  <c r="E218" i="14"/>
  <c r="E220" i="14"/>
  <c r="E222" i="14"/>
  <c r="E224" i="14"/>
  <c r="E226" i="14"/>
  <c r="E228" i="14"/>
  <c r="E230" i="14"/>
  <c r="E232" i="14"/>
  <c r="E234" i="14"/>
  <c r="E236" i="14"/>
  <c r="E238" i="14"/>
  <c r="E240" i="14"/>
  <c r="E242" i="14"/>
  <c r="E215" i="14"/>
  <c r="E219" i="14"/>
  <c r="E223" i="14"/>
  <c r="E227" i="14"/>
  <c r="E231" i="14"/>
  <c r="E235" i="14"/>
  <c r="E237" i="14"/>
  <c r="E239" i="14"/>
  <c r="E243" i="14"/>
  <c r="E174" i="14"/>
  <c r="E176" i="14"/>
  <c r="E178" i="14"/>
  <c r="E180" i="14"/>
  <c r="E182" i="14"/>
  <c r="E184" i="14"/>
  <c r="E186" i="14"/>
  <c r="E188" i="14"/>
  <c r="E190" i="14"/>
  <c r="E192" i="14"/>
  <c r="E194" i="14"/>
  <c r="E196" i="14"/>
  <c r="E198" i="14"/>
  <c r="E200" i="14"/>
  <c r="E202" i="14"/>
  <c r="E204" i="14"/>
  <c r="E173" i="14"/>
  <c r="E175" i="14"/>
  <c r="E177" i="14"/>
  <c r="E179" i="14"/>
  <c r="E181" i="14"/>
  <c r="E183" i="14"/>
  <c r="E185" i="14"/>
  <c r="E187" i="14"/>
  <c r="E189" i="14"/>
  <c r="E191" i="14"/>
  <c r="E193" i="14"/>
  <c r="E195" i="14"/>
  <c r="E197" i="14"/>
  <c r="E199" i="14"/>
  <c r="E201" i="14"/>
  <c r="E203" i="14"/>
  <c r="E205" i="14"/>
  <c r="E134" i="14"/>
  <c r="E135" i="14"/>
  <c r="E137" i="14"/>
  <c r="E139" i="14"/>
  <c r="E141" i="14"/>
  <c r="E143" i="14"/>
  <c r="E145" i="14"/>
  <c r="E147" i="14"/>
  <c r="E149" i="14"/>
  <c r="E151" i="14"/>
  <c r="E153" i="14"/>
  <c r="E155" i="14"/>
  <c r="E157" i="14"/>
  <c r="E159" i="14"/>
  <c r="E161" i="14"/>
  <c r="E163" i="14"/>
  <c r="E165" i="14"/>
  <c r="E167" i="14"/>
  <c r="E96" i="14"/>
  <c r="E138" i="14"/>
  <c r="E142" i="14"/>
  <c r="E146" i="14"/>
  <c r="E150" i="14"/>
  <c r="E154" i="14"/>
  <c r="E158" i="14"/>
  <c r="E166" i="14"/>
  <c r="E98" i="14"/>
  <c r="E100" i="14"/>
  <c r="E102" i="14"/>
  <c r="E104" i="14"/>
  <c r="E106" i="14"/>
  <c r="E108" i="14"/>
  <c r="E110" i="14"/>
  <c r="E112" i="14"/>
  <c r="E114" i="14"/>
  <c r="E116" i="14"/>
  <c r="E118" i="14"/>
  <c r="E120" i="14"/>
  <c r="E122" i="14"/>
  <c r="E124" i="14"/>
  <c r="E126" i="14"/>
  <c r="E128" i="14"/>
  <c r="E97" i="14"/>
  <c r="E99" i="14"/>
  <c r="E101" i="14"/>
  <c r="E103" i="14"/>
  <c r="E105" i="14"/>
  <c r="E107" i="14"/>
  <c r="E109" i="14"/>
  <c r="E111" i="14"/>
  <c r="E113" i="14"/>
  <c r="E115" i="14"/>
  <c r="E117" i="14"/>
  <c r="E119" i="14"/>
  <c r="E121" i="14"/>
  <c r="E123" i="14"/>
  <c r="E125" i="14"/>
  <c r="E127" i="14"/>
  <c r="E129" i="14"/>
  <c r="E1693" i="21" l="1"/>
  <c r="E136" i="14"/>
  <c r="E174" i="15"/>
  <c r="E288" i="14"/>
  <c r="E136" i="15"/>
  <c r="E211" i="14"/>
  <c r="E135" i="15"/>
  <c r="E173" i="15"/>
  <c r="E248" i="14"/>
  <c r="E134" i="15"/>
  <c r="E627" i="14"/>
  <c r="E513" i="14"/>
  <c r="E399" i="14"/>
  <c r="E361" i="14"/>
  <c r="E323" i="14"/>
  <c r="E285" i="14"/>
  <c r="E247" i="14"/>
  <c r="E209" i="14"/>
  <c r="E171" i="14"/>
  <c r="E133" i="14"/>
  <c r="E95" i="14"/>
  <c r="D95" i="9" a="1"/>
  <c r="D95" i="9" s="1"/>
  <c r="DS37" i="19" s="1"/>
  <c r="C95" i="9" a="1"/>
  <c r="C95" i="9" s="1"/>
  <c r="DP37" i="19" s="1"/>
  <c r="B95" i="9" a="1"/>
  <c r="B95" i="9" s="1"/>
  <c r="AW95" i="9" l="1" a="1"/>
  <c r="AW95" i="9" s="1"/>
  <c r="FN37" i="19" s="1"/>
  <c r="AS95" i="9" a="1"/>
  <c r="AS95" i="9" s="1"/>
  <c r="FJ37" i="19" s="1"/>
  <c r="AO95" i="9" a="1"/>
  <c r="AO95" i="9" s="1"/>
  <c r="FF37" i="19" s="1"/>
  <c r="AK95" i="9" a="1"/>
  <c r="AK95" i="9" s="1"/>
  <c r="FB37" i="19" s="1"/>
  <c r="AG95" i="9" a="1"/>
  <c r="AG95" i="9" s="1"/>
  <c r="EX37" i="19" s="1"/>
  <c r="AC95" i="9" a="1"/>
  <c r="AC95" i="9" s="1"/>
  <c r="ET37" i="19" s="1"/>
  <c r="Y95" i="9" a="1"/>
  <c r="Y95" i="9" s="1"/>
  <c r="EP37" i="19" s="1"/>
  <c r="U95" i="9" a="1"/>
  <c r="U95" i="9" s="1"/>
  <c r="EL37" i="19" s="1"/>
  <c r="Q95" i="9" a="1"/>
  <c r="Q95" i="9" s="1"/>
  <c r="EH37" i="19" s="1"/>
  <c r="M95" i="9" a="1"/>
  <c r="M95" i="9" s="1"/>
  <c r="ED37" i="19" s="1"/>
  <c r="I95" i="9" a="1"/>
  <c r="I95" i="9" s="1"/>
  <c r="DZ37" i="19" s="1"/>
  <c r="E95" i="9" a="1"/>
  <c r="E95" i="9" s="1"/>
  <c r="AV95" i="9" a="1"/>
  <c r="AV95" i="9" s="1"/>
  <c r="FM37" i="19" s="1"/>
  <c r="AU95" i="9" a="1"/>
  <c r="AU95" i="9" s="1"/>
  <c r="FL37" i="19" s="1"/>
  <c r="AQ95" i="9" a="1"/>
  <c r="AQ95" i="9" s="1"/>
  <c r="FH37" i="19" s="1"/>
  <c r="AM95" i="9" a="1"/>
  <c r="AM95" i="9" s="1"/>
  <c r="FD37" i="19" s="1"/>
  <c r="AI95" i="9" a="1"/>
  <c r="AI95" i="9" s="1"/>
  <c r="EZ37" i="19" s="1"/>
  <c r="AE95" i="9" a="1"/>
  <c r="AE95" i="9" s="1"/>
  <c r="EV37" i="19" s="1"/>
  <c r="AA95" i="9" a="1"/>
  <c r="AA95" i="9" s="1"/>
  <c r="ER37" i="19" s="1"/>
  <c r="W95" i="9" a="1"/>
  <c r="W95" i="9" s="1"/>
  <c r="EN37" i="19" s="1"/>
  <c r="S95" i="9" a="1"/>
  <c r="S95" i="9" s="1"/>
  <c r="EJ37" i="19" s="1"/>
  <c r="O95" i="9" a="1"/>
  <c r="O95" i="9" s="1"/>
  <c r="EF37" i="19" s="1"/>
  <c r="K95" i="9" a="1"/>
  <c r="K95" i="9" s="1"/>
  <c r="EB37" i="19" s="1"/>
  <c r="G95" i="9" a="1"/>
  <c r="G95" i="9" s="1"/>
  <c r="DX37" i="19" s="1"/>
  <c r="AT95" i="9" a="1"/>
  <c r="AT95" i="9" s="1"/>
  <c r="FK37" i="19" s="1"/>
  <c r="AP95" i="9" a="1"/>
  <c r="AP95" i="9" s="1"/>
  <c r="FG37" i="19" s="1"/>
  <c r="AL95" i="9" a="1"/>
  <c r="AL95" i="9" s="1"/>
  <c r="FC37" i="19" s="1"/>
  <c r="AH95" i="9" a="1"/>
  <c r="AH95" i="9" s="1"/>
  <c r="EY37" i="19" s="1"/>
  <c r="AD95" i="9" a="1"/>
  <c r="AD95" i="9" s="1"/>
  <c r="EU37" i="19" s="1"/>
  <c r="Z95" i="9" a="1"/>
  <c r="Z95" i="9" s="1"/>
  <c r="EQ37" i="19" s="1"/>
  <c r="V95" i="9" a="1"/>
  <c r="V95" i="9" s="1"/>
  <c r="EM37" i="19" s="1"/>
  <c r="R95" i="9" a="1"/>
  <c r="R95" i="9" s="1"/>
  <c r="EI37" i="19" s="1"/>
  <c r="N95" i="9" a="1"/>
  <c r="N95" i="9" s="1"/>
  <c r="EE37" i="19" s="1"/>
  <c r="J95" i="9" a="1"/>
  <c r="J95" i="9" s="1"/>
  <c r="EA37" i="19" s="1"/>
  <c r="F95" i="9" a="1"/>
  <c r="F95" i="9" s="1"/>
  <c r="DW37" i="19" s="1"/>
  <c r="AR95" i="9" a="1"/>
  <c r="AR95" i="9" s="1"/>
  <c r="FI37" i="19" s="1"/>
  <c r="AB95" i="9" a="1"/>
  <c r="AB95" i="9" s="1"/>
  <c r="ES37" i="19" s="1"/>
  <c r="L95" i="9" a="1"/>
  <c r="L95" i="9" s="1"/>
  <c r="EC37" i="19" s="1"/>
  <c r="AN95" i="9" a="1"/>
  <c r="AN95" i="9" s="1"/>
  <c r="FE37" i="19" s="1"/>
  <c r="X95" i="9" a="1"/>
  <c r="X95" i="9" s="1"/>
  <c r="EO37" i="19" s="1"/>
  <c r="H95" i="9" a="1"/>
  <c r="H95" i="9" s="1"/>
  <c r="DY37" i="19" s="1"/>
  <c r="AJ95" i="9" a="1"/>
  <c r="AJ95" i="9" s="1"/>
  <c r="FA37" i="19" s="1"/>
  <c r="AF95" i="9" a="1"/>
  <c r="AF95" i="9" s="1"/>
  <c r="EW37" i="19" s="1"/>
  <c r="T95" i="9" a="1"/>
  <c r="T95" i="9" s="1"/>
  <c r="EK37" i="19" s="1"/>
  <c r="P95" i="9" a="1"/>
  <c r="P95" i="9" s="1"/>
  <c r="EG37" i="19" s="1"/>
  <c r="DO37" i="19"/>
  <c r="DQ37" i="19" s="1"/>
  <c r="DO3" i="19"/>
  <c r="DQ3" i="19" s="1"/>
  <c r="CS37" i="19"/>
  <c r="DA37" i="19"/>
  <c r="CS33" i="19"/>
  <c r="DA33" i="19"/>
  <c r="CS29" i="19"/>
  <c r="DA29" i="19"/>
  <c r="CS25" i="19"/>
  <c r="DA25" i="19"/>
  <c r="CS21" i="19"/>
  <c r="DA21" i="19"/>
  <c r="CS17" i="19"/>
  <c r="DA17" i="19"/>
  <c r="CS13" i="19"/>
  <c r="DA13" i="19"/>
  <c r="CS9" i="19"/>
  <c r="DA9" i="19"/>
  <c r="CS36" i="19"/>
  <c r="DA36" i="19"/>
  <c r="CS32" i="19"/>
  <c r="DA32" i="19"/>
  <c r="CS28" i="19"/>
  <c r="DA28" i="19"/>
  <c r="CS24" i="19"/>
  <c r="DA24" i="19"/>
  <c r="CS20" i="19"/>
  <c r="DA20" i="19"/>
  <c r="CS16" i="19"/>
  <c r="DA16" i="19"/>
  <c r="CS12" i="19"/>
  <c r="DA12" i="19"/>
  <c r="CS8" i="19"/>
  <c r="DA8" i="19"/>
  <c r="CS35" i="19"/>
  <c r="DA35" i="19"/>
  <c r="CS31" i="19"/>
  <c r="DA31" i="19"/>
  <c r="CS27" i="19"/>
  <c r="DA27" i="19"/>
  <c r="CS23" i="19"/>
  <c r="DA23" i="19"/>
  <c r="CS19" i="19"/>
  <c r="DA19" i="19"/>
  <c r="CS15" i="19"/>
  <c r="DA15" i="19"/>
  <c r="CS11" i="19"/>
  <c r="DA11" i="19"/>
  <c r="CS7" i="19"/>
  <c r="DA7" i="19"/>
  <c r="CS34" i="19"/>
  <c r="DA34" i="19"/>
  <c r="CS30" i="19"/>
  <c r="DA30" i="19"/>
  <c r="CS26" i="19"/>
  <c r="DA26" i="19"/>
  <c r="CS22" i="19"/>
  <c r="DA22" i="19"/>
  <c r="CS18" i="19"/>
  <c r="DA18" i="19"/>
  <c r="CS14" i="19"/>
  <c r="DA14" i="19"/>
  <c r="CS10" i="19"/>
  <c r="DA10" i="19"/>
  <c r="CQ37" i="19"/>
  <c r="CT37" i="19"/>
  <c r="CQ33" i="19"/>
  <c r="CT33" i="19"/>
  <c r="CQ29" i="19"/>
  <c r="CT29" i="19"/>
  <c r="CQ25" i="19"/>
  <c r="CT25" i="19"/>
  <c r="CQ21" i="19"/>
  <c r="CT21" i="19"/>
  <c r="CQ17" i="19"/>
  <c r="CT17" i="19"/>
  <c r="CQ13" i="19"/>
  <c r="CT13" i="19"/>
  <c r="CQ9" i="19"/>
  <c r="CT9" i="19"/>
  <c r="CQ36" i="19"/>
  <c r="CT36" i="19"/>
  <c r="CQ32" i="19"/>
  <c r="CT32" i="19"/>
  <c r="CQ28" i="19"/>
  <c r="CT28" i="19"/>
  <c r="CQ24" i="19"/>
  <c r="CT24" i="19"/>
  <c r="CQ20" i="19"/>
  <c r="CT20" i="19"/>
  <c r="CQ16" i="19"/>
  <c r="CT16" i="19"/>
  <c r="CQ12" i="19"/>
  <c r="CT12" i="19"/>
  <c r="CQ8" i="19"/>
  <c r="CT8" i="19"/>
  <c r="CQ35" i="19"/>
  <c r="CT35" i="19"/>
  <c r="CQ31" i="19"/>
  <c r="CT31" i="19"/>
  <c r="CQ27" i="19"/>
  <c r="CT27" i="19"/>
  <c r="CQ23" i="19"/>
  <c r="CT23" i="19"/>
  <c r="CQ19" i="19"/>
  <c r="CT19" i="19"/>
  <c r="CQ15" i="19"/>
  <c r="CT15" i="19"/>
  <c r="CQ11" i="19"/>
  <c r="CT11" i="19"/>
  <c r="CQ7" i="19"/>
  <c r="CT7" i="19"/>
  <c r="CQ34" i="19"/>
  <c r="CT34" i="19"/>
  <c r="CQ30" i="19"/>
  <c r="CT30" i="19"/>
  <c r="CQ26" i="19"/>
  <c r="CT26" i="19"/>
  <c r="CQ22" i="19"/>
  <c r="CT22" i="19"/>
  <c r="CQ18" i="19"/>
  <c r="CT18" i="19"/>
  <c r="CQ14" i="19"/>
  <c r="CT14" i="19"/>
  <c r="CQ10" i="19"/>
  <c r="CT10" i="19"/>
  <c r="CE37" i="19"/>
  <c r="CI37" i="19"/>
  <c r="CE33" i="19"/>
  <c r="CI33" i="19"/>
  <c r="CE29" i="19"/>
  <c r="CI29" i="19"/>
  <c r="CE25" i="19"/>
  <c r="CI25" i="19"/>
  <c r="CE21" i="19"/>
  <c r="CI21" i="19"/>
  <c r="CE17" i="19"/>
  <c r="CI17" i="19"/>
  <c r="CE13" i="19"/>
  <c r="CI13" i="19"/>
  <c r="CE9" i="19"/>
  <c r="CI9" i="19"/>
  <c r="CE36" i="19"/>
  <c r="CI36" i="19"/>
  <c r="CE32" i="19"/>
  <c r="CI32" i="19"/>
  <c r="CE28" i="19"/>
  <c r="CI28" i="19"/>
  <c r="CE24" i="19"/>
  <c r="CI24" i="19"/>
  <c r="CE20" i="19"/>
  <c r="CI20" i="19"/>
  <c r="CE16" i="19"/>
  <c r="CI16" i="19"/>
  <c r="CE12" i="19"/>
  <c r="CI12" i="19"/>
  <c r="CE8" i="19"/>
  <c r="CI8" i="19"/>
  <c r="CE35" i="19"/>
  <c r="CI35" i="19"/>
  <c r="CE31" i="19"/>
  <c r="CI31" i="19"/>
  <c r="CE27" i="19"/>
  <c r="CI27" i="19"/>
  <c r="CE23" i="19"/>
  <c r="CI23" i="19"/>
  <c r="CE19" i="19"/>
  <c r="CI19" i="19"/>
  <c r="CE15" i="19"/>
  <c r="CI15" i="19"/>
  <c r="CE11" i="19"/>
  <c r="CI11" i="19"/>
  <c r="CE7" i="19"/>
  <c r="CI7" i="19"/>
  <c r="CE34" i="19"/>
  <c r="CI34" i="19"/>
  <c r="CE30" i="19"/>
  <c r="CI30" i="19"/>
  <c r="CE26" i="19"/>
  <c r="CI26" i="19"/>
  <c r="CE22" i="19"/>
  <c r="CI22" i="19"/>
  <c r="CE18" i="19"/>
  <c r="CI18" i="19"/>
  <c r="CE14" i="19"/>
  <c r="CI14" i="19"/>
  <c r="CE10" i="19"/>
  <c r="CI10" i="19"/>
  <c r="BL37" i="19"/>
  <c r="CF37" i="19"/>
  <c r="BL33" i="19"/>
  <c r="CF33" i="19"/>
  <c r="BL29" i="19"/>
  <c r="CF29" i="19"/>
  <c r="BL25" i="19"/>
  <c r="CF25" i="19"/>
  <c r="BL21" i="19"/>
  <c r="CF21" i="19"/>
  <c r="BL17" i="19"/>
  <c r="CF17" i="19"/>
  <c r="BL13" i="19"/>
  <c r="CF13" i="19"/>
  <c r="BL9" i="19"/>
  <c r="CF9" i="19"/>
  <c r="BL36" i="19"/>
  <c r="CF36" i="19"/>
  <c r="BL32" i="19"/>
  <c r="CF32" i="19"/>
  <c r="BL28" i="19"/>
  <c r="CF28" i="19"/>
  <c r="BL24" i="19"/>
  <c r="CF24" i="19"/>
  <c r="BL20" i="19"/>
  <c r="CF20" i="19"/>
  <c r="BL16" i="19"/>
  <c r="CF16" i="19"/>
  <c r="BL12" i="19"/>
  <c r="CF12" i="19"/>
  <c r="BL8" i="19"/>
  <c r="CF8" i="19"/>
  <c r="BL35" i="19"/>
  <c r="CF35" i="19"/>
  <c r="BL31" i="19"/>
  <c r="CF31" i="19"/>
  <c r="BL27" i="19"/>
  <c r="CF27" i="19"/>
  <c r="BL23" i="19"/>
  <c r="CF23" i="19"/>
  <c r="BL19" i="19"/>
  <c r="CF19" i="19"/>
  <c r="BL15" i="19"/>
  <c r="CF15" i="19"/>
  <c r="BL11" i="19"/>
  <c r="CF11" i="19"/>
  <c r="BL7" i="19"/>
  <c r="CF7" i="19"/>
  <c r="BL34" i="19"/>
  <c r="CF34" i="19"/>
  <c r="BL30" i="19"/>
  <c r="CF30" i="19"/>
  <c r="BL26" i="19"/>
  <c r="CF26" i="19"/>
  <c r="BL22" i="19"/>
  <c r="CF22" i="19"/>
  <c r="BL18" i="19"/>
  <c r="CF18" i="19"/>
  <c r="BL14" i="19"/>
  <c r="CF14" i="19"/>
  <c r="BL10" i="19"/>
  <c r="CF10" i="19"/>
  <c r="AZ3" i="19"/>
  <c r="BA37" i="19"/>
  <c r="AZ37" i="19"/>
  <c r="BA33" i="19"/>
  <c r="AZ33" i="19"/>
  <c r="BA29" i="19"/>
  <c r="AZ29" i="19"/>
  <c r="BA25" i="19"/>
  <c r="AZ25" i="19"/>
  <c r="BA21" i="19"/>
  <c r="AZ21" i="19"/>
  <c r="BA17" i="19"/>
  <c r="AZ17" i="19"/>
  <c r="BA13" i="19"/>
  <c r="AZ13" i="19"/>
  <c r="BA9" i="19"/>
  <c r="AZ9" i="19"/>
  <c r="BA5" i="19"/>
  <c r="AZ5" i="19"/>
  <c r="BA36" i="19"/>
  <c r="AZ36" i="19"/>
  <c r="BA32" i="19"/>
  <c r="AZ32" i="19"/>
  <c r="BA28" i="19"/>
  <c r="AZ28" i="19"/>
  <c r="BA24" i="19"/>
  <c r="AZ24" i="19"/>
  <c r="BA20" i="19"/>
  <c r="AZ20" i="19"/>
  <c r="BA16" i="19"/>
  <c r="AZ16" i="19"/>
  <c r="BA12" i="19"/>
  <c r="AZ12" i="19"/>
  <c r="BA8" i="19"/>
  <c r="AZ8" i="19"/>
  <c r="BA4" i="19"/>
  <c r="AZ4" i="19"/>
  <c r="BA35" i="19"/>
  <c r="AZ35" i="19"/>
  <c r="BA31" i="19"/>
  <c r="AZ31" i="19"/>
  <c r="BA27" i="19"/>
  <c r="AZ27" i="19"/>
  <c r="BA23" i="19"/>
  <c r="AZ23" i="19"/>
  <c r="BA19" i="19"/>
  <c r="AZ19" i="19"/>
  <c r="BA15" i="19"/>
  <c r="AZ15" i="19"/>
  <c r="BA11" i="19"/>
  <c r="AZ11" i="19"/>
  <c r="BA7" i="19"/>
  <c r="AZ7" i="19"/>
  <c r="BA34" i="19"/>
  <c r="AZ34" i="19"/>
  <c r="BA30" i="19"/>
  <c r="AZ30" i="19"/>
  <c r="BA26" i="19"/>
  <c r="AZ26" i="19"/>
  <c r="BA22" i="19"/>
  <c r="AZ22" i="19"/>
  <c r="BA18" i="19"/>
  <c r="AZ18" i="19"/>
  <c r="BA14" i="19"/>
  <c r="AZ14" i="19"/>
  <c r="BA10" i="19"/>
  <c r="AZ10" i="19"/>
  <c r="BA6" i="19"/>
  <c r="AZ6" i="19"/>
  <c r="BA3" i="19"/>
  <c r="AF37" i="19"/>
  <c r="AE37" i="19"/>
  <c r="AF33" i="19"/>
  <c r="AE33" i="19"/>
  <c r="AF29" i="19"/>
  <c r="AE29" i="19"/>
  <c r="AF25" i="19"/>
  <c r="AE25" i="19"/>
  <c r="AF21" i="19"/>
  <c r="AE21" i="19"/>
  <c r="AF17" i="19"/>
  <c r="AE17" i="19"/>
  <c r="AF13" i="19"/>
  <c r="AE13" i="19"/>
  <c r="AF9" i="19"/>
  <c r="AE9" i="19"/>
  <c r="AF36" i="19"/>
  <c r="AE36" i="19"/>
  <c r="AF32" i="19"/>
  <c r="AE32" i="19"/>
  <c r="AF28" i="19"/>
  <c r="AE28" i="19"/>
  <c r="AF24" i="19"/>
  <c r="AE24" i="19"/>
  <c r="AF20" i="19"/>
  <c r="AE20" i="19"/>
  <c r="AF16" i="19"/>
  <c r="AE16" i="19"/>
  <c r="AF12" i="19"/>
  <c r="AE12" i="19"/>
  <c r="AF8" i="19"/>
  <c r="AE8" i="19"/>
  <c r="AF35" i="19"/>
  <c r="AE35" i="19"/>
  <c r="AF31" i="19"/>
  <c r="AE31" i="19"/>
  <c r="AF27" i="19"/>
  <c r="AE27" i="19"/>
  <c r="AF23" i="19"/>
  <c r="AE23" i="19"/>
  <c r="AF19" i="19"/>
  <c r="AE19" i="19"/>
  <c r="AF15" i="19"/>
  <c r="AE15" i="19"/>
  <c r="AF11" i="19"/>
  <c r="AE11" i="19"/>
  <c r="AF7" i="19"/>
  <c r="AE7" i="19"/>
  <c r="AF34" i="19"/>
  <c r="AE34" i="19"/>
  <c r="AF30" i="19"/>
  <c r="AE30" i="19"/>
  <c r="AF26" i="19"/>
  <c r="AE26" i="19"/>
  <c r="AF22" i="19"/>
  <c r="AE22" i="19"/>
  <c r="AF18" i="19"/>
  <c r="AE18" i="19"/>
  <c r="AF14" i="19"/>
  <c r="AE14" i="19"/>
  <c r="AF10" i="19"/>
  <c r="AE10" i="19"/>
  <c r="AH37" i="19"/>
  <c r="AG37" i="19"/>
  <c r="AH33" i="19"/>
  <c r="AG33" i="19"/>
  <c r="AH29" i="19"/>
  <c r="AG29" i="19"/>
  <c r="AH25" i="19"/>
  <c r="AG25" i="19"/>
  <c r="AH21" i="19"/>
  <c r="AG21" i="19"/>
  <c r="AH17" i="19"/>
  <c r="AG17" i="19"/>
  <c r="AH13" i="19"/>
  <c r="AG13" i="19"/>
  <c r="AH9" i="19"/>
  <c r="AG9" i="19"/>
  <c r="AH36" i="19"/>
  <c r="AG36" i="19"/>
  <c r="AH32" i="19"/>
  <c r="AG32" i="19"/>
  <c r="AH28" i="19"/>
  <c r="AG28" i="19"/>
  <c r="AH24" i="19"/>
  <c r="AG24" i="19"/>
  <c r="AH20" i="19"/>
  <c r="AG20" i="19"/>
  <c r="AH16" i="19"/>
  <c r="AG16" i="19"/>
  <c r="AH12" i="19"/>
  <c r="AG12" i="19"/>
  <c r="AH8" i="19"/>
  <c r="AG8" i="19"/>
  <c r="AH35" i="19"/>
  <c r="AG35" i="19"/>
  <c r="AH31" i="19"/>
  <c r="AG31" i="19"/>
  <c r="AH27" i="19"/>
  <c r="AG27" i="19"/>
  <c r="AH23" i="19"/>
  <c r="AG23" i="19"/>
  <c r="AH19" i="19"/>
  <c r="AG19" i="19"/>
  <c r="AH15" i="19"/>
  <c r="AG15" i="19"/>
  <c r="AH11" i="19"/>
  <c r="AG11" i="19"/>
  <c r="AH7" i="19"/>
  <c r="AG7" i="19"/>
  <c r="AH34" i="19"/>
  <c r="AG34" i="19"/>
  <c r="AH30" i="19"/>
  <c r="AG30" i="19"/>
  <c r="AH26" i="19"/>
  <c r="AG26" i="19"/>
  <c r="AH22" i="19"/>
  <c r="AG22" i="19"/>
  <c r="AH18" i="19"/>
  <c r="AG18" i="19"/>
  <c r="AH14" i="19"/>
  <c r="AG14" i="19"/>
  <c r="AH10" i="19"/>
  <c r="AG10" i="19"/>
  <c r="AJ37" i="19"/>
  <c r="AI37" i="19"/>
  <c r="AJ33" i="19"/>
  <c r="AI33" i="19"/>
  <c r="AJ29" i="19"/>
  <c r="AI29" i="19"/>
  <c r="AJ25" i="19"/>
  <c r="AI25" i="19"/>
  <c r="AJ21" i="19"/>
  <c r="AI21" i="19"/>
  <c r="AJ17" i="19"/>
  <c r="AI17" i="19"/>
  <c r="AJ13" i="19"/>
  <c r="AI13" i="19"/>
  <c r="AJ9" i="19"/>
  <c r="AI9" i="19"/>
  <c r="AJ36" i="19"/>
  <c r="AI36" i="19"/>
  <c r="AJ32" i="19"/>
  <c r="AI32" i="19"/>
  <c r="AJ28" i="19"/>
  <c r="AI28" i="19"/>
  <c r="AJ24" i="19"/>
  <c r="AI24" i="19"/>
  <c r="AJ20" i="19"/>
  <c r="AI20" i="19"/>
  <c r="AJ16" i="19"/>
  <c r="AI16" i="19"/>
  <c r="AJ12" i="19"/>
  <c r="AI12" i="19"/>
  <c r="AJ8" i="19"/>
  <c r="AI8" i="19"/>
  <c r="AJ35" i="19"/>
  <c r="AI35" i="19"/>
  <c r="AJ31" i="19"/>
  <c r="AI31" i="19"/>
  <c r="AJ27" i="19"/>
  <c r="AI27" i="19"/>
  <c r="AJ23" i="19"/>
  <c r="AI23" i="19"/>
  <c r="AJ19" i="19"/>
  <c r="AI19" i="19"/>
  <c r="AJ15" i="19"/>
  <c r="AI15" i="19"/>
  <c r="AJ11" i="19"/>
  <c r="AI11" i="19"/>
  <c r="AJ7" i="19"/>
  <c r="AI7" i="19"/>
  <c r="AJ34" i="19"/>
  <c r="AI34" i="19"/>
  <c r="AJ30" i="19"/>
  <c r="AI30" i="19"/>
  <c r="AJ26" i="19"/>
  <c r="AI26" i="19"/>
  <c r="AJ22" i="19"/>
  <c r="AI22" i="19"/>
  <c r="AJ18" i="19"/>
  <c r="AI18" i="19"/>
  <c r="AJ14" i="19"/>
  <c r="AI14" i="19"/>
  <c r="AJ10" i="19"/>
  <c r="AI10" i="19"/>
  <c r="AL37" i="19"/>
  <c r="AK37" i="19"/>
  <c r="AL33" i="19"/>
  <c r="AK33" i="19"/>
  <c r="AL29" i="19"/>
  <c r="AK29" i="19"/>
  <c r="AL25" i="19"/>
  <c r="AK25" i="19"/>
  <c r="AL21" i="19"/>
  <c r="AK21" i="19"/>
  <c r="AL17" i="19"/>
  <c r="AK17" i="19"/>
  <c r="AL13" i="19"/>
  <c r="AK13" i="19"/>
  <c r="AL9" i="19"/>
  <c r="AK9" i="19"/>
  <c r="AL36" i="19"/>
  <c r="AK36" i="19"/>
  <c r="AL32" i="19"/>
  <c r="AK32" i="19"/>
  <c r="AL28" i="19"/>
  <c r="AK28" i="19"/>
  <c r="AL24" i="19"/>
  <c r="AK24" i="19"/>
  <c r="AL20" i="19"/>
  <c r="AK20" i="19"/>
  <c r="AL16" i="19"/>
  <c r="AK16" i="19"/>
  <c r="AL12" i="19"/>
  <c r="AK12" i="19"/>
  <c r="AL8" i="19"/>
  <c r="AK8" i="19"/>
  <c r="AL35" i="19"/>
  <c r="AK35" i="19"/>
  <c r="AL31" i="19"/>
  <c r="AK31" i="19"/>
  <c r="AL27" i="19"/>
  <c r="AK27" i="19"/>
  <c r="AL23" i="19"/>
  <c r="AK23" i="19"/>
  <c r="AL19" i="19"/>
  <c r="AK19" i="19"/>
  <c r="AL15" i="19"/>
  <c r="AK15" i="19"/>
  <c r="AL11" i="19"/>
  <c r="AK11" i="19"/>
  <c r="AL7" i="19"/>
  <c r="AK7" i="19"/>
  <c r="AL34" i="19"/>
  <c r="AK34" i="19"/>
  <c r="AL30" i="19"/>
  <c r="AK30" i="19"/>
  <c r="AL26" i="19"/>
  <c r="AK26" i="19"/>
  <c r="AL22" i="19"/>
  <c r="AK22" i="19"/>
  <c r="AL18" i="19"/>
  <c r="AK18" i="19"/>
  <c r="AL14" i="19"/>
  <c r="AK14" i="19"/>
  <c r="AL10" i="19"/>
  <c r="AK10" i="19"/>
  <c r="AN37" i="19"/>
  <c r="AM37" i="19"/>
  <c r="AN33" i="19"/>
  <c r="AM33" i="19"/>
  <c r="AN29" i="19"/>
  <c r="AM29" i="19"/>
  <c r="AN25" i="19"/>
  <c r="AM25" i="19"/>
  <c r="AN21" i="19"/>
  <c r="AM21" i="19"/>
  <c r="AN17" i="19"/>
  <c r="AM17" i="19"/>
  <c r="AN13" i="19"/>
  <c r="AM13" i="19"/>
  <c r="AN9" i="19"/>
  <c r="AM9" i="19"/>
  <c r="AN36" i="19"/>
  <c r="AM36" i="19"/>
  <c r="AN32" i="19"/>
  <c r="AM32" i="19"/>
  <c r="AN28" i="19"/>
  <c r="AM28" i="19"/>
  <c r="AN24" i="19"/>
  <c r="AM24" i="19"/>
  <c r="AN20" i="19"/>
  <c r="AM20" i="19"/>
  <c r="AN16" i="19"/>
  <c r="AM16" i="19"/>
  <c r="AN12" i="19"/>
  <c r="AM12" i="19"/>
  <c r="AN8" i="19"/>
  <c r="AM8" i="19"/>
  <c r="AN35" i="19"/>
  <c r="AM35" i="19"/>
  <c r="AN31" i="19"/>
  <c r="AM31" i="19"/>
  <c r="AN27" i="19"/>
  <c r="AM27" i="19"/>
  <c r="AN23" i="19"/>
  <c r="AM23" i="19"/>
  <c r="AN19" i="19"/>
  <c r="AM19" i="19"/>
  <c r="AN15" i="19"/>
  <c r="AM15" i="19"/>
  <c r="AN11" i="19"/>
  <c r="AM11" i="19"/>
  <c r="AN7" i="19"/>
  <c r="AM7" i="19"/>
  <c r="AN34" i="19"/>
  <c r="AM34" i="19"/>
  <c r="AN30" i="19"/>
  <c r="AM30" i="19"/>
  <c r="AN26" i="19"/>
  <c r="AM26" i="19"/>
  <c r="AN22" i="19"/>
  <c r="AM22" i="19"/>
  <c r="AN18" i="19"/>
  <c r="AM18" i="19"/>
  <c r="AN14" i="19"/>
  <c r="AM14" i="19"/>
  <c r="AN10" i="19"/>
  <c r="AM10" i="19"/>
  <c r="AO37" i="19"/>
  <c r="AO33" i="19"/>
  <c r="AO29" i="19"/>
  <c r="AO25" i="19"/>
  <c r="AO21" i="19"/>
  <c r="AO17" i="19"/>
  <c r="AO13" i="19"/>
  <c r="AO9" i="19"/>
  <c r="AO36" i="19"/>
  <c r="AO32" i="19"/>
  <c r="AO28" i="19"/>
  <c r="AO24" i="19"/>
  <c r="AO20" i="19"/>
  <c r="AO16" i="19"/>
  <c r="AO12" i="19"/>
  <c r="AO8" i="19"/>
  <c r="AO35" i="19"/>
  <c r="AO31" i="19"/>
  <c r="AO27" i="19"/>
  <c r="AO23" i="19"/>
  <c r="AO19" i="19"/>
  <c r="AO15" i="19"/>
  <c r="AO11" i="19"/>
  <c r="AO7" i="19"/>
  <c r="AO34" i="19"/>
  <c r="AO30" i="19"/>
  <c r="AO26" i="19"/>
  <c r="AO22" i="19"/>
  <c r="AO18" i="19"/>
  <c r="AO14" i="19"/>
  <c r="AO10" i="19"/>
  <c r="T3" i="19"/>
  <c r="V3" i="19" s="1"/>
  <c r="BG34" i="19"/>
  <c r="BP34" i="19"/>
  <c r="BV34" i="19"/>
  <c r="CB34" i="19"/>
  <c r="CH34" i="19"/>
  <c r="CM34" i="19"/>
  <c r="CZ34" i="19"/>
  <c r="DF34" i="19"/>
  <c r="BF34" i="19"/>
  <c r="BI34" i="19"/>
  <c r="BM34" i="19"/>
  <c r="BR34" i="19"/>
  <c r="BZ34" i="19"/>
  <c r="CD34" i="19"/>
  <c r="CL34" i="19"/>
  <c r="CR34" i="19"/>
  <c r="CX34" i="19"/>
  <c r="DE34" i="19"/>
  <c r="DJ34" i="19"/>
  <c r="DN34" i="19"/>
  <c r="AX34" i="19"/>
  <c r="BD34" i="19"/>
  <c r="AP34" i="19"/>
  <c r="AT34" i="19"/>
  <c r="AA34" i="19"/>
  <c r="BK34" i="19"/>
  <c r="BS34" i="19"/>
  <c r="BX34" i="19"/>
  <c r="CC34" i="19"/>
  <c r="CN34" i="19"/>
  <c r="CV34" i="19"/>
  <c r="DD34" i="19"/>
  <c r="DL34" i="19"/>
  <c r="BB34" i="19"/>
  <c r="BH34" i="19"/>
  <c r="BN34" i="19"/>
  <c r="BT34" i="19"/>
  <c r="BY34" i="19"/>
  <c r="CG34" i="19"/>
  <c r="CO34" i="19"/>
  <c r="CW34" i="19"/>
  <c r="DG34" i="19"/>
  <c r="DM34" i="19"/>
  <c r="BC34" i="19"/>
  <c r="BO34" i="19"/>
  <c r="BU34" i="19"/>
  <c r="CA34" i="19"/>
  <c r="CJ34" i="19"/>
  <c r="CP34" i="19"/>
  <c r="CY34" i="19"/>
  <c r="DH34" i="19"/>
  <c r="AW34" i="19"/>
  <c r="BE34" i="19"/>
  <c r="BJ34" i="19"/>
  <c r="BQ34" i="19"/>
  <c r="BW34" i="19"/>
  <c r="CK34" i="19"/>
  <c r="CU34" i="19"/>
  <c r="DB34" i="19"/>
  <c r="DI34" i="19"/>
  <c r="DK34" i="19"/>
  <c r="AY34" i="19"/>
  <c r="AR34" i="19"/>
  <c r="AU34" i="19"/>
  <c r="AD34" i="19"/>
  <c r="AV34" i="19"/>
  <c r="AQ34" i="19"/>
  <c r="AB34" i="19"/>
  <c r="AS34" i="19"/>
  <c r="AC34" i="19"/>
  <c r="BF30" i="19"/>
  <c r="BH30" i="19"/>
  <c r="BJ30" i="19"/>
  <c r="BN30" i="19"/>
  <c r="BR30" i="19"/>
  <c r="BU30" i="19"/>
  <c r="BX30" i="19"/>
  <c r="CA30" i="19"/>
  <c r="CD30" i="19"/>
  <c r="CK30" i="19"/>
  <c r="CO30" i="19"/>
  <c r="CU30" i="19"/>
  <c r="CX30" i="19"/>
  <c r="DD30" i="19"/>
  <c r="DH30" i="19"/>
  <c r="BG30" i="19"/>
  <c r="BO30" i="19"/>
  <c r="BW30" i="19"/>
  <c r="CH30" i="19"/>
  <c r="CN30" i="19"/>
  <c r="CV30" i="19"/>
  <c r="CZ30" i="19"/>
  <c r="DG30" i="19"/>
  <c r="BS30" i="19"/>
  <c r="BY30" i="19"/>
  <c r="CC30" i="19"/>
  <c r="CM30" i="19"/>
  <c r="DE30" i="19"/>
  <c r="BK30" i="19"/>
  <c r="BQ30" i="19"/>
  <c r="BV30" i="19"/>
  <c r="CB30" i="19"/>
  <c r="CL30" i="19"/>
  <c r="CR30" i="19"/>
  <c r="DB30" i="19"/>
  <c r="DJ30" i="19"/>
  <c r="DN30" i="19"/>
  <c r="AX30" i="19"/>
  <c r="BD30" i="19"/>
  <c r="AP30" i="19"/>
  <c r="AT30" i="19"/>
  <c r="AA30" i="19"/>
  <c r="BM30" i="19"/>
  <c r="CP30" i="19"/>
  <c r="DF30" i="19"/>
  <c r="DK30" i="19"/>
  <c r="BC30" i="19"/>
  <c r="BP30" i="19"/>
  <c r="BZ30" i="19"/>
  <c r="DI30" i="19"/>
  <c r="DL30" i="19"/>
  <c r="AW30" i="19"/>
  <c r="BE30" i="19"/>
  <c r="BI30" i="19"/>
  <c r="BT30" i="19"/>
  <c r="CG30" i="19"/>
  <c r="CW30" i="19"/>
  <c r="DM30" i="19"/>
  <c r="AY30" i="19"/>
  <c r="CJ30" i="19"/>
  <c r="CY30" i="19"/>
  <c r="BB30" i="19"/>
  <c r="AR30" i="19"/>
  <c r="AC30" i="19"/>
  <c r="AQ30" i="19"/>
  <c r="AS30" i="19"/>
  <c r="AU30" i="19"/>
  <c r="AB30" i="19"/>
  <c r="AD30" i="19"/>
  <c r="AV30" i="19"/>
  <c r="BG26" i="19"/>
  <c r="BP26" i="19"/>
  <c r="BV26" i="19"/>
  <c r="CB26" i="19"/>
  <c r="CH26" i="19"/>
  <c r="CM26" i="19"/>
  <c r="CZ26" i="19"/>
  <c r="DF26" i="19"/>
  <c r="BN26" i="19"/>
  <c r="BS26" i="19"/>
  <c r="BW26" i="19"/>
  <c r="CA26" i="19"/>
  <c r="CG26" i="19"/>
  <c r="CN26" i="19"/>
  <c r="CU26" i="19"/>
  <c r="CY26" i="19"/>
  <c r="DG26" i="19"/>
  <c r="BI26" i="19"/>
  <c r="BO26" i="19"/>
  <c r="BU26" i="19"/>
  <c r="BZ26" i="19"/>
  <c r="CJ26" i="19"/>
  <c r="CP26" i="19"/>
  <c r="CX26" i="19"/>
  <c r="DH26" i="19"/>
  <c r="BM26" i="19"/>
  <c r="CC26" i="19"/>
  <c r="CO26" i="19"/>
  <c r="DB26" i="19"/>
  <c r="BF26" i="19"/>
  <c r="BK26" i="19"/>
  <c r="BT26" i="19"/>
  <c r="CL26" i="19"/>
  <c r="CW26" i="19"/>
  <c r="DI26" i="19"/>
  <c r="DJ26" i="19"/>
  <c r="DN26" i="19"/>
  <c r="AX26" i="19"/>
  <c r="BD26" i="19"/>
  <c r="AP26" i="19"/>
  <c r="AT26" i="19"/>
  <c r="AA26" i="19"/>
  <c r="BQ26" i="19"/>
  <c r="CD26" i="19"/>
  <c r="DD26" i="19"/>
  <c r="AW26" i="19"/>
  <c r="BE26" i="19"/>
  <c r="BR26" i="19"/>
  <c r="CK26" i="19"/>
  <c r="DE26" i="19"/>
  <c r="DK26" i="19"/>
  <c r="AY26" i="19"/>
  <c r="BH26" i="19"/>
  <c r="BX26" i="19"/>
  <c r="CR26" i="19"/>
  <c r="DL26" i="19"/>
  <c r="BB26" i="19"/>
  <c r="BJ26" i="19"/>
  <c r="BY26" i="19"/>
  <c r="CV26" i="19"/>
  <c r="DM26" i="19"/>
  <c r="BC26" i="19"/>
  <c r="AR26" i="19"/>
  <c r="AB26" i="19"/>
  <c r="AU26" i="19"/>
  <c r="AD26" i="19"/>
  <c r="AV26" i="19"/>
  <c r="AQ26" i="19"/>
  <c r="AC26" i="19"/>
  <c r="AS26" i="19"/>
  <c r="BG22" i="19"/>
  <c r="BP22" i="19"/>
  <c r="BV22" i="19"/>
  <c r="CB22" i="19"/>
  <c r="CH22" i="19"/>
  <c r="CM22" i="19"/>
  <c r="CZ22" i="19"/>
  <c r="DF22" i="19"/>
  <c r="BF22" i="19"/>
  <c r="BI22" i="19"/>
  <c r="BM22" i="19"/>
  <c r="BR22" i="19"/>
  <c r="BZ22" i="19"/>
  <c r="CD22" i="19"/>
  <c r="CL22" i="19"/>
  <c r="CR22" i="19"/>
  <c r="CX22" i="19"/>
  <c r="DE22" i="19"/>
  <c r="BJ22" i="19"/>
  <c r="BQ22" i="19"/>
  <c r="BW22" i="19"/>
  <c r="CK22" i="19"/>
  <c r="CU22" i="19"/>
  <c r="DB22" i="19"/>
  <c r="DI22" i="19"/>
  <c r="BK22" i="19"/>
  <c r="BS22" i="19"/>
  <c r="BX22" i="19"/>
  <c r="CC22" i="19"/>
  <c r="CN22" i="19"/>
  <c r="CV22" i="19"/>
  <c r="DD22" i="19"/>
  <c r="BH22" i="19"/>
  <c r="BN22" i="19"/>
  <c r="BT22" i="19"/>
  <c r="BY22" i="19"/>
  <c r="CG22" i="19"/>
  <c r="CO22" i="19"/>
  <c r="CW22" i="19"/>
  <c r="DG22" i="19"/>
  <c r="BO22" i="19"/>
  <c r="BU22" i="19"/>
  <c r="CA22" i="19"/>
  <c r="CJ22" i="19"/>
  <c r="CP22" i="19"/>
  <c r="CY22" i="19"/>
  <c r="DH22" i="19"/>
  <c r="DJ22" i="19"/>
  <c r="DN22" i="19"/>
  <c r="AX22" i="19"/>
  <c r="BD22" i="19"/>
  <c r="AP22" i="19"/>
  <c r="AT22" i="19"/>
  <c r="AA22" i="19"/>
  <c r="DM22" i="19"/>
  <c r="AY22" i="19"/>
  <c r="BB22" i="19"/>
  <c r="DK22" i="19"/>
  <c r="BC22" i="19"/>
  <c r="DL22" i="19"/>
  <c r="AW22" i="19"/>
  <c r="BE22" i="19"/>
  <c r="AR22" i="19"/>
  <c r="AQ22" i="19"/>
  <c r="AS22" i="19"/>
  <c r="AB22" i="19"/>
  <c r="AU22" i="19"/>
  <c r="AC22" i="19"/>
  <c r="AD22" i="19"/>
  <c r="AV22" i="19"/>
  <c r="BG18" i="19"/>
  <c r="BP18" i="19"/>
  <c r="BV18" i="19"/>
  <c r="CB18" i="19"/>
  <c r="CH18" i="19"/>
  <c r="CM18" i="19"/>
  <c r="CZ18" i="19"/>
  <c r="DF18" i="19"/>
  <c r="BH18" i="19"/>
  <c r="BK18" i="19"/>
  <c r="BQ18" i="19"/>
  <c r="BU18" i="19"/>
  <c r="BY18" i="19"/>
  <c r="CC18" i="19"/>
  <c r="CK18" i="19"/>
  <c r="CP18" i="19"/>
  <c r="CW18" i="19"/>
  <c r="DD18" i="19"/>
  <c r="DI18" i="19"/>
  <c r="BJ18" i="19"/>
  <c r="BR18" i="19"/>
  <c r="BW18" i="19"/>
  <c r="CL18" i="19"/>
  <c r="CU18" i="19"/>
  <c r="DB18" i="19"/>
  <c r="BM18" i="19"/>
  <c r="BS18" i="19"/>
  <c r="BX18" i="19"/>
  <c r="CD18" i="19"/>
  <c r="CN18" i="19"/>
  <c r="CV18" i="19"/>
  <c r="DE18" i="19"/>
  <c r="BI18" i="19"/>
  <c r="BN18" i="19"/>
  <c r="BT18" i="19"/>
  <c r="BZ18" i="19"/>
  <c r="CG18" i="19"/>
  <c r="CO18" i="19"/>
  <c r="CX18" i="19"/>
  <c r="DG18" i="19"/>
  <c r="BF18" i="19"/>
  <c r="BO18" i="19"/>
  <c r="CA18" i="19"/>
  <c r="CJ18" i="19"/>
  <c r="CR18" i="19"/>
  <c r="CY18" i="19"/>
  <c r="DH18" i="19"/>
  <c r="DJ18" i="19"/>
  <c r="DN18" i="19"/>
  <c r="AX18" i="19"/>
  <c r="BD18" i="19"/>
  <c r="AP18" i="19"/>
  <c r="AT18" i="19"/>
  <c r="AA18" i="19"/>
  <c r="DL18" i="19"/>
  <c r="BB18" i="19"/>
  <c r="DM18" i="19"/>
  <c r="BC18" i="19"/>
  <c r="AW18" i="19"/>
  <c r="BE18" i="19"/>
  <c r="DK18" i="19"/>
  <c r="AY18" i="19"/>
  <c r="AR18" i="19"/>
  <c r="AU18" i="19"/>
  <c r="AD18" i="19"/>
  <c r="AV18" i="19"/>
  <c r="AB18" i="19"/>
  <c r="AQ18" i="19"/>
  <c r="AC18" i="19"/>
  <c r="AS18" i="19"/>
  <c r="BF14" i="19"/>
  <c r="BH14" i="19"/>
  <c r="BJ14" i="19"/>
  <c r="BN14" i="19"/>
  <c r="BR14" i="19"/>
  <c r="BU14" i="19"/>
  <c r="BX14" i="19"/>
  <c r="CA14" i="19"/>
  <c r="CD14" i="19"/>
  <c r="CK14" i="19"/>
  <c r="CO14" i="19"/>
  <c r="CU14" i="19"/>
  <c r="CX14" i="19"/>
  <c r="DD14" i="19"/>
  <c r="DH14" i="19"/>
  <c r="BG14" i="19"/>
  <c r="BO14" i="19"/>
  <c r="BW14" i="19"/>
  <c r="CH14" i="19"/>
  <c r="CN14" i="19"/>
  <c r="CV14" i="19"/>
  <c r="CZ14" i="19"/>
  <c r="DG14" i="19"/>
  <c r="BS14" i="19"/>
  <c r="BY14" i="19"/>
  <c r="CC14" i="19"/>
  <c r="CM14" i="19"/>
  <c r="DE14" i="19"/>
  <c r="BI14" i="19"/>
  <c r="BM14" i="19"/>
  <c r="BT14" i="19"/>
  <c r="CG14" i="19"/>
  <c r="CP14" i="19"/>
  <c r="CW14" i="19"/>
  <c r="DF14" i="19"/>
  <c r="BP14" i="19"/>
  <c r="BZ14" i="19"/>
  <c r="CJ14" i="19"/>
  <c r="CY14" i="19"/>
  <c r="DI14" i="19"/>
  <c r="BK14" i="19"/>
  <c r="BQ14" i="19"/>
  <c r="BV14" i="19"/>
  <c r="CB14" i="19"/>
  <c r="CL14" i="19"/>
  <c r="CR14" i="19"/>
  <c r="DB14" i="19"/>
  <c r="DJ14" i="19"/>
  <c r="DN14" i="19"/>
  <c r="AX14" i="19"/>
  <c r="BD14" i="19"/>
  <c r="AP14" i="19"/>
  <c r="AT14" i="19"/>
  <c r="AA14" i="19"/>
  <c r="DK14" i="19"/>
  <c r="BC14" i="19"/>
  <c r="DL14" i="19"/>
  <c r="AW14" i="19"/>
  <c r="BE14" i="19"/>
  <c r="DM14" i="19"/>
  <c r="AY14" i="19"/>
  <c r="BB14" i="19"/>
  <c r="AR14" i="19"/>
  <c r="AC14" i="19"/>
  <c r="AQ14" i="19"/>
  <c r="AS14" i="19"/>
  <c r="AB14" i="19"/>
  <c r="AU14" i="19"/>
  <c r="AD14" i="19"/>
  <c r="AV14" i="19"/>
  <c r="BF10" i="19"/>
  <c r="BH10" i="19"/>
  <c r="BJ10" i="19"/>
  <c r="BN10" i="19"/>
  <c r="BR10" i="19"/>
  <c r="BU10" i="19"/>
  <c r="BX10" i="19"/>
  <c r="CA10" i="19"/>
  <c r="CD10" i="19"/>
  <c r="CK10" i="19"/>
  <c r="CO10" i="19"/>
  <c r="CU10" i="19"/>
  <c r="CX10" i="19"/>
  <c r="DD10" i="19"/>
  <c r="DH10" i="19"/>
  <c r="BG10" i="19"/>
  <c r="BO10" i="19"/>
  <c r="BW10" i="19"/>
  <c r="CH10" i="19"/>
  <c r="BM10" i="19"/>
  <c r="BS10" i="19"/>
  <c r="BV10" i="19"/>
  <c r="BZ10" i="19"/>
  <c r="CG10" i="19"/>
  <c r="CM10" i="19"/>
  <c r="CR10" i="19"/>
  <c r="CY10" i="19"/>
  <c r="DF10" i="19"/>
  <c r="BK10" i="19"/>
  <c r="BT10" i="19"/>
  <c r="CB10" i="19"/>
  <c r="CN10" i="19"/>
  <c r="DE10" i="19"/>
  <c r="CC10" i="19"/>
  <c r="CP10" i="19"/>
  <c r="CW10" i="19"/>
  <c r="DG10" i="19"/>
  <c r="BP10" i="19"/>
  <c r="BY10" i="19"/>
  <c r="CJ10" i="19"/>
  <c r="CZ10" i="19"/>
  <c r="DI10" i="19"/>
  <c r="BI10" i="19"/>
  <c r="BQ10" i="19"/>
  <c r="CL10" i="19"/>
  <c r="CV10" i="19"/>
  <c r="DB10" i="19"/>
  <c r="DJ10" i="19"/>
  <c r="DN10" i="19"/>
  <c r="AX10" i="19"/>
  <c r="BD10" i="19"/>
  <c r="AP10" i="19"/>
  <c r="AT10" i="19"/>
  <c r="AA10" i="19"/>
  <c r="AW10" i="19"/>
  <c r="BE10" i="19"/>
  <c r="DK10" i="19"/>
  <c r="AY10" i="19"/>
  <c r="DL10" i="19"/>
  <c r="BB10" i="19"/>
  <c r="DM10" i="19"/>
  <c r="BC10" i="19"/>
  <c r="AR10" i="19"/>
  <c r="AB10" i="19"/>
  <c r="AU10" i="19"/>
  <c r="AD10" i="19"/>
  <c r="AV10" i="19"/>
  <c r="AC10" i="19"/>
  <c r="AQ10" i="19"/>
  <c r="AS10" i="19"/>
  <c r="AT6" i="19"/>
  <c r="AR6" i="19"/>
  <c r="AQ6" i="19"/>
  <c r="AS6" i="19"/>
  <c r="AU6" i="19"/>
  <c r="AV6" i="19"/>
  <c r="DV35" i="19"/>
  <c r="DZ35" i="19"/>
  <c r="ED35" i="19"/>
  <c r="EH35" i="19"/>
  <c r="EL35" i="19"/>
  <c r="EP35" i="19"/>
  <c r="ET35" i="19"/>
  <c r="EX35" i="19"/>
  <c r="FB35" i="19"/>
  <c r="FF35" i="19"/>
  <c r="FJ35" i="19"/>
  <c r="FN35" i="19"/>
  <c r="DY35" i="19"/>
  <c r="EE35" i="19"/>
  <c r="EJ35" i="19"/>
  <c r="EO35" i="19"/>
  <c r="EU35" i="19"/>
  <c r="EZ35" i="19"/>
  <c r="FE35" i="19"/>
  <c r="FK35" i="19"/>
  <c r="EA35" i="19"/>
  <c r="EG35" i="19"/>
  <c r="EN35" i="19"/>
  <c r="EV35" i="19"/>
  <c r="FC35" i="19"/>
  <c r="FI35" i="19"/>
  <c r="EB35" i="19"/>
  <c r="EI35" i="19"/>
  <c r="EQ35" i="19"/>
  <c r="EW35" i="19"/>
  <c r="FD35" i="19"/>
  <c r="FL35" i="19"/>
  <c r="DW35" i="19"/>
  <c r="EC35" i="19"/>
  <c r="EK35" i="19"/>
  <c r="ER35" i="19"/>
  <c r="EY35" i="19"/>
  <c r="FG35" i="19"/>
  <c r="FM35" i="19"/>
  <c r="DX35" i="19"/>
  <c r="EF35" i="19"/>
  <c r="EM35" i="19"/>
  <c r="ES35" i="19"/>
  <c r="FA35" i="19"/>
  <c r="FH35" i="19"/>
  <c r="DV31" i="19"/>
  <c r="DZ31" i="19"/>
  <c r="ED31" i="19"/>
  <c r="EH31" i="19"/>
  <c r="EL31" i="19"/>
  <c r="EP31" i="19"/>
  <c r="ET31" i="19"/>
  <c r="EX31" i="19"/>
  <c r="FB31" i="19"/>
  <c r="FF31" i="19"/>
  <c r="FJ31" i="19"/>
  <c r="FN31" i="19"/>
  <c r="DW31" i="19"/>
  <c r="EB31" i="19"/>
  <c r="EG31" i="19"/>
  <c r="EM31" i="19"/>
  <c r="ER31" i="19"/>
  <c r="EW31" i="19"/>
  <c r="FC31" i="19"/>
  <c r="FH31" i="19"/>
  <c r="FM31" i="19"/>
  <c r="DX31" i="19"/>
  <c r="EC31" i="19"/>
  <c r="EI31" i="19"/>
  <c r="EN31" i="19"/>
  <c r="ES31" i="19"/>
  <c r="EY31" i="19"/>
  <c r="FD31" i="19"/>
  <c r="FI31" i="19"/>
  <c r="EA31" i="19"/>
  <c r="EF31" i="19"/>
  <c r="EK31" i="19"/>
  <c r="EQ31" i="19"/>
  <c r="EV31" i="19"/>
  <c r="FA31" i="19"/>
  <c r="FG31" i="19"/>
  <c r="FL31" i="19"/>
  <c r="EE31" i="19"/>
  <c r="EZ31" i="19"/>
  <c r="EJ31" i="19"/>
  <c r="FE31" i="19"/>
  <c r="EO31" i="19"/>
  <c r="FK31" i="19"/>
  <c r="DY31" i="19"/>
  <c r="EU31" i="19"/>
  <c r="DY27" i="19"/>
  <c r="EC27" i="19"/>
  <c r="EG27" i="19"/>
  <c r="EK27" i="19"/>
  <c r="EO27" i="19"/>
  <c r="DZ27" i="19"/>
  <c r="EE27" i="19"/>
  <c r="EJ27" i="19"/>
  <c r="EP27" i="19"/>
  <c r="ET27" i="19"/>
  <c r="EX27" i="19"/>
  <c r="FB27" i="19"/>
  <c r="FF27" i="19"/>
  <c r="FJ27" i="19"/>
  <c r="FN27" i="19"/>
  <c r="DX27" i="19"/>
  <c r="EF27" i="19"/>
  <c r="EM27" i="19"/>
  <c r="ES27" i="19"/>
  <c r="EY27" i="19"/>
  <c r="FD27" i="19"/>
  <c r="FI27" i="19"/>
  <c r="EA27" i="19"/>
  <c r="EH27" i="19"/>
  <c r="EN27" i="19"/>
  <c r="EU27" i="19"/>
  <c r="EZ27" i="19"/>
  <c r="FE27" i="19"/>
  <c r="FK27" i="19"/>
  <c r="DV27" i="19"/>
  <c r="EB27" i="19"/>
  <c r="EI27" i="19"/>
  <c r="EQ27" i="19"/>
  <c r="DW27" i="19"/>
  <c r="ED27" i="19"/>
  <c r="EL27" i="19"/>
  <c r="ER27" i="19"/>
  <c r="EW27" i="19"/>
  <c r="FC27" i="19"/>
  <c r="FH27" i="19"/>
  <c r="FM27" i="19"/>
  <c r="EV27" i="19"/>
  <c r="FA27" i="19"/>
  <c r="FG27" i="19"/>
  <c r="FL27" i="19"/>
  <c r="DY23" i="19"/>
  <c r="EC23" i="19"/>
  <c r="EG23" i="19"/>
  <c r="EK23" i="19"/>
  <c r="EO23" i="19"/>
  <c r="ES23" i="19"/>
  <c r="EW23" i="19"/>
  <c r="FA23" i="19"/>
  <c r="FE23" i="19"/>
  <c r="FI23" i="19"/>
  <c r="FM23" i="19"/>
  <c r="DV23" i="19"/>
  <c r="EA23" i="19"/>
  <c r="EF23" i="19"/>
  <c r="EL23" i="19"/>
  <c r="EQ23" i="19"/>
  <c r="EV23" i="19"/>
  <c r="FB23" i="19"/>
  <c r="FG23" i="19"/>
  <c r="FL23" i="19"/>
  <c r="EB23" i="19"/>
  <c r="EI23" i="19"/>
  <c r="EP23" i="19"/>
  <c r="EX23" i="19"/>
  <c r="FD23" i="19"/>
  <c r="FK23" i="19"/>
  <c r="DW23" i="19"/>
  <c r="ED23" i="19"/>
  <c r="EJ23" i="19"/>
  <c r="ER23" i="19"/>
  <c r="EY23" i="19"/>
  <c r="FF23" i="19"/>
  <c r="FN23" i="19"/>
  <c r="DX23" i="19"/>
  <c r="EE23" i="19"/>
  <c r="EM23" i="19"/>
  <c r="ET23" i="19"/>
  <c r="EZ23" i="19"/>
  <c r="FH23" i="19"/>
  <c r="DZ23" i="19"/>
  <c r="EH23" i="19"/>
  <c r="EN23" i="19"/>
  <c r="EU23" i="19"/>
  <c r="FC23" i="19"/>
  <c r="FJ23" i="19"/>
  <c r="DY19" i="19"/>
  <c r="EC19" i="19"/>
  <c r="EG19" i="19"/>
  <c r="EK19" i="19"/>
  <c r="EO19" i="19"/>
  <c r="ES19" i="19"/>
  <c r="EW19" i="19"/>
  <c r="FA19" i="19"/>
  <c r="FE19" i="19"/>
  <c r="FI19" i="19"/>
  <c r="FM19" i="19"/>
  <c r="DW19" i="19"/>
  <c r="EB19" i="19"/>
  <c r="EH19" i="19"/>
  <c r="EM19" i="19"/>
  <c r="ER19" i="19"/>
  <c r="EX19" i="19"/>
  <c r="FC19" i="19"/>
  <c r="FH19" i="19"/>
  <c r="FN19" i="19"/>
  <c r="DX19" i="19"/>
  <c r="EE19" i="19"/>
  <c r="EL19" i="19"/>
  <c r="ET19" i="19"/>
  <c r="EZ19" i="19"/>
  <c r="FG19" i="19"/>
  <c r="DZ19" i="19"/>
  <c r="EF19" i="19"/>
  <c r="EN19" i="19"/>
  <c r="EU19" i="19"/>
  <c r="FB19" i="19"/>
  <c r="FJ19" i="19"/>
  <c r="EA19" i="19"/>
  <c r="EI19" i="19"/>
  <c r="EP19" i="19"/>
  <c r="EV19" i="19"/>
  <c r="FD19" i="19"/>
  <c r="FK19" i="19"/>
  <c r="DV19" i="19"/>
  <c r="ED19" i="19"/>
  <c r="EJ19" i="19"/>
  <c r="EQ19" i="19"/>
  <c r="EY19" i="19"/>
  <c r="FF19" i="19"/>
  <c r="FL19" i="19"/>
  <c r="DY15" i="19"/>
  <c r="EC15" i="19"/>
  <c r="EG15" i="19"/>
  <c r="EK15" i="19"/>
  <c r="EO15" i="19"/>
  <c r="ES15" i="19"/>
  <c r="EW15" i="19"/>
  <c r="FA15" i="19"/>
  <c r="FE15" i="19"/>
  <c r="FI15" i="19"/>
  <c r="FM15" i="19"/>
  <c r="DX15" i="19"/>
  <c r="ED15" i="19"/>
  <c r="EI15" i="19"/>
  <c r="EN15" i="19"/>
  <c r="ET15" i="19"/>
  <c r="EY15" i="19"/>
  <c r="FD15" i="19"/>
  <c r="FJ15" i="19"/>
  <c r="EA15" i="19"/>
  <c r="EH15" i="19"/>
  <c r="EP15" i="19"/>
  <c r="EV15" i="19"/>
  <c r="FC15" i="19"/>
  <c r="FK15" i="19"/>
  <c r="DV15" i="19"/>
  <c r="EB15" i="19"/>
  <c r="EJ15" i="19"/>
  <c r="EQ15" i="19"/>
  <c r="EX15" i="19"/>
  <c r="FF15" i="19"/>
  <c r="FL15" i="19"/>
  <c r="DW15" i="19"/>
  <c r="EE15" i="19"/>
  <c r="EL15" i="19"/>
  <c r="ER15" i="19"/>
  <c r="EZ15" i="19"/>
  <c r="FG15" i="19"/>
  <c r="FN15" i="19"/>
  <c r="DZ15" i="19"/>
  <c r="EF15" i="19"/>
  <c r="EM15" i="19"/>
  <c r="EU15" i="19"/>
  <c r="FB15" i="19"/>
  <c r="FH15" i="19"/>
  <c r="DY11" i="19"/>
  <c r="EC11" i="19"/>
  <c r="EG11" i="19"/>
  <c r="EK11" i="19"/>
  <c r="EO11" i="19"/>
  <c r="ES11" i="19"/>
  <c r="EW11" i="19"/>
  <c r="FA11" i="19"/>
  <c r="FE11" i="19"/>
  <c r="FI11" i="19"/>
  <c r="FM11" i="19"/>
  <c r="DV11" i="19"/>
  <c r="EA11" i="19"/>
  <c r="EF11" i="19"/>
  <c r="EL11" i="19"/>
  <c r="EQ11" i="19"/>
  <c r="EV11" i="19"/>
  <c r="FB11" i="19"/>
  <c r="FG11" i="19"/>
  <c r="FL11" i="19"/>
  <c r="DZ11" i="19"/>
  <c r="EE11" i="19"/>
  <c r="EJ11" i="19"/>
  <c r="EP11" i="19"/>
  <c r="EU11" i="19"/>
  <c r="EZ11" i="19"/>
  <c r="FF11" i="19"/>
  <c r="FK11" i="19"/>
  <c r="EB11" i="19"/>
  <c r="EM11" i="19"/>
  <c r="EX11" i="19"/>
  <c r="FH11" i="19"/>
  <c r="ED11" i="19"/>
  <c r="EN11" i="19"/>
  <c r="EY11" i="19"/>
  <c r="FJ11" i="19"/>
  <c r="DW11" i="19"/>
  <c r="EH11" i="19"/>
  <c r="ER11" i="19"/>
  <c r="FC11" i="19"/>
  <c r="FN11" i="19"/>
  <c r="DX11" i="19"/>
  <c r="EI11" i="19"/>
  <c r="ET11" i="19"/>
  <c r="FD11" i="19"/>
  <c r="DY7" i="19"/>
  <c r="EC7" i="19"/>
  <c r="EG7" i="19"/>
  <c r="EK7" i="19"/>
  <c r="EO7" i="19"/>
  <c r="ES7" i="19"/>
  <c r="EW7" i="19"/>
  <c r="FA7" i="19"/>
  <c r="FE7" i="19"/>
  <c r="FI7" i="19"/>
  <c r="FM7" i="19"/>
  <c r="DW7" i="19"/>
  <c r="EB7" i="19"/>
  <c r="EH7" i="19"/>
  <c r="EM7" i="19"/>
  <c r="ER7" i="19"/>
  <c r="EX7" i="19"/>
  <c r="FC7" i="19"/>
  <c r="FH7" i="19"/>
  <c r="FN7" i="19"/>
  <c r="DX7" i="19"/>
  <c r="ED7" i="19"/>
  <c r="EI7" i="19"/>
  <c r="DV7" i="19"/>
  <c r="EA7" i="19"/>
  <c r="EF7" i="19"/>
  <c r="EL7" i="19"/>
  <c r="EQ7" i="19"/>
  <c r="EV7" i="19"/>
  <c r="FB7" i="19"/>
  <c r="FG7" i="19"/>
  <c r="FL7" i="19"/>
  <c r="EE7" i="19"/>
  <c r="ET7" i="19"/>
  <c r="FD7" i="19"/>
  <c r="EJ7" i="19"/>
  <c r="EU7" i="19"/>
  <c r="FF7" i="19"/>
  <c r="EN7" i="19"/>
  <c r="EY7" i="19"/>
  <c r="FJ7" i="19"/>
  <c r="DZ7" i="19"/>
  <c r="EP7" i="19"/>
  <c r="EZ7" i="19"/>
  <c r="FK7" i="19"/>
  <c r="BG37" i="19"/>
  <c r="BP37" i="19"/>
  <c r="BV37" i="19"/>
  <c r="CB37" i="19"/>
  <c r="CH37" i="19"/>
  <c r="CM37" i="19"/>
  <c r="CZ37" i="19"/>
  <c r="DF37" i="19"/>
  <c r="DK37" i="19"/>
  <c r="AW37" i="19"/>
  <c r="BC37" i="19"/>
  <c r="AP37" i="19"/>
  <c r="AT37" i="19"/>
  <c r="AB37" i="19"/>
  <c r="BN37" i="19"/>
  <c r="BS37" i="19"/>
  <c r="BW37" i="19"/>
  <c r="CA37" i="19"/>
  <c r="CG37" i="19"/>
  <c r="CN37" i="19"/>
  <c r="CU37" i="19"/>
  <c r="CY37" i="19"/>
  <c r="DG37" i="19"/>
  <c r="DM37" i="19"/>
  <c r="BJ37" i="19"/>
  <c r="BO37" i="19"/>
  <c r="BT37" i="19"/>
  <c r="BX37" i="19"/>
  <c r="CJ37" i="19"/>
  <c r="CO37" i="19"/>
  <c r="CV37" i="19"/>
  <c r="DB37" i="19"/>
  <c r="DH37" i="19"/>
  <c r="DN37" i="19"/>
  <c r="BH37" i="19"/>
  <c r="BK37" i="19"/>
  <c r="BQ37" i="19"/>
  <c r="BU37" i="19"/>
  <c r="BY37" i="19"/>
  <c r="CC37" i="19"/>
  <c r="CK37" i="19"/>
  <c r="CP37" i="19"/>
  <c r="CW37" i="19"/>
  <c r="DD37" i="19"/>
  <c r="DI37" i="19"/>
  <c r="DJ37" i="19"/>
  <c r="BF37" i="19"/>
  <c r="BI37" i="19"/>
  <c r="BM37" i="19"/>
  <c r="BR37" i="19"/>
  <c r="BZ37" i="19"/>
  <c r="CD37" i="19"/>
  <c r="CL37" i="19"/>
  <c r="CR37" i="19"/>
  <c r="CX37" i="19"/>
  <c r="DE37" i="19"/>
  <c r="DL37" i="19"/>
  <c r="AY37" i="19"/>
  <c r="AD37" i="19"/>
  <c r="AU37" i="19"/>
  <c r="BB37" i="19"/>
  <c r="AR37" i="19"/>
  <c r="BD37" i="19"/>
  <c r="AS37" i="19"/>
  <c r="AA37" i="19"/>
  <c r="BE37" i="19"/>
  <c r="AV37" i="19"/>
  <c r="AC37" i="19"/>
  <c r="AX37" i="19"/>
  <c r="AQ37" i="19"/>
  <c r="BM33" i="19"/>
  <c r="BQ33" i="19"/>
  <c r="BT33" i="19"/>
  <c r="BW33" i="19"/>
  <c r="BZ33" i="19"/>
  <c r="CC33" i="19"/>
  <c r="CJ33" i="19"/>
  <c r="CN33" i="19"/>
  <c r="CR33" i="19"/>
  <c r="CW33" i="19"/>
  <c r="DB33" i="19"/>
  <c r="DG33" i="19"/>
  <c r="BF33" i="19"/>
  <c r="BI33" i="19"/>
  <c r="BH33" i="19"/>
  <c r="BK33" i="19"/>
  <c r="BP33" i="19"/>
  <c r="BU33" i="19"/>
  <c r="BY33" i="19"/>
  <c r="CB33" i="19"/>
  <c r="CK33" i="19"/>
  <c r="CP33" i="19"/>
  <c r="DD33" i="19"/>
  <c r="DI33" i="19"/>
  <c r="DK33" i="19"/>
  <c r="AW33" i="19"/>
  <c r="BC33" i="19"/>
  <c r="AP33" i="19"/>
  <c r="AT33" i="19"/>
  <c r="AB33" i="19"/>
  <c r="BN33" i="19"/>
  <c r="CG33" i="19"/>
  <c r="CO33" i="19"/>
  <c r="CX33" i="19"/>
  <c r="DF33" i="19"/>
  <c r="DL33" i="19"/>
  <c r="BD33" i="19"/>
  <c r="BG33" i="19"/>
  <c r="BO33" i="19"/>
  <c r="CA33" i="19"/>
  <c r="CH33" i="19"/>
  <c r="CY33" i="19"/>
  <c r="DH33" i="19"/>
  <c r="DM33" i="19"/>
  <c r="AX33" i="19"/>
  <c r="BE33" i="19"/>
  <c r="BR33" i="19"/>
  <c r="BV33" i="19"/>
  <c r="CL33" i="19"/>
  <c r="CU33" i="19"/>
  <c r="CZ33" i="19"/>
  <c r="DN33" i="19"/>
  <c r="AY33" i="19"/>
  <c r="BJ33" i="19"/>
  <c r="BS33" i="19"/>
  <c r="BX33" i="19"/>
  <c r="CD33" i="19"/>
  <c r="CM33" i="19"/>
  <c r="CV33" i="19"/>
  <c r="DE33" i="19"/>
  <c r="DJ33" i="19"/>
  <c r="BB33" i="19"/>
  <c r="AD33" i="19"/>
  <c r="AU33" i="19"/>
  <c r="AC33" i="19"/>
  <c r="AV33" i="19"/>
  <c r="AQ33" i="19"/>
  <c r="AA33" i="19"/>
  <c r="AR33" i="19"/>
  <c r="AS33" i="19"/>
  <c r="BI29" i="19"/>
  <c r="BK29" i="19"/>
  <c r="BO29" i="19"/>
  <c r="BS29" i="19"/>
  <c r="BY29" i="19"/>
  <c r="CG29" i="19"/>
  <c r="CL29" i="19"/>
  <c r="CP29" i="19"/>
  <c r="CV29" i="19"/>
  <c r="CY29" i="19"/>
  <c r="DE29" i="19"/>
  <c r="DI29" i="19"/>
  <c r="BF29" i="19"/>
  <c r="BM29" i="19"/>
  <c r="BR29" i="19"/>
  <c r="BV29" i="19"/>
  <c r="BZ29" i="19"/>
  <c r="CD29" i="19"/>
  <c r="CM29" i="19"/>
  <c r="CR29" i="19"/>
  <c r="CX29" i="19"/>
  <c r="DF29" i="19"/>
  <c r="BH29" i="19"/>
  <c r="BN29" i="19"/>
  <c r="BT29" i="19"/>
  <c r="CH29" i="19"/>
  <c r="CO29" i="19"/>
  <c r="CW29" i="19"/>
  <c r="DG29" i="19"/>
  <c r="BX29" i="19"/>
  <c r="CC29" i="19"/>
  <c r="CN29" i="19"/>
  <c r="DD29" i="19"/>
  <c r="DK29" i="19"/>
  <c r="AW29" i="19"/>
  <c r="BC29" i="19"/>
  <c r="AP29" i="19"/>
  <c r="AT29" i="19"/>
  <c r="AB29" i="19"/>
  <c r="BP29" i="19"/>
  <c r="CA29" i="19"/>
  <c r="DH29" i="19"/>
  <c r="DJ29" i="19"/>
  <c r="AX29" i="19"/>
  <c r="BE29" i="19"/>
  <c r="BG29" i="19"/>
  <c r="BQ29" i="19"/>
  <c r="CB29" i="19"/>
  <c r="CU29" i="19"/>
  <c r="DL29" i="19"/>
  <c r="AY29" i="19"/>
  <c r="BU29" i="19"/>
  <c r="CJ29" i="19"/>
  <c r="CZ29" i="19"/>
  <c r="DM29" i="19"/>
  <c r="BB29" i="19"/>
  <c r="BJ29" i="19"/>
  <c r="BW29" i="19"/>
  <c r="CK29" i="19"/>
  <c r="DB29" i="19"/>
  <c r="DN29" i="19"/>
  <c r="BD29" i="19"/>
  <c r="AD29" i="19"/>
  <c r="AU29" i="19"/>
  <c r="AA29" i="19"/>
  <c r="AR29" i="19"/>
  <c r="AS29" i="19"/>
  <c r="AC29" i="19"/>
  <c r="AV29" i="19"/>
  <c r="AQ29" i="19"/>
  <c r="BM25" i="19"/>
  <c r="BQ25" i="19"/>
  <c r="BT25" i="19"/>
  <c r="BW25" i="19"/>
  <c r="BZ25" i="19"/>
  <c r="CC25" i="19"/>
  <c r="CJ25" i="19"/>
  <c r="CN25" i="19"/>
  <c r="CR25" i="19"/>
  <c r="CW25" i="19"/>
  <c r="DB25" i="19"/>
  <c r="DG25" i="19"/>
  <c r="BF25" i="19"/>
  <c r="BI25" i="19"/>
  <c r="BR25" i="19"/>
  <c r="CD25" i="19"/>
  <c r="CL25" i="19"/>
  <c r="CX25" i="19"/>
  <c r="DE25" i="19"/>
  <c r="BO25" i="19"/>
  <c r="BU25" i="19"/>
  <c r="CA25" i="19"/>
  <c r="CH25" i="19"/>
  <c r="CP25" i="19"/>
  <c r="BJ25" i="19"/>
  <c r="BP25" i="19"/>
  <c r="BV25" i="19"/>
  <c r="CK25" i="19"/>
  <c r="CU25" i="19"/>
  <c r="CZ25" i="19"/>
  <c r="DI25" i="19"/>
  <c r="BH25" i="19"/>
  <c r="CG25" i="19"/>
  <c r="DH25" i="19"/>
  <c r="BG25" i="19"/>
  <c r="BS25" i="19"/>
  <c r="CB25" i="19"/>
  <c r="CV25" i="19"/>
  <c r="DF25" i="19"/>
  <c r="DK25" i="19"/>
  <c r="AW25" i="19"/>
  <c r="BC25" i="19"/>
  <c r="AP25" i="19"/>
  <c r="AT25" i="19"/>
  <c r="AB25" i="19"/>
  <c r="BX25" i="19"/>
  <c r="CY25" i="19"/>
  <c r="DN25" i="19"/>
  <c r="AY25" i="19"/>
  <c r="BY25" i="19"/>
  <c r="DD25" i="19"/>
  <c r="DJ25" i="19"/>
  <c r="BB25" i="19"/>
  <c r="BK25" i="19"/>
  <c r="CM25" i="19"/>
  <c r="DL25" i="19"/>
  <c r="BD25" i="19"/>
  <c r="BN25" i="19"/>
  <c r="CO25" i="19"/>
  <c r="DM25" i="19"/>
  <c r="AX25" i="19"/>
  <c r="BE25" i="19"/>
  <c r="AD25" i="19"/>
  <c r="AU25" i="19"/>
  <c r="AV25" i="19"/>
  <c r="AA25" i="19"/>
  <c r="AQ25" i="19"/>
  <c r="AC25" i="19"/>
  <c r="AR25" i="19"/>
  <c r="AS25" i="19"/>
  <c r="BM21" i="19"/>
  <c r="BQ21" i="19"/>
  <c r="BT21" i="19"/>
  <c r="BW21" i="19"/>
  <c r="BZ21" i="19"/>
  <c r="CC21" i="19"/>
  <c r="CJ21" i="19"/>
  <c r="CN21" i="19"/>
  <c r="CR21" i="19"/>
  <c r="CW21" i="19"/>
  <c r="DB21" i="19"/>
  <c r="DG21" i="19"/>
  <c r="BH21" i="19"/>
  <c r="BK21" i="19"/>
  <c r="BP21" i="19"/>
  <c r="BU21" i="19"/>
  <c r="BY21" i="19"/>
  <c r="CB21" i="19"/>
  <c r="CK21" i="19"/>
  <c r="CP21" i="19"/>
  <c r="DD21" i="19"/>
  <c r="DI21" i="19"/>
  <c r="BG21" i="19"/>
  <c r="BS21" i="19"/>
  <c r="BX21" i="19"/>
  <c r="CD21" i="19"/>
  <c r="CM21" i="19"/>
  <c r="CV21" i="19"/>
  <c r="DE21" i="19"/>
  <c r="BI21" i="19"/>
  <c r="BN21" i="19"/>
  <c r="CG21" i="19"/>
  <c r="CO21" i="19"/>
  <c r="CX21" i="19"/>
  <c r="DF21" i="19"/>
  <c r="BF21" i="19"/>
  <c r="BO21" i="19"/>
  <c r="CA21" i="19"/>
  <c r="CH21" i="19"/>
  <c r="CY21" i="19"/>
  <c r="DH21" i="19"/>
  <c r="BJ21" i="19"/>
  <c r="BR21" i="19"/>
  <c r="BV21" i="19"/>
  <c r="CL21" i="19"/>
  <c r="CU21" i="19"/>
  <c r="CZ21" i="19"/>
  <c r="DK21" i="19"/>
  <c r="AW21" i="19"/>
  <c r="BC21" i="19"/>
  <c r="AP21" i="19"/>
  <c r="AT21" i="19"/>
  <c r="AB21" i="19"/>
  <c r="DM21" i="19"/>
  <c r="BB21" i="19"/>
  <c r="DN21" i="19"/>
  <c r="BD21" i="19"/>
  <c r="DJ21" i="19"/>
  <c r="AX21" i="19"/>
  <c r="BE21" i="19"/>
  <c r="DL21" i="19"/>
  <c r="AY21" i="19"/>
  <c r="AD21" i="19"/>
  <c r="AU21" i="19"/>
  <c r="AR21" i="19"/>
  <c r="AA21" i="19"/>
  <c r="AS21" i="19"/>
  <c r="AC21" i="19"/>
  <c r="AV21" i="19"/>
  <c r="AQ21" i="19"/>
  <c r="BM17" i="19"/>
  <c r="BQ17" i="19"/>
  <c r="BT17" i="19"/>
  <c r="BW17" i="19"/>
  <c r="BZ17" i="19"/>
  <c r="CC17" i="19"/>
  <c r="CJ17" i="19"/>
  <c r="CN17" i="19"/>
  <c r="CR17" i="19"/>
  <c r="CW17" i="19"/>
  <c r="DB17" i="19"/>
  <c r="DG17" i="19"/>
  <c r="BG17" i="19"/>
  <c r="BJ17" i="19"/>
  <c r="BO17" i="19"/>
  <c r="BX17" i="19"/>
  <c r="CH17" i="19"/>
  <c r="CO17" i="19"/>
  <c r="CV17" i="19"/>
  <c r="CZ17" i="19"/>
  <c r="DH17" i="19"/>
  <c r="BH17" i="19"/>
  <c r="BS17" i="19"/>
  <c r="BY17" i="19"/>
  <c r="CD17" i="19"/>
  <c r="CM17" i="19"/>
  <c r="DE17" i="19"/>
  <c r="BI17" i="19"/>
  <c r="BN17" i="19"/>
  <c r="BU17" i="19"/>
  <c r="CG17" i="19"/>
  <c r="CP17" i="19"/>
  <c r="CX17" i="19"/>
  <c r="DF17" i="19"/>
  <c r="BF17" i="19"/>
  <c r="BP17" i="19"/>
  <c r="CA17" i="19"/>
  <c r="CK17" i="19"/>
  <c r="CY17" i="19"/>
  <c r="DI17" i="19"/>
  <c r="BK17" i="19"/>
  <c r="BR17" i="19"/>
  <c r="BV17" i="19"/>
  <c r="CB17" i="19"/>
  <c r="CL17" i="19"/>
  <c r="CU17" i="19"/>
  <c r="DD17" i="19"/>
  <c r="DK17" i="19"/>
  <c r="AW17" i="19"/>
  <c r="BC17" i="19"/>
  <c r="AP17" i="19"/>
  <c r="AT17" i="19"/>
  <c r="AB17" i="19"/>
  <c r="DL17" i="19"/>
  <c r="BD17" i="19"/>
  <c r="DM17" i="19"/>
  <c r="AX17" i="19"/>
  <c r="BE17" i="19"/>
  <c r="DN17" i="19"/>
  <c r="AY17" i="19"/>
  <c r="DJ17" i="19"/>
  <c r="BB17" i="19"/>
  <c r="AD17" i="19"/>
  <c r="AU17" i="19"/>
  <c r="AC17" i="19"/>
  <c r="AV17" i="19"/>
  <c r="AA17" i="19"/>
  <c r="AQ17" i="19"/>
  <c r="AR17" i="19"/>
  <c r="AS17" i="19"/>
  <c r="BI13" i="19"/>
  <c r="BK13" i="19"/>
  <c r="BO13" i="19"/>
  <c r="BS13" i="19"/>
  <c r="BY13" i="19"/>
  <c r="CG13" i="19"/>
  <c r="CL13" i="19"/>
  <c r="CP13" i="19"/>
  <c r="CV13" i="19"/>
  <c r="CY13" i="19"/>
  <c r="DE13" i="19"/>
  <c r="DI13" i="19"/>
  <c r="BF13" i="19"/>
  <c r="BM13" i="19"/>
  <c r="BR13" i="19"/>
  <c r="BV13" i="19"/>
  <c r="BZ13" i="19"/>
  <c r="CD13" i="19"/>
  <c r="CM13" i="19"/>
  <c r="CR13" i="19"/>
  <c r="CX13" i="19"/>
  <c r="DF13" i="19"/>
  <c r="BH13" i="19"/>
  <c r="BN13" i="19"/>
  <c r="BT13" i="19"/>
  <c r="CH13" i="19"/>
  <c r="CO13" i="19"/>
  <c r="CW13" i="19"/>
  <c r="DG13" i="19"/>
  <c r="BP13" i="19"/>
  <c r="BU13" i="19"/>
  <c r="CA13" i="19"/>
  <c r="CJ13" i="19"/>
  <c r="CZ13" i="19"/>
  <c r="DH13" i="19"/>
  <c r="BG13" i="19"/>
  <c r="BJ13" i="19"/>
  <c r="BQ13" i="19"/>
  <c r="BW13" i="19"/>
  <c r="CB13" i="19"/>
  <c r="CK13" i="19"/>
  <c r="CU13" i="19"/>
  <c r="DB13" i="19"/>
  <c r="BX13" i="19"/>
  <c r="CC13" i="19"/>
  <c r="CN13" i="19"/>
  <c r="DD13" i="19"/>
  <c r="DK13" i="19"/>
  <c r="AW13" i="19"/>
  <c r="BC13" i="19"/>
  <c r="AP13" i="19"/>
  <c r="AT13" i="19"/>
  <c r="AB13" i="19"/>
  <c r="DJ13" i="19"/>
  <c r="AX13" i="19"/>
  <c r="BE13" i="19"/>
  <c r="DL13" i="19"/>
  <c r="AY13" i="19"/>
  <c r="DM13" i="19"/>
  <c r="BB13" i="19"/>
  <c r="DN13" i="19"/>
  <c r="BD13" i="19"/>
  <c r="AD13" i="19"/>
  <c r="AU13" i="19"/>
  <c r="AA13" i="19"/>
  <c r="AR13" i="19"/>
  <c r="AC13" i="19"/>
  <c r="AS13" i="19"/>
  <c r="AV13" i="19"/>
  <c r="AQ13" i="19"/>
  <c r="BM9" i="19"/>
  <c r="BQ9" i="19"/>
  <c r="BT9" i="19"/>
  <c r="BW9" i="19"/>
  <c r="BZ9" i="19"/>
  <c r="CC9" i="19"/>
  <c r="CJ9" i="19"/>
  <c r="CN9" i="19"/>
  <c r="CR9" i="19"/>
  <c r="CW9" i="19"/>
  <c r="BN9" i="19"/>
  <c r="BS9" i="19"/>
  <c r="BV9" i="19"/>
  <c r="CA9" i="19"/>
  <c r="CG9" i="19"/>
  <c r="CM9" i="19"/>
  <c r="CU9" i="19"/>
  <c r="CY9" i="19"/>
  <c r="DE9" i="19"/>
  <c r="DI9" i="19"/>
  <c r="BI9" i="19"/>
  <c r="BO9" i="19"/>
  <c r="BU9" i="19"/>
  <c r="CH9" i="19"/>
  <c r="CP9" i="19"/>
  <c r="CX9" i="19"/>
  <c r="DF9" i="19"/>
  <c r="BH9" i="19"/>
  <c r="BY9" i="19"/>
  <c r="CD9" i="19"/>
  <c r="CO9" i="19"/>
  <c r="DD9" i="19"/>
  <c r="BJ9" i="19"/>
  <c r="CK9" i="19"/>
  <c r="CZ9" i="19"/>
  <c r="BK9" i="19"/>
  <c r="BX9" i="19"/>
  <c r="CL9" i="19"/>
  <c r="DB9" i="19"/>
  <c r="BF9" i="19"/>
  <c r="BP9" i="19"/>
  <c r="DG9" i="19"/>
  <c r="BG9" i="19"/>
  <c r="BR9" i="19"/>
  <c r="CB9" i="19"/>
  <c r="CV9" i="19"/>
  <c r="DH9" i="19"/>
  <c r="DK9" i="19"/>
  <c r="AW9" i="19"/>
  <c r="BC9" i="19"/>
  <c r="AP9" i="19"/>
  <c r="AT9" i="19"/>
  <c r="AB9" i="19"/>
  <c r="DN9" i="19"/>
  <c r="AY9" i="19"/>
  <c r="DJ9" i="19"/>
  <c r="BB9" i="19"/>
  <c r="DL9" i="19"/>
  <c r="BD9" i="19"/>
  <c r="DM9" i="19"/>
  <c r="AX9" i="19"/>
  <c r="BE9" i="19"/>
  <c r="AD9" i="19"/>
  <c r="AU9" i="19"/>
  <c r="AV9" i="19"/>
  <c r="AC9" i="19"/>
  <c r="AQ9" i="19"/>
  <c r="AR9" i="19"/>
  <c r="AS9" i="19"/>
  <c r="AA9" i="19"/>
  <c r="DY34" i="19"/>
  <c r="EC34" i="19"/>
  <c r="EG34" i="19"/>
  <c r="EK34" i="19"/>
  <c r="EO34" i="19"/>
  <c r="ES34" i="19"/>
  <c r="EW34" i="19"/>
  <c r="FA34" i="19"/>
  <c r="FE34" i="19"/>
  <c r="FI34" i="19"/>
  <c r="FM34" i="19"/>
  <c r="DX34" i="19"/>
  <c r="ED34" i="19"/>
  <c r="EI34" i="19"/>
  <c r="EN34" i="19"/>
  <c r="ET34" i="19"/>
  <c r="EY34" i="19"/>
  <c r="FD34" i="19"/>
  <c r="FJ34" i="19"/>
  <c r="DW34" i="19"/>
  <c r="EE34" i="19"/>
  <c r="EL34" i="19"/>
  <c r="ER34" i="19"/>
  <c r="EZ34" i="19"/>
  <c r="FG34" i="19"/>
  <c r="FN34" i="19"/>
  <c r="DZ34" i="19"/>
  <c r="EF34" i="19"/>
  <c r="EM34" i="19"/>
  <c r="EU34" i="19"/>
  <c r="FB34" i="19"/>
  <c r="FH34" i="19"/>
  <c r="EA34" i="19"/>
  <c r="EH34" i="19"/>
  <c r="EP34" i="19"/>
  <c r="EV34" i="19"/>
  <c r="FC34" i="19"/>
  <c r="FK34" i="19"/>
  <c r="DV34" i="19"/>
  <c r="EB34" i="19"/>
  <c r="EJ34" i="19"/>
  <c r="EQ34" i="19"/>
  <c r="EX34" i="19"/>
  <c r="FF34" i="19"/>
  <c r="FL34" i="19"/>
  <c r="DY30" i="19"/>
  <c r="EC30" i="19"/>
  <c r="EG30" i="19"/>
  <c r="EK30" i="19"/>
  <c r="EO30" i="19"/>
  <c r="ES30" i="19"/>
  <c r="EW30" i="19"/>
  <c r="FA30" i="19"/>
  <c r="FE30" i="19"/>
  <c r="FI30" i="19"/>
  <c r="FM30" i="19"/>
  <c r="DV30" i="19"/>
  <c r="EA30" i="19"/>
  <c r="EF30" i="19"/>
  <c r="EL30" i="19"/>
  <c r="EQ30" i="19"/>
  <c r="EV30" i="19"/>
  <c r="FB30" i="19"/>
  <c r="FG30" i="19"/>
  <c r="FL30" i="19"/>
  <c r="DW30" i="19"/>
  <c r="EB30" i="19"/>
  <c r="EH30" i="19"/>
  <c r="EM30" i="19"/>
  <c r="ER30" i="19"/>
  <c r="EX30" i="19"/>
  <c r="FC30" i="19"/>
  <c r="FH30" i="19"/>
  <c r="FN30" i="19"/>
  <c r="DZ30" i="19"/>
  <c r="EE30" i="19"/>
  <c r="EJ30" i="19"/>
  <c r="EP30" i="19"/>
  <c r="EU30" i="19"/>
  <c r="EZ30" i="19"/>
  <c r="FF30" i="19"/>
  <c r="FK30" i="19"/>
  <c r="EI30" i="19"/>
  <c r="FD30" i="19"/>
  <c r="EN30" i="19"/>
  <c r="FJ30" i="19"/>
  <c r="DX30" i="19"/>
  <c r="ET30" i="19"/>
  <c r="ED30" i="19"/>
  <c r="EY30" i="19"/>
  <c r="DX26" i="19"/>
  <c r="EB26" i="19"/>
  <c r="EF26" i="19"/>
  <c r="EJ26" i="19"/>
  <c r="EN26" i="19"/>
  <c r="ER26" i="19"/>
  <c r="EV26" i="19"/>
  <c r="EZ26" i="19"/>
  <c r="FD26" i="19"/>
  <c r="FH26" i="19"/>
  <c r="FL26" i="19"/>
  <c r="DY26" i="19"/>
  <c r="ED26" i="19"/>
  <c r="EI26" i="19"/>
  <c r="EO26" i="19"/>
  <c r="ET26" i="19"/>
  <c r="EY26" i="19"/>
  <c r="FE26" i="19"/>
  <c r="FJ26" i="19"/>
  <c r="DV26" i="19"/>
  <c r="EC26" i="19"/>
  <c r="EK26" i="19"/>
  <c r="EQ26" i="19"/>
  <c r="EX26" i="19"/>
  <c r="FF26" i="19"/>
  <c r="FM26" i="19"/>
  <c r="DW26" i="19"/>
  <c r="EE26" i="19"/>
  <c r="EL26" i="19"/>
  <c r="ES26" i="19"/>
  <c r="FA26" i="19"/>
  <c r="FG26" i="19"/>
  <c r="FN26" i="19"/>
  <c r="DZ26" i="19"/>
  <c r="EG26" i="19"/>
  <c r="EM26" i="19"/>
  <c r="EU26" i="19"/>
  <c r="FB26" i="19"/>
  <c r="FI26" i="19"/>
  <c r="EA26" i="19"/>
  <c r="EH26" i="19"/>
  <c r="EP26" i="19"/>
  <c r="EW26" i="19"/>
  <c r="FC26" i="19"/>
  <c r="FK26" i="19"/>
  <c r="DX22" i="19"/>
  <c r="EB22" i="19"/>
  <c r="EF22" i="19"/>
  <c r="EJ22" i="19"/>
  <c r="EN22" i="19"/>
  <c r="ER22" i="19"/>
  <c r="EV22" i="19"/>
  <c r="EZ22" i="19"/>
  <c r="FD22" i="19"/>
  <c r="FH22" i="19"/>
  <c r="FL22" i="19"/>
  <c r="DZ22" i="19"/>
  <c r="EE22" i="19"/>
  <c r="EK22" i="19"/>
  <c r="EP22" i="19"/>
  <c r="EU22" i="19"/>
  <c r="FA22" i="19"/>
  <c r="FF22" i="19"/>
  <c r="FK22" i="19"/>
  <c r="DY22" i="19"/>
  <c r="EG22" i="19"/>
  <c r="EM22" i="19"/>
  <c r="ET22" i="19"/>
  <c r="FB22" i="19"/>
  <c r="FI22" i="19"/>
  <c r="EA22" i="19"/>
  <c r="EH22" i="19"/>
  <c r="EO22" i="19"/>
  <c r="EW22" i="19"/>
  <c r="FC22" i="19"/>
  <c r="FJ22" i="19"/>
  <c r="DV22" i="19"/>
  <c r="EC22" i="19"/>
  <c r="EI22" i="19"/>
  <c r="EQ22" i="19"/>
  <c r="EX22" i="19"/>
  <c r="FE22" i="19"/>
  <c r="FM22" i="19"/>
  <c r="DW22" i="19"/>
  <c r="ED22" i="19"/>
  <c r="EL22" i="19"/>
  <c r="ES22" i="19"/>
  <c r="EY22" i="19"/>
  <c r="FG22" i="19"/>
  <c r="FN22" i="19"/>
  <c r="DX18" i="19"/>
  <c r="EB18" i="19"/>
  <c r="EF18" i="19"/>
  <c r="EJ18" i="19"/>
  <c r="EN18" i="19"/>
  <c r="ER18" i="19"/>
  <c r="EV18" i="19"/>
  <c r="EZ18" i="19"/>
  <c r="FD18" i="19"/>
  <c r="FH18" i="19"/>
  <c r="FL18" i="19"/>
  <c r="DV18" i="19"/>
  <c r="EA18" i="19"/>
  <c r="EG18" i="19"/>
  <c r="EL18" i="19"/>
  <c r="EQ18" i="19"/>
  <c r="EW18" i="19"/>
  <c r="FB18" i="19"/>
  <c r="FG18" i="19"/>
  <c r="FM18" i="19"/>
  <c r="EC18" i="19"/>
  <c r="EI18" i="19"/>
  <c r="EP18" i="19"/>
  <c r="EX18" i="19"/>
  <c r="FE18" i="19"/>
  <c r="FK18" i="19"/>
  <c r="DW18" i="19"/>
  <c r="ED18" i="19"/>
  <c r="EK18" i="19"/>
  <c r="ES18" i="19"/>
  <c r="EY18" i="19"/>
  <c r="FF18" i="19"/>
  <c r="FN18" i="19"/>
  <c r="DY18" i="19"/>
  <c r="EE18" i="19"/>
  <c r="EM18" i="19"/>
  <c r="ET18" i="19"/>
  <c r="FA18" i="19"/>
  <c r="FI18" i="19"/>
  <c r="DZ18" i="19"/>
  <c r="EH18" i="19"/>
  <c r="EO18" i="19"/>
  <c r="EU18" i="19"/>
  <c r="FC18" i="19"/>
  <c r="FJ18" i="19"/>
  <c r="DX14" i="19"/>
  <c r="EB14" i="19"/>
  <c r="EF14" i="19"/>
  <c r="EJ14" i="19"/>
  <c r="EN14" i="19"/>
  <c r="ER14" i="19"/>
  <c r="EV14" i="19"/>
  <c r="EZ14" i="19"/>
  <c r="FD14" i="19"/>
  <c r="FH14" i="19"/>
  <c r="FL14" i="19"/>
  <c r="DW14" i="19"/>
  <c r="EC14" i="19"/>
  <c r="EH14" i="19"/>
  <c r="EM14" i="19"/>
  <c r="ES14" i="19"/>
  <c r="EX14" i="19"/>
  <c r="FC14" i="19"/>
  <c r="FI14" i="19"/>
  <c r="FN14" i="19"/>
  <c r="DY14" i="19"/>
  <c r="EE14" i="19"/>
  <c r="EL14" i="19"/>
  <c r="ET14" i="19"/>
  <c r="FA14" i="19"/>
  <c r="FG14" i="19"/>
  <c r="DZ14" i="19"/>
  <c r="EG14" i="19"/>
  <c r="EO14" i="19"/>
  <c r="EU14" i="19"/>
  <c r="FB14" i="19"/>
  <c r="FJ14" i="19"/>
  <c r="EA14" i="19"/>
  <c r="EI14" i="19"/>
  <c r="EP14" i="19"/>
  <c r="EW14" i="19"/>
  <c r="FE14" i="19"/>
  <c r="FK14" i="19"/>
  <c r="DV14" i="19"/>
  <c r="ED14" i="19"/>
  <c r="EK14" i="19"/>
  <c r="EQ14" i="19"/>
  <c r="EY14" i="19"/>
  <c r="FF14" i="19"/>
  <c r="FM14" i="19"/>
  <c r="DX10" i="19"/>
  <c r="EB10" i="19"/>
  <c r="EF10" i="19"/>
  <c r="EJ10" i="19"/>
  <c r="EN10" i="19"/>
  <c r="ER10" i="19"/>
  <c r="EV10" i="19"/>
  <c r="EZ10" i="19"/>
  <c r="FD10" i="19"/>
  <c r="FH10" i="19"/>
  <c r="FL10" i="19"/>
  <c r="DZ10" i="19"/>
  <c r="EE10" i="19"/>
  <c r="EK10" i="19"/>
  <c r="EP10" i="19"/>
  <c r="EU10" i="19"/>
  <c r="FA10" i="19"/>
  <c r="FF10" i="19"/>
  <c r="FK10" i="19"/>
  <c r="DY10" i="19"/>
  <c r="ED10" i="19"/>
  <c r="EI10" i="19"/>
  <c r="EO10" i="19"/>
  <c r="ET10" i="19"/>
  <c r="EY10" i="19"/>
  <c r="FE10" i="19"/>
  <c r="FJ10" i="19"/>
  <c r="DV10" i="19"/>
  <c r="EG10" i="19"/>
  <c r="EQ10" i="19"/>
  <c r="FB10" i="19"/>
  <c r="FM10" i="19"/>
  <c r="DW10" i="19"/>
  <c r="EH10" i="19"/>
  <c r="ES10" i="19"/>
  <c r="FC10" i="19"/>
  <c r="FN10" i="19"/>
  <c r="EA10" i="19"/>
  <c r="EL10" i="19"/>
  <c r="EW10" i="19"/>
  <c r="FG10" i="19"/>
  <c r="EC10" i="19"/>
  <c r="EM10" i="19"/>
  <c r="EX10" i="19"/>
  <c r="FI10" i="19"/>
  <c r="DX6" i="19"/>
  <c r="EB6" i="19"/>
  <c r="EF6" i="19"/>
  <c r="EJ6" i="19"/>
  <c r="EN6" i="19"/>
  <c r="ER6" i="19"/>
  <c r="EV6" i="19"/>
  <c r="EZ6" i="19"/>
  <c r="FD6" i="19"/>
  <c r="FH6" i="19"/>
  <c r="FL6" i="19"/>
  <c r="DV6" i="19"/>
  <c r="EA6" i="19"/>
  <c r="EG6" i="19"/>
  <c r="EL6" i="19"/>
  <c r="EQ6" i="19"/>
  <c r="EW6" i="19"/>
  <c r="FB6" i="19"/>
  <c r="FG6" i="19"/>
  <c r="FM6" i="19"/>
  <c r="DW6" i="19"/>
  <c r="EC6" i="19"/>
  <c r="EH6" i="19"/>
  <c r="EM6" i="19"/>
  <c r="ES6" i="19"/>
  <c r="EX6" i="19"/>
  <c r="FC6" i="19"/>
  <c r="FI6" i="19"/>
  <c r="FN6" i="19"/>
  <c r="DY6" i="19"/>
  <c r="ED6" i="19"/>
  <c r="DZ6" i="19"/>
  <c r="EE6" i="19"/>
  <c r="EK6" i="19"/>
  <c r="EP6" i="19"/>
  <c r="EU6" i="19"/>
  <c r="FA6" i="19"/>
  <c r="FF6" i="19"/>
  <c r="FK6" i="19"/>
  <c r="EI6" i="19"/>
  <c r="FE6" i="19"/>
  <c r="EO6" i="19"/>
  <c r="FJ6" i="19"/>
  <c r="ET6" i="19"/>
  <c r="EY6" i="19"/>
  <c r="BF36" i="19"/>
  <c r="BM36" i="19"/>
  <c r="BQ36" i="19"/>
  <c r="BT36" i="19"/>
  <c r="BW36" i="19"/>
  <c r="BZ36" i="19"/>
  <c r="CC36" i="19"/>
  <c r="CJ36" i="19"/>
  <c r="CN36" i="19"/>
  <c r="CR36" i="19"/>
  <c r="CW36" i="19"/>
  <c r="DB36" i="19"/>
  <c r="DG36" i="19"/>
  <c r="DL36" i="19"/>
  <c r="BB36" i="19"/>
  <c r="AP36" i="19"/>
  <c r="AT36" i="19"/>
  <c r="AC36" i="19"/>
  <c r="BI36" i="19"/>
  <c r="BR36" i="19"/>
  <c r="CD36" i="19"/>
  <c r="CL36" i="19"/>
  <c r="CX36" i="19"/>
  <c r="DE36" i="19"/>
  <c r="DM36" i="19"/>
  <c r="BN36" i="19"/>
  <c r="BS36" i="19"/>
  <c r="BV36" i="19"/>
  <c r="CA36" i="19"/>
  <c r="CG36" i="19"/>
  <c r="CM36" i="19"/>
  <c r="CU36" i="19"/>
  <c r="CY36" i="19"/>
  <c r="DF36" i="19"/>
  <c r="DN36" i="19"/>
  <c r="BG36" i="19"/>
  <c r="BJ36" i="19"/>
  <c r="BO36" i="19"/>
  <c r="BX36" i="19"/>
  <c r="CH36" i="19"/>
  <c r="CO36" i="19"/>
  <c r="CV36" i="19"/>
  <c r="CZ36" i="19"/>
  <c r="DH36" i="19"/>
  <c r="DJ36" i="19"/>
  <c r="BH36" i="19"/>
  <c r="BK36" i="19"/>
  <c r="BP36" i="19"/>
  <c r="BU36" i="19"/>
  <c r="BY36" i="19"/>
  <c r="CB36" i="19"/>
  <c r="CK36" i="19"/>
  <c r="CP36" i="19"/>
  <c r="DD36" i="19"/>
  <c r="DI36" i="19"/>
  <c r="DK36" i="19"/>
  <c r="BC36" i="19"/>
  <c r="AR36" i="19"/>
  <c r="AB36" i="19"/>
  <c r="AY36" i="19"/>
  <c r="AS36" i="19"/>
  <c r="AA36" i="19"/>
  <c r="BD36" i="19"/>
  <c r="AU36" i="19"/>
  <c r="AW36" i="19"/>
  <c r="BE36" i="19"/>
  <c r="AD36" i="19"/>
  <c r="AV36" i="19"/>
  <c r="AX36" i="19"/>
  <c r="AQ36" i="19"/>
  <c r="BG32" i="19"/>
  <c r="BP32" i="19"/>
  <c r="BF32" i="19"/>
  <c r="BI32" i="19"/>
  <c r="BM32" i="19"/>
  <c r="BR32" i="19"/>
  <c r="BU32" i="19"/>
  <c r="BX32" i="19"/>
  <c r="CA32" i="19"/>
  <c r="CD32" i="19"/>
  <c r="CK32" i="19"/>
  <c r="CO32" i="19"/>
  <c r="CU32" i="19"/>
  <c r="CX32" i="19"/>
  <c r="DD32" i="19"/>
  <c r="DH32" i="19"/>
  <c r="BO32" i="19"/>
  <c r="BT32" i="19"/>
  <c r="BY32" i="19"/>
  <c r="CB32" i="19"/>
  <c r="CJ32" i="19"/>
  <c r="CP32" i="19"/>
  <c r="DB32" i="19"/>
  <c r="DI32" i="19"/>
  <c r="BH32" i="19"/>
  <c r="BN32" i="19"/>
  <c r="BW32" i="19"/>
  <c r="CH32" i="19"/>
  <c r="CN32" i="19"/>
  <c r="CV32" i="19"/>
  <c r="CZ32" i="19"/>
  <c r="DG32" i="19"/>
  <c r="DL32" i="19"/>
  <c r="BB32" i="19"/>
  <c r="AP32" i="19"/>
  <c r="AT32" i="19"/>
  <c r="AC32" i="19"/>
  <c r="BJ32" i="19"/>
  <c r="CC32" i="19"/>
  <c r="DE32" i="19"/>
  <c r="DK32" i="19"/>
  <c r="AX32" i="19"/>
  <c r="BE32" i="19"/>
  <c r="BK32" i="19"/>
  <c r="BV32" i="19"/>
  <c r="CG32" i="19"/>
  <c r="CR32" i="19"/>
  <c r="DF32" i="19"/>
  <c r="DM32" i="19"/>
  <c r="AY32" i="19"/>
  <c r="BQ32" i="19"/>
  <c r="CL32" i="19"/>
  <c r="CW32" i="19"/>
  <c r="DN32" i="19"/>
  <c r="BC32" i="19"/>
  <c r="BS32" i="19"/>
  <c r="BZ32" i="19"/>
  <c r="CM32" i="19"/>
  <c r="CY32" i="19"/>
  <c r="DJ32" i="19"/>
  <c r="AW32" i="19"/>
  <c r="BD32" i="19"/>
  <c r="AR32" i="19"/>
  <c r="AA32" i="19"/>
  <c r="AD32" i="19"/>
  <c r="AV32" i="19"/>
  <c r="AB32" i="19"/>
  <c r="AQ32" i="19"/>
  <c r="AS32" i="19"/>
  <c r="AU32" i="19"/>
  <c r="BG28" i="19"/>
  <c r="BP28" i="19"/>
  <c r="BV28" i="19"/>
  <c r="CB28" i="19"/>
  <c r="CH28" i="19"/>
  <c r="CM28" i="19"/>
  <c r="CZ28" i="19"/>
  <c r="DF28" i="19"/>
  <c r="BH28" i="19"/>
  <c r="BK28" i="19"/>
  <c r="BQ28" i="19"/>
  <c r="BU28" i="19"/>
  <c r="BY28" i="19"/>
  <c r="CC28" i="19"/>
  <c r="CK28" i="19"/>
  <c r="CP28" i="19"/>
  <c r="CW28" i="19"/>
  <c r="DD28" i="19"/>
  <c r="DI28" i="19"/>
  <c r="BF28" i="19"/>
  <c r="BO28" i="19"/>
  <c r="CA28" i="19"/>
  <c r="CJ28" i="19"/>
  <c r="CR28" i="19"/>
  <c r="CY28" i="19"/>
  <c r="DH28" i="19"/>
  <c r="BI28" i="19"/>
  <c r="BN28" i="19"/>
  <c r="BT28" i="19"/>
  <c r="BZ28" i="19"/>
  <c r="CG28" i="19"/>
  <c r="CO28" i="19"/>
  <c r="CX28" i="19"/>
  <c r="DG28" i="19"/>
  <c r="DL28" i="19"/>
  <c r="BB28" i="19"/>
  <c r="AP28" i="19"/>
  <c r="AT28" i="19"/>
  <c r="AC28" i="19"/>
  <c r="BR28" i="19"/>
  <c r="CU28" i="19"/>
  <c r="DJ28" i="19"/>
  <c r="AY28" i="19"/>
  <c r="BS28" i="19"/>
  <c r="CD28" i="19"/>
  <c r="CV28" i="19"/>
  <c r="DK28" i="19"/>
  <c r="BC28" i="19"/>
  <c r="BJ28" i="19"/>
  <c r="BW28" i="19"/>
  <c r="CL28" i="19"/>
  <c r="DB28" i="19"/>
  <c r="DM28" i="19"/>
  <c r="AW28" i="19"/>
  <c r="BD28" i="19"/>
  <c r="BM28" i="19"/>
  <c r="BX28" i="19"/>
  <c r="CN28" i="19"/>
  <c r="DE28" i="19"/>
  <c r="DN28" i="19"/>
  <c r="AX28" i="19"/>
  <c r="BE28" i="19"/>
  <c r="AR28" i="19"/>
  <c r="AS28" i="19"/>
  <c r="AB28" i="19"/>
  <c r="AU28" i="19"/>
  <c r="AD28" i="19"/>
  <c r="AV28" i="19"/>
  <c r="AQ28" i="19"/>
  <c r="AA28" i="19"/>
  <c r="BF24" i="19"/>
  <c r="BH24" i="19"/>
  <c r="BJ24" i="19"/>
  <c r="BN24" i="19"/>
  <c r="BR24" i="19"/>
  <c r="BU24" i="19"/>
  <c r="BX24" i="19"/>
  <c r="CA24" i="19"/>
  <c r="CD24" i="19"/>
  <c r="CK24" i="19"/>
  <c r="CO24" i="19"/>
  <c r="CU24" i="19"/>
  <c r="CX24" i="19"/>
  <c r="DD24" i="19"/>
  <c r="DH24" i="19"/>
  <c r="BK24" i="19"/>
  <c r="BP24" i="19"/>
  <c r="BT24" i="19"/>
  <c r="BY24" i="19"/>
  <c r="CB24" i="19"/>
  <c r="CJ24" i="19"/>
  <c r="CP24" i="19"/>
  <c r="DB24" i="19"/>
  <c r="DI24" i="19"/>
  <c r="BQ24" i="19"/>
  <c r="BV24" i="19"/>
  <c r="CL24" i="19"/>
  <c r="CR24" i="19"/>
  <c r="CZ24" i="19"/>
  <c r="BG24" i="19"/>
  <c r="BS24" i="19"/>
  <c r="BW24" i="19"/>
  <c r="CC24" i="19"/>
  <c r="CM24" i="19"/>
  <c r="CV24" i="19"/>
  <c r="DE24" i="19"/>
  <c r="BI24" i="19"/>
  <c r="CH24" i="19"/>
  <c r="CY24" i="19"/>
  <c r="CG24" i="19"/>
  <c r="CW24" i="19"/>
  <c r="DL24" i="19"/>
  <c r="BB24" i="19"/>
  <c r="AP24" i="19"/>
  <c r="AT24" i="19"/>
  <c r="AC24" i="19"/>
  <c r="BM24" i="19"/>
  <c r="CN24" i="19"/>
  <c r="DN24" i="19"/>
  <c r="BC24" i="19"/>
  <c r="BO24" i="19"/>
  <c r="DJ24" i="19"/>
  <c r="AW24" i="19"/>
  <c r="BD24" i="19"/>
  <c r="DF24" i="19"/>
  <c r="DK24" i="19"/>
  <c r="AX24" i="19"/>
  <c r="BE24" i="19"/>
  <c r="BZ24" i="19"/>
  <c r="DG24" i="19"/>
  <c r="DM24" i="19"/>
  <c r="AY24" i="19"/>
  <c r="AR24" i="19"/>
  <c r="AD24" i="19"/>
  <c r="AV24" i="19"/>
  <c r="AB24" i="19"/>
  <c r="AQ24" i="19"/>
  <c r="AS24" i="19"/>
  <c r="AU24" i="19"/>
  <c r="AA24" i="19"/>
  <c r="BF20" i="19"/>
  <c r="BH20" i="19"/>
  <c r="BJ20" i="19"/>
  <c r="BN20" i="19"/>
  <c r="BR20" i="19"/>
  <c r="BU20" i="19"/>
  <c r="BX20" i="19"/>
  <c r="CA20" i="19"/>
  <c r="CD20" i="19"/>
  <c r="CK20" i="19"/>
  <c r="CO20" i="19"/>
  <c r="CU20" i="19"/>
  <c r="CX20" i="19"/>
  <c r="DD20" i="19"/>
  <c r="DH20" i="19"/>
  <c r="BG20" i="19"/>
  <c r="BO20" i="19"/>
  <c r="BW20" i="19"/>
  <c r="CH20" i="19"/>
  <c r="CN20" i="19"/>
  <c r="CV20" i="19"/>
  <c r="CZ20" i="19"/>
  <c r="DG20" i="19"/>
  <c r="BI20" i="19"/>
  <c r="BM20" i="19"/>
  <c r="BT20" i="19"/>
  <c r="CG20" i="19"/>
  <c r="CP20" i="19"/>
  <c r="CW20" i="19"/>
  <c r="DF20" i="19"/>
  <c r="BP20" i="19"/>
  <c r="BZ20" i="19"/>
  <c r="CJ20" i="19"/>
  <c r="CY20" i="19"/>
  <c r="DI20" i="19"/>
  <c r="BK20" i="19"/>
  <c r="BQ20" i="19"/>
  <c r="BV20" i="19"/>
  <c r="CB20" i="19"/>
  <c r="CL20" i="19"/>
  <c r="CR20" i="19"/>
  <c r="DB20" i="19"/>
  <c r="BS20" i="19"/>
  <c r="BY20" i="19"/>
  <c r="CC20" i="19"/>
  <c r="CM20" i="19"/>
  <c r="DE20" i="19"/>
  <c r="DL20" i="19"/>
  <c r="BB20" i="19"/>
  <c r="AP20" i="19"/>
  <c r="AT20" i="19"/>
  <c r="AC20" i="19"/>
  <c r="DM20" i="19"/>
  <c r="AW20" i="19"/>
  <c r="BD20" i="19"/>
  <c r="DN20" i="19"/>
  <c r="AX20" i="19"/>
  <c r="BE20" i="19"/>
  <c r="DJ20" i="19"/>
  <c r="AY20" i="19"/>
  <c r="DK20" i="19"/>
  <c r="BC20" i="19"/>
  <c r="AR20" i="19"/>
  <c r="AB20" i="19"/>
  <c r="AS20" i="19"/>
  <c r="AU20" i="19"/>
  <c r="AD20" i="19"/>
  <c r="AV20" i="19"/>
  <c r="AQ20" i="19"/>
  <c r="AA20" i="19"/>
  <c r="BF16" i="19"/>
  <c r="BH16" i="19"/>
  <c r="BJ16" i="19"/>
  <c r="BN16" i="19"/>
  <c r="BR16" i="19"/>
  <c r="BU16" i="19"/>
  <c r="BX16" i="19"/>
  <c r="CA16" i="19"/>
  <c r="CD16" i="19"/>
  <c r="CK16" i="19"/>
  <c r="CO16" i="19"/>
  <c r="CU16" i="19"/>
  <c r="CX16" i="19"/>
  <c r="DD16" i="19"/>
  <c r="DH16" i="19"/>
  <c r="BM16" i="19"/>
  <c r="BS16" i="19"/>
  <c r="BV16" i="19"/>
  <c r="BZ16" i="19"/>
  <c r="CG16" i="19"/>
  <c r="CM16" i="19"/>
  <c r="CR16" i="19"/>
  <c r="CY16" i="19"/>
  <c r="DF16" i="19"/>
  <c r="BI16" i="19"/>
  <c r="BO16" i="19"/>
  <c r="BT16" i="19"/>
  <c r="CH16" i="19"/>
  <c r="CP16" i="19"/>
  <c r="CW16" i="19"/>
  <c r="DG16" i="19"/>
  <c r="BP16" i="19"/>
  <c r="CJ16" i="19"/>
  <c r="CZ16" i="19"/>
  <c r="DI16" i="19"/>
  <c r="BG16" i="19"/>
  <c r="BK16" i="19"/>
  <c r="BQ16" i="19"/>
  <c r="BW16" i="19"/>
  <c r="CB16" i="19"/>
  <c r="CL16" i="19"/>
  <c r="CV16" i="19"/>
  <c r="DB16" i="19"/>
  <c r="BY16" i="19"/>
  <c r="CC16" i="19"/>
  <c r="CN16" i="19"/>
  <c r="DE16" i="19"/>
  <c r="DL16" i="19"/>
  <c r="BB16" i="19"/>
  <c r="AP16" i="19"/>
  <c r="AT16" i="19"/>
  <c r="AC16" i="19"/>
  <c r="DK16" i="19"/>
  <c r="AX16" i="19"/>
  <c r="BE16" i="19"/>
  <c r="DM16" i="19"/>
  <c r="AY16" i="19"/>
  <c r="DN16" i="19"/>
  <c r="BC16" i="19"/>
  <c r="DJ16" i="19"/>
  <c r="AW16" i="19"/>
  <c r="BD16" i="19"/>
  <c r="AR16" i="19"/>
  <c r="AA16" i="19"/>
  <c r="AD16" i="19"/>
  <c r="AV16" i="19"/>
  <c r="AQ16" i="19"/>
  <c r="AS16" i="19"/>
  <c r="AU16" i="19"/>
  <c r="AB16" i="19"/>
  <c r="BG12" i="19"/>
  <c r="BP12" i="19"/>
  <c r="BV12" i="19"/>
  <c r="CB12" i="19"/>
  <c r="CH12" i="19"/>
  <c r="CM12" i="19"/>
  <c r="CZ12" i="19"/>
  <c r="DF12" i="19"/>
  <c r="BH12" i="19"/>
  <c r="BK12" i="19"/>
  <c r="BQ12" i="19"/>
  <c r="BU12" i="19"/>
  <c r="BY12" i="19"/>
  <c r="CC12" i="19"/>
  <c r="CK12" i="19"/>
  <c r="CP12" i="19"/>
  <c r="CW12" i="19"/>
  <c r="DD12" i="19"/>
  <c r="DI12" i="19"/>
  <c r="BF12" i="19"/>
  <c r="BO12" i="19"/>
  <c r="CA12" i="19"/>
  <c r="CJ12" i="19"/>
  <c r="CR12" i="19"/>
  <c r="CY12" i="19"/>
  <c r="DH12" i="19"/>
  <c r="BJ12" i="19"/>
  <c r="BR12" i="19"/>
  <c r="BW12" i="19"/>
  <c r="CL12" i="19"/>
  <c r="CU12" i="19"/>
  <c r="DB12" i="19"/>
  <c r="BM12" i="19"/>
  <c r="BS12" i="19"/>
  <c r="BX12" i="19"/>
  <c r="CD12" i="19"/>
  <c r="CN12" i="19"/>
  <c r="CV12" i="19"/>
  <c r="DE12" i="19"/>
  <c r="BI12" i="19"/>
  <c r="BN12" i="19"/>
  <c r="BT12" i="19"/>
  <c r="BZ12" i="19"/>
  <c r="CG12" i="19"/>
  <c r="CO12" i="19"/>
  <c r="CX12" i="19"/>
  <c r="DG12" i="19"/>
  <c r="DL12" i="19"/>
  <c r="BB12" i="19"/>
  <c r="AP12" i="19"/>
  <c r="AT12" i="19"/>
  <c r="AC12" i="19"/>
  <c r="DJ12" i="19"/>
  <c r="AY12" i="19"/>
  <c r="DK12" i="19"/>
  <c r="BC12" i="19"/>
  <c r="DM12" i="19"/>
  <c r="AW12" i="19"/>
  <c r="BD12" i="19"/>
  <c r="DN12" i="19"/>
  <c r="AX12" i="19"/>
  <c r="BE12" i="19"/>
  <c r="AR12" i="19"/>
  <c r="AS12" i="19"/>
  <c r="AU12" i="19"/>
  <c r="AD12" i="19"/>
  <c r="AV12" i="19"/>
  <c r="AA12" i="19"/>
  <c r="AQ12" i="19"/>
  <c r="AB12" i="19"/>
  <c r="BF8" i="19"/>
  <c r="BH8" i="19"/>
  <c r="BJ8" i="19"/>
  <c r="BN8" i="19"/>
  <c r="BR8" i="19"/>
  <c r="BU8" i="19"/>
  <c r="BX8" i="19"/>
  <c r="CA8" i="19"/>
  <c r="CD8" i="19"/>
  <c r="CK8" i="19"/>
  <c r="CO8" i="19"/>
  <c r="CU8" i="19"/>
  <c r="CX8" i="19"/>
  <c r="DD8" i="19"/>
  <c r="DH8" i="19"/>
  <c r="BI8" i="19"/>
  <c r="BQ8" i="19"/>
  <c r="CC8" i="19"/>
  <c r="CL8" i="19"/>
  <c r="CW8" i="19"/>
  <c r="DE8" i="19"/>
  <c r="BP8" i="19"/>
  <c r="BV8" i="19"/>
  <c r="CJ8" i="19"/>
  <c r="CR8" i="19"/>
  <c r="CZ8" i="19"/>
  <c r="DI8" i="19"/>
  <c r="BO8" i="19"/>
  <c r="BT8" i="19"/>
  <c r="BZ8" i="19"/>
  <c r="CH8" i="19"/>
  <c r="CP8" i="19"/>
  <c r="CY8" i="19"/>
  <c r="DG8" i="19"/>
  <c r="BK8" i="19"/>
  <c r="BW8" i="19"/>
  <c r="CM8" i="19"/>
  <c r="DB8" i="19"/>
  <c r="BM8" i="19"/>
  <c r="BY8" i="19"/>
  <c r="CN8" i="19"/>
  <c r="DF8" i="19"/>
  <c r="BG8" i="19"/>
  <c r="BS8" i="19"/>
  <c r="CB8" i="19"/>
  <c r="CV8" i="19"/>
  <c r="CG8" i="19"/>
  <c r="DL8" i="19"/>
  <c r="BB8" i="19"/>
  <c r="AP8" i="19"/>
  <c r="AT8" i="19"/>
  <c r="AC8" i="19"/>
  <c r="DN8" i="19"/>
  <c r="BC8" i="19"/>
  <c r="DJ8" i="19"/>
  <c r="AW8" i="19"/>
  <c r="BD8" i="19"/>
  <c r="DK8" i="19"/>
  <c r="AX8" i="19"/>
  <c r="BE8" i="19"/>
  <c r="DM8" i="19"/>
  <c r="AY8" i="19"/>
  <c r="AR8" i="19"/>
  <c r="AD8" i="19"/>
  <c r="AV8" i="19"/>
  <c r="AQ8" i="19"/>
  <c r="AS8" i="19"/>
  <c r="AA8" i="19"/>
  <c r="AU8" i="19"/>
  <c r="AB8" i="19"/>
  <c r="DX33" i="19"/>
  <c r="EB33" i="19"/>
  <c r="EF33" i="19"/>
  <c r="EJ33" i="19"/>
  <c r="EN33" i="19"/>
  <c r="ER33" i="19"/>
  <c r="EV33" i="19"/>
  <c r="EZ33" i="19"/>
  <c r="FD33" i="19"/>
  <c r="FH33" i="19"/>
  <c r="FL33" i="19"/>
  <c r="DW33" i="19"/>
  <c r="EC33" i="19"/>
  <c r="EH33" i="19"/>
  <c r="EM33" i="19"/>
  <c r="ES33" i="19"/>
  <c r="EX33" i="19"/>
  <c r="FC33" i="19"/>
  <c r="FI33" i="19"/>
  <c r="FN33" i="19"/>
  <c r="EA33" i="19"/>
  <c r="EI33" i="19"/>
  <c r="EP33" i="19"/>
  <c r="EW33" i="19"/>
  <c r="FE33" i="19"/>
  <c r="FK33" i="19"/>
  <c r="DV33" i="19"/>
  <c r="ED33" i="19"/>
  <c r="EK33" i="19"/>
  <c r="EQ33" i="19"/>
  <c r="EY33" i="19"/>
  <c r="FF33" i="19"/>
  <c r="FM33" i="19"/>
  <c r="DY33" i="19"/>
  <c r="EE33" i="19"/>
  <c r="EL33" i="19"/>
  <c r="ET33" i="19"/>
  <c r="FA33" i="19"/>
  <c r="FG33" i="19"/>
  <c r="DZ33" i="19"/>
  <c r="EG33" i="19"/>
  <c r="EO33" i="19"/>
  <c r="EU33" i="19"/>
  <c r="FB33" i="19"/>
  <c r="FJ33" i="19"/>
  <c r="DX29" i="19"/>
  <c r="EB29" i="19"/>
  <c r="EF29" i="19"/>
  <c r="EJ29" i="19"/>
  <c r="EN29" i="19"/>
  <c r="ER29" i="19"/>
  <c r="EV29" i="19"/>
  <c r="EZ29" i="19"/>
  <c r="FD29" i="19"/>
  <c r="FH29" i="19"/>
  <c r="FL29" i="19"/>
  <c r="DZ29" i="19"/>
  <c r="EE29" i="19"/>
  <c r="EK29" i="19"/>
  <c r="EP29" i="19"/>
  <c r="EU29" i="19"/>
  <c r="FA29" i="19"/>
  <c r="FF29" i="19"/>
  <c r="FK29" i="19"/>
  <c r="DV29" i="19"/>
  <c r="EA29" i="19"/>
  <c r="EG29" i="19"/>
  <c r="EL29" i="19"/>
  <c r="EQ29" i="19"/>
  <c r="EW29" i="19"/>
  <c r="FB29" i="19"/>
  <c r="FG29" i="19"/>
  <c r="FM29" i="19"/>
  <c r="DY29" i="19"/>
  <c r="ED29" i="19"/>
  <c r="EI29" i="19"/>
  <c r="EO29" i="19"/>
  <c r="ET29" i="19"/>
  <c r="EY29" i="19"/>
  <c r="FE29" i="19"/>
  <c r="FJ29" i="19"/>
  <c r="EM29" i="19"/>
  <c r="FI29" i="19"/>
  <c r="DW29" i="19"/>
  <c r="ES29" i="19"/>
  <c r="FN29" i="19"/>
  <c r="EC29" i="19"/>
  <c r="EX29" i="19"/>
  <c r="EH29" i="19"/>
  <c r="FC29" i="19"/>
  <c r="DW25" i="19"/>
  <c r="EA25" i="19"/>
  <c r="EE25" i="19"/>
  <c r="EI25" i="19"/>
  <c r="EM25" i="19"/>
  <c r="EQ25" i="19"/>
  <c r="EU25" i="19"/>
  <c r="EY25" i="19"/>
  <c r="FC25" i="19"/>
  <c r="FG25" i="19"/>
  <c r="FK25" i="19"/>
  <c r="DX25" i="19"/>
  <c r="EC25" i="19"/>
  <c r="EH25" i="19"/>
  <c r="EN25" i="19"/>
  <c r="ES25" i="19"/>
  <c r="EX25" i="19"/>
  <c r="FD25" i="19"/>
  <c r="FI25" i="19"/>
  <c r="FN25" i="19"/>
  <c r="DZ25" i="19"/>
  <c r="EG25" i="19"/>
  <c r="EO25" i="19"/>
  <c r="EV25" i="19"/>
  <c r="FB25" i="19"/>
  <c r="FJ25" i="19"/>
  <c r="EB25" i="19"/>
  <c r="EJ25" i="19"/>
  <c r="EP25" i="19"/>
  <c r="EW25" i="19"/>
  <c r="FE25" i="19"/>
  <c r="FL25" i="19"/>
  <c r="DV25" i="19"/>
  <c r="ED25" i="19"/>
  <c r="EK25" i="19"/>
  <c r="ER25" i="19"/>
  <c r="EZ25" i="19"/>
  <c r="FF25" i="19"/>
  <c r="FM25" i="19"/>
  <c r="DY25" i="19"/>
  <c r="EF25" i="19"/>
  <c r="EL25" i="19"/>
  <c r="ET25" i="19"/>
  <c r="FA25" i="19"/>
  <c r="FH25" i="19"/>
  <c r="DW21" i="19"/>
  <c r="EA21" i="19"/>
  <c r="EE21" i="19"/>
  <c r="EI21" i="19"/>
  <c r="EM21" i="19"/>
  <c r="EQ21" i="19"/>
  <c r="EU21" i="19"/>
  <c r="EY21" i="19"/>
  <c r="FC21" i="19"/>
  <c r="FG21" i="19"/>
  <c r="FK21" i="19"/>
  <c r="DY21" i="19"/>
  <c r="ED21" i="19"/>
  <c r="EJ21" i="19"/>
  <c r="EO21" i="19"/>
  <c r="ET21" i="19"/>
  <c r="EZ21" i="19"/>
  <c r="FE21" i="19"/>
  <c r="FJ21" i="19"/>
  <c r="DV21" i="19"/>
  <c r="EC21" i="19"/>
  <c r="EK21" i="19"/>
  <c r="ER21" i="19"/>
  <c r="EX21" i="19"/>
  <c r="FF21" i="19"/>
  <c r="FM21" i="19"/>
  <c r="DX21" i="19"/>
  <c r="EF21" i="19"/>
  <c r="EL21" i="19"/>
  <c r="ES21" i="19"/>
  <c r="FA21" i="19"/>
  <c r="FH21" i="19"/>
  <c r="FN21" i="19"/>
  <c r="DZ21" i="19"/>
  <c r="EG21" i="19"/>
  <c r="EN21" i="19"/>
  <c r="EV21" i="19"/>
  <c r="FB21" i="19"/>
  <c r="FI21" i="19"/>
  <c r="EB21" i="19"/>
  <c r="EH21" i="19"/>
  <c r="EP21" i="19"/>
  <c r="EW21" i="19"/>
  <c r="FD21" i="19"/>
  <c r="FL21" i="19"/>
  <c r="DW17" i="19"/>
  <c r="EA17" i="19"/>
  <c r="EE17" i="19"/>
  <c r="EI17" i="19"/>
  <c r="EM17" i="19"/>
  <c r="EQ17" i="19"/>
  <c r="EU17" i="19"/>
  <c r="EY17" i="19"/>
  <c r="FC17" i="19"/>
  <c r="FG17" i="19"/>
  <c r="FK17" i="19"/>
  <c r="DZ17" i="19"/>
  <c r="EF17" i="19"/>
  <c r="EK17" i="19"/>
  <c r="EP17" i="19"/>
  <c r="EV17" i="19"/>
  <c r="FA17" i="19"/>
  <c r="FF17" i="19"/>
  <c r="FL17" i="19"/>
  <c r="DY17" i="19"/>
  <c r="EG17" i="19"/>
  <c r="EN17" i="19"/>
  <c r="ET17" i="19"/>
  <c r="FB17" i="19"/>
  <c r="FI17" i="19"/>
  <c r="EB17" i="19"/>
  <c r="EH17" i="19"/>
  <c r="EO17" i="19"/>
  <c r="EW17" i="19"/>
  <c r="FD17" i="19"/>
  <c r="FJ17" i="19"/>
  <c r="DV17" i="19"/>
  <c r="EC17" i="19"/>
  <c r="EJ17" i="19"/>
  <c r="ER17" i="19"/>
  <c r="EX17" i="19"/>
  <c r="FE17" i="19"/>
  <c r="FM17" i="19"/>
  <c r="DX17" i="19"/>
  <c r="ED17" i="19"/>
  <c r="EL17" i="19"/>
  <c r="ES17" i="19"/>
  <c r="EZ17" i="19"/>
  <c r="FH17" i="19"/>
  <c r="FN17" i="19"/>
  <c r="DW13" i="19"/>
  <c r="EA13" i="19"/>
  <c r="EE13" i="19"/>
  <c r="EI13" i="19"/>
  <c r="EM13" i="19"/>
  <c r="EQ13" i="19"/>
  <c r="EU13" i="19"/>
  <c r="EY13" i="19"/>
  <c r="FC13" i="19"/>
  <c r="FG13" i="19"/>
  <c r="FK13" i="19"/>
  <c r="DX13" i="19"/>
  <c r="EC13" i="19"/>
  <c r="EH13" i="19"/>
  <c r="EN13" i="19"/>
  <c r="ES13" i="19"/>
  <c r="EX13" i="19"/>
  <c r="FD13" i="19"/>
  <c r="FI13" i="19"/>
  <c r="FN13" i="19"/>
  <c r="DV13" i="19"/>
  <c r="EB13" i="19"/>
  <c r="EG13" i="19"/>
  <c r="EL13" i="19"/>
  <c r="ER13" i="19"/>
  <c r="EW13" i="19"/>
  <c r="FB13" i="19"/>
  <c r="FH13" i="19"/>
  <c r="FM13" i="19"/>
  <c r="ED13" i="19"/>
  <c r="EO13" i="19"/>
  <c r="EZ13" i="19"/>
  <c r="FJ13" i="19"/>
  <c r="EF13" i="19"/>
  <c r="EP13" i="19"/>
  <c r="FA13" i="19"/>
  <c r="FL13" i="19"/>
  <c r="DY13" i="19"/>
  <c r="EJ13" i="19"/>
  <c r="ET13" i="19"/>
  <c r="FE13" i="19"/>
  <c r="DZ13" i="19"/>
  <c r="EK13" i="19"/>
  <c r="EV13" i="19"/>
  <c r="FF13" i="19"/>
  <c r="DW9" i="19"/>
  <c r="EA9" i="19"/>
  <c r="EE9" i="19"/>
  <c r="EI9" i="19"/>
  <c r="EM9" i="19"/>
  <c r="EQ9" i="19"/>
  <c r="EU9" i="19"/>
  <c r="EY9" i="19"/>
  <c r="FC9" i="19"/>
  <c r="FG9" i="19"/>
  <c r="FK9" i="19"/>
  <c r="DY9" i="19"/>
  <c r="ED9" i="19"/>
  <c r="EJ9" i="19"/>
  <c r="EO9" i="19"/>
  <c r="ET9" i="19"/>
  <c r="EZ9" i="19"/>
  <c r="FE9" i="19"/>
  <c r="FJ9" i="19"/>
  <c r="DX9" i="19"/>
  <c r="EC9" i="19"/>
  <c r="EH9" i="19"/>
  <c r="EN9" i="19"/>
  <c r="ES9" i="19"/>
  <c r="EX9" i="19"/>
  <c r="FD9" i="19"/>
  <c r="FI9" i="19"/>
  <c r="FN9" i="19"/>
  <c r="DZ9" i="19"/>
  <c r="EK9" i="19"/>
  <c r="EV9" i="19"/>
  <c r="FF9" i="19"/>
  <c r="EB9" i="19"/>
  <c r="EL9" i="19"/>
  <c r="EW9" i="19"/>
  <c r="FH9" i="19"/>
  <c r="EF9" i="19"/>
  <c r="EP9" i="19"/>
  <c r="FA9" i="19"/>
  <c r="FL9" i="19"/>
  <c r="DV9" i="19"/>
  <c r="EG9" i="19"/>
  <c r="ER9" i="19"/>
  <c r="FB9" i="19"/>
  <c r="FM9" i="19"/>
  <c r="DW5" i="19"/>
  <c r="EA5" i="19"/>
  <c r="EE5" i="19"/>
  <c r="EI5" i="19"/>
  <c r="EM5" i="19"/>
  <c r="EQ5" i="19"/>
  <c r="EU5" i="19"/>
  <c r="EY5" i="19"/>
  <c r="FC5" i="19"/>
  <c r="FG5" i="19"/>
  <c r="FK5" i="19"/>
  <c r="DZ5" i="19"/>
  <c r="EF5" i="19"/>
  <c r="EK5" i="19"/>
  <c r="EP5" i="19"/>
  <c r="EV5" i="19"/>
  <c r="FA5" i="19"/>
  <c r="FF5" i="19"/>
  <c r="FL5" i="19"/>
  <c r="DV5" i="19"/>
  <c r="EB5" i="19"/>
  <c r="EG5" i="19"/>
  <c r="EL5" i="19"/>
  <c r="ER5" i="19"/>
  <c r="EW5" i="19"/>
  <c r="FB5" i="19"/>
  <c r="FH5" i="19"/>
  <c r="FM5" i="19"/>
  <c r="DX5" i="19"/>
  <c r="EC5" i="19"/>
  <c r="EH5" i="19"/>
  <c r="EN5" i="19"/>
  <c r="ES5" i="19"/>
  <c r="EX5" i="19"/>
  <c r="FD5" i="19"/>
  <c r="FI5" i="19"/>
  <c r="FN5" i="19"/>
  <c r="DY5" i="19"/>
  <c r="ED5" i="19"/>
  <c r="EJ5" i="19"/>
  <c r="EO5" i="19"/>
  <c r="ET5" i="19"/>
  <c r="EZ5" i="19"/>
  <c r="FE5" i="19"/>
  <c r="FJ5" i="19"/>
  <c r="BI35" i="19"/>
  <c r="BK35" i="19"/>
  <c r="BO35" i="19"/>
  <c r="BS35" i="19"/>
  <c r="BY35" i="19"/>
  <c r="CG35" i="19"/>
  <c r="CL35" i="19"/>
  <c r="CP35" i="19"/>
  <c r="CV35" i="19"/>
  <c r="CY35" i="19"/>
  <c r="DE35" i="19"/>
  <c r="DI35" i="19"/>
  <c r="BG35" i="19"/>
  <c r="BN35" i="19"/>
  <c r="BW35" i="19"/>
  <c r="CA35" i="19"/>
  <c r="CH35" i="19"/>
  <c r="CN35" i="19"/>
  <c r="CU35" i="19"/>
  <c r="CZ35" i="19"/>
  <c r="DG35" i="19"/>
  <c r="DM35" i="19"/>
  <c r="AY35" i="19"/>
  <c r="BE35" i="19"/>
  <c r="AP35" i="19"/>
  <c r="AT35" i="19"/>
  <c r="BF35" i="19"/>
  <c r="BJ35" i="19"/>
  <c r="BQ35" i="19"/>
  <c r="BV35" i="19"/>
  <c r="CB35" i="19"/>
  <c r="CK35" i="19"/>
  <c r="CR35" i="19"/>
  <c r="DB35" i="19"/>
  <c r="DL35" i="19"/>
  <c r="BR35" i="19"/>
  <c r="BX35" i="19"/>
  <c r="CC35" i="19"/>
  <c r="CM35" i="19"/>
  <c r="DD35" i="19"/>
  <c r="DN35" i="19"/>
  <c r="BH35" i="19"/>
  <c r="BM35" i="19"/>
  <c r="BT35" i="19"/>
  <c r="CD35" i="19"/>
  <c r="CO35" i="19"/>
  <c r="CW35" i="19"/>
  <c r="DF35" i="19"/>
  <c r="DJ35" i="19"/>
  <c r="BC35" i="19"/>
  <c r="BP35" i="19"/>
  <c r="BU35" i="19"/>
  <c r="BZ35" i="19"/>
  <c r="CJ35" i="19"/>
  <c r="CX35" i="19"/>
  <c r="DH35" i="19"/>
  <c r="DK35" i="19"/>
  <c r="AW35" i="19"/>
  <c r="BD35" i="19"/>
  <c r="AD35" i="19"/>
  <c r="AU35" i="19"/>
  <c r="AA35" i="19"/>
  <c r="AX35" i="19"/>
  <c r="AS35" i="19"/>
  <c r="AC35" i="19"/>
  <c r="BB35" i="19"/>
  <c r="AV35" i="19"/>
  <c r="AQ35" i="19"/>
  <c r="AR35" i="19"/>
  <c r="AB35" i="19"/>
  <c r="BM31" i="19"/>
  <c r="BQ31" i="19"/>
  <c r="BT31" i="19"/>
  <c r="BW31" i="19"/>
  <c r="BZ31" i="19"/>
  <c r="CC31" i="19"/>
  <c r="CJ31" i="19"/>
  <c r="CN31" i="19"/>
  <c r="CR31" i="19"/>
  <c r="CW31" i="19"/>
  <c r="DB31" i="19"/>
  <c r="DG31" i="19"/>
  <c r="BH31" i="19"/>
  <c r="BK31" i="19"/>
  <c r="BP31" i="19"/>
  <c r="BU31" i="19"/>
  <c r="BY31" i="19"/>
  <c r="CB31" i="19"/>
  <c r="CK31" i="19"/>
  <c r="CP31" i="19"/>
  <c r="DD31" i="19"/>
  <c r="DI31" i="19"/>
  <c r="BJ31" i="19"/>
  <c r="BR31" i="19"/>
  <c r="BV31" i="19"/>
  <c r="CL31" i="19"/>
  <c r="CU31" i="19"/>
  <c r="CZ31" i="19"/>
  <c r="BF31" i="19"/>
  <c r="BO31" i="19"/>
  <c r="CA31" i="19"/>
  <c r="CH31" i="19"/>
  <c r="CY31" i="19"/>
  <c r="DH31" i="19"/>
  <c r="DM31" i="19"/>
  <c r="AY31" i="19"/>
  <c r="BE31" i="19"/>
  <c r="AP31" i="19"/>
  <c r="AT31" i="19"/>
  <c r="BX31" i="19"/>
  <c r="CM31" i="19"/>
  <c r="DE31" i="19"/>
  <c r="DK31" i="19"/>
  <c r="BB31" i="19"/>
  <c r="BN31" i="19"/>
  <c r="CO31" i="19"/>
  <c r="DF31" i="19"/>
  <c r="DL31" i="19"/>
  <c r="BC31" i="19"/>
  <c r="BG31" i="19"/>
  <c r="BS31" i="19"/>
  <c r="CD31" i="19"/>
  <c r="CV31" i="19"/>
  <c r="DN31" i="19"/>
  <c r="AW31" i="19"/>
  <c r="BD31" i="19"/>
  <c r="BI31" i="19"/>
  <c r="CG31" i="19"/>
  <c r="CX31" i="19"/>
  <c r="DJ31" i="19"/>
  <c r="AX31" i="19"/>
  <c r="AD31" i="19"/>
  <c r="AU31" i="19"/>
  <c r="AQ31" i="19"/>
  <c r="AC31" i="19"/>
  <c r="AR31" i="19"/>
  <c r="AS31" i="19"/>
  <c r="AA31" i="19"/>
  <c r="AV31" i="19"/>
  <c r="AB31" i="19"/>
  <c r="BI27" i="19"/>
  <c r="BK27" i="19"/>
  <c r="BO27" i="19"/>
  <c r="BS27" i="19"/>
  <c r="BJ27" i="19"/>
  <c r="BP27" i="19"/>
  <c r="BT27" i="19"/>
  <c r="BW27" i="19"/>
  <c r="BZ27" i="19"/>
  <c r="CC27" i="19"/>
  <c r="CJ27" i="19"/>
  <c r="CN27" i="19"/>
  <c r="CR27" i="19"/>
  <c r="CW27" i="19"/>
  <c r="DB27" i="19"/>
  <c r="DG27" i="19"/>
  <c r="BH27" i="19"/>
  <c r="BM27" i="19"/>
  <c r="BX27" i="19"/>
  <c r="CH27" i="19"/>
  <c r="CO27" i="19"/>
  <c r="CV27" i="19"/>
  <c r="CZ27" i="19"/>
  <c r="DH27" i="19"/>
  <c r="BQ27" i="19"/>
  <c r="BV27" i="19"/>
  <c r="CB27" i="19"/>
  <c r="CL27" i="19"/>
  <c r="CU27" i="19"/>
  <c r="DD27" i="19"/>
  <c r="BG27" i="19"/>
  <c r="BN27" i="19"/>
  <c r="CA27" i="19"/>
  <c r="CK27" i="19"/>
  <c r="CY27" i="19"/>
  <c r="DI27" i="19"/>
  <c r="DM27" i="19"/>
  <c r="AY27" i="19"/>
  <c r="BE27" i="19"/>
  <c r="AP27" i="19"/>
  <c r="AT27" i="19"/>
  <c r="BR27" i="19"/>
  <c r="CD27" i="19"/>
  <c r="DJ27" i="19"/>
  <c r="BC27" i="19"/>
  <c r="BF27" i="19"/>
  <c r="BU27" i="19"/>
  <c r="CG27" i="19"/>
  <c r="CX27" i="19"/>
  <c r="DK27" i="19"/>
  <c r="AW27" i="19"/>
  <c r="BD27" i="19"/>
  <c r="BY27" i="19"/>
  <c r="CM27" i="19"/>
  <c r="DE27" i="19"/>
  <c r="DL27" i="19"/>
  <c r="AX27" i="19"/>
  <c r="CP27" i="19"/>
  <c r="DF27" i="19"/>
  <c r="DN27" i="19"/>
  <c r="BB27" i="19"/>
  <c r="AD27" i="19"/>
  <c r="AU27" i="19"/>
  <c r="AC27" i="19"/>
  <c r="AS27" i="19"/>
  <c r="AV27" i="19"/>
  <c r="AQ27" i="19"/>
  <c r="AA27" i="19"/>
  <c r="AR27" i="19"/>
  <c r="AB27" i="19"/>
  <c r="BI23" i="19"/>
  <c r="BK23" i="19"/>
  <c r="BO23" i="19"/>
  <c r="BS23" i="19"/>
  <c r="BY23" i="19"/>
  <c r="CG23" i="19"/>
  <c r="CL23" i="19"/>
  <c r="CP23" i="19"/>
  <c r="CV23" i="19"/>
  <c r="CY23" i="19"/>
  <c r="DE23" i="19"/>
  <c r="DI23" i="19"/>
  <c r="BG23" i="19"/>
  <c r="BN23" i="19"/>
  <c r="BW23" i="19"/>
  <c r="CA23" i="19"/>
  <c r="CH23" i="19"/>
  <c r="CN23" i="19"/>
  <c r="CU23" i="19"/>
  <c r="CZ23" i="19"/>
  <c r="DG23" i="19"/>
  <c r="BP23" i="19"/>
  <c r="BU23" i="19"/>
  <c r="BZ23" i="19"/>
  <c r="CJ23" i="19"/>
  <c r="CX23" i="19"/>
  <c r="DH23" i="19"/>
  <c r="BF23" i="19"/>
  <c r="BJ23" i="19"/>
  <c r="BQ23" i="19"/>
  <c r="BV23" i="19"/>
  <c r="CB23" i="19"/>
  <c r="CK23" i="19"/>
  <c r="CR23" i="19"/>
  <c r="DB23" i="19"/>
  <c r="BR23" i="19"/>
  <c r="BX23" i="19"/>
  <c r="CC23" i="19"/>
  <c r="CM23" i="19"/>
  <c r="DD23" i="19"/>
  <c r="BH23" i="19"/>
  <c r="BM23" i="19"/>
  <c r="BT23" i="19"/>
  <c r="CD23" i="19"/>
  <c r="CO23" i="19"/>
  <c r="CW23" i="19"/>
  <c r="DF23" i="19"/>
  <c r="DM23" i="19"/>
  <c r="AY23" i="19"/>
  <c r="BE23" i="19"/>
  <c r="AP23" i="19"/>
  <c r="AT23" i="19"/>
  <c r="DN23" i="19"/>
  <c r="AW23" i="19"/>
  <c r="BD23" i="19"/>
  <c r="DJ23" i="19"/>
  <c r="AX23" i="19"/>
  <c r="DK23" i="19"/>
  <c r="BB23" i="19"/>
  <c r="DL23" i="19"/>
  <c r="BC23" i="19"/>
  <c r="AD23" i="19"/>
  <c r="AU23" i="19"/>
  <c r="AB23" i="19"/>
  <c r="AQ23" i="19"/>
  <c r="AR23" i="19"/>
  <c r="AS23" i="19"/>
  <c r="AA23" i="19"/>
  <c r="AV23" i="19"/>
  <c r="AC23" i="19"/>
  <c r="BI19" i="19"/>
  <c r="BK19" i="19"/>
  <c r="BO19" i="19"/>
  <c r="BS19" i="19"/>
  <c r="BY19" i="19"/>
  <c r="CG19" i="19"/>
  <c r="CL19" i="19"/>
  <c r="CP19" i="19"/>
  <c r="CV19" i="19"/>
  <c r="CY19" i="19"/>
  <c r="DE19" i="19"/>
  <c r="DI19" i="19"/>
  <c r="BF19" i="19"/>
  <c r="BM19" i="19"/>
  <c r="BR19" i="19"/>
  <c r="BV19" i="19"/>
  <c r="BZ19" i="19"/>
  <c r="CD19" i="19"/>
  <c r="CM19" i="19"/>
  <c r="CR19" i="19"/>
  <c r="CX19" i="19"/>
  <c r="DF19" i="19"/>
  <c r="BP19" i="19"/>
  <c r="BU19" i="19"/>
  <c r="CA19" i="19"/>
  <c r="CJ19" i="19"/>
  <c r="CZ19" i="19"/>
  <c r="DH19" i="19"/>
  <c r="BG19" i="19"/>
  <c r="BJ19" i="19"/>
  <c r="BQ19" i="19"/>
  <c r="BW19" i="19"/>
  <c r="CB19" i="19"/>
  <c r="CK19" i="19"/>
  <c r="CU19" i="19"/>
  <c r="DB19" i="19"/>
  <c r="BX19" i="19"/>
  <c r="CC19" i="19"/>
  <c r="CN19" i="19"/>
  <c r="DD19" i="19"/>
  <c r="BH19" i="19"/>
  <c r="BN19" i="19"/>
  <c r="BT19" i="19"/>
  <c r="CH19" i="19"/>
  <c r="CO19" i="19"/>
  <c r="CW19" i="19"/>
  <c r="DG19" i="19"/>
  <c r="DM19" i="19"/>
  <c r="AY19" i="19"/>
  <c r="BE19" i="19"/>
  <c r="AP19" i="19"/>
  <c r="AT19" i="19"/>
  <c r="DL19" i="19"/>
  <c r="AX19" i="19"/>
  <c r="DN19" i="19"/>
  <c r="BB19" i="19"/>
  <c r="DJ19" i="19"/>
  <c r="BC19" i="19"/>
  <c r="DK19" i="19"/>
  <c r="AW19" i="19"/>
  <c r="BD19" i="19"/>
  <c r="AD19" i="19"/>
  <c r="AU19" i="19"/>
  <c r="AA19" i="19"/>
  <c r="AS19" i="19"/>
  <c r="AV19" i="19"/>
  <c r="AQ19" i="19"/>
  <c r="AB19" i="19"/>
  <c r="AR19" i="19"/>
  <c r="AC19" i="19"/>
  <c r="BM15" i="19"/>
  <c r="BQ15" i="19"/>
  <c r="BT15" i="19"/>
  <c r="BW15" i="19"/>
  <c r="BZ15" i="19"/>
  <c r="CC15" i="19"/>
  <c r="CJ15" i="19"/>
  <c r="CN15" i="19"/>
  <c r="BH15" i="19"/>
  <c r="BK15" i="19"/>
  <c r="BP15" i="19"/>
  <c r="BU15" i="19"/>
  <c r="BY15" i="19"/>
  <c r="CB15" i="19"/>
  <c r="CK15" i="19"/>
  <c r="CP15" i="19"/>
  <c r="CV15" i="19"/>
  <c r="CY15" i="19"/>
  <c r="DE15" i="19"/>
  <c r="DI15" i="19"/>
  <c r="BJ15" i="19"/>
  <c r="BR15" i="19"/>
  <c r="BV15" i="19"/>
  <c r="CL15" i="19"/>
  <c r="CR15" i="19"/>
  <c r="CX15" i="19"/>
  <c r="DF15" i="19"/>
  <c r="BG15" i="19"/>
  <c r="BS15" i="19"/>
  <c r="BX15" i="19"/>
  <c r="CD15" i="19"/>
  <c r="CM15" i="19"/>
  <c r="CU15" i="19"/>
  <c r="CZ15" i="19"/>
  <c r="DG15" i="19"/>
  <c r="BI15" i="19"/>
  <c r="BN15" i="19"/>
  <c r="CG15" i="19"/>
  <c r="CO15" i="19"/>
  <c r="DB15" i="19"/>
  <c r="DH15" i="19"/>
  <c r="BF15" i="19"/>
  <c r="BO15" i="19"/>
  <c r="CA15" i="19"/>
  <c r="CH15" i="19"/>
  <c r="CW15" i="19"/>
  <c r="DD15" i="19"/>
  <c r="DM15" i="19"/>
  <c r="AY15" i="19"/>
  <c r="BE15" i="19"/>
  <c r="AP15" i="19"/>
  <c r="AT15" i="19"/>
  <c r="DK15" i="19"/>
  <c r="BB15" i="19"/>
  <c r="DL15" i="19"/>
  <c r="BC15" i="19"/>
  <c r="DN15" i="19"/>
  <c r="AW15" i="19"/>
  <c r="BD15" i="19"/>
  <c r="DJ15" i="19"/>
  <c r="AX15" i="19"/>
  <c r="AD15" i="19"/>
  <c r="AU15" i="19"/>
  <c r="AQ15" i="19"/>
  <c r="AR15" i="19"/>
  <c r="AA15" i="19"/>
  <c r="AS15" i="19"/>
  <c r="AB15" i="19"/>
  <c r="AV15" i="19"/>
  <c r="AC15" i="19"/>
  <c r="BM11" i="19"/>
  <c r="BQ11" i="19"/>
  <c r="BT11" i="19"/>
  <c r="BW11" i="19"/>
  <c r="BZ11" i="19"/>
  <c r="CC11" i="19"/>
  <c r="CJ11" i="19"/>
  <c r="CN11" i="19"/>
  <c r="CR11" i="19"/>
  <c r="CW11" i="19"/>
  <c r="DB11" i="19"/>
  <c r="DG11" i="19"/>
  <c r="BG11" i="19"/>
  <c r="BJ11" i="19"/>
  <c r="BO11" i="19"/>
  <c r="BX11" i="19"/>
  <c r="CH11" i="19"/>
  <c r="CO11" i="19"/>
  <c r="CV11" i="19"/>
  <c r="CZ11" i="19"/>
  <c r="DH11" i="19"/>
  <c r="BK11" i="19"/>
  <c r="BR11" i="19"/>
  <c r="BV11" i="19"/>
  <c r="CB11" i="19"/>
  <c r="CL11" i="19"/>
  <c r="CU11" i="19"/>
  <c r="DD11" i="19"/>
  <c r="BH11" i="19"/>
  <c r="BS11" i="19"/>
  <c r="BY11" i="19"/>
  <c r="CD11" i="19"/>
  <c r="CM11" i="19"/>
  <c r="DE11" i="19"/>
  <c r="BI11" i="19"/>
  <c r="BN11" i="19"/>
  <c r="BU11" i="19"/>
  <c r="CG11" i="19"/>
  <c r="CP11" i="19"/>
  <c r="CX11" i="19"/>
  <c r="DF11" i="19"/>
  <c r="BF11" i="19"/>
  <c r="BP11" i="19"/>
  <c r="CA11" i="19"/>
  <c r="CK11" i="19"/>
  <c r="CY11" i="19"/>
  <c r="DI11" i="19"/>
  <c r="DM11" i="19"/>
  <c r="AY11" i="19"/>
  <c r="BE11" i="19"/>
  <c r="AP11" i="19"/>
  <c r="AT11" i="19"/>
  <c r="DJ11" i="19"/>
  <c r="BC11" i="19"/>
  <c r="DK11" i="19"/>
  <c r="AW11" i="19"/>
  <c r="BD11" i="19"/>
  <c r="DL11" i="19"/>
  <c r="AX11" i="19"/>
  <c r="DN11" i="19"/>
  <c r="BB11" i="19"/>
  <c r="AD11" i="19"/>
  <c r="AU11" i="19"/>
  <c r="AC11" i="19"/>
  <c r="AS11" i="19"/>
  <c r="AV11" i="19"/>
  <c r="AA11" i="19"/>
  <c r="AQ11" i="19"/>
  <c r="AB11" i="19"/>
  <c r="AR11" i="19"/>
  <c r="BI7" i="19"/>
  <c r="BK7" i="19"/>
  <c r="BO7" i="19"/>
  <c r="BS7" i="19"/>
  <c r="BY7" i="19"/>
  <c r="CG7" i="19"/>
  <c r="CL7" i="19"/>
  <c r="CP7" i="19"/>
  <c r="CV7" i="19"/>
  <c r="CY7" i="19"/>
  <c r="DE7" i="19"/>
  <c r="DI7" i="19"/>
  <c r="BJ7" i="19"/>
  <c r="BP7" i="19"/>
  <c r="BT7" i="19"/>
  <c r="BX7" i="19"/>
  <c r="CB7" i="19"/>
  <c r="CJ7" i="19"/>
  <c r="CO7" i="19"/>
  <c r="DB7" i="19"/>
  <c r="DH7" i="19"/>
  <c r="BG7" i="19"/>
  <c r="BR7" i="19"/>
  <c r="BW7" i="19"/>
  <c r="CC7" i="19"/>
  <c r="CM7" i="19"/>
  <c r="CU7" i="19"/>
  <c r="DD7" i="19"/>
  <c r="BF7" i="19"/>
  <c r="BQ7" i="19"/>
  <c r="BV7" i="19"/>
  <c r="CA7" i="19"/>
  <c r="CK7" i="19"/>
  <c r="CR7" i="19"/>
  <c r="CZ7" i="19"/>
  <c r="BM7" i="19"/>
  <c r="CN7" i="19"/>
  <c r="DF7" i="19"/>
  <c r="BN7" i="19"/>
  <c r="BZ7" i="19"/>
  <c r="DG7" i="19"/>
  <c r="BH7" i="19"/>
  <c r="CD7" i="19"/>
  <c r="CW7" i="19"/>
  <c r="BU7" i="19"/>
  <c r="CH7" i="19"/>
  <c r="CX7" i="19"/>
  <c r="DM7" i="19"/>
  <c r="AY7" i="19"/>
  <c r="BE7" i="19"/>
  <c r="AP7" i="19"/>
  <c r="AT7" i="19"/>
  <c r="DN7" i="19"/>
  <c r="AW7" i="19"/>
  <c r="BD7" i="19"/>
  <c r="DJ7" i="19"/>
  <c r="AX7" i="19"/>
  <c r="DK7" i="19"/>
  <c r="BB7" i="19"/>
  <c r="DL7" i="19"/>
  <c r="BC7" i="19"/>
  <c r="AD7" i="19"/>
  <c r="AU7" i="19"/>
  <c r="AB7" i="19"/>
  <c r="AQ7" i="19"/>
  <c r="AR7" i="19"/>
  <c r="AA7" i="19"/>
  <c r="AS7" i="19"/>
  <c r="AC7" i="19"/>
  <c r="AV7" i="19"/>
  <c r="DW36" i="19"/>
  <c r="EA36" i="19"/>
  <c r="EE36" i="19"/>
  <c r="EI36" i="19"/>
  <c r="EM36" i="19"/>
  <c r="EQ36" i="19"/>
  <c r="EU36" i="19"/>
  <c r="EY36" i="19"/>
  <c r="FC36" i="19"/>
  <c r="FG36" i="19"/>
  <c r="FK36" i="19"/>
  <c r="DZ36" i="19"/>
  <c r="EF36" i="19"/>
  <c r="EK36" i="19"/>
  <c r="EP36" i="19"/>
  <c r="EV36" i="19"/>
  <c r="FA36" i="19"/>
  <c r="FF36" i="19"/>
  <c r="FL36" i="19"/>
  <c r="DV36" i="19"/>
  <c r="EC36" i="19"/>
  <c r="EJ36" i="19"/>
  <c r="ER36" i="19"/>
  <c r="EX36" i="19"/>
  <c r="FE36" i="19"/>
  <c r="FM36" i="19"/>
  <c r="DX36" i="19"/>
  <c r="ED36" i="19"/>
  <c r="EL36" i="19"/>
  <c r="ES36" i="19"/>
  <c r="EZ36" i="19"/>
  <c r="FH36" i="19"/>
  <c r="FN36" i="19"/>
  <c r="DY36" i="19"/>
  <c r="EG36" i="19"/>
  <c r="EN36" i="19"/>
  <c r="ET36" i="19"/>
  <c r="FB36" i="19"/>
  <c r="FI36" i="19"/>
  <c r="EB36" i="19"/>
  <c r="EH36" i="19"/>
  <c r="EO36" i="19"/>
  <c r="EW36" i="19"/>
  <c r="FD36" i="19"/>
  <c r="FJ36" i="19"/>
  <c r="DW32" i="19"/>
  <c r="EA32" i="19"/>
  <c r="EE32" i="19"/>
  <c r="EI32" i="19"/>
  <c r="EM32" i="19"/>
  <c r="EQ32" i="19"/>
  <c r="EU32" i="19"/>
  <c r="EY32" i="19"/>
  <c r="FC32" i="19"/>
  <c r="FG32" i="19"/>
  <c r="FK32" i="19"/>
  <c r="DX32" i="19"/>
  <c r="EC32" i="19"/>
  <c r="EH32" i="19"/>
  <c r="EN32" i="19"/>
  <c r="DY32" i="19"/>
  <c r="ED32" i="19"/>
  <c r="EJ32" i="19"/>
  <c r="EO32" i="19"/>
  <c r="ET32" i="19"/>
  <c r="EZ32" i="19"/>
  <c r="FE32" i="19"/>
  <c r="FJ32" i="19"/>
  <c r="DV32" i="19"/>
  <c r="EB32" i="19"/>
  <c r="EG32" i="19"/>
  <c r="EL32" i="19"/>
  <c r="ER32" i="19"/>
  <c r="EW32" i="19"/>
  <c r="FB32" i="19"/>
  <c r="FH32" i="19"/>
  <c r="FM32" i="19"/>
  <c r="DZ32" i="19"/>
  <c r="ES32" i="19"/>
  <c r="FD32" i="19"/>
  <c r="FN32" i="19"/>
  <c r="EF32" i="19"/>
  <c r="EV32" i="19"/>
  <c r="FF32" i="19"/>
  <c r="EK32" i="19"/>
  <c r="EX32" i="19"/>
  <c r="FI32" i="19"/>
  <c r="EP32" i="19"/>
  <c r="FA32" i="19"/>
  <c r="FL32" i="19"/>
  <c r="DW28" i="19"/>
  <c r="EA28" i="19"/>
  <c r="EE28" i="19"/>
  <c r="EI28" i="19"/>
  <c r="EM28" i="19"/>
  <c r="EQ28" i="19"/>
  <c r="EU28" i="19"/>
  <c r="EY28" i="19"/>
  <c r="FC28" i="19"/>
  <c r="FG28" i="19"/>
  <c r="FK28" i="19"/>
  <c r="DY28" i="19"/>
  <c r="ED28" i="19"/>
  <c r="EJ28" i="19"/>
  <c r="EO28" i="19"/>
  <c r="ET28" i="19"/>
  <c r="EZ28" i="19"/>
  <c r="FE28" i="19"/>
  <c r="FJ28" i="19"/>
  <c r="DZ28" i="19"/>
  <c r="EF28" i="19"/>
  <c r="EK28" i="19"/>
  <c r="EP28" i="19"/>
  <c r="EV28" i="19"/>
  <c r="FA28" i="19"/>
  <c r="FF28" i="19"/>
  <c r="FL28" i="19"/>
  <c r="DX28" i="19"/>
  <c r="EC28" i="19"/>
  <c r="EH28" i="19"/>
  <c r="EN28" i="19"/>
  <c r="ES28" i="19"/>
  <c r="EX28" i="19"/>
  <c r="FD28" i="19"/>
  <c r="FI28" i="19"/>
  <c r="FN28" i="19"/>
  <c r="DV28" i="19"/>
  <c r="ER28" i="19"/>
  <c r="FM28" i="19"/>
  <c r="EB28" i="19"/>
  <c r="EW28" i="19"/>
  <c r="EG28" i="19"/>
  <c r="FB28" i="19"/>
  <c r="EL28" i="19"/>
  <c r="FH28" i="19"/>
  <c r="DV24" i="19"/>
  <c r="DZ24" i="19"/>
  <c r="ED24" i="19"/>
  <c r="EH24" i="19"/>
  <c r="EL24" i="19"/>
  <c r="EP24" i="19"/>
  <c r="ET24" i="19"/>
  <c r="EX24" i="19"/>
  <c r="FB24" i="19"/>
  <c r="FF24" i="19"/>
  <c r="FJ24" i="19"/>
  <c r="FN24" i="19"/>
  <c r="DW24" i="19"/>
  <c r="EB24" i="19"/>
  <c r="EG24" i="19"/>
  <c r="EM24" i="19"/>
  <c r="ER24" i="19"/>
  <c r="EW24" i="19"/>
  <c r="FC24" i="19"/>
  <c r="FH24" i="19"/>
  <c r="FM24" i="19"/>
  <c r="DX24" i="19"/>
  <c r="EE24" i="19"/>
  <c r="EK24" i="19"/>
  <c r="ES24" i="19"/>
  <c r="EZ24" i="19"/>
  <c r="FG24" i="19"/>
  <c r="DY24" i="19"/>
  <c r="EF24" i="19"/>
  <c r="EN24" i="19"/>
  <c r="EU24" i="19"/>
  <c r="FA24" i="19"/>
  <c r="FI24" i="19"/>
  <c r="EA24" i="19"/>
  <c r="EI24" i="19"/>
  <c r="EO24" i="19"/>
  <c r="EV24" i="19"/>
  <c r="FD24" i="19"/>
  <c r="FK24" i="19"/>
  <c r="EC24" i="19"/>
  <c r="EJ24" i="19"/>
  <c r="EQ24" i="19"/>
  <c r="EY24" i="19"/>
  <c r="FE24" i="19"/>
  <c r="FL24" i="19"/>
  <c r="DV20" i="19"/>
  <c r="DZ20" i="19"/>
  <c r="ED20" i="19"/>
  <c r="EH20" i="19"/>
  <c r="EL20" i="19"/>
  <c r="EP20" i="19"/>
  <c r="ET20" i="19"/>
  <c r="EX20" i="19"/>
  <c r="FB20" i="19"/>
  <c r="FF20" i="19"/>
  <c r="FJ20" i="19"/>
  <c r="FN20" i="19"/>
  <c r="DX20" i="19"/>
  <c r="EC20" i="19"/>
  <c r="EI20" i="19"/>
  <c r="EN20" i="19"/>
  <c r="ES20" i="19"/>
  <c r="EY20" i="19"/>
  <c r="FD20" i="19"/>
  <c r="FI20" i="19"/>
  <c r="EA20" i="19"/>
  <c r="EG20" i="19"/>
  <c r="EO20" i="19"/>
  <c r="EV20" i="19"/>
  <c r="FC20" i="19"/>
  <c r="FK20" i="19"/>
  <c r="EB20" i="19"/>
  <c r="EJ20" i="19"/>
  <c r="EQ20" i="19"/>
  <c r="EW20" i="19"/>
  <c r="FE20" i="19"/>
  <c r="FL20" i="19"/>
  <c r="DW20" i="19"/>
  <c r="EE20" i="19"/>
  <c r="EK20" i="19"/>
  <c r="ER20" i="19"/>
  <c r="EZ20" i="19"/>
  <c r="FG20" i="19"/>
  <c r="FM20" i="19"/>
  <c r="DY20" i="19"/>
  <c r="EF20" i="19"/>
  <c r="EM20" i="19"/>
  <c r="EU20" i="19"/>
  <c r="FA20" i="19"/>
  <c r="FH20" i="19"/>
  <c r="DV16" i="19"/>
  <c r="DZ16" i="19"/>
  <c r="ED16" i="19"/>
  <c r="EH16" i="19"/>
  <c r="EL16" i="19"/>
  <c r="EP16" i="19"/>
  <c r="ET16" i="19"/>
  <c r="EX16" i="19"/>
  <c r="FB16" i="19"/>
  <c r="FF16" i="19"/>
  <c r="FJ16" i="19"/>
  <c r="FN16" i="19"/>
  <c r="DY16" i="19"/>
  <c r="EE16" i="19"/>
  <c r="EJ16" i="19"/>
  <c r="EO16" i="19"/>
  <c r="EU16" i="19"/>
  <c r="EZ16" i="19"/>
  <c r="FE16" i="19"/>
  <c r="FK16" i="19"/>
  <c r="DW16" i="19"/>
  <c r="EC16" i="19"/>
  <c r="EK16" i="19"/>
  <c r="ER16" i="19"/>
  <c r="EY16" i="19"/>
  <c r="FG16" i="19"/>
  <c r="FM16" i="19"/>
  <c r="DX16" i="19"/>
  <c r="EF16" i="19"/>
  <c r="EM16" i="19"/>
  <c r="ES16" i="19"/>
  <c r="FA16" i="19"/>
  <c r="FH16" i="19"/>
  <c r="EA16" i="19"/>
  <c r="EG16" i="19"/>
  <c r="EN16" i="19"/>
  <c r="EV16" i="19"/>
  <c r="FC16" i="19"/>
  <c r="FI16" i="19"/>
  <c r="EB16" i="19"/>
  <c r="EI16" i="19"/>
  <c r="EQ16" i="19"/>
  <c r="EW16" i="19"/>
  <c r="FD16" i="19"/>
  <c r="FL16" i="19"/>
  <c r="DV12" i="19"/>
  <c r="DZ12" i="19"/>
  <c r="ED12" i="19"/>
  <c r="EH12" i="19"/>
  <c r="EL12" i="19"/>
  <c r="EP12" i="19"/>
  <c r="ET12" i="19"/>
  <c r="EX12" i="19"/>
  <c r="FB12" i="19"/>
  <c r="FF12" i="19"/>
  <c r="FJ12" i="19"/>
  <c r="FN12" i="19"/>
  <c r="DW12" i="19"/>
  <c r="EB12" i="19"/>
  <c r="EG12" i="19"/>
  <c r="EM12" i="19"/>
  <c r="ER12" i="19"/>
  <c r="EW12" i="19"/>
  <c r="FC12" i="19"/>
  <c r="FH12" i="19"/>
  <c r="FM12" i="19"/>
  <c r="EA12" i="19"/>
  <c r="EF12" i="19"/>
  <c r="EK12" i="19"/>
  <c r="EQ12" i="19"/>
  <c r="EV12" i="19"/>
  <c r="FA12" i="19"/>
  <c r="FG12" i="19"/>
  <c r="FL12" i="19"/>
  <c r="DX12" i="19"/>
  <c r="EI12" i="19"/>
  <c r="ES12" i="19"/>
  <c r="FD12" i="19"/>
  <c r="DY12" i="19"/>
  <c r="EJ12" i="19"/>
  <c r="EU12" i="19"/>
  <c r="FE12" i="19"/>
  <c r="EC12" i="19"/>
  <c r="EN12" i="19"/>
  <c r="EY12" i="19"/>
  <c r="FI12" i="19"/>
  <c r="EE12" i="19"/>
  <c r="EO12" i="19"/>
  <c r="EZ12" i="19"/>
  <c r="FK12" i="19"/>
  <c r="DV8" i="19"/>
  <c r="DZ8" i="19"/>
  <c r="ED8" i="19"/>
  <c r="EH8" i="19"/>
  <c r="EL8" i="19"/>
  <c r="EP8" i="19"/>
  <c r="ET8" i="19"/>
  <c r="EX8" i="19"/>
  <c r="FB8" i="19"/>
  <c r="FF8" i="19"/>
  <c r="FJ8" i="19"/>
  <c r="FN8" i="19"/>
  <c r="DX8" i="19"/>
  <c r="EC8" i="19"/>
  <c r="EI8" i="19"/>
  <c r="EN8" i="19"/>
  <c r="ES8" i="19"/>
  <c r="EY8" i="19"/>
  <c r="FD8" i="19"/>
  <c r="FI8" i="19"/>
  <c r="DW8" i="19"/>
  <c r="EB8" i="19"/>
  <c r="EG8" i="19"/>
  <c r="EM8" i="19"/>
  <c r="ER8" i="19"/>
  <c r="EW8" i="19"/>
  <c r="FC8" i="19"/>
  <c r="FH8" i="19"/>
  <c r="FM8" i="19"/>
  <c r="EE8" i="19"/>
  <c r="EO8" i="19"/>
  <c r="EZ8" i="19"/>
  <c r="FK8" i="19"/>
  <c r="EF8" i="19"/>
  <c r="EQ8" i="19"/>
  <c r="FA8" i="19"/>
  <c r="FL8" i="19"/>
  <c r="DY8" i="19"/>
  <c r="EJ8" i="19"/>
  <c r="EU8" i="19"/>
  <c r="FE8" i="19"/>
  <c r="EA8" i="19"/>
  <c r="EK8" i="19"/>
  <c r="EV8" i="19"/>
  <c r="FG8" i="19"/>
  <c r="L9" i="9"/>
  <c r="L8" i="9"/>
  <c r="P8" i="9"/>
  <c r="P9" i="9"/>
  <c r="L10" i="9"/>
  <c r="DV37" i="19" l="1"/>
  <c r="FM3" i="19"/>
  <c r="CE6" i="19"/>
  <c r="CI5" i="19"/>
  <c r="CF4" i="19"/>
  <c r="DA4" i="19"/>
  <c r="CQ4" i="19"/>
  <c r="CI4" i="19"/>
  <c r="CF3" i="19"/>
  <c r="CE3" i="19"/>
  <c r="FN4" i="19"/>
  <c r="FN3" i="19"/>
  <c r="FF4" i="19"/>
  <c r="FM4" i="19"/>
  <c r="EV4" i="19"/>
  <c r="CZ6" i="19" l="1"/>
  <c r="DF6" i="19"/>
  <c r="CQ6" i="19"/>
  <c r="DE6" i="19"/>
  <c r="DI6" i="19"/>
  <c r="CI6" i="19"/>
  <c r="CU6" i="19"/>
  <c r="DA6" i="19"/>
  <c r="DD6" i="19"/>
  <c r="DH6" i="19"/>
  <c r="CF6" i="19"/>
  <c r="DG6" i="19"/>
  <c r="DB6" i="19"/>
  <c r="AA6" i="19"/>
  <c r="CT6" i="19"/>
  <c r="DD5" i="19"/>
  <c r="DH5" i="19"/>
  <c r="DB5" i="19"/>
  <c r="DG5" i="19"/>
  <c r="CZ5" i="19"/>
  <c r="DF5" i="19"/>
  <c r="CQ5" i="19"/>
  <c r="CF5" i="19"/>
  <c r="DE5" i="19"/>
  <c r="DI5" i="19"/>
  <c r="CE5" i="19"/>
  <c r="CT5" i="19"/>
  <c r="DA5" i="19"/>
  <c r="DG4" i="19"/>
  <c r="DF4" i="19"/>
  <c r="CE4" i="19"/>
  <c r="DE4" i="19"/>
  <c r="DI4" i="19"/>
  <c r="DB4" i="19"/>
  <c r="DD4" i="19"/>
  <c r="DH4" i="19"/>
  <c r="CZ4" i="19"/>
  <c r="CT4" i="19"/>
  <c r="DF3" i="19"/>
  <c r="DA3" i="19"/>
  <c r="DI3" i="19"/>
  <c r="CZ3" i="19"/>
  <c r="CT3" i="19"/>
  <c r="DD3" i="19"/>
  <c r="DH3" i="19"/>
  <c r="CI3" i="19"/>
  <c r="DG3" i="19"/>
  <c r="CQ3" i="19"/>
  <c r="DB3" i="19"/>
  <c r="DE3" i="19"/>
  <c r="E33" i="13"/>
  <c r="E29" i="13"/>
  <c r="E25" i="13"/>
  <c r="E32" i="13"/>
  <c r="E28" i="13"/>
  <c r="E31" i="13"/>
  <c r="E27" i="13"/>
  <c r="E30" i="13"/>
  <c r="E26" i="13"/>
  <c r="E22" i="13"/>
  <c r="E20" i="13"/>
  <c r="E24" i="13"/>
  <c r="E1350" i="21"/>
  <c r="E1004" i="21"/>
  <c r="E1003" i="21"/>
  <c r="E1002" i="21"/>
  <c r="E1001" i="21"/>
  <c r="E1000" i="21"/>
  <c r="E998" i="21"/>
  <c r="E996" i="21"/>
  <c r="E995" i="21"/>
  <c r="E994" i="21"/>
  <c r="E991" i="21"/>
  <c r="E990" i="21"/>
  <c r="E988" i="21"/>
  <c r="E987" i="21"/>
  <c r="E986" i="21"/>
  <c r="E985" i="21"/>
  <c r="E984" i="21"/>
  <c r="E982" i="21"/>
  <c r="E980" i="21"/>
  <c r="E979" i="21"/>
  <c r="E978" i="21"/>
  <c r="E975" i="21"/>
  <c r="E974" i="21"/>
  <c r="E972" i="21"/>
  <c r="E971" i="21"/>
  <c r="E970" i="21"/>
  <c r="E1877" i="22"/>
  <c r="E1876" i="22"/>
  <c r="E1875" i="22"/>
  <c r="E1874" i="22"/>
  <c r="E1873" i="22"/>
  <c r="E1872" i="22"/>
  <c r="E1871" i="22"/>
  <c r="E1870" i="22"/>
  <c r="E1869" i="22"/>
  <c r="E1868" i="22"/>
  <c r="E1867" i="22"/>
  <c r="E1866" i="22"/>
  <c r="E1865" i="22"/>
  <c r="E1864" i="22"/>
  <c r="E1863" i="22"/>
  <c r="E1862" i="22"/>
  <c r="E1861" i="22"/>
  <c r="E1860" i="22"/>
  <c r="E1859" i="22"/>
  <c r="E1858" i="22"/>
  <c r="E1857" i="22"/>
  <c r="E1856" i="22"/>
  <c r="E1855" i="22"/>
  <c r="E1854" i="22"/>
  <c r="E1853" i="22"/>
  <c r="E1852" i="22"/>
  <c r="E1851" i="22"/>
  <c r="E1850" i="22"/>
  <c r="E1849" i="22"/>
  <c r="E1848" i="22"/>
  <c r="E1847" i="22"/>
  <c r="E1846" i="22"/>
  <c r="E1845" i="22"/>
  <c r="E1844" i="22"/>
  <c r="E1843" i="22"/>
  <c r="E1611" i="22"/>
  <c r="E1610" i="22"/>
  <c r="E1609" i="22"/>
  <c r="E1608" i="22"/>
  <c r="E1607" i="22"/>
  <c r="E1606" i="22"/>
  <c r="E1605" i="22"/>
  <c r="E1604" i="22"/>
  <c r="E1603" i="22"/>
  <c r="E1602" i="22"/>
  <c r="E1601" i="22"/>
  <c r="E1600" i="22"/>
  <c r="E1599" i="22"/>
  <c r="E1598" i="22"/>
  <c r="E1597" i="22"/>
  <c r="E1596" i="22"/>
  <c r="E1595" i="22"/>
  <c r="E1594" i="22"/>
  <c r="E1593" i="22"/>
  <c r="E1592" i="22"/>
  <c r="E1591" i="22"/>
  <c r="E1590" i="22"/>
  <c r="E1589" i="22"/>
  <c r="E1588" i="22"/>
  <c r="E1587" i="22"/>
  <c r="E1586" i="22"/>
  <c r="E1585" i="22"/>
  <c r="E1584" i="22"/>
  <c r="E1583" i="22"/>
  <c r="E1582" i="22"/>
  <c r="E1581" i="22"/>
  <c r="E1580" i="22"/>
  <c r="E1579" i="22"/>
  <c r="E1578" i="22"/>
  <c r="E1577" i="22"/>
  <c r="E1573" i="22"/>
  <c r="E1572" i="22"/>
  <c r="E1571" i="22"/>
  <c r="E1570" i="22"/>
  <c r="E1569" i="22"/>
  <c r="E1568" i="22"/>
  <c r="E1567" i="22"/>
  <c r="E1566" i="22"/>
  <c r="E1565" i="22"/>
  <c r="E1564" i="22"/>
  <c r="E1563" i="22"/>
  <c r="E1562" i="22"/>
  <c r="E1561" i="22"/>
  <c r="E1560" i="22"/>
  <c r="E1559" i="22"/>
  <c r="E1558" i="22"/>
  <c r="E1557" i="22"/>
  <c r="E1556" i="22"/>
  <c r="E1555" i="22"/>
  <c r="E1554" i="22"/>
  <c r="E1553" i="22"/>
  <c r="E1552" i="22"/>
  <c r="E1551" i="22"/>
  <c r="E1550" i="22"/>
  <c r="E1549" i="22"/>
  <c r="E1548" i="22"/>
  <c r="E1547" i="22"/>
  <c r="E1546" i="22"/>
  <c r="E1545" i="22"/>
  <c r="E1544" i="22"/>
  <c r="E1543" i="22"/>
  <c r="E1542" i="22"/>
  <c r="E1541" i="22"/>
  <c r="E1540" i="22"/>
  <c r="E1539" i="22"/>
  <c r="E1459" i="22"/>
  <c r="E1457" i="22"/>
  <c r="E1455" i="22"/>
  <c r="E1453" i="22"/>
  <c r="E1451" i="22"/>
  <c r="E1449" i="22"/>
  <c r="E1447" i="22"/>
  <c r="E1445" i="22"/>
  <c r="E1443" i="22"/>
  <c r="E1441" i="22"/>
  <c r="E1439" i="22"/>
  <c r="E1437" i="22"/>
  <c r="E1435" i="22"/>
  <c r="E1433" i="22"/>
  <c r="E1431" i="22"/>
  <c r="E1429" i="22"/>
  <c r="E1427" i="22"/>
  <c r="E1426" i="22"/>
  <c r="E1425" i="22"/>
  <c r="E1154" i="22"/>
  <c r="E1152" i="22"/>
  <c r="E1150" i="22"/>
  <c r="E1148" i="22"/>
  <c r="E1146" i="22"/>
  <c r="E1144" i="22"/>
  <c r="E1142" i="22"/>
  <c r="E1140" i="22"/>
  <c r="E1138" i="22"/>
  <c r="E1136" i="22"/>
  <c r="E1134" i="22"/>
  <c r="E1132" i="22"/>
  <c r="E1130" i="22"/>
  <c r="E1128" i="22"/>
  <c r="E1126" i="22"/>
  <c r="E1124" i="22"/>
  <c r="E1121" i="22"/>
  <c r="AA5" i="19" l="1"/>
  <c r="AA3" i="19"/>
  <c r="AA4" i="19"/>
  <c r="E23" i="13"/>
  <c r="E19" i="13"/>
  <c r="E21" i="13"/>
  <c r="E993" i="21"/>
  <c r="E976" i="21"/>
  <c r="E981" i="21"/>
  <c r="E983" i="21"/>
  <c r="E992" i="21"/>
  <c r="E997" i="21"/>
  <c r="E999" i="21"/>
  <c r="E1352" i="21"/>
  <c r="E1354" i="21"/>
  <c r="E1356" i="21"/>
  <c r="E1358" i="21"/>
  <c r="E1360" i="21"/>
  <c r="E1362" i="21"/>
  <c r="E1364" i="21"/>
  <c r="E1366" i="21"/>
  <c r="E1368" i="21"/>
  <c r="E1370" i="21"/>
  <c r="E1372" i="21"/>
  <c r="E1374" i="21"/>
  <c r="E1376" i="21"/>
  <c r="E1378" i="21"/>
  <c r="E1380" i="21"/>
  <c r="E1382" i="21"/>
  <c r="E973" i="21"/>
  <c r="E989" i="21"/>
  <c r="E1351" i="21"/>
  <c r="E1353" i="21"/>
  <c r="E1355" i="21"/>
  <c r="E1357" i="21"/>
  <c r="E1359" i="21"/>
  <c r="E1361" i="21"/>
  <c r="E1363" i="21"/>
  <c r="E1365" i="21"/>
  <c r="E1367" i="21"/>
  <c r="E1369" i="21"/>
  <c r="E1371" i="21"/>
  <c r="E1373" i="21"/>
  <c r="E1375" i="21"/>
  <c r="E1377" i="21"/>
  <c r="E1379" i="21"/>
  <c r="E1381" i="21"/>
  <c r="E1383" i="21"/>
  <c r="E977" i="21"/>
  <c r="E1122" i="22"/>
  <c r="E1123" i="22"/>
  <c r="E1125" i="22"/>
  <c r="E1127" i="22"/>
  <c r="E1129" i="22"/>
  <c r="E1131" i="22"/>
  <c r="E1133" i="22"/>
  <c r="E1135" i="22"/>
  <c r="E1137" i="22"/>
  <c r="E1139" i="22"/>
  <c r="E1141" i="22"/>
  <c r="E1143" i="22"/>
  <c r="E1145" i="22"/>
  <c r="E1147" i="22"/>
  <c r="E1149" i="22"/>
  <c r="E1151" i="22"/>
  <c r="E1153" i="22"/>
  <c r="E1155" i="22"/>
  <c r="E1428" i="22"/>
  <c r="E1430" i="22"/>
  <c r="E1432" i="22"/>
  <c r="E1434" i="22"/>
  <c r="E1436" i="22"/>
  <c r="E1438" i="22"/>
  <c r="E1440" i="22"/>
  <c r="E1442" i="22"/>
  <c r="E1444" i="22"/>
  <c r="E1446" i="22"/>
  <c r="E1448" i="22"/>
  <c r="E1450" i="22"/>
  <c r="E1452" i="22"/>
  <c r="E1454" i="22"/>
  <c r="E1456" i="22"/>
  <c r="E1458" i="22"/>
  <c r="E970" i="22"/>
  <c r="E972" i="22"/>
  <c r="E974" i="22"/>
  <c r="E976" i="22"/>
  <c r="E978" i="22"/>
  <c r="E980" i="22"/>
  <c r="E982" i="22"/>
  <c r="E984" i="22"/>
  <c r="E986" i="22"/>
  <c r="E988" i="22"/>
  <c r="E990" i="22"/>
  <c r="E992" i="22"/>
  <c r="E994" i="22"/>
  <c r="E996" i="22"/>
  <c r="E998" i="22"/>
  <c r="E1000" i="22"/>
  <c r="E1002" i="22"/>
  <c r="E971" i="22"/>
  <c r="E973" i="22"/>
  <c r="E975" i="22"/>
  <c r="E977" i="22"/>
  <c r="E979" i="22"/>
  <c r="E981" i="22"/>
  <c r="E983" i="22"/>
  <c r="E985" i="22"/>
  <c r="E987" i="22"/>
  <c r="E989" i="22"/>
  <c r="E991" i="22"/>
  <c r="E993" i="22"/>
  <c r="E995" i="22"/>
  <c r="E997" i="22"/>
  <c r="E999" i="22"/>
  <c r="E1001" i="22"/>
  <c r="E1003" i="22"/>
  <c r="E1008" i="22"/>
  <c r="E1010" i="22"/>
  <c r="E1014" i="22"/>
  <c r="E1012" i="22"/>
  <c r="E1016" i="22"/>
  <c r="E1018" i="22"/>
  <c r="E1020" i="22"/>
  <c r="E1022" i="22"/>
  <c r="E1024" i="22"/>
  <c r="E1026" i="22"/>
  <c r="E1028" i="22"/>
  <c r="E1030" i="22"/>
  <c r="E1032" i="22"/>
  <c r="E1034" i="22"/>
  <c r="E1036" i="22"/>
  <c r="E1038" i="22"/>
  <c r="E1040" i="22"/>
  <c r="E1011" i="22"/>
  <c r="E1019" i="22"/>
  <c r="E1009" i="22"/>
  <c r="E1013" i="22"/>
  <c r="E1015" i="22"/>
  <c r="E1017" i="22"/>
  <c r="E1021" i="22"/>
  <c r="E1023" i="22"/>
  <c r="E1025" i="22"/>
  <c r="E1027" i="22"/>
  <c r="E1029" i="22"/>
  <c r="E1031" i="22"/>
  <c r="E1033" i="22"/>
  <c r="E1035" i="22"/>
  <c r="E1037" i="22"/>
  <c r="E1039" i="22"/>
  <c r="E1041" i="22"/>
  <c r="E969" i="21" l="1"/>
  <c r="E1349" i="21"/>
  <c r="E969" i="22"/>
  <c r="E1007" i="22"/>
  <c r="E179" i="5"/>
  <c r="E177" i="5"/>
  <c r="E175" i="5"/>
  <c r="E173" i="5"/>
  <c r="E133" i="5"/>
  <c r="E128" i="5"/>
  <c r="E126" i="5"/>
  <c r="E124" i="5"/>
  <c r="E122" i="5"/>
  <c r="E120" i="5"/>
  <c r="E118" i="5"/>
  <c r="E116" i="5"/>
  <c r="E114" i="5"/>
  <c r="E112" i="5"/>
  <c r="E110" i="5"/>
  <c r="E108" i="5"/>
  <c r="E106" i="5"/>
  <c r="E104" i="5"/>
  <c r="E102" i="5"/>
  <c r="E100" i="5"/>
  <c r="E98" i="5"/>
  <c r="E1687" i="21"/>
  <c r="E1685" i="21"/>
  <c r="E1683" i="21"/>
  <c r="E1681" i="21"/>
  <c r="E1679" i="21"/>
  <c r="E1677" i="21"/>
  <c r="E1675" i="21"/>
  <c r="E1673" i="21"/>
  <c r="E1671" i="21"/>
  <c r="E1669" i="21"/>
  <c r="E1667" i="21"/>
  <c r="E1665" i="21"/>
  <c r="E1663" i="21"/>
  <c r="E1661" i="21"/>
  <c r="E1659" i="21"/>
  <c r="E1657" i="21"/>
  <c r="E1655" i="21"/>
  <c r="E1654" i="21"/>
  <c r="E1649" i="21"/>
  <c r="E1647" i="21"/>
  <c r="E1645" i="21"/>
  <c r="E1643" i="21"/>
  <c r="E1641" i="21"/>
  <c r="E1639" i="21"/>
  <c r="E1637" i="21"/>
  <c r="E1635" i="21"/>
  <c r="E1633" i="21"/>
  <c r="E1631" i="21"/>
  <c r="E1629" i="21"/>
  <c r="E1627" i="21"/>
  <c r="E1625" i="21"/>
  <c r="E1623" i="21"/>
  <c r="E1621" i="21"/>
  <c r="E1619" i="21"/>
  <c r="E1617" i="21"/>
  <c r="E1615" i="21"/>
  <c r="E1610" i="21"/>
  <c r="E1608" i="21"/>
  <c r="E1606" i="21"/>
  <c r="E1604" i="21"/>
  <c r="E1602" i="21"/>
  <c r="E1600" i="21"/>
  <c r="E1598" i="21"/>
  <c r="E1596" i="21"/>
  <c r="E1594" i="21"/>
  <c r="E1592" i="21"/>
  <c r="E1590" i="21"/>
  <c r="E1588" i="21"/>
  <c r="E1586" i="21"/>
  <c r="E1584" i="21"/>
  <c r="E1533" i="21"/>
  <c r="E1459" i="21"/>
  <c r="E1453" i="21"/>
  <c r="E1451" i="21"/>
  <c r="E1445" i="21"/>
  <c r="E1443" i="21"/>
  <c r="E1437" i="21"/>
  <c r="E1435" i="21"/>
  <c r="E1269" i="21"/>
  <c r="E1267" i="21"/>
  <c r="E1265" i="21"/>
  <c r="E1263" i="21"/>
  <c r="E1261" i="21"/>
  <c r="E1259" i="21"/>
  <c r="E1254" i="21"/>
  <c r="E1250" i="21"/>
  <c r="E1249" i="21"/>
  <c r="E1245" i="21"/>
  <c r="E1238" i="21"/>
  <c r="E1135" i="21"/>
  <c r="E1112" i="21"/>
  <c r="E1102" i="21"/>
  <c r="E1100" i="21"/>
  <c r="E1095" i="21"/>
  <c r="E1091" i="21"/>
  <c r="E1040" i="21"/>
  <c r="E1038" i="21"/>
  <c r="E1036" i="21"/>
  <c r="E1034" i="21"/>
  <c r="E1032" i="21"/>
  <c r="E1030" i="21"/>
  <c r="E1028" i="21"/>
  <c r="E1026" i="21"/>
  <c r="E1024" i="21"/>
  <c r="E1022" i="21"/>
  <c r="E1020" i="21"/>
  <c r="E1018" i="21"/>
  <c r="E1016" i="21"/>
  <c r="E927" i="21"/>
  <c r="E925" i="21"/>
  <c r="E923" i="21"/>
  <c r="E921" i="21"/>
  <c r="E919" i="21"/>
  <c r="E917" i="21"/>
  <c r="E915" i="21"/>
  <c r="E913" i="21"/>
  <c r="E911" i="21"/>
  <c r="E909" i="21"/>
  <c r="E907" i="21"/>
  <c r="E905" i="21"/>
  <c r="E903" i="21"/>
  <c r="E901" i="21"/>
  <c r="E899" i="21"/>
  <c r="E840" i="21"/>
  <c r="E836" i="21"/>
  <c r="E827" i="21"/>
  <c r="E805" i="21"/>
  <c r="E793" i="21"/>
  <c r="E789" i="21"/>
  <c r="E765" i="21"/>
  <c r="E698" i="21"/>
  <c r="E693" i="21"/>
  <c r="E685" i="21"/>
  <c r="E677" i="21"/>
  <c r="E674" i="21"/>
  <c r="E623" i="21"/>
  <c r="E612" i="21"/>
  <c r="E597" i="21"/>
  <c r="E593" i="21"/>
  <c r="E541" i="21"/>
  <c r="E525" i="21"/>
  <c r="E521" i="21"/>
  <c r="E467" i="21"/>
  <c r="E459" i="21"/>
  <c r="E444" i="21"/>
  <c r="E391" i="21"/>
  <c r="E386" i="21"/>
  <c r="E326" i="21"/>
  <c r="E109" i="21"/>
  <c r="E105" i="21"/>
  <c r="E40" i="21"/>
  <c r="E32" i="21"/>
  <c r="E31" i="21"/>
  <c r="EC3" i="19" l="1"/>
  <c r="FA3" i="19"/>
  <c r="BL6" i="19"/>
  <c r="BT6" i="19"/>
  <c r="BX6" i="19"/>
  <c r="CB6" i="19"/>
  <c r="CH6" i="19"/>
  <c r="CM6" i="19"/>
  <c r="CR6" i="19"/>
  <c r="BG6" i="19"/>
  <c r="CL6" i="19"/>
  <c r="CP6" i="19"/>
  <c r="CW6" i="19"/>
  <c r="BF6" i="19"/>
  <c r="BJ6" i="19"/>
  <c r="BN6" i="19"/>
  <c r="BR6" i="19"/>
  <c r="BV6" i="19"/>
  <c r="BZ6" i="19"/>
  <c r="CD6" i="19"/>
  <c r="CK6" i="19"/>
  <c r="CO6" i="19"/>
  <c r="CV6" i="19"/>
  <c r="CN6" i="19"/>
  <c r="CS6" i="19"/>
  <c r="CS4" i="19"/>
  <c r="BL4" i="19"/>
  <c r="CS3" i="19"/>
  <c r="CP3" i="19"/>
  <c r="E333" i="22"/>
  <c r="E337" i="22"/>
  <c r="E341" i="22"/>
  <c r="E349" i="22"/>
  <c r="E353" i="22"/>
  <c r="E357" i="22"/>
  <c r="E671" i="22"/>
  <c r="E679" i="22"/>
  <c r="E268" i="22"/>
  <c r="E280" i="22"/>
  <c r="E416" i="22"/>
  <c r="E424" i="22"/>
  <c r="E673" i="22"/>
  <c r="E681" i="22"/>
  <c r="E422" i="22"/>
  <c r="E69" i="22"/>
  <c r="E331" i="22"/>
  <c r="E339" i="22"/>
  <c r="E347" i="22"/>
  <c r="E355" i="22"/>
  <c r="E19" i="22"/>
  <c r="E26" i="21"/>
  <c r="E41" i="21"/>
  <c r="E64" i="21"/>
  <c r="E68" i="21"/>
  <c r="E76" i="21"/>
  <c r="E84" i="21"/>
  <c r="E88" i="21"/>
  <c r="E106" i="21"/>
  <c r="E113" i="21"/>
  <c r="E117" i="21"/>
  <c r="E297" i="21"/>
  <c r="E305" i="21"/>
  <c r="E313" i="21"/>
  <c r="E317" i="21"/>
  <c r="E367" i="21"/>
  <c r="E375" i="21"/>
  <c r="E379" i="21"/>
  <c r="E468" i="21"/>
  <c r="E536" i="21"/>
  <c r="E600" i="21"/>
  <c r="E619" i="21"/>
  <c r="E682" i="21"/>
  <c r="E699" i="21"/>
  <c r="E790" i="21"/>
  <c r="E830" i="21"/>
  <c r="E887" i="21"/>
  <c r="E938" i="21"/>
  <c r="E946" i="21"/>
  <c r="E950" i="21"/>
  <c r="E954" i="21"/>
  <c r="E1053" i="21"/>
  <c r="E1061" i="21"/>
  <c r="E1077" i="21"/>
  <c r="E1098" i="21"/>
  <c r="E1211" i="21"/>
  <c r="E1242" i="21"/>
  <c r="E1251" i="21"/>
  <c r="E1258" i="21"/>
  <c r="E1283" i="21"/>
  <c r="E1291" i="21"/>
  <c r="E1299" i="21"/>
  <c r="E1307" i="21"/>
  <c r="E1509" i="21"/>
  <c r="E1513" i="21"/>
  <c r="E1517" i="21"/>
  <c r="E28" i="21"/>
  <c r="E45" i="21"/>
  <c r="E72" i="21"/>
  <c r="E80" i="21"/>
  <c r="E35" i="21"/>
  <c r="E39" i="21"/>
  <c r="E50" i="21"/>
  <c r="E104" i="21"/>
  <c r="E141" i="21"/>
  <c r="E145" i="21"/>
  <c r="E149" i="21"/>
  <c r="E153" i="21"/>
  <c r="E157" i="21"/>
  <c r="E161" i="21"/>
  <c r="E165" i="21"/>
  <c r="E329" i="21"/>
  <c r="E333" i="21"/>
  <c r="E337" i="21"/>
  <c r="E341" i="21"/>
  <c r="E349" i="21"/>
  <c r="E353" i="21"/>
  <c r="E387" i="21"/>
  <c r="E447" i="21"/>
  <c r="E605" i="21"/>
  <c r="E609" i="21"/>
  <c r="E686" i="21"/>
  <c r="E690" i="21"/>
  <c r="E697" i="21"/>
  <c r="E798" i="21"/>
  <c r="E824" i="21"/>
  <c r="E1105" i="21"/>
  <c r="E1131" i="21"/>
  <c r="E1246" i="21"/>
  <c r="E1255" i="21"/>
  <c r="E1408" i="21"/>
  <c r="E1416" i="21"/>
  <c r="E1471" i="21"/>
  <c r="E1479" i="21"/>
  <c r="E1487" i="21"/>
  <c r="E1522" i="21"/>
  <c r="E1530" i="21"/>
  <c r="E1556" i="21"/>
  <c r="E1560" i="21"/>
  <c r="E1572" i="21"/>
  <c r="E30" i="21"/>
  <c r="E43" i="21"/>
  <c r="E47" i="21"/>
  <c r="E66" i="21"/>
  <c r="E70" i="21"/>
  <c r="E74" i="21"/>
  <c r="E78" i="21"/>
  <c r="E82" i="21"/>
  <c r="E86" i="21"/>
  <c r="E90" i="21"/>
  <c r="E101" i="21"/>
  <c r="E108" i="21"/>
  <c r="E111" i="21"/>
  <c r="E115" i="21"/>
  <c r="E303" i="21"/>
  <c r="E311" i="21"/>
  <c r="E369" i="21"/>
  <c r="E452" i="21"/>
  <c r="E456" i="21"/>
  <c r="E526" i="21"/>
  <c r="E534" i="21"/>
  <c r="E538" i="21"/>
  <c r="E598" i="21"/>
  <c r="E680" i="21"/>
  <c r="E806" i="21"/>
  <c r="E828" i="21"/>
  <c r="E885" i="21"/>
  <c r="E944" i="21"/>
  <c r="E948" i="21"/>
  <c r="E952" i="21"/>
  <c r="E1051" i="21"/>
  <c r="E1059" i="21"/>
  <c r="E1075" i="21"/>
  <c r="E1090" i="21"/>
  <c r="E1117" i="21"/>
  <c r="E1213" i="21"/>
  <c r="E1244" i="21"/>
  <c r="E1507" i="21"/>
  <c r="E1511" i="21"/>
  <c r="E1515" i="21"/>
  <c r="E33" i="21"/>
  <c r="E37" i="21"/>
  <c r="E52" i="21"/>
  <c r="E102" i="21"/>
  <c r="E139" i="21"/>
  <c r="E143" i="21"/>
  <c r="E147" i="21"/>
  <c r="E151" i="21"/>
  <c r="E155" i="21"/>
  <c r="E159" i="21"/>
  <c r="E163" i="21"/>
  <c r="E167" i="21"/>
  <c r="E331" i="21"/>
  <c r="E335" i="21"/>
  <c r="E339" i="21"/>
  <c r="E343" i="21"/>
  <c r="E351" i="21"/>
  <c r="E355" i="21"/>
  <c r="E460" i="21"/>
  <c r="E464" i="21"/>
  <c r="E471" i="21"/>
  <c r="E542" i="21"/>
  <c r="E603" i="21"/>
  <c r="E607" i="21"/>
  <c r="E671" i="21"/>
  <c r="E688" i="21"/>
  <c r="E695" i="21"/>
  <c r="E748" i="21"/>
  <c r="E760" i="21"/>
  <c r="E843" i="21"/>
  <c r="E847" i="21"/>
  <c r="E851" i="21"/>
  <c r="E1111" i="21"/>
  <c r="E1133" i="21"/>
  <c r="E1152" i="21"/>
  <c r="E1248" i="21"/>
  <c r="E1469" i="21"/>
  <c r="E1477" i="21"/>
  <c r="E1485" i="21"/>
  <c r="E1558" i="21"/>
  <c r="E1562" i="21"/>
  <c r="E554" i="21"/>
  <c r="E212" i="21"/>
  <c r="E896" i="21"/>
  <c r="E438" i="21"/>
  <c r="E552" i="21"/>
  <c r="E210" i="21"/>
  <c r="E818" i="21"/>
  <c r="E894" i="21"/>
  <c r="E1008" i="21"/>
  <c r="E1122" i="21"/>
  <c r="E855" i="21"/>
  <c r="E1045" i="21"/>
  <c r="EG4" i="19"/>
  <c r="EL4" i="19"/>
  <c r="ED4" i="19"/>
  <c r="FB4" i="19"/>
  <c r="EU4" i="19"/>
  <c r="EX4" i="19"/>
  <c r="FL3" i="19"/>
  <c r="E19" i="21"/>
  <c r="E23" i="21"/>
  <c r="E60" i="21"/>
  <c r="E95" i="21"/>
  <c r="E99" i="21"/>
  <c r="E364" i="21"/>
  <c r="E476" i="21"/>
  <c r="E478" i="21"/>
  <c r="E517" i="21"/>
  <c r="E627" i="21"/>
  <c r="E631" i="21"/>
  <c r="E666" i="21"/>
  <c r="E668" i="21"/>
  <c r="E703" i="21"/>
  <c r="E707" i="21"/>
  <c r="E742" i="21"/>
  <c r="E744" i="21"/>
  <c r="E783" i="21"/>
  <c r="E1239" i="21"/>
  <c r="E1273" i="21"/>
  <c r="E1312" i="21"/>
  <c r="E1314" i="21"/>
  <c r="E1391" i="21"/>
  <c r="E1426" i="21"/>
  <c r="E1428" i="21"/>
  <c r="E1463" i="21"/>
  <c r="E1502" i="21"/>
  <c r="E1504" i="21"/>
  <c r="E1049" i="21"/>
  <c r="E20" i="21"/>
  <c r="E22" i="21"/>
  <c r="E57" i="21"/>
  <c r="E96" i="21"/>
  <c r="E98" i="21"/>
  <c r="E365" i="21"/>
  <c r="E475" i="21"/>
  <c r="E479" i="21"/>
  <c r="E514" i="21"/>
  <c r="E516" i="21"/>
  <c r="E628" i="21"/>
  <c r="E669" i="21"/>
  <c r="E706" i="21"/>
  <c r="E741" i="21"/>
  <c r="E745" i="21"/>
  <c r="E780" i="21"/>
  <c r="E782" i="21"/>
  <c r="E1124" i="21"/>
  <c r="E1274" i="21"/>
  <c r="E1276" i="21"/>
  <c r="E1315" i="21"/>
  <c r="E1388" i="21"/>
  <c r="E1390" i="21"/>
  <c r="E1429" i="21"/>
  <c r="E1464" i="21"/>
  <c r="E1466" i="21"/>
  <c r="E1505" i="21"/>
  <c r="E247" i="21"/>
  <c r="E251" i="21"/>
  <c r="E290" i="21"/>
  <c r="E400" i="21"/>
  <c r="E402" i="21"/>
  <c r="E437" i="21"/>
  <c r="E441" i="21"/>
  <c r="E551" i="21"/>
  <c r="E555" i="21"/>
  <c r="E590" i="21"/>
  <c r="E592" i="21"/>
  <c r="E817" i="21"/>
  <c r="E821" i="21"/>
  <c r="E856" i="21"/>
  <c r="E858" i="21"/>
  <c r="E893" i="21"/>
  <c r="E897" i="21"/>
  <c r="E932" i="21"/>
  <c r="E934" i="21"/>
  <c r="E1011" i="21"/>
  <c r="E1046" i="21"/>
  <c r="E1050" i="21"/>
  <c r="E1087" i="21"/>
  <c r="E1121" i="21"/>
  <c r="E1159" i="21"/>
  <c r="E1163" i="21"/>
  <c r="E1198" i="21"/>
  <c r="E1200" i="21"/>
  <c r="E1202" i="21"/>
  <c r="E1540" i="21"/>
  <c r="E1577" i="21"/>
  <c r="E1581" i="21"/>
  <c r="E20" i="22"/>
  <c r="E22" i="22"/>
  <c r="E135" i="22"/>
  <c r="E137" i="22"/>
  <c r="E214" i="22"/>
  <c r="E288" i="22"/>
  <c r="E290" i="22"/>
  <c r="E366" i="22"/>
  <c r="E440" i="22"/>
  <c r="E442" i="22"/>
  <c r="E516" i="22"/>
  <c r="E518" i="22"/>
  <c r="E592" i="22"/>
  <c r="E668" i="22"/>
  <c r="E670" i="22"/>
  <c r="E742" i="22"/>
  <c r="E744" i="22"/>
  <c r="E822" i="22"/>
  <c r="E898" i="22"/>
  <c r="E366" i="21"/>
  <c r="E594" i="21"/>
  <c r="E746" i="21"/>
  <c r="E1430" i="21"/>
  <c r="E138" i="21"/>
  <c r="E176" i="21"/>
  <c r="E252" i="21"/>
  <c r="E556" i="21"/>
  <c r="E898" i="21"/>
  <c r="E1164" i="21"/>
  <c r="E328" i="22"/>
  <c r="E708" i="22"/>
  <c r="E860" i="22"/>
  <c r="E1088" i="22"/>
  <c r="E1278" i="22"/>
  <c r="E1468" i="22"/>
  <c r="E1696" i="22"/>
  <c r="E24" i="21"/>
  <c r="E100" i="21"/>
  <c r="E632" i="21"/>
  <c r="E708" i="21"/>
  <c r="E784" i="21"/>
  <c r="E1240" i="21"/>
  <c r="E1392" i="21"/>
  <c r="E62" i="21"/>
  <c r="E1088" i="21"/>
  <c r="E404" i="22"/>
  <c r="E518" i="21"/>
  <c r="E1582" i="21"/>
  <c r="E936" i="21"/>
  <c r="C12" i="21"/>
  <c r="C14" i="21" s="1"/>
  <c r="E21" i="21"/>
  <c r="C12" i="22"/>
  <c r="C14" i="22" s="1"/>
  <c r="E21" i="22"/>
  <c r="E1320" i="22"/>
  <c r="E137" i="21"/>
  <c r="E859" i="21"/>
  <c r="E1580" i="21"/>
  <c r="E285" i="22"/>
  <c r="E48" i="21"/>
  <c r="E356" i="21"/>
  <c r="E394" i="21"/>
  <c r="E443" i="21"/>
  <c r="E678" i="21"/>
  <c r="E788" i="21"/>
  <c r="E820" i="21"/>
  <c r="E833" i="21"/>
  <c r="E837" i="21"/>
  <c r="E839" i="21"/>
  <c r="E1103" i="21"/>
  <c r="E1253" i="21"/>
  <c r="E1262" i="21"/>
  <c r="E1266" i="21"/>
  <c r="E1434" i="21"/>
  <c r="E1436" i="21"/>
  <c r="E1442" i="21"/>
  <c r="E1444" i="21"/>
  <c r="E1450" i="21"/>
  <c r="E1452" i="21"/>
  <c r="E1458" i="21"/>
  <c r="E34" i="21"/>
  <c r="E36" i="21"/>
  <c r="E38" i="21"/>
  <c r="E49" i="21"/>
  <c r="E51" i="21"/>
  <c r="E53" i="21"/>
  <c r="E103" i="21"/>
  <c r="E110" i="21"/>
  <c r="E112" i="21"/>
  <c r="E174" i="21"/>
  <c r="E178" i="21"/>
  <c r="E180" i="21"/>
  <c r="E182" i="21"/>
  <c r="E184" i="21"/>
  <c r="E186" i="21"/>
  <c r="E188" i="21"/>
  <c r="E190" i="21"/>
  <c r="E192" i="21"/>
  <c r="E194" i="21"/>
  <c r="E196" i="21"/>
  <c r="E198" i="21"/>
  <c r="E200" i="21"/>
  <c r="E202" i="21"/>
  <c r="E204" i="21"/>
  <c r="E209" i="21"/>
  <c r="E214" i="21"/>
  <c r="E216" i="21"/>
  <c r="E218" i="21"/>
  <c r="E220" i="21"/>
  <c r="E222" i="21"/>
  <c r="E224" i="21"/>
  <c r="E226" i="21"/>
  <c r="E228" i="21"/>
  <c r="E230" i="21"/>
  <c r="E232" i="21"/>
  <c r="E234" i="21"/>
  <c r="E236" i="21"/>
  <c r="E238" i="21"/>
  <c r="E240" i="21"/>
  <c r="E242" i="21"/>
  <c r="E253" i="21"/>
  <c r="E255" i="21"/>
  <c r="E257" i="21"/>
  <c r="E259" i="21"/>
  <c r="E261" i="21"/>
  <c r="E263" i="21"/>
  <c r="E265" i="21"/>
  <c r="E267" i="21"/>
  <c r="E269" i="21"/>
  <c r="E271" i="21"/>
  <c r="E273" i="21"/>
  <c r="E275" i="21"/>
  <c r="E277" i="21"/>
  <c r="E279" i="21"/>
  <c r="E281" i="21"/>
  <c r="E324" i="21"/>
  <c r="E347" i="21"/>
  <c r="E371" i="21"/>
  <c r="E383" i="21"/>
  <c r="E440" i="21"/>
  <c r="E451" i="21"/>
  <c r="E455" i="21"/>
  <c r="E519" i="21"/>
  <c r="E524" i="21"/>
  <c r="E532" i="21"/>
  <c r="E577" i="21"/>
  <c r="E579" i="21"/>
  <c r="E591" i="21"/>
  <c r="E596" i="21"/>
  <c r="E645" i="21"/>
  <c r="E647" i="21"/>
  <c r="E657" i="21"/>
  <c r="E659" i="21"/>
  <c r="E661" i="21"/>
  <c r="E679" i="21"/>
  <c r="E694" i="21"/>
  <c r="E696" i="21"/>
  <c r="E710" i="21"/>
  <c r="E712" i="21"/>
  <c r="E714" i="21"/>
  <c r="E716" i="21"/>
  <c r="E718" i="21"/>
  <c r="E720" i="21"/>
  <c r="E722" i="21"/>
  <c r="E724" i="21"/>
  <c r="E726" i="21"/>
  <c r="E728" i="21"/>
  <c r="E730" i="21"/>
  <c r="E732" i="21"/>
  <c r="E734" i="21"/>
  <c r="E736" i="21"/>
  <c r="E766" i="21"/>
  <c r="E770" i="21"/>
  <c r="E785" i="21"/>
  <c r="E791" i="21"/>
  <c r="E796" i="21"/>
  <c r="E804" i="21"/>
  <c r="E812" i="21"/>
  <c r="E826" i="21"/>
  <c r="E845" i="21"/>
  <c r="E860" i="21"/>
  <c r="E862" i="21"/>
  <c r="E868" i="21"/>
  <c r="E872" i="21"/>
  <c r="E876" i="21"/>
  <c r="E933" i="21"/>
  <c r="E941" i="21"/>
  <c r="E949" i="21"/>
  <c r="E953" i="21"/>
  <c r="E963" i="21"/>
  <c r="E965" i="21"/>
  <c r="E1058" i="21"/>
  <c r="E1070" i="21"/>
  <c r="E1074" i="21"/>
  <c r="E1086" i="21"/>
  <c r="E1096" i="21"/>
  <c r="E1104" i="21"/>
  <c r="E1106" i="21"/>
  <c r="E1108" i="21"/>
  <c r="E1115" i="21"/>
  <c r="E1160" i="21"/>
  <c r="E1165" i="21"/>
  <c r="E1167" i="21"/>
  <c r="E1169" i="21"/>
  <c r="E1171" i="21"/>
  <c r="E1173" i="21"/>
  <c r="E1175" i="21"/>
  <c r="E1177" i="21"/>
  <c r="E1179" i="21"/>
  <c r="E1181" i="21"/>
  <c r="E1183" i="21"/>
  <c r="E1185" i="21"/>
  <c r="E1187" i="21"/>
  <c r="E1189" i="21"/>
  <c r="E1191" i="21"/>
  <c r="E1193" i="21"/>
  <c r="E1206" i="21"/>
  <c r="E1208" i="21"/>
  <c r="E1241" i="21"/>
  <c r="E1243" i="21"/>
  <c r="E1252" i="21"/>
  <c r="E1257" i="21"/>
  <c r="E1521" i="21"/>
  <c r="E1523" i="21"/>
  <c r="E1525" i="21"/>
  <c r="E1529" i="21"/>
  <c r="E1531" i="21"/>
  <c r="E1547" i="21"/>
  <c r="E1551" i="21"/>
  <c r="E1557" i="21"/>
  <c r="E1561" i="21"/>
  <c r="E1573" i="21"/>
  <c r="E1583" i="21"/>
  <c r="E1585" i="21"/>
  <c r="E1587" i="21"/>
  <c r="E1589" i="21"/>
  <c r="E1591" i="21"/>
  <c r="E1593" i="21"/>
  <c r="E1595" i="21"/>
  <c r="E1597" i="21"/>
  <c r="E1599" i="21"/>
  <c r="E1601" i="21"/>
  <c r="E1603" i="21"/>
  <c r="E1605" i="21"/>
  <c r="E1607" i="21"/>
  <c r="E1609" i="21"/>
  <c r="E1611" i="21"/>
  <c r="E1616" i="21"/>
  <c r="E1618" i="21"/>
  <c r="E1620" i="21"/>
  <c r="E1622" i="21"/>
  <c r="E1624" i="21"/>
  <c r="E1626" i="21"/>
  <c r="E1628" i="21"/>
  <c r="E1630" i="21"/>
  <c r="E1632" i="21"/>
  <c r="E1634" i="21"/>
  <c r="E1636" i="21"/>
  <c r="E1638" i="21"/>
  <c r="E1640" i="21"/>
  <c r="E1642" i="21"/>
  <c r="E1644" i="21"/>
  <c r="E1646" i="21"/>
  <c r="E1648" i="21"/>
  <c r="E1653" i="21"/>
  <c r="E1656" i="21"/>
  <c r="E1658" i="21"/>
  <c r="E1660" i="21"/>
  <c r="E1662" i="21"/>
  <c r="E1664" i="21"/>
  <c r="E1666" i="21"/>
  <c r="E1668" i="21"/>
  <c r="E1670" i="21"/>
  <c r="E1672" i="21"/>
  <c r="E1674" i="21"/>
  <c r="E1676" i="21"/>
  <c r="E1678" i="21"/>
  <c r="E1680" i="21"/>
  <c r="E1682" i="21"/>
  <c r="E1684" i="21"/>
  <c r="E1108" i="22"/>
  <c r="E1116" i="22"/>
  <c r="E25" i="21"/>
  <c r="E27" i="21"/>
  <c r="E29" i="21"/>
  <c r="E42" i="21"/>
  <c r="E44" i="21"/>
  <c r="E46" i="21"/>
  <c r="E107" i="21"/>
  <c r="E114" i="21"/>
  <c r="E116" i="21"/>
  <c r="E160" i="21"/>
  <c r="E162" i="21"/>
  <c r="E164" i="21"/>
  <c r="E166" i="21"/>
  <c r="E304" i="21"/>
  <c r="E316" i="21"/>
  <c r="E334" i="21"/>
  <c r="E336" i="21"/>
  <c r="E338" i="21"/>
  <c r="E342" i="21"/>
  <c r="E348" i="21"/>
  <c r="E352" i="21"/>
  <c r="E354" i="21"/>
  <c r="E370" i="21"/>
  <c r="E372" i="21"/>
  <c r="E374" i="21"/>
  <c r="E388" i="21"/>
  <c r="E390" i="21"/>
  <c r="E404" i="21"/>
  <c r="E406" i="21"/>
  <c r="E408" i="21"/>
  <c r="E410" i="21"/>
  <c r="E412" i="21"/>
  <c r="E414" i="21"/>
  <c r="E416" i="21"/>
  <c r="E418" i="21"/>
  <c r="E420" i="21"/>
  <c r="E422" i="21"/>
  <c r="E424" i="21"/>
  <c r="E426" i="21"/>
  <c r="E428" i="21"/>
  <c r="E430" i="21"/>
  <c r="E432" i="21"/>
  <c r="E448" i="21"/>
  <c r="E463" i="21"/>
  <c r="E481" i="21"/>
  <c r="E483" i="21"/>
  <c r="E485" i="21"/>
  <c r="E487" i="21"/>
  <c r="E489" i="21"/>
  <c r="E491" i="21"/>
  <c r="E493" i="21"/>
  <c r="E495" i="21"/>
  <c r="E497" i="21"/>
  <c r="E499" i="21"/>
  <c r="E501" i="21"/>
  <c r="E503" i="21"/>
  <c r="E505" i="21"/>
  <c r="E507" i="21"/>
  <c r="E509" i="21"/>
  <c r="E527" i="21"/>
  <c r="E529" i="21"/>
  <c r="E543" i="21"/>
  <c r="E545" i="21"/>
  <c r="E616" i="21"/>
  <c r="E618" i="21"/>
  <c r="E670" i="21"/>
  <c r="E672" i="21"/>
  <c r="E687" i="21"/>
  <c r="E751" i="21"/>
  <c r="E753" i="21"/>
  <c r="E755" i="21"/>
  <c r="E757" i="21"/>
  <c r="E761" i="21"/>
  <c r="E799" i="21"/>
  <c r="E801" i="21"/>
  <c r="E807" i="21"/>
  <c r="E809" i="21"/>
  <c r="E848" i="21"/>
  <c r="E850" i="21"/>
  <c r="E1010" i="21"/>
  <c r="E1014" i="21"/>
  <c r="E1089" i="21"/>
  <c r="E1097" i="21"/>
  <c r="E1116" i="21"/>
  <c r="E1132" i="21"/>
  <c r="E1230" i="21"/>
  <c r="E1247" i="21"/>
  <c r="E1256" i="21"/>
  <c r="E1280" i="21"/>
  <c r="E1288" i="21"/>
  <c r="E1296" i="21"/>
  <c r="E1304" i="21"/>
  <c r="E1409" i="21"/>
  <c r="E1411" i="21"/>
  <c r="E1417" i="21"/>
  <c r="E1419" i="21"/>
  <c r="E1468" i="21"/>
  <c r="E1476" i="21"/>
  <c r="E1484" i="21"/>
  <c r="E1512" i="21"/>
  <c r="E1514" i="21"/>
  <c r="E181" i="5"/>
  <c r="E183" i="5"/>
  <c r="E185" i="5"/>
  <c r="E187" i="5"/>
  <c r="E189" i="5"/>
  <c r="E191" i="5"/>
  <c r="E193" i="5"/>
  <c r="E195" i="5"/>
  <c r="E197" i="5"/>
  <c r="E199" i="5"/>
  <c r="E201" i="5"/>
  <c r="E87" i="5"/>
  <c r="E89" i="5"/>
  <c r="E91" i="5"/>
  <c r="E203" i="5"/>
  <c r="E205" i="5"/>
  <c r="E210" i="5"/>
  <c r="E88" i="5"/>
  <c r="E63" i="5"/>
  <c r="E65" i="5"/>
  <c r="E67" i="5"/>
  <c r="E69" i="5"/>
  <c r="E71" i="5"/>
  <c r="E73" i="5"/>
  <c r="E75" i="5"/>
  <c r="E77" i="5"/>
  <c r="E79" i="5"/>
  <c r="E81" i="5"/>
  <c r="E136" i="5"/>
  <c r="E138" i="5"/>
  <c r="E140" i="5"/>
  <c r="E142" i="5"/>
  <c r="E144" i="5"/>
  <c r="E146" i="5"/>
  <c r="E148" i="5"/>
  <c r="E150" i="5"/>
  <c r="E152" i="5"/>
  <c r="E154" i="5"/>
  <c r="E156" i="5"/>
  <c r="E158" i="5"/>
  <c r="E160" i="5"/>
  <c r="E162" i="5"/>
  <c r="E164" i="5"/>
  <c r="E166" i="5"/>
  <c r="E62" i="5"/>
  <c r="E64" i="5"/>
  <c r="E66" i="5"/>
  <c r="E68" i="5"/>
  <c r="E70" i="5"/>
  <c r="E72" i="5"/>
  <c r="E74" i="5"/>
  <c r="E76" i="5"/>
  <c r="E78" i="5"/>
  <c r="E80" i="5"/>
  <c r="E84" i="5"/>
  <c r="E97" i="5"/>
  <c r="E99" i="5"/>
  <c r="E101" i="5"/>
  <c r="E103" i="5"/>
  <c r="E105" i="5"/>
  <c r="E107" i="5"/>
  <c r="E109" i="5"/>
  <c r="E111" i="5"/>
  <c r="E113" i="5"/>
  <c r="E115" i="5"/>
  <c r="E117" i="5"/>
  <c r="E119" i="5"/>
  <c r="E121" i="5"/>
  <c r="E123" i="5"/>
  <c r="E125" i="5"/>
  <c r="E127" i="5"/>
  <c r="E129" i="5"/>
  <c r="E134" i="5"/>
  <c r="E135" i="5"/>
  <c r="E137" i="5"/>
  <c r="E139" i="5"/>
  <c r="E141" i="5"/>
  <c r="E143" i="5"/>
  <c r="E145" i="5"/>
  <c r="E147" i="5"/>
  <c r="E149" i="5"/>
  <c r="E151" i="5"/>
  <c r="E153" i="5"/>
  <c r="E155" i="5"/>
  <c r="E157" i="5"/>
  <c r="E159" i="5"/>
  <c r="E161" i="5"/>
  <c r="E163" i="5"/>
  <c r="E165" i="5"/>
  <c r="E167" i="5"/>
  <c r="E172" i="5"/>
  <c r="E174" i="5"/>
  <c r="E176" i="5"/>
  <c r="E178" i="5"/>
  <c r="E180" i="5"/>
  <c r="E182" i="5"/>
  <c r="E184" i="5"/>
  <c r="E186" i="5"/>
  <c r="E188" i="5"/>
  <c r="E190" i="5"/>
  <c r="E192" i="5"/>
  <c r="E194" i="5"/>
  <c r="E196" i="5"/>
  <c r="E198" i="5"/>
  <c r="E200" i="5"/>
  <c r="E202" i="5"/>
  <c r="E204" i="5"/>
  <c r="E212" i="5"/>
  <c r="E214" i="5"/>
  <c r="E216" i="5"/>
  <c r="E218" i="5"/>
  <c r="E220" i="5"/>
  <c r="E222" i="5"/>
  <c r="E224" i="5"/>
  <c r="E226" i="5"/>
  <c r="E228" i="5"/>
  <c r="E230" i="5"/>
  <c r="E232" i="5"/>
  <c r="E234" i="5"/>
  <c r="E236" i="5"/>
  <c r="E238" i="5"/>
  <c r="E240" i="5"/>
  <c r="E242" i="5"/>
  <c r="E96" i="5"/>
  <c r="E83" i="5"/>
  <c r="E85" i="5"/>
  <c r="E90" i="5"/>
  <c r="E211" i="5"/>
  <c r="E213" i="5"/>
  <c r="E215" i="5"/>
  <c r="E217" i="5"/>
  <c r="E219" i="5"/>
  <c r="E221" i="5"/>
  <c r="E223" i="5"/>
  <c r="E225" i="5"/>
  <c r="E227" i="5"/>
  <c r="E229" i="5"/>
  <c r="E231" i="5"/>
  <c r="E233" i="5"/>
  <c r="E235" i="5"/>
  <c r="E237" i="5"/>
  <c r="E239" i="5"/>
  <c r="E241" i="5"/>
  <c r="E243" i="5"/>
  <c r="E22" i="5"/>
  <c r="E24" i="5"/>
  <c r="E26" i="5"/>
  <c r="E28" i="5"/>
  <c r="E30" i="5"/>
  <c r="E32" i="5"/>
  <c r="E34" i="5"/>
  <c r="E36" i="5"/>
  <c r="E38" i="5"/>
  <c r="E40" i="5"/>
  <c r="E42" i="5"/>
  <c r="E44" i="5"/>
  <c r="E46" i="5"/>
  <c r="E48" i="5"/>
  <c r="E50" i="5"/>
  <c r="E52" i="5"/>
  <c r="E59" i="5"/>
  <c r="E61" i="5"/>
  <c r="E82" i="5"/>
  <c r="E20" i="5"/>
  <c r="E21" i="5"/>
  <c r="E23" i="5"/>
  <c r="E25" i="5"/>
  <c r="E27" i="5"/>
  <c r="E29" i="5"/>
  <c r="E31" i="5"/>
  <c r="E33" i="5"/>
  <c r="E35" i="5"/>
  <c r="E37" i="5"/>
  <c r="E39" i="5"/>
  <c r="E41" i="5"/>
  <c r="E43" i="5"/>
  <c r="E45" i="5"/>
  <c r="E47" i="5"/>
  <c r="E49" i="5"/>
  <c r="E51" i="5"/>
  <c r="E53" i="5"/>
  <c r="E58" i="5"/>
  <c r="E60" i="5"/>
  <c r="E86" i="5"/>
  <c r="E120" i="21"/>
  <c r="E124" i="21"/>
  <c r="E128" i="21"/>
  <c r="E288" i="21"/>
  <c r="E296" i="21"/>
  <c r="E301" i="21"/>
  <c r="E327" i="21"/>
  <c r="E330" i="21"/>
  <c r="E385" i="21"/>
  <c r="E442" i="21"/>
  <c r="E445" i="21"/>
  <c r="E450" i="21"/>
  <c r="E453" i="21"/>
  <c r="E458" i="21"/>
  <c r="E461" i="21"/>
  <c r="E466" i="21"/>
  <c r="E469" i="21"/>
  <c r="E520" i="21"/>
  <c r="E522" i="21"/>
  <c r="E531" i="21"/>
  <c r="E540" i="21"/>
  <c r="E547" i="21"/>
  <c r="E569" i="21"/>
  <c r="E571" i="21"/>
  <c r="E599" i="21"/>
  <c r="E601" i="21"/>
  <c r="E604" i="21"/>
  <c r="E608" i="21"/>
  <c r="E614" i="21"/>
  <c r="E621" i="21"/>
  <c r="E641" i="21"/>
  <c r="E643" i="21"/>
  <c r="E813" i="21"/>
  <c r="E846" i="21"/>
  <c r="E119" i="21"/>
  <c r="E123" i="21"/>
  <c r="E127" i="21"/>
  <c r="E134" i="21"/>
  <c r="E172" i="21"/>
  <c r="E289" i="21"/>
  <c r="E291" i="21"/>
  <c r="E293" i="21"/>
  <c r="E295" i="21"/>
  <c r="E298" i="21"/>
  <c r="E306" i="21"/>
  <c r="E310" i="21"/>
  <c r="E328" i="21"/>
  <c r="E340" i="21"/>
  <c r="E346" i="21"/>
  <c r="E357" i="21"/>
  <c r="E378" i="21"/>
  <c r="E395" i="21"/>
  <c r="E446" i="21"/>
  <c r="E449" i="21"/>
  <c r="E454" i="21"/>
  <c r="E457" i="21"/>
  <c r="E462" i="21"/>
  <c r="E465" i="21"/>
  <c r="E470" i="21"/>
  <c r="E523" i="21"/>
  <c r="E528" i="21"/>
  <c r="E530" i="21"/>
  <c r="E533" i="21"/>
  <c r="E537" i="21"/>
  <c r="E539" i="21"/>
  <c r="E544" i="21"/>
  <c r="E546" i="21"/>
  <c r="E585" i="21"/>
  <c r="E595" i="21"/>
  <c r="E602" i="21"/>
  <c r="E611" i="21"/>
  <c r="E613" i="21"/>
  <c r="E797" i="21"/>
  <c r="E1686" i="21"/>
  <c r="E673" i="21"/>
  <c r="E675" i="21"/>
  <c r="E689" i="21"/>
  <c r="E691" i="21"/>
  <c r="E749" i="21"/>
  <c r="E767" i="21"/>
  <c r="E769" i="21"/>
  <c r="E771" i="21"/>
  <c r="E773" i="21"/>
  <c r="E786" i="21"/>
  <c r="E800" i="21"/>
  <c r="E802" i="21"/>
  <c r="E831" i="21"/>
  <c r="E835" i="21"/>
  <c r="E842" i="21"/>
  <c r="E844" i="21"/>
  <c r="E849" i="21"/>
  <c r="E957" i="21"/>
  <c r="E961" i="21"/>
  <c r="E1066" i="21"/>
  <c r="E1107" i="21"/>
  <c r="E1109" i="21"/>
  <c r="E1114" i="21"/>
  <c r="E1141" i="21"/>
  <c r="E1143" i="21"/>
  <c r="E1147" i="21"/>
  <c r="E1149" i="21"/>
  <c r="E1151" i="21"/>
  <c r="E1203" i="21"/>
  <c r="E1205" i="21"/>
  <c r="E1214" i="21"/>
  <c r="E1218" i="21"/>
  <c r="E1260" i="21"/>
  <c r="E1268" i="21"/>
  <c r="E1400" i="21"/>
  <c r="E1518" i="21"/>
  <c r="E1520" i="21"/>
  <c r="E1527" i="21"/>
  <c r="E1534" i="21"/>
  <c r="E1564" i="21"/>
  <c r="E1566" i="21"/>
  <c r="E1568" i="21"/>
  <c r="E1570" i="21"/>
  <c r="E610" i="21"/>
  <c r="E615" i="21"/>
  <c r="E617" i="21"/>
  <c r="E620" i="21"/>
  <c r="E681" i="21"/>
  <c r="E683" i="21"/>
  <c r="E750" i="21"/>
  <c r="E754" i="21"/>
  <c r="E764" i="21"/>
  <c r="E792" i="21"/>
  <c r="E794" i="21"/>
  <c r="E808" i="21"/>
  <c r="E810" i="21"/>
  <c r="E823" i="21"/>
  <c r="E832" i="21"/>
  <c r="E834" i="21"/>
  <c r="E838" i="21"/>
  <c r="E880" i="21"/>
  <c r="E882" i="21"/>
  <c r="E884" i="21"/>
  <c r="E960" i="21"/>
  <c r="E962" i="21"/>
  <c r="E1013" i="21"/>
  <c r="E1067" i="21"/>
  <c r="E1069" i="21"/>
  <c r="E1092" i="21"/>
  <c r="E1094" i="21"/>
  <c r="E1099" i="21"/>
  <c r="E1101" i="21"/>
  <c r="E1110" i="21"/>
  <c r="E1113" i="21"/>
  <c r="E1136" i="21"/>
  <c r="E1140" i="21"/>
  <c r="E1148" i="21"/>
  <c r="E1225" i="21"/>
  <c r="E1227" i="21"/>
  <c r="E1229" i="21"/>
  <c r="E1264" i="21"/>
  <c r="E1393" i="21"/>
  <c r="E1395" i="21"/>
  <c r="E1401" i="21"/>
  <c r="E1403" i="21"/>
  <c r="E1495" i="21"/>
  <c r="E1508" i="21"/>
  <c r="E1519" i="21"/>
  <c r="E1526" i="21"/>
  <c r="E1528" i="21"/>
  <c r="E1535" i="21"/>
  <c r="E1554" i="21"/>
  <c r="E1565" i="21"/>
  <c r="E1569" i="21"/>
  <c r="E61" i="21"/>
  <c r="E63" i="21"/>
  <c r="E65" i="21"/>
  <c r="E67" i="21"/>
  <c r="E69" i="21"/>
  <c r="E71" i="21"/>
  <c r="E73" i="21"/>
  <c r="E75" i="21"/>
  <c r="E77" i="21"/>
  <c r="E79" i="21"/>
  <c r="E81" i="21"/>
  <c r="E83" i="21"/>
  <c r="E85" i="21"/>
  <c r="E87" i="21"/>
  <c r="E89" i="21"/>
  <c r="E91" i="21"/>
  <c r="E118" i="21"/>
  <c r="E122" i="21"/>
  <c r="E126" i="21"/>
  <c r="E121" i="21"/>
  <c r="E125" i="21"/>
  <c r="E129" i="21"/>
  <c r="E136" i="21"/>
  <c r="E140" i="21"/>
  <c r="E142" i="21"/>
  <c r="E144" i="21"/>
  <c r="E146" i="21"/>
  <c r="E148" i="21"/>
  <c r="E150" i="21"/>
  <c r="E152" i="21"/>
  <c r="E154" i="21"/>
  <c r="E156" i="21"/>
  <c r="E158" i="21"/>
  <c r="E287" i="21"/>
  <c r="E294" i="21"/>
  <c r="E300" i="21"/>
  <c r="E307" i="21"/>
  <c r="E309" i="21"/>
  <c r="E314" i="21"/>
  <c r="E344" i="21"/>
  <c r="E377" i="21"/>
  <c r="E380" i="21"/>
  <c r="E382" i="21"/>
  <c r="E401" i="21"/>
  <c r="E403" i="21"/>
  <c r="E405" i="21"/>
  <c r="E407" i="21"/>
  <c r="E409" i="21"/>
  <c r="E411" i="21"/>
  <c r="E413" i="21"/>
  <c r="E415" i="21"/>
  <c r="E417" i="21"/>
  <c r="E419" i="21"/>
  <c r="E421" i="21"/>
  <c r="E423" i="21"/>
  <c r="E425" i="21"/>
  <c r="E427" i="21"/>
  <c r="E429" i="21"/>
  <c r="E431" i="21"/>
  <c r="E433" i="21"/>
  <c r="E312" i="21"/>
  <c r="E319" i="21"/>
  <c r="E332" i="21"/>
  <c r="E345" i="21"/>
  <c r="E350" i="21"/>
  <c r="E393" i="21"/>
  <c r="E758" i="21"/>
  <c r="E900" i="21"/>
  <c r="E902" i="21"/>
  <c r="E904" i="21"/>
  <c r="E906" i="21"/>
  <c r="E908" i="21"/>
  <c r="E910" i="21"/>
  <c r="E912" i="21"/>
  <c r="E914" i="21"/>
  <c r="E916" i="21"/>
  <c r="E918" i="21"/>
  <c r="E920" i="21"/>
  <c r="E922" i="21"/>
  <c r="E924" i="21"/>
  <c r="E926" i="21"/>
  <c r="E829" i="21"/>
  <c r="E175" i="21"/>
  <c r="E177" i="21"/>
  <c r="E179" i="21"/>
  <c r="E181" i="21"/>
  <c r="E183" i="21"/>
  <c r="E185" i="21"/>
  <c r="E187" i="21"/>
  <c r="E189" i="21"/>
  <c r="E191" i="21"/>
  <c r="E193" i="21"/>
  <c r="E195" i="21"/>
  <c r="E197" i="21"/>
  <c r="E199" i="21"/>
  <c r="E201" i="21"/>
  <c r="E203" i="21"/>
  <c r="E205" i="21"/>
  <c r="E213" i="21"/>
  <c r="E215" i="21"/>
  <c r="E217" i="21"/>
  <c r="E219" i="21"/>
  <c r="E221" i="21"/>
  <c r="E223" i="21"/>
  <c r="E225" i="21"/>
  <c r="E227" i="21"/>
  <c r="E229" i="21"/>
  <c r="E231" i="21"/>
  <c r="E233" i="21"/>
  <c r="E235" i="21"/>
  <c r="E237" i="21"/>
  <c r="E239" i="21"/>
  <c r="E241" i="21"/>
  <c r="E243" i="21"/>
  <c r="E248" i="21"/>
  <c r="E250" i="21"/>
  <c r="E254" i="21"/>
  <c r="E256" i="21"/>
  <c r="E258" i="21"/>
  <c r="E260" i="21"/>
  <c r="E262" i="21"/>
  <c r="E264" i="21"/>
  <c r="E266" i="21"/>
  <c r="E268" i="21"/>
  <c r="E270" i="21"/>
  <c r="E272" i="21"/>
  <c r="E274" i="21"/>
  <c r="E276" i="21"/>
  <c r="E278" i="21"/>
  <c r="E280" i="21"/>
  <c r="E292" i="21"/>
  <c r="E299" i="21"/>
  <c r="E302" i="21"/>
  <c r="E308" i="21"/>
  <c r="E315" i="21"/>
  <c r="E318" i="21"/>
  <c r="E368" i="21"/>
  <c r="E373" i="21"/>
  <c r="E376" i="21"/>
  <c r="E381" i="21"/>
  <c r="E384" i="21"/>
  <c r="E389" i="21"/>
  <c r="E392" i="21"/>
  <c r="E480" i="21"/>
  <c r="E482" i="21"/>
  <c r="E484" i="21"/>
  <c r="E486" i="21"/>
  <c r="E488" i="21"/>
  <c r="E490" i="21"/>
  <c r="E492" i="21"/>
  <c r="E494" i="21"/>
  <c r="E496" i="21"/>
  <c r="E498" i="21"/>
  <c r="E500" i="21"/>
  <c r="E502" i="21"/>
  <c r="E504" i="21"/>
  <c r="E506" i="21"/>
  <c r="E508" i="21"/>
  <c r="E535" i="21"/>
  <c r="E558" i="21"/>
  <c r="E560" i="21"/>
  <c r="E562" i="21"/>
  <c r="E564" i="21"/>
  <c r="E573" i="21"/>
  <c r="E575" i="21"/>
  <c r="E606" i="21"/>
  <c r="E622" i="21"/>
  <c r="E676" i="21"/>
  <c r="E684" i="21"/>
  <c r="E692" i="21"/>
  <c r="E774" i="21"/>
  <c r="E787" i="21"/>
  <c r="E795" i="21"/>
  <c r="E803" i="21"/>
  <c r="E811" i="21"/>
  <c r="E822" i="21"/>
  <c r="E939" i="21"/>
  <c r="E956" i="21"/>
  <c r="E958" i="21"/>
  <c r="E557" i="21"/>
  <c r="E559" i="21"/>
  <c r="E561" i="21"/>
  <c r="E563" i="21"/>
  <c r="E565" i="21"/>
  <c r="E567" i="21"/>
  <c r="E581" i="21"/>
  <c r="E583" i="21"/>
  <c r="E633" i="21"/>
  <c r="E635" i="21"/>
  <c r="E649" i="21"/>
  <c r="E651" i="21"/>
  <c r="E759" i="21"/>
  <c r="E762" i="21"/>
  <c r="E775" i="21"/>
  <c r="E825" i="21"/>
  <c r="E841" i="21"/>
  <c r="E864" i="21"/>
  <c r="E874" i="21"/>
  <c r="E877" i="21"/>
  <c r="E879" i="21"/>
  <c r="E940" i="21"/>
  <c r="E942" i="21"/>
  <c r="E945" i="21"/>
  <c r="E955" i="21"/>
  <c r="E637" i="21"/>
  <c r="E639" i="21"/>
  <c r="E653" i="21"/>
  <c r="E655" i="21"/>
  <c r="E709" i="21"/>
  <c r="E711" i="21"/>
  <c r="E713" i="21"/>
  <c r="E715" i="21"/>
  <c r="E717" i="21"/>
  <c r="E719" i="21"/>
  <c r="E721" i="21"/>
  <c r="E723" i="21"/>
  <c r="E725" i="21"/>
  <c r="E727" i="21"/>
  <c r="E729" i="21"/>
  <c r="E731" i="21"/>
  <c r="E733" i="21"/>
  <c r="E735" i="21"/>
  <c r="E737" i="21"/>
  <c r="E747" i="21"/>
  <c r="E763" i="21"/>
  <c r="E861" i="21"/>
  <c r="E863" i="21"/>
  <c r="E866" i="21"/>
  <c r="E869" i="21"/>
  <c r="E871" i="21"/>
  <c r="E888" i="21"/>
  <c r="E937" i="21"/>
  <c r="E947" i="21"/>
  <c r="E964" i="21"/>
  <c r="E1054" i="21"/>
  <c r="E1065" i="21"/>
  <c r="E1093" i="21"/>
  <c r="E1125" i="21"/>
  <c r="E1127" i="21"/>
  <c r="E865" i="21"/>
  <c r="E867" i="21"/>
  <c r="E870" i="21"/>
  <c r="E873" i="21"/>
  <c r="E875" i="21"/>
  <c r="E878" i="21"/>
  <c r="E881" i="21"/>
  <c r="E883" i="21"/>
  <c r="E886" i="21"/>
  <c r="E889" i="21"/>
  <c r="E935" i="21"/>
  <c r="E943" i="21"/>
  <c r="E951" i="21"/>
  <c r="E959" i="21"/>
  <c r="E1012" i="21"/>
  <c r="E1015" i="21"/>
  <c r="E1017" i="21"/>
  <c r="E1019" i="21"/>
  <c r="E1021" i="21"/>
  <c r="E1023" i="21"/>
  <c r="E1025" i="21"/>
  <c r="E1027" i="21"/>
  <c r="E1029" i="21"/>
  <c r="E1031" i="21"/>
  <c r="E1033" i="21"/>
  <c r="E1035" i="21"/>
  <c r="E1037" i="21"/>
  <c r="E1039" i="21"/>
  <c r="E1041" i="21"/>
  <c r="E1057" i="21"/>
  <c r="E1062" i="21"/>
  <c r="E1073" i="21"/>
  <c r="E1078" i="21"/>
  <c r="E1128" i="21"/>
  <c r="E1139" i="21"/>
  <c r="E1144" i="21"/>
  <c r="E1155" i="21"/>
  <c r="E1199" i="21"/>
  <c r="E1204" i="21"/>
  <c r="E1207" i="21"/>
  <c r="E1210" i="21"/>
  <c r="E1212" i="21"/>
  <c r="E1217" i="21"/>
  <c r="E1222" i="21"/>
  <c r="E1236" i="21"/>
  <c r="E1506" i="21"/>
  <c r="E1516" i="21"/>
  <c r="E1532" i="21"/>
  <c r="E1201" i="21"/>
  <c r="E1209" i="21"/>
  <c r="E1219" i="21"/>
  <c r="E1221" i="21"/>
  <c r="E1226" i="21"/>
  <c r="E1510" i="21"/>
  <c r="E1524" i="21"/>
  <c r="E1162" i="21"/>
  <c r="E1166" i="21"/>
  <c r="E1168" i="21"/>
  <c r="E1170" i="21"/>
  <c r="E1172" i="21"/>
  <c r="E1174" i="21"/>
  <c r="E1176" i="21"/>
  <c r="E1178" i="21"/>
  <c r="E1180" i="21"/>
  <c r="E1182" i="21"/>
  <c r="E1184" i="21"/>
  <c r="E1186" i="21"/>
  <c r="E1188" i="21"/>
  <c r="E1190" i="21"/>
  <c r="E1192" i="21"/>
  <c r="E1287" i="21"/>
  <c r="E1292" i="21"/>
  <c r="E1303" i="21"/>
  <c r="E1316" i="21"/>
  <c r="E1318" i="21"/>
  <c r="E1320" i="21"/>
  <c r="E1322" i="21"/>
  <c r="E1324" i="21"/>
  <c r="E1326" i="21"/>
  <c r="E1328" i="21"/>
  <c r="E1330" i="21"/>
  <c r="E1332" i="21"/>
  <c r="E1334" i="21"/>
  <c r="E1336" i="21"/>
  <c r="E1338" i="21"/>
  <c r="E1340" i="21"/>
  <c r="E1342" i="21"/>
  <c r="E1344" i="21"/>
  <c r="E1396" i="21"/>
  <c r="E1405" i="21"/>
  <c r="E1407" i="21"/>
  <c r="E1412" i="21"/>
  <c r="E1421" i="21"/>
  <c r="E1432" i="21"/>
  <c r="E1439" i="21"/>
  <c r="E1441" i="21"/>
  <c r="E1446" i="21"/>
  <c r="E1448" i="21"/>
  <c r="E1455" i="21"/>
  <c r="E1457" i="21"/>
  <c r="E1467" i="21"/>
  <c r="E1472" i="21"/>
  <c r="E1481" i="21"/>
  <c r="E1483" i="21"/>
  <c r="E1488" i="21"/>
  <c r="E1497" i="21"/>
  <c r="E1546" i="21"/>
  <c r="E1549" i="21"/>
  <c r="E1552" i="21"/>
  <c r="E1555" i="21"/>
  <c r="E1563" i="21"/>
  <c r="E1571" i="21"/>
  <c r="E1279" i="21"/>
  <c r="E1284" i="21"/>
  <c r="E1295" i="21"/>
  <c r="E1300" i="21"/>
  <c r="E1317" i="21"/>
  <c r="E1319" i="21"/>
  <c r="E1321" i="21"/>
  <c r="E1323" i="21"/>
  <c r="E1325" i="21"/>
  <c r="E1327" i="21"/>
  <c r="E1329" i="21"/>
  <c r="E1331" i="21"/>
  <c r="E1333" i="21"/>
  <c r="E1335" i="21"/>
  <c r="E1337" i="21"/>
  <c r="E1339" i="21"/>
  <c r="E1341" i="21"/>
  <c r="E1343" i="21"/>
  <c r="E1345" i="21"/>
  <c r="E1397" i="21"/>
  <c r="E1399" i="21"/>
  <c r="E1404" i="21"/>
  <c r="E1413" i="21"/>
  <c r="E1415" i="21"/>
  <c r="E1420" i="21"/>
  <c r="E1431" i="21"/>
  <c r="E1433" i="21"/>
  <c r="E1438" i="21"/>
  <c r="E1440" i="21"/>
  <c r="E1447" i="21"/>
  <c r="E1449" i="21"/>
  <c r="E1454" i="21"/>
  <c r="E1456" i="21"/>
  <c r="E1473" i="21"/>
  <c r="E1475" i="21"/>
  <c r="E1480" i="21"/>
  <c r="E1489" i="21"/>
  <c r="E1491" i="21"/>
  <c r="E1493" i="21"/>
  <c r="E1543" i="21"/>
  <c r="E1545" i="21"/>
  <c r="E1548" i="21"/>
  <c r="E1550" i="21"/>
  <c r="E1553" i="21"/>
  <c r="E1559" i="21"/>
  <c r="E1567" i="21"/>
  <c r="E1578" i="21"/>
  <c r="E1760" i="22"/>
  <c r="E1807" i="22"/>
  <c r="E1809" i="22"/>
  <c r="E1811" i="22"/>
  <c r="E1813" i="22"/>
  <c r="E871" i="22"/>
  <c r="E1835" i="22"/>
  <c r="E1837" i="22"/>
  <c r="E430" i="22"/>
  <c r="E432" i="22"/>
  <c r="E830" i="22"/>
  <c r="E834" i="22"/>
  <c r="E838" i="22"/>
  <c r="E1052" i="22"/>
  <c r="E1056" i="22"/>
  <c r="E1058" i="22"/>
  <c r="E1060" i="22"/>
  <c r="E1244" i="22"/>
  <c r="E1246" i="22"/>
  <c r="E1250" i="22"/>
  <c r="E1252" i="22"/>
  <c r="E1260" i="22"/>
  <c r="E1262" i="22"/>
  <c r="E1329" i="22"/>
  <c r="E1331" i="22"/>
  <c r="E1337" i="22"/>
  <c r="E1339" i="22"/>
  <c r="E1488" i="22"/>
  <c r="E1645" i="22"/>
  <c r="E1763" i="22"/>
  <c r="E1810" i="22"/>
  <c r="E1830" i="22"/>
  <c r="E1834" i="22"/>
  <c r="E1838" i="22"/>
  <c r="E760" i="22"/>
  <c r="E764" i="22"/>
  <c r="E772" i="22"/>
  <c r="E774" i="22"/>
  <c r="E906" i="22"/>
  <c r="E908" i="22"/>
  <c r="E910" i="22"/>
  <c r="E918" i="22"/>
  <c r="E922" i="22"/>
  <c r="E924" i="22"/>
  <c r="E926" i="22"/>
  <c r="E964" i="22"/>
  <c r="E1069" i="22"/>
  <c r="E1071" i="22"/>
  <c r="E1172" i="22"/>
  <c r="E1174" i="22"/>
  <c r="E1178" i="22"/>
  <c r="E1180" i="22"/>
  <c r="E1182" i="22"/>
  <c r="E1184" i="22"/>
  <c r="E1186" i="22"/>
  <c r="E1839" i="22"/>
  <c r="E643" i="22"/>
  <c r="E649" i="22"/>
  <c r="E651" i="22"/>
  <c r="E653" i="22"/>
  <c r="E655" i="22"/>
  <c r="E657" i="22"/>
  <c r="E659" i="22"/>
  <c r="E661" i="22"/>
  <c r="E685" i="22"/>
  <c r="E1679" i="22"/>
  <c r="E1345" i="22"/>
  <c r="E1350" i="22"/>
  <c r="E60" i="22"/>
  <c r="E68" i="22"/>
  <c r="E275" i="22"/>
  <c r="E332" i="22"/>
  <c r="E340" i="22"/>
  <c r="E356" i="22"/>
  <c r="E405" i="22"/>
  <c r="E407" i="22"/>
  <c r="E415" i="22"/>
  <c r="E644" i="22"/>
  <c r="E648" i="22"/>
  <c r="E656" i="22"/>
  <c r="E660" i="22"/>
  <c r="E721" i="22"/>
  <c r="E723" i="22"/>
  <c r="E75" i="22"/>
  <c r="E85" i="22"/>
  <c r="E100" i="22"/>
  <c r="E102" i="22"/>
  <c r="E104" i="22"/>
  <c r="E106" i="22"/>
  <c r="E108" i="22"/>
  <c r="E110" i="22"/>
  <c r="E112" i="22"/>
  <c r="E114" i="22"/>
  <c r="E116" i="22"/>
  <c r="E118" i="22"/>
  <c r="E120" i="22"/>
  <c r="E122" i="22"/>
  <c r="E124" i="22"/>
  <c r="E126" i="22"/>
  <c r="E128" i="22"/>
  <c r="E1264" i="22"/>
  <c r="E1268" i="22"/>
  <c r="E1497" i="22"/>
  <c r="E1502" i="22"/>
  <c r="E1622" i="22"/>
  <c r="E1624" i="22"/>
  <c r="E1638" i="22"/>
  <c r="E1640" i="22"/>
  <c r="E1687" i="22"/>
  <c r="E1752" i="22"/>
  <c r="E86" i="22"/>
  <c r="E90" i="22"/>
  <c r="E143" i="22"/>
  <c r="E147" i="22"/>
  <c r="E151" i="22"/>
  <c r="E155" i="22"/>
  <c r="E223" i="22"/>
  <c r="E225" i="22"/>
  <c r="E227" i="22"/>
  <c r="E239" i="22"/>
  <c r="E243" i="22"/>
  <c r="E604" i="22"/>
  <c r="E610" i="22"/>
  <c r="E612" i="22"/>
  <c r="E614" i="22"/>
  <c r="E616" i="22"/>
  <c r="E638" i="22"/>
  <c r="E1623" i="22"/>
  <c r="E1625" i="22"/>
  <c r="E1627" i="22"/>
  <c r="E1629" i="22"/>
  <c r="E1631" i="22"/>
  <c r="E1633" i="22"/>
  <c r="E1635" i="22"/>
  <c r="E1637" i="22"/>
  <c r="E1639" i="22"/>
  <c r="E1641" i="22"/>
  <c r="E1643" i="22"/>
  <c r="E1743" i="22"/>
  <c r="E140" i="22"/>
  <c r="E142" i="22"/>
  <c r="E150" i="22"/>
  <c r="E156" i="22"/>
  <c r="E158" i="22"/>
  <c r="E189" i="22"/>
  <c r="E220" i="22"/>
  <c r="E255" i="22"/>
  <c r="E267" i="22"/>
  <c r="E276" i="22"/>
  <c r="E24" i="22"/>
  <c r="E26" i="22"/>
  <c r="E28" i="22"/>
  <c r="E30" i="22"/>
  <c r="E32" i="22"/>
  <c r="E34" i="22"/>
  <c r="E36" i="22"/>
  <c r="E38" i="22"/>
  <c r="E76" i="22"/>
  <c r="E84" i="22"/>
  <c r="E141" i="22"/>
  <c r="E174" i="22"/>
  <c r="E178" i="22"/>
  <c r="E186" i="22"/>
  <c r="E190" i="22"/>
  <c r="E198" i="22"/>
  <c r="E202" i="22"/>
  <c r="E252" i="22"/>
  <c r="E256" i="22"/>
  <c r="E264" i="22"/>
  <c r="E266" i="22"/>
  <c r="E342" i="22"/>
  <c r="E365" i="22"/>
  <c r="E367" i="22"/>
  <c r="E369" i="22"/>
  <c r="E371" i="22"/>
  <c r="E373" i="22"/>
  <c r="E375" i="22"/>
  <c r="E406" i="22"/>
  <c r="E408" i="22"/>
  <c r="E633" i="22"/>
  <c r="E635" i="22"/>
  <c r="E637" i="22"/>
  <c r="E639" i="22"/>
  <c r="E641" i="22"/>
  <c r="E654" i="22"/>
  <c r="E686" i="22"/>
  <c r="E821" i="22"/>
  <c r="E825" i="22"/>
  <c r="E833" i="22"/>
  <c r="E858" i="22"/>
  <c r="E862" i="22"/>
  <c r="E864" i="22"/>
  <c r="E866" i="22"/>
  <c r="E874" i="22"/>
  <c r="E876" i="22"/>
  <c r="E878" i="22"/>
  <c r="E880" i="22"/>
  <c r="E882" i="22"/>
  <c r="E949" i="22"/>
  <c r="E951" i="22"/>
  <c r="E955" i="22"/>
  <c r="E965" i="22"/>
  <c r="E1051" i="22"/>
  <c r="E1086" i="22"/>
  <c r="E1090" i="22"/>
  <c r="E1094" i="22"/>
  <c r="E1102" i="22"/>
  <c r="E1351" i="22"/>
  <c r="E1353" i="22"/>
  <c r="E1355" i="22"/>
  <c r="E1357" i="22"/>
  <c r="E1359" i="22"/>
  <c r="E1361" i="22"/>
  <c r="E1363" i="22"/>
  <c r="E1365" i="22"/>
  <c r="E1367" i="22"/>
  <c r="E1369" i="22"/>
  <c r="E1371" i="22"/>
  <c r="E1373" i="22"/>
  <c r="E1375" i="22"/>
  <c r="E1381" i="22"/>
  <c r="E1383" i="22"/>
  <c r="E1388" i="22"/>
  <c r="E1476" i="22"/>
  <c r="E1478" i="22"/>
  <c r="E1482" i="22"/>
  <c r="E1484" i="22"/>
  <c r="E1634" i="22"/>
  <c r="E1646" i="22"/>
  <c r="E1648" i="22"/>
  <c r="E1682" i="22"/>
  <c r="E1747" i="22"/>
  <c r="E1817" i="22"/>
  <c r="E1829" i="22"/>
  <c r="E377" i="22"/>
  <c r="E379" i="22"/>
  <c r="E381" i="22"/>
  <c r="E383" i="22"/>
  <c r="E385" i="22"/>
  <c r="E387" i="22"/>
  <c r="E389" i="22"/>
  <c r="E391" i="22"/>
  <c r="E393" i="22"/>
  <c r="E395" i="22"/>
  <c r="E400" i="22"/>
  <c r="E417" i="22"/>
  <c r="E421" i="22"/>
  <c r="E425" i="22"/>
  <c r="E429" i="22"/>
  <c r="E433" i="22"/>
  <c r="E466" i="22"/>
  <c r="E468" i="22"/>
  <c r="E478" i="22"/>
  <c r="E480" i="22"/>
  <c r="E482" i="22"/>
  <c r="E484" i="22"/>
  <c r="E486" i="22"/>
  <c r="E488" i="22"/>
  <c r="E490" i="22"/>
  <c r="E492" i="22"/>
  <c r="E494" i="22"/>
  <c r="E496" i="22"/>
  <c r="E498" i="22"/>
  <c r="E500" i="22"/>
  <c r="E502" i="22"/>
  <c r="E504" i="22"/>
  <c r="E506" i="22"/>
  <c r="E508" i="22"/>
  <c r="E632" i="22"/>
  <c r="E640" i="22"/>
  <c r="E647" i="22"/>
  <c r="E763" i="22"/>
  <c r="E773" i="22"/>
  <c r="E901" i="22"/>
  <c r="E917" i="22"/>
  <c r="E934" i="22"/>
  <c r="E936" i="22"/>
  <c r="E938" i="22"/>
  <c r="E940" i="22"/>
  <c r="E1105" i="22"/>
  <c r="E1111" i="22"/>
  <c r="E1113" i="22"/>
  <c r="E1117" i="22"/>
  <c r="E1177" i="22"/>
  <c r="E1191" i="22"/>
  <c r="E1199" i="22"/>
  <c r="E1201" i="22"/>
  <c r="E1203" i="22"/>
  <c r="E1205" i="22"/>
  <c r="E1227" i="22"/>
  <c r="E1229" i="22"/>
  <c r="E1241" i="22"/>
  <c r="E1253" i="22"/>
  <c r="E1257" i="22"/>
  <c r="E1265" i="22"/>
  <c r="E1267" i="22"/>
  <c r="E1275" i="22"/>
  <c r="E1277" i="22"/>
  <c r="E1279" i="22"/>
  <c r="E1481" i="22"/>
  <c r="E1492" i="22"/>
  <c r="E1496" i="22"/>
  <c r="E1621" i="22"/>
  <c r="E1736" i="22"/>
  <c r="E1744" i="22"/>
  <c r="E1748" i="22"/>
  <c r="E1759" i="22"/>
  <c r="E1824" i="22"/>
  <c r="E62" i="22"/>
  <c r="E66" i="22"/>
  <c r="E91" i="22"/>
  <c r="E159" i="22"/>
  <c r="E165" i="22"/>
  <c r="E193" i="22"/>
  <c r="E259" i="22"/>
  <c r="E329" i="22"/>
  <c r="E350" i="22"/>
  <c r="E617" i="22"/>
  <c r="E628" i="22"/>
  <c r="E642" i="22"/>
  <c r="E658" i="22"/>
  <c r="E748" i="22"/>
  <c r="E768" i="22"/>
  <c r="E67" i="22"/>
  <c r="E70" i="22"/>
  <c r="E74" i="22"/>
  <c r="E78" i="22"/>
  <c r="E82" i="22"/>
  <c r="E148" i="22"/>
  <c r="E213" i="22"/>
  <c r="E229" i="22"/>
  <c r="E248" i="22"/>
  <c r="E269" i="22"/>
  <c r="E481" i="22"/>
  <c r="E483" i="22"/>
  <c r="E485" i="22"/>
  <c r="E487" i="22"/>
  <c r="E489" i="22"/>
  <c r="E491" i="22"/>
  <c r="E493" i="22"/>
  <c r="E495" i="22"/>
  <c r="E497" i="22"/>
  <c r="E499" i="22"/>
  <c r="E501" i="22"/>
  <c r="E503" i="22"/>
  <c r="E505" i="22"/>
  <c r="E507" i="22"/>
  <c r="E509" i="22"/>
  <c r="E630" i="22"/>
  <c r="E646" i="22"/>
  <c r="E77" i="22"/>
  <c r="E83" i="22"/>
  <c r="E99" i="22"/>
  <c r="E101" i="22"/>
  <c r="E103" i="22"/>
  <c r="E105" i="22"/>
  <c r="E107" i="22"/>
  <c r="E109" i="22"/>
  <c r="E111" i="22"/>
  <c r="E113" i="22"/>
  <c r="E115" i="22"/>
  <c r="E117" i="22"/>
  <c r="E119" i="22"/>
  <c r="E121" i="22"/>
  <c r="E123" i="22"/>
  <c r="E125" i="22"/>
  <c r="E127" i="22"/>
  <c r="E129" i="22"/>
  <c r="E134" i="22"/>
  <c r="E139" i="22"/>
  <c r="E149" i="22"/>
  <c r="E157" i="22"/>
  <c r="E166" i="22"/>
  <c r="E182" i="22"/>
  <c r="E222" i="22"/>
  <c r="E224" i="22"/>
  <c r="E226" i="22"/>
  <c r="E228" i="22"/>
  <c r="E238" i="22"/>
  <c r="E240" i="22"/>
  <c r="E242" i="22"/>
  <c r="E274" i="22"/>
  <c r="E277" i="22"/>
  <c r="E326" i="22"/>
  <c r="E334" i="22"/>
  <c r="E348" i="22"/>
  <c r="E368" i="22"/>
  <c r="E370" i="22"/>
  <c r="E372" i="22"/>
  <c r="E374" i="22"/>
  <c r="E376" i="22"/>
  <c r="E378" i="22"/>
  <c r="E380" i="22"/>
  <c r="E382" i="22"/>
  <c r="E384" i="22"/>
  <c r="E386" i="22"/>
  <c r="E388" i="22"/>
  <c r="E390" i="22"/>
  <c r="E392" i="22"/>
  <c r="E394" i="22"/>
  <c r="E409" i="22"/>
  <c r="E413" i="22"/>
  <c r="E423" i="22"/>
  <c r="E431" i="22"/>
  <c r="E607" i="22"/>
  <c r="E615" i="22"/>
  <c r="E620" i="22"/>
  <c r="E634" i="22"/>
  <c r="E636" i="22"/>
  <c r="E645" i="22"/>
  <c r="E650" i="22"/>
  <c r="E652" i="22"/>
  <c r="E887" i="22"/>
  <c r="E945" i="22"/>
  <c r="E961" i="22"/>
  <c r="E1067" i="22"/>
  <c r="E1109" i="22"/>
  <c r="E1189" i="22"/>
  <c r="E1379" i="22"/>
  <c r="E1618" i="22"/>
  <c r="E1686" i="22"/>
  <c r="E689" i="22"/>
  <c r="E691" i="22"/>
  <c r="E693" i="22"/>
  <c r="E695" i="22"/>
  <c r="E697" i="22"/>
  <c r="E699" i="22"/>
  <c r="E747" i="22"/>
  <c r="E749" i="22"/>
  <c r="E751" i="22"/>
  <c r="E753" i="22"/>
  <c r="E757" i="22"/>
  <c r="E759" i="22"/>
  <c r="E769" i="22"/>
  <c r="E771" i="22"/>
  <c r="E827" i="22"/>
  <c r="E861" i="22"/>
  <c r="E902" i="22"/>
  <c r="E948" i="22"/>
  <c r="E950" i="22"/>
  <c r="E952" i="22"/>
  <c r="E954" i="22"/>
  <c r="E956" i="22"/>
  <c r="E1068" i="22"/>
  <c r="E1072" i="22"/>
  <c r="E1074" i="22"/>
  <c r="E1076" i="22"/>
  <c r="E1100" i="22"/>
  <c r="E1110" i="22"/>
  <c r="E1170" i="22"/>
  <c r="E1192" i="22"/>
  <c r="E1248" i="22"/>
  <c r="E1266" i="22"/>
  <c r="E1269" i="22"/>
  <c r="E1328" i="22"/>
  <c r="E1336" i="22"/>
  <c r="E1352" i="22"/>
  <c r="E1354" i="22"/>
  <c r="E1356" i="22"/>
  <c r="E1358" i="22"/>
  <c r="E1360" i="22"/>
  <c r="E1362" i="22"/>
  <c r="E1364" i="22"/>
  <c r="E1366" i="22"/>
  <c r="E1368" i="22"/>
  <c r="E1370" i="22"/>
  <c r="E1372" i="22"/>
  <c r="E1374" i="22"/>
  <c r="E1380" i="22"/>
  <c r="E1465" i="22"/>
  <c r="E1469" i="22"/>
  <c r="E1473" i="22"/>
  <c r="E1480" i="22"/>
  <c r="E1617" i="22"/>
  <c r="E1619" i="22"/>
  <c r="E1626" i="22"/>
  <c r="E1630" i="22"/>
  <c r="E1632" i="22"/>
  <c r="E1647" i="22"/>
  <c r="E1649" i="22"/>
  <c r="E1654" i="22"/>
  <c r="E1683" i="22"/>
  <c r="E1735" i="22"/>
  <c r="E1739" i="22"/>
  <c r="E1756" i="22"/>
  <c r="E1808" i="22"/>
  <c r="E1814" i="22"/>
  <c r="E1818" i="22"/>
  <c r="E1826" i="22"/>
  <c r="E1833" i="22"/>
  <c r="E775" i="22"/>
  <c r="E780" i="22"/>
  <c r="E835" i="22"/>
  <c r="E865" i="22"/>
  <c r="E875" i="22"/>
  <c r="E877" i="22"/>
  <c r="E881" i="22"/>
  <c r="E903" i="22"/>
  <c r="E905" i="22"/>
  <c r="E919" i="22"/>
  <c r="E921" i="22"/>
  <c r="E935" i="22"/>
  <c r="E939" i="22"/>
  <c r="E1053" i="22"/>
  <c r="E1055" i="22"/>
  <c r="E1085" i="22"/>
  <c r="E1089" i="22"/>
  <c r="E1093" i="22"/>
  <c r="E1095" i="22"/>
  <c r="E1097" i="22"/>
  <c r="E1101" i="22"/>
  <c r="E1103" i="22"/>
  <c r="E1171" i="22"/>
  <c r="E1179" i="22"/>
  <c r="E1183" i="22"/>
  <c r="E1243" i="22"/>
  <c r="E1249" i="22"/>
  <c r="E1251" i="22"/>
  <c r="E1259" i="22"/>
  <c r="E1315" i="22"/>
  <c r="E1321" i="22"/>
  <c r="E1323" i="22"/>
  <c r="E1344" i="22"/>
  <c r="E1487" i="22"/>
  <c r="E1642" i="22"/>
  <c r="E1678" i="22"/>
  <c r="E1694" i="22"/>
  <c r="E1698" i="22"/>
  <c r="E1700" i="22"/>
  <c r="E1702" i="22"/>
  <c r="E1704" i="22"/>
  <c r="E1706" i="22"/>
  <c r="E1708" i="22"/>
  <c r="E1710" i="22"/>
  <c r="E1740" i="22"/>
  <c r="E1751" i="22"/>
  <c r="E1755" i="22"/>
  <c r="E1769" i="22"/>
  <c r="E1771" i="22"/>
  <c r="E1773" i="22"/>
  <c r="E1775" i="22"/>
  <c r="E1777" i="22"/>
  <c r="E1779" i="22"/>
  <c r="E1781" i="22"/>
  <c r="E1783" i="22"/>
  <c r="E1785" i="22"/>
  <c r="E1787" i="22"/>
  <c r="E1789" i="22"/>
  <c r="E1791" i="22"/>
  <c r="E1793" i="22"/>
  <c r="E1795" i="22"/>
  <c r="E1797" i="22"/>
  <c r="E1799" i="22"/>
  <c r="E1801" i="22"/>
  <c r="E1819" i="22"/>
  <c r="E1821" i="22"/>
  <c r="E1823" i="22"/>
  <c r="E1825" i="22"/>
  <c r="E1827" i="22"/>
  <c r="E71" i="22"/>
  <c r="E73" i="22"/>
  <c r="E87" i="22"/>
  <c r="E89" i="22"/>
  <c r="E144" i="22"/>
  <c r="E146" i="22"/>
  <c r="E160" i="22"/>
  <c r="E162" i="22"/>
  <c r="E185" i="22"/>
  <c r="E216" i="22"/>
  <c r="E218" i="22"/>
  <c r="E221" i="22"/>
  <c r="E231" i="22"/>
  <c r="E272" i="22"/>
  <c r="E345" i="22"/>
  <c r="E414" i="22"/>
  <c r="E63" i="22"/>
  <c r="E65" i="22"/>
  <c r="E79" i="22"/>
  <c r="E81" i="22"/>
  <c r="E136" i="22"/>
  <c r="E138" i="22"/>
  <c r="E152" i="22"/>
  <c r="E154" i="22"/>
  <c r="E172" i="22"/>
  <c r="E177" i="22"/>
  <c r="E181" i="22"/>
  <c r="E194" i="22"/>
  <c r="E201" i="22"/>
  <c r="E215" i="22"/>
  <c r="E217" i="22"/>
  <c r="E219" i="22"/>
  <c r="E230" i="22"/>
  <c r="E232" i="22"/>
  <c r="E236" i="22"/>
  <c r="E235" i="22"/>
  <c r="E260" i="22"/>
  <c r="E265" i="22"/>
  <c r="E271" i="22"/>
  <c r="E278" i="22"/>
  <c r="E281" i="22"/>
  <c r="E335" i="22"/>
  <c r="E338" i="22"/>
  <c r="E344" i="22"/>
  <c r="E351" i="22"/>
  <c r="E354" i="22"/>
  <c r="E411" i="22"/>
  <c r="E418" i="22"/>
  <c r="E420" i="22"/>
  <c r="E427" i="22"/>
  <c r="E533" i="22"/>
  <c r="E535" i="22"/>
  <c r="E537" i="22"/>
  <c r="E539" i="22"/>
  <c r="E541" i="22"/>
  <c r="E543" i="22"/>
  <c r="E545" i="22"/>
  <c r="E547" i="22"/>
  <c r="E552" i="22"/>
  <c r="E555" i="22"/>
  <c r="E609" i="22"/>
  <c r="E623" i="22"/>
  <c r="E676" i="22"/>
  <c r="E680" i="22"/>
  <c r="E682" i="22"/>
  <c r="E707" i="22"/>
  <c r="E711" i="22"/>
  <c r="E715" i="22"/>
  <c r="E724" i="22"/>
  <c r="E726" i="22"/>
  <c r="E234" i="22"/>
  <c r="E237" i="22"/>
  <c r="E251" i="22"/>
  <c r="E263" i="22"/>
  <c r="E270" i="22"/>
  <c r="E273" i="22"/>
  <c r="E279" i="22"/>
  <c r="E330" i="22"/>
  <c r="E336" i="22"/>
  <c r="E343" i="22"/>
  <c r="E346" i="22"/>
  <c r="E352" i="22"/>
  <c r="E410" i="22"/>
  <c r="E412" i="22"/>
  <c r="E419" i="22"/>
  <c r="E426" i="22"/>
  <c r="E428" i="22"/>
  <c r="E524" i="22"/>
  <c r="E526" i="22"/>
  <c r="E532" i="22"/>
  <c r="E534" i="22"/>
  <c r="E536" i="22"/>
  <c r="E538" i="22"/>
  <c r="E540" i="22"/>
  <c r="E542" i="22"/>
  <c r="E544" i="22"/>
  <c r="E546" i="22"/>
  <c r="E554" i="22"/>
  <c r="E556" i="22"/>
  <c r="E558" i="22"/>
  <c r="E560" i="22"/>
  <c r="E562" i="22"/>
  <c r="E564" i="22"/>
  <c r="E566" i="22"/>
  <c r="E568" i="22"/>
  <c r="E570" i="22"/>
  <c r="E572" i="22"/>
  <c r="E574" i="22"/>
  <c r="E576" i="22"/>
  <c r="E578" i="22"/>
  <c r="E580" i="22"/>
  <c r="E582" i="22"/>
  <c r="E584" i="22"/>
  <c r="E593" i="22"/>
  <c r="E595" i="22"/>
  <c r="E597" i="22"/>
  <c r="E599" i="22"/>
  <c r="E601" i="22"/>
  <c r="E603" i="22"/>
  <c r="E608" i="22"/>
  <c r="E622" i="22"/>
  <c r="E669" i="22"/>
  <c r="E692" i="22"/>
  <c r="E694" i="22"/>
  <c r="E696" i="22"/>
  <c r="E745" i="22"/>
  <c r="E756" i="22"/>
  <c r="E826" i="22"/>
  <c r="E752" i="22"/>
  <c r="E765" i="22"/>
  <c r="E767" i="22"/>
  <c r="E785" i="22"/>
  <c r="E787" i="22"/>
  <c r="E789" i="22"/>
  <c r="E791" i="22"/>
  <c r="E793" i="22"/>
  <c r="E795" i="22"/>
  <c r="E797" i="22"/>
  <c r="E799" i="22"/>
  <c r="E801" i="22"/>
  <c r="E803" i="22"/>
  <c r="E805" i="22"/>
  <c r="E807" i="22"/>
  <c r="E809" i="22"/>
  <c r="E811" i="22"/>
  <c r="E813" i="22"/>
  <c r="E832" i="22"/>
  <c r="E837" i="22"/>
  <c r="E839" i="22"/>
  <c r="E841" i="22"/>
  <c r="E843" i="22"/>
  <c r="E845" i="22"/>
  <c r="E847" i="22"/>
  <c r="E849" i="22"/>
  <c r="E851" i="22"/>
  <c r="E856" i="22"/>
  <c r="E867" i="22"/>
  <c r="E869" i="22"/>
  <c r="E873" i="22"/>
  <c r="E884" i="22"/>
  <c r="E886" i="22"/>
  <c r="E888" i="22"/>
  <c r="E900" i="22"/>
  <c r="E909" i="22"/>
  <c r="E911" i="22"/>
  <c r="E913" i="22"/>
  <c r="E942" i="22"/>
  <c r="E944" i="22"/>
  <c r="E946" i="22"/>
  <c r="E953" i="22"/>
  <c r="E957" i="22"/>
  <c r="E959" i="22"/>
  <c r="E963" i="22"/>
  <c r="E1064" i="22"/>
  <c r="E1066" i="22"/>
  <c r="E1075" i="22"/>
  <c r="E1077" i="22"/>
  <c r="E1079" i="22"/>
  <c r="E1087" i="22"/>
  <c r="E1091" i="22"/>
  <c r="E1096" i="22"/>
  <c r="E1098" i="22"/>
  <c r="E1107" i="22"/>
  <c r="E1112" i="22"/>
  <c r="E1114" i="22"/>
  <c r="E1164" i="22"/>
  <c r="E1166" i="22"/>
  <c r="E1168" i="22"/>
  <c r="E1173" i="22"/>
  <c r="E1175" i="22"/>
  <c r="E1190" i="22"/>
  <c r="E1242" i="22"/>
  <c r="E755" i="22"/>
  <c r="E758" i="22"/>
  <c r="E761" i="22"/>
  <c r="E824" i="22"/>
  <c r="E829" i="22"/>
  <c r="E831" i="22"/>
  <c r="E840" i="22"/>
  <c r="E842" i="22"/>
  <c r="E844" i="22"/>
  <c r="E846" i="22"/>
  <c r="E848" i="22"/>
  <c r="E850" i="22"/>
  <c r="E863" i="22"/>
  <c r="E868" i="22"/>
  <c r="E870" i="22"/>
  <c r="E872" i="22"/>
  <c r="E879" i="22"/>
  <c r="E883" i="22"/>
  <c r="E885" i="22"/>
  <c r="E889" i="22"/>
  <c r="E897" i="22"/>
  <c r="E914" i="22"/>
  <c r="E916" i="22"/>
  <c r="E925" i="22"/>
  <c r="E927" i="22"/>
  <c r="E932" i="22"/>
  <c r="E937" i="22"/>
  <c r="E941" i="22"/>
  <c r="E943" i="22"/>
  <c r="E947" i="22"/>
  <c r="E958" i="22"/>
  <c r="E960" i="22"/>
  <c r="E962" i="22"/>
  <c r="E1048" i="22"/>
  <c r="E1050" i="22"/>
  <c r="E1059" i="22"/>
  <c r="E1061" i="22"/>
  <c r="E1063" i="22"/>
  <c r="E1092" i="22"/>
  <c r="E1099" i="22"/>
  <c r="E1104" i="22"/>
  <c r="E1106" i="22"/>
  <c r="E1115" i="22"/>
  <c r="E1163" i="22"/>
  <c r="E1165" i="22"/>
  <c r="E1167" i="22"/>
  <c r="E1169" i="22"/>
  <c r="E1176" i="22"/>
  <c r="E1181" i="22"/>
  <c r="E1258" i="22"/>
  <c r="E1188" i="22"/>
  <c r="E1193" i="22"/>
  <c r="E1198" i="22"/>
  <c r="E1211" i="22"/>
  <c r="E1213" i="22"/>
  <c r="E1215" i="22"/>
  <c r="E1217" i="22"/>
  <c r="E1219" i="22"/>
  <c r="E1221" i="22"/>
  <c r="E1285" i="22"/>
  <c r="E1287" i="22"/>
  <c r="E1289" i="22"/>
  <c r="E1291" i="22"/>
  <c r="E1317" i="22"/>
  <c r="E1319" i="22"/>
  <c r="E1324" i="22"/>
  <c r="E1333" i="22"/>
  <c r="E1335" i="22"/>
  <c r="E1340" i="22"/>
  <c r="E1477" i="22"/>
  <c r="E1486" i="22"/>
  <c r="E1489" i="22"/>
  <c r="E1491" i="22"/>
  <c r="E1493" i="22"/>
  <c r="E1495" i="22"/>
  <c r="E1505" i="22"/>
  <c r="E1507" i="22"/>
  <c r="E1509" i="22"/>
  <c r="E1511" i="22"/>
  <c r="E1513" i="22"/>
  <c r="E1515" i="22"/>
  <c r="E1517" i="22"/>
  <c r="E1519" i="22"/>
  <c r="E1521" i="22"/>
  <c r="E1523" i="22"/>
  <c r="E1525" i="22"/>
  <c r="E1527" i="22"/>
  <c r="E1657" i="22"/>
  <c r="E1659" i="22"/>
  <c r="E1661" i="22"/>
  <c r="E1663" i="22"/>
  <c r="E1665" i="22"/>
  <c r="E1667" i="22"/>
  <c r="E1669" i="22"/>
  <c r="E1671" i="22"/>
  <c r="E1673" i="22"/>
  <c r="E1675" i="22"/>
  <c r="E1677" i="22"/>
  <c r="E1680" i="22"/>
  <c r="E1685" i="22"/>
  <c r="E1734" i="22"/>
  <c r="E1737" i="22"/>
  <c r="E1742" i="22"/>
  <c r="E1745" i="22"/>
  <c r="E1750" i="22"/>
  <c r="E1753" i="22"/>
  <c r="E1758" i="22"/>
  <c r="E1761" i="22"/>
  <c r="E1812" i="22"/>
  <c r="E1828" i="22"/>
  <c r="E1816" i="22"/>
  <c r="E1832" i="22"/>
  <c r="E1185" i="22"/>
  <c r="E1187" i="22"/>
  <c r="E1238" i="22"/>
  <c r="E1240" i="22"/>
  <c r="E1245" i="22"/>
  <c r="E1247" i="22"/>
  <c r="E1254" i="22"/>
  <c r="E1256" i="22"/>
  <c r="E1261" i="22"/>
  <c r="E1263" i="22"/>
  <c r="E1316" i="22"/>
  <c r="E1325" i="22"/>
  <c r="E1327" i="22"/>
  <c r="E1332" i="22"/>
  <c r="E1341" i="22"/>
  <c r="E1343" i="22"/>
  <c r="E1376" i="22"/>
  <c r="E1378" i="22"/>
  <c r="E1474" i="22"/>
  <c r="E1483" i="22"/>
  <c r="E1485" i="22"/>
  <c r="E1490" i="22"/>
  <c r="E1504" i="22"/>
  <c r="E1506" i="22"/>
  <c r="E1508" i="22"/>
  <c r="E1510" i="22"/>
  <c r="E1512" i="22"/>
  <c r="E1514" i="22"/>
  <c r="E1516" i="22"/>
  <c r="E1518" i="22"/>
  <c r="E1520" i="22"/>
  <c r="E1522" i="22"/>
  <c r="E1524" i="22"/>
  <c r="E1526" i="22"/>
  <c r="E1528" i="22"/>
  <c r="E1530" i="22"/>
  <c r="E1532" i="22"/>
  <c r="E1534" i="22"/>
  <c r="E1674" i="22"/>
  <c r="E1676" i="22"/>
  <c r="E1681" i="22"/>
  <c r="E1684" i="22"/>
  <c r="E1692" i="22"/>
  <c r="E1733" i="22"/>
  <c r="E1738" i="22"/>
  <c r="E1741" i="22"/>
  <c r="E1746" i="22"/>
  <c r="E1749" i="22"/>
  <c r="E1754" i="22"/>
  <c r="E1757" i="22"/>
  <c r="E1762" i="22"/>
  <c r="E1768" i="22"/>
  <c r="E1815" i="22"/>
  <c r="E1820" i="22"/>
  <c r="E1822" i="22"/>
  <c r="E1831" i="22"/>
  <c r="E1836" i="22"/>
  <c r="E23" i="22"/>
  <c r="E25" i="22"/>
  <c r="E27" i="22"/>
  <c r="E29" i="22"/>
  <c r="E31" i="22"/>
  <c r="E33" i="22"/>
  <c r="E35" i="22"/>
  <c r="E37" i="22"/>
  <c r="E64" i="22"/>
  <c r="E72" i="22"/>
  <c r="E80" i="22"/>
  <c r="E88" i="22"/>
  <c r="E145" i="22"/>
  <c r="E153" i="22"/>
  <c r="E161" i="22"/>
  <c r="E197" i="22"/>
  <c r="E233" i="22"/>
  <c r="E205" i="22"/>
  <c r="E241" i="22"/>
  <c r="E40" i="22"/>
  <c r="E42" i="22"/>
  <c r="E44" i="22"/>
  <c r="E46" i="22"/>
  <c r="E48" i="22"/>
  <c r="E50" i="22"/>
  <c r="E52" i="22"/>
  <c r="E164" i="22"/>
  <c r="E167" i="22"/>
  <c r="E176" i="22"/>
  <c r="E179" i="22"/>
  <c r="E184" i="22"/>
  <c r="E187" i="22"/>
  <c r="E192" i="22"/>
  <c r="E195" i="22"/>
  <c r="E200" i="22"/>
  <c r="E203" i="22"/>
  <c r="E250" i="22"/>
  <c r="E253" i="22"/>
  <c r="E258" i="22"/>
  <c r="E261" i="22"/>
  <c r="E287" i="22"/>
  <c r="E289" i="22"/>
  <c r="E291" i="22"/>
  <c r="E293" i="22"/>
  <c r="E295" i="22"/>
  <c r="E297" i="22"/>
  <c r="E299" i="22"/>
  <c r="E301" i="22"/>
  <c r="E303" i="22"/>
  <c r="E305" i="22"/>
  <c r="E307" i="22"/>
  <c r="E309" i="22"/>
  <c r="E311" i="22"/>
  <c r="E313" i="22"/>
  <c r="E315" i="22"/>
  <c r="E317" i="22"/>
  <c r="E319" i="22"/>
  <c r="E324" i="22"/>
  <c r="E39" i="22"/>
  <c r="E41" i="22"/>
  <c r="E43" i="22"/>
  <c r="E45" i="22"/>
  <c r="E47" i="22"/>
  <c r="E49" i="22"/>
  <c r="E51" i="22"/>
  <c r="E53" i="22"/>
  <c r="E58" i="22"/>
  <c r="E163" i="22"/>
  <c r="E180" i="22"/>
  <c r="E183" i="22"/>
  <c r="E188" i="22"/>
  <c r="E191" i="22"/>
  <c r="E196" i="22"/>
  <c r="E199" i="22"/>
  <c r="E204" i="22"/>
  <c r="E254" i="22"/>
  <c r="E257" i="22"/>
  <c r="E262" i="22"/>
  <c r="E292" i="22"/>
  <c r="E294" i="22"/>
  <c r="E296" i="22"/>
  <c r="E298" i="22"/>
  <c r="E300" i="22"/>
  <c r="E302" i="22"/>
  <c r="E304" i="22"/>
  <c r="E306" i="22"/>
  <c r="E308" i="22"/>
  <c r="E310" i="22"/>
  <c r="E312" i="22"/>
  <c r="E314" i="22"/>
  <c r="E316" i="22"/>
  <c r="E318" i="22"/>
  <c r="E403" i="22"/>
  <c r="E710" i="22"/>
  <c r="E727" i="22"/>
  <c r="E750" i="22"/>
  <c r="E766" i="22"/>
  <c r="E782" i="22"/>
  <c r="E784" i="22"/>
  <c r="E786" i="22"/>
  <c r="E788" i="22"/>
  <c r="E790" i="22"/>
  <c r="E792" i="22"/>
  <c r="E794" i="22"/>
  <c r="E796" i="22"/>
  <c r="E798" i="22"/>
  <c r="E800" i="22"/>
  <c r="E802" i="22"/>
  <c r="E804" i="22"/>
  <c r="E806" i="22"/>
  <c r="E808" i="22"/>
  <c r="E810" i="22"/>
  <c r="E812" i="22"/>
  <c r="E823" i="22"/>
  <c r="E828" i="22"/>
  <c r="E836" i="22"/>
  <c r="E441" i="22"/>
  <c r="E443" i="22"/>
  <c r="E445" i="22"/>
  <c r="E447" i="22"/>
  <c r="E449" i="22"/>
  <c r="E451" i="22"/>
  <c r="E453" i="22"/>
  <c r="E455" i="22"/>
  <c r="E457" i="22"/>
  <c r="E459" i="22"/>
  <c r="E461" i="22"/>
  <c r="E470" i="22"/>
  <c r="E520" i="22"/>
  <c r="E522" i="22"/>
  <c r="E678" i="22"/>
  <c r="E687" i="22"/>
  <c r="E704" i="22"/>
  <c r="E719" i="22"/>
  <c r="E729" i="22"/>
  <c r="E731" i="22"/>
  <c r="E733" i="22"/>
  <c r="E735" i="22"/>
  <c r="E737" i="22"/>
  <c r="E746" i="22"/>
  <c r="E762" i="22"/>
  <c r="E444" i="22"/>
  <c r="E446" i="22"/>
  <c r="E448" i="22"/>
  <c r="E450" i="22"/>
  <c r="E452" i="22"/>
  <c r="E454" i="22"/>
  <c r="E456" i="22"/>
  <c r="E458" i="22"/>
  <c r="E460" i="22"/>
  <c r="E462" i="22"/>
  <c r="E464" i="22"/>
  <c r="E528" i="22"/>
  <c r="E530" i="22"/>
  <c r="E606" i="22"/>
  <c r="E613" i="22"/>
  <c r="E619" i="22"/>
  <c r="E675" i="22"/>
  <c r="E677" i="22"/>
  <c r="E684" i="22"/>
  <c r="E713" i="22"/>
  <c r="E716" i="22"/>
  <c r="E718" i="22"/>
  <c r="E754" i="22"/>
  <c r="E770" i="22"/>
  <c r="E557" i="22"/>
  <c r="E559" i="22"/>
  <c r="E561" i="22"/>
  <c r="E563" i="22"/>
  <c r="E565" i="22"/>
  <c r="E567" i="22"/>
  <c r="E569" i="22"/>
  <c r="E571" i="22"/>
  <c r="E573" i="22"/>
  <c r="E575" i="22"/>
  <c r="E577" i="22"/>
  <c r="E579" i="22"/>
  <c r="E581" i="22"/>
  <c r="E583" i="22"/>
  <c r="E585" i="22"/>
  <c r="E594" i="22"/>
  <c r="E596" i="22"/>
  <c r="E598" i="22"/>
  <c r="E600" i="22"/>
  <c r="E602" i="22"/>
  <c r="E605" i="22"/>
  <c r="E611" i="22"/>
  <c r="E618" i="22"/>
  <c r="E621" i="22"/>
  <c r="E672" i="22"/>
  <c r="E674" i="22"/>
  <c r="E683" i="22"/>
  <c r="E688" i="22"/>
  <c r="E690" i="22"/>
  <c r="E698" i="22"/>
  <c r="E706" i="22"/>
  <c r="E709" i="22"/>
  <c r="E712" i="22"/>
  <c r="E714" i="22"/>
  <c r="E717" i="22"/>
  <c r="E720" i="22"/>
  <c r="E722" i="22"/>
  <c r="E725" i="22"/>
  <c r="E728" i="22"/>
  <c r="E730" i="22"/>
  <c r="E732" i="22"/>
  <c r="E734" i="22"/>
  <c r="E736" i="22"/>
  <c r="E896" i="22"/>
  <c r="E899" i="22"/>
  <c r="E904" i="22"/>
  <c r="E907" i="22"/>
  <c r="E912" i="22"/>
  <c r="E915" i="22"/>
  <c r="E920" i="22"/>
  <c r="E923" i="22"/>
  <c r="E1049" i="22"/>
  <c r="E1054" i="22"/>
  <c r="E1057" i="22"/>
  <c r="E1062" i="22"/>
  <c r="E1065" i="22"/>
  <c r="E1070" i="22"/>
  <c r="E1073" i="22"/>
  <c r="E1078" i="22"/>
  <c r="E1084" i="22"/>
  <c r="E1207" i="22"/>
  <c r="E1209" i="22"/>
  <c r="E1223" i="22"/>
  <c r="E1225" i="22"/>
  <c r="E1239" i="22"/>
  <c r="E1255" i="22"/>
  <c r="E1274" i="22"/>
  <c r="E1314" i="22"/>
  <c r="E1318" i="22"/>
  <c r="E1322" i="22"/>
  <c r="E1326" i="22"/>
  <c r="E1330" i="22"/>
  <c r="E1334" i="22"/>
  <c r="E1338" i="22"/>
  <c r="E1342" i="22"/>
  <c r="E1377" i="22"/>
  <c r="E1382" i="22"/>
  <c r="E1231" i="22"/>
  <c r="E1236" i="22"/>
  <c r="E1281" i="22"/>
  <c r="E1283" i="22"/>
  <c r="E1391" i="22"/>
  <c r="E1393" i="22"/>
  <c r="E1395" i="22"/>
  <c r="E1397" i="22"/>
  <c r="E1399" i="22"/>
  <c r="E1401" i="22"/>
  <c r="E1403" i="22"/>
  <c r="E1405" i="22"/>
  <c r="E1407" i="22"/>
  <c r="E1409" i="22"/>
  <c r="E1411" i="22"/>
  <c r="E1413" i="22"/>
  <c r="E1415" i="22"/>
  <c r="E1417" i="22"/>
  <c r="E1419" i="22"/>
  <c r="E1421" i="22"/>
  <c r="E1464" i="22"/>
  <c r="E1467" i="22"/>
  <c r="E1470" i="22"/>
  <c r="E1472" i="22"/>
  <c r="E1479" i="22"/>
  <c r="E1494" i="22"/>
  <c r="E1620" i="22"/>
  <c r="E1628" i="22"/>
  <c r="E1636" i="22"/>
  <c r="E1644" i="22"/>
  <c r="E1806" i="22"/>
  <c r="E1712" i="22"/>
  <c r="E1714" i="22"/>
  <c r="E1716" i="22"/>
  <c r="E1718" i="22"/>
  <c r="E1720" i="22"/>
  <c r="E1722" i="22"/>
  <c r="E1724" i="22"/>
  <c r="E1390" i="22"/>
  <c r="E1392" i="22"/>
  <c r="E1394" i="22"/>
  <c r="E1396" i="22"/>
  <c r="E1398" i="22"/>
  <c r="E1400" i="22"/>
  <c r="E1402" i="22"/>
  <c r="E1404" i="22"/>
  <c r="E1406" i="22"/>
  <c r="E1408" i="22"/>
  <c r="E1410" i="22"/>
  <c r="E1412" i="22"/>
  <c r="E1414" i="22"/>
  <c r="E1416" i="22"/>
  <c r="E1418" i="22"/>
  <c r="E1420" i="22"/>
  <c r="E1466" i="22"/>
  <c r="E1471" i="22"/>
  <c r="E1475" i="22"/>
  <c r="E1656" i="22"/>
  <c r="E1658" i="22"/>
  <c r="E1660" i="22"/>
  <c r="E1662" i="22"/>
  <c r="E1664" i="22"/>
  <c r="E1666" i="22"/>
  <c r="E1668" i="22"/>
  <c r="E1670" i="22"/>
  <c r="E1672" i="22"/>
  <c r="E1770" i="22"/>
  <c r="E1772" i="22"/>
  <c r="E1774" i="22"/>
  <c r="E1776" i="22"/>
  <c r="E1778" i="22"/>
  <c r="E1780" i="22"/>
  <c r="E1782" i="22"/>
  <c r="E1784" i="22"/>
  <c r="E1786" i="22"/>
  <c r="E1788" i="22"/>
  <c r="E1790" i="22"/>
  <c r="E1792" i="22"/>
  <c r="E1794" i="22"/>
  <c r="E1796" i="22"/>
  <c r="E1798" i="22"/>
  <c r="E1800" i="22"/>
  <c r="E1529" i="22"/>
  <c r="E1531" i="22"/>
  <c r="E1533" i="22"/>
  <c r="E1535" i="22"/>
  <c r="E1616" i="22"/>
  <c r="E1693" i="22"/>
  <c r="E1695" i="22"/>
  <c r="E1697" i="22"/>
  <c r="E1699" i="22"/>
  <c r="E1701" i="22"/>
  <c r="E1703" i="22"/>
  <c r="E1705" i="22"/>
  <c r="E1707" i="22"/>
  <c r="E1709" i="22"/>
  <c r="E1711" i="22"/>
  <c r="E1713" i="22"/>
  <c r="E1715" i="22"/>
  <c r="E1717" i="22"/>
  <c r="E1719" i="22"/>
  <c r="E1721" i="22"/>
  <c r="E1723" i="22"/>
  <c r="E1725" i="22"/>
  <c r="E1730" i="22"/>
  <c r="E463" i="22"/>
  <c r="E467" i="22"/>
  <c r="E471" i="22"/>
  <c r="E517" i="22"/>
  <c r="E521" i="22"/>
  <c r="E525" i="22"/>
  <c r="E529" i="22"/>
  <c r="E465" i="22"/>
  <c r="E469" i="22"/>
  <c r="E476" i="22"/>
  <c r="E519" i="22"/>
  <c r="E523" i="22"/>
  <c r="E527" i="22"/>
  <c r="E531" i="22"/>
  <c r="E1202" i="22"/>
  <c r="E1206" i="22"/>
  <c r="E1210" i="22"/>
  <c r="E1214" i="22"/>
  <c r="E1218" i="22"/>
  <c r="E1222" i="22"/>
  <c r="E1226" i="22"/>
  <c r="E1230" i="22"/>
  <c r="E1276" i="22"/>
  <c r="E1280" i="22"/>
  <c r="E1284" i="22"/>
  <c r="E1288" i="22"/>
  <c r="E1292" i="22"/>
  <c r="E1294" i="22"/>
  <c r="E1296" i="22"/>
  <c r="E1298" i="22"/>
  <c r="E1300" i="22"/>
  <c r="E1302" i="22"/>
  <c r="E1304" i="22"/>
  <c r="E1306" i="22"/>
  <c r="E1200" i="22"/>
  <c r="E1204" i="22"/>
  <c r="E1208" i="22"/>
  <c r="E1212" i="22"/>
  <c r="E1216" i="22"/>
  <c r="E1220" i="22"/>
  <c r="E1224" i="22"/>
  <c r="E1228" i="22"/>
  <c r="E1282" i="22"/>
  <c r="E1286" i="22"/>
  <c r="E1290" i="22"/>
  <c r="E1293" i="22"/>
  <c r="E1295" i="22"/>
  <c r="E1297" i="22"/>
  <c r="E1299" i="22"/>
  <c r="E1301" i="22"/>
  <c r="E1303" i="22"/>
  <c r="E1305" i="22"/>
  <c r="E1307" i="22"/>
  <c r="E1312" i="22"/>
  <c r="E568" i="21"/>
  <c r="E572" i="21"/>
  <c r="E576" i="21"/>
  <c r="E580" i="21"/>
  <c r="E584" i="21"/>
  <c r="E630" i="21"/>
  <c r="E634" i="21"/>
  <c r="E638" i="21"/>
  <c r="E642" i="21"/>
  <c r="E646" i="21"/>
  <c r="E650" i="21"/>
  <c r="E654" i="21"/>
  <c r="E658" i="21"/>
  <c r="E752" i="21"/>
  <c r="E768" i="21"/>
  <c r="E566" i="21"/>
  <c r="E570" i="21"/>
  <c r="E574" i="21"/>
  <c r="E578" i="21"/>
  <c r="E582" i="21"/>
  <c r="E636" i="21"/>
  <c r="E640" i="21"/>
  <c r="E644" i="21"/>
  <c r="E648" i="21"/>
  <c r="E652" i="21"/>
  <c r="E656" i="21"/>
  <c r="E660" i="21"/>
  <c r="E756" i="21"/>
  <c r="E772" i="21"/>
  <c r="E1047" i="21"/>
  <c r="E1055" i="21"/>
  <c r="E1063" i="21"/>
  <c r="E1071" i="21"/>
  <c r="E1079" i="21"/>
  <c r="E1129" i="21"/>
  <c r="E1137" i="21"/>
  <c r="E1145" i="21"/>
  <c r="E1153" i="21"/>
  <c r="E1048" i="21"/>
  <c r="E1052" i="21"/>
  <c r="E1056" i="21"/>
  <c r="E1060" i="21"/>
  <c r="E1064" i="21"/>
  <c r="E1068" i="21"/>
  <c r="E1072" i="21"/>
  <c r="E1076" i="21"/>
  <c r="E1126" i="21"/>
  <c r="E1130" i="21"/>
  <c r="E1134" i="21"/>
  <c r="E1138" i="21"/>
  <c r="E1142" i="21"/>
  <c r="E1146" i="21"/>
  <c r="E1150" i="21"/>
  <c r="E1154" i="21"/>
  <c r="E1215" i="21"/>
  <c r="E1223" i="21"/>
  <c r="E1231" i="21"/>
  <c r="E1216" i="21"/>
  <c r="E1220" i="21"/>
  <c r="E1224" i="21"/>
  <c r="E1228" i="21"/>
  <c r="E1278" i="21"/>
  <c r="E1282" i="21"/>
  <c r="E1286" i="21"/>
  <c r="E1290" i="21"/>
  <c r="E1294" i="21"/>
  <c r="E1298" i="21"/>
  <c r="E1302" i="21"/>
  <c r="E1306" i="21"/>
  <c r="E1394" i="21"/>
  <c r="E1398" i="21"/>
  <c r="E1402" i="21"/>
  <c r="E1406" i="21"/>
  <c r="E1410" i="21"/>
  <c r="E1414" i="21"/>
  <c r="E1418" i="21"/>
  <c r="E1470" i="21"/>
  <c r="E1474" i="21"/>
  <c r="E1478" i="21"/>
  <c r="E1482" i="21"/>
  <c r="E1486" i="21"/>
  <c r="E1277" i="21"/>
  <c r="E1281" i="21"/>
  <c r="E1285" i="21"/>
  <c r="E1289" i="21"/>
  <c r="E1293" i="21"/>
  <c r="E1297" i="21"/>
  <c r="E1301" i="21"/>
  <c r="E1305" i="21"/>
  <c r="E1492" i="21"/>
  <c r="E1496" i="21"/>
  <c r="E1542" i="21"/>
  <c r="E1490" i="21"/>
  <c r="E1494" i="21"/>
  <c r="E1544" i="21"/>
  <c r="EZ3" i="19" l="1"/>
  <c r="EX3" i="19"/>
  <c r="EB3" i="19"/>
  <c r="FG3" i="19"/>
  <c r="DW3" i="19"/>
  <c r="FC3" i="19"/>
  <c r="EY3" i="19"/>
  <c r="EL3" i="19"/>
  <c r="DZ3" i="19"/>
  <c r="FK3" i="19"/>
  <c r="EQ3" i="19"/>
  <c r="EG3" i="19"/>
  <c r="FD3" i="19"/>
  <c r="EO3" i="19"/>
  <c r="EH3" i="19"/>
  <c r="DY3" i="19"/>
  <c r="FJ3" i="19"/>
  <c r="ER3" i="19"/>
  <c r="FB3" i="19"/>
  <c r="EV3" i="19"/>
  <c r="EJ3" i="19"/>
  <c r="ED3" i="19"/>
  <c r="EM3" i="19"/>
  <c r="FH3" i="19"/>
  <c r="EP3" i="19"/>
  <c r="EA3" i="19"/>
  <c r="EE3" i="19"/>
  <c r="ES3" i="19"/>
  <c r="FI3" i="19"/>
  <c r="FF3" i="19"/>
  <c r="EN3" i="19"/>
  <c r="EI3" i="19"/>
  <c r="DX3" i="19"/>
  <c r="E1161" i="21"/>
  <c r="E1085" i="21"/>
  <c r="E249" i="21"/>
  <c r="E1427" i="21"/>
  <c r="E59" i="21"/>
  <c r="E1275" i="21"/>
  <c r="E1123" i="21"/>
  <c r="E629" i="21"/>
  <c r="E173" i="21"/>
  <c r="E1579" i="21"/>
  <c r="E819" i="21"/>
  <c r="E439" i="21"/>
  <c r="E743" i="21"/>
  <c r="E135" i="21"/>
  <c r="E1541" i="21"/>
  <c r="E553" i="21"/>
  <c r="E667" i="21"/>
  <c r="E1465" i="21"/>
  <c r="E211" i="21"/>
  <c r="E1503" i="21"/>
  <c r="E1389" i="21"/>
  <c r="E705" i="21"/>
  <c r="E97" i="21"/>
  <c r="CC6" i="19"/>
  <c r="BY6" i="19"/>
  <c r="BU6" i="19"/>
  <c r="BQ6" i="19"/>
  <c r="BM6" i="19"/>
  <c r="CA6" i="19"/>
  <c r="BW6" i="19"/>
  <c r="BS6" i="19"/>
  <c r="BO6" i="19"/>
  <c r="BK6" i="19"/>
  <c r="BI6" i="19"/>
  <c r="CJ6" i="19"/>
  <c r="CX6" i="19"/>
  <c r="CY6" i="19"/>
  <c r="BH6" i="19"/>
  <c r="BP6" i="19"/>
  <c r="CG6" i="19"/>
  <c r="BL5" i="19"/>
  <c r="CS5" i="19"/>
  <c r="CP5" i="19"/>
  <c r="E933" i="22"/>
  <c r="E477" i="22"/>
  <c r="E59" i="22"/>
  <c r="E1655" i="22"/>
  <c r="E1237" i="22"/>
  <c r="E819" i="22"/>
  <c r="E515" i="22"/>
  <c r="E211" i="22"/>
  <c r="E781" i="22"/>
  <c r="E325" i="22"/>
  <c r="E1731" i="22"/>
  <c r="E895" i="22"/>
  <c r="E857" i="22"/>
  <c r="E705" i="22"/>
  <c r="E553" i="22"/>
  <c r="E401" i="22"/>
  <c r="E249" i="22"/>
  <c r="E1503" i="22"/>
  <c r="E1161" i="22"/>
  <c r="E743" i="22"/>
  <c r="E439" i="22"/>
  <c r="E97" i="22"/>
  <c r="E629" i="22"/>
  <c r="E173" i="22"/>
  <c r="E1313" i="22"/>
  <c r="E591" i="22"/>
  <c r="E1389" i="22"/>
  <c r="E1047" i="22"/>
  <c r="E667" i="22"/>
  <c r="E363" i="22"/>
  <c r="E894" i="22"/>
  <c r="E590" i="22"/>
  <c r="E438" i="22"/>
  <c r="E286" i="22"/>
  <c r="E1160" i="22"/>
  <c r="E818" i="22"/>
  <c r="E666" i="22"/>
  <c r="E514" i="22"/>
  <c r="E362" i="22"/>
  <c r="E210" i="22"/>
  <c r="E1046" i="22"/>
  <c r="E96" i="22"/>
  <c r="BL3" i="19"/>
  <c r="CR3" i="19"/>
  <c r="E820" i="22"/>
  <c r="E364" i="22"/>
  <c r="E212" i="22"/>
  <c r="E98" i="22"/>
  <c r="E1732" i="22"/>
  <c r="E1162" i="22"/>
  <c r="E61" i="22"/>
  <c r="E327" i="22"/>
  <c r="E479" i="22"/>
  <c r="E631" i="22"/>
  <c r="E859" i="22"/>
  <c r="E175" i="22"/>
  <c r="E783" i="22"/>
  <c r="DY4" i="19"/>
  <c r="FK4" i="19"/>
  <c r="EB4" i="19"/>
  <c r="EA4" i="19"/>
  <c r="DZ4" i="19"/>
  <c r="EW3" i="19"/>
  <c r="ET3" i="19"/>
  <c r="EK3" i="19"/>
  <c r="E402" i="22"/>
  <c r="FC4" i="19"/>
  <c r="EW4" i="19"/>
  <c r="EH4" i="19"/>
  <c r="FE4" i="19"/>
  <c r="EP4" i="19"/>
  <c r="EI4" i="19"/>
  <c r="FG4" i="19"/>
  <c r="EO4" i="19"/>
  <c r="EJ4" i="19"/>
  <c r="DX4" i="19"/>
  <c r="ET4" i="19"/>
  <c r="EK4" i="19"/>
  <c r="EE4" i="19"/>
  <c r="EN4" i="19"/>
  <c r="FD4" i="19"/>
  <c r="EZ4" i="19"/>
  <c r="EM4" i="19"/>
  <c r="ES4" i="19"/>
  <c r="FL4" i="19"/>
  <c r="FA4" i="19"/>
  <c r="EY4" i="19"/>
  <c r="FJ4" i="19"/>
  <c r="EF4" i="19"/>
  <c r="DV4" i="19"/>
  <c r="ER4" i="19"/>
  <c r="EC4" i="19"/>
  <c r="FH4" i="19"/>
  <c r="DW4" i="19"/>
  <c r="FI4" i="19"/>
  <c r="EQ4" i="19"/>
  <c r="E1237" i="21"/>
  <c r="E1009" i="21"/>
  <c r="E1313" i="21"/>
  <c r="E477" i="21"/>
  <c r="E515" i="21"/>
  <c r="E895" i="21"/>
  <c r="E325" i="21"/>
  <c r="E857" i="21"/>
  <c r="E363" i="21"/>
  <c r="E781" i="21"/>
  <c r="DV3" i="19"/>
  <c r="EF3" i="19"/>
  <c r="EU3" i="19"/>
  <c r="FE3" i="19"/>
  <c r="E1084" i="21"/>
  <c r="E286" i="21"/>
  <c r="E704" i="21"/>
  <c r="E362" i="21"/>
  <c r="E58" i="21"/>
  <c r="E209" i="5"/>
  <c r="E171" i="5"/>
  <c r="E95" i="5"/>
  <c r="E57" i="5"/>
  <c r="E19" i="5"/>
  <c r="E779" i="21"/>
  <c r="E323" i="21"/>
  <c r="E171" i="21"/>
  <c r="E361" i="21"/>
  <c r="E1539" i="21"/>
  <c r="E1387" i="21"/>
  <c r="E399" i="21"/>
  <c r="E1311" i="21"/>
  <c r="E1007" i="21"/>
  <c r="E285" i="21"/>
  <c r="E133" i="21"/>
  <c r="E1197" i="21"/>
  <c r="E513" i="21"/>
  <c r="E931" i="21"/>
  <c r="E1767" i="22"/>
  <c r="E209" i="22"/>
  <c r="E1197" i="22"/>
  <c r="E513" i="22"/>
  <c r="E133" i="22"/>
  <c r="E665" i="22"/>
  <c r="E1501" i="22"/>
  <c r="E893" i="22"/>
  <c r="E779" i="22"/>
  <c r="E1653" i="22"/>
  <c r="E247" i="22"/>
  <c r="E361" i="22"/>
  <c r="E1387" i="22"/>
  <c r="E1045" i="22"/>
  <c r="E1159" i="22"/>
  <c r="E399" i="22"/>
  <c r="E95" i="22"/>
  <c r="E1615" i="22"/>
  <c r="E551" i="22"/>
  <c r="E1083" i="22"/>
  <c r="E855" i="22"/>
  <c r="E627" i="22"/>
  <c r="E703" i="22"/>
  <c r="E171" i="22"/>
  <c r="E1273" i="22"/>
  <c r="E1691" i="22"/>
  <c r="E589" i="22"/>
  <c r="E437" i="22"/>
  <c r="E1463" i="22"/>
  <c r="E931" i="22"/>
  <c r="E475" i="22"/>
  <c r="E1729" i="22"/>
  <c r="E741" i="22"/>
  <c r="E817" i="22"/>
  <c r="E323" i="22"/>
  <c r="E57" i="22"/>
  <c r="E1805" i="22"/>
  <c r="E1349" i="22"/>
  <c r="E1235" i="22"/>
  <c r="E1311" i="22"/>
  <c r="E1501" i="21"/>
  <c r="E1425" i="21"/>
  <c r="E1235" i="21"/>
  <c r="E1083" i="21"/>
  <c r="E589" i="21"/>
  <c r="E665" i="21"/>
  <c r="CP4" i="19"/>
  <c r="CR5" i="19" l="1"/>
  <c r="CR4" i="19"/>
  <c r="CU3" i="19"/>
  <c r="CU5" i="19" l="1"/>
  <c r="CU4" i="19"/>
  <c r="CV3" i="19"/>
  <c r="CW5" i="19" l="1"/>
  <c r="CV5" i="19"/>
  <c r="CV4" i="19"/>
  <c r="CW4" i="19"/>
  <c r="CW3" i="19"/>
  <c r="CY3" i="19" l="1"/>
  <c r="CX3" i="19"/>
  <c r="CX5" i="19" l="1"/>
  <c r="CX4" i="19"/>
  <c r="CY5" i="19" l="1"/>
  <c r="CY4" i="19"/>
  <c r="BY3" i="19"/>
  <c r="BY5" i="19" l="1"/>
  <c r="BY4" i="19"/>
  <c r="BZ3" i="19"/>
  <c r="BZ5" i="19" l="1"/>
  <c r="CA4" i="19"/>
  <c r="BZ4" i="19"/>
  <c r="CA3" i="19"/>
  <c r="CA5" i="19" l="1"/>
  <c r="CB4" i="19"/>
  <c r="CB3" i="19"/>
  <c r="CB5" i="19" l="1"/>
  <c r="CC3" i="19"/>
  <c r="CC5" i="19" l="1"/>
  <c r="CC4" i="19"/>
  <c r="CD3" i="19"/>
  <c r="CD5" i="19" l="1"/>
  <c r="CD4" i="19"/>
  <c r="CG3" i="19"/>
  <c r="CG5" i="19" l="1"/>
  <c r="CG4" i="19"/>
  <c r="CH3" i="19"/>
  <c r="CH5" i="19" l="1"/>
  <c r="CH4" i="19"/>
  <c r="CJ3" i="19"/>
  <c r="CJ5" i="19" l="1"/>
  <c r="CJ4" i="19"/>
  <c r="CK3" i="19"/>
  <c r="CK5" i="19" l="1"/>
  <c r="CK4" i="19"/>
  <c r="CL3" i="19"/>
  <c r="CL5" i="19" l="1"/>
  <c r="CL4" i="19"/>
  <c r="CM3" i="19"/>
  <c r="CM5" i="19" l="1"/>
  <c r="CM4" i="19"/>
  <c r="CN3" i="19"/>
  <c r="CN5" i="19" l="1"/>
  <c r="CN4" i="19"/>
  <c r="CO3" i="19"/>
  <c r="CO5" i="19" l="1"/>
  <c r="CO4" i="19"/>
  <c r="D45" i="4" l="1"/>
  <c r="D31" i="19"/>
  <c r="D30" i="19"/>
  <c r="D29" i="19"/>
  <c r="D19" i="19"/>
  <c r="D20" i="19"/>
  <c r="D21" i="19"/>
  <c r="D22" i="19"/>
  <c r="D23" i="19"/>
  <c r="D24" i="19"/>
  <c r="D25" i="19"/>
  <c r="D26" i="19"/>
  <c r="D18" i="19"/>
  <c r="D10" i="19"/>
  <c r="D9" i="19"/>
  <c r="D8" i="19"/>
  <c r="D7" i="19"/>
  <c r="D6" i="19"/>
  <c r="D5" i="19"/>
  <c r="D4" i="19"/>
  <c r="D3" i="19"/>
  <c r="B2" i="19"/>
  <c r="D2" i="19"/>
  <c r="E202" i="18"/>
  <c r="E120" i="18"/>
  <c r="E349" i="15"/>
  <c r="E337" i="15"/>
  <c r="E334" i="15"/>
  <c r="E319" i="15"/>
  <c r="E291" i="15"/>
  <c r="E258" i="15"/>
  <c r="E224" i="15"/>
  <c r="E89" i="15"/>
  <c r="E85" i="15"/>
  <c r="E78" i="15"/>
  <c r="E74" i="15"/>
  <c r="E35" i="15"/>
  <c r="E486" i="14"/>
  <c r="E90" i="15"/>
  <c r="E237" i="15"/>
  <c r="E300" i="15"/>
  <c r="E40" i="18"/>
  <c r="E597" i="14"/>
  <c r="E605" i="14"/>
  <c r="E617" i="14"/>
  <c r="E621" i="14"/>
  <c r="E220" i="15"/>
  <c r="E229" i="15"/>
  <c r="E340" i="15"/>
  <c r="E356" i="15"/>
  <c r="E228" i="15"/>
  <c r="E64" i="15"/>
  <c r="E76" i="15"/>
  <c r="E304" i="15"/>
  <c r="E125" i="15"/>
  <c r="E288" i="15"/>
  <c r="E308" i="15"/>
  <c r="E344" i="15"/>
  <c r="E331" i="15"/>
  <c r="E347" i="15"/>
  <c r="E355" i="15"/>
  <c r="E339" i="15"/>
  <c r="E350" i="15"/>
  <c r="E351" i="15"/>
  <c r="E335" i="15"/>
  <c r="E342" i="15"/>
  <c r="E328" i="15"/>
  <c r="E316" i="15"/>
  <c r="E305" i="15"/>
  <c r="E309" i="15"/>
  <c r="E313" i="15"/>
  <c r="E302" i="15"/>
  <c r="E293" i="15"/>
  <c r="E311" i="15"/>
  <c r="E306" i="15"/>
  <c r="E318" i="15"/>
  <c r="E312" i="15"/>
  <c r="E301" i="15"/>
  <c r="E505" i="14"/>
  <c r="E509" i="14"/>
  <c r="E501" i="14"/>
  <c r="E485" i="14"/>
  <c r="E205" i="18"/>
  <c r="E194" i="18"/>
  <c r="E189" i="18"/>
  <c r="E193" i="18"/>
  <c r="E267" i="15"/>
  <c r="E279" i="15"/>
  <c r="E263" i="15"/>
  <c r="E278" i="15"/>
  <c r="E262" i="15"/>
  <c r="E274" i="15"/>
  <c r="E275" i="15"/>
  <c r="E259" i="15"/>
  <c r="E271" i="15"/>
  <c r="E266" i="15"/>
  <c r="E255" i="15"/>
  <c r="E227" i="15"/>
  <c r="E217" i="15"/>
  <c r="E241" i="15"/>
  <c r="E233" i="15"/>
  <c r="E122" i="15"/>
  <c r="E114" i="15"/>
  <c r="E121" i="15"/>
  <c r="E106" i="15"/>
  <c r="E101" i="15"/>
  <c r="E110" i="15"/>
  <c r="E104" i="13"/>
  <c r="E91" i="18"/>
  <c r="E75" i="18"/>
  <c r="E90" i="18"/>
  <c r="E82" i="18"/>
  <c r="E74" i="18"/>
  <c r="E66" i="18"/>
  <c r="E81" i="18"/>
  <c r="E80" i="18"/>
  <c r="E79" i="18"/>
  <c r="E86" i="18"/>
  <c r="E78" i="18"/>
  <c r="E70" i="18"/>
  <c r="E62" i="18"/>
  <c r="E86" i="15"/>
  <c r="E75" i="15"/>
  <c r="E65" i="15"/>
  <c r="E71" i="15"/>
  <c r="E83" i="15"/>
  <c r="E69" i="15"/>
  <c r="E81" i="15"/>
  <c r="E67" i="15"/>
  <c r="E88" i="15"/>
  <c r="E31" i="15"/>
  <c r="E53" i="15"/>
  <c r="E38" i="15"/>
  <c r="E27" i="15"/>
  <c r="E45" i="15"/>
  <c r="E41" i="15"/>
  <c r="E49" i="15"/>
  <c r="E31" i="14"/>
  <c r="D49" i="4"/>
  <c r="L4" i="19" s="1"/>
  <c r="BS5" i="19"/>
  <c r="BX5" i="19"/>
  <c r="BI5" i="19"/>
  <c r="AS5" i="19"/>
  <c r="BJ5" i="19"/>
  <c r="BO5" i="19"/>
  <c r="BT5" i="19"/>
  <c r="AT5" i="19"/>
  <c r="BG5" i="19"/>
  <c r="AR5" i="19"/>
  <c r="BP5" i="19"/>
  <c r="BV5" i="19"/>
  <c r="BW5" i="19"/>
  <c r="BH5" i="19"/>
  <c r="BR5" i="19"/>
  <c r="E96" i="9" l="1"/>
  <c r="K96" i="9"/>
  <c r="Q96" i="9"/>
  <c r="W96" i="9"/>
  <c r="AC96" i="9"/>
  <c r="AI96" i="9"/>
  <c r="AO96" i="9"/>
  <c r="AU96" i="9"/>
  <c r="I55" i="9"/>
  <c r="O55" i="9"/>
  <c r="U55" i="9"/>
  <c r="AA55" i="9"/>
  <c r="AG55" i="9"/>
  <c r="AM55" i="9"/>
  <c r="AS55" i="9"/>
  <c r="AY55" i="9"/>
  <c r="BE55" i="9"/>
  <c r="BK55" i="9"/>
  <c r="BQ55" i="9"/>
  <c r="BW55" i="9"/>
  <c r="CC55" i="9"/>
  <c r="CI55" i="9"/>
  <c r="CO55" i="9"/>
  <c r="M96" i="9"/>
  <c r="Y96" i="9"/>
  <c r="AK96" i="9"/>
  <c r="AW96" i="9"/>
  <c r="Q55" i="9"/>
  <c r="AC55" i="9"/>
  <c r="AI55" i="9"/>
  <c r="AU55" i="9"/>
  <c r="BG55" i="9"/>
  <c r="BS55" i="9"/>
  <c r="CE55" i="9"/>
  <c r="CQ55" i="9"/>
  <c r="N96" i="9"/>
  <c r="Z96" i="9"/>
  <c r="AL96" i="9"/>
  <c r="AR96" i="9"/>
  <c r="L55" i="9"/>
  <c r="AD55" i="9"/>
  <c r="AV55" i="9"/>
  <c r="BH55" i="9"/>
  <c r="BT55" i="9"/>
  <c r="CF55" i="9"/>
  <c r="CR55" i="9"/>
  <c r="O96" i="9"/>
  <c r="AA96" i="9"/>
  <c r="AM96" i="9"/>
  <c r="G55" i="9"/>
  <c r="M55" i="9"/>
  <c r="Y55" i="9"/>
  <c r="AK55" i="9"/>
  <c r="AW55" i="9"/>
  <c r="BI55" i="9"/>
  <c r="BU55" i="9"/>
  <c r="CA55" i="9"/>
  <c r="CM55" i="9"/>
  <c r="E55" i="9"/>
  <c r="F96" i="9"/>
  <c r="L96" i="9"/>
  <c r="R96" i="9"/>
  <c r="X96" i="9"/>
  <c r="AD96" i="9"/>
  <c r="AJ96" i="9"/>
  <c r="AP96" i="9"/>
  <c r="AV96" i="9"/>
  <c r="J55" i="9"/>
  <c r="P55" i="9"/>
  <c r="V55" i="9"/>
  <c r="AB55" i="9"/>
  <c r="AH55" i="9"/>
  <c r="AN55" i="9"/>
  <c r="AT55" i="9"/>
  <c r="AZ55" i="9"/>
  <c r="BF55" i="9"/>
  <c r="BL55" i="9"/>
  <c r="BR55" i="9"/>
  <c r="BX55" i="9"/>
  <c r="CD55" i="9"/>
  <c r="CJ55" i="9"/>
  <c r="CP55" i="9"/>
  <c r="G96" i="9"/>
  <c r="S96" i="9"/>
  <c r="AE96" i="9"/>
  <c r="AQ96" i="9"/>
  <c r="K55" i="9"/>
  <c r="W55" i="9"/>
  <c r="AO55" i="9"/>
  <c r="BA55" i="9"/>
  <c r="BM55" i="9"/>
  <c r="BY55" i="9"/>
  <c r="CK55" i="9"/>
  <c r="H96" i="9"/>
  <c r="T96" i="9"/>
  <c r="AF96" i="9"/>
  <c r="F55" i="9"/>
  <c r="R55" i="9"/>
  <c r="X55" i="9"/>
  <c r="AJ55" i="9"/>
  <c r="AP55" i="9"/>
  <c r="BB55" i="9"/>
  <c r="BN55" i="9"/>
  <c r="BZ55" i="9"/>
  <c r="CL55" i="9"/>
  <c r="I96" i="9"/>
  <c r="U96" i="9"/>
  <c r="AG96" i="9"/>
  <c r="AS96" i="9"/>
  <c r="S55" i="9"/>
  <c r="AE55" i="9"/>
  <c r="AQ55" i="9"/>
  <c r="BC55" i="9"/>
  <c r="BO55" i="9"/>
  <c r="CG55" i="9"/>
  <c r="J96" i="9"/>
  <c r="P96" i="9"/>
  <c r="V96" i="9"/>
  <c r="AB96" i="9"/>
  <c r="AH96" i="9"/>
  <c r="AN96" i="9"/>
  <c r="AT96" i="9"/>
  <c r="H55" i="9"/>
  <c r="N55" i="9"/>
  <c r="T55" i="9"/>
  <c r="Z55" i="9"/>
  <c r="AF55" i="9"/>
  <c r="AL55" i="9"/>
  <c r="AR55" i="9"/>
  <c r="AX55" i="9"/>
  <c r="BD55" i="9"/>
  <c r="BJ55" i="9"/>
  <c r="BP55" i="9"/>
  <c r="BV55" i="9"/>
  <c r="CB55" i="9"/>
  <c r="CH55" i="9"/>
  <c r="CN55" i="9"/>
  <c r="K14" i="14"/>
  <c r="K14" i="13"/>
  <c r="E64" i="18"/>
  <c r="E72" i="18"/>
  <c r="E84" i="18"/>
  <c r="E188" i="18"/>
  <c r="E37" i="18"/>
  <c r="E49" i="18"/>
  <c r="E109" i="18"/>
  <c r="E121" i="18"/>
  <c r="E149" i="18"/>
  <c r="E153" i="18"/>
  <c r="E165" i="18"/>
  <c r="E177" i="18"/>
  <c r="E80" i="14"/>
  <c r="E84" i="14"/>
  <c r="E88" i="18"/>
  <c r="E140" i="18"/>
  <c r="E144" i="18"/>
  <c r="E156" i="18"/>
  <c r="E184" i="18"/>
  <c r="E496" i="14"/>
  <c r="E504" i="14"/>
  <c r="E26" i="18"/>
  <c r="E30" i="18"/>
  <c r="E34" i="18"/>
  <c r="E106" i="18"/>
  <c r="E114" i="18"/>
  <c r="E118" i="18"/>
  <c r="E138" i="18"/>
  <c r="E150" i="18"/>
  <c r="E178" i="18"/>
  <c r="E182" i="18"/>
  <c r="E186" i="18"/>
  <c r="E198" i="18"/>
  <c r="E52" i="18"/>
  <c r="E68" i="18"/>
  <c r="E76" i="18"/>
  <c r="E124" i="18"/>
  <c r="E160" i="18"/>
  <c r="E180" i="18"/>
  <c r="E192" i="18"/>
  <c r="E196" i="18"/>
  <c r="E200" i="18"/>
  <c r="E63" i="18"/>
  <c r="E67" i="18"/>
  <c r="E71" i="18"/>
  <c r="E83" i="18"/>
  <c r="E87" i="18"/>
  <c r="E103" i="18"/>
  <c r="E107" i="18"/>
  <c r="E115" i="18"/>
  <c r="E139" i="18"/>
  <c r="E151" i="18"/>
  <c r="E167" i="18"/>
  <c r="AC6" i="19"/>
  <c r="AX6" i="19"/>
  <c r="BD6" i="19"/>
  <c r="DM6" i="19"/>
  <c r="AB6" i="19"/>
  <c r="AW6" i="19"/>
  <c r="DL6" i="19"/>
  <c r="DN6" i="19"/>
  <c r="BB6" i="19"/>
  <c r="DJ6" i="19"/>
  <c r="AC5" i="19"/>
  <c r="BD5" i="19"/>
  <c r="DM5" i="19"/>
  <c r="AB5" i="19"/>
  <c r="AW5" i="19"/>
  <c r="BC5" i="19"/>
  <c r="DL5" i="19"/>
  <c r="DN5" i="19"/>
  <c r="AE5" i="19"/>
  <c r="AJ5" i="19"/>
  <c r="AG5" i="19"/>
  <c r="AP5" i="19"/>
  <c r="AI5" i="19"/>
  <c r="AN5" i="19"/>
  <c r="AO5" i="19"/>
  <c r="AM5" i="19"/>
  <c r="AK5" i="19"/>
  <c r="AL5" i="19"/>
  <c r="AF5" i="19"/>
  <c r="AH5" i="19"/>
  <c r="BB5" i="19"/>
  <c r="DJ5" i="19"/>
  <c r="DK5" i="19"/>
  <c r="AD5" i="19"/>
  <c r="AY5" i="19"/>
  <c r="BE5" i="19"/>
  <c r="AM3" i="19"/>
  <c r="AN3" i="19"/>
  <c r="AG3" i="19"/>
  <c r="AK3" i="19"/>
  <c r="AH3" i="19"/>
  <c r="AE3" i="19"/>
  <c r="AF3" i="19"/>
  <c r="AO3" i="19"/>
  <c r="AL3" i="19"/>
  <c r="AI3" i="19"/>
  <c r="AJ3" i="19"/>
  <c r="E34" i="13"/>
  <c r="E25" i="14"/>
  <c r="E88" i="14"/>
  <c r="E508" i="14"/>
  <c r="E565" i="14"/>
  <c r="E581" i="14"/>
  <c r="E215" i="15"/>
  <c r="E35" i="13"/>
  <c r="E39" i="13"/>
  <c r="E43" i="13"/>
  <c r="E47" i="13"/>
  <c r="E51" i="13"/>
  <c r="E86" i="13"/>
  <c r="E26" i="14"/>
  <c r="E30" i="14"/>
  <c r="E34" i="14"/>
  <c r="E38" i="14"/>
  <c r="E42" i="14"/>
  <c r="E46" i="14"/>
  <c r="E50" i="14"/>
  <c r="E61" i="14"/>
  <c r="E69" i="14"/>
  <c r="E77" i="14"/>
  <c r="E85" i="14"/>
  <c r="E438" i="14"/>
  <c r="E442" i="14"/>
  <c r="E446" i="14"/>
  <c r="E450" i="14"/>
  <c r="E454" i="14"/>
  <c r="E458" i="14"/>
  <c r="E462" i="14"/>
  <c r="E466" i="14"/>
  <c r="E470" i="14"/>
  <c r="E601" i="14"/>
  <c r="E613" i="14"/>
  <c r="E44" i="15"/>
  <c r="E48" i="15"/>
  <c r="E105" i="15"/>
  <c r="E113" i="15"/>
  <c r="E117" i="15"/>
  <c r="E129" i="15"/>
  <c r="E231" i="15"/>
  <c r="E243" i="15"/>
  <c r="E296" i="15"/>
  <c r="E327" i="15"/>
  <c r="E338" i="15"/>
  <c r="E346" i="15"/>
  <c r="E354" i="15"/>
  <c r="E33" i="18"/>
  <c r="E53" i="18"/>
  <c r="E112" i="18"/>
  <c r="E152" i="18"/>
  <c r="E158" i="18"/>
  <c r="E161" i="18"/>
  <c r="E185" i="18"/>
  <c r="E191" i="18"/>
  <c r="E195" i="18"/>
  <c r="E38" i="13"/>
  <c r="E42" i="13"/>
  <c r="E49" i="14"/>
  <c r="E68" i="14"/>
  <c r="E557" i="14"/>
  <c r="E577" i="14"/>
  <c r="E585" i="14"/>
  <c r="E596" i="14"/>
  <c r="E608" i="14"/>
  <c r="E70" i="15"/>
  <c r="E238" i="15"/>
  <c r="E330" i="15"/>
  <c r="E40" i="13"/>
  <c r="E44" i="13"/>
  <c r="E52" i="13"/>
  <c r="E23" i="14"/>
  <c r="E27" i="14"/>
  <c r="E35" i="14"/>
  <c r="E39" i="14"/>
  <c r="E43" i="14"/>
  <c r="E47" i="14"/>
  <c r="E51" i="14"/>
  <c r="E62" i="14"/>
  <c r="E74" i="14"/>
  <c r="E78" i="14"/>
  <c r="E82" i="14"/>
  <c r="E86" i="14"/>
  <c r="E90" i="14"/>
  <c r="E467" i="14"/>
  <c r="E490" i="14"/>
  <c r="E506" i="14"/>
  <c r="E598" i="14"/>
  <c r="E602" i="14"/>
  <c r="E614" i="14"/>
  <c r="E618" i="14"/>
  <c r="E25" i="15"/>
  <c r="E29" i="15"/>
  <c r="E33" i="15"/>
  <c r="E37" i="15"/>
  <c r="E72" i="15"/>
  <c r="E87" i="15"/>
  <c r="E91" i="15"/>
  <c r="E102" i="15"/>
  <c r="E126" i="15"/>
  <c r="E317" i="15"/>
  <c r="E332" i="15"/>
  <c r="E343" i="15"/>
  <c r="E44" i="18"/>
  <c r="E61" i="18"/>
  <c r="E65" i="18"/>
  <c r="E69" i="18"/>
  <c r="E73" i="18"/>
  <c r="E77" i="18"/>
  <c r="E85" i="18"/>
  <c r="E89" i="18"/>
  <c r="E113" i="18"/>
  <c r="E141" i="18"/>
  <c r="E148" i="18"/>
  <c r="E159" i="18"/>
  <c r="E201" i="18"/>
  <c r="E204" i="18"/>
  <c r="E33" i="14"/>
  <c r="E45" i="14"/>
  <c r="E64" i="14"/>
  <c r="E76" i="14"/>
  <c r="E492" i="14"/>
  <c r="E569" i="14"/>
  <c r="E612" i="14"/>
  <c r="E51" i="15"/>
  <c r="E62" i="15"/>
  <c r="E124" i="15"/>
  <c r="E37" i="13"/>
  <c r="E41" i="13"/>
  <c r="E45" i="13"/>
  <c r="E53" i="13"/>
  <c r="E24" i="14"/>
  <c r="E32" i="14"/>
  <c r="E40" i="14"/>
  <c r="E44" i="14"/>
  <c r="E48" i="14"/>
  <c r="E67" i="14"/>
  <c r="E75" i="14"/>
  <c r="E83" i="14"/>
  <c r="E479" i="14"/>
  <c r="E483" i="14"/>
  <c r="E487" i="14"/>
  <c r="E491" i="14"/>
  <c r="E495" i="14"/>
  <c r="E499" i="14"/>
  <c r="E503" i="14"/>
  <c r="E507" i="14"/>
  <c r="E560" i="14"/>
  <c r="E564" i="14"/>
  <c r="E568" i="14"/>
  <c r="E572" i="14"/>
  <c r="E576" i="14"/>
  <c r="E580" i="14"/>
  <c r="E584" i="14"/>
  <c r="E595" i="14"/>
  <c r="E599" i="14"/>
  <c r="E611" i="14"/>
  <c r="E615" i="14"/>
  <c r="E73" i="15"/>
  <c r="E119" i="15"/>
  <c r="E123" i="15"/>
  <c r="E127" i="15"/>
  <c r="E298" i="15"/>
  <c r="E310" i="15"/>
  <c r="E314" i="15"/>
  <c r="E329" i="15"/>
  <c r="E333" i="15"/>
  <c r="E348" i="15"/>
  <c r="E25" i="18"/>
  <c r="E41" i="18"/>
  <c r="E110" i="18"/>
  <c r="E125" i="18"/>
  <c r="E129" i="18"/>
  <c r="E142" i="18"/>
  <c r="E145" i="18"/>
  <c r="E166" i="18"/>
  <c r="E176" i="18"/>
  <c r="E181" i="18"/>
  <c r="E41" i="14"/>
  <c r="E72" i="14"/>
  <c r="E488" i="14"/>
  <c r="E561" i="14"/>
  <c r="E573" i="14"/>
  <c r="E592" i="14"/>
  <c r="E43" i="15"/>
  <c r="E226" i="15"/>
  <c r="E299" i="15"/>
  <c r="E303" i="15"/>
  <c r="E307" i="15"/>
  <c r="E315" i="15"/>
  <c r="E345" i="15"/>
  <c r="E353" i="15"/>
  <c r="E32" i="18"/>
  <c r="E38" i="18"/>
  <c r="E102" i="18"/>
  <c r="E117" i="18"/>
  <c r="E137" i="18"/>
  <c r="E157" i="18"/>
  <c r="E164" i="18"/>
  <c r="E187" i="18"/>
  <c r="E197" i="18"/>
  <c r="L2" i="19"/>
  <c r="E562" i="14"/>
  <c r="E604" i="14"/>
  <c r="E622" i="14"/>
  <c r="E239" i="15"/>
  <c r="E45" i="18"/>
  <c r="E146" i="18"/>
  <c r="E87" i="13"/>
  <c r="E126" i="13"/>
  <c r="E87" i="14"/>
  <c r="E563" i="14"/>
  <c r="E571" i="14"/>
  <c r="E579" i="14"/>
  <c r="E616" i="14"/>
  <c r="E619" i="14"/>
  <c r="E623" i="14"/>
  <c r="E240" i="15"/>
  <c r="E297" i="15"/>
  <c r="E43" i="18"/>
  <c r="E46" i="18"/>
  <c r="E116" i="18"/>
  <c r="E163" i="18"/>
  <c r="E570" i="14"/>
  <c r="E281" i="15"/>
  <c r="E292" i="15"/>
  <c r="E88" i="13"/>
  <c r="E558" i="14"/>
  <c r="E566" i="14"/>
  <c r="E574" i="14"/>
  <c r="E582" i="14"/>
  <c r="E606" i="14"/>
  <c r="E609" i="14"/>
  <c r="E620" i="14"/>
  <c r="E50" i="15"/>
  <c r="E294" i="15"/>
  <c r="E341" i="15"/>
  <c r="E27" i="18"/>
  <c r="E35" i="18"/>
  <c r="E47" i="18"/>
  <c r="E50" i="18"/>
  <c r="E119" i="18"/>
  <c r="E128" i="18"/>
  <c r="E125" i="13"/>
  <c r="E468" i="14"/>
  <c r="E578" i="14"/>
  <c r="E277" i="15"/>
  <c r="E352" i="15"/>
  <c r="E29" i="18"/>
  <c r="E42" i="18"/>
  <c r="E126" i="18"/>
  <c r="E162" i="18"/>
  <c r="E124" i="13"/>
  <c r="E559" i="14"/>
  <c r="E567" i="14"/>
  <c r="E575" i="14"/>
  <c r="E583" i="14"/>
  <c r="E600" i="14"/>
  <c r="E603" i="14"/>
  <c r="E607" i="14"/>
  <c r="E610" i="14"/>
  <c r="E276" i="15"/>
  <c r="E280" i="15"/>
  <c r="E295" i="15"/>
  <c r="E336" i="15"/>
  <c r="E357" i="15"/>
  <c r="E28" i="18"/>
  <c r="E31" i="18"/>
  <c r="E51" i="18"/>
  <c r="E105" i="18"/>
  <c r="E108" i="18"/>
  <c r="E123" i="18"/>
  <c r="E143" i="18"/>
  <c r="E183" i="18"/>
  <c r="E190" i="18"/>
  <c r="E251" i="15"/>
  <c r="E19" i="15"/>
  <c r="E19" i="18"/>
  <c r="E19" i="14"/>
  <c r="E554" i="14"/>
  <c r="E590" i="14"/>
  <c r="E96" i="18"/>
  <c r="E552" i="14"/>
  <c r="E58" i="18"/>
  <c r="E556" i="14"/>
  <c r="E290" i="15"/>
  <c r="C12" i="5"/>
  <c r="C12" i="14"/>
  <c r="C14" i="14" s="1"/>
  <c r="C12" i="18"/>
  <c r="C14" i="18" s="1"/>
  <c r="C12" i="13"/>
  <c r="C12" i="15"/>
  <c r="C14" i="15" s="1"/>
  <c r="E109" i="13"/>
  <c r="E121" i="13"/>
  <c r="E129" i="13"/>
  <c r="E48" i="13"/>
  <c r="E49" i="13"/>
  <c r="E112" i="13"/>
  <c r="E36" i="13"/>
  <c r="E46" i="13"/>
  <c r="E50" i="13"/>
  <c r="E99" i="15"/>
  <c r="E23" i="18"/>
  <c r="E210" i="15"/>
  <c r="E437" i="14"/>
  <c r="E22" i="18"/>
  <c r="E98" i="13"/>
  <c r="E174" i="18"/>
  <c r="E98" i="18"/>
  <c r="E212" i="15"/>
  <c r="E20" i="18"/>
  <c r="E248" i="15"/>
  <c r="E209" i="15"/>
  <c r="E57" i="14"/>
  <c r="E117" i="13"/>
  <c r="E103" i="13"/>
  <c r="E108" i="13"/>
  <c r="E100" i="13"/>
  <c r="E101" i="13"/>
  <c r="E99" i="13"/>
  <c r="E116" i="13"/>
  <c r="E57" i="15"/>
  <c r="E57" i="13"/>
  <c r="E95" i="15"/>
  <c r="E96" i="13"/>
  <c r="E107" i="13"/>
  <c r="E110" i="13"/>
  <c r="E71" i="14"/>
  <c r="E89" i="14"/>
  <c r="E448" i="14"/>
  <c r="E453" i="14"/>
  <c r="E464" i="14"/>
  <c r="E469" i="14"/>
  <c r="E498" i="14"/>
  <c r="E20" i="15"/>
  <c r="E24" i="15"/>
  <c r="E28" i="15"/>
  <c r="E32" i="15"/>
  <c r="E36" i="15"/>
  <c r="E46" i="15"/>
  <c r="E63" i="15"/>
  <c r="E80" i="15"/>
  <c r="E84" i="15"/>
  <c r="E112" i="15"/>
  <c r="E116" i="15"/>
  <c r="E222" i="15"/>
  <c r="E253" i="15"/>
  <c r="E175" i="18"/>
  <c r="E203" i="18"/>
  <c r="E20" i="14"/>
  <c r="E29" i="14"/>
  <c r="E53" i="14"/>
  <c r="E28" i="14"/>
  <c r="E39" i="15"/>
  <c r="E91" i="14"/>
  <c r="E270" i="15"/>
  <c r="E493" i="14"/>
  <c r="E60" i="13"/>
  <c r="E64" i="13"/>
  <c r="E68" i="13"/>
  <c r="E72" i="13"/>
  <c r="E76" i="13"/>
  <c r="E80" i="13"/>
  <c r="E84" i="13"/>
  <c r="E95" i="13"/>
  <c r="E102" i="13"/>
  <c r="E105" i="13"/>
  <c r="E122" i="13"/>
  <c r="E127" i="13"/>
  <c r="E444" i="14"/>
  <c r="E449" i="14"/>
  <c r="E460" i="14"/>
  <c r="E465" i="14"/>
  <c r="E478" i="14"/>
  <c r="E482" i="14"/>
  <c r="E47" i="15"/>
  <c r="E60" i="15"/>
  <c r="E77" i="15"/>
  <c r="E218" i="15"/>
  <c r="E223" i="15"/>
  <c r="E236" i="15"/>
  <c r="E242" i="15"/>
  <c r="E257" i="15"/>
  <c r="E39" i="18"/>
  <c r="E99" i="18"/>
  <c r="E104" i="18"/>
  <c r="E111" i="18"/>
  <c r="E179" i="18"/>
  <c r="E52" i="14"/>
  <c r="E40" i="15"/>
  <c r="E58" i="13"/>
  <c r="E66" i="15"/>
  <c r="E109" i="15"/>
  <c r="E260" i="15"/>
  <c r="E254" i="15"/>
  <c r="E489" i="14"/>
  <c r="E497" i="14"/>
  <c r="E481" i="14"/>
  <c r="E247" i="15"/>
  <c r="E502" i="14"/>
  <c r="E62" i="13"/>
  <c r="E66" i="13"/>
  <c r="E70" i="13"/>
  <c r="E74" i="13"/>
  <c r="E78" i="13"/>
  <c r="E82" i="13"/>
  <c r="E90" i="13"/>
  <c r="E114" i="13"/>
  <c r="E120" i="13"/>
  <c r="E73" i="14"/>
  <c r="E440" i="14"/>
  <c r="E445" i="14"/>
  <c r="E456" i="14"/>
  <c r="E461" i="14"/>
  <c r="E500" i="14"/>
  <c r="E22" i="15"/>
  <c r="E26" i="15"/>
  <c r="E30" i="15"/>
  <c r="E34" i="15"/>
  <c r="E42" i="15"/>
  <c r="E61" i="15"/>
  <c r="E82" i="15"/>
  <c r="E107" i="15"/>
  <c r="E118" i="15"/>
  <c r="E213" i="15"/>
  <c r="E219" i="15"/>
  <c r="E230" i="15"/>
  <c r="E264" i="15"/>
  <c r="E268" i="15"/>
  <c r="E272" i="15"/>
  <c r="E48" i="18"/>
  <c r="E100" i="18"/>
  <c r="E122" i="18"/>
  <c r="E127" i="18"/>
  <c r="E136" i="18"/>
  <c r="E147" i="18"/>
  <c r="E154" i="18"/>
  <c r="E63" i="13"/>
  <c r="E67" i="13"/>
  <c r="E71" i="13"/>
  <c r="E75" i="13"/>
  <c r="E79" i="13"/>
  <c r="E83" i="13"/>
  <c r="E91" i="13"/>
  <c r="E113" i="13"/>
  <c r="E95" i="18"/>
  <c r="E37" i="14"/>
  <c r="E36" i="14"/>
  <c r="E23" i="15"/>
  <c r="E66" i="14"/>
  <c r="E225" i="15"/>
  <c r="E61" i="13"/>
  <c r="E65" i="13"/>
  <c r="E69" i="13"/>
  <c r="E73" i="13"/>
  <c r="E77" i="13"/>
  <c r="E81" i="13"/>
  <c r="E85" i="13"/>
  <c r="E89" i="13"/>
  <c r="E106" i="13"/>
  <c r="E115" i="13"/>
  <c r="E118" i="13"/>
  <c r="E128" i="13"/>
  <c r="E70" i="14"/>
  <c r="E441" i="14"/>
  <c r="E452" i="14"/>
  <c r="E457" i="14"/>
  <c r="E476" i="14"/>
  <c r="E480" i="14"/>
  <c r="E484" i="14"/>
  <c r="E68" i="15"/>
  <c r="E79" i="15"/>
  <c r="E104" i="15"/>
  <c r="E108" i="15"/>
  <c r="E115" i="15"/>
  <c r="E214" i="15"/>
  <c r="E216" i="15"/>
  <c r="E235" i="15"/>
  <c r="E252" i="15"/>
  <c r="E261" i="15"/>
  <c r="E265" i="15"/>
  <c r="E269" i="15"/>
  <c r="E273" i="15"/>
  <c r="E24" i="18"/>
  <c r="E36" i="18"/>
  <c r="E101" i="18"/>
  <c r="E155" i="18"/>
  <c r="E199" i="18"/>
  <c r="E477" i="14"/>
  <c r="E119" i="13"/>
  <c r="E81" i="14"/>
  <c r="E65" i="14"/>
  <c r="E111" i="13"/>
  <c r="E63" i="14"/>
  <c r="E79" i="14"/>
  <c r="E443" i="14"/>
  <c r="E447" i="14"/>
  <c r="E451" i="14"/>
  <c r="E455" i="14"/>
  <c r="E459" i="14"/>
  <c r="E463" i="14"/>
  <c r="E471" i="14"/>
  <c r="E475" i="14"/>
  <c r="E494" i="14"/>
  <c r="E52" i="15"/>
  <c r="E58" i="15"/>
  <c r="E96" i="15"/>
  <c r="E100" i="15"/>
  <c r="E103" i="15"/>
  <c r="E111" i="15"/>
  <c r="E120" i="15"/>
  <c r="E128" i="15"/>
  <c r="E211" i="15"/>
  <c r="E221" i="15"/>
  <c r="E232" i="15"/>
  <c r="E234" i="15"/>
  <c r="E256" i="15"/>
  <c r="E97" i="15"/>
  <c r="E591" i="14"/>
  <c r="E97" i="13"/>
  <c r="D47" i="4"/>
  <c r="E287" i="15"/>
  <c r="E173" i="18"/>
  <c r="E325" i="15"/>
  <c r="BU5" i="19"/>
  <c r="BN5" i="19"/>
  <c r="BM5" i="19"/>
  <c r="BF5" i="19"/>
  <c r="BK5" i="19"/>
  <c r="AU5" i="19"/>
  <c r="AQ5" i="19"/>
  <c r="BQ5" i="19"/>
  <c r="AV5" i="19"/>
  <c r="I248" i="14"/>
  <c r="I1692" i="21"/>
  <c r="H400" i="14"/>
  <c r="J666" i="14"/>
  <c r="H96" i="14"/>
  <c r="F666" i="14"/>
  <c r="H248" i="14"/>
  <c r="I134" i="14"/>
  <c r="G172" i="15"/>
  <c r="F324" i="14"/>
  <c r="G400" i="14"/>
  <c r="H628" i="14"/>
  <c r="F286" i="14"/>
  <c r="I400" i="14"/>
  <c r="F172" i="14"/>
  <c r="I324" i="14"/>
  <c r="J324" i="14"/>
  <c r="H666" i="14"/>
  <c r="I286" i="14"/>
  <c r="I628" i="14"/>
  <c r="I362" i="14"/>
  <c r="J514" i="14"/>
  <c r="H134" i="15"/>
  <c r="F362" i="14"/>
  <c r="F628" i="14"/>
  <c r="H172" i="14"/>
  <c r="H704" i="14"/>
  <c r="H134" i="14"/>
  <c r="J1882" i="22"/>
  <c r="I1882" i="22"/>
  <c r="F248" i="14"/>
  <c r="J134" i="15"/>
  <c r="J362" i="14"/>
  <c r="H172" i="15"/>
  <c r="I96" i="14"/>
  <c r="J172" i="14"/>
  <c r="J286" i="14"/>
  <c r="F1882" i="22"/>
  <c r="J172" i="15"/>
  <c r="G362" i="14"/>
  <c r="G134" i="14"/>
  <c r="H1882" i="22"/>
  <c r="H210" i="14"/>
  <c r="F400" i="14"/>
  <c r="G96" i="14"/>
  <c r="F172" i="15"/>
  <c r="J96" i="14"/>
  <c r="G248" i="14"/>
  <c r="G514" i="14"/>
  <c r="G628" i="14"/>
  <c r="J134" i="14"/>
  <c r="J210" i="14"/>
  <c r="F134" i="14"/>
  <c r="G1882" i="22"/>
  <c r="F514" i="14"/>
  <c r="J628" i="14"/>
  <c r="J704" i="14"/>
  <c r="F210" i="14"/>
  <c r="I666" i="14"/>
  <c r="H324" i="14"/>
  <c r="F1692" i="21"/>
  <c r="F96" i="14"/>
  <c r="J1692" i="21"/>
  <c r="I134" i="15"/>
  <c r="G172" i="14"/>
  <c r="H1692" i="21"/>
  <c r="H514" i="14"/>
  <c r="G286" i="14"/>
  <c r="G210" i="14"/>
  <c r="G704" i="14"/>
  <c r="G324" i="14"/>
  <c r="F134" i="15"/>
  <c r="I172" i="15"/>
  <c r="I210" i="14"/>
  <c r="H286" i="14"/>
  <c r="G134" i="15"/>
  <c r="I514" i="14"/>
  <c r="I172" i="14"/>
  <c r="H362" i="14"/>
  <c r="G666" i="14"/>
  <c r="I704" i="14"/>
  <c r="J400" i="14"/>
  <c r="G1692" i="21"/>
  <c r="J248" i="14"/>
  <c r="F704" i="14"/>
  <c r="G9" i="9" l="1"/>
  <c r="F9" i="9"/>
  <c r="E9" i="9"/>
  <c r="G8" i="9"/>
  <c r="F8" i="9"/>
  <c r="E8" i="9"/>
  <c r="P10" i="9"/>
  <c r="AY6" i="19"/>
  <c r="DK6" i="19"/>
  <c r="AD6" i="19"/>
  <c r="BE6" i="19"/>
  <c r="AJ6" i="19"/>
  <c r="AN6" i="19"/>
  <c r="AG6" i="19"/>
  <c r="AP6" i="19"/>
  <c r="AF6" i="19"/>
  <c r="AK6" i="19"/>
  <c r="AL6" i="19"/>
  <c r="AH6" i="19"/>
  <c r="AO6" i="19"/>
  <c r="AE6" i="19"/>
  <c r="AM6" i="19"/>
  <c r="AI6" i="19"/>
  <c r="E98" i="15"/>
  <c r="E60" i="18"/>
  <c r="E250" i="15"/>
  <c r="E22" i="14"/>
  <c r="E326" i="15"/>
  <c r="E60" i="14"/>
  <c r="AX5" i="19"/>
  <c r="E59" i="15"/>
  <c r="BE4" i="19"/>
  <c r="AG4" i="19"/>
  <c r="AH4" i="19"/>
  <c r="AN4" i="19"/>
  <c r="AI4" i="19"/>
  <c r="AJ4" i="19"/>
  <c r="AK4" i="19"/>
  <c r="AL4" i="19"/>
  <c r="AO4" i="19"/>
  <c r="AP4" i="19"/>
  <c r="AM4" i="19"/>
  <c r="AF4" i="19"/>
  <c r="AE4" i="19"/>
  <c r="BD4" i="19"/>
  <c r="DM4" i="19"/>
  <c r="DN4" i="19"/>
  <c r="E324" i="15"/>
  <c r="E58" i="14"/>
  <c r="E286" i="15"/>
  <c r="E134" i="18"/>
  <c r="E172" i="18"/>
  <c r="D52" i="4"/>
  <c r="L3" i="19"/>
  <c r="I9" i="9"/>
  <c r="H9" i="9"/>
  <c r="E59" i="13"/>
  <c r="E249" i="15"/>
  <c r="E21" i="14"/>
  <c r="E135" i="18"/>
  <c r="E59" i="18"/>
  <c r="E439" i="14"/>
  <c r="E97" i="18"/>
  <c r="E555" i="14"/>
  <c r="E289" i="15"/>
  <c r="E593" i="14"/>
  <c r="E133" i="18"/>
  <c r="E323" i="15"/>
  <c r="E589" i="14"/>
  <c r="E551" i="14"/>
  <c r="E285" i="15"/>
  <c r="E171" i="18"/>
  <c r="E594" i="14"/>
  <c r="E59" i="14"/>
  <c r="E21" i="18"/>
  <c r="E553" i="14"/>
  <c r="E123" i="13"/>
  <c r="E57" i="18"/>
  <c r="C14" i="5"/>
  <c r="E21" i="15"/>
  <c r="BT4" i="19"/>
  <c r="BO4" i="19"/>
  <c r="DK4" i="19"/>
  <c r="AC4" i="19"/>
  <c r="AD4" i="19"/>
  <c r="AQ4" i="19"/>
  <c r="AB4" i="19"/>
  <c r="BC4" i="19"/>
  <c r="AX4" i="19"/>
  <c r="BH4" i="19"/>
  <c r="AR4" i="19"/>
  <c r="BP4" i="19"/>
  <c r="AU4" i="19"/>
  <c r="DL4" i="19"/>
  <c r="AV4" i="19"/>
  <c r="BK4" i="19"/>
  <c r="BU4" i="19"/>
  <c r="BG4" i="19"/>
  <c r="BM4" i="19"/>
  <c r="DJ4" i="19"/>
  <c r="BB4" i="19"/>
  <c r="BS4" i="19"/>
  <c r="BF4" i="19"/>
  <c r="AS4" i="19"/>
  <c r="BW4" i="19"/>
  <c r="BQ4" i="19"/>
  <c r="BX4" i="19"/>
  <c r="AY4" i="19"/>
  <c r="BV4" i="19"/>
  <c r="BI4" i="19"/>
  <c r="AW4" i="19"/>
  <c r="BR4" i="19"/>
  <c r="BN4" i="19"/>
  <c r="BJ4" i="19"/>
  <c r="AT4" i="19"/>
  <c r="BI3" i="19"/>
  <c r="AW3" i="19"/>
  <c r="DM3" i="19"/>
  <c r="BN3" i="19"/>
  <c r="BD3" i="19"/>
  <c r="BW3" i="19"/>
  <c r="AU3" i="19"/>
  <c r="BX3" i="19"/>
  <c r="BP3" i="19"/>
  <c r="BK3" i="19"/>
  <c r="DL3" i="19"/>
  <c r="BV3" i="19"/>
  <c r="BH3" i="19"/>
  <c r="BM3" i="19"/>
  <c r="BG3" i="19"/>
  <c r="DN3" i="19"/>
  <c r="BB3" i="19"/>
  <c r="AV3" i="19"/>
  <c r="AX3" i="19"/>
  <c r="AP3" i="19"/>
  <c r="AS3" i="19"/>
  <c r="AC3" i="19"/>
  <c r="AT3" i="19"/>
  <c r="AY3" i="19"/>
  <c r="BR3" i="19"/>
  <c r="BJ3" i="19"/>
  <c r="AR3" i="19"/>
  <c r="AQ3" i="19"/>
  <c r="BQ3" i="19"/>
  <c r="BS3" i="19"/>
  <c r="AD3" i="19"/>
  <c r="BT3" i="19"/>
  <c r="BE3" i="19"/>
  <c r="BC3" i="19"/>
  <c r="BU3" i="19"/>
  <c r="DJ3" i="19"/>
  <c r="BO3" i="19"/>
  <c r="DK3" i="19"/>
  <c r="G1008" i="22"/>
  <c r="F1426" i="22"/>
  <c r="H970" i="21"/>
  <c r="G1578" i="22"/>
  <c r="F1578" i="22"/>
  <c r="G1122" i="22"/>
  <c r="J1578" i="22"/>
  <c r="I1122" i="22"/>
  <c r="G1616" i="21"/>
  <c r="G1654" i="21"/>
  <c r="J1350" i="21"/>
  <c r="J1616" i="21"/>
  <c r="G970" i="21"/>
  <c r="J1540" i="22"/>
  <c r="F1654" i="21"/>
  <c r="F970" i="21"/>
  <c r="F970" i="22"/>
  <c r="F1122" i="22"/>
  <c r="J970" i="22"/>
  <c r="I1008" i="22"/>
  <c r="H1008" i="22"/>
  <c r="H970" i="22"/>
  <c r="H1426" i="22"/>
  <c r="H1844" i="22"/>
  <c r="I1578" i="22"/>
  <c r="H1654" i="21"/>
  <c r="F1616" i="21"/>
  <c r="I970" i="22"/>
  <c r="J1654" i="21"/>
  <c r="G1426" i="22"/>
  <c r="G970" i="22"/>
  <c r="I1540" i="22"/>
  <c r="F1350" i="21"/>
  <c r="I1350" i="21"/>
  <c r="I1844" i="22"/>
  <c r="I970" i="21"/>
  <c r="J1426" i="22"/>
  <c r="F1844" i="22"/>
  <c r="J1008" i="22"/>
  <c r="G1540" i="22"/>
  <c r="G1844" i="22"/>
  <c r="F1540" i="22"/>
  <c r="I1654" i="21"/>
  <c r="I1426" i="22"/>
  <c r="H1616" i="21"/>
  <c r="J970" i="21"/>
  <c r="F1008" i="22"/>
  <c r="G1350" i="21"/>
  <c r="I1616" i="21"/>
  <c r="H1350" i="21"/>
  <c r="H1122" i="22"/>
  <c r="H1578" i="22"/>
  <c r="J1844" i="22"/>
  <c r="H1540" i="22"/>
  <c r="J1122" i="22"/>
  <c r="E11" i="9" l="1"/>
  <c r="E10" i="9" s="1"/>
  <c r="F11" i="9"/>
  <c r="F10" i="9" s="1"/>
  <c r="G11" i="9"/>
  <c r="G10" i="9" s="1"/>
  <c r="J9" i="9"/>
  <c r="J8" i="9"/>
  <c r="BC6" i="19"/>
  <c r="K14" i="9"/>
  <c r="L5" i="19"/>
  <c r="AB3" i="19"/>
  <c r="C14" i="13" l="1"/>
  <c r="O14" i="19" l="1"/>
  <c r="M14" i="19"/>
  <c r="N14" i="19"/>
  <c r="P14" i="19"/>
  <c r="L14" i="19"/>
  <c r="P11" i="9" l="1"/>
  <c r="BF3" i="19"/>
  <c r="I8" i="9" l="1"/>
  <c r="I11" i="9" s="1"/>
  <c r="I10" i="9" s="1"/>
  <c r="H8" i="9"/>
  <c r="H11" i="9" l="1"/>
  <c r="H10" i="9" s="1"/>
  <c r="P13" i="19"/>
  <c r="L29" i="19"/>
  <c r="O13" i="19"/>
  <c r="N13" i="19"/>
  <c r="M13" i="19"/>
  <c r="L13" i="19"/>
  <c r="L28" i="19" l="1"/>
  <c r="L26" i="19"/>
  <c r="L24" i="19"/>
  <c r="L18" i="19"/>
  <c r="L11" i="9"/>
  <c r="L25" i="19"/>
  <c r="L20" i="19"/>
  <c r="L19" i="19"/>
  <c r="Q10" i="9" l="1"/>
  <c r="L21" i="19"/>
  <c r="M10" i="9"/>
  <c r="M20" i="19" s="1"/>
  <c r="Q8" i="9"/>
  <c r="M8" i="9"/>
  <c r="M9" i="9"/>
  <c r="M19" i="19" s="1"/>
  <c r="Q9" i="9"/>
  <c r="M25" i="19" s="1"/>
  <c r="Q11" i="9" l="1"/>
  <c r="M26" i="19" s="1"/>
  <c r="M11" i="9"/>
  <c r="M21" i="19" s="1"/>
  <c r="M18" i="19"/>
  <c r="M24" i="19"/>
  <c r="J1426" i="21"/>
  <c r="J666" i="21"/>
  <c r="H20" i="14"/>
  <c r="J400" i="21"/>
  <c r="H1388" i="22"/>
  <c r="G20" i="14"/>
  <c r="F96" i="18"/>
  <c r="F1312" i="22"/>
  <c r="I286" i="21"/>
  <c r="G1502" i="22"/>
  <c r="I58" i="14"/>
  <c r="J1730" i="22"/>
  <c r="G742" i="21"/>
  <c r="H1160" i="21"/>
  <c r="I96" i="13"/>
  <c r="F552" i="22"/>
  <c r="F1730" i="22"/>
  <c r="J1692" i="22"/>
  <c r="H704" i="22"/>
  <c r="G1046" i="21"/>
  <c r="F856" i="21"/>
  <c r="H248" i="22"/>
  <c r="J514" i="21"/>
  <c r="G1046" i="22"/>
  <c r="F1388" i="22"/>
  <c r="G780" i="22"/>
  <c r="H58" i="21"/>
  <c r="J20" i="18"/>
  <c r="G1122" i="21"/>
  <c r="J1768" i="22"/>
  <c r="H1502" i="22"/>
  <c r="G1730" i="22"/>
  <c r="F476" i="22"/>
  <c r="F438" i="22"/>
  <c r="F210" i="5"/>
  <c r="H628" i="22"/>
  <c r="J1464" i="22"/>
  <c r="F58" i="21"/>
  <c r="F1198" i="21"/>
  <c r="I134" i="5"/>
  <c r="G210" i="21"/>
  <c r="J1046" i="22"/>
  <c r="J248" i="22"/>
  <c r="F742" i="21"/>
  <c r="I1122" i="21"/>
  <c r="G20" i="5"/>
  <c r="I438" i="21"/>
  <c r="H932" i="21"/>
  <c r="G590" i="22"/>
  <c r="J1616" i="22"/>
  <c r="I1806" i="22"/>
  <c r="H134" i="22"/>
  <c r="I894" i="22"/>
  <c r="I628" i="21"/>
  <c r="H20" i="18"/>
  <c r="I666" i="21"/>
  <c r="H96" i="22"/>
  <c r="G1198" i="22"/>
  <c r="J58" i="15"/>
  <c r="I1312" i="22"/>
  <c r="G172" i="18"/>
  <c r="J704" i="22"/>
  <c r="H1540" i="21"/>
  <c r="I590" i="21"/>
  <c r="G58" i="22"/>
  <c r="G552" i="22"/>
  <c r="J324" i="15"/>
  <c r="G932" i="22"/>
  <c r="F1236" i="21"/>
  <c r="I400" i="22"/>
  <c r="G1502" i="21"/>
  <c r="F438" i="14"/>
  <c r="I58" i="21"/>
  <c r="H286" i="21"/>
  <c r="H210" i="21"/>
  <c r="H1388" i="21"/>
  <c r="F20" i="13"/>
  <c r="G438" i="21"/>
  <c r="J58" i="22"/>
  <c r="J134" i="18"/>
  <c r="F514" i="21"/>
  <c r="G818" i="22"/>
  <c r="F362" i="21"/>
  <c r="F1464" i="21"/>
  <c r="H856" i="22"/>
  <c r="H1464" i="22"/>
  <c r="F1768" i="22"/>
  <c r="G1008" i="21"/>
  <c r="J1274" i="21"/>
  <c r="I476" i="14"/>
  <c r="G476" i="21"/>
  <c r="H1768" i="22"/>
  <c r="G1312" i="21"/>
  <c r="H210" i="15"/>
  <c r="J96" i="13"/>
  <c r="I1350" i="22"/>
  <c r="H58" i="14"/>
  <c r="J58" i="18"/>
  <c r="I172" i="21"/>
  <c r="G20" i="13"/>
  <c r="H1046" i="21"/>
  <c r="F248" i="22"/>
  <c r="F20" i="5"/>
  <c r="H590" i="21"/>
  <c r="G552" i="21"/>
  <c r="I1464" i="22"/>
  <c r="I1274" i="22"/>
  <c r="J1198" i="22"/>
  <c r="F1198" i="22"/>
  <c r="H1350" i="22"/>
  <c r="H1008" i="21"/>
  <c r="G818" i="21"/>
  <c r="G856" i="21"/>
  <c r="J248" i="15"/>
  <c r="G476" i="14"/>
  <c r="I58" i="22"/>
  <c r="H324" i="22"/>
  <c r="J96" i="22"/>
  <c r="F1160" i="22"/>
  <c r="H58" i="5"/>
  <c r="H20" i="21"/>
  <c r="J1236" i="22"/>
  <c r="H438" i="22"/>
  <c r="J172" i="18"/>
  <c r="J552" i="21"/>
  <c r="F210" i="21"/>
  <c r="G704" i="21"/>
  <c r="F58" i="15"/>
  <c r="I324" i="15"/>
  <c r="J362" i="21"/>
  <c r="J1160" i="22"/>
  <c r="J134" i="21"/>
  <c r="I1160" i="22"/>
  <c r="I1236" i="21"/>
  <c r="G1654" i="22"/>
  <c r="F324" i="15"/>
  <c r="G248" i="22"/>
  <c r="F1274" i="21"/>
  <c r="J438" i="14"/>
  <c r="G96" i="21"/>
  <c r="G134" i="22"/>
  <c r="J96" i="21"/>
  <c r="F96" i="13"/>
  <c r="I818" i="22"/>
  <c r="H932" i="22"/>
  <c r="I476" i="21"/>
  <c r="J1578" i="21"/>
  <c r="I590" i="14"/>
  <c r="F476" i="14"/>
  <c r="G286" i="21"/>
  <c r="G58" i="15"/>
  <c r="G780" i="21"/>
  <c r="F134" i="18"/>
  <c r="J400" i="22"/>
  <c r="G1350" i="22"/>
  <c r="G1274" i="21"/>
  <c r="J742" i="21"/>
  <c r="J514" i="22"/>
  <c r="J1236" i="21"/>
  <c r="G324" i="21"/>
  <c r="I58" i="15"/>
  <c r="G666" i="22"/>
  <c r="G58" i="21"/>
  <c r="J286" i="22"/>
  <c r="J1350" i="22"/>
  <c r="J210" i="5"/>
  <c r="F20" i="22"/>
  <c r="F324" i="22"/>
  <c r="I58" i="13"/>
  <c r="F1502" i="21"/>
  <c r="F1312" i="21"/>
  <c r="H1578" i="21"/>
  <c r="H1312" i="22"/>
  <c r="I1236" i="22"/>
  <c r="I438" i="22"/>
  <c r="J286" i="21"/>
  <c r="F628" i="21"/>
  <c r="G628" i="22"/>
  <c r="G362" i="22"/>
  <c r="I1654" i="22"/>
  <c r="F58" i="5"/>
  <c r="J666" i="22"/>
  <c r="H628" i="21"/>
  <c r="G1198" i="21"/>
  <c r="J210" i="15"/>
  <c r="H1198" i="21"/>
  <c r="F476" i="21"/>
  <c r="H476" i="21"/>
  <c r="I1426" i="21"/>
  <c r="G1388" i="21"/>
  <c r="G248" i="15"/>
  <c r="H96" i="5"/>
  <c r="H590" i="22"/>
  <c r="J96" i="18"/>
  <c r="F172" i="5"/>
  <c r="J134" i="22"/>
  <c r="I20" i="14"/>
  <c r="F20" i="18"/>
  <c r="F1692" i="22"/>
  <c r="F932" i="22"/>
  <c r="I1768" i="22"/>
  <c r="I666" i="22"/>
  <c r="J438" i="21"/>
  <c r="G172" i="21"/>
  <c r="I58" i="5"/>
  <c r="G1768" i="22"/>
  <c r="F856" i="22"/>
  <c r="I1388" i="21"/>
  <c r="H1502" i="21"/>
  <c r="G1160" i="22"/>
  <c r="J134" i="5"/>
  <c r="J1502" i="21"/>
  <c r="F438" i="21"/>
  <c r="I210" i="5"/>
  <c r="F20" i="21"/>
  <c r="I1388" i="22"/>
  <c r="F552" i="21"/>
  <c r="I1540" i="21"/>
  <c r="F1464" i="22"/>
  <c r="J1388" i="22"/>
  <c r="I324" i="22"/>
  <c r="F932" i="21"/>
  <c r="J590" i="22"/>
  <c r="I552" i="22"/>
  <c r="G58" i="18"/>
  <c r="F1540" i="21"/>
  <c r="G172" i="5"/>
  <c r="J58" i="5"/>
  <c r="J780" i="22"/>
  <c r="G210" i="5"/>
  <c r="H96" i="15"/>
  <c r="G476" i="22"/>
  <c r="H20" i="15"/>
  <c r="J1464" i="21"/>
  <c r="G590" i="21"/>
  <c r="H172" i="5"/>
  <c r="G1236" i="22"/>
  <c r="H172" i="18"/>
  <c r="G932" i="21"/>
  <c r="I134" i="22"/>
  <c r="G134" i="5"/>
  <c r="H1122" i="21"/>
  <c r="J628" i="22"/>
  <c r="H20" i="5"/>
  <c r="H210" i="22"/>
  <c r="F1502" i="22"/>
  <c r="G1464" i="22"/>
  <c r="F818" i="22"/>
  <c r="I20" i="22"/>
  <c r="G1578" i="21"/>
  <c r="I248" i="15"/>
  <c r="F704" i="22"/>
  <c r="F96" i="22"/>
  <c r="H1426" i="21"/>
  <c r="G20" i="15"/>
  <c r="G324" i="15"/>
  <c r="G1084" i="22"/>
  <c r="F1008" i="21"/>
  <c r="G1236" i="21"/>
  <c r="F1236" i="22"/>
  <c r="J894" i="22"/>
  <c r="J704" i="21"/>
  <c r="F666" i="21"/>
  <c r="J58" i="13"/>
  <c r="I286" i="22"/>
  <c r="H1198" i="22"/>
  <c r="G58" i="14"/>
  <c r="H248" i="21"/>
  <c r="I248" i="22"/>
  <c r="J172" i="22"/>
  <c r="F1616" i="22"/>
  <c r="H1236" i="22"/>
  <c r="G438" i="22"/>
  <c r="F1046" i="21"/>
  <c r="J20" i="21"/>
  <c r="F628" i="22"/>
  <c r="H134" i="21"/>
  <c r="F894" i="22"/>
  <c r="H286" i="15"/>
  <c r="H514" i="21"/>
  <c r="I134" i="18"/>
  <c r="I134" i="21"/>
  <c r="J818" i="22"/>
  <c r="F172" i="18"/>
  <c r="I1464" i="21"/>
  <c r="F1388" i="21"/>
  <c r="J1084" i="21"/>
  <c r="I476" i="22"/>
  <c r="F58" i="13"/>
  <c r="G894" i="21"/>
  <c r="I818" i="21"/>
  <c r="H438" i="21"/>
  <c r="G172" i="22"/>
  <c r="H248" i="15"/>
  <c r="I20" i="21"/>
  <c r="I400" i="21"/>
  <c r="I96" i="15"/>
  <c r="G1540" i="21"/>
  <c r="H1312" i="21"/>
  <c r="F400" i="22"/>
  <c r="H362" i="21"/>
  <c r="H780" i="22"/>
  <c r="G1616" i="22"/>
  <c r="H1730" i="22"/>
  <c r="F400" i="21"/>
  <c r="H20" i="22"/>
  <c r="I704" i="22"/>
  <c r="G628" i="21"/>
  <c r="I210" i="22"/>
  <c r="I552" i="14"/>
  <c r="J210" i="21"/>
  <c r="I438" i="14"/>
  <c r="G20" i="21"/>
  <c r="I172" i="22"/>
  <c r="I590" i="22"/>
  <c r="I172" i="18"/>
  <c r="H894" i="22"/>
  <c r="G1426" i="21"/>
  <c r="J476" i="14"/>
  <c r="J552" i="14"/>
  <c r="F134" i="22"/>
  <c r="J96" i="5"/>
  <c r="J20" i="22"/>
  <c r="F818" i="21"/>
  <c r="H210" i="5"/>
  <c r="G1464" i="21"/>
  <c r="J856" i="22"/>
  <c r="H818" i="22"/>
  <c r="F1350" i="22"/>
  <c r="I1046" i="22"/>
  <c r="F590" i="22"/>
  <c r="H552" i="22"/>
  <c r="H172" i="21"/>
  <c r="F514" i="22"/>
  <c r="H704" i="21"/>
  <c r="J476" i="21"/>
  <c r="F1426" i="21"/>
  <c r="H856" i="21"/>
  <c r="J894" i="21"/>
  <c r="G742" i="22"/>
  <c r="I1198" i="22"/>
  <c r="J1160" i="21"/>
  <c r="I1046" i="21"/>
  <c r="G1312" i="22"/>
  <c r="F780" i="22"/>
  <c r="I1312" i="21"/>
  <c r="F1122" i="21"/>
  <c r="J20" i="14"/>
  <c r="H58" i="15"/>
  <c r="J742" i="22"/>
  <c r="J1198" i="21"/>
  <c r="J96" i="15"/>
  <c r="J856" i="21"/>
  <c r="I172" i="5"/>
  <c r="I628" i="22"/>
  <c r="G20" i="18"/>
  <c r="H1274" i="22"/>
  <c r="G438" i="14"/>
  <c r="G1692" i="22"/>
  <c r="J20" i="13"/>
  <c r="G400" i="21"/>
  <c r="I248" i="21"/>
  <c r="H400" i="22"/>
  <c r="F894" i="21"/>
  <c r="I856" i="21"/>
  <c r="I1008" i="21"/>
  <c r="H400" i="21"/>
  <c r="I742" i="22"/>
  <c r="F58" i="18"/>
  <c r="G96" i="18"/>
  <c r="J362" i="22"/>
  <c r="G1388" i="22"/>
  <c r="F1654" i="22"/>
  <c r="F248" i="21"/>
  <c r="J1312" i="22"/>
  <c r="F96" i="15"/>
  <c r="I552" i="21"/>
  <c r="J438" i="22"/>
  <c r="J628" i="21"/>
  <c r="H1806" i="22"/>
  <c r="I20" i="13"/>
  <c r="J1046" i="21"/>
  <c r="F780" i="21"/>
  <c r="J1008" i="21"/>
  <c r="G286" i="22"/>
  <c r="G1274" i="22"/>
  <c r="I1084" i="21"/>
  <c r="I856" i="22"/>
  <c r="F286" i="15"/>
  <c r="G286" i="15"/>
  <c r="H134" i="5"/>
  <c r="I1160" i="21"/>
  <c r="H1046" i="22"/>
  <c r="J590" i="21"/>
  <c r="F96" i="5"/>
  <c r="J932" i="22"/>
  <c r="H1084" i="21"/>
  <c r="H476" i="22"/>
  <c r="F742" i="22"/>
  <c r="F20" i="15"/>
  <c r="H742" i="21"/>
  <c r="J1388" i="21"/>
  <c r="G20" i="22"/>
  <c r="F286" i="22"/>
  <c r="J818" i="21"/>
  <c r="J20" i="5"/>
  <c r="F286" i="21"/>
  <c r="J210" i="22"/>
  <c r="F1806" i="22"/>
  <c r="J1540" i="21"/>
  <c r="I1692" i="22"/>
  <c r="H58" i="18"/>
  <c r="H476" i="14"/>
  <c r="F134" i="5"/>
  <c r="H324" i="15"/>
  <c r="J58" i="14"/>
  <c r="F590" i="14"/>
  <c r="J1654" i="22"/>
  <c r="F552" i="14"/>
  <c r="I96" i="22"/>
  <c r="I210" i="15"/>
  <c r="G514" i="21"/>
  <c r="J324" i="21"/>
  <c r="J248" i="21"/>
  <c r="G58" i="5"/>
  <c r="H552" i="14"/>
  <c r="H780" i="21"/>
  <c r="J780" i="21"/>
  <c r="J58" i="21"/>
  <c r="I20" i="15"/>
  <c r="H96" i="18"/>
  <c r="I514" i="21"/>
  <c r="F1084" i="21"/>
  <c r="F172" i="21"/>
  <c r="I362" i="22"/>
  <c r="I1730" i="22"/>
  <c r="G134" i="21"/>
  <c r="J20" i="15"/>
  <c r="H1464" i="21"/>
  <c r="H324" i="21"/>
  <c r="F1084" i="22"/>
  <c r="H20" i="13"/>
  <c r="I1616" i="22"/>
  <c r="G1160" i="21"/>
  <c r="I1274" i="21"/>
  <c r="J1312" i="21"/>
  <c r="G134" i="18"/>
  <c r="G324" i="22"/>
  <c r="I1198" i="21"/>
  <c r="G1806" i="22"/>
  <c r="J552" i="22"/>
  <c r="G210" i="15"/>
  <c r="F666" i="22"/>
  <c r="G96" i="15"/>
  <c r="H1654" i="22"/>
  <c r="G590" i="14"/>
  <c r="G514" i="22"/>
  <c r="F590" i="21"/>
  <c r="H438" i="14"/>
  <c r="H172" i="22"/>
  <c r="G400" i="22"/>
  <c r="H286" i="22"/>
  <c r="H590" i="14"/>
  <c r="F58" i="22"/>
  <c r="H96" i="13"/>
  <c r="H818" i="21"/>
  <c r="I210" i="21"/>
  <c r="J590" i="14"/>
  <c r="F704" i="21"/>
  <c r="F134" i="21"/>
  <c r="F1160" i="21"/>
  <c r="I780" i="22"/>
  <c r="I20" i="18"/>
  <c r="J172" i="5"/>
  <c r="F1578" i="21"/>
  <c r="I780" i="21"/>
  <c r="G856" i="22"/>
  <c r="J1274" i="22"/>
  <c r="F362" i="22"/>
  <c r="I704" i="21"/>
  <c r="I1502" i="21"/>
  <c r="J172" i="21"/>
  <c r="G96" i="5"/>
  <c r="I286" i="15"/>
  <c r="H1236" i="21"/>
  <c r="I96" i="18"/>
  <c r="I514" i="22"/>
  <c r="G1084" i="21"/>
  <c r="I1084" i="22"/>
  <c r="I894" i="21"/>
  <c r="F210" i="22"/>
  <c r="H1274" i="21"/>
  <c r="F1274" i="22"/>
  <c r="J324" i="22"/>
  <c r="H58" i="22"/>
  <c r="I20" i="5"/>
  <c r="F172" i="22"/>
  <c r="G894" i="22"/>
  <c r="J1122" i="21"/>
  <c r="H58" i="13"/>
  <c r="F324" i="21"/>
  <c r="J932" i="21"/>
  <c r="H514" i="22"/>
  <c r="I1502" i="22"/>
  <c r="F96" i="21"/>
  <c r="H96" i="21"/>
  <c r="J1084" i="22"/>
  <c r="G666" i="21"/>
  <c r="F20" i="14"/>
  <c r="H666" i="21"/>
  <c r="H362" i="22"/>
  <c r="H742" i="22"/>
  <c r="H552" i="21"/>
  <c r="I96" i="21"/>
  <c r="H134" i="18"/>
  <c r="H894" i="21"/>
  <c r="G248" i="21"/>
  <c r="F1046" i="22"/>
  <c r="G58" i="13"/>
  <c r="F210" i="15"/>
  <c r="H1616" i="22"/>
  <c r="I1578" i="21"/>
  <c r="I96" i="5"/>
  <c r="H1692" i="22"/>
  <c r="I742" i="21"/>
  <c r="I58" i="18"/>
  <c r="F58" i="14"/>
  <c r="J286" i="15"/>
  <c r="G210" i="22"/>
  <c r="I932" i="22"/>
  <c r="J1502" i="22"/>
  <c r="I932" i="21"/>
  <c r="J1806" i="22"/>
  <c r="F248" i="15"/>
  <c r="J476" i="22"/>
  <c r="I362" i="21"/>
  <c r="G96" i="13"/>
  <c r="H666" i="22"/>
  <c r="G552" i="14"/>
  <c r="G704" i="22"/>
  <c r="H1084" i="22"/>
  <c r="I324" i="21"/>
  <c r="H1160" i="22"/>
  <c r="G362" i="21"/>
  <c r="G96" i="22"/>
  <c r="K13" i="14" l="1"/>
  <c r="G13" i="5"/>
  <c r="G13" i="18"/>
  <c r="G14" i="13"/>
  <c r="G12" i="15"/>
  <c r="G13" i="15"/>
  <c r="G12" i="5"/>
  <c r="G15" i="5" s="1"/>
  <c r="K12" i="22"/>
  <c r="K13" i="15"/>
  <c r="G13" i="13"/>
  <c r="G12" i="13"/>
  <c r="G15" i="13" s="1"/>
  <c r="K12" i="18"/>
  <c r="G12" i="14"/>
  <c r="G12" i="22"/>
  <c r="G15" i="22" s="1"/>
  <c r="K12" i="21"/>
  <c r="G14" i="22"/>
  <c r="G13" i="21"/>
  <c r="G12" i="21"/>
  <c r="K12" i="15"/>
  <c r="K15" i="15" s="1"/>
  <c r="G13" i="22"/>
  <c r="G14" i="5"/>
  <c r="G14" i="15"/>
  <c r="K13" i="21"/>
  <c r="K13" i="18"/>
  <c r="G13" i="14"/>
  <c r="K13" i="22"/>
  <c r="G14" i="21"/>
  <c r="K13" i="5"/>
  <c r="K12" i="13"/>
  <c r="K13" i="13"/>
  <c r="G14" i="18"/>
  <c r="K12" i="5"/>
  <c r="K15" i="5" s="1"/>
  <c r="G12" i="18"/>
  <c r="K12" i="14"/>
  <c r="K15" i="14" s="1"/>
  <c r="G14" i="14"/>
  <c r="K15" i="21" l="1"/>
  <c r="L13" i="22"/>
  <c r="H14" i="22"/>
  <c r="H13" i="22"/>
  <c r="L14" i="22"/>
  <c r="G15" i="18"/>
  <c r="K15" i="13"/>
  <c r="L14" i="13" s="1"/>
  <c r="G15" i="14"/>
  <c r="G15" i="15"/>
  <c r="K15" i="18"/>
  <c r="K15" i="22"/>
  <c r="L12" i="22" s="1"/>
  <c r="L15" i="22" s="1"/>
  <c r="L14" i="5"/>
  <c r="L13" i="5"/>
  <c r="H14" i="5"/>
  <c r="L12" i="5"/>
  <c r="H12" i="5"/>
  <c r="H13" i="5"/>
  <c r="L12" i="13"/>
  <c r="H14" i="13"/>
  <c r="H12" i="13"/>
  <c r="H15" i="13" s="1"/>
  <c r="H13" i="13"/>
  <c r="G15" i="21"/>
  <c r="L14" i="15" l="1"/>
  <c r="L13" i="15"/>
  <c r="H12" i="15"/>
  <c r="H15" i="15" s="1"/>
  <c r="H14" i="15"/>
  <c r="H13" i="15"/>
  <c r="L12" i="15"/>
  <c r="L15" i="15" s="1"/>
  <c r="H14" i="21"/>
  <c r="L14" i="21"/>
  <c r="L13" i="21"/>
  <c r="H13" i="21"/>
  <c r="L12" i="21"/>
  <c r="L15" i="21" s="1"/>
  <c r="H12" i="21"/>
  <c r="H15" i="5"/>
  <c r="L12" i="14"/>
  <c r="L13" i="14"/>
  <c r="H12" i="14"/>
  <c r="L14" i="14"/>
  <c r="H14" i="14"/>
  <c r="H13" i="14"/>
  <c r="L15" i="5"/>
  <c r="H12" i="22"/>
  <c r="H15" i="22" s="1"/>
  <c r="L13" i="13"/>
  <c r="L15" i="13" s="1"/>
  <c r="L12" i="18"/>
  <c r="L14" i="18"/>
  <c r="L13" i="18"/>
  <c r="L15" i="18" s="1"/>
  <c r="H13" i="18"/>
  <c r="H14" i="18"/>
  <c r="H12" i="18"/>
  <c r="L15" i="14" l="1"/>
  <c r="H15" i="18"/>
  <c r="H15" i="14"/>
  <c r="H15" i="21"/>
</calcChain>
</file>

<file path=xl/comments1.xml><?xml version="1.0" encoding="utf-8"?>
<comments xmlns="http://schemas.openxmlformats.org/spreadsheetml/2006/main">
  <authors>
    <author>SANDRA SABROSO TORRES</author>
    <author>David Lubián</author>
  </authors>
  <commentList>
    <comment ref="C7" authorId="0">
      <text>
        <r>
          <rPr>
            <b/>
            <sz val="9"/>
            <color indexed="81"/>
            <rFont val="Tahoma"/>
            <family val="2"/>
          </rPr>
          <t>URA: Unidad Responsable de Accesibilidad</t>
        </r>
        <r>
          <rPr>
            <sz val="9"/>
            <color indexed="81"/>
            <rFont val="Tahoma"/>
            <family val="2"/>
          </rPr>
          <t xml:space="preserve">
</t>
        </r>
      </text>
    </comment>
    <comment ref="C9" authorId="0">
      <text>
        <r>
          <rPr>
            <b/>
            <sz val="9"/>
            <color indexed="81"/>
            <rFont val="Tahoma"/>
            <family val="2"/>
          </rPr>
          <t>Indicar el código DIR3 (Directorio Común de Unidades Orgánicas y Oficinas) de la URA indicada en el campo anterior. Esto es, si la URA es la Subdirección General XXX, indicar el código DIR3 de la Subdirección General XXX. En el siguiente enlace del Portal de Administración electrónica, se indica como acceder a la aplicación DIR3-Directorio común donde poder buscar los códigos DIR3 necesarios para rellenar este informe:
https://administracionelectronica.gob.es/ctt/dir3</t>
        </r>
        <r>
          <rPr>
            <sz val="9"/>
            <color indexed="81"/>
            <rFont val="Tahoma"/>
            <family val="2"/>
          </rPr>
          <t xml:space="preserve">
</t>
        </r>
      </text>
    </comment>
    <comment ref="C11" authorId="1">
      <text>
        <r>
          <rPr>
            <b/>
            <sz val="9"/>
            <color indexed="81"/>
            <rFont val="Tahoma"/>
            <family val="2"/>
          </rPr>
          <t xml:space="preserve">En términos generales, en la AGE, el ámbito competencial de las URAs será el Ministerio en cuestión, 
en las CCAA, el ámbito competencial de las URAs será la CCAA en cuestión, y en las EELL y demás organismos obligados, el ámbito competencial de las URAs será de acuerdo a como hayan definido las URAs conforme a suspropias características organizativas. </t>
        </r>
      </text>
    </comment>
    <comment ref="C13" authorId="1">
      <text>
        <r>
          <rPr>
            <b/>
            <sz val="9"/>
            <color indexed="81"/>
            <rFont val="Tahoma"/>
            <family val="2"/>
          </rPr>
          <t>Indicar el código DIR3 (Directorio Común de Unidades Orgánicas y Oficinas) del ámbito competencial de la URA indicada en el campo anterior. En el siguiente enlace del Portal de Administración electrónica, se indica como acceder a la aplicación DIR3-Directorio común donde poder buscar los códigos DIR3 necesarios para rellenar este informe:
https://administracionelectronica.gob.es/ctt/dir3</t>
        </r>
        <r>
          <rPr>
            <sz val="9"/>
            <color indexed="81"/>
            <rFont val="Tahoma"/>
            <family val="2"/>
          </rPr>
          <t xml:space="preserve">
</t>
        </r>
      </text>
    </comment>
    <comment ref="C17" authorId="1">
      <text>
        <r>
          <rPr>
            <b/>
            <sz val="9"/>
            <color indexed="81"/>
            <rFont val="Tahoma"/>
            <family val="2"/>
          </rPr>
          <t>Indicar el nombre de la Entidad responsable del sitio web, p.e. la Subdirección General XXX</t>
        </r>
      </text>
    </comment>
    <comment ref="C19" authorId="1">
      <text>
        <r>
          <rPr>
            <b/>
            <sz val="9"/>
            <color indexed="81"/>
            <rFont val="Tahoma"/>
            <family val="2"/>
          </rPr>
          <t>Indicar el código DIR3 de la Entidad responsable del sitio web indicada en el campo anterior.</t>
        </r>
        <r>
          <rPr>
            <sz val="9"/>
            <color indexed="81"/>
            <rFont val="Tahoma"/>
            <family val="2"/>
          </rPr>
          <t xml:space="preserve">
</t>
        </r>
      </text>
    </comment>
    <comment ref="C21" authorId="1">
      <text>
        <r>
          <rPr>
            <b/>
            <sz val="9"/>
            <color indexed="81"/>
            <rFont val="Tahoma"/>
            <family val="2"/>
          </rPr>
          <t xml:space="preserve"> Indicar el correo electrónico de contacto de la entidad o de la persona responsable del sitio web.</t>
        </r>
      </text>
    </comment>
    <comment ref="C29" authorId="1">
      <text>
        <r>
          <rPr>
            <b/>
            <sz val="9"/>
            <color indexed="81"/>
            <rFont val="Tahoma"/>
            <family val="2"/>
          </rPr>
          <t>Identifica la URL del sitio web.</t>
        </r>
      </text>
    </comment>
    <comment ref="C31" authorId="1">
      <text>
        <r>
          <rPr>
            <b/>
            <sz val="9"/>
            <color indexed="81"/>
            <rFont val="Tahoma"/>
            <family val="2"/>
          </rPr>
          <t xml:space="preserve">Precisar si hay parte o partes del sitio web que NO se va a analizar por quedar fuera del ámbito.
Algunos casos podrían ser:
- Cuando hay páginas, contenidos o documentos que están fuera del ámbito del RD 1112/2018. 
Por ejemplo, habría que indicar que los documentos PDF localizados en XXX no se analizan porque fueron publicados antes de la entrada en vigor del RD. 
- Cuando diferentes sitios web de un organismo tienen urls de la siguiente forma:
URL del sitio web 1 “http://www.xxxxxx/sitioweb1/inicio.html”
URL del sitio web 2  “http://www.xxxxx/sitioweb2/inicio.html”
 si el informe es del Sitio web 1, solo se analizarán las páginas que hay dentro del directorio “/sitioweb1/” porque las que están fuera de “/sitioweb1/” pertenecen a otro sitio web que no se está analizando en este informe. 
</t>
        </r>
      </text>
    </comment>
    <comment ref="C33" authorId="1">
      <text>
        <r>
          <rPr>
            <b/>
            <sz val="9"/>
            <color indexed="81"/>
            <rFont val="Tahoma"/>
            <family val="2"/>
          </rPr>
          <t xml:space="preserve">Información resumida sobre las funcionalidades incluidas en el sitio web. 
</t>
        </r>
        <r>
          <rPr>
            <sz val="9"/>
            <color indexed="81"/>
            <rFont val="Tahoma"/>
            <family val="2"/>
          </rPr>
          <t xml:space="preserve">
</t>
        </r>
      </text>
    </comment>
    <comment ref="C35" authorId="1">
      <text>
        <r>
          <rPr>
            <b/>
            <sz val="9"/>
            <color indexed="81"/>
            <rFont val="Tahoma"/>
            <family val="2"/>
          </rPr>
          <t>Indicar la fecha en la que se realiza la revisión de accesibilidad en formato dd/mm/aaaa</t>
        </r>
      </text>
    </comment>
    <comment ref="C41" authorId="1">
      <text>
        <r>
          <rPr>
            <sz val="10"/>
            <color indexed="81"/>
            <rFont val="Tahoma"/>
            <family val="2"/>
          </rPr>
          <t xml:space="preserve">Definir el conjunto mínimo de combinaciones de sistemas operativos, navegadores web, productos de apoyo y otras aplicaciones de usuario para los que la accesibilidad del sitio web está soportada. Es decir, aquellos entornos en los que se espera que el sitio web funcione correctamente y con un adecuado soporte de accesibilidad.
En concreto indicar con qué </t>
        </r>
        <r>
          <rPr>
            <b/>
            <sz val="10"/>
            <color indexed="81"/>
            <rFont val="Tahoma"/>
            <family val="2"/>
          </rPr>
          <t>sistema operativo y navegador se ha realizado la revisión (incluyendo la versión exacta) y si</t>
        </r>
        <r>
          <rPr>
            <sz val="10"/>
            <color indexed="81"/>
            <rFont val="Tahoma"/>
            <family val="2"/>
          </rPr>
          <t xml:space="preserve">, una vez completada la revisión o en paralelo, </t>
        </r>
        <r>
          <rPr>
            <b/>
            <sz val="10"/>
            <color indexed="81"/>
            <rFont val="Tahoma"/>
            <family val="2"/>
          </rPr>
          <t>se ha probado el sitio web con algún producto de apoyo</t>
        </r>
        <r>
          <rPr>
            <sz val="10"/>
            <color indexed="81"/>
            <rFont val="Tahoma"/>
            <family val="2"/>
          </rPr>
          <t>, como NVDA, Jaws, VoiceOver...</t>
        </r>
      </text>
    </comment>
    <comment ref="C60" authorId="1">
      <text>
        <r>
          <rPr>
            <b/>
            <sz val="9"/>
            <color indexed="81"/>
            <rFont val="Tahoma"/>
            <family val="2"/>
          </rPr>
          <t>Nombre de la empresa que ha realizado la evaluación.</t>
        </r>
        <r>
          <rPr>
            <sz val="9"/>
            <color indexed="81"/>
            <rFont val="Tahoma"/>
            <family val="2"/>
          </rPr>
          <t xml:space="preserve">
</t>
        </r>
      </text>
    </comment>
    <comment ref="C62" authorId="1">
      <text>
        <r>
          <rPr>
            <b/>
            <sz val="9"/>
            <color indexed="81"/>
            <rFont val="Tahoma"/>
            <family val="2"/>
          </rPr>
          <t>Datos relacionados con la revisión.</t>
        </r>
      </text>
    </comment>
  </commentList>
</comments>
</file>

<file path=xl/comments10.xml><?xml version="1.0" encoding="utf-8"?>
<comments xmlns="http://schemas.openxmlformats.org/spreadsheetml/2006/main">
  <authors>
    <author>SANDRA SABROSO TORRES</author>
  </authors>
  <commentList>
    <comment ref="L23" authorId="0">
      <text>
        <r>
          <rPr>
            <b/>
            <sz val="9"/>
            <color indexed="81"/>
            <rFont val="Tahoma"/>
            <family val="2"/>
          </rPr>
          <t>No tiene elementos sobre los que realizar la comprobación</t>
        </r>
        <r>
          <rPr>
            <sz val="9"/>
            <color indexed="81"/>
            <rFont val="Tahoma"/>
            <family val="2"/>
          </rPr>
          <t xml:space="preserve">
</t>
        </r>
      </text>
    </comment>
    <comment ref="L24" authorId="0">
      <text>
        <r>
          <rPr>
            <b/>
            <sz val="9"/>
            <color indexed="81"/>
            <rFont val="Tahoma"/>
            <family val="2"/>
          </rPr>
          <t>Pendiente de revisión manual. La comprobación automática es correcta pero falta realizar comprobación manual</t>
        </r>
        <r>
          <rPr>
            <sz val="9"/>
            <color indexed="81"/>
            <rFont val="Tahoma"/>
            <family val="2"/>
          </rPr>
          <t xml:space="preserve">
</t>
        </r>
      </text>
    </comment>
  </commentList>
</comments>
</file>

<file path=xl/comments11.xml><?xml version="1.0" encoding="utf-8"?>
<comments xmlns="http://schemas.openxmlformats.org/spreadsheetml/2006/main">
  <authors>
    <author>David Lubián</author>
  </authors>
  <commentList>
    <comment ref="K14" authorId="0">
      <text>
        <r>
          <rPr>
            <b/>
            <sz val="9"/>
            <color indexed="81"/>
            <rFont val="Tahoma"/>
            <family val="2"/>
          </rPr>
          <t>Si la muestra NO es corecta revise la hoja "03.Muestra" para corregir el problema</t>
        </r>
        <r>
          <rPr>
            <sz val="9"/>
            <color indexed="81"/>
            <rFont val="Tahoma"/>
            <family val="2"/>
          </rPr>
          <t xml:space="preserve">
</t>
        </r>
      </text>
    </comment>
  </commentList>
</comments>
</file>

<file path=xl/comments2.xml><?xml version="1.0" encoding="utf-8"?>
<comments xmlns="http://schemas.openxmlformats.org/spreadsheetml/2006/main">
  <authors>
    <author>SANDRA SABROSO TORRES</author>
  </authors>
  <commentList>
    <comment ref="B6" authorId="0">
      <text>
        <r>
          <rPr>
            <sz val="9"/>
            <color indexed="81"/>
            <rFont val="Tahoma"/>
            <family val="2"/>
          </rPr>
          <t xml:space="preserve">Indicar las tecnologías web </t>
        </r>
        <r>
          <rPr>
            <b/>
            <sz val="9"/>
            <color indexed="81"/>
            <rFont val="Tahoma"/>
            <family val="2"/>
          </rPr>
          <t>en las que se ha confiado la conformidad de la accesibilidad de acuerdo con WCAG 2</t>
        </r>
        <r>
          <rPr>
            <sz val="9"/>
            <color indexed="81"/>
            <rFont val="Tahoma"/>
            <family val="2"/>
          </rPr>
          <t xml:space="preserve"> para desarrollar el sitio web. 
Esto incluye </t>
        </r>
        <r>
          <rPr>
            <b/>
            <sz val="9"/>
            <color indexed="81"/>
            <rFont val="Tahoma"/>
            <family val="2"/>
          </rPr>
          <t>tecnologías web base</t>
        </r>
        <r>
          <rPr>
            <sz val="9"/>
            <color indexed="81"/>
            <rFont val="Tahoma"/>
            <family val="2"/>
          </rPr>
          <t xml:space="preserve"> como HTML y CSS, </t>
        </r>
        <r>
          <rPr>
            <b/>
            <sz val="9"/>
            <color indexed="81"/>
            <rFont val="Tahoma"/>
            <family val="2"/>
          </rPr>
          <t>tecnologías web auxiliares</t>
        </r>
        <r>
          <rPr>
            <sz val="9"/>
            <color indexed="81"/>
            <rFont val="Tahoma"/>
            <family val="2"/>
          </rPr>
          <t xml:space="preserve"> como JavaScript y WAI-ARIA, así como </t>
        </r>
        <r>
          <rPr>
            <b/>
            <sz val="9"/>
            <color indexed="81"/>
            <rFont val="Tahoma"/>
            <family val="2"/>
          </rPr>
          <t>tecnologías web específicas</t>
        </r>
        <r>
          <rPr>
            <sz val="9"/>
            <color indexed="81"/>
            <rFont val="Tahoma"/>
            <family val="2"/>
          </rPr>
          <t xml:space="preserve"> como SMIL, SVG y PDF.
</t>
        </r>
        <r>
          <rPr>
            <b/>
            <sz val="9"/>
            <color indexed="81"/>
            <rFont val="Tahoma"/>
            <family val="2"/>
          </rPr>
          <t>Nota</t>
        </r>
        <r>
          <rPr>
            <sz val="9"/>
            <color indexed="81"/>
            <rFont val="Tahoma"/>
            <family val="2"/>
          </rPr>
          <t>: Cuando sea posible, a menudo también es útil identificar el</t>
        </r>
        <r>
          <rPr>
            <b/>
            <sz val="9"/>
            <color indexed="81"/>
            <rFont val="Tahoma"/>
            <family val="2"/>
          </rPr>
          <t xml:space="preserve"> sistema de gestión de contenido, versión y configuración</t>
        </r>
        <r>
          <rPr>
            <sz val="9"/>
            <color indexed="81"/>
            <rFont val="Tahoma"/>
            <family val="2"/>
          </rPr>
          <t xml:space="preserve">, ya que puede ser relevante para explicar los resultados de la evaluación. 
Además, las </t>
        </r>
        <r>
          <rPr>
            <b/>
            <sz val="9"/>
            <color indexed="81"/>
            <rFont val="Tahoma"/>
            <family val="2"/>
          </rPr>
          <t>bibliotecas y componentes</t>
        </r>
        <r>
          <rPr>
            <sz val="9"/>
            <color indexed="81"/>
            <rFont val="Tahoma"/>
            <family val="2"/>
          </rPr>
          <t xml:space="preserve"> utilizados para crear el sitio web, como Dojo, jQuery y otros, pueden ser relevantes. Particularmente para las aplicaciones web, gran parte del soporte de accesibilidad está integrado en </t>
        </r>
        <r>
          <rPr>
            <sz val="9"/>
            <color indexed="81"/>
            <rFont val="Tahoma"/>
            <family val="2"/>
          </rPr>
          <t>bibliotecas y componentes</t>
        </r>
        <r>
          <rPr>
            <sz val="9"/>
            <color indexed="81"/>
            <rFont val="Tahoma"/>
            <family val="2"/>
          </rPr>
          <t xml:space="preserve">, y la evaluación puede ser más efectiva y eficiente cuando se identifican.
</t>
        </r>
        <r>
          <rPr>
            <b/>
            <sz val="9"/>
            <color indexed="81"/>
            <rFont val="Tahoma"/>
            <family val="2"/>
          </rPr>
          <t>Nota</t>
        </r>
        <r>
          <rPr>
            <sz val="9"/>
            <color indexed="81"/>
            <rFont val="Tahoma"/>
            <family val="2"/>
          </rPr>
          <t>: La utilidad de rellenar la información aquí recogida es facilitar el proceso de selección de la muestra así como de ver la coherencia en los resultados de la evaluación.</t>
        </r>
      </text>
    </comment>
  </commentList>
</comments>
</file>

<file path=xl/comments3.xml><?xml version="1.0" encoding="utf-8"?>
<comments xmlns="http://schemas.openxmlformats.org/spreadsheetml/2006/main">
  <authors>
    <author>David Lubián</author>
    <author>SANDRA SABROSO TORRES</author>
  </authors>
  <commentList>
    <comment ref="D7" authorId="0">
      <text>
        <r>
          <rPr>
            <b/>
            <sz val="9"/>
            <color indexed="81"/>
            <rFont val="Tahoma"/>
            <family val="2"/>
          </rPr>
          <t>Puede ser de dos tipos: Página web o Documento no web</t>
        </r>
      </text>
    </comment>
    <comment ref="E7" authorId="1">
      <text>
        <r>
          <rPr>
            <b/>
            <sz val="9"/>
            <color indexed="81"/>
            <rFont val="Tahoma"/>
            <family val="2"/>
          </rPr>
          <t>Tipo de la página web añadida (de acuerdo con la Decisión de Ejecución 2018/1524).</t>
        </r>
      </text>
    </comment>
    <comment ref="G7" authorId="1">
      <text>
        <r>
          <rPr>
            <b/>
            <sz val="9"/>
            <color indexed="81"/>
            <rFont val="Tahoma"/>
            <family val="2"/>
          </rPr>
          <t>- Cuando la página NO forme parte de un PROCESO, indicar separados por “&gt;” la navegación que hay que hacer por el sitio web.
- Cuando la página SI forme parte de un PROCESO, para guiar el mismo,  indicar los nombres cortos dados en las páginas previas del proceso separados por “&gt;” e indicar entre paréntesis la acción que hay que realizar para pasar al siguiente paso del proceso.
Ej:
Provincia (Elegir Madid)
Provincia &gt; Trámtte (Elegir Trámite X)
Provincia &gt; Trámite &gt; Descripción (Entrar)</t>
        </r>
        <r>
          <rPr>
            <sz val="9"/>
            <color indexed="81"/>
            <rFont val="Tahoma"/>
            <family val="2"/>
          </rPr>
          <t xml:space="preserve">
</t>
        </r>
      </text>
    </comment>
    <comment ref="H7" authorId="1">
      <text>
        <r>
          <rPr>
            <b/>
            <sz val="9"/>
            <color indexed="81"/>
            <rFont val="Tahoma"/>
            <family val="2"/>
          </rPr>
          <t>Indicar los tipos de elementos más característicos que tiene la página, que indica el motivo por el que se ha decidido incluir dicha página.</t>
        </r>
        <r>
          <rPr>
            <sz val="9"/>
            <color indexed="81"/>
            <rFont val="Tahoma"/>
            <family val="2"/>
          </rPr>
          <t xml:space="preserve">
</t>
        </r>
      </text>
    </comment>
    <comment ref="D52" authorId="0">
      <text>
        <r>
          <rPr>
            <b/>
            <sz val="9"/>
            <color indexed="81"/>
            <rFont val="Tahoma"/>
            <family val="2"/>
          </rPr>
          <t>La muestra es correcta cuando se cumplen las siguientes condiciones (todas):
- Para cada una de las páginas analizadas se rellenan los campos Nombre Corto, Clase, Tipo, URL de la página y Direccionamiento alternativo
- Nº páginas aleatorias &gt;= 10% páginas no aleatorias
- Nº páginas aleatorias &gt; 0
- Existen al menos las páginas con Tipo: Inicio y Declaración de accesibilidad</t>
        </r>
        <r>
          <rPr>
            <sz val="9"/>
            <color indexed="81"/>
            <rFont val="Tahoma"/>
            <family val="2"/>
          </rPr>
          <t xml:space="preserve">
</t>
        </r>
      </text>
    </comment>
  </commentList>
</comments>
</file>

<file path=xl/comments4.xml><?xml version="1.0" encoding="utf-8"?>
<comments xmlns="http://schemas.openxmlformats.org/spreadsheetml/2006/main">
  <authors>
    <author>SANDRA SABROSO TORRES</author>
  </authors>
  <commentList>
    <comment ref="L23" authorId="0">
      <text>
        <r>
          <rPr>
            <b/>
            <sz val="9"/>
            <color indexed="81"/>
            <rFont val="Tahoma"/>
            <family val="2"/>
          </rPr>
          <t>No tiene elementos sobre los que realizar la comprobación</t>
        </r>
        <r>
          <rPr>
            <sz val="9"/>
            <color indexed="81"/>
            <rFont val="Tahoma"/>
            <family val="2"/>
          </rPr>
          <t xml:space="preserve">
</t>
        </r>
      </text>
    </comment>
    <comment ref="L24" authorId="0">
      <text>
        <r>
          <rPr>
            <b/>
            <sz val="9"/>
            <color indexed="81"/>
            <rFont val="Tahoma"/>
            <family val="2"/>
          </rPr>
          <t>Pendiente de revisión manual. La comprobación automática es correcta pero falta realizar comprobación manual</t>
        </r>
        <r>
          <rPr>
            <sz val="9"/>
            <color indexed="81"/>
            <rFont val="Tahoma"/>
            <family val="2"/>
          </rPr>
          <t xml:space="preserve">
</t>
        </r>
      </text>
    </comment>
  </commentList>
</comments>
</file>

<file path=xl/comments5.xml><?xml version="1.0" encoding="utf-8"?>
<comments xmlns="http://schemas.openxmlformats.org/spreadsheetml/2006/main">
  <authors>
    <author>SANDRA SABROSO TORRES</author>
  </authors>
  <commentList>
    <comment ref="L23" authorId="0">
      <text>
        <r>
          <rPr>
            <b/>
            <sz val="9"/>
            <color indexed="81"/>
            <rFont val="Tahoma"/>
            <family val="2"/>
          </rPr>
          <t>No tiene elementos sobre los que realizar la comprobación</t>
        </r>
        <r>
          <rPr>
            <sz val="9"/>
            <color indexed="81"/>
            <rFont val="Tahoma"/>
            <family val="2"/>
          </rPr>
          <t xml:space="preserve">
</t>
        </r>
      </text>
    </comment>
    <comment ref="L24" authorId="0">
      <text>
        <r>
          <rPr>
            <b/>
            <sz val="9"/>
            <color indexed="81"/>
            <rFont val="Tahoma"/>
            <family val="2"/>
          </rPr>
          <t>Pendiente de revisión manual. La comprobación automática es correcta pero falta realizar comprobación manual</t>
        </r>
        <r>
          <rPr>
            <sz val="9"/>
            <color indexed="81"/>
            <rFont val="Tahoma"/>
            <family val="2"/>
          </rPr>
          <t xml:space="preserve">
</t>
        </r>
      </text>
    </comment>
  </commentList>
</comments>
</file>

<file path=xl/comments6.xml><?xml version="1.0" encoding="utf-8"?>
<comments xmlns="http://schemas.openxmlformats.org/spreadsheetml/2006/main">
  <authors>
    <author>SANDRA SABROSO TORRES</author>
  </authors>
  <commentList>
    <comment ref="L23" authorId="0">
      <text>
        <r>
          <rPr>
            <b/>
            <sz val="9"/>
            <color indexed="81"/>
            <rFont val="Tahoma"/>
            <family val="2"/>
          </rPr>
          <t>No tiene elementos sobre los que realizar la comprobación</t>
        </r>
        <r>
          <rPr>
            <sz val="9"/>
            <color indexed="81"/>
            <rFont val="Tahoma"/>
            <family val="2"/>
          </rPr>
          <t xml:space="preserve">
</t>
        </r>
      </text>
    </comment>
    <comment ref="L24" authorId="0">
      <text>
        <r>
          <rPr>
            <b/>
            <sz val="9"/>
            <color indexed="81"/>
            <rFont val="Tahoma"/>
            <family val="2"/>
          </rPr>
          <t>Pendiente de revisión manual. La comprobación automática es correcta pero falta realizar comprobación manual</t>
        </r>
        <r>
          <rPr>
            <sz val="9"/>
            <color indexed="81"/>
            <rFont val="Tahoma"/>
            <family val="2"/>
          </rPr>
          <t xml:space="preserve">
</t>
        </r>
      </text>
    </comment>
  </commentList>
</comments>
</file>

<file path=xl/comments7.xml><?xml version="1.0" encoding="utf-8"?>
<comments xmlns="http://schemas.openxmlformats.org/spreadsheetml/2006/main">
  <authors>
    <author>SANDRA SABROSO TORRES</author>
  </authors>
  <commentList>
    <comment ref="L23" authorId="0">
      <text>
        <r>
          <rPr>
            <b/>
            <sz val="9"/>
            <color indexed="81"/>
            <rFont val="Tahoma"/>
            <family val="2"/>
          </rPr>
          <t>No tiene elementos sobre los que realizar la comprobación</t>
        </r>
        <r>
          <rPr>
            <sz val="9"/>
            <color indexed="81"/>
            <rFont val="Tahoma"/>
            <family val="2"/>
          </rPr>
          <t xml:space="preserve">
</t>
        </r>
      </text>
    </comment>
    <comment ref="L24" authorId="0">
      <text>
        <r>
          <rPr>
            <b/>
            <sz val="9"/>
            <color indexed="81"/>
            <rFont val="Tahoma"/>
            <family val="2"/>
          </rPr>
          <t>Pendiente de revisión manual. La comprobación automática es correcta pero falta realizar comprobación manual</t>
        </r>
        <r>
          <rPr>
            <sz val="9"/>
            <color indexed="81"/>
            <rFont val="Tahoma"/>
            <family val="2"/>
          </rPr>
          <t xml:space="preserve">
</t>
        </r>
      </text>
    </comment>
  </commentList>
</comments>
</file>

<file path=xl/comments8.xml><?xml version="1.0" encoding="utf-8"?>
<comments xmlns="http://schemas.openxmlformats.org/spreadsheetml/2006/main">
  <authors>
    <author>SANDRA SABROSO TORRES</author>
  </authors>
  <commentList>
    <comment ref="L23" authorId="0">
      <text>
        <r>
          <rPr>
            <b/>
            <sz val="9"/>
            <color indexed="81"/>
            <rFont val="Tahoma"/>
            <family val="2"/>
          </rPr>
          <t>No tiene elementos sobre los que realizar la comprobación</t>
        </r>
        <r>
          <rPr>
            <sz val="9"/>
            <color indexed="81"/>
            <rFont val="Tahoma"/>
            <family val="2"/>
          </rPr>
          <t xml:space="preserve">
</t>
        </r>
      </text>
    </comment>
    <comment ref="L24" authorId="0">
      <text>
        <r>
          <rPr>
            <b/>
            <sz val="9"/>
            <color indexed="81"/>
            <rFont val="Tahoma"/>
            <family val="2"/>
          </rPr>
          <t>Pendiente de revisión manual. La comprobación automática es correcta pero falta realizar comprobación manual</t>
        </r>
        <r>
          <rPr>
            <sz val="9"/>
            <color indexed="81"/>
            <rFont val="Tahoma"/>
            <family val="2"/>
          </rPr>
          <t xml:space="preserve">
</t>
        </r>
      </text>
    </comment>
  </commentList>
</comments>
</file>

<file path=xl/comments9.xml><?xml version="1.0" encoding="utf-8"?>
<comments xmlns="http://schemas.openxmlformats.org/spreadsheetml/2006/main">
  <authors>
    <author>SANDRA SABROSO TORRES</author>
  </authors>
  <commentList>
    <comment ref="L23" authorId="0">
      <text>
        <r>
          <rPr>
            <b/>
            <sz val="9"/>
            <color indexed="81"/>
            <rFont val="Tahoma"/>
            <family val="2"/>
          </rPr>
          <t>No tiene elementos sobre los que realizar la comprobación</t>
        </r>
        <r>
          <rPr>
            <sz val="9"/>
            <color indexed="81"/>
            <rFont val="Tahoma"/>
            <family val="2"/>
          </rPr>
          <t xml:space="preserve">
</t>
        </r>
      </text>
    </comment>
    <comment ref="L24" authorId="0">
      <text>
        <r>
          <rPr>
            <b/>
            <sz val="9"/>
            <color indexed="81"/>
            <rFont val="Tahoma"/>
            <family val="2"/>
          </rPr>
          <t>Pendiente de revisión manual. La comprobación automática es correcta pero falta realizar comprobación manual</t>
        </r>
        <r>
          <rPr>
            <sz val="9"/>
            <color indexed="81"/>
            <rFont val="Tahoma"/>
            <family val="2"/>
          </rPr>
          <t xml:space="preserve">
</t>
        </r>
      </text>
    </comment>
  </commentList>
</comments>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<sst xmlns="http://schemas.openxmlformats.org/spreadsheetml/2006/main" count="3741" uniqueCount="548">
  <si>
    <t>Informe de revisión de la accesibilidad</t>
  </si>
  <si>
    <t xml:space="preserve"> Información General</t>
  </si>
  <si>
    <t>Instrucciones para rellenar el documento</t>
  </si>
  <si>
    <t xml:space="preserve"> Definición de ámbito</t>
  </si>
  <si>
    <t xml:space="preserve"> </t>
  </si>
  <si>
    <t>Educación</t>
  </si>
  <si>
    <t>No</t>
  </si>
  <si>
    <t>Ocio y Cultura</t>
  </si>
  <si>
    <t>Protección social</t>
  </si>
  <si>
    <t>Sanidad</t>
  </si>
  <si>
    <t>Transporte</t>
  </si>
  <si>
    <t>Tipo de evaluación</t>
  </si>
  <si>
    <t>Nombre de empresa</t>
  </si>
  <si>
    <t>Observaciones</t>
  </si>
  <si>
    <t>* Campos obligatorios</t>
  </si>
  <si>
    <t xml:space="preserve"> Selección de la muestra</t>
  </si>
  <si>
    <t xml:space="preserve">ID </t>
  </si>
  <si>
    <t>Tipo*</t>
  </si>
  <si>
    <t>Direccionamiento alternativo (migas)*</t>
  </si>
  <si>
    <t>Tipos de elementos</t>
  </si>
  <si>
    <t>Ej. Imágenes, tablas, listas, multimedia, formularios, plantilla X, plantilla Y</t>
  </si>
  <si>
    <t>¿MUESTRA CORRECTA?</t>
  </si>
  <si>
    <t xml:space="preserve"> Revisión de la muestra</t>
  </si>
  <si>
    <t>EVALUADOS</t>
  </si>
  <si>
    <t>%</t>
  </si>
  <si>
    <t>PENDIENTES</t>
  </si>
  <si>
    <t>Pasa</t>
  </si>
  <si>
    <t>No decide</t>
  </si>
  <si>
    <t>Falla</t>
  </si>
  <si>
    <t>No testeado</t>
  </si>
  <si>
    <t xml:space="preserve">Total </t>
  </si>
  <si>
    <t>No aplica</t>
  </si>
  <si>
    <t>Resultado</t>
  </si>
  <si>
    <t>N/T</t>
  </si>
  <si>
    <t>No Testeado</t>
  </si>
  <si>
    <t>N/A</t>
  </si>
  <si>
    <t>No Aplica</t>
  </si>
  <si>
    <t>N/D</t>
  </si>
  <si>
    <t>No Decide</t>
  </si>
  <si>
    <t>Resultados agregados</t>
  </si>
  <si>
    <t>EVALUADO</t>
  </si>
  <si>
    <t>PENDIENTE DE EVALUAR</t>
  </si>
  <si>
    <t>Conforme</t>
  </si>
  <si>
    <t>No conforme</t>
  </si>
  <si>
    <t>Error</t>
  </si>
  <si>
    <t>En Curso</t>
  </si>
  <si>
    <t>Evaluación</t>
  </si>
  <si>
    <t xml:space="preserve">Pasa </t>
  </si>
  <si>
    <t>TOTAL</t>
  </si>
  <si>
    <t>Situación de Cumplimiento</t>
  </si>
  <si>
    <t>Muestra</t>
  </si>
  <si>
    <t>Ambito geográfico</t>
  </si>
  <si>
    <t>Ambito temático</t>
  </si>
  <si>
    <t>Nivel compliance</t>
  </si>
  <si>
    <t>V/F</t>
  </si>
  <si>
    <t>Tipos de página</t>
  </si>
  <si>
    <t>Tipo de sitio web</t>
  </si>
  <si>
    <t>AGE</t>
  </si>
  <si>
    <t>Autoevaluacion con recursos propios</t>
  </si>
  <si>
    <t>A WCAG2.1</t>
  </si>
  <si>
    <t>Sí</t>
  </si>
  <si>
    <t>Fija</t>
  </si>
  <si>
    <t>Página inicio</t>
  </si>
  <si>
    <t>CCAA</t>
  </si>
  <si>
    <t>Autoevaluación con recursos externos</t>
  </si>
  <si>
    <t>AA WCAG 2.1</t>
  </si>
  <si>
    <t>Aleatoria</t>
  </si>
  <si>
    <t>Inicio de sesión</t>
  </si>
  <si>
    <t>EELL</t>
  </si>
  <si>
    <t>Inspección acreditada por ENAC</t>
  </si>
  <si>
    <t>Mapa web</t>
  </si>
  <si>
    <t>Otros</t>
  </si>
  <si>
    <t>Contacto</t>
  </si>
  <si>
    <t>Ayuda</t>
  </si>
  <si>
    <t>Legal</t>
  </si>
  <si>
    <t>Servicio / Proceso</t>
  </si>
  <si>
    <t>Búsqueda</t>
  </si>
  <si>
    <t>Declaración accesibilidad</t>
  </si>
  <si>
    <t>Mecanismo de comunicación</t>
  </si>
  <si>
    <t>Pagina tipo</t>
  </si>
  <si>
    <t>Otras páginas</t>
  </si>
  <si>
    <t>Documento descargable</t>
  </si>
  <si>
    <t>PARÁMETROS DE CONTEO</t>
  </si>
  <si>
    <t>Porcentaje fallos por criterio para OK</t>
  </si>
  <si>
    <t>Límite para Situación Cumplimiento = No Conforme</t>
  </si>
  <si>
    <t>Límite para Situación Cumplimiento = Plenamente Conforme</t>
  </si>
  <si>
    <t>CÁLCULOS INTERMEDIOS</t>
  </si>
  <si>
    <t>Columnas A</t>
  </si>
  <si>
    <t>Columnas AA</t>
  </si>
  <si>
    <t>Change Log</t>
  </si>
  <si>
    <t>UNE</t>
  </si>
  <si>
    <t>11.7 Preferencias de usuario</t>
  </si>
  <si>
    <t>12.1.1 Características de accesibilidad y compatibilidad</t>
  </si>
  <si>
    <t>12.1.2 Documentación accesible</t>
  </si>
  <si>
    <t>12.2.2 Información sobre las características de accesibilidad y compatibilidad</t>
  </si>
  <si>
    <t>12.2.3 Comunicación efectiva</t>
  </si>
  <si>
    <t>12.2.4 Documentación accesible</t>
  </si>
  <si>
    <t>Requisitos: Documentación y Servicios de Apoyo</t>
  </si>
  <si>
    <t>5.2</t>
  </si>
  <si>
    <t>5.3</t>
  </si>
  <si>
    <t>5.4</t>
  </si>
  <si>
    <t>6.1</t>
  </si>
  <si>
    <t>6.2.4</t>
  </si>
  <si>
    <t>6.3</t>
  </si>
  <si>
    <t>6.5.2</t>
  </si>
  <si>
    <t>6.5.3</t>
  </si>
  <si>
    <t>7.1.1</t>
  </si>
  <si>
    <t>7.1.2</t>
  </si>
  <si>
    <t>7.1.3</t>
  </si>
  <si>
    <t>7.2.1</t>
  </si>
  <si>
    <t>7.2.2</t>
  </si>
  <si>
    <t>7.2.3</t>
  </si>
  <si>
    <t>7.3</t>
  </si>
  <si>
    <t>11.7</t>
  </si>
  <si>
    <t>11.8.1</t>
  </si>
  <si>
    <t>11.8.2</t>
  </si>
  <si>
    <t>11.8.3</t>
  </si>
  <si>
    <t>11.8.4</t>
  </si>
  <si>
    <t>11.8.5</t>
  </si>
  <si>
    <t>12.1.1</t>
  </si>
  <si>
    <t>12.1.2</t>
  </si>
  <si>
    <t>12.2.2</t>
  </si>
  <si>
    <t>12.2.3</t>
  </si>
  <si>
    <t>12.2.4</t>
  </si>
  <si>
    <t>Pestaña 00.Info</t>
  </si>
  <si>
    <t>Pestaña 01. Definición de ámbito</t>
  </si>
  <si>
    <t>Versión</t>
  </si>
  <si>
    <t>Nombre de la URA*</t>
  </si>
  <si>
    <t>Id</t>
  </si>
  <si>
    <t>Nombre corto</t>
  </si>
  <si>
    <t>Tipo</t>
  </si>
  <si>
    <t>Migas</t>
  </si>
  <si>
    <t>DIR3 de la URA*</t>
  </si>
  <si>
    <t>Criterios de conformidad</t>
  </si>
  <si>
    <t>En curso</t>
  </si>
  <si>
    <t>Ámbito competencial de la URA*</t>
  </si>
  <si>
    <t>DIR3 del ámbito competencial de la URA*</t>
  </si>
  <si>
    <t>DIR3 de la Entidad responsable*</t>
  </si>
  <si>
    <t>Evaluado</t>
  </si>
  <si>
    <t>Alcance de la revisión*</t>
  </si>
  <si>
    <t>Fecha de la revisión*</t>
  </si>
  <si>
    <t>Pendiente de evaluar</t>
  </si>
  <si>
    <t>Nivel de conformidad a analizar*</t>
  </si>
  <si>
    <t>Soporte de accesibilidad mínimo*</t>
  </si>
  <si>
    <t>Ámbito territorial*</t>
  </si>
  <si>
    <t>Situación de cumplimiento</t>
  </si>
  <si>
    <t>Tipo de evaluación*</t>
  </si>
  <si>
    <t>Ámbito temático*</t>
  </si>
  <si>
    <t xml:space="preserve">
</t>
  </si>
  <si>
    <t>Los ámbitos temáticos que se muestran a continuación son los indicados en la Decisión de ejecución 2018/1524.
Las aplicaciones móviles que no pertenezcan a ninguno de los ámbitos temáticos indicados no seleccionarán ningún ámbito.</t>
  </si>
  <si>
    <t>Pantallas</t>
  </si>
  <si>
    <t>¿Muestra correcta?</t>
  </si>
  <si>
    <t>Requisitos de accesibilidad</t>
  </si>
  <si>
    <t>Requisitos: Perceptible (9.1), Operable (9.2), Comprensible (9.3) y Robusto (9.4)</t>
  </si>
  <si>
    <t>DOCUMENTOS NO WEB</t>
  </si>
  <si>
    <t>9.1.1.1</t>
  </si>
  <si>
    <t>9.1.2.1</t>
  </si>
  <si>
    <t>9.1.2.2</t>
  </si>
  <si>
    <t>9.1.2.3</t>
  </si>
  <si>
    <t>9.1.2.5</t>
  </si>
  <si>
    <t>9.1.3.1</t>
  </si>
  <si>
    <t>9.1.3.2</t>
  </si>
  <si>
    <t>9.1.3.3</t>
  </si>
  <si>
    <t>9.1.3.4</t>
  </si>
  <si>
    <t>9.1.3.5</t>
  </si>
  <si>
    <t>9.1.4.1</t>
  </si>
  <si>
    <t>9.1.4.2</t>
  </si>
  <si>
    <t>9.1.4.3</t>
  </si>
  <si>
    <t>9.1.4.4</t>
  </si>
  <si>
    <t>9.1.4.5</t>
  </si>
  <si>
    <t>9.1.4.10</t>
  </si>
  <si>
    <t>9.1.4.11</t>
  </si>
  <si>
    <t>9.1.4.12</t>
  </si>
  <si>
    <t>9.1.4.13</t>
  </si>
  <si>
    <t>9.2.1.1</t>
  </si>
  <si>
    <t>9.2.1.2</t>
  </si>
  <si>
    <t>9.2.1.4</t>
  </si>
  <si>
    <t>9.2.2.1</t>
  </si>
  <si>
    <t>9.2.2.2</t>
  </si>
  <si>
    <t>9.2.3.1</t>
  </si>
  <si>
    <t>9.2.4.3</t>
  </si>
  <si>
    <t>9.2.4.4</t>
  </si>
  <si>
    <t>9.2.4.6</t>
  </si>
  <si>
    <t>9.2.4.7</t>
  </si>
  <si>
    <t>9.2.5.1</t>
  </si>
  <si>
    <t>9.2.5.2</t>
  </si>
  <si>
    <t>9.2.5.3</t>
  </si>
  <si>
    <t>9.2.5.4</t>
  </si>
  <si>
    <t>9.3.1.1</t>
  </si>
  <si>
    <t>9.3.2.1</t>
  </si>
  <si>
    <t>9.3.2.2</t>
  </si>
  <si>
    <t>9.3.3.1</t>
  </si>
  <si>
    <t>9.3.3.2</t>
  </si>
  <si>
    <t>9.3.3.3</t>
  </si>
  <si>
    <t>9.3.3.4</t>
  </si>
  <si>
    <t>9.4.1.1</t>
  </si>
  <si>
    <t>9.4.1.2</t>
  </si>
  <si>
    <t>10.1.1.1</t>
  </si>
  <si>
    <t>10.1.2.1</t>
  </si>
  <si>
    <t>10.1.2.2</t>
  </si>
  <si>
    <t>10.1.2.3</t>
  </si>
  <si>
    <t>10.1.2.5</t>
  </si>
  <si>
    <t>10.1.3.1</t>
  </si>
  <si>
    <t>10.1.3.2</t>
  </si>
  <si>
    <t>10.1.3.3</t>
  </si>
  <si>
    <t>10.1.3.4</t>
  </si>
  <si>
    <t>10.1.3.5</t>
  </si>
  <si>
    <t>10.1.4.1</t>
  </si>
  <si>
    <t>10.1.4.2</t>
  </si>
  <si>
    <t>10.1.4.3</t>
  </si>
  <si>
    <t>10.1.4.4</t>
  </si>
  <si>
    <t>10.1.4.5</t>
  </si>
  <si>
    <t>10.1.4.10</t>
  </si>
  <si>
    <t>10.1.4.11</t>
  </si>
  <si>
    <t>10.1.4.12</t>
  </si>
  <si>
    <t>10.1.4.13</t>
  </si>
  <si>
    <t>10.2.1.1</t>
  </si>
  <si>
    <t>10.2.1.2</t>
  </si>
  <si>
    <t>10.2.1.4</t>
  </si>
  <si>
    <t>10.2.2.1</t>
  </si>
  <si>
    <t>10.2.2.2</t>
  </si>
  <si>
    <t>10.2.3.1</t>
  </si>
  <si>
    <t>10.2.4.3</t>
  </si>
  <si>
    <t>10.2.4.4</t>
  </si>
  <si>
    <t>10.2.4.6</t>
  </si>
  <si>
    <t>10.2.4.7</t>
  </si>
  <si>
    <t>10.2.5.1</t>
  </si>
  <si>
    <t>10.2.5.2</t>
  </si>
  <si>
    <t>10.2.5.3</t>
  </si>
  <si>
    <t>10.2.5.4</t>
  </si>
  <si>
    <t>10.3.1.1</t>
  </si>
  <si>
    <t>10.3.2.1</t>
  </si>
  <si>
    <t>10.3.2.2</t>
  </si>
  <si>
    <t>10.3.3.1</t>
  </si>
  <si>
    <t>10.3.3.2</t>
  </si>
  <si>
    <t>10.3.3.3</t>
  </si>
  <si>
    <t>10.3.3.4</t>
  </si>
  <si>
    <t>10.4.1.1</t>
  </si>
  <si>
    <t>10.4.1.2</t>
  </si>
  <si>
    <t>10.3.1.2</t>
  </si>
  <si>
    <t>10.2.4.2</t>
  </si>
  <si>
    <t>9.2.4.1</t>
  </si>
  <si>
    <t>9.2.4.2</t>
  </si>
  <si>
    <t>9.2.4.5</t>
  </si>
  <si>
    <t>9.3.1.2</t>
  </si>
  <si>
    <t>9.3.2.3</t>
  </si>
  <si>
    <t>9.3.2.4</t>
  </si>
  <si>
    <t>9.4.1.3</t>
  </si>
  <si>
    <t>Nombre corto*</t>
  </si>
  <si>
    <t>Clase*</t>
  </si>
  <si>
    <t>5.4 Preservación de la información de accesibilidad durante una conversión (Condicional)</t>
  </si>
  <si>
    <t>5.2 Activación de características de accesibilidad (Condicional)</t>
  </si>
  <si>
    <t>5.3 Biométrica (Condicional)</t>
  </si>
  <si>
    <t>6.1 Anchura de banda para voz (Condicional)</t>
  </si>
  <si>
    <t>6.3 Identificación de llamadas (Condicional)</t>
  </si>
  <si>
    <t>7.1.1 Reproducción del subtitulado (Condicional)</t>
  </si>
  <si>
    <t>7.1.2 Sincronización del subtitulado (Condicional)</t>
  </si>
  <si>
    <t>7.1.3 Preservación del subtitulado (Condicional)</t>
  </si>
  <si>
    <t>7.2.1 Reproducción de la audiodescripción (Condicional)</t>
  </si>
  <si>
    <t>7.2.2 Sincronización de la audiodescripción (Condicional)</t>
  </si>
  <si>
    <t>7.2.3 Preservación de la audiodescripción (Condicional)</t>
  </si>
  <si>
    <t>7.3 Controles de usuario para subtítulos y audiodescripción (Condicional)</t>
  </si>
  <si>
    <t>11.8.1 Tecnología de gestión de contenidos (Condicional)</t>
  </si>
  <si>
    <t>11.8.2 Creación de contenidos accesibles (Condicional)</t>
  </si>
  <si>
    <t>11.8.3 Preservación de la información de accesibilidad durante las transformaciones (Condicional)</t>
  </si>
  <si>
    <t>11.8.4 Servicio de reparación (Condicional)</t>
  </si>
  <si>
    <t>11.8.5 Plantillas (Condicional)</t>
  </si>
  <si>
    <t>-</t>
  </si>
  <si>
    <t>ID</t>
  </si>
  <si>
    <t>Documentos no web</t>
  </si>
  <si>
    <t>Clase</t>
  </si>
  <si>
    <t>Requisitos: Perceptible (10.1), Operable (10.2), Comprensible (10.3) y Robusto (10.4)</t>
  </si>
  <si>
    <r>
      <t>4. Los resultados agregados del proceso de validación serán consolidados automáticamente en la hoja "</t>
    </r>
    <r>
      <rPr>
        <b/>
        <sz val="12"/>
        <color rgb="FF000000"/>
        <rFont val="Arial"/>
        <family val="2"/>
      </rPr>
      <t>RESULTADOS</t>
    </r>
    <r>
      <rPr>
        <sz val="12"/>
        <color rgb="FF000000"/>
        <rFont val="Arial"/>
        <family val="2"/>
      </rPr>
      <t>".</t>
    </r>
  </si>
  <si>
    <t>¿Muestra Correcta?</t>
  </si>
  <si>
    <t>Empleo y Fiscalidad</t>
  </si>
  <si>
    <t>Protección del Medio Ambiente</t>
  </si>
  <si>
    <t>Orden Público y Seguridad</t>
  </si>
  <si>
    <t>Vivienda y Servicios Comunitarios</t>
  </si>
  <si>
    <t>Análisis de accesibilidad en profundidad de un sitio web</t>
  </si>
  <si>
    <r>
      <t xml:space="preserve">Cómo utilizar el documento
</t>
    </r>
    <r>
      <rPr>
        <sz val="10"/>
        <color rgb="FF000000"/>
        <rFont val="Arial"/>
        <family val="2"/>
      </rPr>
      <t xml:space="preserve">
</t>
    </r>
    <r>
      <rPr>
        <sz val="12"/>
        <color rgb="FF000000"/>
        <rFont val="Arial"/>
        <family val="2"/>
      </rPr>
      <t xml:space="preserve">El orden recomendado para cumplimentar la información es el siguiente:
</t>
    </r>
    <r>
      <rPr>
        <sz val="10"/>
        <color rgb="FF000000"/>
        <rFont val="Arial"/>
        <family val="2"/>
      </rPr>
      <t xml:space="preserve">
</t>
    </r>
    <r>
      <rPr>
        <sz val="12"/>
        <color rgb="FF000000"/>
        <rFont val="Arial"/>
        <family val="2"/>
      </rPr>
      <t>1. Rellenar en primer lugar la información de la hoja "</t>
    </r>
    <r>
      <rPr>
        <b/>
        <sz val="12"/>
        <color rgb="FF000000"/>
        <rFont val="Arial"/>
        <family val="2"/>
      </rPr>
      <t>01.Definición de ámbito</t>
    </r>
    <r>
      <rPr>
        <sz val="12"/>
        <color rgb="FF000000"/>
        <rFont val="Arial"/>
        <family val="2"/>
      </rPr>
      <t>" y</t>
    </r>
    <r>
      <rPr>
        <b/>
        <sz val="12"/>
        <color rgb="FF000000"/>
        <rFont val="Arial"/>
        <family val="2"/>
      </rPr>
      <t xml:space="preserve"> "02. Tecnologías".</t>
    </r>
  </si>
  <si>
    <r>
      <rPr>
        <b/>
        <vertAlign val="superscript"/>
        <sz val="12"/>
        <rFont val="Arial"/>
        <family val="2"/>
      </rPr>
      <t>2</t>
    </r>
    <r>
      <rPr>
        <vertAlign val="superscript"/>
        <sz val="12"/>
        <rFont val="Arial"/>
        <family val="2"/>
      </rPr>
      <t xml:space="preserve"> </t>
    </r>
    <r>
      <rPr>
        <u/>
        <sz val="12"/>
        <color theme="10"/>
        <rFont val="Arial"/>
        <family val="2"/>
      </rPr>
      <t>http://administracionelectronica.gob.es/PAe/accesibilidad/documentacion/guia_validacion_accesibilidad</t>
    </r>
  </si>
  <si>
    <t>Entidad responsable del Sitio web*</t>
  </si>
  <si>
    <t>Correo electrónico de la Entidad/Persona responsable del Sitio web*</t>
  </si>
  <si>
    <t>Tipología del sitio web*</t>
  </si>
  <si>
    <t>Nombre Sitio Web*</t>
  </si>
  <si>
    <t>URL del Sitio Web*</t>
  </si>
  <si>
    <t>Funcionalidad esencial del sitio web*</t>
  </si>
  <si>
    <t>Sedes electrónicas y servicios electrónicos</t>
  </si>
  <si>
    <t>Sitios web</t>
  </si>
  <si>
    <t>Intranets y Extranets</t>
  </si>
  <si>
    <t xml:space="preserve"> Tecnologías aplicadas</t>
  </si>
  <si>
    <t>Indicar las tecnologías web en las que se basa la conformidad de la accesibilidad</t>
  </si>
  <si>
    <t>Para añadir otras tecnologías, seleccionar "Otras" y rellenar los campos "Nombre Tecnología" y "URL de la Especificación o Descripción". 
El campo "URL de la especificación” debe identificar la especificación de la tecnología utilizada.</t>
  </si>
  <si>
    <t>HTML5</t>
  </si>
  <si>
    <t>ECMAScript 3</t>
  </si>
  <si>
    <t>OOXML</t>
  </si>
  <si>
    <t>XHTML 1.0</t>
  </si>
  <si>
    <t>ECMAScript 5</t>
  </si>
  <si>
    <t>ODF 1.2</t>
  </si>
  <si>
    <t>HTML 4.01</t>
  </si>
  <si>
    <t>DOM</t>
  </si>
  <si>
    <t>SVG</t>
  </si>
  <si>
    <t>CSS</t>
  </si>
  <si>
    <t>Flash</t>
  </si>
  <si>
    <t>OTRAS</t>
  </si>
  <si>
    <t>Nombre Tecnología</t>
  </si>
  <si>
    <t>URL de la Especificación o Descripción</t>
  </si>
  <si>
    <t>WAI-ARIA</t>
  </si>
  <si>
    <t>Silverlight</t>
  </si>
  <si>
    <t>* Es obligatorio rellenar esta pestaña</t>
  </si>
  <si>
    <t>URL página*</t>
  </si>
  <si>
    <t>PAGINAS SELECCIONADAS</t>
  </si>
  <si>
    <t>PÁGINAS NO ALEATORIAS</t>
  </si>
  <si>
    <t>PAGINAS ALEATORIAS</t>
  </si>
  <si>
    <t>6.2.2.4 Indicador visual de audio con texto en tiempo real (Condicional)</t>
  </si>
  <si>
    <t>6.4 Alternativas a los servicios basados ​​en voz (Condicional)</t>
  </si>
  <si>
    <t>6.5.4 Sincronización entre audio y video (Condicional)</t>
  </si>
  <si>
    <t>6.5.5 Indicador visual de audio con video (Condicional)</t>
  </si>
  <si>
    <t>Requisitos: Páginas web con comunicación bidireccional por voz</t>
  </si>
  <si>
    <t>Requisitos: Páginas web con capacidades de vídeo</t>
  </si>
  <si>
    <t>7.1.4 Características de los subtítulos (Condicional)</t>
  </si>
  <si>
    <t>7.1.5 Subtítulos hablados (Condicional)</t>
  </si>
  <si>
    <t>Requisitos: Preferencias de usuario (11.7) y Herramientas de Autor (11.8)</t>
  </si>
  <si>
    <t>6.2.1.1</t>
  </si>
  <si>
    <t>6.2.1.2</t>
  </si>
  <si>
    <t>6.2.2.1</t>
  </si>
  <si>
    <t>6.2.2.2</t>
  </si>
  <si>
    <t>6.2.2.3</t>
  </si>
  <si>
    <t>6.2.2.4</t>
  </si>
  <si>
    <t>6.2.3 a)</t>
  </si>
  <si>
    <t>6.2.3 b)</t>
  </si>
  <si>
    <t>6.2.3 c)</t>
  </si>
  <si>
    <t>6.2.3 d)</t>
  </si>
  <si>
    <t>6.4</t>
  </si>
  <si>
    <t>6.5.4</t>
  </si>
  <si>
    <t>6.5.5</t>
  </si>
  <si>
    <t>6.5.6</t>
  </si>
  <si>
    <t>7.1.4</t>
  </si>
  <si>
    <t>7.1.5</t>
  </si>
  <si>
    <t>Puntuación Media del Sitio Web</t>
  </si>
  <si>
    <t>SITIO WEB</t>
  </si>
  <si>
    <t>URL</t>
  </si>
  <si>
    <t>Pestaña 02.Tecnologías</t>
  </si>
  <si>
    <t>Nombre</t>
  </si>
  <si>
    <t>url</t>
  </si>
  <si>
    <t>Pestaña 03. Muestra</t>
  </si>
  <si>
    <t>Páginas seleccionadas</t>
  </si>
  <si>
    <t>Páginas no aleatorias</t>
  </si>
  <si>
    <t>Páginas aleatorias</t>
  </si>
  <si>
    <t>Pestaña RESULTADOS</t>
  </si>
  <si>
    <t>Puntuación media del sitio web</t>
  </si>
  <si>
    <t>10.4.1.3</t>
  </si>
  <si>
    <t>6.2.1.1 Comuniación mediante RTT (Condicional)</t>
  </si>
  <si>
    <t>6.2.1.2 Voz y texto simultáneos (Condicional)</t>
  </si>
  <si>
    <t>6.2.2.1 Presentación en pantalla diferenciable visualmente (Condicional)</t>
  </si>
  <si>
    <t>6.2.2.2 Dirección de envío y recepción determinable por software (Condicional)</t>
  </si>
  <si>
    <t>6.2.4 Capacidad de respuesta de RTT (Condicional)</t>
  </si>
  <si>
    <r>
      <rPr>
        <b/>
        <vertAlign val="superscript"/>
        <sz val="12"/>
        <rFont val="Arial"/>
        <family val="2"/>
      </rPr>
      <t>1</t>
    </r>
    <r>
      <rPr>
        <sz val="12"/>
        <color theme="10"/>
        <rFont val="Arial"/>
        <family val="2"/>
      </rPr>
      <t xml:space="preserve"> </t>
    </r>
    <r>
      <rPr>
        <u/>
        <sz val="12"/>
        <color theme="10"/>
        <rFont val="Arial"/>
        <family val="2"/>
      </rPr>
      <t>http://www.etsi.org/deliver/etsi_en/301500_301599/301549/03.02.01_60/en_301549v030201p.pdf</t>
    </r>
  </si>
  <si>
    <t>Análisis de accesibilidad en profundidad de sitio web</t>
  </si>
  <si>
    <t>N.º Requisitos x N.º Páginas</t>
  </si>
  <si>
    <t>Nº Requisitos x Nº Páginas</t>
  </si>
  <si>
    <t>PÁGINAS WEB</t>
  </si>
  <si>
    <t>URL del Documento no web</t>
  </si>
  <si>
    <t>URL de la Página web</t>
  </si>
  <si>
    <t>6.2.2.3 Identificación del hablante (Condicional)</t>
  </si>
  <si>
    <t>6.2.3 Interoperabilidad - Apartado a) (Condicional)</t>
  </si>
  <si>
    <t>6.2.3  Interoperabilidad - Apartado b) (Condicional)</t>
  </si>
  <si>
    <t>6.2.3 Interoperabilidad - Apartado c) (Condicional)</t>
  </si>
  <si>
    <t>6.2.3 Interoperabilidad - Apartado d) (Condicional)</t>
  </si>
  <si>
    <t>6.5.2 Resolución - Apartado a) (Condicional)</t>
  </si>
  <si>
    <t>6.5.3 Frecuencia de imagen - Apartado a) (Condicional)</t>
  </si>
  <si>
    <t>6.5.6 Identificación del hablante con comunicación por video (lenguaje de signos)  (Condicional)</t>
  </si>
  <si>
    <t>Requisitos: Genéricos</t>
  </si>
  <si>
    <t>9.1.1.1 Contenido no textual (Condicional)</t>
  </si>
  <si>
    <t>9.1.2.1 Solo audio y solo vídeo (grabado)  (Condicional)</t>
  </si>
  <si>
    <t>9.1.2.2 Subtítulos (grabados) (Condicional)</t>
  </si>
  <si>
    <t>9.1.2.3 Audiodescripción o Medio Alternativo (grabado) (Condicional)</t>
  </si>
  <si>
    <t>9.1.2.5 Audiodescripción (grabada) (Condicional)</t>
  </si>
  <si>
    <t>9.1.3.1 Información y relaciones (Condicional)</t>
  </si>
  <si>
    <t>9.1.3.2 Secuencia significativa (Condicional)</t>
  </si>
  <si>
    <t>9.1.3.3 Características sensoriales (Condicional)</t>
  </si>
  <si>
    <t>9.1.3.4 Orientación (Condicional)</t>
  </si>
  <si>
    <t>9.1.3.5 Identificación del propósito de la entrada (Condicional)</t>
  </si>
  <si>
    <t>9.1.4.1 Uso del Color (Condicional)</t>
  </si>
  <si>
    <t>9.1.4.2 Control del audio (Condicional)</t>
  </si>
  <si>
    <t>9.1.4.3 Contraste (mínimo) (Condicional)</t>
  </si>
  <si>
    <t>9.1.4.4 Cambio de tamaño del texto (Condicional)</t>
  </si>
  <si>
    <t>9.1.4.5 Imágenes de texto (Condicional)</t>
  </si>
  <si>
    <t>9.1.4.10 Reajuste del texto (Condicional)</t>
  </si>
  <si>
    <t>9.1.4.11 Contraste no textual (Condicional)</t>
  </si>
  <si>
    <t>9.1.4.12 Espaciado del texto (Condicional)</t>
  </si>
  <si>
    <t>9.1.4.13 Contenido señalado con el puntero o que tiene el foco (Condicional)</t>
  </si>
  <si>
    <t>9.2.1.1 Teclado (Condicional)</t>
  </si>
  <si>
    <t>9.2.1.2 Sin trampas para el foco del teclado (Condicional)</t>
  </si>
  <si>
    <t>9.2.1.4  Atajos del teclado (Condicional)</t>
  </si>
  <si>
    <t>9.2.2.1 Tiempo ajustable (Condicional)</t>
  </si>
  <si>
    <t>9.2.2.2 Poner en pausa, detener, ocultar (Condicional)</t>
  </si>
  <si>
    <t>9.2.3.1 Umbral de tres destellos o menos (Condicional)</t>
  </si>
  <si>
    <t>9.2.4.1 Evitar bloques (Condicional)</t>
  </si>
  <si>
    <t>9.2.4.2 Titulado de páginas (Condicional)</t>
  </si>
  <si>
    <t>9.2.4.3 Orden del foco (Condicional)</t>
  </si>
  <si>
    <t>9.2.4.4 Propósito de los enlaces (en contexto) (Condicional)</t>
  </si>
  <si>
    <t>9.2.4.5 Múltiples vías (Condicional)</t>
  </si>
  <si>
    <t>9.2.4.6 Encabezados y etiquetas (Condicional)</t>
  </si>
  <si>
    <t>9.2.4.7 Foco visible (Condicional)</t>
  </si>
  <si>
    <t>9.2.5.1 Gestos con el puntero (Condicional)</t>
  </si>
  <si>
    <t>9.2.5.2 Cancelación del puntero (Condicional)</t>
  </si>
  <si>
    <t>9.2.5.3 Inclusión de la etiqueta en el nombre (Condicional)</t>
  </si>
  <si>
    <t>9.2.5.4. Activación mediante movimiento (Condicional)</t>
  </si>
  <si>
    <t>9.3.1.1 Idioma de la página (Condicional)</t>
  </si>
  <si>
    <t>9.3.1.2 Idioma de las partes (Condicional)</t>
  </si>
  <si>
    <t>9.3.2.1 Al recibir el foco (Condicional)</t>
  </si>
  <si>
    <t>9.3.2.2 Al recibir entradas (Condicional)</t>
  </si>
  <si>
    <t>9.3.2.3 Navegación coherente (Condicional)</t>
  </si>
  <si>
    <t>9.3.2.4 Identificación coherente (Condicional)</t>
  </si>
  <si>
    <t>9.3.3.1 Identificación de errores (Condicional)</t>
  </si>
  <si>
    <t>9.3.3.2 Etiquetas o instrucciones (Condicional)</t>
  </si>
  <si>
    <t>9.3.3.3 Sugerencias ante errores (Condicional)</t>
  </si>
  <si>
    <t>9.3.3.4 Prevención de errores (legales, financieros, de datos) (Condicional)</t>
  </si>
  <si>
    <t>9.4.1.1 Procesamiento (Condicional)</t>
  </si>
  <si>
    <t>9.4.1.2 Nombre, función, valor (Condicional)</t>
  </si>
  <si>
    <t>9.4.1.3 Mensajes de estado (Condicional)</t>
  </si>
  <si>
    <t>10.1.1.1 Contenido no textual (Condicional)</t>
  </si>
  <si>
    <t>10.1.2.1 Solo audio y solo vídeo (grabado) (Condicional)</t>
  </si>
  <si>
    <t>10.1.2.2 Subtítulos (grabados) (Condicional)</t>
  </si>
  <si>
    <t>10.1.2.3 Audiodescripción o contenido multimedia alternativo (grabado) (Condicional)</t>
  </si>
  <si>
    <t>10.1.2.5 Audiodescripción (grabada) (Condicional)</t>
  </si>
  <si>
    <t>10.1.3.1 Información y relaciones (Condicional)</t>
  </si>
  <si>
    <t>10.1.3.2 Secuencia significativa (Condicional)</t>
  </si>
  <si>
    <t>10.1.3.3 Características sensoriales (Condicional)</t>
  </si>
  <si>
    <t>10.1.3.4 Orientación (Condicional)</t>
  </si>
  <si>
    <t>10.1.3.5 Identificación del propósito de la entrada (Condicional)</t>
  </si>
  <si>
    <t>10.1.4.1 Uso del Color (Condicional)</t>
  </si>
  <si>
    <t>10.1.4.2 Control del audio (Condicional)</t>
  </si>
  <si>
    <t>10.1.4.3 Contraste (mínimo) (Condicional)</t>
  </si>
  <si>
    <t>10.1.4.4 Cambio de tamaño del texto (Condicional)</t>
  </si>
  <si>
    <t>10.1.4.5 Imágenes de texto (Condicional)</t>
  </si>
  <si>
    <t>10.1.4.10 Reajuste del texto (Condicional)</t>
  </si>
  <si>
    <t>10.1.4.11 Contraste no textual (Condicional)</t>
  </si>
  <si>
    <t>10.1.4.12 Espaciado del texto (Condicional)</t>
  </si>
  <si>
    <t>10.1.4.13 Contenido señalado con el puntero o que tiene el foco (Condicional)</t>
  </si>
  <si>
    <t>10.2.1.1 Teclado (Condicional)</t>
  </si>
  <si>
    <t>10.2.1.2 Sin trampas para el foco del teclado (Condicional)</t>
  </si>
  <si>
    <t>10.2.1.4  Atajos del teclado (Condicional)</t>
  </si>
  <si>
    <t>10.2.2.1 Tiempo ajustable (Condicional)</t>
  </si>
  <si>
    <t>10.2.2.2 Poner en pausa, detener, ocultar (Condicional)</t>
  </si>
  <si>
    <t>10.2.3.1 Umbral de tres destellos o menos (Condicional)</t>
  </si>
  <si>
    <t>10.2.4.2 Titulado de documento (Condicional)</t>
  </si>
  <si>
    <t>10.2.4.3 Orden del foco (Condicional)</t>
  </si>
  <si>
    <t>10.2.4.4 Propósito de los enlaces (en contexto) (Condicional)</t>
  </si>
  <si>
    <t>10.2.4.6 Encabezados y etiquetas (Condicional)</t>
  </si>
  <si>
    <t>10.2.4.7 Foco visible (Condicional)</t>
  </si>
  <si>
    <t>10.2.5.1 Gestos con el puntero (Condicional)</t>
  </si>
  <si>
    <t>10.2.5.2 Cancelación del puntero (Condicional)</t>
  </si>
  <si>
    <t>10.2.5.3 Inclusión de la etiqueta en el nombre (Condicional)</t>
  </si>
  <si>
    <t>10.2.5.4. Activación mediante movimiento (Condicional)</t>
  </si>
  <si>
    <t>10.3.1.1 Idioma de la página (Condicional)</t>
  </si>
  <si>
    <t>10.3.1.2 Idioma de las partes (Condicional)</t>
  </si>
  <si>
    <t>10.3.2.1 Al recibir el foco (Condicional)</t>
  </si>
  <si>
    <t>10.3.2.2 Al recibir entradas (Condicional)</t>
  </si>
  <si>
    <t>10.3.3.1 Identificación de errores (Condicional)</t>
  </si>
  <si>
    <t>10.3.3.2 Etiquetas o instrucciones (Condicional)</t>
  </si>
  <si>
    <t>10.3.3.3 Sugerencias ante errores (Condicional)</t>
  </si>
  <si>
    <t>10.3.3.4 Prevención de errores (legales, financieros, datos) (Condicional)</t>
  </si>
  <si>
    <t>10.4.1.1 Procesamiento (Condicional)</t>
  </si>
  <si>
    <t>10.4.1.2 Nombre, función, valor (Condicional)</t>
  </si>
  <si>
    <t>10.4.1.3 Mensajes de estado (Condicional)</t>
  </si>
  <si>
    <t>9.6</t>
  </si>
  <si>
    <t>9.6 Requisitos de conformidad de las Pautas WCAG (Condicional)</t>
  </si>
  <si>
    <r>
      <rPr>
        <sz val="12"/>
        <color rgb="FF000000"/>
        <rFont val="Arial"/>
        <family val="2"/>
      </rPr>
      <t>2. En la pestaña "</t>
    </r>
    <r>
      <rPr>
        <b/>
        <sz val="12"/>
        <color rgb="FF000000"/>
        <rFont val="Arial"/>
        <family val="2"/>
      </rPr>
      <t>03. Muestra</t>
    </r>
    <r>
      <rPr>
        <sz val="12"/>
        <color rgb="FF000000"/>
        <rFont val="Arial"/>
        <family val="2"/>
      </rPr>
      <t xml:space="preserve">" deberán indicarse las páginas que forman parte de la muestra. 
Para su selección deberá tenerse en cuenta lo indicado en el apdo. 3.2 de la Decisión de Ejecución (UE) 2018/1524.
 - Entre las páginas  seleccionadas, en caso de existir, deberán figurar de forma obligatoria las siguientes: Página de inicio, Inicio de sesión, Mapa del sitio, Contacto, Ayuda, Información legal, página de la Declaración de accesibilidad y página que contenga el Mecanismo de comunicación. 
- También deberá seleccionarse, como mínimo, una página para cada tipo de servicio prestado por el sitio web, incluida la función de búsqueda, ejemplos de páginas cuya apariencia sea sustancialmente distinta o que presenten un tipo de contenido diferente y como mínimo, un documento descargable pertinente, si procede, para cada tipo de servicio prestado por el sitio web. 
- Si cualquiera de las páginas de la muestra seleccionada incluye una etapa de un proceso, deberán verificarse todas las etapas del proceso siguiendo, como mínimo, la secuencia por defecto para completar el proceso.
- También debe tenerse en cuenta que al menos un 10% de la muestra debe ser aleatorio e indicarse en al columna tipo.
- Por cada página seleccionada en la muestra deberá indicarse: Nombre corto, Clase (página web o documento no web), Tipo de página, URL de la página, Direccionamiento alternativo (útil en los sitios web con URLs dinámicas) y Tipos de elementos (indicando los elementos más característicos que incluye la página, por ejemplo imágenes, listas, tablas, formularios, multimedia …) .
- Cuando la muestra sea menor de 35 URLs, las URLs restantes se dejarán vacías. </t>
    </r>
  </si>
  <si>
    <r>
      <t xml:space="preserve">Objeto
</t>
    </r>
    <r>
      <rPr>
        <sz val="10"/>
        <color rgb="FF000000"/>
        <rFont val="Arial"/>
        <family val="2"/>
      </rPr>
      <t xml:space="preserve">
</t>
    </r>
    <r>
      <rPr>
        <sz val="12"/>
        <color rgb="FF000000"/>
        <rFont val="Arial"/>
        <family val="2"/>
      </rPr>
      <t xml:space="preserve">El documento sirve como soporte para la revisión de accesibilidad en profundidad, es decir, permite anotar los resultados del análisis automático y manual realizado sobre un </t>
    </r>
    <r>
      <rPr>
        <b/>
        <sz val="12"/>
        <color rgb="FF000000"/>
        <rFont val="Arial"/>
        <family val="2"/>
      </rPr>
      <t>sitio web</t>
    </r>
    <r>
      <rPr>
        <sz val="12"/>
        <color rgb="FF000000"/>
        <rFont val="Arial"/>
        <family val="2"/>
      </rPr>
      <t xml:space="preserve">. Para las aplicaciones para dispositivos móviles se definirá un modelo diferente.
El documento sigue la estructura de los anexos de la norma </t>
    </r>
    <r>
      <rPr>
        <b/>
        <sz val="12"/>
        <color rgb="FF000000"/>
        <rFont val="Arial"/>
        <family val="2"/>
      </rPr>
      <t>UNE-EN 301 549:2022</t>
    </r>
    <r>
      <rPr>
        <sz val="12"/>
        <color rgb="FF000000"/>
        <rFont val="Arial"/>
        <family val="2"/>
      </rPr>
      <t xml:space="preserve"> (versión oficial en español de la Norma Europea EN 301 549 v.3.2.1 (2021-03) para generar un informe estructurado a partir de los datos que usted proporcione. Para su aplicación, las personas encargadas deberán conocer, entre otros, la aplicación de las Pautas de Accesibilidad para el Contenido Web (WCAG) así como el resto de requisitos de accesibilidad propios de la UNE-EN 301 549:2022. El documento no sirve para realizar ninguna comprobación automática de accesibilidad.
</t>
    </r>
    <r>
      <rPr>
        <b/>
        <sz val="12"/>
        <color rgb="FF000000"/>
        <rFont val="Arial"/>
        <family val="2"/>
      </rPr>
      <t xml:space="preserve">
</t>
    </r>
    <r>
      <rPr>
        <sz val="12"/>
        <color rgb="FF000000"/>
        <rFont val="Arial"/>
        <family val="2"/>
      </rPr>
      <t xml:space="preserve">Los </t>
    </r>
    <r>
      <rPr>
        <b/>
        <sz val="12"/>
        <color rgb="FF000000"/>
        <rFont val="Arial"/>
        <family val="2"/>
      </rPr>
      <t>textos de ayuda</t>
    </r>
    <r>
      <rPr>
        <sz val="12"/>
        <color rgb="FF000000"/>
        <rFont val="Arial"/>
        <family val="2"/>
      </rPr>
      <t xml:space="preserve"> que acompañan a cada uno de los requisitos se han extraído, en parte, de la norma </t>
    </r>
    <r>
      <rPr>
        <b/>
        <sz val="12"/>
        <color rgb="FF000000"/>
        <rFont val="Arial"/>
        <family val="2"/>
      </rPr>
      <t>UNE-EN 301 549:2020</t>
    </r>
    <r>
      <rPr>
        <sz val="12"/>
        <color rgb="FF000000"/>
        <rFont val="Arial"/>
        <family val="2"/>
      </rPr>
      <t xml:space="preserve"> (versión oficial en español de la norma europea EN 301 549 v3.1.1 (2019-11)), siempre y cuando dicho texto no haya variado con respecto a la nueva norma </t>
    </r>
    <r>
      <rPr>
        <b/>
        <sz val="12"/>
        <color rgb="FF000000"/>
        <rFont val="Arial"/>
        <family val="2"/>
      </rPr>
      <t>UNE-EN 301 549:2022</t>
    </r>
    <r>
      <rPr>
        <sz val="12"/>
        <color rgb="FF000000"/>
        <rFont val="Arial"/>
        <family val="2"/>
      </rPr>
      <t xml:space="preserve"> (versión oficial en español de la Norma Europea EN 301 549 v.3.2.1 (2021-03). En el caso de que dicho texto haya sido cambiado o actualizado, se ha seleccionado el texto directamente de la nueva norma (en inglés) [únicamente el texto nuevo o actualizado].</t>
    </r>
  </si>
  <si>
    <t>Los requisitos recogidos en esta hoja solo se deben evaluar para PÁGINAS WEB.</t>
  </si>
  <si>
    <t>Los requisitos recogidos en esta hoja solo se deben evaluar para DOCUMENTOS NO WEB.</t>
  </si>
  <si>
    <r>
      <t>3. Para las</t>
    </r>
    <r>
      <rPr>
        <b/>
        <sz val="12"/>
        <rFont val="Arial"/>
        <family val="2"/>
      </rPr>
      <t xml:space="preserve"> Páginas web </t>
    </r>
    <r>
      <rPr>
        <sz val="12"/>
        <rFont val="Arial"/>
        <family val="2"/>
      </rPr>
      <t>se deberán cumplimentar todos los requisitos de accesibilidad de las hojas</t>
    </r>
    <r>
      <rPr>
        <b/>
        <sz val="12"/>
        <rFont val="Arial"/>
        <family val="2"/>
      </rPr>
      <t xml:space="preserve"> "R5.Genéricos", "R6.Voz", "R7.Video", "R9.Web", "R11.Software" y "R12.ServiciosApoyo"</t>
    </r>
    <r>
      <rPr>
        <sz val="12"/>
        <rFont val="Arial"/>
        <family val="2"/>
      </rPr>
      <t xml:space="preserve">. En el caso de que el requisito sea un </t>
    </r>
    <r>
      <rPr>
        <b/>
        <sz val="12"/>
        <rFont val="Arial"/>
        <family val="2"/>
      </rPr>
      <t>requisito condicional</t>
    </r>
    <r>
      <rPr>
        <sz val="12"/>
        <rFont val="Arial"/>
        <family val="2"/>
      </rPr>
      <t xml:space="preserve"> (así aparecerá recogido en el título del requisito), solo se deberá comprobar dicho requisito si se satisface la condición especificada.  En el caso de que no se satisfaga la condición, se deberá marcar dicho requisito, para ese elemento de la muestra, como "N/A" (No Aplica). El resultado de dichas comprobaciones se plasmará en la </t>
    </r>
    <r>
      <rPr>
        <b/>
        <sz val="12"/>
        <rFont val="Arial"/>
        <family val="2"/>
      </rPr>
      <t>columna</t>
    </r>
    <r>
      <rPr>
        <sz val="12"/>
        <rFont val="Arial"/>
        <family val="2"/>
      </rPr>
      <t xml:space="preserve"> "Resultado", de cada tabla, de cada requisito (no confundir con la hoja de "RESULTADOS").
Para los </t>
    </r>
    <r>
      <rPr>
        <b/>
        <sz val="12"/>
        <rFont val="Arial"/>
        <family val="2"/>
      </rPr>
      <t>Documentos no web</t>
    </r>
    <r>
      <rPr>
        <sz val="12"/>
        <rFont val="Arial"/>
        <family val="2"/>
      </rPr>
      <t xml:space="preserve"> únicamente se deberá cumplimentar los requisitos de accesibilidad de la hoja </t>
    </r>
    <r>
      <rPr>
        <b/>
        <sz val="12"/>
        <rFont val="Arial"/>
        <family val="2"/>
      </rPr>
      <t>"R10.Documentos no web"</t>
    </r>
    <r>
      <rPr>
        <sz val="12"/>
        <rFont val="Arial"/>
        <family val="2"/>
      </rPr>
      <t>. 
En esta nueva versión del documento se realiza un "</t>
    </r>
    <r>
      <rPr>
        <b/>
        <sz val="12"/>
        <rFont val="Arial"/>
        <family val="2"/>
      </rPr>
      <t>filtrado</t>
    </r>
    <r>
      <rPr>
        <sz val="12"/>
        <rFont val="Arial"/>
        <family val="2"/>
      </rPr>
      <t>" utilizando la columna "</t>
    </r>
    <r>
      <rPr>
        <b/>
        <sz val="12"/>
        <rFont val="Arial"/>
        <family val="2"/>
      </rPr>
      <t>Clase</t>
    </r>
    <r>
      <rPr>
        <sz val="12"/>
        <rFont val="Arial"/>
        <family val="2"/>
      </rPr>
      <t>" de la tabla de la muestra (hoja "</t>
    </r>
    <r>
      <rPr>
        <b/>
        <sz val="12"/>
        <rFont val="Arial"/>
        <family val="2"/>
      </rPr>
      <t>03. Muestra</t>
    </r>
    <r>
      <rPr>
        <sz val="12"/>
        <rFont val="Arial"/>
        <family val="2"/>
      </rPr>
      <t xml:space="preserve">") por lo que, dependiendo de la clase seleccionada aparecerá en una hojas o en otras. Por </t>
    </r>
    <r>
      <rPr>
        <b/>
        <sz val="12"/>
        <rFont val="Arial"/>
        <family val="2"/>
      </rPr>
      <t>ejemplo</t>
    </r>
    <r>
      <rPr>
        <sz val="12"/>
        <rFont val="Arial"/>
        <family val="2"/>
      </rPr>
      <t>, si ha seleccionado "</t>
    </r>
    <r>
      <rPr>
        <b/>
        <sz val="12"/>
        <rFont val="Arial"/>
        <family val="2"/>
      </rPr>
      <t>Documento no web</t>
    </r>
    <r>
      <rPr>
        <sz val="12"/>
        <rFont val="Arial"/>
        <family val="2"/>
      </rPr>
      <t>" en la columna "</t>
    </r>
    <r>
      <rPr>
        <b/>
        <sz val="12"/>
        <rFont val="Arial"/>
        <family val="2"/>
      </rPr>
      <t>Clase</t>
    </r>
    <r>
      <rPr>
        <sz val="12"/>
        <rFont val="Arial"/>
        <family val="2"/>
      </rPr>
      <t>" de un elemento de la muestra, únicamente aparecerá dicho elemento en las tablas de los requisitos de la hoja "</t>
    </r>
    <r>
      <rPr>
        <b/>
        <sz val="12"/>
        <rFont val="Arial"/>
        <family val="2"/>
      </rPr>
      <t>R10.Documentos no web</t>
    </r>
    <r>
      <rPr>
        <sz val="12"/>
        <rFont val="Arial"/>
        <family val="2"/>
      </rPr>
      <t>", no apareciendo dicho elemento en ninguna otra hoja de requisitos.
Para más información al respecto puede consultar la Norma Europea EN 301 549 V3.2.1 (2021-03)</t>
    </r>
    <r>
      <rPr>
        <b/>
        <vertAlign val="superscript"/>
        <sz val="12"/>
        <rFont val="Arial"/>
        <family val="2"/>
      </rPr>
      <t>1</t>
    </r>
    <r>
      <rPr>
        <sz val="12"/>
        <rFont val="Arial"/>
        <family val="2"/>
      </rPr>
      <t>.
Para realizar la revisión de la accesibilidad puede servir de ayuda el listado de herramientas automáticas y manuales que encontrará en el Anexo de la Guía de validación de accesibilidad web</t>
    </r>
    <r>
      <rPr>
        <b/>
        <vertAlign val="superscript"/>
        <sz val="12"/>
        <rFont val="Arial"/>
        <family val="2"/>
      </rPr>
      <t>2</t>
    </r>
    <r>
      <rPr>
        <sz val="12"/>
        <rFont val="Arial"/>
        <family val="2"/>
      </rPr>
      <t>.</t>
    </r>
  </si>
  <si>
    <t>En blanco</t>
  </si>
  <si>
    <r>
      <t xml:space="preserve">UNE-EN 301 549:2022 - </t>
    </r>
    <r>
      <rPr>
        <sz val="11"/>
        <color rgb="FF000000"/>
        <rFont val="Helvetica Neue"/>
      </rPr>
      <t>excluyendo el contenido excluido por el RD 1112/2018</t>
    </r>
  </si>
  <si>
    <t>DOCUMENTO NO WEB</t>
  </si>
  <si>
    <t>SUMA (Conf. y No conf.)</t>
  </si>
  <si>
    <t>Versión: 2.0.1</t>
  </si>
  <si>
    <r>
      <t xml:space="preserve">Versión 2.0.1
</t>
    </r>
    <r>
      <rPr>
        <sz val="12"/>
        <color rgb="FF000000"/>
        <rFont val="Arial"/>
        <family val="2"/>
      </rPr>
      <t>- En las hojas "</t>
    </r>
    <r>
      <rPr>
        <b/>
        <sz val="12"/>
        <color rgb="FF000000"/>
        <rFont val="Arial"/>
        <family val="2"/>
      </rPr>
      <t>R6.Voz</t>
    </r>
    <r>
      <rPr>
        <sz val="12"/>
        <color rgb="FF000000"/>
        <rFont val="Arial"/>
        <family val="2"/>
      </rPr>
      <t>" y "</t>
    </r>
    <r>
      <rPr>
        <b/>
        <sz val="12"/>
        <color rgb="FF000000"/>
        <rFont val="Arial"/>
        <family val="2"/>
      </rPr>
      <t>R7.Video</t>
    </r>
    <r>
      <rPr>
        <sz val="12"/>
        <color rgb="FF000000"/>
        <rFont val="Arial"/>
        <family val="2"/>
      </rPr>
      <t>":
En algunos requisitos se ha modificado la Condición, indicando la condición específica de cada requisito (algunos requisitos tenían la condición genérica del apartado).</t>
    </r>
    <r>
      <rPr>
        <b/>
        <sz val="12"/>
        <color rgb="FF000000"/>
        <rFont val="Arial"/>
        <family val="2"/>
      </rPr>
      <t xml:space="preserve">
</t>
    </r>
    <r>
      <rPr>
        <sz val="12"/>
        <color rgb="FF000000"/>
        <rFont val="Arial"/>
        <family val="2"/>
      </rPr>
      <t>- En hoja</t>
    </r>
    <r>
      <rPr>
        <b/>
        <sz val="12"/>
        <color rgb="FF000000"/>
        <rFont val="Arial"/>
        <family val="2"/>
      </rPr>
      <t xml:space="preserve"> RESULTADOS</t>
    </r>
    <r>
      <rPr>
        <sz val="12"/>
        <color rgb="FF000000"/>
        <rFont val="Arial"/>
        <family val="2"/>
      </rPr>
      <t xml:space="preserve"> se añade el Porcentaje de cumplimiento de requisitos a nivel de sitio web.</t>
    </r>
    <r>
      <rPr>
        <b/>
        <sz val="12"/>
        <color rgb="FF000000"/>
        <rFont val="Arial"/>
        <family val="2"/>
      </rPr>
      <t xml:space="preserve">
Versión 2.0.0
</t>
    </r>
    <r>
      <rPr>
        <sz val="12"/>
        <color rgb="FF000000"/>
        <rFont val="Arial"/>
        <family val="2"/>
      </rPr>
      <t>-</t>
    </r>
    <r>
      <rPr>
        <b/>
        <sz val="12"/>
        <color rgb="FF000000"/>
        <rFont val="Arial"/>
        <family val="2"/>
      </rPr>
      <t xml:space="preserve"> </t>
    </r>
    <r>
      <rPr>
        <sz val="12"/>
        <color rgb="FF000000"/>
        <rFont val="Arial"/>
        <family val="2"/>
      </rPr>
      <t>Se ha reestructurado todo el documento añadiendo nuevas hojas y ajustando los requisitos a los recogidos en la norma</t>
    </r>
    <r>
      <rPr>
        <b/>
        <sz val="12"/>
        <color rgb="FF000000"/>
        <rFont val="Arial"/>
        <family val="2"/>
      </rPr>
      <t xml:space="preserve"> UNE-EN 301 549:2022</t>
    </r>
    <r>
      <rPr>
        <sz val="12"/>
        <color rgb="FF000000"/>
        <rFont val="Arial"/>
        <family val="2"/>
      </rPr>
      <t xml:space="preserve"> (versión oficial en español de la Norma Europea </t>
    </r>
    <r>
      <rPr>
        <b/>
        <sz val="12"/>
        <color rgb="FF000000"/>
        <rFont val="Arial"/>
        <family val="2"/>
      </rPr>
      <t>EN 301 549 v.3.2.1 (2021-03)</t>
    </r>
    <r>
      <rPr>
        <sz val="12"/>
        <color rgb="FF000000"/>
        <rFont val="Arial"/>
        <family val="2"/>
      </rPr>
      <t>).
- Se han actualizado los textos de ayuda en cada una de las hojas, añadiendo a cada caja de información el nombre del requisito de accesibilidad asociado.</t>
    </r>
    <r>
      <rPr>
        <b/>
        <sz val="12"/>
        <color rgb="FF000000"/>
        <rFont val="Arial"/>
        <family val="2"/>
      </rPr>
      <t xml:space="preserve">
</t>
    </r>
    <r>
      <rPr>
        <sz val="12"/>
        <color rgb="FF000000"/>
        <rFont val="Arial"/>
        <family val="2"/>
      </rPr>
      <t>- Se ha modificado el comportamiento de los elementos de la muestra. Ahora, los elementos se mostrarán únicamente en los requisitos que le apliquen.
- Se ha mejorado la accesibilidad del fichero.</t>
    </r>
    <r>
      <rPr>
        <b/>
        <sz val="12"/>
        <color rgb="FF000000"/>
        <rFont val="Arial"/>
        <family val="2"/>
      </rPr>
      <t xml:space="preserve">
</t>
    </r>
    <r>
      <rPr>
        <sz val="12"/>
        <color rgb="FF000000"/>
        <rFont val="Arial"/>
        <family val="2"/>
      </rPr>
      <t>-</t>
    </r>
    <r>
      <rPr>
        <b/>
        <sz val="12"/>
        <color rgb="FF000000"/>
        <rFont val="Arial"/>
        <family val="2"/>
      </rPr>
      <t xml:space="preserve"> 00. Info. </t>
    </r>
    <r>
      <rPr>
        <sz val="12"/>
        <color rgb="FF000000"/>
        <rFont val="Arial"/>
        <family val="2"/>
      </rPr>
      <t>Se han actualizado los textos de ayuda.
-</t>
    </r>
    <r>
      <rPr>
        <b/>
        <sz val="12"/>
        <color rgb="FF000000"/>
        <rFont val="Arial"/>
        <family val="2"/>
      </rPr>
      <t xml:space="preserve"> 01. Definición de ámbito.</t>
    </r>
    <r>
      <rPr>
        <sz val="12"/>
        <color rgb="FF000000"/>
        <rFont val="Arial"/>
        <family val="2"/>
      </rPr>
      <t xml:space="preserve"> Se modifican los valores del campo "Tipología del sitio web" y se ajustan las temáticas a las señaladas en la Decisión de Ejecución (UE) 2018/1524 (apartado 2.2.3).</t>
    </r>
    <r>
      <rPr>
        <b/>
        <sz val="12"/>
        <color rgb="FF000000"/>
        <rFont val="Arial"/>
        <family val="2"/>
      </rPr>
      <t xml:space="preserve">
</t>
    </r>
    <r>
      <rPr>
        <sz val="12"/>
        <color rgb="FF000000"/>
        <rFont val="Arial"/>
        <family val="2"/>
      </rPr>
      <t>-</t>
    </r>
    <r>
      <rPr>
        <b/>
        <sz val="12"/>
        <color rgb="FF000000"/>
        <rFont val="Arial"/>
        <family val="2"/>
      </rPr>
      <t xml:space="preserve"> 03. Muestra. </t>
    </r>
    <r>
      <rPr>
        <sz val="12"/>
        <color rgb="FF000000"/>
        <rFont val="Arial"/>
        <family val="2"/>
      </rPr>
      <t xml:space="preserve">Se ha añadido una nueva columna en la tabla de la muestra llamada "Clase".
</t>
    </r>
    <r>
      <rPr>
        <b/>
        <sz val="12"/>
        <color rgb="FF000000"/>
        <rFont val="Arial"/>
        <family val="2"/>
      </rPr>
      <t xml:space="preserve">
Versión 1.0.4
</t>
    </r>
    <r>
      <rPr>
        <sz val="12"/>
        <color rgb="FF000000"/>
        <rFont val="Arial"/>
        <family val="2"/>
      </rPr>
      <t>-</t>
    </r>
    <r>
      <rPr>
        <b/>
        <sz val="12"/>
        <color rgb="FF000000"/>
        <rFont val="Arial"/>
        <family val="2"/>
      </rPr>
      <t xml:space="preserve"> RESULTADOS. </t>
    </r>
    <r>
      <rPr>
        <sz val="12"/>
        <color rgb="FF000000"/>
        <rFont val="Arial"/>
        <family val="2"/>
      </rPr>
      <t>Corregida la fórmula de la puntuación media del sitio web (PMSW), para que no muestre un valor hasta que la Situación de Cumplimiento tenga uno de los 3 valores posibles. Se repara la fórmula de la tabla de Pendiente de evaluar. Se añade una nueva comprobación que informa si la muestra es correcta o no. 
-</t>
    </r>
    <r>
      <rPr>
        <b/>
        <sz val="12"/>
        <color rgb="FF000000"/>
        <rFont val="Arial"/>
        <family val="2"/>
      </rPr>
      <t xml:space="preserve"> P3. Comprensible y P4. Robusto. </t>
    </r>
    <r>
      <rPr>
        <sz val="12"/>
        <color rgb="FF000000"/>
        <rFont val="Arial"/>
        <family val="2"/>
      </rPr>
      <t>Se corrigen los colores de presentación ajustándolos a los colores mostrados en la hoja RESULTADOS.</t>
    </r>
    <r>
      <rPr>
        <b/>
        <sz val="12"/>
        <color rgb="FF000000"/>
        <rFont val="Arial"/>
        <family val="2"/>
      </rPr>
      <t xml:space="preserve">
Versión 1.0.3
</t>
    </r>
    <r>
      <rPr>
        <sz val="12"/>
        <color rgb="FF000000"/>
        <rFont val="Arial"/>
        <family val="2"/>
      </rPr>
      <t>-</t>
    </r>
    <r>
      <rPr>
        <b/>
        <sz val="12"/>
        <color rgb="FF000000"/>
        <rFont val="Arial"/>
        <family val="2"/>
      </rPr>
      <t xml:space="preserve"> 01. Definición de ámbito. </t>
    </r>
    <r>
      <rPr>
        <sz val="12"/>
        <color rgb="FF000000"/>
        <rFont val="Arial"/>
        <family val="2"/>
      </rPr>
      <t>Añadidas las marcas a los campos obligatorios y varios comentarios que faltaban, como por ejemplo el relacionado con el campo “Funcionalidad esencial del sitio web”.</t>
    </r>
    <r>
      <rPr>
        <b/>
        <sz val="12"/>
        <color rgb="FF000000"/>
        <rFont val="Arial"/>
        <family val="2"/>
      </rPr>
      <t xml:space="preserve">
</t>
    </r>
    <r>
      <rPr>
        <sz val="12"/>
        <color rgb="FF000000"/>
        <rFont val="Arial"/>
        <family val="2"/>
      </rPr>
      <t>-</t>
    </r>
    <r>
      <rPr>
        <b/>
        <sz val="12"/>
        <color rgb="FF000000"/>
        <rFont val="Arial"/>
        <family val="2"/>
      </rPr>
      <t xml:space="preserve"> 02. Tecnologías.</t>
    </r>
    <r>
      <rPr>
        <sz val="12"/>
        <color rgb="FF000000"/>
        <rFont val="Arial"/>
        <family val="2"/>
      </rPr>
      <t xml:space="preserve"> Añadido el texto “Es obligatorio rellenar esta pestaña”.</t>
    </r>
    <r>
      <rPr>
        <b/>
        <sz val="12"/>
        <color rgb="FF000000"/>
        <rFont val="Arial"/>
        <family val="2"/>
      </rPr>
      <t xml:space="preserve">
</t>
    </r>
    <r>
      <rPr>
        <sz val="12"/>
        <color rgb="FF000000"/>
        <rFont val="Arial"/>
        <family val="2"/>
      </rPr>
      <t>-</t>
    </r>
    <r>
      <rPr>
        <b/>
        <sz val="12"/>
        <color rgb="FF000000"/>
        <rFont val="Arial"/>
        <family val="2"/>
      </rPr>
      <t xml:space="preserve"> RESULTADOS. </t>
    </r>
    <r>
      <rPr>
        <sz val="12"/>
        <color rgb="FF000000"/>
        <rFont val="Arial"/>
        <family val="2"/>
      </rPr>
      <t>Añadida la puntuación media del sitio web (PMSW) y los porcentajes de cumplimiento de los criterios a nivel web en los totales.</t>
    </r>
    <r>
      <rPr>
        <b/>
        <sz val="12"/>
        <color rgb="FF000000"/>
        <rFont val="Arial"/>
        <family val="2"/>
      </rPr>
      <t xml:space="preserve">
Versión 1.0.2
</t>
    </r>
    <r>
      <rPr>
        <sz val="12"/>
        <color rgb="FF000000"/>
        <rFont val="Arial"/>
        <family val="2"/>
      </rPr>
      <t>-</t>
    </r>
    <r>
      <rPr>
        <b/>
        <sz val="12"/>
        <color rgb="FF000000"/>
        <rFont val="Arial"/>
        <family val="2"/>
      </rPr>
      <t xml:space="preserve"> P1. Perceptible. </t>
    </r>
    <r>
      <rPr>
        <sz val="12"/>
        <color rgb="FF000000"/>
        <rFont val="Arial"/>
        <family val="2"/>
      </rPr>
      <t>Se corrige el texto informativo del criterio de conformidad 1.1.1 y se añade una nota en el criterio 1.2.4.</t>
    </r>
    <r>
      <rPr>
        <b/>
        <sz val="12"/>
        <color rgb="FF000000"/>
        <rFont val="Arial"/>
        <family val="2"/>
      </rPr>
      <t xml:space="preserve">
</t>
    </r>
    <r>
      <rPr>
        <sz val="12"/>
        <color rgb="FF000000"/>
        <rFont val="Arial"/>
        <family val="2"/>
      </rPr>
      <t>-</t>
    </r>
    <r>
      <rPr>
        <b/>
        <sz val="12"/>
        <color rgb="FF000000"/>
        <rFont val="Arial"/>
        <family val="2"/>
      </rPr>
      <t xml:space="preserve"> P2. Operable. </t>
    </r>
    <r>
      <rPr>
        <sz val="12"/>
        <color rgb="FF000000"/>
        <rFont val="Arial"/>
        <family val="2"/>
      </rPr>
      <t xml:space="preserve">Se añade un pequeño texto al texto informativo del criterio 2.2.1, 2.2.2 y 2.4.6. </t>
    </r>
    <r>
      <rPr>
        <b/>
        <sz val="12"/>
        <color rgb="FF000000"/>
        <rFont val="Arial"/>
        <family val="2"/>
      </rPr>
      <t xml:space="preserve">
</t>
    </r>
    <r>
      <rPr>
        <sz val="12"/>
        <color rgb="FF000000"/>
        <rFont val="Arial"/>
        <family val="2"/>
      </rPr>
      <t>-</t>
    </r>
    <r>
      <rPr>
        <b/>
        <sz val="12"/>
        <color rgb="FF000000"/>
        <rFont val="Arial"/>
        <family val="2"/>
      </rPr>
      <t xml:space="preserve"> P3. Comprensible. </t>
    </r>
    <r>
      <rPr>
        <sz val="12"/>
        <color rgb="FF000000"/>
        <rFont val="Arial"/>
        <family val="2"/>
      </rPr>
      <t xml:space="preserve">Se añade un pequeño texto al texto informativo del criterio 3.2.4. </t>
    </r>
    <r>
      <rPr>
        <b/>
        <sz val="12"/>
        <color rgb="FF000000"/>
        <rFont val="Arial"/>
        <family val="2"/>
      </rPr>
      <t xml:space="preserve">
Versión 1.0.1
</t>
    </r>
    <r>
      <rPr>
        <sz val="12"/>
        <color rgb="FF000000"/>
        <rFont val="Arial"/>
        <family val="2"/>
      </rPr>
      <t>-</t>
    </r>
    <r>
      <rPr>
        <b/>
        <sz val="12"/>
        <color rgb="FF000000"/>
        <rFont val="Arial"/>
        <family val="2"/>
      </rPr>
      <t xml:space="preserve"> 01. Definición de ámbito. </t>
    </r>
    <r>
      <rPr>
        <sz val="12"/>
        <color rgb="FF000000"/>
        <rFont val="Arial"/>
        <family val="2"/>
      </rPr>
      <t>Campo "Soporte de accesibilidad mínimo". Se ha actualizado la descripción del campo en el comentario.</t>
    </r>
    <r>
      <rPr>
        <b/>
        <sz val="12"/>
        <color rgb="FF000000"/>
        <rFont val="Arial"/>
        <family val="2"/>
      </rPr>
      <t xml:space="preserve">
</t>
    </r>
    <r>
      <rPr>
        <sz val="12"/>
        <color rgb="FF000000"/>
        <rFont val="Arial"/>
        <family val="2"/>
      </rPr>
      <t>-</t>
    </r>
    <r>
      <rPr>
        <b/>
        <sz val="12"/>
        <color rgb="FF000000"/>
        <rFont val="Arial"/>
        <family val="2"/>
      </rPr>
      <t xml:space="preserve"> 02. Tecnologías. </t>
    </r>
    <r>
      <rPr>
        <sz val="12"/>
        <color rgb="FF000000"/>
        <rFont val="Arial"/>
        <family val="2"/>
      </rPr>
      <t>Campo "Indicar las tecnologías web en las que se basa la conformidad de la accesibilidad". Se ha modificado la descripción de lo que se pide en esta pestaña en el comentario.
-</t>
    </r>
    <r>
      <rPr>
        <b/>
        <sz val="12"/>
        <color rgb="FF000000"/>
        <rFont val="Arial"/>
        <family val="2"/>
      </rPr>
      <t xml:space="preserve"> P1. Perceptible. </t>
    </r>
    <r>
      <rPr>
        <sz val="12"/>
        <color rgb="FF000000"/>
        <rFont val="Arial"/>
        <family val="2"/>
      </rPr>
      <t>Se elimina una fila vacía entre las dos últimas tablas.
-</t>
    </r>
    <r>
      <rPr>
        <b/>
        <sz val="12"/>
        <color rgb="FF000000"/>
        <rFont val="Arial"/>
        <family val="2"/>
      </rPr>
      <t xml:space="preserve"> RESULTADOS. </t>
    </r>
    <r>
      <rPr>
        <sz val="12"/>
        <color rgb="FF000000"/>
        <rFont val="Arial"/>
        <family val="2"/>
      </rPr>
      <t>Se corrigen las fórmulas de las filas resumen.</t>
    </r>
  </si>
  <si>
    <t>21/11/2025</t>
  </si>
  <si>
    <t>Home - PortCastelló</t>
  </si>
  <si>
    <t>Página Web</t>
  </si>
  <si>
    <t/>
  </si>
  <si>
    <t>https://www.portcastello.com/</t>
  </si>
  <si>
    <t>Medios mecánicos PortCastelló . Grúas y sus características y ubicación</t>
  </si>
  <si>
    <t>https://www.portcastello.com/negocio/medios-mecanicos/</t>
  </si>
  <si>
    <t>Innovación. Quiero participar - PortCastelló</t>
  </si>
  <si>
    <t>https://www.portcastello.com/innovacion-quiero-participar/</t>
  </si>
  <si>
    <t>Catálogo OPEN DATA - PortCastelló</t>
  </si>
  <si>
    <t>https://www.portcastello.com/comunidad-portuaria/catalogo-open-data/</t>
  </si>
  <si>
    <t>Servicios comerciales - PortCastelló. Comunidad portuaria</t>
  </si>
  <si>
    <t>https://www.portcastello.com/comunidad-portuaria/servicios-comerciales/</t>
  </si>
  <si>
    <t>Fondos Europeos: principal - PortCastelló</t>
  </si>
  <si>
    <t>https://www.portcastello.com/autoridad-portuaria/fondos-europeos-principal/</t>
  </si>
  <si>
    <t>Seguridad marítima - PortCastelló</t>
  </si>
  <si>
    <t>https://www.portcastello.com/sostenibilidad/seguridad-maritima/</t>
  </si>
  <si>
    <t>Saluda del presidente - PortCastelló - Rafael Simó</t>
  </si>
  <si>
    <t>https://www.portcastello.com/autoridad-portuaria/saluda-del-presidente/</t>
  </si>
  <si>
    <t>Agenda - PortCastelló</t>
  </si>
  <si>
    <t>https://www.portcastello.com/eventos/2025/11/30/</t>
  </si>
  <si>
    <t>Jornada de puertas abiertas Clara Campoamor - PortCastelló</t>
  </si>
  <si>
    <t>https://www.portcastello.com/eventos/2025/11/23/jornada-de-puertas-abiertas-clara-campoamor/</t>
  </si>
  <si>
    <t>https://www.portcastello.com/eventos/2025/11/08/</t>
  </si>
  <si>
    <t>https://www.portcastello.com/va/negoci/mitjos-mecanics/</t>
  </si>
  <si>
    <t>https://www.portcastello.com/eventos/</t>
  </si>
  <si>
    <t>Faro de Peñíscola - PortCastelló</t>
  </si>
  <si>
    <t>https://www.portcastello.com/faros-portcastello/faro-de-peniscola/</t>
  </si>
  <si>
    <t>Concesiones / concursos - PortCastelló</t>
  </si>
  <si>
    <t>https://www.portcastello.com/negocio/concesiones-concursos/</t>
  </si>
  <si>
    <t>Memorias anuales y de sostenibilidad de PortCastelló</t>
  </si>
  <si>
    <t>https://www.portcastello.com/comunicacion/publicaciones/memorias-anuales-sostenibilidad-portcastello/</t>
  </si>
  <si>
    <t>Área de Influencia de PortCastelló Foreland Hinterland</t>
  </si>
  <si>
    <t>https://www.portcastello.com/negocio/area-de-influencia/</t>
  </si>
  <si>
    <t>Faro de Castellón - PortCastelló</t>
  </si>
  <si>
    <t>https://www.portcastello.com/faros-portcastello/faro-de-castellon/</t>
  </si>
  <si>
    <t>https://www.portcastello.com/negocio/medios-mecanicos/#main-content</t>
  </si>
  <si>
    <t>https://www.portcastello.com/negocio/medios-mecanicos/#gruas-darsena-norte</t>
  </si>
  <si>
    <t>Protección medioambiental - PortCastelló</t>
  </si>
  <si>
    <t>https://www.portcastello.com/sostenibilidad/proteccion-medioambiental/</t>
  </si>
  <si>
    <t>Far de Peníscola - PortCastelló</t>
  </si>
  <si>
    <t>https://www.portcastello.com/va/els-fars-de-portcastello/far-de/</t>
  </si>
  <si>
    <t>Licitaciones PortCastelló Plataforma de Contratación del Sector Público</t>
  </si>
  <si>
    <t>https://www.portcastello.com/va/negoci/licitacions/</t>
  </si>
  <si>
    <t>Atenció al client - PortCastelló</t>
  </si>
  <si>
    <t>https://www.portcastello.com/va/atencio-al-client/</t>
  </si>
  <si>
    <t>Trànsits i terminals - PortCastelló</t>
  </si>
  <si>
    <t>https://www.portcastello.com/va/negoci/transits-i-terminals/</t>
  </si>
  <si>
    <t>Far de Nules - PortCastelló</t>
  </si>
  <si>
    <t>https://www.portcastello.com/va/els-fars-de-portcastello/far-de-nules/</t>
  </si>
  <si>
    <t>Política de privacidad - PortCastelló</t>
  </si>
  <si>
    <t>https://www.portcastello.com/va/politica-de-privacidad/</t>
  </si>
  <si>
    <t>Consell d'Administració - PortCastelló</t>
  </si>
  <si>
    <t>https://www.portcastello.com/va/autoritat-portuaria/consell-dadministracio/</t>
  </si>
  <si>
    <t>Consignatarios de PortCastelló de la comunidad portuaria</t>
  </si>
  <si>
    <t>https://www.portcastello.com/va/comunitat-portuaria/consignataris/</t>
  </si>
  <si>
    <t>Vol instal·lar-se al port de Castelló? - PortCastelló</t>
  </si>
  <si>
    <t>https://www.portcastello.com/va/negoci/vol-instalarse-al-port-de-castello/</t>
  </si>
  <si>
    <t>Organismos públicos - PortCastelló de la comunidad portuaria</t>
  </si>
  <si>
    <t>https://www.portcastello.com/va/comunitat-portuaria/organismes-publics/</t>
  </si>
  <si>
    <t>Esquema nacional de seguretat - PortCastelló</t>
  </si>
  <si>
    <t>https://www.portcastello.com/va/negoci/esquema-nacional-de-seguretat/</t>
  </si>
  <si>
    <t>Innovació: Noticies i actualitat - PortCastelló</t>
  </si>
  <si>
    <t>https://www.portcastello.com/va/innovacio-noticies-i-actualitat/</t>
  </si>
  <si>
    <t>Documento.pdf</t>
  </si>
  <si>
    <t>Documento no web</t>
  </si>
  <si>
    <t>https://www.portcastello.com/wp-content/uploads/2022/04/2022_1oT_Contratos-Menores.pdf</t>
  </si>
  <si>
    <t>https://www.portcastello.com/wp-content/uploads/2021/04/2020_Contratos-Menores.pdf</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</si>
</sst>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409]#,##0.00;[Red]\-[$$-409]#,##0.00"/>
    <numFmt numFmtId="165" formatCode="[$-407]General"/>
    <numFmt numFmtId="166" formatCode="0.00\ %"/>
    <numFmt numFmtId="167" formatCode="&quot;WAHR&quot;;&quot;WAHR&quot;;&quot;FALSCH&quot;"/>
    <numFmt numFmtId="168" formatCode="[=0]&quot;&quot;;[&lt;&gt;0]0"/>
  </numFmts>
  <fonts count="78">
    <font>
      <sz val="10"/>
      <color rgb="FF000000"/>
      <name val="Arial"/>
    </font>
    <font>
      <sz val="10"/>
      <name val="Arial"/>
      <family val="2"/>
    </font>
    <font>
      <b/>
      <sz val="10"/>
      <color rgb="FFFFFFFF"/>
      <name val="Arial Black"/>
      <family val="2"/>
    </font>
    <font>
      <b/>
      <sz val="24"/>
      <color rgb="FF000000"/>
      <name val="Arial"/>
      <family val="2"/>
    </font>
    <font>
      <b/>
      <sz val="10"/>
      <color rgb="FF000000"/>
      <name val="Arial"/>
      <family val="2"/>
    </font>
    <font>
      <sz val="10"/>
      <color rgb="FFC0C0C0"/>
      <name val="Arial"/>
      <family val="2"/>
    </font>
    <font>
      <b/>
      <sz val="10"/>
      <color rgb="FF3465A4"/>
      <name val="Arial"/>
      <family val="2"/>
    </font>
    <font>
      <b/>
      <sz val="9"/>
      <color rgb="FFCC0000"/>
      <name val="Arial"/>
      <family val="2"/>
    </font>
    <font>
      <b/>
      <sz val="10"/>
      <color rgb="FF006600"/>
      <name val="Arial"/>
      <family val="2"/>
    </font>
    <font>
      <b/>
      <sz val="8"/>
      <color rgb="FFCC0000"/>
      <name val="Arial"/>
      <family val="2"/>
    </font>
    <font>
      <sz val="22"/>
      <color rgb="FF000000"/>
      <name val="Arial Black"/>
      <family val="2"/>
    </font>
    <font>
      <sz val="22"/>
      <color rgb="FF000000"/>
      <name val="Calibri"/>
      <family val="2"/>
    </font>
    <font>
      <sz val="11"/>
      <color rgb="FF000000"/>
      <name val="Calibri"/>
      <family val="2"/>
    </font>
    <font>
      <b/>
      <sz val="24"/>
      <color rgb="FF3465A4"/>
      <name val="Arial"/>
      <family val="2"/>
    </font>
    <font>
      <b/>
      <sz val="14"/>
      <color rgb="FF000000"/>
      <name val="Calibri"/>
      <family val="2"/>
    </font>
    <font>
      <sz val="20"/>
      <color rgb="FF3465A4"/>
      <name val="Arial"/>
      <family val="2"/>
    </font>
    <font>
      <sz val="12"/>
      <color rgb="FF3465A4"/>
      <name val="Helvetica Neue"/>
    </font>
    <font>
      <b/>
      <sz val="18"/>
      <color rgb="FF000000"/>
      <name val="Helvetica Neue"/>
    </font>
    <font>
      <sz val="11"/>
      <color rgb="FF000000"/>
      <name val="Helvetica Neue"/>
    </font>
    <font>
      <sz val="10"/>
      <color rgb="FF000000"/>
      <name val="Helvetica Neue"/>
    </font>
    <font>
      <b/>
      <sz val="12"/>
      <color rgb="FF000000"/>
      <name val="Arial"/>
      <family val="2"/>
    </font>
    <font>
      <sz val="12"/>
      <color rgb="FF000000"/>
      <name val="Arial"/>
      <family val="2"/>
    </font>
    <font>
      <b/>
      <sz val="10"/>
      <color rgb="FF000000"/>
      <name val="Helvetica Neue"/>
    </font>
    <font>
      <b/>
      <sz val="11"/>
      <color rgb="FF000000"/>
      <name val="Helvetica Neue"/>
    </font>
    <font>
      <sz val="10"/>
      <name val="Helvetica Neue"/>
    </font>
    <font>
      <sz val="10"/>
      <color rgb="FF000000"/>
      <name val="Arial"/>
      <family val="2"/>
    </font>
    <font>
      <sz val="9"/>
      <color rgb="FF000000"/>
      <name val="Arial"/>
      <family val="2"/>
    </font>
    <font>
      <b/>
      <sz val="18"/>
      <color rgb="FF000000"/>
      <name val="Arial"/>
      <family val="2"/>
    </font>
    <font>
      <sz val="11"/>
      <name val="Calibri"/>
      <family val="2"/>
    </font>
    <font>
      <b/>
      <sz val="14"/>
      <name val="Helvetica Neue"/>
    </font>
    <font>
      <sz val="11"/>
      <name val="Helvetica Neue"/>
    </font>
    <font>
      <b/>
      <sz val="12"/>
      <color rgb="FF000000"/>
      <name val="Helvetica Neue"/>
    </font>
    <font>
      <b/>
      <sz val="12"/>
      <color rgb="FF000000"/>
      <name val="Calibri"/>
      <family val="2"/>
    </font>
    <font>
      <sz val="22"/>
      <color rgb="FF000000"/>
      <name val="Arial"/>
      <family val="2"/>
    </font>
    <font>
      <sz val="11"/>
      <color rgb="FF000000"/>
      <name val="Arial"/>
      <family val="2"/>
    </font>
    <font>
      <b/>
      <sz val="10"/>
      <color rgb="FF000000"/>
      <name val="Arial"/>
      <family val="2"/>
    </font>
    <font>
      <b/>
      <sz val="11"/>
      <color rgb="FF000000"/>
      <name val="Calibri"/>
      <family val="2"/>
    </font>
    <font>
      <b/>
      <sz val="24"/>
      <color rgb="FF000000"/>
      <name val="Calibri"/>
      <family val="2"/>
    </font>
    <font>
      <sz val="11"/>
      <color rgb="FF000000"/>
      <name val="Arial"/>
      <family val="2"/>
    </font>
    <font>
      <sz val="2"/>
      <color rgb="FF000000"/>
      <name val="Calibri"/>
      <family val="2"/>
    </font>
    <font>
      <u/>
      <sz val="11"/>
      <color rgb="FF000000"/>
      <name val="Arial"/>
      <family val="2"/>
    </font>
    <font>
      <sz val="20"/>
      <color rgb="FF3465A4"/>
      <name val="Helvetica Neue"/>
    </font>
    <font>
      <sz val="18"/>
      <color rgb="FF000000"/>
      <name val="Arial"/>
      <family val="2"/>
    </font>
    <font>
      <sz val="18"/>
      <color rgb="FFF10D0C"/>
      <name val="Arial"/>
      <family val="2"/>
    </font>
    <font>
      <sz val="8"/>
      <color rgb="FF000000"/>
      <name val="Arial"/>
      <family val="2"/>
    </font>
    <font>
      <b/>
      <sz val="13"/>
      <name val="Arial Black"/>
      <family val="2"/>
    </font>
    <font>
      <b/>
      <sz val="13"/>
      <color rgb="FF000000"/>
      <name val="Times New Roman"/>
      <family val="1"/>
    </font>
    <font>
      <b/>
      <sz val="10"/>
      <name val="Arial"/>
      <family val="2"/>
    </font>
    <font>
      <b/>
      <sz val="8"/>
      <name val="Arial"/>
      <family val="2"/>
    </font>
    <font>
      <b/>
      <u/>
      <sz val="12"/>
      <color rgb="FF000000"/>
      <name val="Arial"/>
      <family val="2"/>
    </font>
    <font>
      <b/>
      <sz val="12"/>
      <color rgb="FF5983B0"/>
      <name val="Arial"/>
      <family val="2"/>
    </font>
    <font>
      <b/>
      <u/>
      <sz val="11"/>
      <color rgb="FF000000"/>
      <name val="Arial"/>
      <family val="2"/>
    </font>
    <font>
      <sz val="10"/>
      <color rgb="FF000000"/>
      <name val="Arial"/>
      <family val="2"/>
    </font>
    <font>
      <sz val="14"/>
      <color rgb="FF000000"/>
      <name val="Calibri"/>
      <family val="2"/>
    </font>
    <font>
      <b/>
      <sz val="16"/>
      <color rgb="FF000000"/>
      <name val="Calibri"/>
      <family val="2"/>
    </font>
    <font>
      <sz val="9"/>
      <color indexed="81"/>
      <name val="Tahoma"/>
      <family val="2"/>
    </font>
    <font>
      <b/>
      <sz val="9"/>
      <color indexed="81"/>
      <name val="Tahoma"/>
      <family val="2"/>
    </font>
    <font>
      <sz val="10"/>
      <color indexed="81"/>
      <name val="Tahoma"/>
      <family val="2"/>
    </font>
    <font>
      <b/>
      <sz val="10"/>
      <color indexed="81"/>
      <name val="Tahoma"/>
      <family val="2"/>
    </font>
    <font>
      <b/>
      <sz val="10"/>
      <color rgb="FFFF0000"/>
      <name val="Helvetica Neue"/>
    </font>
    <font>
      <sz val="8"/>
      <name val="Arial"/>
      <family val="2"/>
    </font>
    <font>
      <b/>
      <sz val="10"/>
      <color theme="0"/>
      <name val="Arial"/>
      <family val="2"/>
    </font>
    <font>
      <sz val="17"/>
      <color rgb="FF000000"/>
      <name val="Arial"/>
      <family val="2"/>
    </font>
    <font>
      <b/>
      <sz val="16"/>
      <color rgb="FF000000"/>
      <name val="Arial"/>
      <family val="2"/>
    </font>
    <font>
      <b/>
      <sz val="8"/>
      <color rgb="FF000000"/>
      <name val="Arial"/>
      <family val="2"/>
    </font>
    <font>
      <u/>
      <sz val="10"/>
      <color theme="10"/>
      <name val="Arial"/>
      <family val="2"/>
    </font>
    <font>
      <u/>
      <sz val="12"/>
      <color theme="10"/>
      <name val="Arial"/>
      <family val="2"/>
    </font>
    <font>
      <b/>
      <vertAlign val="superscript"/>
      <sz val="12"/>
      <name val="Arial"/>
      <family val="2"/>
    </font>
    <font>
      <vertAlign val="superscript"/>
      <sz val="12"/>
      <name val="Arial"/>
      <family val="2"/>
    </font>
    <font>
      <b/>
      <sz val="11"/>
      <color rgb="FF000000"/>
      <name val="Arial"/>
      <family val="2"/>
    </font>
    <font>
      <sz val="14"/>
      <color rgb="FF000000"/>
      <name val="Arial"/>
      <family val="2"/>
    </font>
    <font>
      <sz val="12"/>
      <name val="Arial"/>
      <family val="2"/>
    </font>
    <font>
      <b/>
      <sz val="12"/>
      <name val="Arial"/>
      <family val="2"/>
    </font>
    <font>
      <sz val="12"/>
      <color theme="10"/>
      <name val="Arial"/>
      <family val="2"/>
    </font>
    <font>
      <sz val="11"/>
      <color theme="0"/>
      <name val="Calibri"/>
      <family val="2"/>
    </font>
    <font>
      <b/>
      <sz val="11"/>
      <color theme="0"/>
      <name val="Calibri"/>
      <family val="2"/>
    </font>
    <font>
      <sz val="10"/>
      <color theme="0"/>
      <name val="Arial"/>
      <family val="2"/>
    </font>
    <font>
      <b/>
      <sz val="24"/>
      <color rgb="FF000000"/>
      <name val="Calibri"/>
      <family val="2"/>
      <scheme val="minor"/>
    </font>
  </fonts>
  <fills count="46">
    <fill>
      <patternFill patternType="none"/>
    </fill>
    <fill>
      <patternFill patternType="gray125"/>
    </fill>
    <fill>
      <patternFill patternType="solid">
        <fgColor rgb="FFFFFFFF"/>
        <bgColor rgb="FFEDF9F4"/>
      </patternFill>
    </fill>
    <fill>
      <patternFill patternType="solid">
        <fgColor rgb="FFFFCC99"/>
        <bgColor rgb="FFFFDBB6"/>
      </patternFill>
    </fill>
    <fill>
      <patternFill patternType="solid">
        <fgColor rgb="FF77BC65"/>
        <bgColor rgb="FFAFD095"/>
      </patternFill>
    </fill>
    <fill>
      <patternFill patternType="solid">
        <fgColor rgb="FFFF9966"/>
        <bgColor rgb="FFEA9999"/>
      </patternFill>
    </fill>
    <fill>
      <patternFill patternType="solid">
        <fgColor rgb="FF4C1900"/>
        <bgColor rgb="FF333333"/>
      </patternFill>
    </fill>
    <fill>
      <patternFill patternType="solid">
        <fgColor rgb="FFFDEAEC"/>
        <bgColor rgb="FFEEEEEE"/>
      </patternFill>
    </fill>
    <fill>
      <patternFill patternType="solid">
        <fgColor rgb="FFEDF9F4"/>
        <bgColor rgb="FFEEEEEE"/>
      </patternFill>
    </fill>
    <fill>
      <patternFill patternType="solid">
        <fgColor rgb="FFCCCCCC"/>
        <bgColor rgb="FFC0C0C0"/>
      </patternFill>
    </fill>
    <fill>
      <patternFill patternType="solid">
        <fgColor rgb="FFDEE6EF"/>
        <bgColor rgb="FFDDDDDD"/>
      </patternFill>
    </fill>
    <fill>
      <patternFill patternType="solid">
        <fgColor rgb="FFB4C7DC"/>
        <bgColor rgb="FFC0C0C0"/>
      </patternFill>
    </fill>
    <fill>
      <patternFill patternType="solid">
        <fgColor rgb="FFFFDBB6"/>
        <bgColor rgb="FFFFCC99"/>
      </patternFill>
    </fill>
    <fill>
      <patternFill patternType="solid">
        <fgColor rgb="FFD4EA6B"/>
        <bgColor rgb="FFE8F2A1"/>
      </patternFill>
    </fill>
    <fill>
      <patternFill patternType="solid">
        <fgColor rgb="FFE8F2A1"/>
        <bgColor rgb="FFDDE8CB"/>
      </patternFill>
    </fill>
    <fill>
      <patternFill patternType="solid">
        <fgColor rgb="FFC9DAF8"/>
        <bgColor rgb="FFD9D9D9"/>
      </patternFill>
    </fill>
    <fill>
      <patternFill patternType="solid">
        <fgColor rgb="FFD9D9D9"/>
        <bgColor rgb="FFDDDDDD"/>
      </patternFill>
    </fill>
    <fill>
      <patternFill patternType="solid">
        <fgColor rgb="FFB6D7A8"/>
        <bgColor rgb="FFAFD095"/>
      </patternFill>
    </fill>
    <fill>
      <patternFill patternType="solid">
        <fgColor rgb="FFEA9999"/>
        <bgColor rgb="FFFF9966"/>
      </patternFill>
    </fill>
    <fill>
      <patternFill patternType="solid">
        <fgColor rgb="FFBEE3D3"/>
        <bgColor rgb="FFB7E1CD"/>
      </patternFill>
    </fill>
    <fill>
      <patternFill patternType="solid">
        <fgColor rgb="FFC2E0AE"/>
        <bgColor rgb="FFB6D7A8"/>
      </patternFill>
    </fill>
    <fill>
      <patternFill patternType="solid">
        <fgColor rgb="FFFFBF00"/>
        <bgColor rgb="FFFF9966"/>
      </patternFill>
    </fill>
    <fill>
      <patternFill patternType="solid">
        <fgColor rgb="FFDDE8CB"/>
        <bgColor rgb="FFDDDDDD"/>
      </patternFill>
    </fill>
    <fill>
      <patternFill patternType="solid">
        <fgColor rgb="FFAFD095"/>
        <bgColor rgb="FFB6D7A8"/>
      </patternFill>
    </fill>
    <fill>
      <patternFill patternType="solid">
        <fgColor rgb="FFEEEEEE"/>
        <bgColor rgb="FFEDF9F4"/>
      </patternFill>
    </fill>
    <fill>
      <patternFill patternType="solid">
        <fgColor rgb="FFFF6D6D"/>
        <bgColor rgb="FFFF9966"/>
      </patternFill>
    </fill>
    <fill>
      <patternFill patternType="solid">
        <fgColor rgb="FFFFFF99"/>
        <bgColor rgb="FFEDF9F4"/>
      </patternFill>
    </fill>
    <fill>
      <patternFill patternType="solid">
        <fgColor rgb="FFC9DAF8"/>
        <bgColor rgb="FFEDF9F4"/>
      </patternFill>
    </fill>
    <fill>
      <patternFill patternType="solid">
        <fgColor theme="0" tint="-4.9989318521683403E-2"/>
        <bgColor rgb="FFEDF9F4"/>
      </patternFill>
    </fill>
    <fill>
      <patternFill patternType="solid">
        <fgColor rgb="FFFFFF00"/>
        <bgColor rgb="FFEDF9F4"/>
      </patternFill>
    </fill>
    <fill>
      <patternFill patternType="solid">
        <fgColor rgb="FFFFBF00"/>
        <bgColor rgb="FFE8F2A1"/>
      </patternFill>
    </fill>
    <fill>
      <patternFill patternType="solid">
        <fgColor rgb="FFFF6D6D"/>
        <bgColor rgb="FFE8F2A1"/>
      </patternFill>
    </fill>
    <fill>
      <patternFill patternType="solid">
        <fgColor rgb="FF00B050"/>
        <bgColor rgb="FFE8F2A1"/>
      </patternFill>
    </fill>
    <fill>
      <patternFill patternType="solid">
        <fgColor rgb="FF00B0F0"/>
        <bgColor rgb="FFE8F2A1"/>
      </patternFill>
    </fill>
    <fill>
      <patternFill patternType="solid">
        <fgColor theme="7" tint="-0.249977111117893"/>
        <bgColor rgb="FFFF9966"/>
      </patternFill>
    </fill>
    <fill>
      <patternFill patternType="solid">
        <fgColor theme="7" tint="-0.249977111117893"/>
        <bgColor rgb="FFE8F2A1"/>
      </patternFill>
    </fill>
    <fill>
      <patternFill patternType="solid">
        <fgColor theme="2" tint="-0.499984740745262"/>
        <bgColor rgb="FFE8F2A1"/>
      </patternFill>
    </fill>
    <fill>
      <patternFill patternType="solid">
        <fgColor rgb="FF00B050"/>
        <bgColor rgb="FFDDE8CB"/>
      </patternFill>
    </fill>
    <fill>
      <patternFill patternType="solid">
        <fgColor rgb="FF00B050"/>
        <bgColor rgb="FFEDF9F4"/>
      </patternFill>
    </fill>
    <fill>
      <patternFill patternType="solid">
        <fgColor theme="0"/>
        <bgColor rgb="FFEDF9F4"/>
      </patternFill>
    </fill>
    <fill>
      <patternFill patternType="solid">
        <fgColor theme="0"/>
        <bgColor rgb="FFD9D9D9"/>
      </patternFill>
    </fill>
    <fill>
      <patternFill patternType="solid">
        <fgColor theme="3" tint="0.59999389629810485"/>
        <bgColor rgb="FFD9D9D9"/>
      </patternFill>
    </fill>
    <fill>
      <patternFill patternType="solid">
        <fgColor rgb="FF002060"/>
        <bgColor rgb="FFEDF9F4"/>
      </patternFill>
    </fill>
    <fill>
      <patternFill patternType="solid">
        <fgColor theme="3" tint="0.79998168889431442"/>
        <bgColor rgb="FFEDF9F4"/>
      </patternFill>
    </fill>
    <fill>
      <patternFill patternType="solid">
        <fgColor theme="3" tint="0.39997558519241921"/>
        <bgColor rgb="FFEDF9F4"/>
      </patternFill>
    </fill>
    <fill>
      <patternFill patternType="solid">
        <fgColor theme="3" tint="-0.249977111117893"/>
        <bgColor rgb="FFEDF9F4"/>
      </patternFill>
    </fill>
  </fills>
  <borders count="54">
    <border>
      <left/>
      <right/>
      <top/>
      <bottom/>
      <diagonal/>
    </border>
    <border>
      <left style="hair">
        <color auto="1"/>
      </left>
      <right style="hair">
        <color auto="1"/>
      </right>
      <top style="hair">
        <color auto="1"/>
      </top>
      <bottom style="hair">
        <color auto="1"/>
      </bottom>
      <diagonal/>
    </border>
    <border>
      <left style="hair">
        <color rgb="FF4C1900"/>
      </left>
      <right/>
      <top style="hair">
        <color rgb="FF4C1900"/>
      </top>
      <bottom/>
      <diagonal/>
    </border>
    <border>
      <left/>
      <right/>
      <top style="hair">
        <color rgb="FF4C1900"/>
      </top>
      <bottom/>
      <diagonal/>
    </border>
    <border>
      <left/>
      <right style="hair">
        <color rgb="FF4C1900"/>
      </right>
      <top style="hair">
        <color rgb="FF4C1900"/>
      </top>
      <bottom/>
      <diagonal/>
    </border>
    <border>
      <left style="hair">
        <color rgb="FF4C1900"/>
      </left>
      <right/>
      <top/>
      <bottom/>
      <diagonal/>
    </border>
    <border>
      <left/>
      <right style="hair">
        <color rgb="FF4C1900"/>
      </right>
      <top/>
      <bottom/>
      <diagonal/>
    </border>
    <border>
      <left/>
      <right/>
      <top/>
      <bottom style="hair">
        <color rgb="FF4C1900"/>
      </bottom>
      <diagonal/>
    </border>
    <border>
      <left style="hair">
        <color rgb="FF4C1900"/>
      </left>
      <right/>
      <top/>
      <bottom style="hair">
        <color rgb="FF4C1900"/>
      </bottom>
      <diagonal/>
    </border>
    <border>
      <left/>
      <right style="hair">
        <color rgb="FF4C1900"/>
      </right>
      <top/>
      <bottom style="hair">
        <color rgb="FF4C1900"/>
      </bottom>
      <diagonal/>
    </border>
    <border>
      <left style="thin">
        <color auto="1"/>
      </left>
      <right style="thin">
        <color auto="1"/>
      </right>
      <top style="thin">
        <color auto="1"/>
      </top>
      <bottom style="thin">
        <color auto="1"/>
      </bottom>
      <diagonal/>
    </border>
    <border>
      <left style="hair">
        <color rgb="FF729FCF"/>
      </left>
      <right style="hair">
        <color rgb="FF729FCF"/>
      </right>
      <top style="hair">
        <color rgb="FF729FCF"/>
      </top>
      <bottom style="hair">
        <color rgb="FF729FCF"/>
      </bottom>
      <diagonal/>
    </border>
    <border>
      <left style="thin">
        <color rgb="FF729FCF"/>
      </left>
      <right style="thin">
        <color rgb="FF729FCF"/>
      </right>
      <top style="thin">
        <color rgb="FF729FCF"/>
      </top>
      <bottom style="thin">
        <color rgb="FF729FCF"/>
      </bottom>
      <diagonal/>
    </border>
    <border>
      <left style="thin">
        <color rgb="FF729FCF"/>
      </left>
      <right/>
      <top style="thin">
        <color rgb="FF729FCF"/>
      </top>
      <bottom style="thin">
        <color rgb="FF729FCF"/>
      </bottom>
      <diagonal/>
    </border>
    <border>
      <left style="thick">
        <color auto="1"/>
      </left>
      <right style="thick">
        <color auto="1"/>
      </right>
      <top style="thick">
        <color auto="1"/>
      </top>
      <bottom style="thin">
        <color auto="1"/>
      </bottom>
      <diagonal/>
    </border>
    <border>
      <left style="thick">
        <color auto="1"/>
      </left>
      <right style="thick">
        <color auto="1"/>
      </right>
      <top style="thin">
        <color auto="1"/>
      </top>
      <bottom style="thick">
        <color auto="1"/>
      </bottom>
      <diagonal/>
    </border>
    <border>
      <left style="thick">
        <color auto="1"/>
      </left>
      <right style="thick">
        <color auto="1"/>
      </right>
      <top style="thick">
        <color auto="1"/>
      </top>
      <bottom style="thick">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style="thin">
        <color auto="1"/>
      </top>
      <bottom style="thin">
        <color auto="1"/>
      </bottom>
      <diagonal/>
    </border>
    <border>
      <left style="hair">
        <color rgb="FF729FCF"/>
      </left>
      <right/>
      <top/>
      <bottom/>
      <diagonal/>
    </border>
    <border>
      <left style="thin">
        <color rgb="FF729FCF"/>
      </left>
      <right style="thin">
        <color rgb="FF729FCF"/>
      </right>
      <top/>
      <bottom style="thin">
        <color rgb="FF729FCF"/>
      </bottom>
      <diagonal/>
    </border>
    <border>
      <left style="thin">
        <color rgb="FF729FCF"/>
      </left>
      <right/>
      <top/>
      <bottom style="thin">
        <color rgb="FF729FCF"/>
      </bottom>
      <diagonal/>
    </border>
    <border>
      <left style="thick">
        <color auto="1"/>
      </left>
      <right/>
      <top style="thick">
        <color auto="1"/>
      </top>
      <bottom style="thin">
        <color auto="1"/>
      </bottom>
      <diagonal/>
    </border>
    <border>
      <left/>
      <right/>
      <top style="thick">
        <color auto="1"/>
      </top>
      <bottom style="thin">
        <color auto="1"/>
      </bottom>
      <diagonal/>
    </border>
    <border>
      <left/>
      <right style="thick">
        <color auto="1"/>
      </right>
      <top style="thick">
        <color auto="1"/>
      </top>
      <bottom style="thin">
        <color auto="1"/>
      </bottom>
      <diagonal/>
    </border>
    <border>
      <left style="thick">
        <color auto="1"/>
      </left>
      <right/>
      <top style="thin">
        <color auto="1"/>
      </top>
      <bottom style="thick">
        <color auto="1"/>
      </bottom>
      <diagonal/>
    </border>
    <border>
      <left/>
      <right/>
      <top style="thin">
        <color auto="1"/>
      </top>
      <bottom style="thick">
        <color auto="1"/>
      </bottom>
      <diagonal/>
    </border>
    <border>
      <left/>
      <right style="thick">
        <color auto="1"/>
      </right>
      <top style="thin">
        <color auto="1"/>
      </top>
      <bottom style="thick">
        <color auto="1"/>
      </bottom>
      <diagonal/>
    </border>
    <border>
      <left/>
      <right style="thin">
        <color auto="1"/>
      </right>
      <top style="thin">
        <color auto="1"/>
      </top>
      <bottom style="thin">
        <color auto="1"/>
      </bottom>
      <diagonal/>
    </border>
    <border>
      <left/>
      <right/>
      <top style="hair">
        <color rgb="FF729FCF"/>
      </top>
      <bottom/>
      <diagonal/>
    </border>
    <border>
      <left/>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right/>
      <top/>
      <bottom style="thick">
        <color rgb="FFCCCCCC"/>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medium">
        <color auto="1"/>
      </right>
      <top style="thin">
        <color auto="1"/>
      </top>
      <bottom/>
      <diagonal/>
    </border>
    <border>
      <left/>
      <right/>
      <top style="thin">
        <color auto="1"/>
      </top>
      <bottom style="medium">
        <color auto="1"/>
      </bottom>
      <diagonal/>
    </border>
    <border>
      <left/>
      <right/>
      <top style="medium">
        <color auto="1"/>
      </top>
      <bottom/>
      <diagonal/>
    </border>
    <border>
      <left/>
      <right style="medium">
        <color indexed="64"/>
      </right>
      <top/>
      <bottom/>
      <diagonal/>
    </border>
    <border>
      <left style="medium">
        <color indexed="64"/>
      </left>
      <right style="medium">
        <color auto="1"/>
      </right>
      <top/>
      <bottom/>
      <diagonal/>
    </border>
  </borders>
  <cellStyleXfs count="26">
    <xf numFmtId="0" fontId="0" fillId="2" borderId="0"/>
    <xf numFmtId="164" fontId="52" fillId="3" borderId="1" applyProtection="0"/>
    <xf numFmtId="46" fontId="2" fillId="4" borderId="1" applyProtection="0">
      <alignment vertical="center"/>
    </xf>
    <xf numFmtId="0" fontId="3" fillId="2" borderId="0" applyBorder="0" applyProtection="0"/>
    <xf numFmtId="0" fontId="4" fillId="5" borderId="0" applyBorder="0" applyProtection="0"/>
    <xf numFmtId="0" fontId="5" fillId="6" borderId="0" applyBorder="0" applyProtection="0"/>
    <xf numFmtId="0" fontId="52" fillId="3" borderId="0" applyBorder="0" applyProtection="0">
      <alignment horizontal="right"/>
    </xf>
    <xf numFmtId="164" fontId="52" fillId="0" borderId="1">
      <protection locked="0"/>
    </xf>
    <xf numFmtId="0" fontId="52" fillId="3" borderId="2" applyProtection="0">
      <alignment horizontal="right"/>
    </xf>
    <xf numFmtId="0" fontId="52" fillId="3" borderId="3" applyProtection="0">
      <alignment horizontal="right"/>
    </xf>
    <xf numFmtId="0" fontId="52" fillId="3" borderId="4" applyProtection="0">
      <alignment horizontal="right"/>
    </xf>
    <xf numFmtId="0" fontId="52" fillId="3" borderId="5" applyProtection="0">
      <alignment horizontal="right"/>
    </xf>
    <xf numFmtId="0" fontId="52" fillId="3" borderId="6" applyProtection="0">
      <alignment horizontal="right"/>
    </xf>
    <xf numFmtId="0" fontId="52" fillId="3" borderId="7" applyProtection="0">
      <alignment horizontal="right"/>
    </xf>
    <xf numFmtId="0" fontId="52" fillId="3" borderId="8" applyProtection="0">
      <alignment horizontal="right"/>
    </xf>
    <xf numFmtId="0" fontId="52" fillId="3" borderId="9" applyProtection="0">
      <alignment horizontal="right"/>
    </xf>
    <xf numFmtId="165" fontId="52" fillId="5" borderId="1" applyProtection="0">
      <alignment horizontal="right" wrapText="1"/>
    </xf>
    <xf numFmtId="0" fontId="4" fillId="2" borderId="0" applyBorder="0" applyProtection="0"/>
    <xf numFmtId="0" fontId="6" fillId="2" borderId="0" applyBorder="0" applyProtection="0"/>
    <xf numFmtId="0" fontId="7" fillId="7" borderId="10" applyProtection="0">
      <alignment horizontal="center"/>
    </xf>
    <xf numFmtId="0" fontId="8" fillId="8" borderId="0" applyBorder="0" applyProtection="0">
      <alignment horizontal="center"/>
    </xf>
    <xf numFmtId="0" fontId="52" fillId="2" borderId="0" applyBorder="0" applyProtection="0">
      <alignment horizontal="center" vertical="center"/>
    </xf>
    <xf numFmtId="0" fontId="9" fillId="7" borderId="10" applyProtection="0">
      <alignment horizontal="center"/>
    </xf>
    <xf numFmtId="0" fontId="8" fillId="8" borderId="0" applyBorder="0" applyProtection="0"/>
    <xf numFmtId="0" fontId="65" fillId="2" borderId="0" applyNumberFormat="0" applyFill="0" applyBorder="0" applyAlignment="0" applyProtection="0"/>
    <xf numFmtId="0" fontId="25" fillId="2" borderId="0"/>
  </cellStyleXfs>
  <cellXfs count="294">
    <xf numFmtId="0" fontId="0" fillId="2" borderId="0" xfId="0"/>
    <xf numFmtId="0" fontId="10" fillId="2" borderId="0" xfId="0" applyFont="1" applyAlignment="1">
      <alignment horizontal="left" vertical="center"/>
    </xf>
    <xf numFmtId="0" fontId="11" fillId="2" borderId="0" xfId="0" applyFont="1" applyAlignment="1">
      <alignment horizontal="left" vertical="center"/>
    </xf>
    <xf numFmtId="0" fontId="12" fillId="2" borderId="0" xfId="0" applyFont="1" applyAlignment="1"/>
    <xf numFmtId="0" fontId="13" fillId="2" borderId="0" xfId="0" applyFont="1"/>
    <xf numFmtId="0" fontId="15" fillId="2" borderId="0" xfId="0" applyFont="1"/>
    <xf numFmtId="0" fontId="16" fillId="2" borderId="0" xfId="0" applyFont="1"/>
    <xf numFmtId="0" fontId="17" fillId="9" borderId="0" xfId="0" applyFont="1" applyFill="1" applyAlignment="1">
      <alignment horizontal="left" vertical="center"/>
    </xf>
    <xf numFmtId="0" fontId="18" fillId="9" borderId="0" xfId="0" applyFont="1" applyFill="1" applyAlignment="1"/>
    <xf numFmtId="0" fontId="18" fillId="2" borderId="0" xfId="0" applyFont="1" applyAlignment="1"/>
    <xf numFmtId="0" fontId="19" fillId="2" borderId="0" xfId="0" applyFont="1"/>
    <xf numFmtId="0" fontId="20" fillId="2" borderId="0" xfId="0" applyFont="1"/>
    <xf numFmtId="0" fontId="21" fillId="2" borderId="0" xfId="0" applyFont="1"/>
    <xf numFmtId="0" fontId="23" fillId="2" borderId="0" xfId="0" applyFont="1" applyBorder="1" applyAlignment="1">
      <alignment vertical="center"/>
    </xf>
    <xf numFmtId="0" fontId="0" fillId="2" borderId="0" xfId="0" applyAlignment="1">
      <alignment vertical="center"/>
    </xf>
    <xf numFmtId="0" fontId="10" fillId="0" borderId="0" xfId="0" applyFont="1" applyFill="1" applyAlignment="1">
      <alignment horizontal="left" vertical="center"/>
    </xf>
    <xf numFmtId="0" fontId="23" fillId="2" borderId="0" xfId="0" applyFont="1" applyAlignment="1">
      <alignment vertical="center"/>
    </xf>
    <xf numFmtId="0" fontId="26" fillId="2" borderId="0" xfId="0" applyFont="1" applyAlignment="1">
      <alignment horizontal="justify"/>
    </xf>
    <xf numFmtId="0" fontId="26" fillId="2" borderId="0" xfId="0" applyFont="1" applyAlignment="1"/>
    <xf numFmtId="0" fontId="12" fillId="2" borderId="0" xfId="0" applyFont="1" applyAlignment="1">
      <alignment vertical="center"/>
    </xf>
    <xf numFmtId="0" fontId="0" fillId="2" borderId="1" xfId="0" applyFont="1" applyBorder="1" applyAlignment="1" applyProtection="1">
      <alignment horizontal="center" vertical="center"/>
      <protection locked="0"/>
    </xf>
    <xf numFmtId="0" fontId="33" fillId="2" borderId="0" xfId="0" applyFont="1" applyAlignment="1">
      <alignment horizontal="left" vertical="center"/>
    </xf>
    <xf numFmtId="0" fontId="12" fillId="2" borderId="0" xfId="0" applyFont="1" applyAlignment="1">
      <alignment horizontal="center"/>
    </xf>
    <xf numFmtId="0" fontId="25" fillId="2" borderId="0" xfId="0" applyFont="1" applyAlignment="1">
      <alignment horizontal="center" vertical="center"/>
    </xf>
    <xf numFmtId="0" fontId="37" fillId="15" borderId="10" xfId="0" applyFont="1" applyFill="1" applyBorder="1" applyAlignment="1">
      <alignment horizontal="center" vertical="center"/>
    </xf>
    <xf numFmtId="0" fontId="20" fillId="15" borderId="10" xfId="0" applyFont="1" applyFill="1" applyBorder="1" applyAlignment="1">
      <alignment horizontal="center" vertical="center" wrapText="1"/>
    </xf>
    <xf numFmtId="0" fontId="36" fillId="15" borderId="10" xfId="0" applyFont="1" applyFill="1" applyBorder="1" applyAlignment="1">
      <alignment horizontal="center" vertical="center"/>
    </xf>
    <xf numFmtId="0" fontId="10" fillId="2" borderId="0" xfId="0" applyFont="1" applyAlignment="1">
      <alignment horizontal="left" vertical="center"/>
    </xf>
    <xf numFmtId="0" fontId="25" fillId="2" borderId="0" xfId="0" applyFont="1" applyAlignment="1">
      <alignment vertical="center"/>
    </xf>
    <xf numFmtId="0" fontId="0" fillId="2" borderId="0" xfId="0" applyAlignment="1" applyProtection="1">
      <alignment vertical="center"/>
    </xf>
    <xf numFmtId="0" fontId="0" fillId="2" borderId="0" xfId="0" applyAlignment="1" applyProtection="1">
      <alignment horizontal="right" vertical="center"/>
    </xf>
    <xf numFmtId="0" fontId="45" fillId="2" borderId="0" xfId="0" applyFont="1" applyAlignment="1" applyProtection="1">
      <alignment horizontal="left" vertical="center"/>
    </xf>
    <xf numFmtId="0" fontId="26" fillId="2" borderId="0" xfId="0" applyFont="1" applyAlignment="1">
      <alignment horizontal="left"/>
    </xf>
    <xf numFmtId="0" fontId="49" fillId="2" borderId="0" xfId="0" applyFont="1"/>
    <xf numFmtId="0" fontId="20" fillId="2" borderId="10" xfId="0" applyFont="1" applyBorder="1"/>
    <xf numFmtId="166" fontId="50" fillId="24" borderId="10" xfId="0" applyNumberFormat="1" applyFont="1" applyFill="1" applyBorder="1"/>
    <xf numFmtId="166" fontId="0" fillId="2" borderId="0" xfId="0" applyNumberFormat="1"/>
    <xf numFmtId="0" fontId="51" fillId="2" borderId="0" xfId="0" applyFont="1"/>
    <xf numFmtId="166" fontId="38" fillId="2" borderId="0" xfId="0" applyNumberFormat="1" applyFont="1"/>
    <xf numFmtId="0" fontId="38" fillId="2" borderId="0" xfId="0" applyFont="1"/>
    <xf numFmtId="0" fontId="0" fillId="2" borderId="0" xfId="0"/>
    <xf numFmtId="0" fontId="53" fillId="2" borderId="16" xfId="0" applyFont="1" applyBorder="1" applyAlignment="1">
      <alignment horizontal="center" vertical="center"/>
    </xf>
    <xf numFmtId="0" fontId="24" fillId="2" borderId="0" xfId="0" applyFont="1" applyAlignment="1">
      <alignment vertical="center"/>
    </xf>
    <xf numFmtId="0" fontId="54" fillId="26" borderId="16" xfId="0" applyFont="1" applyFill="1" applyBorder="1" applyAlignment="1">
      <alignment horizontal="center" vertical="center"/>
    </xf>
    <xf numFmtId="0" fontId="35" fillId="14" borderId="18" xfId="0" applyFont="1" applyFill="1" applyBorder="1" applyAlignment="1">
      <alignment horizontal="center" vertical="center"/>
    </xf>
    <xf numFmtId="0" fontId="35" fillId="14" borderId="19" xfId="0" applyFont="1" applyFill="1" applyBorder="1" applyAlignment="1">
      <alignment horizontal="center" vertical="center"/>
    </xf>
    <xf numFmtId="0" fontId="25" fillId="2" borderId="10" xfId="0" applyFont="1" applyBorder="1" applyAlignment="1">
      <alignment horizontal="center" vertical="center"/>
    </xf>
    <xf numFmtId="0" fontId="0" fillId="2" borderId="10" xfId="0" applyFont="1" applyBorder="1" applyAlignment="1">
      <alignment horizontal="center" vertical="center"/>
    </xf>
    <xf numFmtId="0" fontId="0" fillId="2" borderId="21" xfId="0" applyFont="1" applyBorder="1" applyAlignment="1">
      <alignment horizontal="center" vertical="center"/>
    </xf>
    <xf numFmtId="0" fontId="35" fillId="2" borderId="23" xfId="0" applyFont="1" applyBorder="1" applyAlignment="1">
      <alignment horizontal="center" vertical="center"/>
    </xf>
    <xf numFmtId="0" fontId="35" fillId="23" borderId="17" xfId="0" applyFont="1" applyFill="1" applyBorder="1" applyAlignment="1">
      <alignment horizontal="center" vertical="center"/>
    </xf>
    <xf numFmtId="0" fontId="35" fillId="23" borderId="19" xfId="0" applyFont="1" applyFill="1" applyBorder="1" applyAlignment="1">
      <alignment horizontal="center" vertical="center"/>
    </xf>
    <xf numFmtId="0" fontId="25" fillId="2" borderId="20" xfId="0" applyFont="1" applyBorder="1" applyAlignment="1">
      <alignment vertical="center"/>
    </xf>
    <xf numFmtId="166" fontId="25" fillId="2" borderId="21" xfId="0" applyNumberFormat="1" applyFont="1" applyBorder="1" applyAlignment="1">
      <alignment horizontal="center" vertical="center"/>
    </xf>
    <xf numFmtId="0" fontId="25" fillId="2" borderId="22" xfId="0" applyFont="1" applyBorder="1" applyAlignment="1">
      <alignment vertical="center"/>
    </xf>
    <xf numFmtId="166" fontId="35" fillId="2" borderId="24" xfId="0" applyNumberFormat="1" applyFont="1" applyBorder="1" applyAlignment="1">
      <alignment horizontal="center" vertical="center"/>
    </xf>
    <xf numFmtId="0" fontId="35" fillId="2" borderId="20" xfId="0" applyFont="1" applyBorder="1" applyAlignment="1">
      <alignment horizontal="center" vertical="center"/>
    </xf>
    <xf numFmtId="0" fontId="35" fillId="2" borderId="21" xfId="0" applyFont="1" applyBorder="1" applyAlignment="1">
      <alignment vertical="center"/>
    </xf>
    <xf numFmtId="0" fontId="35" fillId="2" borderId="22" xfId="0" applyFont="1" applyBorder="1" applyAlignment="1">
      <alignment horizontal="center" vertical="center"/>
    </xf>
    <xf numFmtId="0" fontId="35" fillId="2" borderId="24" xfId="0" applyFont="1" applyBorder="1" applyAlignment="1">
      <alignment vertical="center"/>
    </xf>
    <xf numFmtId="0" fontId="35" fillId="2" borderId="20" xfId="0" applyFont="1" applyBorder="1" applyAlignment="1">
      <alignment vertical="center"/>
    </xf>
    <xf numFmtId="0" fontId="35" fillId="2" borderId="10" xfId="0" applyFont="1" applyBorder="1" applyAlignment="1">
      <alignment horizontal="center" vertical="center"/>
    </xf>
    <xf numFmtId="0" fontId="35" fillId="2" borderId="20" xfId="0" applyFont="1" applyBorder="1" applyAlignment="1">
      <alignment horizontal="left" vertical="center"/>
    </xf>
    <xf numFmtId="0" fontId="32" fillId="2" borderId="0" xfId="0" applyFont="1" applyAlignment="1">
      <alignment horizontal="center" vertical="center"/>
    </xf>
    <xf numFmtId="0" fontId="13" fillId="2" borderId="0" xfId="0" applyFont="1" applyAlignment="1">
      <alignment vertical="center"/>
    </xf>
    <xf numFmtId="0" fontId="15" fillId="2" borderId="0" xfId="0" applyFont="1" applyAlignment="1">
      <alignment vertical="center"/>
    </xf>
    <xf numFmtId="0" fontId="16" fillId="2" borderId="0" xfId="0" applyFont="1" applyAlignment="1">
      <alignment vertical="center"/>
    </xf>
    <xf numFmtId="0" fontId="18" fillId="2" borderId="0" xfId="0" applyFont="1" applyAlignment="1">
      <alignment vertical="center"/>
    </xf>
    <xf numFmtId="0" fontId="19" fillId="2" borderId="0" xfId="0" applyFont="1" applyAlignment="1">
      <alignment vertical="center"/>
    </xf>
    <xf numFmtId="0" fontId="28" fillId="2" borderId="0" xfId="0" applyFont="1" applyAlignment="1">
      <alignment vertical="center"/>
    </xf>
    <xf numFmtId="0" fontId="30" fillId="2" borderId="12" xfId="0" applyFont="1" applyBorder="1" applyAlignment="1">
      <alignment horizontal="center" vertical="center"/>
    </xf>
    <xf numFmtId="0" fontId="30" fillId="2" borderId="13" xfId="0" applyFont="1" applyBorder="1" applyAlignment="1" applyProtection="1">
      <alignment horizontal="left" vertical="center" wrapText="1"/>
      <protection locked="0"/>
    </xf>
    <xf numFmtId="0" fontId="30" fillId="2" borderId="13" xfId="0" applyFont="1" applyBorder="1" applyAlignment="1" applyProtection="1">
      <alignment vertical="center"/>
      <protection locked="0"/>
    </xf>
    <xf numFmtId="0" fontId="30" fillId="2" borderId="0" xfId="0" applyFont="1" applyAlignment="1">
      <alignment vertical="center"/>
    </xf>
    <xf numFmtId="0" fontId="31" fillId="11" borderId="0" xfId="0" applyFont="1" applyFill="1" applyAlignment="1">
      <alignment vertical="center"/>
    </xf>
    <xf numFmtId="0" fontId="0" fillId="11" borderId="0" xfId="0" applyFill="1" applyAlignment="1">
      <alignment vertical="center"/>
    </xf>
    <xf numFmtId="0" fontId="14" fillId="12" borderId="0" xfId="0" applyFont="1" applyFill="1" applyAlignment="1">
      <alignment vertical="center"/>
    </xf>
    <xf numFmtId="0" fontId="18" fillId="11" borderId="0" xfId="0" applyFont="1" applyFill="1" applyAlignment="1">
      <alignment vertical="center"/>
    </xf>
    <xf numFmtId="0" fontId="18" fillId="9" borderId="0" xfId="0" applyFont="1" applyFill="1" applyAlignment="1">
      <alignment vertical="center"/>
    </xf>
    <xf numFmtId="0" fontId="22" fillId="2" borderId="0" xfId="0" applyFont="1" applyAlignment="1">
      <alignment vertical="center"/>
    </xf>
    <xf numFmtId="0" fontId="23" fillId="10" borderId="11" xfId="0" applyFont="1" applyFill="1" applyBorder="1" applyAlignment="1" applyProtection="1">
      <alignment vertical="center"/>
      <protection locked="0"/>
    </xf>
    <xf numFmtId="0" fontId="26" fillId="2" borderId="0" xfId="0" applyFont="1" applyAlignment="1">
      <alignment horizontal="justify" vertical="center"/>
    </xf>
    <xf numFmtId="0" fontId="0" fillId="2" borderId="0" xfId="0" applyFont="1" applyAlignment="1">
      <alignment horizontal="right" vertical="center"/>
    </xf>
    <xf numFmtId="0" fontId="26" fillId="2" borderId="0" xfId="0" applyFont="1" applyAlignment="1">
      <alignment vertical="center"/>
    </xf>
    <xf numFmtId="0" fontId="23" fillId="10" borderId="11" xfId="0" applyFont="1" applyFill="1" applyBorder="1" applyAlignment="1" applyProtection="1">
      <alignment vertical="center" wrapText="1"/>
      <protection locked="0"/>
    </xf>
    <xf numFmtId="0" fontId="0" fillId="2" borderId="0" xfId="0" applyFont="1" applyAlignment="1">
      <alignment vertical="center"/>
    </xf>
    <xf numFmtId="0" fontId="47" fillId="24" borderId="10" xfId="0" applyFont="1" applyFill="1" applyBorder="1" applyAlignment="1" applyProtection="1">
      <alignment vertical="center"/>
    </xf>
    <xf numFmtId="0" fontId="48" fillId="24" borderId="10" xfId="0" applyFont="1" applyFill="1" applyBorder="1" applyAlignment="1" applyProtection="1">
      <alignment horizontal="center" vertical="center"/>
    </xf>
    <xf numFmtId="0" fontId="41" fillId="2" borderId="0" xfId="0" applyFont="1" applyAlignment="1">
      <alignment vertical="center"/>
    </xf>
    <xf numFmtId="0" fontId="18" fillId="2" borderId="0" xfId="0" applyFont="1" applyAlignment="1" applyProtection="1">
      <alignment vertical="center"/>
    </xf>
    <xf numFmtId="0" fontId="19" fillId="2" borderId="0" xfId="0" applyFont="1" applyAlignment="1" applyProtection="1">
      <alignment vertical="center"/>
    </xf>
    <xf numFmtId="0" fontId="12" fillId="2" borderId="0" xfId="0" applyFont="1" applyAlignment="1" applyProtection="1">
      <alignment vertical="center"/>
    </xf>
    <xf numFmtId="4" fontId="43" fillId="2" borderId="0" xfId="0" applyNumberFormat="1" applyFont="1" applyBorder="1" applyAlignment="1" applyProtection="1">
      <alignment horizontal="center" vertical="center"/>
    </xf>
    <xf numFmtId="0" fontId="0" fillId="13" borderId="0" xfId="0" applyFill="1" applyAlignment="1" applyProtection="1">
      <alignment vertical="center"/>
    </xf>
    <xf numFmtId="0" fontId="0" fillId="21" borderId="0" xfId="0" applyFill="1" applyAlignment="1" applyProtection="1">
      <alignment vertical="center"/>
    </xf>
    <xf numFmtId="0" fontId="0" fillId="25" borderId="0" xfId="0" applyFill="1" applyAlignment="1" applyProtection="1">
      <alignment vertical="center"/>
    </xf>
    <xf numFmtId="0" fontId="4" fillId="2" borderId="10" xfId="0" applyFont="1" applyBorder="1" applyAlignment="1" applyProtection="1">
      <alignment horizontal="center" vertical="center"/>
    </xf>
    <xf numFmtId="0" fontId="1" fillId="2" borderId="25" xfId="0" applyFont="1" applyBorder="1" applyAlignment="1" applyProtection="1">
      <alignment vertical="center"/>
    </xf>
    <xf numFmtId="0" fontId="1" fillId="2" borderId="10" xfId="0" applyFont="1" applyBorder="1" applyAlignment="1" applyProtection="1">
      <alignment vertical="center"/>
    </xf>
    <xf numFmtId="0" fontId="44" fillId="2" borderId="10" xfId="0" applyFont="1" applyBorder="1" applyAlignment="1" applyProtection="1">
      <alignment horizontal="center" vertical="center"/>
    </xf>
    <xf numFmtId="0" fontId="45" fillId="2" borderId="0" xfId="0" applyFont="1" applyAlignment="1" applyProtection="1">
      <alignment horizontal="center" vertical="center"/>
    </xf>
    <xf numFmtId="167" fontId="46" fillId="2" borderId="0" xfId="0" applyNumberFormat="1" applyFont="1" applyAlignment="1" applyProtection="1">
      <alignment vertical="center"/>
    </xf>
    <xf numFmtId="0" fontId="0" fillId="2" borderId="0" xfId="0" applyAlignment="1">
      <alignment horizontal="right" vertical="center"/>
    </xf>
    <xf numFmtId="0" fontId="17" fillId="9" borderId="0" xfId="0" applyFont="1" applyFill="1" applyAlignment="1">
      <alignment horizontal="left" vertical="center"/>
    </xf>
    <xf numFmtId="0" fontId="35" fillId="14" borderId="17" xfId="0" applyFont="1" applyFill="1" applyBorder="1" applyAlignment="1">
      <alignment horizontal="center" vertical="center"/>
    </xf>
    <xf numFmtId="0" fontId="35" fillId="14" borderId="19" xfId="0" applyFont="1" applyFill="1" applyBorder="1" applyAlignment="1">
      <alignment horizontal="center" vertical="center"/>
    </xf>
    <xf numFmtId="0" fontId="34" fillId="2" borderId="0" xfId="0" applyFont="1" applyAlignment="1">
      <alignment vertical="center"/>
    </xf>
    <xf numFmtId="0" fontId="12" fillId="2" borderId="0" xfId="0" applyFont="1" applyAlignment="1">
      <alignment horizontal="center" vertical="center"/>
    </xf>
    <xf numFmtId="0" fontId="18" fillId="9" borderId="0" xfId="0" applyFont="1" applyFill="1" applyAlignment="1">
      <alignment horizontal="center" vertical="center"/>
    </xf>
    <xf numFmtId="0" fontId="0" fillId="13" borderId="0" xfId="0" applyFill="1" applyAlignment="1">
      <alignment vertical="center"/>
    </xf>
    <xf numFmtId="0" fontId="0" fillId="13" borderId="0" xfId="0" applyFill="1" applyAlignment="1">
      <alignment horizontal="center" vertical="center"/>
    </xf>
    <xf numFmtId="0" fontId="27" fillId="2" borderId="0" xfId="0" applyFont="1" applyAlignment="1">
      <alignment horizontal="left" vertical="center"/>
    </xf>
    <xf numFmtId="0" fontId="36" fillId="2" borderId="0" xfId="0" applyFont="1" applyAlignment="1">
      <alignment horizontal="center" vertical="center"/>
    </xf>
    <xf numFmtId="0" fontId="0" fillId="2" borderId="0" xfId="0" applyAlignment="1">
      <alignment horizontal="center" vertical="center"/>
    </xf>
    <xf numFmtId="0" fontId="1" fillId="2" borderId="10" xfId="0" applyFont="1" applyBorder="1" applyAlignment="1" applyProtection="1">
      <alignment vertical="center"/>
      <protection hidden="1"/>
    </xf>
    <xf numFmtId="0" fontId="36" fillId="16" borderId="10" xfId="0" applyFont="1" applyFill="1" applyBorder="1" applyAlignment="1">
      <alignment horizontal="center" vertical="center"/>
    </xf>
    <xf numFmtId="0" fontId="36" fillId="17" borderId="10" xfId="0" applyFont="1" applyFill="1" applyBorder="1" applyAlignment="1">
      <alignment horizontal="center" vertical="center"/>
    </xf>
    <xf numFmtId="0" fontId="36" fillId="18" borderId="10" xfId="0" applyFont="1" applyFill="1" applyBorder="1" applyAlignment="1">
      <alignment horizontal="center" vertical="center"/>
    </xf>
    <xf numFmtId="0" fontId="36" fillId="19" borderId="10" xfId="0" applyFont="1" applyFill="1" applyBorder="1" applyAlignment="1">
      <alignment horizontal="center" vertical="center"/>
    </xf>
    <xf numFmtId="0" fontId="36" fillId="20" borderId="10" xfId="0" applyFont="1" applyFill="1" applyBorder="1" applyAlignment="1">
      <alignment horizontal="center" vertical="center"/>
    </xf>
    <xf numFmtId="0" fontId="12" fillId="2" borderId="10" xfId="0" applyFont="1" applyBorder="1" applyAlignment="1">
      <alignment horizontal="center" vertical="center"/>
    </xf>
    <xf numFmtId="0" fontId="36" fillId="2" borderId="0" xfId="0" applyFont="1" applyAlignment="1">
      <alignment vertical="center"/>
    </xf>
    <xf numFmtId="0" fontId="38" fillId="2" borderId="0" xfId="0" applyFont="1" applyAlignment="1">
      <alignment vertical="center"/>
    </xf>
    <xf numFmtId="0" fontId="39" fillId="2" borderId="0" xfId="0" applyFont="1" applyAlignment="1">
      <alignment horizontal="center" vertical="center"/>
    </xf>
    <xf numFmtId="0" fontId="40" fillId="2" borderId="0" xfId="0" applyFont="1" applyAlignment="1">
      <alignment vertical="center"/>
    </xf>
    <xf numFmtId="0" fontId="0" fillId="2" borderId="0" xfId="0" applyAlignment="1" applyProtection="1">
      <alignment vertical="center"/>
      <protection locked="0"/>
    </xf>
    <xf numFmtId="0" fontId="12" fillId="0" borderId="0" xfId="0" applyFont="1" applyFill="1" applyAlignment="1">
      <alignment vertical="center"/>
    </xf>
    <xf numFmtId="0" fontId="11" fillId="9" borderId="0" xfId="0" applyFont="1" applyFill="1" applyAlignment="1">
      <alignment horizontal="left" vertical="center"/>
    </xf>
    <xf numFmtId="0" fontId="24" fillId="2" borderId="0" xfId="0" applyFont="1" applyAlignment="1">
      <alignment horizontal="left" vertical="center"/>
    </xf>
    <xf numFmtId="0" fontId="17" fillId="9" borderId="0" xfId="0" applyFont="1" applyFill="1" applyAlignment="1">
      <alignment horizontal="left" vertical="center"/>
    </xf>
    <xf numFmtId="0" fontId="52" fillId="2" borderId="10" xfId="21" applyBorder="1" applyProtection="1">
      <alignment horizontal="center" vertical="center"/>
      <protection locked="0"/>
    </xf>
    <xf numFmtId="0" fontId="53" fillId="2" borderId="0" xfId="0" applyFont="1" applyBorder="1" applyAlignment="1">
      <alignment horizontal="center" vertical="center"/>
    </xf>
    <xf numFmtId="0" fontId="19" fillId="2" borderId="12" xfId="0" applyFont="1" applyBorder="1" applyAlignment="1" applyProtection="1">
      <alignment vertical="center"/>
      <protection locked="0"/>
    </xf>
    <xf numFmtId="0" fontId="30" fillId="2" borderId="27" xfId="0" applyFont="1" applyBorder="1" applyAlignment="1">
      <alignment horizontal="center" vertical="center"/>
    </xf>
    <xf numFmtId="0" fontId="30" fillId="2" borderId="28" xfId="0" applyFont="1" applyBorder="1" applyAlignment="1" applyProtection="1">
      <alignment horizontal="left" vertical="center" wrapText="1"/>
      <protection locked="0"/>
    </xf>
    <xf numFmtId="0" fontId="29" fillId="9" borderId="12" xfId="0" applyFont="1" applyFill="1" applyBorder="1" applyAlignment="1">
      <alignment horizontal="center" vertical="center"/>
    </xf>
    <xf numFmtId="0" fontId="4" fillId="14" borderId="18" xfId="0" applyFont="1" applyFill="1" applyBorder="1" applyAlignment="1">
      <alignment horizontal="center" vertical="center" wrapText="1"/>
    </xf>
    <xf numFmtId="0" fontId="17" fillId="9" borderId="0" xfId="0" applyFont="1" applyFill="1" applyAlignment="1">
      <alignment horizontal="left" vertical="center"/>
    </xf>
    <xf numFmtId="0" fontId="35" fillId="14" borderId="17" xfId="0" applyFont="1" applyFill="1" applyBorder="1" applyAlignment="1">
      <alignment horizontal="center" vertical="center"/>
    </xf>
    <xf numFmtId="0" fontId="35" fillId="14" borderId="19" xfId="0" applyFont="1" applyFill="1" applyBorder="1" applyAlignment="1">
      <alignment horizontal="center" vertical="center"/>
    </xf>
    <xf numFmtId="0" fontId="25" fillId="2" borderId="10" xfId="0" applyFont="1" applyBorder="1" applyAlignment="1">
      <alignment horizontal="center" vertical="center"/>
    </xf>
    <xf numFmtId="0" fontId="4" fillId="23" borderId="18" xfId="0" applyFont="1" applyFill="1" applyBorder="1" applyAlignment="1">
      <alignment horizontal="center" vertical="center" wrapText="1"/>
    </xf>
    <xf numFmtId="0" fontId="59" fillId="2" borderId="0" xfId="0" applyFont="1" applyAlignment="1">
      <alignment vertical="center"/>
    </xf>
    <xf numFmtId="0" fontId="4" fillId="2" borderId="20" xfId="0" applyFont="1" applyBorder="1" applyAlignment="1">
      <alignment horizontal="center" vertical="center"/>
    </xf>
    <xf numFmtId="0" fontId="4" fillId="2" borderId="0" xfId="0" applyFont="1"/>
    <xf numFmtId="0" fontId="4" fillId="2" borderId="0" xfId="0" applyFont="1" applyAlignment="1">
      <alignment horizontal="center" vertical="center"/>
    </xf>
    <xf numFmtId="0" fontId="0" fillId="28" borderId="0" xfId="0" applyFill="1"/>
    <xf numFmtId="0" fontId="0" fillId="28" borderId="0" xfId="0" applyFill="1" applyAlignment="1">
      <alignment horizontal="center"/>
    </xf>
    <xf numFmtId="0" fontId="0" fillId="28" borderId="0" xfId="0" applyFill="1" applyAlignment="1">
      <alignment horizontal="center" vertical="center"/>
    </xf>
    <xf numFmtId="4" fontId="0" fillId="28" borderId="0" xfId="0" applyNumberFormat="1" applyFill="1"/>
    <xf numFmtId="2" fontId="0" fillId="28" borderId="0" xfId="0" applyNumberFormat="1" applyFill="1"/>
    <xf numFmtId="0" fontId="24" fillId="2" borderId="26" xfId="0" applyFont="1" applyBorder="1" applyAlignment="1">
      <alignment vertical="center" wrapText="1"/>
    </xf>
    <xf numFmtId="0" fontId="12" fillId="2" borderId="0" xfId="0" applyFont="1" applyAlignment="1" applyProtection="1">
      <alignment vertical="center" wrapText="1"/>
      <protection locked="0"/>
    </xf>
    <xf numFmtId="0" fontId="25" fillId="2" borderId="0" xfId="0" applyFont="1"/>
    <xf numFmtId="0" fontId="0" fillId="30" borderId="0" xfId="0" applyFill="1" applyAlignment="1">
      <alignment vertical="center"/>
    </xf>
    <xf numFmtId="0" fontId="0" fillId="30" borderId="0" xfId="0" applyFill="1" applyAlignment="1">
      <alignment horizontal="center" vertical="center"/>
    </xf>
    <xf numFmtId="0" fontId="0" fillId="31" borderId="0" xfId="0" applyFill="1" applyAlignment="1">
      <alignment vertical="center"/>
    </xf>
    <xf numFmtId="0" fontId="0" fillId="31" borderId="0" xfId="0" applyFill="1" applyAlignment="1">
      <alignment horizontal="center" vertical="center"/>
    </xf>
    <xf numFmtId="0" fontId="30" fillId="2" borderId="12" xfId="0" applyFont="1" applyBorder="1" applyAlignment="1" applyProtection="1">
      <alignment vertical="center"/>
      <protection locked="0"/>
    </xf>
    <xf numFmtId="0" fontId="17" fillId="9" borderId="0" xfId="0" applyFont="1" applyFill="1" applyAlignment="1">
      <alignment horizontal="left" vertical="center"/>
    </xf>
    <xf numFmtId="0" fontId="35" fillId="14" borderId="17" xfId="0" applyFont="1" applyFill="1" applyBorder="1" applyAlignment="1">
      <alignment horizontal="center" vertical="center"/>
    </xf>
    <xf numFmtId="0" fontId="35" fillId="14" borderId="19" xfId="0" applyFont="1" applyFill="1" applyBorder="1" applyAlignment="1">
      <alignment horizontal="center" vertical="center"/>
    </xf>
    <xf numFmtId="0" fontId="1" fillId="2" borderId="0" xfId="0" applyFont="1" applyBorder="1" applyAlignment="1" applyProtection="1">
      <alignment vertical="center"/>
      <protection hidden="1"/>
    </xf>
    <xf numFmtId="0" fontId="52" fillId="2" borderId="0" xfId="21" applyBorder="1" applyProtection="1">
      <alignment horizontal="center" vertical="center"/>
      <protection locked="0"/>
    </xf>
    <xf numFmtId="0" fontId="0" fillId="32" borderId="0" xfId="0" applyFill="1" applyAlignment="1" applyProtection="1">
      <alignment vertical="center"/>
    </xf>
    <xf numFmtId="0" fontId="0" fillId="32" borderId="0" xfId="0" applyFill="1" applyAlignment="1">
      <alignment vertical="center"/>
    </xf>
    <xf numFmtId="0" fontId="0" fillId="32" borderId="0" xfId="0" applyFill="1" applyAlignment="1">
      <alignment horizontal="center" vertical="center"/>
    </xf>
    <xf numFmtId="0" fontId="0" fillId="33" borderId="0" xfId="0" applyFill="1" applyAlignment="1">
      <alignment vertical="center"/>
    </xf>
    <xf numFmtId="0" fontId="0" fillId="33" borderId="0" xfId="0" applyFill="1" applyAlignment="1">
      <alignment horizontal="center" vertical="center"/>
    </xf>
    <xf numFmtId="0" fontId="0" fillId="34" borderId="0" xfId="0" applyFill="1" applyAlignment="1" applyProtection="1">
      <alignment vertical="center"/>
    </xf>
    <xf numFmtId="0" fontId="0" fillId="35" borderId="0" xfId="0" applyFill="1" applyAlignment="1">
      <alignment vertical="center"/>
    </xf>
    <xf numFmtId="0" fontId="0" fillId="35" borderId="0" xfId="0" applyFill="1" applyAlignment="1">
      <alignment horizontal="center" vertical="center"/>
    </xf>
    <xf numFmtId="0" fontId="0" fillId="33" borderId="0" xfId="0" applyFill="1" applyAlignment="1" applyProtection="1">
      <alignment vertical="center"/>
    </xf>
    <xf numFmtId="0" fontId="0" fillId="36" borderId="0" xfId="0" applyFill="1" applyAlignment="1">
      <alignment vertical="center"/>
    </xf>
    <xf numFmtId="0" fontId="0" fillId="36" borderId="0" xfId="0" applyFill="1" applyAlignment="1">
      <alignment horizontal="center" vertical="center"/>
    </xf>
    <xf numFmtId="0" fontId="0" fillId="36" borderId="0" xfId="0" applyFill="1" applyAlignment="1" applyProtection="1">
      <alignment vertical="center"/>
    </xf>
    <xf numFmtId="0" fontId="0" fillId="2" borderId="0" xfId="0" quotePrefix="1" applyAlignment="1">
      <alignment horizontal="center" vertical="center"/>
    </xf>
    <xf numFmtId="0" fontId="10" fillId="2" borderId="0" xfId="0" applyFont="1" applyAlignment="1">
      <alignment horizontal="center" vertical="center"/>
    </xf>
    <xf numFmtId="0" fontId="18" fillId="2" borderId="0" xfId="0" applyFont="1" applyAlignment="1">
      <alignment horizontal="center" vertical="center"/>
    </xf>
    <xf numFmtId="0" fontId="0" fillId="2" borderId="0" xfId="0" applyAlignment="1" applyProtection="1">
      <alignment horizontal="center" vertical="center"/>
    </xf>
    <xf numFmtId="0" fontId="10" fillId="2" borderId="0" xfId="0" applyFont="1" applyAlignment="1" applyProtection="1">
      <alignment horizontal="center" vertical="center"/>
    </xf>
    <xf numFmtId="0" fontId="0" fillId="2" borderId="10" xfId="0" applyBorder="1" applyAlignment="1" applyProtection="1">
      <alignment horizontal="center" vertical="center"/>
    </xf>
    <xf numFmtId="0" fontId="42" fillId="38" borderId="14" xfId="0" applyFont="1" applyFill="1" applyBorder="1" applyAlignment="1" applyProtection="1">
      <alignment horizontal="center" vertical="center"/>
    </xf>
    <xf numFmtId="0" fontId="25" fillId="2" borderId="38" xfId="0" applyFont="1" applyBorder="1" applyAlignment="1">
      <alignment vertical="center"/>
    </xf>
    <xf numFmtId="0" fontId="25" fillId="2" borderId="39" xfId="0" applyFont="1" applyBorder="1" applyAlignment="1">
      <alignment horizontal="center" vertical="center"/>
    </xf>
    <xf numFmtId="0" fontId="0" fillId="9" borderId="0" xfId="0" applyFont="1" applyFill="1" applyAlignment="1">
      <alignment horizontal="center" vertical="center"/>
    </xf>
    <xf numFmtId="0" fontId="12" fillId="2" borderId="0" xfId="0" applyFont="1" applyAlignment="1">
      <alignment vertical="top"/>
    </xf>
    <xf numFmtId="0" fontId="18" fillId="2" borderId="12" xfId="0" applyFont="1" applyBorder="1" applyAlignment="1" applyProtection="1">
      <alignment vertical="center"/>
      <protection locked="0"/>
    </xf>
    <xf numFmtId="0" fontId="23" fillId="10" borderId="11" xfId="0" applyFont="1" applyFill="1" applyBorder="1" applyAlignment="1" applyProtection="1">
      <alignment horizontal="center" vertical="center"/>
      <protection locked="0"/>
    </xf>
    <xf numFmtId="0" fontId="10" fillId="2" borderId="0" xfId="25" applyFont="1" applyAlignment="1">
      <alignment horizontal="left" vertical="center"/>
    </xf>
    <xf numFmtId="0" fontId="11" fillId="2" borderId="0" xfId="25" applyFont="1" applyAlignment="1">
      <alignment horizontal="left" vertical="center"/>
    </xf>
    <xf numFmtId="0" fontId="12" fillId="2" borderId="0" xfId="25" applyFont="1"/>
    <xf numFmtId="0" fontId="25" fillId="2" borderId="0" xfId="25"/>
    <xf numFmtId="0" fontId="13" fillId="2" borderId="0" xfId="25" applyFont="1"/>
    <xf numFmtId="0" fontId="15" fillId="2" borderId="0" xfId="25" applyFont="1"/>
    <xf numFmtId="0" fontId="16" fillId="2" borderId="0" xfId="25" applyFont="1"/>
    <xf numFmtId="0" fontId="17" fillId="9" borderId="0" xfId="25" applyFont="1" applyFill="1" applyAlignment="1">
      <alignment horizontal="left" vertical="center"/>
    </xf>
    <xf numFmtId="0" fontId="18" fillId="9" borderId="0" xfId="25" applyFont="1" applyFill="1"/>
    <xf numFmtId="0" fontId="18" fillId="2" borderId="0" xfId="25" applyFont="1"/>
    <xf numFmtId="0" fontId="19" fillId="2" borderId="0" xfId="25" applyFont="1"/>
    <xf numFmtId="0" fontId="4" fillId="2" borderId="0" xfId="25" applyFont="1" applyAlignment="1">
      <alignment vertical="center"/>
    </xf>
    <xf numFmtId="0" fontId="25" fillId="2" borderId="1" xfId="25" applyBorder="1" applyAlignment="1" applyProtection="1">
      <alignment horizontal="center" vertical="center"/>
      <protection locked="0"/>
    </xf>
    <xf numFmtId="0" fontId="69" fillId="9" borderId="1" xfId="25" applyFont="1" applyFill="1" applyBorder="1" applyAlignment="1">
      <alignment horizontal="center" vertical="center"/>
    </xf>
    <xf numFmtId="0" fontId="25" fillId="2" borderId="1" xfId="25" applyBorder="1" applyAlignment="1" applyProtection="1">
      <alignment horizontal="left" vertical="center"/>
      <protection locked="0"/>
    </xf>
    <xf numFmtId="0" fontId="64" fillId="2" borderId="0" xfId="0" applyFont="1" applyAlignment="1">
      <alignment vertical="center" wrapText="1"/>
    </xf>
    <xf numFmtId="0" fontId="0" fillId="2" borderId="0" xfId="0" applyAlignment="1">
      <alignment horizontal="center"/>
    </xf>
    <xf numFmtId="0" fontId="0" fillId="39" borderId="0" xfId="0" applyFill="1" applyAlignment="1">
      <alignment horizontal="center"/>
    </xf>
    <xf numFmtId="0" fontId="25" fillId="28" borderId="0" xfId="0" applyFont="1" applyFill="1" applyAlignment="1">
      <alignment horizontal="center" vertical="center"/>
    </xf>
    <xf numFmtId="0" fontId="0" fillId="29" borderId="0" xfId="0" applyFill="1" applyAlignment="1">
      <alignment horizontal="center" vertical="center"/>
    </xf>
    <xf numFmtId="4" fontId="43" fillId="39" borderId="15" xfId="0" applyNumberFormat="1" applyFont="1" applyFill="1" applyBorder="1" applyAlignment="1" applyProtection="1">
      <alignment horizontal="center" vertical="center"/>
    </xf>
    <xf numFmtId="0" fontId="66" fillId="2" borderId="0" xfId="24" applyFont="1" applyAlignment="1">
      <alignment vertical="top"/>
    </xf>
    <xf numFmtId="0" fontId="0" fillId="2" borderId="0" xfId="0" applyAlignment="1">
      <alignment vertical="top"/>
    </xf>
    <xf numFmtId="0" fontId="65" fillId="2" borderId="0" xfId="24" applyAlignment="1"/>
    <xf numFmtId="0" fontId="66" fillId="2" borderId="0" xfId="24" applyFont="1" applyAlignment="1"/>
    <xf numFmtId="0" fontId="36" fillId="40" borderId="10" xfId="0" applyFont="1" applyFill="1" applyBorder="1" applyAlignment="1">
      <alignment horizontal="center" vertical="center"/>
    </xf>
    <xf numFmtId="0" fontId="44" fillId="2" borderId="10" xfId="0" applyFont="1" applyBorder="1" applyAlignment="1">
      <alignment horizontal="center" vertical="center"/>
    </xf>
    <xf numFmtId="10" fontId="0" fillId="28" borderId="0" xfId="0" applyNumberFormat="1" applyFill="1" applyAlignment="1">
      <alignment horizontal="center" vertical="center"/>
    </xf>
    <xf numFmtId="0" fontId="72" fillId="15" borderId="10" xfId="0" applyFont="1" applyFill="1" applyBorder="1" applyAlignment="1">
      <alignment horizontal="center" vertical="center" wrapText="1"/>
    </xf>
    <xf numFmtId="0" fontId="20" fillId="41" borderId="10" xfId="0" applyFont="1" applyFill="1" applyBorder="1" applyAlignment="1">
      <alignment horizontal="center" vertical="center" wrapText="1"/>
    </xf>
    <xf numFmtId="0" fontId="0" fillId="2" borderId="10" xfId="0" applyBorder="1" applyAlignment="1">
      <alignment horizontal="center" vertical="center"/>
    </xf>
    <xf numFmtId="0" fontId="0" fillId="2" borderId="10" xfId="0" applyBorder="1"/>
    <xf numFmtId="0" fontId="0" fillId="2" borderId="10" xfId="0" applyBorder="1" applyAlignment="1">
      <alignment horizontal="left" vertical="center" wrapText="1"/>
    </xf>
    <xf numFmtId="0" fontId="0" fillId="2" borderId="10" xfId="0" applyBorder="1" applyAlignment="1">
      <alignment horizontal="center" vertical="center" wrapText="1"/>
    </xf>
    <xf numFmtId="0" fontId="35" fillId="2" borderId="39" xfId="0" applyFont="1" applyBorder="1" applyAlignment="1">
      <alignment horizontal="center" vertical="center"/>
    </xf>
    <xf numFmtId="0" fontId="4" fillId="2" borderId="38" xfId="0" applyFont="1" applyBorder="1" applyAlignment="1">
      <alignment vertical="center"/>
    </xf>
    <xf numFmtId="0" fontId="74" fillId="2" borderId="0" xfId="0" applyFont="1" applyAlignment="1">
      <alignment vertical="center"/>
    </xf>
    <xf numFmtId="0" fontId="75" fillId="39" borderId="0" xfId="0" applyFont="1" applyFill="1" applyBorder="1" applyAlignment="1">
      <alignment horizontal="center" vertical="center"/>
    </xf>
    <xf numFmtId="0" fontId="74" fillId="39" borderId="0" xfId="0" applyFont="1" applyFill="1" applyBorder="1" applyAlignment="1">
      <alignment horizontal="center" vertical="center"/>
    </xf>
    <xf numFmtId="0" fontId="74" fillId="2" borderId="0" xfId="0" applyFont="1" applyBorder="1" applyAlignment="1">
      <alignment vertical="center"/>
    </xf>
    <xf numFmtId="0" fontId="75" fillId="2" borderId="0" xfId="0" applyFont="1" applyBorder="1" applyAlignment="1">
      <alignment horizontal="center" vertical="center"/>
    </xf>
    <xf numFmtId="0" fontId="74" fillId="2" borderId="0" xfId="0" applyFont="1" applyBorder="1" applyAlignment="1">
      <alignment horizontal="center" vertical="center"/>
    </xf>
    <xf numFmtId="0" fontId="4" fillId="2" borderId="20" xfId="0" applyFont="1" applyBorder="1" applyAlignment="1">
      <alignment vertical="center"/>
    </xf>
    <xf numFmtId="0" fontId="4" fillId="2" borderId="10" xfId="0" applyFont="1" applyBorder="1" applyAlignment="1">
      <alignment horizontal="center" vertical="center"/>
    </xf>
    <xf numFmtId="0" fontId="74" fillId="39" borderId="0" xfId="0" applyFont="1" applyFill="1" applyBorder="1" applyAlignment="1">
      <alignment vertical="center"/>
    </xf>
    <xf numFmtId="0" fontId="76" fillId="39" borderId="0" xfId="0" applyFont="1" applyFill="1" applyBorder="1" applyAlignment="1">
      <alignment vertical="center"/>
    </xf>
    <xf numFmtId="0" fontId="61" fillId="2" borderId="0" xfId="0" applyFont="1" applyAlignment="1">
      <alignment vertical="center" wrapText="1"/>
    </xf>
    <xf numFmtId="0" fontId="76" fillId="2" borderId="0" xfId="0" applyFont="1" applyAlignment="1">
      <alignment horizontal="center" vertical="center"/>
    </xf>
    <xf numFmtId="168" fontId="0" fillId="28" borderId="0" xfId="0" applyNumberFormat="1" applyFill="1" applyAlignment="1">
      <alignment horizontal="center" vertical="center"/>
    </xf>
    <xf numFmtId="0" fontId="0" fillId="2" borderId="39" xfId="0" applyFont="1" applyBorder="1" applyAlignment="1">
      <alignment horizontal="center" vertical="center"/>
    </xf>
    <xf numFmtId="0" fontId="0" fillId="2" borderId="49" xfId="0" applyFont="1" applyBorder="1" applyAlignment="1">
      <alignment horizontal="center" vertical="center"/>
    </xf>
    <xf numFmtId="0" fontId="0" fillId="2" borderId="52" xfId="0" applyBorder="1" applyAlignment="1">
      <alignment horizontal="center" vertical="center"/>
    </xf>
    <xf numFmtId="0" fontId="1" fillId="2" borderId="39" xfId="0" applyFont="1" applyBorder="1" applyAlignment="1" applyProtection="1">
      <alignment horizontal="center" vertical="center"/>
    </xf>
    <xf numFmtId="0" fontId="61" fillId="0" borderId="51" xfId="0" applyFont="1" applyFill="1" applyBorder="1" applyAlignment="1">
      <alignment horizontal="center" vertical="center"/>
    </xf>
    <xf numFmtId="0" fontId="1" fillId="2" borderId="41" xfId="0" applyFont="1" applyBorder="1" applyAlignment="1" applyProtection="1">
      <alignment horizontal="center" vertical="center"/>
    </xf>
    <xf numFmtId="0" fontId="0" fillId="2" borderId="53" xfId="0" applyBorder="1" applyAlignment="1">
      <alignment vertical="center"/>
    </xf>
    <xf numFmtId="0" fontId="20" fillId="10" borderId="11" xfId="0" applyFont="1" applyFill="1" applyBorder="1" applyAlignment="1">
      <alignment horizontal="left" vertical="center" wrapText="1"/>
    </xf>
    <xf numFmtId="0" fontId="71" fillId="10" borderId="11" xfId="0" applyFont="1" applyFill="1" applyBorder="1" applyAlignment="1">
      <alignment horizontal="left" vertical="center" wrapText="1"/>
    </xf>
    <xf numFmtId="0" fontId="21" fillId="10" borderId="11" xfId="0" applyFont="1" applyFill="1" applyBorder="1" applyAlignment="1">
      <alignment horizontal="left" vertical="center" wrapText="1"/>
    </xf>
    <xf numFmtId="0" fontId="32" fillId="26" borderId="25" xfId="0" applyFont="1" applyFill="1" applyBorder="1" applyAlignment="1">
      <alignment horizontal="center" vertical="center"/>
    </xf>
    <xf numFmtId="0" fontId="32" fillId="26" borderId="35" xfId="0" applyFont="1" applyFill="1" applyBorder="1" applyAlignment="1">
      <alignment horizontal="center" vertical="center"/>
    </xf>
    <xf numFmtId="0" fontId="27" fillId="2" borderId="40" xfId="25" applyFont="1" applyBorder="1" applyAlignment="1">
      <alignment horizontal="left" vertical="center"/>
    </xf>
    <xf numFmtId="0" fontId="20" fillId="2" borderId="0" xfId="25" applyFont="1" applyAlignment="1">
      <alignment horizontal="left" vertical="center" wrapText="1"/>
    </xf>
    <xf numFmtId="0" fontId="70" fillId="26" borderId="41" xfId="25" applyFont="1" applyFill="1" applyBorder="1" applyAlignment="1">
      <alignment horizontal="center" vertical="center"/>
    </xf>
    <xf numFmtId="0" fontId="70" fillId="26" borderId="42" xfId="25" applyFont="1" applyFill="1" applyBorder="1" applyAlignment="1">
      <alignment horizontal="center" vertical="center"/>
    </xf>
    <xf numFmtId="0" fontId="70" fillId="26" borderId="43" xfId="25" applyFont="1" applyFill="1" applyBorder="1" applyAlignment="1">
      <alignment horizontal="center" vertical="center"/>
    </xf>
    <xf numFmtId="0" fontId="70" fillId="26" borderId="44" xfId="25" applyFont="1" applyFill="1" applyBorder="1" applyAlignment="1">
      <alignment horizontal="center" vertical="center"/>
    </xf>
    <xf numFmtId="0" fontId="70" fillId="26" borderId="0" xfId="25" applyFont="1" applyFill="1" applyAlignment="1">
      <alignment horizontal="center" vertical="center"/>
    </xf>
    <xf numFmtId="0" fontId="70" fillId="26" borderId="45" xfId="25" applyFont="1" applyFill="1" applyBorder="1" applyAlignment="1">
      <alignment horizontal="center" vertical="center"/>
    </xf>
    <xf numFmtId="0" fontId="70" fillId="26" borderId="46" xfId="25" applyFont="1" applyFill="1" applyBorder="1" applyAlignment="1">
      <alignment horizontal="center" vertical="center"/>
    </xf>
    <xf numFmtId="0" fontId="70" fillId="26" borderId="47" xfId="25" applyFont="1" applyFill="1" applyBorder="1" applyAlignment="1">
      <alignment horizontal="center" vertical="center"/>
    </xf>
    <xf numFmtId="0" fontId="70" fillId="26" borderId="48" xfId="25" applyFont="1" applyFill="1" applyBorder="1" applyAlignment="1">
      <alignment horizontal="center" vertical="center"/>
    </xf>
    <xf numFmtId="0" fontId="17" fillId="9" borderId="0" xfId="0" applyFont="1" applyFill="1" applyAlignment="1">
      <alignment horizontal="left" vertical="center"/>
    </xf>
    <xf numFmtId="0" fontId="35" fillId="14" borderId="17" xfId="0" applyFont="1" applyFill="1" applyBorder="1" applyAlignment="1">
      <alignment horizontal="center" vertical="center"/>
    </xf>
    <xf numFmtId="0" fontId="35" fillId="14" borderId="19" xfId="0" applyFont="1" applyFill="1" applyBorder="1" applyAlignment="1">
      <alignment horizontal="center" vertical="center"/>
    </xf>
    <xf numFmtId="0" fontId="64" fillId="2" borderId="0" xfId="0" applyFont="1" applyAlignment="1">
      <alignment horizontal="left" vertical="center" wrapText="1"/>
    </xf>
    <xf numFmtId="0" fontId="27" fillId="2" borderId="0" xfId="0" applyFont="1" applyAlignment="1">
      <alignment horizontal="left" vertical="center" wrapText="1"/>
    </xf>
    <xf numFmtId="0" fontId="23" fillId="22" borderId="0" xfId="0" applyFont="1" applyFill="1" applyAlignment="1">
      <alignment horizontal="center" vertical="center"/>
    </xf>
    <xf numFmtId="0" fontId="47" fillId="37" borderId="17" xfId="0" applyFont="1" applyFill="1" applyBorder="1" applyAlignment="1">
      <alignment horizontal="center" vertical="center"/>
    </xf>
    <xf numFmtId="0" fontId="47" fillId="37" borderId="18" xfId="0" applyFont="1" applyFill="1" applyBorder="1" applyAlignment="1">
      <alignment horizontal="center" vertical="center"/>
    </xf>
    <xf numFmtId="0" fontId="4" fillId="43" borderId="20" xfId="0" applyFont="1" applyFill="1" applyBorder="1" applyAlignment="1">
      <alignment horizontal="center" vertical="center"/>
    </xf>
    <xf numFmtId="0" fontId="4" fillId="43" borderId="10" xfId="0" applyFont="1" applyFill="1" applyBorder="1" applyAlignment="1">
      <alignment horizontal="center" vertical="center"/>
    </xf>
    <xf numFmtId="2" fontId="63" fillId="28" borderId="32" xfId="0" applyNumberFormat="1" applyFont="1" applyFill="1" applyBorder="1" applyAlignment="1" applyProtection="1">
      <alignment horizontal="center" vertical="center"/>
    </xf>
    <xf numFmtId="2" fontId="63" fillId="28" borderId="33" xfId="0" applyNumberFormat="1" applyFont="1" applyFill="1" applyBorder="1" applyAlignment="1" applyProtection="1">
      <alignment horizontal="center" vertical="center"/>
    </xf>
    <xf numFmtId="2" fontId="63" fillId="28" borderId="34" xfId="0" applyNumberFormat="1" applyFont="1" applyFill="1" applyBorder="1" applyAlignment="1" applyProtection="1">
      <alignment horizontal="center" vertical="center"/>
    </xf>
    <xf numFmtId="0" fontId="25" fillId="2" borderId="51" xfId="0" applyFont="1" applyBorder="1" applyAlignment="1">
      <alignment horizontal="center" vertical="center"/>
    </xf>
    <xf numFmtId="0" fontId="4" fillId="44" borderId="35" xfId="0" applyFont="1" applyFill="1" applyBorder="1" applyAlignment="1">
      <alignment horizontal="center" vertical="center"/>
    </xf>
    <xf numFmtId="0" fontId="4" fillId="44" borderId="10" xfId="0" applyFont="1" applyFill="1" applyBorder="1" applyAlignment="1">
      <alignment horizontal="center" vertical="center"/>
    </xf>
    <xf numFmtId="0" fontId="62" fillId="2" borderId="29" xfId="0" applyFont="1" applyBorder="1" applyAlignment="1" applyProtection="1">
      <alignment horizontal="center" vertical="center"/>
    </xf>
    <xf numFmtId="0" fontId="62" fillId="2" borderId="30" xfId="0" applyFont="1" applyBorder="1" applyAlignment="1" applyProtection="1">
      <alignment horizontal="center" vertical="center"/>
    </xf>
    <xf numFmtId="0" fontId="62" fillId="2" borderId="31" xfId="0" applyFont="1" applyBorder="1" applyAlignment="1" applyProtection="1">
      <alignment horizontal="center" vertical="center"/>
    </xf>
    <xf numFmtId="0" fontId="61" fillId="45" borderId="38" xfId="0" applyFont="1" applyFill="1" applyBorder="1" applyAlignment="1">
      <alignment horizontal="center" vertical="center"/>
    </xf>
    <xf numFmtId="0" fontId="61" fillId="45" borderId="39" xfId="0" applyFont="1" applyFill="1" applyBorder="1" applyAlignment="1">
      <alignment horizontal="center" vertical="center"/>
    </xf>
    <xf numFmtId="0" fontId="4" fillId="2" borderId="25" xfId="0" applyFont="1" applyBorder="1" applyAlignment="1" applyProtection="1">
      <alignment horizontal="center" vertical="center"/>
    </xf>
    <xf numFmtId="0" fontId="4" fillId="2" borderId="37" xfId="0" applyFont="1" applyBorder="1" applyAlignment="1" applyProtection="1">
      <alignment horizontal="center" vertical="center"/>
    </xf>
    <xf numFmtId="0" fontId="4" fillId="2" borderId="35" xfId="0" applyFont="1" applyBorder="1" applyAlignment="1" applyProtection="1">
      <alignment horizontal="center" vertical="center"/>
    </xf>
    <xf numFmtId="0" fontId="37" fillId="15" borderId="25" xfId="0" applyFont="1" applyFill="1" applyBorder="1" applyAlignment="1" applyProtection="1">
      <alignment horizontal="center" vertical="center"/>
    </xf>
    <xf numFmtId="0" fontId="37" fillId="15" borderId="37" xfId="0" applyFont="1" applyFill="1" applyBorder="1" applyAlignment="1" applyProtection="1">
      <alignment horizontal="center" vertical="center"/>
    </xf>
    <xf numFmtId="0" fontId="37" fillId="15" borderId="35" xfId="0" applyFont="1" applyFill="1" applyBorder="1" applyAlignment="1" applyProtection="1">
      <alignment horizontal="center" vertical="center"/>
    </xf>
    <xf numFmtId="0" fontId="77" fillId="44" borderId="50" xfId="0" applyFont="1" applyFill="1" applyBorder="1" applyAlignment="1">
      <alignment horizontal="center" vertical="center"/>
    </xf>
    <xf numFmtId="0" fontId="20" fillId="10" borderId="36" xfId="0" applyFont="1" applyFill="1" applyBorder="1" applyAlignment="1">
      <alignment horizontal="left" vertical="center" wrapText="1"/>
    </xf>
    <xf numFmtId="0" fontId="20" fillId="10" borderId="0" xfId="0" applyFont="1" applyFill="1" applyBorder="1" applyAlignment="1">
      <alignment horizontal="left" vertical="center" wrapText="1"/>
    </xf>
    <xf numFmtId="0" fontId="17" fillId="9" borderId="0" xfId="0" applyFont="1" applyFill="1" applyAlignment="1">
      <alignment horizontal="left" vertical="top"/>
    </xf>
    <xf numFmtId="0" fontId="61" fillId="42" borderId="0" xfId="0" applyFont="1" applyFill="1" applyAlignment="1">
      <alignment horizontal="left" vertical="center"/>
    </xf>
    <xf numFmtId="0" fontId="4" fillId="27" borderId="0" xfId="0" applyFont="1" applyFill="1" applyAlignment="1">
      <alignment horizontal="left" vertical="center"/>
    </xf>
  </cellXfs>
  <cellStyles count="26">
    <cellStyle name="Background" xfId="5"/>
    <cellStyle name="Bad2" xfId="19"/>
    <cellStyle name="Bad3" xfId="22"/>
    <cellStyle name="Blanco" xfId="21"/>
    <cellStyle name="Card" xfId="6"/>
    <cellStyle name="Card B" xfId="13"/>
    <cellStyle name="Card BL" xfId="14"/>
    <cellStyle name="Card BR" xfId="15"/>
    <cellStyle name="Card L" xfId="11"/>
    <cellStyle name="Card R" xfId="12"/>
    <cellStyle name="Card T" xfId="9"/>
    <cellStyle name="Card TL" xfId="8"/>
    <cellStyle name="Card TR" xfId="10"/>
    <cellStyle name="Column Header" xfId="16"/>
    <cellStyle name="Enlace" xfId="18"/>
    <cellStyle name="Good" xfId="23"/>
    <cellStyle name="Good2" xfId="20"/>
    <cellStyle name="Hipervínculo" xfId="24" builtinId="8"/>
    <cellStyle name="Input" xfId="7"/>
    <cellStyle name="LINK" xfId="17"/>
    <cellStyle name="Normal" xfId="0" builtinId="0"/>
    <cellStyle name="Normal 2" xfId="25"/>
    <cellStyle name="Resultado" xfId="1"/>
    <cellStyle name="Resultado2" xfId="2"/>
    <cellStyle name="Título" xfId="3"/>
    <cellStyle name="Título1" xfId="4"/>
  </cellStyles>
  <dxfs count="1191">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trike val="0"/>
        <outline val="0"/>
        <shadow val="0"/>
        <u val="none"/>
        <sz val="8"/>
        <color rgb="FFCC0000"/>
        <name val="Arial"/>
      </font>
      <fill>
        <patternFill>
          <bgColor rgb="FFFDEAEC"/>
        </patternFill>
      </fill>
    </dxf>
    <dxf>
      <font>
        <b/>
        <i val="0"/>
        <sz val="10"/>
        <color rgb="FF006600"/>
        <name val="Arial"/>
      </font>
      <fill>
        <patternFill>
          <bgColor rgb="FFEDF9F4"/>
        </patternFill>
      </fill>
      <alignment horizontal="center" vertical="bottom"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trike val="0"/>
        <outline val="0"/>
        <shadow val="0"/>
        <u val="none"/>
        <sz val="8"/>
        <color rgb="FFCC0000"/>
        <name val="Arial"/>
      </font>
      <fill>
        <patternFill>
          <bgColor rgb="FFFDEAEC"/>
        </patternFill>
      </fill>
    </dxf>
    <dxf>
      <font>
        <b/>
        <i val="0"/>
        <sz val="10"/>
        <color rgb="FF006600"/>
        <name val="Arial"/>
      </font>
      <fill>
        <patternFill>
          <bgColor rgb="FFEDF9F4"/>
        </patternFill>
      </fill>
      <alignment horizontal="center" vertical="bottom"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trike val="0"/>
        <outline val="0"/>
        <shadow val="0"/>
        <u val="none"/>
        <sz val="8"/>
        <color rgb="FFCC0000"/>
        <name val="Arial"/>
      </font>
      <fill>
        <patternFill>
          <bgColor rgb="FFFDEAEC"/>
        </patternFill>
      </fill>
    </dxf>
    <dxf>
      <font>
        <b/>
        <i val="0"/>
        <sz val="10"/>
        <color rgb="FF006600"/>
        <name val="Arial"/>
      </font>
      <fill>
        <patternFill>
          <bgColor rgb="FFEDF9F4"/>
        </patternFill>
      </fill>
      <alignment horizontal="center" vertical="bottom"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trike val="0"/>
        <outline val="0"/>
        <shadow val="0"/>
        <u val="none"/>
        <sz val="8"/>
        <color rgb="FFCC0000"/>
        <name val="Arial"/>
      </font>
      <fill>
        <patternFill>
          <bgColor rgb="FFFDEAEC"/>
        </patternFill>
      </fill>
    </dxf>
    <dxf>
      <font>
        <b/>
        <i val="0"/>
        <sz val="10"/>
        <color rgb="FF006600"/>
        <name val="Arial"/>
      </font>
      <fill>
        <patternFill>
          <bgColor rgb="FFEDF9F4"/>
        </patternFill>
      </fill>
      <alignment horizontal="center" vertical="bottom"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trike val="0"/>
        <outline val="0"/>
        <shadow val="0"/>
        <u val="none"/>
        <sz val="8"/>
        <color rgb="FFCC0000"/>
        <name val="Arial"/>
      </font>
      <fill>
        <patternFill>
          <bgColor rgb="FFFDEAEC"/>
        </patternFill>
      </fill>
    </dxf>
    <dxf>
      <font>
        <b/>
        <i val="0"/>
        <sz val="10"/>
        <color rgb="FF006600"/>
        <name val="Arial"/>
      </font>
      <fill>
        <patternFill>
          <bgColor rgb="FFEDF9F4"/>
        </patternFill>
      </fill>
      <alignment horizontal="center" vertical="bottom"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trike val="0"/>
        <outline val="0"/>
        <shadow val="0"/>
        <u val="none"/>
        <sz val="8"/>
        <color rgb="FFCC0000"/>
        <name val="Arial"/>
      </font>
      <fill>
        <patternFill>
          <bgColor rgb="FFFDEAEC"/>
        </patternFill>
      </fill>
    </dxf>
    <dxf>
      <font>
        <b/>
        <i val="0"/>
        <sz val="10"/>
        <color rgb="FF006600"/>
        <name val="Arial"/>
      </font>
      <fill>
        <patternFill>
          <bgColor rgb="FFEDF9F4"/>
        </patternFill>
      </fill>
      <alignment horizontal="center" vertical="bottom"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trike val="0"/>
        <outline val="0"/>
        <shadow val="0"/>
        <u val="none"/>
        <sz val="8"/>
        <color rgb="FFCC0000"/>
        <name val="Arial"/>
      </font>
      <fill>
        <patternFill>
          <bgColor rgb="FFFDEAEC"/>
        </patternFill>
      </fill>
    </dxf>
    <dxf>
      <font>
        <b/>
        <i val="0"/>
        <sz val="10"/>
        <color rgb="FF006600"/>
        <name val="Arial"/>
      </font>
      <fill>
        <patternFill>
          <bgColor rgb="FFEDF9F4"/>
        </patternFill>
      </fill>
      <alignment horizontal="center" vertical="bottom"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trike val="0"/>
        <outline val="0"/>
        <shadow val="0"/>
        <u val="none"/>
        <sz val="8"/>
        <color rgb="FFCC0000"/>
        <name val="Arial"/>
      </font>
      <fill>
        <patternFill>
          <bgColor rgb="FFFDEAEC"/>
        </patternFill>
      </fill>
    </dxf>
    <dxf>
      <font>
        <b/>
        <i val="0"/>
        <sz val="10"/>
        <color rgb="FF006600"/>
        <name val="Arial"/>
      </font>
      <fill>
        <patternFill>
          <bgColor rgb="FFEDF9F4"/>
        </patternFill>
      </fill>
      <alignment horizontal="center" vertical="bottom"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trike val="0"/>
        <outline val="0"/>
        <shadow val="0"/>
        <u val="none"/>
        <sz val="8"/>
        <color rgb="FFCC0000"/>
        <name val="Arial"/>
      </font>
      <fill>
        <patternFill>
          <bgColor rgb="FFFDEAEC"/>
        </patternFill>
      </fill>
    </dxf>
    <dxf>
      <font>
        <b/>
        <i val="0"/>
        <sz val="10"/>
        <color rgb="FF006600"/>
        <name val="Arial"/>
      </font>
      <fill>
        <patternFill>
          <bgColor rgb="FFEDF9F4"/>
        </patternFill>
      </fill>
      <alignment horizontal="center" vertical="bottom"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trike val="0"/>
        <outline val="0"/>
        <shadow val="0"/>
        <u val="none"/>
        <sz val="8"/>
        <color rgb="FFCC0000"/>
        <name val="Arial"/>
      </font>
      <fill>
        <patternFill>
          <bgColor rgb="FFFDEAEC"/>
        </patternFill>
      </fill>
    </dxf>
    <dxf>
      <font>
        <b/>
        <i val="0"/>
        <sz val="10"/>
        <color rgb="FF006600"/>
        <name val="Arial"/>
      </font>
      <fill>
        <patternFill>
          <bgColor rgb="FFEDF9F4"/>
        </patternFill>
      </fill>
      <alignment horizontal="center" vertical="bottom"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trike val="0"/>
        <outline val="0"/>
        <shadow val="0"/>
        <u val="none"/>
        <sz val="8"/>
        <color rgb="FFCC0000"/>
        <name val="Arial"/>
      </font>
      <fill>
        <patternFill>
          <bgColor rgb="FFFDEAEC"/>
        </patternFill>
      </fill>
    </dxf>
    <dxf>
      <font>
        <b/>
        <i val="0"/>
        <sz val="10"/>
        <color rgb="FF006600"/>
        <name val="Arial"/>
      </font>
      <fill>
        <patternFill>
          <bgColor rgb="FFEDF9F4"/>
        </patternFill>
      </fill>
      <alignment horizontal="center" vertical="bottom"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trike val="0"/>
        <outline val="0"/>
        <shadow val="0"/>
        <u val="none"/>
        <sz val="8"/>
        <color rgb="FFCC0000"/>
        <name val="Arial"/>
      </font>
      <fill>
        <patternFill>
          <bgColor rgb="FFFDEAEC"/>
        </patternFill>
      </fill>
    </dxf>
    <dxf>
      <font>
        <b/>
        <i val="0"/>
        <sz val="10"/>
        <color rgb="FF006600"/>
        <name val="Arial"/>
      </font>
      <fill>
        <patternFill>
          <bgColor rgb="FFEDF9F4"/>
        </patternFill>
      </fill>
      <alignment horizontal="center" vertical="bottom"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trike val="0"/>
        <outline val="0"/>
        <shadow val="0"/>
        <u val="none"/>
        <sz val="8"/>
        <color rgb="FFCC0000"/>
        <name val="Arial"/>
      </font>
      <fill>
        <patternFill>
          <bgColor rgb="FFFDEAEC"/>
        </patternFill>
      </fill>
    </dxf>
    <dxf>
      <font>
        <b/>
        <i val="0"/>
        <sz val="10"/>
        <color rgb="FF006600"/>
        <name val="Arial"/>
      </font>
      <fill>
        <patternFill>
          <bgColor rgb="FFEDF9F4"/>
        </patternFill>
      </fill>
      <alignment horizontal="center" vertical="bottom"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trike val="0"/>
        <outline val="0"/>
        <shadow val="0"/>
        <u val="none"/>
        <sz val="8"/>
        <color rgb="FFCC0000"/>
        <name val="Arial"/>
      </font>
      <fill>
        <patternFill>
          <bgColor rgb="FFFDEAEC"/>
        </patternFill>
      </fill>
    </dxf>
    <dxf>
      <font>
        <b/>
        <i val="0"/>
        <sz val="10"/>
        <color rgb="FF006600"/>
        <name val="Arial"/>
      </font>
      <fill>
        <patternFill>
          <bgColor rgb="FFEDF9F4"/>
        </patternFill>
      </fill>
      <alignment horizontal="center" vertical="bottom"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trike val="0"/>
        <outline val="0"/>
        <shadow val="0"/>
        <u val="none"/>
        <sz val="8"/>
        <color rgb="FFCC0000"/>
        <name val="Arial"/>
      </font>
      <fill>
        <patternFill>
          <bgColor rgb="FFFDEAEC"/>
        </patternFill>
      </fill>
    </dxf>
    <dxf>
      <font>
        <b/>
        <i val="0"/>
        <sz val="10"/>
        <color rgb="FF006600"/>
        <name val="Arial"/>
      </font>
      <fill>
        <patternFill>
          <bgColor rgb="FFEDF9F4"/>
        </patternFill>
      </fill>
      <alignment horizontal="center" vertical="bottom"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trike val="0"/>
        <outline val="0"/>
        <shadow val="0"/>
        <u val="none"/>
        <sz val="8"/>
        <color rgb="FFCC0000"/>
        <name val="Arial"/>
      </font>
      <fill>
        <patternFill>
          <bgColor rgb="FFFDEAEC"/>
        </patternFill>
      </fill>
    </dxf>
    <dxf>
      <font>
        <b/>
        <i val="0"/>
        <sz val="10"/>
        <color rgb="FF006600"/>
        <name val="Arial"/>
      </font>
      <fill>
        <patternFill>
          <bgColor rgb="FFEDF9F4"/>
        </patternFill>
      </fill>
      <alignment horizontal="center" vertical="bottom"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trike val="0"/>
        <outline val="0"/>
        <shadow val="0"/>
        <u val="none"/>
        <sz val="8"/>
        <color rgb="FFCC0000"/>
        <name val="Arial"/>
      </font>
      <fill>
        <patternFill>
          <bgColor rgb="FFFDEAEC"/>
        </patternFill>
      </fill>
    </dxf>
    <dxf>
      <font>
        <b/>
        <i val="0"/>
        <sz val="10"/>
        <color rgb="FF006600"/>
        <name val="Arial"/>
      </font>
      <fill>
        <patternFill>
          <bgColor rgb="FFEDF9F4"/>
        </patternFill>
      </fill>
      <alignment horizontal="center" vertical="bottom"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trike val="0"/>
        <outline val="0"/>
        <shadow val="0"/>
        <u val="none"/>
        <sz val="8"/>
        <color rgb="FFCC0000"/>
        <name val="Arial"/>
      </font>
      <fill>
        <patternFill>
          <bgColor rgb="FFFDEAEC"/>
        </patternFill>
      </fill>
    </dxf>
    <dxf>
      <font>
        <b/>
        <i val="0"/>
        <sz val="10"/>
        <color rgb="FF006600"/>
        <name val="Arial"/>
      </font>
      <fill>
        <patternFill>
          <bgColor rgb="FFEDF9F4"/>
        </patternFill>
      </fill>
      <alignment horizontal="center" vertical="bottom"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trike val="0"/>
        <outline val="0"/>
        <shadow val="0"/>
        <u val="none"/>
        <sz val="8"/>
        <color rgb="FFCC0000"/>
        <name val="Arial"/>
      </font>
      <fill>
        <patternFill>
          <bgColor rgb="FFFDEAEC"/>
        </patternFill>
      </fill>
    </dxf>
    <dxf>
      <font>
        <b/>
        <i val="0"/>
        <sz val="10"/>
        <color rgb="FF006600"/>
        <name val="Arial"/>
      </font>
      <fill>
        <patternFill>
          <bgColor rgb="FFEDF9F4"/>
        </patternFill>
      </fill>
      <alignment horizontal="center" vertical="bottom"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trike val="0"/>
        <outline val="0"/>
        <shadow val="0"/>
        <u val="none"/>
        <sz val="8"/>
        <color rgb="FFCC0000"/>
        <name val="Arial"/>
      </font>
      <fill>
        <patternFill>
          <bgColor rgb="FFFDEAEC"/>
        </patternFill>
      </fill>
    </dxf>
    <dxf>
      <font>
        <b/>
        <i val="0"/>
        <sz val="10"/>
        <color rgb="FF006600"/>
        <name val="Arial"/>
      </font>
      <fill>
        <patternFill>
          <bgColor rgb="FFEDF9F4"/>
        </patternFill>
      </fill>
      <alignment horizontal="center" vertical="bottom"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trike val="0"/>
        <outline val="0"/>
        <shadow val="0"/>
        <u val="none"/>
        <sz val="8"/>
        <color rgb="FFCC0000"/>
        <name val="Arial"/>
      </font>
      <fill>
        <patternFill>
          <bgColor rgb="FFFDEAEC"/>
        </patternFill>
      </fill>
    </dxf>
    <dxf>
      <font>
        <b/>
        <i val="0"/>
        <sz val="10"/>
        <color rgb="FF006600"/>
        <name val="Arial"/>
      </font>
      <fill>
        <patternFill>
          <bgColor rgb="FFEDF9F4"/>
        </patternFill>
      </fill>
      <alignment horizontal="center" vertical="bottom" textRotation="0" wrapText="0" indent="0" shrinkToFit="0"/>
    </dxf>
    <dxf>
      <fill>
        <patternFill>
          <bgColor rgb="FFFF0000"/>
        </patternFill>
      </fill>
    </dxf>
    <dxf>
      <fill>
        <patternFill>
          <bgColor rgb="FF00B050"/>
        </patternFill>
      </fill>
    </dxf>
    <dxf>
      <font>
        <b/>
        <i val="0"/>
        <u val="none"/>
        <sz val="10"/>
        <color rgb="FFFFFFFF"/>
        <name val="Arial Black"/>
      </font>
      <numFmt numFmtId="31" formatCode="[h]:mm:ss"/>
      <fill>
        <patternFill>
          <bgColor rgb="FF77BC65"/>
        </patternFill>
      </fill>
      <alignment horizontal="general" vertical="center" textRotation="0" wrapText="0" indent="0" shrinkToFit="0"/>
    </dxf>
    <dxf>
      <font>
        <b/>
        <i val="0"/>
        <sz val="7"/>
        <color rgb="FFFFFFFF"/>
        <name val="Arial"/>
      </font>
      <fill>
        <patternFill>
          <bgColor rgb="FFCC0000"/>
        </patternFill>
      </fill>
    </dxf>
    <dxf>
      <font>
        <b/>
        <sz val="10"/>
        <color rgb="FF000000"/>
        <name val="Arial"/>
      </font>
      <fill>
        <patternFill>
          <bgColor rgb="FFB7E1CD"/>
        </patternFill>
      </fill>
    </dxf>
    <dxf>
      <font>
        <b/>
        <i val="0"/>
        <sz val="7"/>
        <color rgb="FFFFFFFF"/>
        <name val="Arial"/>
      </font>
      <fill>
        <patternFill>
          <bgColor rgb="FFCC0000"/>
        </patternFill>
      </fill>
    </dxf>
    <dxf>
      <font>
        <b/>
        <i val="0"/>
        <strike val="0"/>
        <outline val="0"/>
        <shadow val="0"/>
        <u val="none"/>
        <sz val="8"/>
        <color rgb="FFCC0000"/>
        <name val="Arial"/>
      </font>
      <fill>
        <patternFill>
          <bgColor rgb="FFFDEAEC"/>
        </patternFill>
      </fill>
    </dxf>
    <dxf>
      <font>
        <b/>
        <i val="0"/>
        <sz val="10"/>
        <color rgb="FF006600"/>
        <name val="Arial"/>
      </font>
      <fill>
        <patternFill>
          <bgColor rgb="FFEDF9F4"/>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trike val="0"/>
        <outline val="0"/>
        <shadow val="0"/>
        <u val="none"/>
        <sz val="8"/>
        <color rgb="FFCC0000"/>
        <name val="Arial"/>
      </font>
      <fill>
        <patternFill>
          <bgColor rgb="FFFDEAEC"/>
        </patternFill>
      </fill>
    </dxf>
    <dxf>
      <font>
        <b/>
        <i val="0"/>
        <sz val="10"/>
        <color rgb="FF006600"/>
        <name val="Arial"/>
      </font>
      <fill>
        <patternFill>
          <bgColor rgb="FFEDF9F4"/>
        </patternFill>
      </fill>
      <alignment horizontal="center" vertical="bottom"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7"/>
        <color rgb="FFFFFFFF"/>
        <name val="Arial"/>
      </font>
      <fill>
        <patternFill>
          <bgColor rgb="FFCC0000"/>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7"/>
        <color rgb="FFFFFFFF"/>
        <name val="Arial"/>
      </font>
      <fill>
        <patternFill>
          <bgColor rgb="FFCC0000"/>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7"/>
        <color rgb="FFFFFFFF"/>
        <name val="Arial"/>
      </font>
      <fill>
        <patternFill>
          <bgColor rgb="FFCC0000"/>
        </patternFill>
      </fill>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7"/>
        <color rgb="FFFFFFFF"/>
        <name val="Arial"/>
      </font>
      <fill>
        <patternFill>
          <bgColor rgb="FFCC0000"/>
        </patternFill>
      </fill>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7"/>
        <color rgb="FFFFFFFF"/>
        <name val="Arial"/>
      </font>
      <fill>
        <patternFill>
          <bgColor rgb="FFCC0000"/>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7"/>
        <color rgb="FFFFFFFF"/>
        <name val="Arial"/>
      </font>
      <fill>
        <patternFill>
          <bgColor rgb="FFCC0000"/>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7"/>
        <color rgb="FFFFFFFF"/>
        <name val="Arial"/>
      </font>
      <fill>
        <patternFill>
          <bgColor rgb="FFCC0000"/>
        </patternFill>
      </fill>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7"/>
        <color rgb="FFFFFFFF"/>
        <name val="Arial"/>
      </font>
      <fill>
        <patternFill>
          <bgColor rgb="FFCC0000"/>
        </patternFill>
      </fill>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7"/>
        <color rgb="FFFFFFFF"/>
        <name val="Arial"/>
      </font>
      <fill>
        <patternFill>
          <bgColor rgb="FFCC0000"/>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7"/>
        <color rgb="FFFFFFFF"/>
        <name val="Arial"/>
      </font>
      <fill>
        <patternFill>
          <bgColor rgb="FFCC0000"/>
        </patternFill>
      </fill>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7"/>
        <color rgb="FFFFFFFF"/>
        <name val="Arial"/>
      </font>
      <fill>
        <patternFill>
          <bgColor rgb="FFCC0000"/>
        </patternFill>
      </fill>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7"/>
        <color rgb="FFFFFFFF"/>
        <name val="Arial"/>
      </font>
      <fill>
        <patternFill>
          <bgColor rgb="FFCC0000"/>
        </patternFill>
      </fill>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7"/>
        <color rgb="FFFFFFFF"/>
        <name val="Arial"/>
      </font>
      <fill>
        <patternFill>
          <bgColor rgb="FFCC0000"/>
        </patternFill>
      </fill>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7"/>
        <color rgb="FFFFFFFF"/>
        <name val="Arial"/>
      </font>
      <fill>
        <patternFill>
          <bgColor rgb="FFCC0000"/>
        </patternFill>
      </fill>
    </dxf>
    <dxf>
      <fill>
        <patternFill>
          <bgColor theme="0" tint="-0.14996795556505021"/>
        </patternFill>
      </fill>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7"/>
        <color rgb="FFFFFFFF"/>
        <name val="Arial"/>
      </font>
      <fill>
        <patternFill>
          <bgColor rgb="FFCC0000"/>
        </patternFill>
      </fill>
    </dxf>
    <dxf>
      <fill>
        <patternFill>
          <bgColor theme="0" tint="-0.14996795556505021"/>
        </patternFill>
      </fill>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7"/>
        <color rgb="FFFFFFFF"/>
        <name val="Arial"/>
      </font>
      <fill>
        <patternFill>
          <bgColor rgb="FFCC0000"/>
        </patternFill>
      </fill>
    </dxf>
    <dxf>
      <fill>
        <patternFill>
          <bgColor theme="0" tint="-0.14996795556505021"/>
        </patternFill>
      </fill>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7"/>
        <color rgb="FFFFFFFF"/>
        <name val="Arial"/>
      </font>
      <fill>
        <patternFill>
          <bgColor rgb="FFCC0000"/>
        </patternFill>
      </fill>
    </dxf>
    <dxf>
      <fill>
        <patternFill>
          <bgColor theme="0" tint="-0.14996795556505021"/>
        </patternFill>
      </fill>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7"/>
        <color rgb="FFFFFFFF"/>
        <name val="Arial"/>
      </font>
      <fill>
        <patternFill>
          <bgColor rgb="FFCC0000"/>
        </patternFill>
      </fill>
    </dxf>
    <dxf>
      <fill>
        <patternFill>
          <bgColor theme="0" tint="-0.14996795556505021"/>
        </patternFill>
      </fill>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7"/>
        <color rgb="FFFFFFFF"/>
        <name val="Arial"/>
      </font>
      <fill>
        <patternFill>
          <bgColor rgb="FFCC0000"/>
        </patternFill>
      </fill>
    </dxf>
    <dxf>
      <fill>
        <patternFill>
          <bgColor theme="0" tint="-0.14996795556505021"/>
        </patternFill>
      </fill>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7"/>
        <color rgb="FFFFFFFF"/>
        <name val="Arial"/>
      </font>
      <fill>
        <patternFill>
          <bgColor rgb="FFCC0000"/>
        </patternFill>
      </fill>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7"/>
        <color rgb="FFFFFFFF"/>
        <name val="Arial"/>
      </font>
      <fill>
        <patternFill>
          <bgColor rgb="FFCC0000"/>
        </patternFill>
      </fill>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7"/>
        <color rgb="FFFFFFFF"/>
        <name val="Arial"/>
      </font>
      <fill>
        <patternFill>
          <bgColor rgb="FFCC0000"/>
        </patternFill>
      </fill>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7"/>
        <color rgb="FFFFFFFF"/>
        <name val="Arial"/>
      </font>
      <fill>
        <patternFill>
          <bgColor rgb="FFCC0000"/>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7"/>
        <color rgb="FFFFFFFF"/>
        <name val="Arial"/>
      </font>
      <fill>
        <patternFill>
          <bgColor rgb="FFCC0000"/>
        </patternFill>
      </fill>
    </dxf>
    <dxf>
      <font>
        <b/>
        <i val="0"/>
        <sz val="7"/>
        <color rgb="FFFFFFFF"/>
        <name val="Arial"/>
      </font>
      <fill>
        <patternFill>
          <bgColor rgb="FFCC0000"/>
        </patternFill>
      </fill>
    </dxf>
    <dxf>
      <font>
        <b/>
        <i val="0"/>
        <u val="none"/>
        <sz val="10"/>
        <color rgb="FFFFFFFF"/>
        <name val="Arial Black"/>
      </font>
      <numFmt numFmtId="31" formatCode="[h]:mm:ss"/>
      <fill>
        <patternFill>
          <bgColor rgb="FF77BC65"/>
        </patternFill>
      </fill>
      <alignment horizontal="general" vertical="center" textRotation="0" wrapText="0" indent="0" shrinkToFit="0"/>
    </dxf>
    <dxf>
      <font>
        <b/>
        <sz val="10"/>
        <color rgb="FF000000"/>
        <name val="Arial"/>
      </font>
      <fill>
        <patternFill>
          <bgColor rgb="FFB7E1CD"/>
        </patternFill>
      </fill>
    </dxf>
  </dxfs>
  <tableStyles count="0" defaultTableStyle="TableStyleMedium2" defaultPivotStyle="PivotStyleLight16"/>
  <colors>
    <indexedColors>
      <rgbColor rgb="FF000000"/>
      <rgbColor rgb="FFFFFFFF"/>
      <rgbColor rgb="FFF10D0C"/>
      <rgbColor rgb="FF00FF00"/>
      <rgbColor rgb="FF0000FF"/>
      <rgbColor rgb="FFD4EA6B"/>
      <rgbColor rgb="FFFF00FF"/>
      <rgbColor rgb="FFDDDDDD"/>
      <rgbColor rgb="FFCC0000"/>
      <rgbColor rgb="FF006600"/>
      <rgbColor rgb="FF000080"/>
      <rgbColor rgb="FFC2E0AE"/>
      <rgbColor rgb="FF800080"/>
      <rgbColor rgb="FF008080"/>
      <rgbColor rgb="FFC0C0C0"/>
      <rgbColor rgb="FF808080"/>
      <rgbColor rgb="FF729FCF"/>
      <rgbColor rgb="FF993366"/>
      <rgbColor rgb="FFEDF9F4"/>
      <rgbColor rgb="FFDEE6EF"/>
      <rgbColor rgb="FF660066"/>
      <rgbColor rgb="FFFF6D6D"/>
      <rgbColor rgb="FF0066CC"/>
      <rgbColor rgb="FFC9DAF8"/>
      <rgbColor rgb="FF000080"/>
      <rgbColor rgb="FFFF00FF"/>
      <rgbColor rgb="FFFFDBB6"/>
      <rgbColor rgb="FFFDEAEC"/>
      <rgbColor rgb="FF800080"/>
      <rgbColor rgb="FF800000"/>
      <rgbColor rgb="FF008080"/>
      <rgbColor rgb="FF0000FF"/>
      <rgbColor rgb="FFBEE3D3"/>
      <rgbColor rgb="FFEEEEEE"/>
      <rgbColor rgb="FFDDE8CB"/>
      <rgbColor rgb="FFE8F2A1"/>
      <rgbColor rgb="FFB4C7DC"/>
      <rgbColor rgb="FFEA9999"/>
      <rgbColor rgb="FFCCCCCC"/>
      <rgbColor rgb="FFFFCC99"/>
      <rgbColor rgb="FF3465A4"/>
      <rgbColor rgb="FFB6D7A8"/>
      <rgbColor rgb="FFAFD095"/>
      <rgbColor rgb="FFFFBF00"/>
      <rgbColor rgb="FFFF9966"/>
      <rgbColor rgb="FFD9D9D9"/>
      <rgbColor rgb="FF5983B0"/>
      <rgbColor rgb="FF77BC65"/>
      <rgbColor rgb="FF003366"/>
      <rgbColor rgb="FFB7E1CD"/>
      <rgbColor rgb="FF003300"/>
      <rgbColor rgb="FF4C19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C9DAF8"/>
      <color rgb="FF3465A4"/>
      <color rgb="FF00B0F0"/>
      <color rgb="FF3365A4"/>
      <color rgb="FFFF0066"/>
      <color rgb="FFCC6600"/>
      <color rgb="FFFF0000"/>
      <color rgb="FF5983B0"/>
      <color rgb="FFFF6D6D"/>
      <color rgb="FFFFB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externalLinks/externalLink1.xml" Type="http://schemas.openxmlformats.org/officeDocument/2006/relationships/externalLink"/><Relationship Id="rId17" Target="theme/theme1.xml" Type="http://schemas.openxmlformats.org/officeDocument/2006/relationships/theme"/><Relationship Id="rId18" Target="styles.xml" Type="http://schemas.openxmlformats.org/officeDocument/2006/relationships/styles"/><Relationship Id="rId19" Target="sharedStrings.xml" Type="http://schemas.openxmlformats.org/officeDocument/2006/relationships/sharedStrings"/><Relationship Id="rId2" Target="worksheets/sheet2.xml" Type="http://schemas.openxmlformats.org/officeDocument/2006/relationships/worksheet"/><Relationship Id="rId20" Target="metadata.xml" Type="http://schemas.openxmlformats.org/officeDocument/2006/relationships/sheetMetadata"/><Relationship Id="rId21" Target="calcChain.xml" Type="http://schemas.openxmlformats.org/officeDocument/2006/relationships/calcChain"/><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0.xml.rels><?xml version="1.0" encoding="UTF-8" standalone="yes"?>
<Relationships xmlns="http://schemas.openxmlformats.org/package/2006/relationships"><Relationship Id="rId1" Target="../media/image1.png" Type="http://schemas.openxmlformats.org/officeDocument/2006/relationships/image"/></Relationships>
</file>

<file path=xl/drawings/_rels/drawing4.xml.rels><?xml version="1.0" encoding="UTF-8" standalone="yes"?>
<Relationships xmlns="http://schemas.openxmlformats.org/package/2006/relationships"><Relationship Id="rId1" Target="../media/image1.png" Type="http://schemas.openxmlformats.org/officeDocument/2006/relationships/image"/></Relationships>
</file>

<file path=xl/drawings/_rels/drawing5.xml.rels><?xml version="1.0" encoding="UTF-8" standalone="yes"?>
<Relationships xmlns="http://schemas.openxmlformats.org/package/2006/relationships"><Relationship Id="rId1" Target="../media/image1.png" Type="http://schemas.openxmlformats.org/officeDocument/2006/relationships/image"/></Relationships>
</file>

<file path=xl/drawings/_rels/drawing6.xml.rels><?xml version="1.0" encoding="UTF-8" standalone="yes"?>
<Relationships xmlns="http://schemas.openxmlformats.org/package/2006/relationships"><Relationship Id="rId1" Target="../media/image1.png" Type="http://schemas.openxmlformats.org/officeDocument/2006/relationships/image"/></Relationships>
</file>

<file path=xl/drawings/_rels/drawing7.xml.rels><?xml version="1.0" encoding="UTF-8" standalone="yes"?>
<Relationships xmlns="http://schemas.openxmlformats.org/package/2006/relationships"><Relationship Id="rId1" Target="../media/image1.png" Type="http://schemas.openxmlformats.org/officeDocument/2006/relationships/image"/><Relationship Id="rId10" Target="https://www.w3.org/TR/WCAG/#use-of-color" TargetMode="External" Type="http://schemas.openxmlformats.org/officeDocument/2006/relationships/hyperlink"/><Relationship Id="rId11" Target="https://www.w3.org/TR/WCAG/#identify-input-purpose" TargetMode="External" Type="http://schemas.openxmlformats.org/officeDocument/2006/relationships/hyperlink"/><Relationship Id="rId12" Target="https://www.w3.org/TR/WCAG/#orientation" TargetMode="External" Type="http://schemas.openxmlformats.org/officeDocument/2006/relationships/hyperlink"/><Relationship Id="rId13" Target="https://www.w3.org/TR/WCAG/#sensory-characteristics" TargetMode="External" Type="http://schemas.openxmlformats.org/officeDocument/2006/relationships/hyperlink"/><Relationship Id="rId14" Target="https://www.w3.org/TR/WCAG/#meaningful-sequence" TargetMode="External" Type="http://schemas.openxmlformats.org/officeDocument/2006/relationships/hyperlink"/><Relationship Id="rId15" Target="https://www.w3.org/TR/WCAG/#info-and-relationships" TargetMode="External" Type="http://schemas.openxmlformats.org/officeDocument/2006/relationships/hyperlink"/><Relationship Id="rId16" Target="https://www.w3.org/TR/WCAG/#audio-description-prerecorded" TargetMode="External" Type="http://schemas.openxmlformats.org/officeDocument/2006/relationships/hyperlink"/><Relationship Id="rId17" Target="https://www.w3.org/TR/WCAG/#audio-description-or-media-alternative-prerecorded" TargetMode="External" Type="http://schemas.openxmlformats.org/officeDocument/2006/relationships/hyperlink"/><Relationship Id="rId18" Target="https://www.w3.org/TR/WCAG/#audio-only-and-video-only-prerecorded" TargetMode="External" Type="http://schemas.openxmlformats.org/officeDocument/2006/relationships/hyperlink"/><Relationship Id="rId19" Target="https://www.w3.org/TR/WCAG/#keyboard" TargetMode="External" Type="http://schemas.openxmlformats.org/officeDocument/2006/relationships/hyperlink"/><Relationship Id="rId2" Target="https://www.w3.org/TR/WCAG/#text-spacing" TargetMode="External" Type="http://schemas.openxmlformats.org/officeDocument/2006/relationships/hyperlink"/><Relationship Id="rId20" Target="https://www.w3.org/TR/WCAG/#three-flashes-or-below-threshold" TargetMode="External" Type="http://schemas.openxmlformats.org/officeDocument/2006/relationships/hyperlink"/><Relationship Id="rId21" Target="https://www.w3.org/TR/WCAG/#character-key-shortcuts" TargetMode="External" Type="http://schemas.openxmlformats.org/officeDocument/2006/relationships/hyperlink"/><Relationship Id="rId22" Target="https://www.w3.org/TR/WCAG/#no-keyboard-trap" TargetMode="External" Type="http://schemas.openxmlformats.org/officeDocument/2006/relationships/hyperlink"/><Relationship Id="rId23" Target="https://www.w3.org/TR/WCAG/#timing-adjustable" TargetMode="External" Type="http://schemas.openxmlformats.org/officeDocument/2006/relationships/hyperlink"/><Relationship Id="rId24" Target="https://www.w3.org/TR/WCAG/#pause-stop-hide" TargetMode="External" Type="http://schemas.openxmlformats.org/officeDocument/2006/relationships/hyperlink"/><Relationship Id="rId25" Target="https://www.w3.org/TR/WCAG/#focus-order" TargetMode="External" Type="http://schemas.openxmlformats.org/officeDocument/2006/relationships/hyperlink"/><Relationship Id="rId26" Target="https://www.w3.org/TR/WCAG/#link-purpose-in-context" TargetMode="External" Type="http://schemas.openxmlformats.org/officeDocument/2006/relationships/hyperlink"/><Relationship Id="rId27" Target="https://www.w3.org/TR/WCAG/#headings-and-labels" TargetMode="External" Type="http://schemas.openxmlformats.org/officeDocument/2006/relationships/hyperlink"/><Relationship Id="rId28" Target="https://www.w3.org/TR/WCAG/#focus-visible" TargetMode="External" Type="http://schemas.openxmlformats.org/officeDocument/2006/relationships/hyperlink"/><Relationship Id="rId29" Target="https://www.w3.org/TR/WCAG/#pointer-gestures" TargetMode="External" Type="http://schemas.openxmlformats.org/officeDocument/2006/relationships/hyperlink"/><Relationship Id="rId3" Target="https://www.w3.org/TR/WCAG/#content-on-hover-or-focus" TargetMode="External" Type="http://schemas.openxmlformats.org/officeDocument/2006/relationships/hyperlink"/><Relationship Id="rId30" Target="https://www.w3.org/TR/WCAG/#pointer-cancellation" TargetMode="External" Type="http://schemas.openxmlformats.org/officeDocument/2006/relationships/hyperlink"/><Relationship Id="rId31" Target="https://www.w3.org/TR/WCAG/#label-in-name" TargetMode="External" Type="http://schemas.openxmlformats.org/officeDocument/2006/relationships/hyperlink"/><Relationship Id="rId32" Target="https://www.w3.org/TR/WCAG/#motion-actuation" TargetMode="External" Type="http://schemas.openxmlformats.org/officeDocument/2006/relationships/hyperlink"/><Relationship Id="rId33" Target="https://www.w3.org/TR/WCAG/#language-of-page" TargetMode="External" Type="http://schemas.openxmlformats.org/officeDocument/2006/relationships/hyperlink"/><Relationship Id="rId34" Target="https://www.w3.org/TR/WCAG/#on-focus" TargetMode="External" Type="http://schemas.openxmlformats.org/officeDocument/2006/relationships/hyperlink"/><Relationship Id="rId35" Target="https://www.w3.org/TR/WCAG/#on-input" TargetMode="External" Type="http://schemas.openxmlformats.org/officeDocument/2006/relationships/hyperlink"/><Relationship Id="rId36" Target="https://www.w3.org/TR/WCAG/#labels-or-instructions" TargetMode="External" Type="http://schemas.openxmlformats.org/officeDocument/2006/relationships/hyperlink"/><Relationship Id="rId37" Target="https://www.w3.org/TR/WCAG/#error-suggestion" TargetMode="External" Type="http://schemas.openxmlformats.org/officeDocument/2006/relationships/hyperlink"/><Relationship Id="rId38" Target="https://www.w3.org/TR/WCAG/#error-prevention-legal-financial-data" TargetMode="External" Type="http://schemas.openxmlformats.org/officeDocument/2006/relationships/hyperlink"/><Relationship Id="rId39" Target="https://www.w3.org/TR/WCAG/#parsing" TargetMode="External" Type="http://schemas.openxmlformats.org/officeDocument/2006/relationships/hyperlink"/><Relationship Id="rId4" Target="https://www.w3.org/TR/WCAG/#non-text-contrast" TargetMode="External" Type="http://schemas.openxmlformats.org/officeDocument/2006/relationships/hyperlink"/><Relationship Id="rId40" Target="https://www.w3.org/TR/WCAG/#name-role-value" TargetMode="External" Type="http://schemas.openxmlformats.org/officeDocument/2006/relationships/hyperlink"/><Relationship Id="rId41" Target="https://www.w3.org/TR/WCAG/#bypass-blocks" TargetMode="External" Type="http://schemas.openxmlformats.org/officeDocument/2006/relationships/hyperlink"/><Relationship Id="rId42" Target="https://www.w3.org/TR/WCAG/#page-titled" TargetMode="External" Type="http://schemas.openxmlformats.org/officeDocument/2006/relationships/hyperlink"/><Relationship Id="rId43" Target="https://www.w3.org/TR/WCAG/#multiple-ways" TargetMode="External" Type="http://schemas.openxmlformats.org/officeDocument/2006/relationships/hyperlink"/><Relationship Id="rId44" Target="https://www.w3.org/TR/WCAG/#language-of-parts" TargetMode="External" Type="http://schemas.openxmlformats.org/officeDocument/2006/relationships/hyperlink"/><Relationship Id="rId45" Target="https://www.w3.org/TR/WCAG/#consistent-navigation" TargetMode="External" Type="http://schemas.openxmlformats.org/officeDocument/2006/relationships/hyperlink"/><Relationship Id="rId46" Target="https://www.w3.org/TR/WCAG/#consistent-identification" TargetMode="External" Type="http://schemas.openxmlformats.org/officeDocument/2006/relationships/hyperlink"/><Relationship Id="rId47" Target="https://www.w3.org/TR/WCAG/#status-messages" TargetMode="External" Type="http://schemas.openxmlformats.org/officeDocument/2006/relationships/hyperlink"/><Relationship Id="rId5" Target="https://www.w3.org/TR/WCAG/#reflow" TargetMode="External" Type="http://schemas.openxmlformats.org/officeDocument/2006/relationships/hyperlink"/><Relationship Id="rId6" Target="https://www.w3.org/TR/WCAG/#images-of-text" TargetMode="External" Type="http://schemas.openxmlformats.org/officeDocument/2006/relationships/hyperlink"/><Relationship Id="rId7" Target="https://www.w3.org/TR/WCAG/#resize-text" TargetMode="External" Type="http://schemas.openxmlformats.org/officeDocument/2006/relationships/hyperlink"/><Relationship Id="rId8" Target="https://www.w3.org/TR/WCAG/#contrast-minimum" TargetMode="External" Type="http://schemas.openxmlformats.org/officeDocument/2006/relationships/hyperlink"/><Relationship Id="rId9" Target="https://www.w3.org/TR/WCAG/#audio-control" TargetMode="External" Type="http://schemas.openxmlformats.org/officeDocument/2006/relationships/hyperlink"/></Relationships>
</file>

<file path=xl/drawings/_rels/drawing8.xml.rels><?xml version="1.0" encoding="UTF-8" standalone="yes"?>
<Relationships xmlns="http://schemas.openxmlformats.org/package/2006/relationships"><Relationship Id="rId1" Target="../media/image1.png" Type="http://schemas.openxmlformats.org/officeDocument/2006/relationships/image"/><Relationship Id="rId10" Target="https://www.w3.org/TR/WCAG/#text-spacing" TargetMode="External" Type="http://schemas.openxmlformats.org/officeDocument/2006/relationships/hyperlink"/><Relationship Id="rId11" Target="https://www.w3.org/TR/WCAG/#content-on-hover-or-focus" TargetMode="External" Type="http://schemas.openxmlformats.org/officeDocument/2006/relationships/hyperlink"/><Relationship Id="rId12" Target="https://www.w3.org/TR/WCAG/#keyboard" TargetMode="External" Type="http://schemas.openxmlformats.org/officeDocument/2006/relationships/hyperlink"/><Relationship Id="rId13" Target="https://www.w3.org/TR/WCAG/#three-flashes-or-below-threshold" TargetMode="External" Type="http://schemas.openxmlformats.org/officeDocument/2006/relationships/hyperlink"/><Relationship Id="rId14" Target="https://www.w3.org/TR/WCAG/#character-key-shortcuts" TargetMode="External" Type="http://schemas.openxmlformats.org/officeDocument/2006/relationships/hyperlink"/><Relationship Id="rId15" Target="https://www.w3.org/TR/WCAG/#no-keyboard-trap" TargetMode="External" Type="http://schemas.openxmlformats.org/officeDocument/2006/relationships/hyperlink"/><Relationship Id="rId16" Target="https://www.w3.org/TR/WCAG/#timing-adjustable" TargetMode="External" Type="http://schemas.openxmlformats.org/officeDocument/2006/relationships/hyperlink"/><Relationship Id="rId17" Target="https://www.w3.org/TR/WCAG/#pause-stop-hide" TargetMode="External" Type="http://schemas.openxmlformats.org/officeDocument/2006/relationships/hyperlink"/><Relationship Id="rId18" Target="https://www.w3.org/TR/WCAG/#focus-order" TargetMode="External" Type="http://schemas.openxmlformats.org/officeDocument/2006/relationships/hyperlink"/><Relationship Id="rId19" Target="https://www.w3.org/TR/WCAG/#link-purpose-in-context" TargetMode="External" Type="http://schemas.openxmlformats.org/officeDocument/2006/relationships/hyperlink"/><Relationship Id="rId2" Target="https://www.w3.org/TR/WCAG/#audio-description-or-media-alternative-prerecorded" TargetMode="External" Type="http://schemas.openxmlformats.org/officeDocument/2006/relationships/hyperlink"/><Relationship Id="rId20" Target="https://www.w3.org/TR/WCAG/#headings-and-labels" TargetMode="External" Type="http://schemas.openxmlformats.org/officeDocument/2006/relationships/hyperlink"/><Relationship Id="rId21" Target="https://www.w3.org/TR/WCAG/#focus-visible" TargetMode="External" Type="http://schemas.openxmlformats.org/officeDocument/2006/relationships/hyperlink"/><Relationship Id="rId22" Target="https://www.w3.org/TR/WCAG/#pointer-gestures" TargetMode="External" Type="http://schemas.openxmlformats.org/officeDocument/2006/relationships/hyperlink"/><Relationship Id="rId23" Target="https://www.w3.org/TR/WCAG/#pointer-cancellation" TargetMode="External" Type="http://schemas.openxmlformats.org/officeDocument/2006/relationships/hyperlink"/><Relationship Id="rId24" Target="https://www.w3.org/TR/WCAG/#label-in-name" TargetMode="External" Type="http://schemas.openxmlformats.org/officeDocument/2006/relationships/hyperlink"/><Relationship Id="rId25" Target="https://www.w3.org/TR/WCAG/#motion-actuation" TargetMode="External" Type="http://schemas.openxmlformats.org/officeDocument/2006/relationships/hyperlink"/><Relationship Id="rId26" Target="https://www.w3.org/TR/WCAG/#language-of-page" TargetMode="External" Type="http://schemas.openxmlformats.org/officeDocument/2006/relationships/hyperlink"/><Relationship Id="rId27" Target="https://www.w3.org/TR/WCAG/#page-titled" TargetMode="External" Type="http://schemas.openxmlformats.org/officeDocument/2006/relationships/hyperlink"/><Relationship Id="rId28" Target="https://www.w3.org/TR/WCAG/#on-focus" TargetMode="External" Type="http://schemas.openxmlformats.org/officeDocument/2006/relationships/hyperlink"/><Relationship Id="rId29" Target="https://www.w3.org/TR/WCAG/#language-of-parts" TargetMode="External" Type="http://schemas.openxmlformats.org/officeDocument/2006/relationships/hyperlink"/><Relationship Id="rId3" Target="https://www.w3.org/TR/WCAG/#audio-only-and-video-only-prerecorded" TargetMode="External" Type="http://schemas.openxmlformats.org/officeDocument/2006/relationships/hyperlink"/><Relationship Id="rId30" Target="https://www.w3.org/TR/WCAG/#non-text-contrast" TargetMode="External" Type="http://schemas.openxmlformats.org/officeDocument/2006/relationships/hyperlink"/><Relationship Id="rId31" Target="https://www.w3.org/TR/WCAG/#reflow" TargetMode="External" Type="http://schemas.openxmlformats.org/officeDocument/2006/relationships/hyperlink"/><Relationship Id="rId32" Target="https://www.w3.org/TR/WCAG/#images-of-text" TargetMode="External" Type="http://schemas.openxmlformats.org/officeDocument/2006/relationships/hyperlink"/><Relationship Id="rId33" Target="https://www.w3.org/TR/WCAG/#resize-text" TargetMode="External" Type="http://schemas.openxmlformats.org/officeDocument/2006/relationships/hyperlink"/><Relationship Id="rId34" Target="https://www.w3.org/TR/WCAG/#contrast-minimum" TargetMode="External" Type="http://schemas.openxmlformats.org/officeDocument/2006/relationships/hyperlink"/><Relationship Id="rId35" Target="https://www.w3.org/TR/WCAG/#audio-control" TargetMode="External" Type="http://schemas.openxmlformats.org/officeDocument/2006/relationships/hyperlink"/><Relationship Id="rId36" Target="https://www.w3.org/TR/WCAG/#use-of-color" TargetMode="External" Type="http://schemas.openxmlformats.org/officeDocument/2006/relationships/hyperlink"/><Relationship Id="rId37" Target="https://www.w3.org/TR/WCAG/#identify-input-purpose" TargetMode="External" Type="http://schemas.openxmlformats.org/officeDocument/2006/relationships/hyperlink"/><Relationship Id="rId38" Target="https://www.w3.org/TR/WCAG/#orientation" TargetMode="External" Type="http://schemas.openxmlformats.org/officeDocument/2006/relationships/hyperlink"/><Relationship Id="rId39" Target="https://www.w3.org/TR/WCAG/#sensory-characteristics" TargetMode="External" Type="http://schemas.openxmlformats.org/officeDocument/2006/relationships/hyperlink"/><Relationship Id="rId4" Target="https://www.w3.org/TR/WCAG/#on-input" TargetMode="External" Type="http://schemas.openxmlformats.org/officeDocument/2006/relationships/hyperlink"/><Relationship Id="rId40" Target="https://www.w3.org/TR/WCAG/#meaningful-sequence" TargetMode="External" Type="http://schemas.openxmlformats.org/officeDocument/2006/relationships/hyperlink"/><Relationship Id="rId41" Target="https://www.w3.org/TR/WCAG/#info-and-relationships" TargetMode="External" Type="http://schemas.openxmlformats.org/officeDocument/2006/relationships/hyperlink"/><Relationship Id="rId42" Target="https://www.w3.org/TR/WCAG/#audio-description-prerecorded" TargetMode="External" Type="http://schemas.openxmlformats.org/officeDocument/2006/relationships/hyperlink"/><Relationship Id="rId43" Target="https://www.w3.org/TR/WCAG/#status-messages" TargetMode="External" Type="http://schemas.openxmlformats.org/officeDocument/2006/relationships/hyperlink"/><Relationship Id="rId5" Target="https://www.w3.org/TR/WCAG/#labels-or-instructions" TargetMode="External" Type="http://schemas.openxmlformats.org/officeDocument/2006/relationships/hyperlink"/><Relationship Id="rId6" Target="https://www.w3.org/TR/WCAG/#error-suggestion" TargetMode="External" Type="http://schemas.openxmlformats.org/officeDocument/2006/relationships/hyperlink"/><Relationship Id="rId7" Target="https://www.w3.org/TR/WCAG/#error-prevention-legal-financial-data" TargetMode="External" Type="http://schemas.openxmlformats.org/officeDocument/2006/relationships/hyperlink"/><Relationship Id="rId8" Target="https://www.w3.org/TR/WCAG/#parsing" TargetMode="External" Type="http://schemas.openxmlformats.org/officeDocument/2006/relationships/hyperlink"/><Relationship Id="rId9" Target="https://www.w3.org/TR/WCAG/#name-role-value" TargetMode="External" Type="http://schemas.openxmlformats.org/officeDocument/2006/relationships/hyperlink"/></Relationships>
</file>

<file path=xl/drawings/_rels/drawing9.xml.rels><?xml version="1.0" encoding="UTF-8" standalone="yes"?>
<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4400550</xdr:colOff>
      <xdr:row>46</xdr:row>
      <xdr:rowOff>304800</xdr:rowOff>
    </xdr:to>
    <xdr:sp macro="" textlink="">
      <xdr:nvSpPr>
        <xdr:cNvPr id="1032" name="_x0000_t202" hidden="1">
          <a:extLst>
            <a:ext uri="{FF2B5EF4-FFF2-40B4-BE49-F238E27FC236}">
              <a16:creationId xmlns:a16="http://schemas.microsoft.com/office/drawing/2014/main" id="{00000000-0008-0000-0100-0000080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2</xdr:col>
      <xdr:colOff>4400550</xdr:colOff>
      <xdr:row>46</xdr:row>
      <xdr:rowOff>304800</xdr:rowOff>
    </xdr:to>
    <xdr:sp macro="" textlink="">
      <xdr:nvSpPr>
        <xdr:cNvPr id="1030" name="_x0000_t202" hidden="1">
          <a:extLst>
            <a:ext uri="{FF2B5EF4-FFF2-40B4-BE49-F238E27FC236}">
              <a16:creationId xmlns:a16="http://schemas.microsoft.com/office/drawing/2014/main" id="{00000000-0008-0000-0100-0000060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2</xdr:col>
      <xdr:colOff>4400550</xdr:colOff>
      <xdr:row>46</xdr:row>
      <xdr:rowOff>304800</xdr:rowOff>
    </xdr:to>
    <xdr:sp macro="" textlink="">
      <xdr:nvSpPr>
        <xdr:cNvPr id="1028" name="_x0000_t202" hidden="1">
          <a:extLst>
            <a:ext uri="{FF2B5EF4-FFF2-40B4-BE49-F238E27FC236}">
              <a16:creationId xmlns:a16="http://schemas.microsoft.com/office/drawing/2014/main" id="{00000000-0008-0000-0100-0000040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2</xdr:col>
      <xdr:colOff>4400550</xdr:colOff>
      <xdr:row>46</xdr:row>
      <xdr:rowOff>304800</xdr:rowOff>
    </xdr:to>
    <xdr:sp macro="" textlink="">
      <xdr:nvSpPr>
        <xdr:cNvPr id="1026" name="_x0000_t202" hidden="1">
          <a:extLst>
            <a:ext uri="{FF2B5EF4-FFF2-40B4-BE49-F238E27FC236}">
              <a16:creationId xmlns:a16="http://schemas.microsoft.com/office/drawing/2014/main" id="{00000000-0008-0000-0100-0000020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editAs="absolute">
    <xdr:from>
      <xdr:col>7</xdr:col>
      <xdr:colOff>626806</xdr:colOff>
      <xdr:row>20</xdr:row>
      <xdr:rowOff>139547</xdr:rowOff>
    </xdr:from>
    <xdr:to>
      <xdr:col>8</xdr:col>
      <xdr:colOff>358246</xdr:colOff>
      <xdr:row>25</xdr:row>
      <xdr:rowOff>70426</xdr:rowOff>
    </xdr:to>
    <xdr:pic>
      <xdr:nvPicPr>
        <xdr:cNvPr id="2" name="Image 1">
          <a:extLst>
            <a:ext uri="{FF2B5EF4-FFF2-40B4-BE49-F238E27FC236}">
              <a16:creationId xmlns:a16="http://schemas.microsoft.com/office/drawing/2014/main" id="{00000000-0008-0000-0900-000002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643806" y="4652280"/>
          <a:ext cx="567523" cy="671713"/>
        </a:xfrm>
        <a:prstGeom prst="rect">
          <a:avLst/>
        </a:prstGeom>
        <a:ln>
          <a:noFill/>
        </a:ln>
      </xdr:spPr>
    </xdr:pic>
    <xdr:clientData/>
  </xdr:twoCellAnchor>
  <xdr:twoCellAnchor editAs="absolute">
    <xdr:from>
      <xdr:col>5</xdr:col>
      <xdr:colOff>37119</xdr:colOff>
      <xdr:row>177</xdr:row>
      <xdr:rowOff>11195</xdr:rowOff>
    </xdr:from>
    <xdr:to>
      <xdr:col>11</xdr:col>
      <xdr:colOff>52003</xdr:colOff>
      <xdr:row>203</xdr:row>
      <xdr:rowOff>31751</xdr:rowOff>
    </xdr:to>
    <xdr:sp macro="" textlink="">
      <xdr:nvSpPr>
        <xdr:cNvPr id="18" name="TextShape 1" descr="12.2.4 Documentación accesible  La documentación suministrada por los servicios de apoyo debe proporcionarse en al menos uno de los formatos electrónicos siguientes:  a) un formato web que esté conforme con los requisitos del capítulo 9; o  b) un formato no web que esté conforme con los requisitos del capítulo 10.   NOTA 1 Esto no excluye la posibilidad de proporcionar también la documentación del producto en otros formatos (electrónicos o impresos) que no sean accesibles.  NOTA 2 Tampoco excluye la posibilidad de proporcionar formatos alternativos que satisfagan las necesidades de algún tipo de usuario específico (por ejemplo, documentos en braille para personas ciegas o información simplificada para personas con deficiencia cognitiva).  NOTA 3 En el caso de que la documentación sea incorporada a las TIC, estará sujeta a los requisitos de accesibilidad recogidos en este documento  NOTA 4 Un agente de usuario que fuera compatible con la conversión automática de medios favorecería una mejora de la accesibilidad. ">
          <a:extLst>
            <a:ext uri="{FF2B5EF4-FFF2-40B4-BE49-F238E27FC236}">
              <a16:creationId xmlns:a16="http://schemas.microsoft.com/office/drawing/2014/main" id="{00000000-0008-0000-0900-000012000000}"/>
            </a:ext>
          </a:extLst>
        </xdr:cNvPr>
        <xdr:cNvSpPr txBox="1"/>
      </xdr:nvSpPr>
      <xdr:spPr>
        <a:xfrm>
          <a:off x="6969202" y="29147112"/>
          <a:ext cx="5846301" cy="4105722"/>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12.2.4 Documentación accesible</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La documentación suministrada por los servicios de apoyo debe proporcionarse en al menos uno de los formatos electrónicos siguientes: </a:t>
          </a:r>
        </a:p>
        <a:p>
          <a:r>
            <a:rPr lang="en-US" sz="1500" b="0" strike="noStrike" spc="-1">
              <a:solidFill>
                <a:srgbClr val="000000"/>
              </a:solidFill>
              <a:latin typeface="Arial"/>
              <a:ea typeface="Linux Libertine G"/>
            </a:rPr>
            <a:t>a) un formato web que esté conforme con los requisitos del capítulo 9; o </a:t>
          </a:r>
        </a:p>
        <a:p>
          <a:r>
            <a:rPr lang="en-US" sz="1500" b="0" strike="noStrike" spc="-1">
              <a:solidFill>
                <a:srgbClr val="000000"/>
              </a:solidFill>
              <a:latin typeface="Arial"/>
              <a:ea typeface="Linux Libertine G"/>
            </a:rPr>
            <a:t>b) un formato no web que esté conforme con los requisitos del capítulo 10. </a:t>
          </a:r>
        </a:p>
        <a:p>
          <a:endParaRPr lang="en-US" sz="1500" b="0" strike="noStrike" spc="-1">
            <a:solidFill>
              <a:srgbClr val="000000"/>
            </a:solidFill>
            <a:latin typeface="Arial"/>
            <a:ea typeface="Linux Libertine G"/>
          </a:endParaRPr>
        </a:p>
        <a:p>
          <a:r>
            <a:rPr lang="es-ES" sz="1200" b="0" i="0" u="none" strike="noStrike" baseline="0">
              <a:latin typeface="Arial" panose="020B0604020202020204" pitchFamily="34" charset="0"/>
              <a:ea typeface="+mn-ea"/>
              <a:cs typeface="Arial" panose="020B0604020202020204" pitchFamily="34" charset="0"/>
            </a:rPr>
            <a:t>NOTA 1 Esto no excluye la posibilidad de proporcionar también la documentación del producto en otros formatos (electrónicos o impresos) que no sean accesibles. </a:t>
          </a:r>
        </a:p>
        <a:p>
          <a:r>
            <a:rPr lang="es-ES" sz="1200" b="0" i="0" u="none" strike="noStrike" baseline="0">
              <a:latin typeface="Arial" panose="020B0604020202020204" pitchFamily="34" charset="0"/>
              <a:ea typeface="+mn-ea"/>
              <a:cs typeface="Arial" panose="020B0604020202020204" pitchFamily="34" charset="0"/>
            </a:rPr>
            <a:t>NOTA 2 Tampoco excluye la posibilidad de proporcionar formatos alternativos que satisfagan las necesidades de algún tipo de usuario específico (por ejemplo, documentos en braille para personas ciegas o información simplificada para personas con deficiencia cognitiva). </a:t>
          </a:r>
        </a:p>
        <a:p>
          <a:r>
            <a:rPr lang="es-ES" sz="1200" b="0" i="0" u="none" strike="noStrike" baseline="0">
              <a:latin typeface="Arial" panose="020B0604020202020204" pitchFamily="34" charset="0"/>
              <a:ea typeface="+mn-ea"/>
              <a:cs typeface="Arial" panose="020B0604020202020204" pitchFamily="34" charset="0"/>
            </a:rPr>
            <a:t>NOTA 3 En el caso de que la documentación sea incorporada a las TIC, estará sujeta a los requisitos de accesibilidad recogidos en este documento </a:t>
          </a:r>
        </a:p>
        <a:p>
          <a:r>
            <a:rPr lang="es-ES" sz="1200" b="0" i="0" u="none" strike="noStrike" baseline="0">
              <a:latin typeface="Arial" panose="020B0604020202020204" pitchFamily="34" charset="0"/>
              <a:ea typeface="+mn-ea"/>
              <a:cs typeface="Arial" panose="020B0604020202020204" pitchFamily="34" charset="0"/>
            </a:rPr>
            <a:t>NOTA 4 Un agente de usuario que fuera compatible con la conversión automática de medios favorecería una mejora de la accesibilidad. </a:t>
          </a:r>
          <a:endParaRPr lang="es-ES" sz="1200" b="0" strike="noStrike" spc="-1">
            <a:latin typeface="Arial" panose="020B0604020202020204" pitchFamily="34" charset="0"/>
            <a:cs typeface="Arial" panose="020B0604020202020204" pitchFamily="34" charset="0"/>
          </a:endParaRPr>
        </a:p>
      </xdr:txBody>
    </xdr:sp>
    <xdr:clientData/>
  </xdr:twoCellAnchor>
  <xdr:twoCellAnchor editAs="absolute">
    <xdr:from>
      <xdr:col>5</xdr:col>
      <xdr:colOff>20758</xdr:colOff>
      <xdr:row>139</xdr:row>
      <xdr:rowOff>33363</xdr:rowOff>
    </xdr:from>
    <xdr:to>
      <xdr:col>11</xdr:col>
      <xdr:colOff>23674</xdr:colOff>
      <xdr:row>147</xdr:row>
      <xdr:rowOff>123825</xdr:rowOff>
    </xdr:to>
    <xdr:sp macro="" textlink="">
      <xdr:nvSpPr>
        <xdr:cNvPr id="19" name="TextShape 1" descr="12.2.3 Comunicación efectiva  Los servicios de apoyo para las TIC deben adaptarse a las necesidades de comunicación de las personas con discapacidad, ya sea directamente o a través de un punto de derivación. ">
          <a:extLst>
            <a:ext uri="{FF2B5EF4-FFF2-40B4-BE49-F238E27FC236}">
              <a16:creationId xmlns:a16="http://schemas.microsoft.com/office/drawing/2014/main" id="{00000000-0008-0000-0900-000013000000}"/>
            </a:ext>
          </a:extLst>
        </xdr:cNvPr>
        <xdr:cNvSpPr txBox="1"/>
      </xdr:nvSpPr>
      <xdr:spPr>
        <a:xfrm>
          <a:off x="6945433" y="23579163"/>
          <a:ext cx="5822691" cy="1366812"/>
        </a:xfrm>
        <a:prstGeom prst="rect">
          <a:avLst/>
        </a:prstGeom>
        <a:solidFill>
          <a:srgbClr val="DDDDDD"/>
        </a:solidFill>
        <a:ln>
          <a:noFill/>
        </a:ln>
      </xdr:spPr>
      <xdr:txBody>
        <a:bodyPr lIns="108000" tIns="108000" rIns="108000" bIns="108000">
          <a:noAutofit/>
        </a:bodyPr>
        <a:lstStyle/>
        <a:p>
          <a:pPr marL="0" indent="0"/>
          <a:r>
            <a:rPr lang="es-ES" sz="1500" b="1" strike="noStrike" spc="-1">
              <a:latin typeface="Arial"/>
              <a:ea typeface="+mn-ea"/>
              <a:cs typeface="+mn-cs"/>
            </a:rPr>
            <a:t>12.2.3 Comunicación efectiva</a:t>
          </a:r>
        </a:p>
        <a:p>
          <a:pPr marL="0" indent="0"/>
          <a:endParaRPr lang="es-ES" sz="1500" b="0" strike="noStrike" spc="-1">
            <a:latin typeface="Arial"/>
            <a:ea typeface="+mn-ea"/>
            <a:cs typeface="+mn-cs"/>
          </a:endParaRPr>
        </a:p>
        <a:p>
          <a:pPr marL="0" indent="0"/>
          <a:r>
            <a:rPr lang="es-ES" sz="1500" b="0" strike="noStrike" spc="-1">
              <a:latin typeface="Arial"/>
              <a:ea typeface="+mn-ea"/>
              <a:cs typeface="+mn-cs"/>
            </a:rPr>
            <a:t>Los servicios de apoyo para las TIC deben adaptarse a las necesidades de comunicación de las personas con discapacidad, ya sea directamente o a través de un punto de derivación. </a:t>
          </a:r>
          <a:endParaRPr lang="es-ES" sz="1500" b="0" strike="noStrike" spc="-1">
            <a:latin typeface="Times New Roman"/>
          </a:endParaRPr>
        </a:p>
      </xdr:txBody>
    </xdr:sp>
    <xdr:clientData/>
  </xdr:twoCellAnchor>
  <xdr:twoCellAnchor editAs="absolute">
    <xdr:from>
      <xdr:col>5</xdr:col>
      <xdr:colOff>29678</xdr:colOff>
      <xdr:row>101</xdr:row>
      <xdr:rowOff>14145</xdr:rowOff>
    </xdr:from>
    <xdr:to>
      <xdr:col>11</xdr:col>
      <xdr:colOff>32594</xdr:colOff>
      <xdr:row>114</xdr:row>
      <xdr:rowOff>142874</xdr:rowOff>
    </xdr:to>
    <xdr:sp macro="" textlink="">
      <xdr:nvSpPr>
        <xdr:cNvPr id="20" name="TextShape 1" descr="12.2.2 Información sobre las características de accesibilidad y compatibilidad  Los servicios de apoyo para las TIC deben proporcionar información acerca de las características de accesibilidad y compatibilidad que se incluyen en la documentación del producto.   NOTA: Las características de accesibilidad y compatibilidad incluyen las características de accesibilidad integradas, así como las características de accesibilidad que permiten la compatibilidad con los productos de apoyo. ">
          <a:extLst>
            <a:ext uri="{FF2B5EF4-FFF2-40B4-BE49-F238E27FC236}">
              <a16:creationId xmlns:a16="http://schemas.microsoft.com/office/drawing/2014/main" id="{00000000-0008-0000-0900-000014000000}"/>
            </a:ext>
          </a:extLst>
        </xdr:cNvPr>
        <xdr:cNvSpPr txBox="1"/>
      </xdr:nvSpPr>
      <xdr:spPr>
        <a:xfrm>
          <a:off x="6954353" y="17340120"/>
          <a:ext cx="5822691" cy="2262329"/>
        </a:xfrm>
        <a:prstGeom prst="rect">
          <a:avLst/>
        </a:prstGeom>
        <a:solidFill>
          <a:srgbClr val="DDDDDD"/>
        </a:solidFill>
        <a:ln>
          <a:noFill/>
        </a:ln>
      </xdr:spPr>
      <xdr:txBody>
        <a:bodyPr lIns="108000" tIns="108000" rIns="108000" bIns="108000">
          <a:noAutofit/>
        </a:bodyPr>
        <a:lstStyle/>
        <a:p>
          <a:r>
            <a:rPr lang="es-ES" sz="1500" b="1" strike="noStrike" spc="-1">
              <a:latin typeface="Arial"/>
            </a:rPr>
            <a:t>12.2.2 Información sobre las características de accesibilidad y compatibilidad</a:t>
          </a:r>
        </a:p>
        <a:p>
          <a:endParaRPr lang="es-ES" sz="1500" b="0" strike="noStrike" spc="-1">
            <a:latin typeface="Arial"/>
          </a:endParaRPr>
        </a:p>
        <a:p>
          <a:r>
            <a:rPr lang="es-ES" sz="1500" b="0" strike="noStrike" spc="-1">
              <a:latin typeface="Arial"/>
            </a:rPr>
            <a:t>Los servicios de apoyo para las TIC deben proporcionar información acerca de las características de accesibilidad y compatibilidad que se incluyen en la documentación del producto. </a:t>
          </a:r>
        </a:p>
        <a:p>
          <a:endParaRPr lang="es-ES" sz="1500" b="0" strike="noStrike" spc="-1">
            <a:latin typeface="Arial"/>
          </a:endParaRPr>
        </a:p>
        <a:p>
          <a:r>
            <a:rPr lang="es-ES" sz="1200" b="0" i="0" u="none" strike="noStrike" baseline="0">
              <a:latin typeface="Arial" panose="020B0604020202020204" pitchFamily="34" charset="0"/>
              <a:ea typeface="+mn-ea"/>
              <a:cs typeface="Arial" panose="020B0604020202020204" pitchFamily="34" charset="0"/>
            </a:rPr>
            <a:t>NOTA: Las características de accesibilidad y compatibilidad incluyen las características de accesibilidad integradas, así como las características de accesibilidad que permiten la compatibilidad con los productos de apoyo. </a:t>
          </a:r>
          <a:endParaRPr lang="es-ES" sz="1200" b="0" strike="noStrike" spc="-1">
            <a:latin typeface="Arial" panose="020B0604020202020204" pitchFamily="34" charset="0"/>
            <a:cs typeface="Arial" panose="020B0604020202020204" pitchFamily="34" charset="0"/>
          </a:endParaRPr>
        </a:p>
      </xdr:txBody>
    </xdr:sp>
    <xdr:clientData/>
  </xdr:twoCellAnchor>
  <xdr:twoCellAnchor editAs="absolute">
    <xdr:from>
      <xdr:col>5</xdr:col>
      <xdr:colOff>68869</xdr:colOff>
      <xdr:row>62</xdr:row>
      <xdr:rowOff>147034</xdr:rowOff>
    </xdr:from>
    <xdr:to>
      <xdr:col>11</xdr:col>
      <xdr:colOff>83753</xdr:colOff>
      <xdr:row>91</xdr:row>
      <xdr:rowOff>10584</xdr:rowOff>
    </xdr:to>
    <xdr:sp macro="" textlink="">
      <xdr:nvSpPr>
        <xdr:cNvPr id="21" name="TextShape 1" descr="12.1.2 Documentación accesible  La documentación del producto suministrada junto con las TIC debe proporcionarse en al menos uno de los formatos electrónicos siguientes:  a) un formato web que esté conforme con los requisitos del capítulo 9; o  b) un formato no web que esté conforme con los requisitos del capítulo 10.   NOTA 1 Esto no excluye la posibilidad de proporcionar también la documentación del producto en otros formatos (electrónicos o impresos) que no sean accesibles.  NOTA 2 Tampoco excluye la posibilidad de proporcionar formatos alternativos que satisfagan las necesidades de algún tipo de usuario específico (por ejemplo, documentos en braille para personas ciegas o información simplificada para personas con deficiencia cognitiva).  NOTA 3 En el caso de que la documentación sea parte integral de las TIC, se proporcionará a través de una interfaz de usuario que sea accesible.  NOTA 4 Un agente de usuario que fuera compatible con la conversión automática de medios favorecería una mejora de la accesibilidad.">
          <a:extLst>
            <a:ext uri="{FF2B5EF4-FFF2-40B4-BE49-F238E27FC236}">
              <a16:creationId xmlns:a16="http://schemas.microsoft.com/office/drawing/2014/main" id="{00000000-0008-0000-0900-000015000000}"/>
            </a:ext>
          </a:extLst>
        </xdr:cNvPr>
        <xdr:cNvSpPr txBox="1"/>
      </xdr:nvSpPr>
      <xdr:spPr>
        <a:xfrm>
          <a:off x="7000952" y="11111367"/>
          <a:ext cx="5846301" cy="4160384"/>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12.1.2 Documentación accesible</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La documentación del producto suministrada junto con las TIC debe proporcionarse en al menos uno de los formatos electrónicos siguientes: </a:t>
          </a:r>
        </a:p>
        <a:p>
          <a:r>
            <a:rPr lang="en-US" sz="1500" b="0" strike="noStrike" spc="-1">
              <a:solidFill>
                <a:srgbClr val="000000"/>
              </a:solidFill>
              <a:latin typeface="Arial"/>
              <a:ea typeface="Linux Libertine G"/>
            </a:rPr>
            <a:t>a) un formato web que esté conforme con los requisitos del capítulo 9; o </a:t>
          </a:r>
        </a:p>
        <a:p>
          <a:r>
            <a:rPr lang="en-US" sz="1500" b="0" strike="noStrike" spc="-1">
              <a:solidFill>
                <a:srgbClr val="000000"/>
              </a:solidFill>
              <a:latin typeface="Arial"/>
              <a:ea typeface="Linux Libertine G"/>
            </a:rPr>
            <a:t>b) un formato no web que esté conforme con los requisitos del capítulo 10. </a:t>
          </a:r>
        </a:p>
        <a:p>
          <a:endParaRPr lang="en-US" sz="1500" b="0" strike="noStrike" spc="-1">
            <a:solidFill>
              <a:srgbClr val="000000"/>
            </a:solidFill>
            <a:latin typeface="Arial"/>
            <a:ea typeface="Linux Libertine G"/>
          </a:endParaRPr>
        </a:p>
        <a:p>
          <a:r>
            <a:rPr lang="es-ES" sz="1200" b="0" i="0" u="none" strike="noStrike" baseline="0">
              <a:latin typeface="Arial" panose="020B0604020202020204" pitchFamily="34" charset="0"/>
              <a:ea typeface="+mn-ea"/>
              <a:cs typeface="Arial" panose="020B0604020202020204" pitchFamily="34" charset="0"/>
            </a:rPr>
            <a:t>NOTA 1 Esto no excluye la posibilidad de proporcionar también la documentación del producto en otros formatos (electrónicos o impresos) que no sean accesibles. </a:t>
          </a:r>
        </a:p>
        <a:p>
          <a:r>
            <a:rPr lang="es-ES" sz="1200" b="0" i="0" u="none" strike="noStrike" baseline="0">
              <a:latin typeface="Arial" panose="020B0604020202020204" pitchFamily="34" charset="0"/>
              <a:ea typeface="+mn-ea"/>
              <a:cs typeface="Arial" panose="020B0604020202020204" pitchFamily="34" charset="0"/>
            </a:rPr>
            <a:t>NOTA 2 Tampoco excluye la posibilidad de proporcionar formatos alternativos que satisfagan las necesidades de algún tipo de usuario específico (por ejemplo, documentos en braille para personas ciegas o información simplificada para personas con deficiencia cognitiva). </a:t>
          </a:r>
        </a:p>
        <a:p>
          <a:r>
            <a:rPr lang="es-ES" sz="1200" b="0" i="0" u="none" strike="noStrike" baseline="0">
              <a:latin typeface="Arial" panose="020B0604020202020204" pitchFamily="34" charset="0"/>
              <a:ea typeface="+mn-ea"/>
              <a:cs typeface="Arial" panose="020B0604020202020204" pitchFamily="34" charset="0"/>
            </a:rPr>
            <a:t>NOTA 3 En el caso de que la documentación sea parte integral de las TIC, se proporcionará a través de una interfaz de usuario que sea accesible. </a:t>
          </a:r>
        </a:p>
        <a:p>
          <a:r>
            <a:rPr lang="es-ES" sz="1200" b="0" i="0" u="none" strike="noStrike" baseline="0">
              <a:latin typeface="Arial" panose="020B0604020202020204" pitchFamily="34" charset="0"/>
              <a:ea typeface="+mn-ea"/>
              <a:cs typeface="Arial" panose="020B0604020202020204" pitchFamily="34" charset="0"/>
            </a:rPr>
            <a:t>NOTA 4 Un agente de usuario que fuera compatible con la conversión automática de medios favorecería una mejora de la accesibilidad.</a:t>
          </a:r>
          <a:endParaRPr lang="en-US" sz="1200" b="0" strike="noStrike" spc="-1">
            <a:solidFill>
              <a:srgbClr val="000000"/>
            </a:solidFill>
            <a:latin typeface="Arial" panose="020B0604020202020204" pitchFamily="34" charset="0"/>
            <a:ea typeface="Linux Libertine G"/>
            <a:cs typeface="Arial" panose="020B0604020202020204" pitchFamily="34" charset="0"/>
          </a:endParaRPr>
        </a:p>
      </xdr:txBody>
    </xdr:sp>
    <xdr:clientData/>
  </xdr:twoCellAnchor>
  <xdr:twoCellAnchor editAs="absolute">
    <xdr:from>
      <xdr:col>5</xdr:col>
      <xdr:colOff>20757</xdr:colOff>
      <xdr:row>25</xdr:row>
      <xdr:rowOff>147890</xdr:rowOff>
    </xdr:from>
    <xdr:to>
      <xdr:col>11</xdr:col>
      <xdr:colOff>23673</xdr:colOff>
      <xdr:row>47</xdr:row>
      <xdr:rowOff>63499</xdr:rowOff>
    </xdr:to>
    <xdr:sp macro="" textlink="">
      <xdr:nvSpPr>
        <xdr:cNvPr id="22" name="TextShape 1" descr="12.1.1 Características de accesibilidad y compatibilidad  La documentación del producto proporcionada con las TIC, tanto si se suministra por separado como si forma parte integral de las TIC, deben enumerar y explicar cómo utilizar las características de accesibilidad y compatibilidad de las TIC.   NOTA 1: Las características de accesibilidad y compatibilidad incluyen las características de accesibilidad integradas, así como las características de accesibilidad que permiten la compatibilidad con las tecnologías de apoyo.  NOTA 2: La práctica más idónea es utilizar los Esquemas WebSchemas/Accessibility 2.0 [i.38] para proporcionar los metadatos sobre la accesibilidad de las TIC.  NOTA 3: La declaración de accesibilidad y las páginas de ayuda son ejemplos del suministro de información sobre el producto. ">
          <a:extLst>
            <a:ext uri="{FF2B5EF4-FFF2-40B4-BE49-F238E27FC236}">
              <a16:creationId xmlns:a16="http://schemas.microsoft.com/office/drawing/2014/main" id="{00000000-0008-0000-0900-000016000000}"/>
            </a:ext>
          </a:extLst>
        </xdr:cNvPr>
        <xdr:cNvSpPr txBox="1"/>
      </xdr:nvSpPr>
      <xdr:spPr>
        <a:xfrm>
          <a:off x="6952840" y="5407807"/>
          <a:ext cx="5834333" cy="3175275"/>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12.1.1 Características de accesibilidad y compatibilidad</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La documentación del producto proporcionada con las TIC, tanto si se suministra por separado como si forma parte integral de las TIC, deben enumerar y explicar cómo utilizar las características de accesibilidad y compatibilidad de las TIC. </a:t>
          </a:r>
        </a:p>
        <a:p>
          <a:endParaRPr lang="en-US" sz="1500" b="0" strike="noStrike" spc="-1">
            <a:solidFill>
              <a:srgbClr val="000000"/>
            </a:solidFill>
            <a:latin typeface="Arial"/>
            <a:ea typeface="Linux Libertine G"/>
          </a:endParaRPr>
        </a:p>
        <a:p>
          <a:r>
            <a:rPr lang="es-ES" sz="1200" b="0" i="0" u="none" strike="noStrike" baseline="0">
              <a:latin typeface="Arial" panose="020B0604020202020204" pitchFamily="34" charset="0"/>
              <a:ea typeface="+mn-ea"/>
              <a:cs typeface="Arial" panose="020B0604020202020204" pitchFamily="34" charset="0"/>
            </a:rPr>
            <a:t>NOTA 1: Las características de accesibilidad y compatibilidad incluyen las características de accesibilidad integradas, así como las características de accesibilidad que permiten la compatibilidad con las tecnologías de apoyo. </a:t>
          </a:r>
        </a:p>
        <a:p>
          <a:r>
            <a:rPr lang="es-ES" sz="1200" b="0" i="0" u="none" strike="noStrike" baseline="0">
              <a:latin typeface="Arial" panose="020B0604020202020204" pitchFamily="34" charset="0"/>
              <a:ea typeface="+mn-ea"/>
              <a:cs typeface="Arial" panose="020B0604020202020204" pitchFamily="34" charset="0"/>
            </a:rPr>
            <a:t>NOTA 2: La práctica más idónea es utilizar los Esquemas WebSchemas/Accessibility 2.0 [i.38] para proporcionar los metadatos sobre la accesibilidad de las TIC. </a:t>
          </a:r>
        </a:p>
        <a:p>
          <a:r>
            <a:rPr lang="es-ES" sz="1200" b="0" i="0" u="none" strike="noStrike" baseline="0">
              <a:latin typeface="Arial" panose="020B0604020202020204" pitchFamily="34" charset="0"/>
              <a:ea typeface="+mn-ea"/>
              <a:cs typeface="Arial" panose="020B0604020202020204" pitchFamily="34" charset="0"/>
            </a:rPr>
            <a:t>NOTA 3: La declaración de accesibilidad y las páginas de ayuda son ejemplos del suministro de información sobre el producto. </a:t>
          </a:r>
          <a:endParaRPr lang="es-ES" sz="1200" b="0" strike="noStrike" spc="-1">
            <a:solidFill>
              <a:srgbClr val="000000"/>
            </a:solidFill>
            <a:latin typeface="Arial" panose="020B0604020202020204" pitchFamily="34" charset="0"/>
            <a:ea typeface="Linux Libertine G"/>
            <a:cs typeface="Arial" panose="020B0604020202020204" pitchFamily="34" charset="0"/>
          </a:endParaRPr>
        </a:p>
      </xdr:txBody>
    </xdr:sp>
    <xdr:clientData/>
  </xdr:twoCellAnchor>
  <xdr:twoCellAnchor editAs="absolute">
    <xdr:from>
      <xdr:col>7</xdr:col>
      <xdr:colOff>577129</xdr:colOff>
      <xdr:row>58</xdr:row>
      <xdr:rowOff>24804</xdr:rowOff>
    </xdr:from>
    <xdr:to>
      <xdr:col>8</xdr:col>
      <xdr:colOff>362860</xdr:colOff>
      <xdr:row>62</xdr:row>
      <xdr:rowOff>108084</xdr:rowOff>
    </xdr:to>
    <xdr:pic>
      <xdr:nvPicPr>
        <xdr:cNvPr id="23" name="Image 1">
          <a:extLst>
            <a:ext uri="{FF2B5EF4-FFF2-40B4-BE49-F238E27FC236}">
              <a16:creationId xmlns:a16="http://schemas.microsoft.com/office/drawing/2014/main" id="{00000000-0008-0000-0900-000017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94129" y="10394354"/>
          <a:ext cx="621814" cy="671713"/>
        </a:xfrm>
        <a:prstGeom prst="rect">
          <a:avLst/>
        </a:prstGeom>
        <a:ln>
          <a:noFill/>
        </a:ln>
      </xdr:spPr>
    </xdr:pic>
    <xdr:clientData/>
  </xdr:twoCellAnchor>
  <xdr:twoCellAnchor editAs="absolute">
    <xdr:from>
      <xdr:col>7</xdr:col>
      <xdr:colOff>599373</xdr:colOff>
      <xdr:row>96</xdr:row>
      <xdr:rowOff>1404</xdr:rowOff>
    </xdr:from>
    <xdr:to>
      <xdr:col>8</xdr:col>
      <xdr:colOff>330813</xdr:colOff>
      <xdr:row>100</xdr:row>
      <xdr:rowOff>85043</xdr:rowOff>
    </xdr:to>
    <xdr:pic>
      <xdr:nvPicPr>
        <xdr:cNvPr id="24" name="Image 1">
          <a:extLst>
            <a:ext uri="{FF2B5EF4-FFF2-40B4-BE49-F238E27FC236}">
              <a16:creationId xmlns:a16="http://schemas.microsoft.com/office/drawing/2014/main" id="{00000000-0008-0000-0900-000018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616373" y="16223537"/>
          <a:ext cx="567523" cy="672073"/>
        </a:xfrm>
        <a:prstGeom prst="rect">
          <a:avLst/>
        </a:prstGeom>
        <a:ln>
          <a:noFill/>
        </a:ln>
      </xdr:spPr>
    </xdr:pic>
    <xdr:clientData/>
  </xdr:twoCellAnchor>
  <xdr:twoCellAnchor editAs="absolute">
    <xdr:from>
      <xdr:col>7</xdr:col>
      <xdr:colOff>590098</xdr:colOff>
      <xdr:row>134</xdr:row>
      <xdr:rowOff>48614</xdr:rowOff>
    </xdr:from>
    <xdr:to>
      <xdr:col>8</xdr:col>
      <xdr:colOff>350113</xdr:colOff>
      <xdr:row>138</xdr:row>
      <xdr:rowOff>132135</xdr:rowOff>
    </xdr:to>
    <xdr:pic>
      <xdr:nvPicPr>
        <xdr:cNvPr id="25" name="Image 1">
          <a:extLst>
            <a:ext uri="{FF2B5EF4-FFF2-40B4-BE49-F238E27FC236}">
              <a16:creationId xmlns:a16="http://schemas.microsoft.com/office/drawing/2014/main" id="{00000000-0008-0000-0900-000019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607098" y="22351931"/>
          <a:ext cx="596098" cy="676187"/>
        </a:xfrm>
        <a:prstGeom prst="rect">
          <a:avLst/>
        </a:prstGeom>
        <a:ln>
          <a:noFill/>
        </a:ln>
      </xdr:spPr>
    </xdr:pic>
    <xdr:clientData/>
  </xdr:twoCellAnchor>
  <xdr:twoCellAnchor editAs="absolute">
    <xdr:from>
      <xdr:col>7</xdr:col>
      <xdr:colOff>606935</xdr:colOff>
      <xdr:row>172</xdr:row>
      <xdr:rowOff>310</xdr:rowOff>
    </xdr:from>
    <xdr:to>
      <xdr:col>8</xdr:col>
      <xdr:colOff>392666</xdr:colOff>
      <xdr:row>176</xdr:row>
      <xdr:rowOff>80870</xdr:rowOff>
    </xdr:to>
    <xdr:pic>
      <xdr:nvPicPr>
        <xdr:cNvPr id="26" name="Image 1">
          <a:extLst>
            <a:ext uri="{FF2B5EF4-FFF2-40B4-BE49-F238E27FC236}">
              <a16:creationId xmlns:a16="http://schemas.microsoft.com/office/drawing/2014/main" id="{00000000-0008-0000-0900-00001A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623935" y="28390556"/>
          <a:ext cx="621814" cy="671714"/>
        </a:xfrm>
        <a:prstGeom prst="rect">
          <a:avLst/>
        </a:prstGeom>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9</xdr:col>
      <xdr:colOff>244440</xdr:colOff>
      <xdr:row>10</xdr:row>
      <xdr:rowOff>194040</xdr:rowOff>
    </xdr:from>
    <xdr:to>
      <xdr:col>9</xdr:col>
      <xdr:colOff>644040</xdr:colOff>
      <xdr:row>11</xdr:row>
      <xdr:rowOff>206640</xdr:rowOff>
    </xdr:to>
    <xdr:sp macro="" textlink="">
      <xdr:nvSpPr>
        <xdr:cNvPr id="2" name="CustomShape 1" descr="Añadir en la tabla ubicada en las celdas K12 a L23 el nombre y la URL de las tecnologías utilizadas y no incluídas en el listado. ">
          <a:extLst>
            <a:ext uri="{FF2B5EF4-FFF2-40B4-BE49-F238E27FC236}">
              <a16:creationId xmlns:a16="http://schemas.microsoft.com/office/drawing/2014/main" id="{7DD931F6-99FE-4B1F-9263-D0FFDDF74246}"/>
            </a:ext>
          </a:extLst>
        </xdr:cNvPr>
        <xdr:cNvSpPr/>
      </xdr:nvSpPr>
      <xdr:spPr>
        <a:xfrm>
          <a:off x="6845265" y="2984865"/>
          <a:ext cx="399600" cy="222150"/>
        </a:xfrm>
        <a:custGeom>
          <a:avLst/>
          <a:gdLst/>
          <a:ahLst/>
          <a:cxnLst/>
          <a:rect l="0" t="0" r="r" b="b"/>
          <a:pathLst>
            <a:path w="1112" h="637">
              <a:moveTo>
                <a:pt x="0" y="159"/>
              </a:moveTo>
              <a:lnTo>
                <a:pt x="833" y="159"/>
              </a:lnTo>
              <a:lnTo>
                <a:pt x="833" y="0"/>
              </a:lnTo>
              <a:lnTo>
                <a:pt x="1111" y="318"/>
              </a:lnTo>
              <a:lnTo>
                <a:pt x="833" y="636"/>
              </a:lnTo>
              <a:lnTo>
                <a:pt x="833" y="477"/>
              </a:lnTo>
              <a:lnTo>
                <a:pt x="0" y="477"/>
              </a:lnTo>
              <a:lnTo>
                <a:pt x="0" y="159"/>
              </a:lnTo>
            </a:path>
          </a:pathLst>
        </a:custGeom>
        <a:solidFill>
          <a:srgbClr val="729FCF"/>
        </a:solidFill>
        <a:ln>
          <a:solidFill>
            <a:srgbClr val="3465A4"/>
          </a:solidFill>
        </a:ln>
      </xdr:spPr>
      <xdr:style>
        <a:lnRef idx="0">
          <a:scrgbClr r="0" g="0" b="0"/>
        </a:lnRef>
        <a:fillRef idx="0">
          <a:scrgbClr r="0" g="0" b="0"/>
        </a:fillRef>
        <a:effectRef idx="0">
          <a:scrgbClr r="0" g="0" b="0"/>
        </a:effectRef>
        <a:fontRef idx="minor"/>
      </xdr:style>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1104900</xdr:colOff>
      <xdr:row>40</xdr:row>
      <xdr:rowOff>200025</xdr:rowOff>
    </xdr:to>
    <xdr:sp macro="" textlink="">
      <xdr:nvSpPr>
        <xdr:cNvPr id="3080" name="_x0000_t202" hidden="1">
          <a:extLst>
            <a:ext uri="{FF2B5EF4-FFF2-40B4-BE49-F238E27FC236}">
              <a16:creationId xmlns:a16="http://schemas.microsoft.com/office/drawing/2014/main" id="{00000000-0008-0000-0200-0000080C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1104900</xdr:colOff>
      <xdr:row>40</xdr:row>
      <xdr:rowOff>200025</xdr:rowOff>
    </xdr:to>
    <xdr:sp macro="" textlink="">
      <xdr:nvSpPr>
        <xdr:cNvPr id="3078" name="_x0000_t202" hidden="1">
          <a:extLst>
            <a:ext uri="{FF2B5EF4-FFF2-40B4-BE49-F238E27FC236}">
              <a16:creationId xmlns:a16="http://schemas.microsoft.com/office/drawing/2014/main" id="{00000000-0008-0000-0200-0000060C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1104900</xdr:colOff>
      <xdr:row>40</xdr:row>
      <xdr:rowOff>200025</xdr:rowOff>
    </xdr:to>
    <xdr:sp macro="" textlink="">
      <xdr:nvSpPr>
        <xdr:cNvPr id="3076" name="_x0000_t202" hidden="1">
          <a:extLst>
            <a:ext uri="{FF2B5EF4-FFF2-40B4-BE49-F238E27FC236}">
              <a16:creationId xmlns:a16="http://schemas.microsoft.com/office/drawing/2014/main" id="{00000000-0008-0000-0200-0000040C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1104900</xdr:colOff>
      <xdr:row>40</xdr:row>
      <xdr:rowOff>200025</xdr:rowOff>
    </xdr:to>
    <xdr:sp macro="" textlink="">
      <xdr:nvSpPr>
        <xdr:cNvPr id="3074" name="_x0000_t202" hidden="1">
          <a:extLst>
            <a:ext uri="{FF2B5EF4-FFF2-40B4-BE49-F238E27FC236}">
              <a16:creationId xmlns:a16="http://schemas.microsoft.com/office/drawing/2014/main" id="{00000000-0008-0000-0200-0000020C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editAs="absolute">
    <xdr:from>
      <xdr:col>7</xdr:col>
      <xdr:colOff>359110</xdr:colOff>
      <xdr:row>22</xdr:row>
      <xdr:rowOff>65463</xdr:rowOff>
    </xdr:from>
    <xdr:to>
      <xdr:col>8</xdr:col>
      <xdr:colOff>90549</xdr:colOff>
      <xdr:row>26</xdr:row>
      <xdr:rowOff>144510</xdr:rowOff>
    </xdr:to>
    <xdr:pic>
      <xdr:nvPicPr>
        <xdr:cNvPr id="2" name="Image 1">
          <a:extLst>
            <a:ext uri="{FF2B5EF4-FFF2-40B4-BE49-F238E27FC236}">
              <a16:creationId xmlns:a16="http://schemas.microsoft.com/office/drawing/2014/main" id="{00000000-0008-0000-0300-000002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866056" y="4874530"/>
          <a:ext cx="567523" cy="671713"/>
        </a:xfrm>
        <a:prstGeom prst="rect">
          <a:avLst/>
        </a:prstGeom>
        <a:ln>
          <a:noFill/>
        </a:ln>
      </xdr:spPr>
    </xdr:pic>
    <xdr:clientData/>
  </xdr:twoCellAnchor>
  <xdr:twoCellAnchor editAs="absolute">
    <xdr:from>
      <xdr:col>4</xdr:col>
      <xdr:colOff>121814</xdr:colOff>
      <xdr:row>100</xdr:row>
      <xdr:rowOff>92464</xdr:rowOff>
    </xdr:from>
    <xdr:to>
      <xdr:col>10</xdr:col>
      <xdr:colOff>675065</xdr:colOff>
      <xdr:row>117</xdr:row>
      <xdr:rowOff>21167</xdr:rowOff>
    </xdr:to>
    <xdr:sp macro="" textlink="">
      <xdr:nvSpPr>
        <xdr:cNvPr id="20" name="TextShape 1" descr="5.4 Preservación de la información de accesibilidad durante una conversión (Condicional)  Condición: Cuando el contenido web convierta informaciones o comunicaciones.  Cuando las TIC conviertan informaciones o comunicaciones, deben preservar toda la información que se proporciona a efectos de la accesibilidad que no esté sujeta al derecho de propiedad intelectual en la medida en que el formato de destino pueda contener o sea compatible con esa información.">
          <a:extLst>
            <a:ext uri="{FF2B5EF4-FFF2-40B4-BE49-F238E27FC236}">
              <a16:creationId xmlns:a16="http://schemas.microsoft.com/office/drawing/2014/main" id="{00000000-0008-0000-0300-000014000000}"/>
            </a:ext>
          </a:extLst>
        </xdr:cNvPr>
        <xdr:cNvSpPr txBox="1"/>
      </xdr:nvSpPr>
      <xdr:spPr>
        <a:xfrm>
          <a:off x="7117397" y="16994047"/>
          <a:ext cx="5834335" cy="2680370"/>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s-ES" sz="1500" b="1" u="none" strike="noStrike" spc="-1">
              <a:latin typeface="Arial"/>
            </a:rPr>
            <a:t>5.4 Preservación de la información de accesibilidad durante una conversión (Condicional)</a:t>
          </a:r>
        </a:p>
        <a:p>
          <a:pPr marL="0" marR="0" indent="0" defTabSz="914400" eaLnBrk="1" fontAlgn="auto" latinLnBrk="0" hangingPunct="1">
            <a:lnSpc>
              <a:spcPct val="100000"/>
            </a:lnSpc>
            <a:spcBef>
              <a:spcPts val="0"/>
            </a:spcBef>
            <a:spcAft>
              <a:spcPts val="0"/>
            </a:spcAft>
            <a:buClrTx/>
            <a:buSzTx/>
            <a:buFontTx/>
            <a:buNone/>
            <a:tabLst/>
            <a:defRPr/>
          </a:pPr>
          <a:endParaRPr lang="es-ES" sz="1500" b="0" u="sng" strike="noStrike" spc="-1">
            <a:latin typeface="Arial"/>
          </a:endParaRPr>
        </a:p>
        <a:p>
          <a:pPr marL="0" marR="0" indent="0" defTabSz="914400" eaLnBrk="1" fontAlgn="auto" latinLnBrk="0" hangingPunct="1">
            <a:lnSpc>
              <a:spcPct val="100000"/>
            </a:lnSpc>
            <a:spcBef>
              <a:spcPts val="0"/>
            </a:spcBef>
            <a:spcAft>
              <a:spcPts val="0"/>
            </a:spcAft>
            <a:buClrTx/>
            <a:buSzTx/>
            <a:buFontTx/>
            <a:buNone/>
            <a:tabLst/>
            <a:defRPr/>
          </a:pPr>
          <a:r>
            <a:rPr lang="es-ES" sz="1500" b="0" u="sng" strike="noStrike" spc="-1">
              <a:latin typeface="Arial"/>
            </a:rPr>
            <a:t>Condición</a:t>
          </a:r>
          <a:r>
            <a:rPr lang="es-ES" sz="1500" b="0" u="sng" strike="noStrike" spc="-1">
              <a:latin typeface="Arial" pitchFamily="34" charset="0"/>
              <a:cs typeface="Arial" pitchFamily="34" charset="0"/>
            </a:rPr>
            <a:t>:</a:t>
          </a:r>
          <a:r>
            <a:rPr lang="es-ES" sz="1500" b="0" strike="noStrike" spc="-1" baseline="0">
              <a:latin typeface="Arial" pitchFamily="34" charset="0"/>
              <a:cs typeface="Arial" pitchFamily="34" charset="0"/>
            </a:rPr>
            <a:t> </a:t>
          </a:r>
          <a:r>
            <a:rPr lang="es-ES" sz="1500" b="0" i="0" u="none" strike="noStrike" baseline="0">
              <a:latin typeface="Arial" pitchFamily="34" charset="0"/>
              <a:ea typeface="+mn-ea"/>
              <a:cs typeface="Arial" pitchFamily="34" charset="0"/>
            </a:rPr>
            <a:t>Cuando el contenido web convierta informaciones o comunicaciones.</a:t>
          </a:r>
        </a:p>
        <a:p>
          <a:pPr marL="0" marR="0" indent="0" defTabSz="914400" eaLnBrk="1" fontAlgn="auto" latinLnBrk="0" hangingPunct="1">
            <a:lnSpc>
              <a:spcPct val="100000"/>
            </a:lnSpc>
            <a:spcBef>
              <a:spcPts val="0"/>
            </a:spcBef>
            <a:spcAft>
              <a:spcPts val="0"/>
            </a:spcAft>
            <a:buClrTx/>
            <a:buSzTx/>
            <a:buFontTx/>
            <a:buNone/>
            <a:tabLst/>
            <a:defRPr/>
          </a:pPr>
          <a:endParaRPr lang="es-ES" sz="1500" b="0" i="0" u="none" strike="noStrike" baseline="0">
            <a:latin typeface="Arial" pitchFamily="34" charset="0"/>
            <a:ea typeface="+mn-ea"/>
            <a:cs typeface="Arial" pitchFamily="34" charset="0"/>
          </a:endParaRPr>
        </a:p>
        <a:p>
          <a:r>
            <a:rPr lang="es-ES" sz="1500" b="0" strike="noStrike" spc="-1">
              <a:latin typeface="Arial"/>
            </a:rPr>
            <a:t>Cuando las TIC conviertan informaciones o comunicaciones, deben preservar toda la información que se proporciona a efectos de la accesibilidad que no esté sujeta al derecho de propiedad intelectual en la medida en que el formato de destino pueda contener o sea compatible con esa información.</a:t>
          </a:r>
          <a:endParaRPr lang="es-ES" sz="1500" b="0" strike="noStrike" spc="-1">
            <a:latin typeface="Times New Roman"/>
          </a:endParaRPr>
        </a:p>
      </xdr:txBody>
    </xdr:sp>
    <xdr:clientData/>
  </xdr:twoCellAnchor>
  <xdr:twoCellAnchor editAs="absolute">
    <xdr:from>
      <xdr:col>4</xdr:col>
      <xdr:colOff>205206</xdr:colOff>
      <xdr:row>63</xdr:row>
      <xdr:rowOff>62366</xdr:rowOff>
    </xdr:from>
    <xdr:to>
      <xdr:col>10</xdr:col>
      <xdr:colOff>956983</xdr:colOff>
      <xdr:row>86</xdr:row>
      <xdr:rowOff>52916</xdr:rowOff>
    </xdr:to>
    <xdr:sp macro="" textlink="">
      <xdr:nvSpPr>
        <xdr:cNvPr id="21" name="TextShape 1" descr="5.3 Biométrica (Condicional)  Condición: Cuando el contenido web utilice características biológicas.  Cuando las TIC utilicen características biológicas, no debe depender del uso de una característica biológica particular como único medio de identificación del usuario o de control de las TIC.   NOTA 1: Los medios alternativos de identificación del usuario o de control de las TIC puedenn ser biométricos o no biométricos.  NOTA 2: Los métodos biométricos que se basan en diversas características biológicas incrementan la probabilidad de que las personas con discapacidad posean por lo menos una de las características biológicas especificadas. Ejemplos de características biológicas diversas son las huellas dactilares, los patrones de la retina, la voz y la cara. ">
          <a:extLst>
            <a:ext uri="{FF2B5EF4-FFF2-40B4-BE49-F238E27FC236}">
              <a16:creationId xmlns:a16="http://schemas.microsoft.com/office/drawing/2014/main" id="{00000000-0008-0000-0300-000015000000}"/>
            </a:ext>
          </a:extLst>
        </xdr:cNvPr>
        <xdr:cNvSpPr txBox="1"/>
      </xdr:nvSpPr>
      <xdr:spPr>
        <a:xfrm>
          <a:off x="7200789" y="11217199"/>
          <a:ext cx="6032861" cy="3398384"/>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strike="noStrike" spc="-1">
              <a:solidFill>
                <a:srgbClr val="000000"/>
              </a:solidFill>
              <a:latin typeface="Arial"/>
              <a:ea typeface="Linux Libertine G"/>
            </a:rPr>
            <a:t>5.3 Biométrica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strike="noStrike" spc="-1">
            <a:solidFill>
              <a:srgbClr val="000000"/>
            </a:solidFill>
            <a:latin typeface="Arial"/>
            <a:ea typeface="Linux Libertine G"/>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strike="noStrike" spc="-1">
              <a:solidFill>
                <a:srgbClr val="000000"/>
              </a:solidFill>
              <a:latin typeface="Arial"/>
              <a:ea typeface="Linux Libertine G"/>
            </a:rPr>
            <a:t>Condición</a:t>
          </a:r>
          <a:r>
            <a:rPr lang="en-US" sz="1500" b="0" u="sng" strike="noStrike" spc="-1">
              <a:solidFill>
                <a:srgbClr val="000000"/>
              </a:solidFill>
              <a:latin typeface="Arial" pitchFamily="34" charset="0"/>
              <a:ea typeface="Linux Libertine G"/>
              <a:cs typeface="Arial" pitchFamily="34" charset="0"/>
            </a:rPr>
            <a:t>:</a:t>
          </a:r>
          <a:r>
            <a:rPr lang="en-US" sz="1500" b="0" strike="noStrike" spc="-1">
              <a:solidFill>
                <a:srgbClr val="000000"/>
              </a:solidFill>
              <a:latin typeface="Arial" pitchFamily="34" charset="0"/>
              <a:ea typeface="Linux Libertine G"/>
              <a:cs typeface="Arial" pitchFamily="34" charset="0"/>
            </a:rPr>
            <a:t> </a:t>
          </a:r>
          <a:r>
            <a:rPr lang="es-ES" sz="1500" b="0" i="0" u="none" strike="noStrike" baseline="0">
              <a:latin typeface="Arial" pitchFamily="34" charset="0"/>
              <a:ea typeface="+mn-ea"/>
              <a:cs typeface="Arial" pitchFamily="34" charset="0"/>
            </a:rPr>
            <a:t>Cuando el contenido web utilice características biológicas.</a:t>
          </a:r>
        </a:p>
        <a:p>
          <a:pPr marL="0" marR="0" indent="0" defTabSz="914400" eaLnBrk="1" fontAlgn="auto" latinLnBrk="0" hangingPunct="1">
            <a:lnSpc>
              <a:spcPct val="100000"/>
            </a:lnSpc>
            <a:spcBef>
              <a:spcPts val="0"/>
            </a:spcBef>
            <a:spcAft>
              <a:spcPts val="0"/>
            </a:spcAft>
            <a:buClrTx/>
            <a:buSzTx/>
            <a:buFontTx/>
            <a:buNone/>
            <a:tabLst/>
            <a:defRPr/>
          </a:pPr>
          <a:endParaRPr lang="es-ES" sz="1500" b="0" i="0" u="none" strike="noStrike" baseline="0">
            <a:latin typeface="Arial" pitchFamily="34" charset="0"/>
            <a:ea typeface="+mn-ea"/>
            <a:cs typeface="Arial" pitchFamily="34" charset="0"/>
          </a:endParaRPr>
        </a:p>
        <a:p>
          <a:r>
            <a:rPr lang="en-US" sz="1500" b="0" strike="noStrike" spc="-1">
              <a:solidFill>
                <a:srgbClr val="000000"/>
              </a:solidFill>
              <a:latin typeface="Arial"/>
              <a:ea typeface="Linux Libertine G"/>
            </a:rPr>
            <a:t>Cuando las TIC utilicen características biológicas, no debe depender del uso de una característica biológica particular como único medio de identificación del usuario o de control de las TIC. </a:t>
          </a:r>
        </a:p>
        <a:p>
          <a:endParaRPr lang="en-US" sz="1500" b="0" strike="noStrike" spc="-1">
            <a:solidFill>
              <a:srgbClr val="000000"/>
            </a:solidFill>
            <a:latin typeface="Arial"/>
            <a:ea typeface="Linux Libertine G"/>
          </a:endParaRPr>
        </a:p>
        <a:p>
          <a:r>
            <a:rPr lang="es-ES" sz="1200" b="0" i="0" u="none" strike="noStrike" baseline="0">
              <a:latin typeface="Arial" panose="020B0604020202020204" pitchFamily="34" charset="0"/>
              <a:ea typeface="+mn-ea"/>
              <a:cs typeface="Arial" panose="020B0604020202020204" pitchFamily="34" charset="0"/>
            </a:rPr>
            <a:t>NOTA 1: Los medios alternativos de identificación del usuario o de control de las TIC puedenn ser biométricos o no biométricos. </a:t>
          </a:r>
        </a:p>
        <a:p>
          <a:r>
            <a:rPr lang="es-ES" sz="1200" b="0" i="0" u="none" strike="noStrike" baseline="0">
              <a:latin typeface="Arial" panose="020B0604020202020204" pitchFamily="34" charset="0"/>
              <a:ea typeface="+mn-ea"/>
              <a:cs typeface="Arial" panose="020B0604020202020204" pitchFamily="34" charset="0"/>
            </a:rPr>
            <a:t>NOTA 2: Los métodos biométricos que se basan en diversas características biológicas incrementan la probabilidad de que las personas con discapacidad posean por lo menos una de las características biológicas especificadas. Ejemplos de características biológicas diversas son las huellas dactilares, los patrones de la retina, la voz y la cara. </a:t>
          </a:r>
          <a:endParaRPr lang="es-ES" sz="1200" b="0" strike="noStrike" spc="-1">
            <a:latin typeface="Arial" panose="020B0604020202020204" pitchFamily="34" charset="0"/>
            <a:cs typeface="Arial" panose="020B0604020202020204" pitchFamily="34" charset="0"/>
          </a:endParaRPr>
        </a:p>
      </xdr:txBody>
    </xdr:sp>
    <xdr:clientData/>
  </xdr:twoCellAnchor>
  <xdr:twoCellAnchor editAs="absolute">
    <xdr:from>
      <xdr:col>4</xdr:col>
      <xdr:colOff>210012</xdr:colOff>
      <xdr:row>26</xdr:row>
      <xdr:rowOff>147893</xdr:rowOff>
    </xdr:from>
    <xdr:to>
      <xdr:col>10</xdr:col>
      <xdr:colOff>773223</xdr:colOff>
      <xdr:row>43</xdr:row>
      <xdr:rowOff>142875</xdr:rowOff>
    </xdr:to>
    <xdr:sp macro="" textlink="">
      <xdr:nvSpPr>
        <xdr:cNvPr id="22" name="TextShape 1" descr="5.2 Activación de características de accesibilidad (Condicional)  Condición: Cuando el contenido web utilice características de accesibilidad documentadas.   Cuando las TIC tengan características de accesibilidad documentadas, debe ser posible activar aquellas características de accesibilidad documentadas que sean necesarias para satisfacer una necesidad específica sin tener que recurrir para ello a un método que no sea compatible con esa necesidad.">
          <a:extLst>
            <a:ext uri="{FF2B5EF4-FFF2-40B4-BE49-F238E27FC236}">
              <a16:creationId xmlns:a16="http://schemas.microsoft.com/office/drawing/2014/main" id="{00000000-0008-0000-0300-000016000000}"/>
            </a:ext>
          </a:extLst>
        </xdr:cNvPr>
        <xdr:cNvSpPr txBox="1"/>
      </xdr:nvSpPr>
      <xdr:spPr>
        <a:xfrm>
          <a:off x="7204724" y="5605718"/>
          <a:ext cx="5822691" cy="2585782"/>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strike="noStrike" spc="-1">
              <a:solidFill>
                <a:srgbClr val="000000"/>
              </a:solidFill>
              <a:latin typeface="Arial"/>
              <a:ea typeface="Linux Libertine G"/>
            </a:rPr>
            <a:t>5.2 Activación de características de accesibilidad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strike="noStrike" spc="-1">
            <a:solidFill>
              <a:srgbClr val="000000"/>
            </a:solidFill>
            <a:latin typeface="Arial"/>
            <a:ea typeface="Linux Libertine G"/>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strike="noStrike" spc="-1">
              <a:solidFill>
                <a:srgbClr val="000000"/>
              </a:solidFill>
              <a:latin typeface="Arial"/>
              <a:ea typeface="Linux Libertine G"/>
            </a:rPr>
            <a:t>Condición:</a:t>
          </a:r>
          <a:r>
            <a:rPr lang="en-US" sz="1500" b="0" u="none" strike="noStrike" spc="-1">
              <a:solidFill>
                <a:srgbClr val="000000"/>
              </a:solidFill>
              <a:latin typeface="Arial"/>
              <a:ea typeface="Linux Libertine G"/>
            </a:rPr>
            <a:t> </a:t>
          </a:r>
          <a:r>
            <a:rPr lang="es-ES" sz="1500" b="0" i="0" u="none" strike="noStrike" baseline="0">
              <a:latin typeface="Arial" pitchFamily="34" charset="0"/>
              <a:ea typeface="+mn-ea"/>
              <a:cs typeface="Arial" pitchFamily="34" charset="0"/>
            </a:rPr>
            <a:t>Cuando el contenido web tenga características de accesibilidad documentadas.</a:t>
          </a:r>
        </a:p>
        <a:p>
          <a:pPr marL="0" marR="0" indent="0" defTabSz="914400" eaLnBrk="1" fontAlgn="auto" latinLnBrk="0" hangingPunct="1">
            <a:lnSpc>
              <a:spcPct val="100000"/>
            </a:lnSpc>
            <a:spcBef>
              <a:spcPts val="0"/>
            </a:spcBef>
            <a:spcAft>
              <a:spcPts val="0"/>
            </a:spcAft>
            <a:buClrTx/>
            <a:buSzTx/>
            <a:buFontTx/>
            <a:buNone/>
            <a:tabLst/>
            <a:defRPr/>
          </a:pPr>
          <a:r>
            <a:rPr lang="es-ES" sz="1100" b="0" i="0" u="none" strike="noStrike" baseline="0">
              <a:latin typeface="+mn-lt"/>
              <a:ea typeface="+mn-ea"/>
              <a:cs typeface="+mn-cs"/>
            </a:rPr>
            <a:t>	</a:t>
          </a:r>
        </a:p>
        <a:p>
          <a:r>
            <a:rPr lang="en-US" sz="1500" b="0" strike="noStrike" spc="-1">
              <a:solidFill>
                <a:srgbClr val="000000"/>
              </a:solidFill>
              <a:latin typeface="Arial"/>
              <a:ea typeface="Linux Libertine G"/>
            </a:rPr>
            <a:t>Cuando las TIC tengan características de accesibilidad documentadas, debe ser posible activar aquellas características de accesibilidad documentadas que sean necesarias para satisfacer una necesidad específica sin tener que recurrir para ello a un método que no sea compatible con esa necesidad.</a:t>
          </a:r>
          <a:endParaRPr lang="es-ES" sz="1500" b="0" strike="noStrike" spc="-1">
            <a:latin typeface="Times New Roman"/>
          </a:endParaRPr>
        </a:p>
        <a:p>
          <a:endParaRPr lang="es-ES" sz="1500" b="0" strike="noStrike" spc="-1">
            <a:latin typeface="Times New Roman"/>
          </a:endParaRPr>
        </a:p>
      </xdr:txBody>
    </xdr:sp>
    <xdr:clientData/>
  </xdr:twoCellAnchor>
  <xdr:twoCellAnchor editAs="absolute">
    <xdr:from>
      <xdr:col>7</xdr:col>
      <xdr:colOff>330599</xdr:colOff>
      <xdr:row>58</xdr:row>
      <xdr:rowOff>39621</xdr:rowOff>
    </xdr:from>
    <xdr:to>
      <xdr:col>8</xdr:col>
      <xdr:colOff>116329</xdr:colOff>
      <xdr:row>62</xdr:row>
      <xdr:rowOff>118667</xdr:rowOff>
    </xdr:to>
    <xdr:pic>
      <xdr:nvPicPr>
        <xdr:cNvPr id="23" name="Image 1">
          <a:extLst>
            <a:ext uri="{FF2B5EF4-FFF2-40B4-BE49-F238E27FC236}">
              <a16:creationId xmlns:a16="http://schemas.microsoft.com/office/drawing/2014/main" id="{00000000-0008-0000-0300-000017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837545" y="10447271"/>
          <a:ext cx="621814" cy="671713"/>
        </a:xfrm>
        <a:prstGeom prst="rect">
          <a:avLst/>
        </a:prstGeom>
        <a:ln>
          <a:noFill/>
        </a:ln>
      </xdr:spPr>
    </xdr:pic>
    <xdr:clientData/>
  </xdr:twoCellAnchor>
  <xdr:twoCellAnchor editAs="absolute">
    <xdr:from>
      <xdr:col>7</xdr:col>
      <xdr:colOff>342260</xdr:colOff>
      <xdr:row>96</xdr:row>
      <xdr:rowOff>22570</xdr:rowOff>
    </xdr:from>
    <xdr:to>
      <xdr:col>8</xdr:col>
      <xdr:colOff>73699</xdr:colOff>
      <xdr:row>100</xdr:row>
      <xdr:rowOff>106210</xdr:rowOff>
    </xdr:to>
    <xdr:pic>
      <xdr:nvPicPr>
        <xdr:cNvPr id="24" name="Image 1">
          <a:extLst>
            <a:ext uri="{FF2B5EF4-FFF2-40B4-BE49-F238E27FC236}">
              <a16:creationId xmlns:a16="http://schemas.microsoft.com/office/drawing/2014/main" id="{00000000-0008-0000-0300-000018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849206" y="16329370"/>
          <a:ext cx="567523" cy="672073"/>
        </a:xfrm>
        <a:prstGeom prst="rect">
          <a:avLst/>
        </a:prstGeom>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absolute">
    <xdr:from>
      <xdr:col>7</xdr:col>
      <xdr:colOff>563306</xdr:colOff>
      <xdr:row>20</xdr:row>
      <xdr:rowOff>79223</xdr:rowOff>
    </xdr:from>
    <xdr:to>
      <xdr:col>8</xdr:col>
      <xdr:colOff>294746</xdr:colOff>
      <xdr:row>25</xdr:row>
      <xdr:rowOff>10102</xdr:rowOff>
    </xdr:to>
    <xdr:pic>
      <xdr:nvPicPr>
        <xdr:cNvPr id="2" name="Image 1">
          <a:extLst>
            <a:ext uri="{FF2B5EF4-FFF2-40B4-BE49-F238E27FC236}">
              <a16:creationId xmlns:a16="http://schemas.microsoft.com/office/drawing/2014/main" id="{00000000-0008-0000-0400-000002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80306" y="4620531"/>
          <a:ext cx="567523" cy="671713"/>
        </a:xfrm>
        <a:prstGeom prst="rect">
          <a:avLst/>
        </a:prstGeom>
        <a:ln>
          <a:noFill/>
        </a:ln>
      </xdr:spPr>
    </xdr:pic>
    <xdr:clientData/>
  </xdr:twoCellAnchor>
  <xdr:twoCellAnchor editAs="absolute">
    <xdr:from>
      <xdr:col>5</xdr:col>
      <xdr:colOff>18067</xdr:colOff>
      <xdr:row>291</xdr:row>
      <xdr:rowOff>31376</xdr:rowOff>
    </xdr:from>
    <xdr:to>
      <xdr:col>14</xdr:col>
      <xdr:colOff>841168</xdr:colOff>
      <xdr:row>321</xdr:row>
      <xdr:rowOff>95249</xdr:rowOff>
    </xdr:to>
    <xdr:sp macro="" textlink="">
      <xdr:nvSpPr>
        <xdr:cNvPr id="15" name="TextShape 1" descr="6.2.3 Interoperabilidad - Apartado a) (Condicional)  Condición: Cuando las páginas web con funcionalidad RTT interoperen con otras TIC con funcionalidad RTT (como se especifica en el apartado 6.2.1.1).   Cuando las TIC con funcionalidad RTT interoperen con otras TIC con funcionalidad RTT (como se especifica en el apartado 6.2.1.1), deben ser compatibles con los mecanismos de interoperabilidad RTT descritos a continuación:   a) TIC que interoperen con otras TIC que se conecten directamente a la Red Telefónica Pública Conmutada (RTPC) según la Recomendación ITU-T V.18 [i.23] o cualquiera de sus anexos relativos a las señales de telefonía con texto en la interfaz de la RTPC.  NOTA 1: En la práctica, se introducen nuevas normas, como un códec/protocolo alternativo que es compatible con la norma existente común y se utiliza cuando todos los componentes punto a punto son compatibles con ella, mientras otras se tornan obsoletas debido al desarrollo tecnológico, junto con otros factores como el desarrollo de la sociedad y la rentabilidad.  NOTA 2: En el caso de que se utilicen múltiples tecnologías para proporcionar la comunicación por voz, pueden ser necesarios múltiples mecanismos de interoperabilidad para garantizar que todos los usuarios puedan utilizar RTT.  EJEMPLO: Un sistema de conferencia que es compatible con la comunicación por voz a través de una conexión de internet podría proporcionar RTT a través de una conexión de internet mediante un método de RTT propietario (opción C). Sin embargo, independientemente de que sea o no propietario el método de RTT, si el sistema de conferencia también ofrece una comunicación por telefonía, tendrá asimismo que ser compatible con las opciones a o b para asegurar que el RTT sea compatible con una conexión por telefonía.">
          <a:extLst>
            <a:ext uri="{FF2B5EF4-FFF2-40B4-BE49-F238E27FC236}">
              <a16:creationId xmlns:a16="http://schemas.microsoft.com/office/drawing/2014/main" id="{00000000-0008-0000-0400-00000F000000}"/>
            </a:ext>
          </a:extLst>
        </xdr:cNvPr>
        <xdr:cNvSpPr txBox="1"/>
      </xdr:nvSpPr>
      <xdr:spPr>
        <a:xfrm>
          <a:off x="7266963" y="46633779"/>
          <a:ext cx="9952257" cy="4517119"/>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6.2.3 Interoperabilidad - Apartado a)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con funcionalidad RTT interoperen con otras TIC con funcionalidad RTT (como se especifica en el apartado 6.2.1.1). </a:t>
          </a:r>
          <a:endParaRPr lang="es-ES" sz="1500" b="0" i="0" baseline="0">
            <a:solidFill>
              <a:srgbClr val="FF0000"/>
            </a:solidFill>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r>
            <a:rPr lang="es-ES" sz="1500" b="0" i="0" baseline="0">
              <a:effectLst/>
              <a:latin typeface="Arial" pitchFamily="34" charset="0"/>
              <a:ea typeface="+mn-ea"/>
              <a:cs typeface="Arial" pitchFamily="34" charset="0"/>
            </a:rPr>
            <a:t>Cuando las TIC con funcionalidad RTT interoperen con otras TIC con funcionalidad RTT (como se especifica en el apartado 6.2.1.1), deben ser compatibles con los mecanismos de interoperabilidad RTT descritos a continuación: </a:t>
          </a:r>
        </a:p>
        <a:p>
          <a:endParaRPr lang="es-ES" sz="1500" b="0" i="0" baseline="0">
            <a:effectLst/>
            <a:latin typeface="Arial" pitchFamily="34" charset="0"/>
            <a:ea typeface="+mn-ea"/>
            <a:cs typeface="Arial" pitchFamily="34" charset="0"/>
          </a:endParaRPr>
        </a:p>
        <a:p>
          <a:r>
            <a:rPr lang="es-ES" sz="1500" b="0" i="0" baseline="0">
              <a:effectLst/>
              <a:latin typeface="Arial" pitchFamily="34" charset="0"/>
              <a:ea typeface="+mn-ea"/>
              <a:cs typeface="Arial" pitchFamily="34" charset="0"/>
            </a:rPr>
            <a:t>a) TIC que interoperen con otras TIC que se conecten directamente a la Red Telefónica Pública Conmutada (RTPC) según la Recomendación ITU-T V.18 [i.23] o cualquiera de sus anexos relativos a las señales de telefonía con texto en la interfaz de la RTPC.</a:t>
          </a:r>
        </a:p>
        <a:p>
          <a:endParaRPr lang="es-ES" sz="1100" b="0" i="0" u="none" strike="noStrike" baseline="0">
            <a:latin typeface="+mn-lt"/>
            <a:ea typeface="+mn-ea"/>
            <a:cs typeface="+mn-cs"/>
          </a:endParaRPr>
        </a:p>
        <a:p>
          <a:r>
            <a:rPr lang="es-ES" sz="1200" b="0" i="0" u="none" strike="noStrike" baseline="0">
              <a:latin typeface="Arial" panose="020B0604020202020204" pitchFamily="34" charset="0"/>
              <a:ea typeface="+mn-ea"/>
              <a:cs typeface="Arial" panose="020B0604020202020204" pitchFamily="34" charset="0"/>
            </a:rPr>
            <a:t>NOTA 1: En la práctica, se introducen nuevas normas, como un códec/protocolo alternativo que es compatible con la norma existente común y se utiliza cuando todos los componentes punto a punto son compatibles con ella, mientras otras se tornan obsoletas debido al desarrollo tecnológico, junto con otros factores como el desarrollo de la sociedad y la rentabilidad. </a:t>
          </a:r>
        </a:p>
        <a:p>
          <a:r>
            <a:rPr lang="es-ES" sz="1200" b="0" i="0" u="none" strike="noStrike" baseline="0">
              <a:latin typeface="Arial" panose="020B0604020202020204" pitchFamily="34" charset="0"/>
              <a:ea typeface="+mn-ea"/>
              <a:cs typeface="Arial" panose="020B0604020202020204" pitchFamily="34" charset="0"/>
            </a:rPr>
            <a:t>NOTA 2: En el caso de que se utilicen múltiples tecnologías para proporcionar la comunicación por voz, pueden ser necesarios múltiples mecanismos de interoperabilidad para garantizar que todos los usuarios puedan utilizar RTT. </a:t>
          </a:r>
        </a:p>
        <a:p>
          <a:r>
            <a:rPr lang="es-ES" sz="1200" b="0" i="0" u="none" strike="noStrike" baseline="0">
              <a:latin typeface="Arial" panose="020B0604020202020204" pitchFamily="34" charset="0"/>
              <a:ea typeface="+mn-ea"/>
              <a:cs typeface="Arial" panose="020B0604020202020204" pitchFamily="34" charset="0"/>
            </a:rPr>
            <a:t>EJEMPLO: Un sistema de conferencia que es compatible con la comunicación por voz a través de una conexión de internet podría proporcionar RTT a través de una conexión de internet mediante un método de RTT propietario (opción C). Sin embargo, independientemente de que sea o no propietario el método de RTT, si el sistema de conferencia también ofrece una comunicación por telefonía, tendrá asimismo que ser compatible con las opciones a o b para asegurar que el RTT sea compatible con una conexión por telefonía.</a:t>
          </a:r>
          <a:r>
            <a:rPr lang="es-ES" sz="1200" b="0" i="0" baseline="0">
              <a:effectLst/>
              <a:latin typeface="Arial" pitchFamily="34" charset="0"/>
              <a:ea typeface="+mn-ea"/>
              <a:cs typeface="Arial" pitchFamily="34" charset="0"/>
            </a:rPr>
            <a:t> </a:t>
          </a:r>
        </a:p>
      </xdr:txBody>
    </xdr:sp>
    <xdr:clientData/>
  </xdr:twoCellAnchor>
  <xdr:twoCellAnchor editAs="absolute">
    <xdr:from>
      <xdr:col>4</xdr:col>
      <xdr:colOff>355677</xdr:colOff>
      <xdr:row>252</xdr:row>
      <xdr:rowOff>121034</xdr:rowOff>
    </xdr:from>
    <xdr:to>
      <xdr:col>11</xdr:col>
      <xdr:colOff>145</xdr:colOff>
      <xdr:row>277</xdr:row>
      <xdr:rowOff>31749</xdr:rowOff>
    </xdr:to>
    <xdr:sp macro="" textlink="">
      <xdr:nvSpPr>
        <xdr:cNvPr id="16" name="TextShape 1" descr="6.2.2.4 Indicador visual de audio con texto en tiempo real (Condicional)  Condición: Cuando las páginas web proporcionen comunicación bidireccional por voz y tengan capacidades de RTT.  Cuando las TIC proporcionen comunicación bidireccional por voz y tengan capacidades de RTT, deben proporcionar en pantalla un indicador visual de la actividad de audio en tiempo real .  NOTA 1: El indicador visual puede ser una simple posición de carácter en la pantalla que parpadea para reflejar la actividad de audio o cualquier otra presentación de la información que sea visible para los usuarios con visión y pueda ser transmitida a los usuarios sordociegos que estén usando una línea braille.  NOTA 2: Sin esta indicación, una persona sin capacidad auditiva no sabrá cuándo se esté hablando.">
          <a:extLst>
            <a:ext uri="{FF2B5EF4-FFF2-40B4-BE49-F238E27FC236}">
              <a16:creationId xmlns:a16="http://schemas.microsoft.com/office/drawing/2014/main" id="{00000000-0008-0000-0400-000010000000}"/>
            </a:ext>
          </a:extLst>
        </xdr:cNvPr>
        <xdr:cNvSpPr txBox="1"/>
      </xdr:nvSpPr>
      <xdr:spPr>
        <a:xfrm>
          <a:off x="6917344" y="40623451"/>
          <a:ext cx="5846301" cy="3614881"/>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6.2.2.4 Indicador visual de audio con texto en tiempo real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proporcionen comunicación bidireccional por voz y tengan capacidades de RTT.</a:t>
          </a: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r>
            <a:rPr lang="es-ES" sz="1500" b="0" i="0" baseline="0">
              <a:effectLst/>
              <a:latin typeface="Arial" pitchFamily="34" charset="0"/>
              <a:ea typeface="+mn-ea"/>
              <a:cs typeface="Arial" pitchFamily="34" charset="0"/>
            </a:rPr>
            <a:t>Cuando las TIC proporcionen comunicación bidireccional por voz y tengan capacidades de RTT, deben proporcionar en pantalla un indicador visual de la actividad de audio en tiempo real .</a:t>
          </a:r>
        </a:p>
        <a:p>
          <a:endParaRPr lang="es-ES" sz="1200" b="0" i="0" u="none" strike="noStrike" spc="-1" baseline="0">
            <a:latin typeface="Arial" panose="020B0604020202020204" pitchFamily="34" charset="0"/>
            <a:ea typeface="+mn-ea"/>
            <a:cs typeface="Arial" panose="020B0604020202020204" pitchFamily="34" charset="0"/>
          </a:endParaRPr>
        </a:p>
        <a:p>
          <a:r>
            <a:rPr lang="es-ES" sz="1200" b="0" i="0" u="none" strike="noStrike" baseline="0">
              <a:latin typeface="Arial" panose="020B0604020202020204" pitchFamily="34" charset="0"/>
              <a:ea typeface="+mn-ea"/>
              <a:cs typeface="Arial" panose="020B0604020202020204" pitchFamily="34" charset="0"/>
            </a:rPr>
            <a:t>NOTA 1: El indicador visual puede ser una simple posición de carácter en la pantalla que parpadea para reflejar la actividad de audio o cualquier otra presentación de la información que sea visible para los usuarios con visión y pueda ser transmitida a los usuarios sordociegos que estén usando una línea braille. </a:t>
          </a:r>
        </a:p>
        <a:p>
          <a:r>
            <a:rPr lang="es-ES" sz="1200" b="0" i="0" u="none" strike="noStrike" baseline="0">
              <a:latin typeface="Arial" panose="020B0604020202020204" pitchFamily="34" charset="0"/>
              <a:ea typeface="+mn-ea"/>
              <a:cs typeface="Arial" panose="020B0604020202020204" pitchFamily="34" charset="0"/>
            </a:rPr>
            <a:t>NOTA 2: Sin esta indicación, una persona sin capacidad auditiva no sabrá cuándo se esté hablando.</a:t>
          </a:r>
          <a:endParaRPr lang="es-ES" sz="1200" b="0" strike="noStrike" spc="-1">
            <a:latin typeface="Arial" panose="020B0604020202020204" pitchFamily="34" charset="0"/>
            <a:cs typeface="Arial" panose="020B0604020202020204" pitchFamily="34" charset="0"/>
          </a:endParaRPr>
        </a:p>
      </xdr:txBody>
    </xdr:sp>
    <xdr:clientData/>
  </xdr:twoCellAnchor>
  <xdr:twoCellAnchor editAs="absolute">
    <xdr:from>
      <xdr:col>4</xdr:col>
      <xdr:colOff>367319</xdr:colOff>
      <xdr:row>215</xdr:row>
      <xdr:rowOff>7407</xdr:rowOff>
    </xdr:from>
    <xdr:to>
      <xdr:col>11</xdr:col>
      <xdr:colOff>10728</xdr:colOff>
      <xdr:row>232</xdr:row>
      <xdr:rowOff>21167</xdr:rowOff>
    </xdr:to>
    <xdr:sp macro="" textlink="">
      <xdr:nvSpPr>
        <xdr:cNvPr id="17" name="TextShape 1" descr="6.2.2.3 Identificación del hablante (Condicional)  Condición: Cuando las páginas web tengan capacidades de RTT y faciliten la identificación del hablante por voz.  Cuando las TIC tengan capacidades de RTT y faciliten la identificación del hablante por voz, deben proporcionar la identificación del hablante por RTT.   NOTA: Esto es necesario para permitir a los participantes tanto por voz como por RTT saber quién se está comunicando en cada momento, sea por RTT o por voz. ">
          <a:extLst>
            <a:ext uri="{FF2B5EF4-FFF2-40B4-BE49-F238E27FC236}">
              <a16:creationId xmlns:a16="http://schemas.microsoft.com/office/drawing/2014/main" id="{00000000-0008-0000-0400-000011000000}"/>
            </a:ext>
          </a:extLst>
        </xdr:cNvPr>
        <xdr:cNvSpPr txBox="1"/>
      </xdr:nvSpPr>
      <xdr:spPr>
        <a:xfrm>
          <a:off x="6928986" y="34763074"/>
          <a:ext cx="5845242" cy="2532593"/>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6.2.2.3 Identificación del hablante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tengan capacidades de RTT y faciliten la identificación del hablante por voz.</a:t>
          </a: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r>
            <a:rPr lang="es-ES" sz="1500" b="0" i="0" baseline="0">
              <a:effectLst/>
              <a:latin typeface="Arial" pitchFamily="34" charset="0"/>
              <a:ea typeface="+mn-ea"/>
              <a:cs typeface="Arial" pitchFamily="34" charset="0"/>
            </a:rPr>
            <a:t>Cuando las TIC tengan capacidades de RTT y faciliten la identificación del hablante por voz, deben proporcionar la identificación del hablante por RTT. </a:t>
          </a:r>
        </a:p>
        <a:p>
          <a:endParaRPr lang="es-ES" sz="1500" b="0" i="0" baseline="0">
            <a:effectLst/>
            <a:latin typeface="Arial" pitchFamily="34" charset="0"/>
            <a:ea typeface="+mn-ea"/>
            <a:cs typeface="Arial" pitchFamily="34" charset="0"/>
          </a:endParaRPr>
        </a:p>
        <a:p>
          <a:r>
            <a:rPr lang="es-ES" sz="1200" b="0" i="0" u="none" strike="noStrike" baseline="0">
              <a:latin typeface="Arial" panose="020B0604020202020204" pitchFamily="34" charset="0"/>
              <a:ea typeface="+mn-ea"/>
              <a:cs typeface="Arial" panose="020B0604020202020204" pitchFamily="34" charset="0"/>
            </a:rPr>
            <a:t>NOTA: Esto es necesario para permitir a los participantes tanto por voz como por RTT saber quién se está comunicando en cada momento, sea por RTT o por voz. </a:t>
          </a:r>
          <a:endParaRPr lang="es-ES" sz="1200" b="0" strike="noStrike" spc="-1">
            <a:latin typeface="Arial" panose="020B0604020202020204" pitchFamily="34" charset="0"/>
            <a:cs typeface="Arial" panose="020B0604020202020204" pitchFamily="34" charset="0"/>
          </a:endParaRPr>
        </a:p>
      </xdr:txBody>
    </xdr:sp>
    <xdr:clientData/>
  </xdr:twoCellAnchor>
  <xdr:twoCellAnchor editAs="absolute">
    <xdr:from>
      <xdr:col>4</xdr:col>
      <xdr:colOff>349327</xdr:colOff>
      <xdr:row>175</xdr:row>
      <xdr:rowOff>115969</xdr:rowOff>
    </xdr:from>
    <xdr:to>
      <xdr:col>10</xdr:col>
      <xdr:colOff>964286</xdr:colOff>
      <xdr:row>195</xdr:row>
      <xdr:rowOff>135669</xdr:rowOff>
    </xdr:to>
    <xdr:sp macro="" textlink="">
      <xdr:nvSpPr>
        <xdr:cNvPr id="18" name="TextShape 1" descr="6.2.2.2 Dirección de envío y recepción determinable por software (Condicional)  Condición: Cuando las páginas web tengan capacidades de envío y recepción de RTT.  Cuando las TIC tengan capacidades de envío y recepción de RTT, la dirección de envío y recepción del texto transmitido debe poder determinarse por software, salvo que el RTT esté implementado como funcionalidad cerrada.    NOTA: De esta forma se permite a los lectores de pantalla distinguir entre el texto entrante y el texto saliente cuando se utilizan con la funcionalidad RTT. ">
          <a:extLst>
            <a:ext uri="{FF2B5EF4-FFF2-40B4-BE49-F238E27FC236}">
              <a16:creationId xmlns:a16="http://schemas.microsoft.com/office/drawing/2014/main" id="{00000000-0008-0000-0400-000012000000}"/>
            </a:ext>
          </a:extLst>
        </xdr:cNvPr>
        <xdr:cNvSpPr txBox="1"/>
      </xdr:nvSpPr>
      <xdr:spPr>
        <a:xfrm>
          <a:off x="7210626" y="28732203"/>
          <a:ext cx="6074309" cy="2988531"/>
        </a:xfrm>
        <a:prstGeom prst="rect">
          <a:avLst/>
        </a:prstGeom>
        <a:solidFill>
          <a:srgbClr val="DDDDDD"/>
        </a:solidFill>
        <a:ln>
          <a:noFill/>
        </a:ln>
      </xdr:spPr>
      <xdr:txBody>
        <a:bodyPr lIns="108000" tIns="108000" rIns="108000" bIns="108000">
          <a:sp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6.2.2.2 Dirección de envío y recepción determinable por software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tengan capacidades de envío y recepción de RTT.</a:t>
          </a: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r>
            <a:rPr lang="es-ES" sz="1500" b="0" i="0" baseline="0">
              <a:effectLst/>
              <a:latin typeface="Arial" pitchFamily="34" charset="0"/>
              <a:ea typeface="+mn-ea"/>
              <a:cs typeface="Arial" pitchFamily="34" charset="0"/>
            </a:rPr>
            <a:t>Cuando las TIC tengan capacidades de envío y recepción de RTT, la dirección de envío y recepción del texto transmitido debe poder determinarse por software, salvo que el RTT esté implementado como funcionalidad cerrada. </a:t>
          </a:r>
          <a:r>
            <a:rPr lang="en-US" sz="1500" b="0" i="0" baseline="0">
              <a:effectLst/>
              <a:latin typeface="Arial" pitchFamily="34" charset="0"/>
              <a:ea typeface="+mn-ea"/>
              <a:cs typeface="Arial" pitchFamily="34" charset="0"/>
            </a:rPr>
            <a:t> </a:t>
          </a:r>
        </a:p>
        <a:p>
          <a:endParaRPr lang="en-US" sz="1200" b="0" strike="noStrike" spc="-1">
            <a:solidFill>
              <a:srgbClr val="000000"/>
            </a:solidFill>
            <a:latin typeface="Arial" panose="020B0604020202020204" pitchFamily="34" charset="0"/>
            <a:ea typeface="Linux Libertine G"/>
            <a:cs typeface="Arial" panose="020B0604020202020204" pitchFamily="34" charset="0"/>
          </a:endParaRPr>
        </a:p>
        <a:p>
          <a:r>
            <a:rPr lang="es-ES" sz="1200" b="0" i="0" u="none" strike="noStrike" baseline="0">
              <a:latin typeface="Arial" panose="020B0604020202020204" pitchFamily="34" charset="0"/>
              <a:ea typeface="+mn-ea"/>
              <a:cs typeface="Arial" panose="020B0604020202020204" pitchFamily="34" charset="0"/>
            </a:rPr>
            <a:t>NOTA: De esta forma se permite a los lectores de pantalla distinguir entre el texto entrante y el texto saliente cuando se utilizan con la funcionalidad RTT.  </a:t>
          </a:r>
          <a:endParaRPr lang="es-ES" sz="1200" b="0" strike="noStrike" spc="-1">
            <a:latin typeface="Arial" panose="020B0604020202020204" pitchFamily="34" charset="0"/>
            <a:cs typeface="Arial" panose="020B0604020202020204" pitchFamily="34" charset="0"/>
          </a:endParaRPr>
        </a:p>
      </xdr:txBody>
    </xdr:sp>
    <xdr:clientData/>
  </xdr:twoCellAnchor>
  <xdr:twoCellAnchor editAs="absolute">
    <xdr:from>
      <xdr:col>4</xdr:col>
      <xdr:colOff>348840</xdr:colOff>
      <xdr:row>139</xdr:row>
      <xdr:rowOff>129670</xdr:rowOff>
    </xdr:from>
    <xdr:to>
      <xdr:col>12</xdr:col>
      <xdr:colOff>114300</xdr:colOff>
      <xdr:row>160</xdr:row>
      <xdr:rowOff>90714</xdr:rowOff>
    </xdr:to>
    <xdr:sp macro="" textlink="">
      <xdr:nvSpPr>
        <xdr:cNvPr id="19" name="TextShape 1" descr="6.2.2.1 Presentación en pantalla diferenciable visualmente (Condicional)  Condición: Cuando las páginas web tengan capacidades de envío y recepción de RTT.  Cuando las TIC tengan capacidades de envío y recepción de RTT, el texto enviado que se muestra debe encontrarse visualmente diferenciado y separado del texto recibido.   NOTA: La capacidad del usuario para elegir entre la visualización del texto de envío y recepción en la misma línea o de forma separada, así como la disponibilidad de opciones para su selección, permite a los usuarios visualizar el RTT de la forma más conveniente. Esto permitiría a los usuarios de braille utilizar un único campo con intervención por turnos, con lo que se consigue que el texto aparezca de la forma secuencial que puedan necesitar o preferir. ">
          <a:extLst>
            <a:ext uri="{FF2B5EF4-FFF2-40B4-BE49-F238E27FC236}">
              <a16:creationId xmlns:a16="http://schemas.microsoft.com/office/drawing/2014/main" id="{00000000-0008-0000-0400-000013000000}"/>
            </a:ext>
          </a:extLst>
        </xdr:cNvPr>
        <xdr:cNvSpPr txBox="1"/>
      </xdr:nvSpPr>
      <xdr:spPr>
        <a:xfrm>
          <a:off x="7210139" y="23146358"/>
          <a:ext cx="7113317" cy="3078317"/>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6.2.2.1 Presentación en pantalla diferenciable visualmente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tengan capacidades de envío y recepción de RTT.</a:t>
          </a: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pPr marL="0" indent="0"/>
          <a:r>
            <a:rPr lang="es-ES" sz="1500" b="0" i="0" baseline="0">
              <a:effectLst/>
              <a:latin typeface="Arial" pitchFamily="34" charset="0"/>
              <a:ea typeface="+mn-ea"/>
              <a:cs typeface="Arial" pitchFamily="34" charset="0"/>
            </a:rPr>
            <a:t>Cuando las TIC tengan capacidades de envío y recepción de RTT, el texto enviado que se muestra debe encontrarse visualmente diferenciado y separado del texto recibido. </a:t>
          </a:r>
        </a:p>
        <a:p>
          <a:pPr marL="0" indent="0"/>
          <a:endParaRPr lang="es-ES" sz="1500" b="0" i="0" baseline="0">
            <a:effectLst/>
            <a:latin typeface="Arial" pitchFamily="34" charset="0"/>
            <a:ea typeface="+mn-ea"/>
            <a:cs typeface="Arial" pitchFamily="34" charset="0"/>
          </a:endParaRPr>
        </a:p>
        <a:p>
          <a:pPr marL="0" indent="0"/>
          <a:r>
            <a:rPr lang="es-ES" sz="1200" b="0" i="0" u="none" strike="noStrike" baseline="0">
              <a:latin typeface="Arial" panose="020B0604020202020204" pitchFamily="34" charset="0"/>
              <a:ea typeface="+mn-ea"/>
              <a:cs typeface="Arial" panose="020B0604020202020204" pitchFamily="34" charset="0"/>
            </a:rPr>
            <a:t>NOTA: La capacidad del usuario para elegir entre la visualización del texto de envío y recepción en la misma línea o de forma separada, así como la disponibilidad de opciones para su selección, permite a los usuarios visualizar el RTT de la forma más conveniente. Esto permitiría a los usuarios de braille utilizar un único campo con intervención por turnos, con lo que se consigue que el texto aparezca de la forma secuencial que puedan necesitar o preferir. </a:t>
          </a:r>
          <a:endParaRPr lang="es-ES" sz="1200" b="0" strike="noStrike" spc="-1">
            <a:latin typeface="Arial" panose="020B0604020202020204" pitchFamily="34" charset="0"/>
            <a:cs typeface="Arial" panose="020B0604020202020204" pitchFamily="34" charset="0"/>
          </a:endParaRPr>
        </a:p>
      </xdr:txBody>
    </xdr:sp>
    <xdr:clientData/>
  </xdr:twoCellAnchor>
  <xdr:twoCellAnchor editAs="absolute">
    <xdr:from>
      <xdr:col>5</xdr:col>
      <xdr:colOff>8511</xdr:colOff>
      <xdr:row>100</xdr:row>
      <xdr:rowOff>127387</xdr:rowOff>
    </xdr:from>
    <xdr:to>
      <xdr:col>17</xdr:col>
      <xdr:colOff>243417</xdr:colOff>
      <xdr:row>130</xdr:row>
      <xdr:rowOff>95250</xdr:rowOff>
    </xdr:to>
    <xdr:sp macro="" textlink="">
      <xdr:nvSpPr>
        <xdr:cNvPr id="20" name="TextShape 1" descr="6.2.1.2 Voz y texto simultáneos (Condicional)  Condición: Cuando las páginas web proporcionen un medio de comunicación bidireccional por voz para permitir a los usuarios comunicarse mediante RTT.  Cuando las TIC proporcionen un medio de comunicación bidireccional por voz para permitir a los usuarios comunicarse mediante RTT, deben permitir la transmisión simultánea de voz y texto a través de una única conexión de usuario .   NOTA 1: En la comunicación multiparte, como, por ejemplo, un sistema de conferencia, se permite (pero no se requiere ni se recomienda necesariamente) que el RTT se maneje en un único campo de visualización donde puede ser necesaria la intervención por turnos para evitar la confusión (de la misma forma que se requiere la intervención por turnos para aquellos que realizan una presentación/conversan mediante voz). NOTA 2: En la comunicación multiparte, la práctica más idónea consiste en manejar el alzado de mano de los usuarios de voz y de RTT de idéntica forma para que los usuarios de voz y de RTT estén en la misma cola.  NOTA 3: En un sistema de conferencia multiparte que incluye un chat entre sus funciones – el RTT (igual que la voz) debería típicamente distinguirse de la función de chat para que el uso del RTT no interfiera con la función de chat (es decir, que las personas pueden enviar mensajes en el campo del chat mientras otra persona realiza su presentación/conversa mediante RTT – de la misma forma que las personas envían mensajes mediante la función de chat mientras otras conversan por voz). Los usuarios de RTT deberían utilizar RTT para realizar su presentación y la función de chat para enviar mensajes mientras otras personas realizan sus presentaciones (mediante voz o RTT).  NOTA 4: La disponibilidad de voz y RTT que se ejecutan de forma simultánea (e independientemente del chat) puede permitir también que el campo de RTT sea compatible con el subtitulado textual cuando alguien habla (y, por tanto, este campo no se está utilizando para el RTT, ya que no le toca intervenir al usuario de RTT).  NOTA 5: Cuando se necesiten tanto el software del lado del servidor como el hardware y el software locales para proporcionar la comunicación por voz, y en el caso de que ninguna de las partes sea compatible con la comunicación por voz sin la otra y se vendan como unidad para la función de comunicación por voz, los componentes tanto locales como del lado del servidor se consideran un único producto. ">
          <a:extLst>
            <a:ext uri="{FF2B5EF4-FFF2-40B4-BE49-F238E27FC236}">
              <a16:creationId xmlns:a16="http://schemas.microsoft.com/office/drawing/2014/main" id="{00000000-0008-0000-0400-000014000000}"/>
            </a:ext>
          </a:extLst>
        </xdr:cNvPr>
        <xdr:cNvSpPr txBox="1"/>
      </xdr:nvSpPr>
      <xdr:spPr>
        <a:xfrm>
          <a:off x="6940594" y="17050137"/>
          <a:ext cx="11569656" cy="4412863"/>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6.2.1.2 Voz y texto simultáneos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proporcionen un medio de comunicación bidireccional por voz para permitir a los usuarios comunicarse mediante RTT.</a:t>
          </a: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r>
            <a:rPr lang="es-ES" sz="1500" b="0" i="0" u="none" strike="noStrike" baseline="0">
              <a:latin typeface="Arial" pitchFamily="34" charset="0"/>
              <a:ea typeface="+mn-ea"/>
              <a:cs typeface="Arial" pitchFamily="34" charset="0"/>
            </a:rPr>
            <a:t>Cuando las TIC proporcionen un medio de comunicación bidireccional por voz para permitir a los usuarios comunicarse mediante RTT, deben permitir la transmisión simultánea de voz y texto a través de una única conexión de usuario </a:t>
          </a:r>
          <a:r>
            <a:rPr lang="es-ES" sz="1500" b="0" strike="noStrike" spc="-1">
              <a:latin typeface="Arial" pitchFamily="34" charset="0"/>
              <a:cs typeface="Arial" pitchFamily="34" charset="0"/>
            </a:rPr>
            <a:t>. </a:t>
          </a:r>
        </a:p>
        <a:p>
          <a:endParaRPr lang="es-ES" sz="1500" b="0" strike="noStrike" spc="-1">
            <a:latin typeface="Arial"/>
          </a:endParaRPr>
        </a:p>
        <a:p>
          <a:r>
            <a:rPr lang="es-ES" sz="1200" b="0" i="0" u="none" strike="noStrike" baseline="0">
              <a:latin typeface="Arial" panose="020B0604020202020204" pitchFamily="34" charset="0"/>
              <a:ea typeface="+mn-ea"/>
              <a:cs typeface="Arial" panose="020B0604020202020204" pitchFamily="34" charset="0"/>
            </a:rPr>
            <a:t>NOTA 1: En la comunicación multiparte, como, por ejemplo, un sistema de conferencia, se permite (pero no se requiere ni se recomienda necesariamente) que el RTT se maneje en un único campo de visualización donde puede ser necesaria la intervención por turnos para evitar la confusión (de la misma forma que se requiere la intervención por turnos para aquellos que realizan una presentación/conversan mediante voz).</a:t>
          </a:r>
        </a:p>
        <a:p>
          <a:r>
            <a:rPr lang="es-ES" sz="1200" b="0" i="0" u="none" strike="noStrike" baseline="0">
              <a:latin typeface="Arial" panose="020B0604020202020204" pitchFamily="34" charset="0"/>
              <a:ea typeface="+mn-ea"/>
              <a:cs typeface="Arial" panose="020B0604020202020204" pitchFamily="34" charset="0"/>
            </a:rPr>
            <a:t>NOTA 2: En la comunicación multiparte, la práctica más idónea consiste en manejar el alzado de mano de los usuarios de voz y de RTT de idéntica forma para que los usuarios de voz y de RTT estén en la misma cola. </a:t>
          </a:r>
        </a:p>
        <a:p>
          <a:r>
            <a:rPr lang="es-ES" sz="1200" b="0" i="0" u="none" strike="noStrike" baseline="0">
              <a:latin typeface="Arial" panose="020B0604020202020204" pitchFamily="34" charset="0"/>
              <a:ea typeface="+mn-ea"/>
              <a:cs typeface="Arial" panose="020B0604020202020204" pitchFamily="34" charset="0"/>
            </a:rPr>
            <a:t>NOTA 3: En un sistema de conferencia multiparte que incluye un chat entre sus funciones – el RTT (igual que la voz) debería típicamente distinguirse de la función de chat para que el uso del RTT no interfiera con la función de chat (es decir, que las personas pueden enviar mensajes en el campo del chat mientras otra persona realiza su presentación/conversa mediante RTT – de la misma forma que las personas envían mensajes mediante la función de chat mientras otras conversan por voz). Los usuarios de RTT deberían utilizar RTT para realizar su presentación y la función de chat para enviar mensajes mientras otras personas realizan sus presentaciones (mediante voz o RTT). </a:t>
          </a:r>
        </a:p>
        <a:p>
          <a:r>
            <a:rPr lang="es-ES" sz="1200" b="0" i="0" u="none" strike="noStrike" baseline="0">
              <a:latin typeface="Arial" panose="020B0604020202020204" pitchFamily="34" charset="0"/>
              <a:ea typeface="+mn-ea"/>
              <a:cs typeface="Arial" panose="020B0604020202020204" pitchFamily="34" charset="0"/>
            </a:rPr>
            <a:t>NOTA 4: La disponibilidad de voz y RTT que se ejecutan de forma simultánea (e independientemente del chat) puede permitir también que el campo de RTT sea compatible con el subtitulado textual cuando alguien habla (y, por tanto, este campo no se está utilizando para el RTT, ya que no le toca intervenir al usuario de RTT). </a:t>
          </a:r>
        </a:p>
        <a:p>
          <a:r>
            <a:rPr lang="es-ES" sz="1200" b="0" i="0" u="none" strike="noStrike" baseline="0">
              <a:latin typeface="Arial" panose="020B0604020202020204" pitchFamily="34" charset="0"/>
              <a:ea typeface="+mn-ea"/>
              <a:cs typeface="Arial" panose="020B0604020202020204" pitchFamily="34" charset="0"/>
            </a:rPr>
            <a:t>NOTA 5: Cuando se necesiten tanto el software del lado del servidor como el hardware y el software locales para proporcionar la comunicación por voz, y en el caso de que ninguna de las partes sea compatible con la comunicación por voz sin la otra y se vendan como unidad para la función de comunicación por voz, los componentes tanto locales como del lado del servidor se consideran un único producto. </a:t>
          </a:r>
        </a:p>
      </xdr:txBody>
    </xdr:sp>
    <xdr:clientData/>
  </xdr:twoCellAnchor>
  <xdr:twoCellAnchor editAs="absolute">
    <xdr:from>
      <xdr:col>4</xdr:col>
      <xdr:colOff>356735</xdr:colOff>
      <xdr:row>62</xdr:row>
      <xdr:rowOff>76126</xdr:rowOff>
    </xdr:from>
    <xdr:to>
      <xdr:col>11</xdr:col>
      <xdr:colOff>742950</xdr:colOff>
      <xdr:row>89</xdr:row>
      <xdr:rowOff>128439</xdr:rowOff>
    </xdr:to>
    <xdr:sp macro="" textlink="">
      <xdr:nvSpPr>
        <xdr:cNvPr id="21" name="TextShape 1" descr="6.2.1.1 Comuniación mediante RTT (Condicional)  Condición: Cuando las páginas web se encuentren en un modo que proporcione una comunicación bidireccional por voz.  Cuando las TIC se encuentren en un modo que proporcione una comunicación bidireccional por voz, deben proporcionar un modo de comunicación bidireccional mediante RTT, salvo que fuese necesario modificar el diseño para incorporar hardware de entrada o salida a las TIC.   NOTA 1: Este requisito abarca aquellos productos que no incorporan una pantalla física o capacidades de entrada de texto pero sí están preparados para conectarse a dispositivos que tienen dichas capacidades. Asimismo, abarca las TIC intermedias entre los terminales de la comunicación.  NOTA 2: No se establece ningún requisito relativo a añadir una pantalla física, un teclado físico o hardware compatible con la capacidad de conectarse a una pantalla o teclado, con o sin cable, en el caso de que, de forma habitual, dicho hardware no se suministrase . NOTA 3: A efectos de la interoperabilidad, se suele requerir el cumplimiento de la Recomendación ITU-T T.140 [i.36]. ">
          <a:extLst>
            <a:ext uri="{FF2B5EF4-FFF2-40B4-BE49-F238E27FC236}">
              <a16:creationId xmlns:a16="http://schemas.microsoft.com/office/drawing/2014/main" id="{00000000-0008-0000-0400-000015000000}"/>
            </a:ext>
          </a:extLst>
        </xdr:cNvPr>
        <xdr:cNvSpPr txBox="1"/>
      </xdr:nvSpPr>
      <xdr:spPr>
        <a:xfrm>
          <a:off x="7218034" y="11151516"/>
          <a:ext cx="6859916" cy="4060235"/>
        </a:xfrm>
        <a:prstGeom prst="rect">
          <a:avLst/>
        </a:prstGeom>
        <a:solidFill>
          <a:srgbClr val="DDDDDD"/>
        </a:solidFill>
        <a:ln>
          <a:noFill/>
        </a:ln>
      </xdr:spPr>
      <xdr:txBody>
        <a:bodyPr wrap="square" lIns="108000" tIns="108000" rIns="108000" bIns="108000">
          <a:sp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6.2.1.1 Comuniación mediante RTT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se encuentren en un modo que proporcione una comunicación bidireccional por voz.</a:t>
          </a:r>
        </a:p>
        <a:p>
          <a:pPr marL="0" marR="0" indent="0" defTabSz="914400" eaLnBrk="1" fontAlgn="auto" latinLnBrk="0" hangingPunct="1">
            <a:lnSpc>
              <a:spcPct val="100000"/>
            </a:lnSpc>
            <a:spcBef>
              <a:spcPts val="0"/>
            </a:spcBef>
            <a:spcAft>
              <a:spcPts val="0"/>
            </a:spcAft>
            <a:buClrTx/>
            <a:buSzTx/>
            <a:buFontTx/>
            <a:buNone/>
            <a:tabLst/>
            <a:defRPr/>
          </a:pPr>
          <a:endParaRPr lang="es-ES" sz="1600">
            <a:effectLst/>
          </a:endParaRPr>
        </a:p>
        <a:p>
          <a:pPr marL="0" marR="0" indent="0" defTabSz="914400" eaLnBrk="1" fontAlgn="auto" latinLnBrk="0" hangingPunct="1">
            <a:lnSpc>
              <a:spcPct val="100000"/>
            </a:lnSpc>
            <a:spcBef>
              <a:spcPts val="0"/>
            </a:spcBef>
            <a:spcAft>
              <a:spcPts val="0"/>
            </a:spcAft>
            <a:buClrTx/>
            <a:buSzTx/>
            <a:buFontTx/>
            <a:buNone/>
            <a:tabLst/>
            <a:defRPr/>
          </a:pPr>
          <a:r>
            <a:rPr lang="es-ES" sz="1500" b="0" i="0" baseline="0">
              <a:effectLst/>
              <a:latin typeface="Arial" pitchFamily="34" charset="0"/>
              <a:ea typeface="+mn-ea"/>
              <a:cs typeface="Arial" pitchFamily="34" charset="0"/>
            </a:rPr>
            <a:t>Cuando las TIC se encuentren en un modo que proporcione una comunicación bidireccional por voz, deben proporcionar un modo de comunicación bidireccional mediante RTT, salvo que fuese necesario modificar el diseño para incorporar hardware de entrada o salida a las TIC</a:t>
          </a:r>
          <a:r>
            <a:rPr lang="en-US" sz="1500" b="0" i="0" baseline="0">
              <a:effectLst/>
              <a:latin typeface="Arial" pitchFamily="34" charset="0"/>
              <a:ea typeface="+mn-ea"/>
              <a:cs typeface="Arial" pitchFamily="34" charset="0"/>
            </a:rPr>
            <a:t>. </a:t>
          </a:r>
          <a:endParaRPr lang="es-ES" sz="1500" b="0" i="0" baseline="0">
            <a:effectLst/>
            <a:latin typeface="Arial" pitchFamily="34" charset="0"/>
            <a:ea typeface="+mn-ea"/>
            <a:cs typeface="Arial" pitchFamily="34" charset="0"/>
          </a:endParaRPr>
        </a:p>
        <a:p>
          <a:endParaRPr lang="en-US" sz="1500" b="0" strike="noStrike" spc="-1">
            <a:solidFill>
              <a:srgbClr val="000000"/>
            </a:solidFill>
            <a:latin typeface="Arial"/>
            <a:ea typeface="Linux Libertine G"/>
          </a:endParaRPr>
        </a:p>
        <a:p>
          <a:r>
            <a:rPr lang="es-ES" sz="1200" b="0" i="0" u="none" strike="noStrike" baseline="0">
              <a:latin typeface="Arial" panose="020B0604020202020204" pitchFamily="34" charset="0"/>
              <a:ea typeface="+mn-ea"/>
              <a:cs typeface="Arial" panose="020B0604020202020204" pitchFamily="34" charset="0"/>
            </a:rPr>
            <a:t>NOTA 1: Este requisito abarca aquellos productos que no incorporan una pantalla física o capacidades de entrada de texto pero sí están preparados para conectarse a dispositivos que tienen dichas capacidades. Asimismo, abarca las TIC intermedias entre los terminales de la comunicación. </a:t>
          </a:r>
        </a:p>
        <a:p>
          <a:r>
            <a:rPr lang="es-ES" sz="1200" b="0" i="0" u="none" strike="noStrike" baseline="0">
              <a:latin typeface="Arial" panose="020B0604020202020204" pitchFamily="34" charset="0"/>
              <a:ea typeface="+mn-ea"/>
              <a:cs typeface="Arial" panose="020B0604020202020204" pitchFamily="34" charset="0"/>
            </a:rPr>
            <a:t>NOTA 2: No se establece ningún requisito relativo a añadir una pantalla física, un teclado físico o </a:t>
          </a:r>
          <a:r>
            <a:rPr lang="es-ES" sz="1200" b="0" i="1" u="none" strike="noStrike" baseline="0">
              <a:latin typeface="Arial" panose="020B0604020202020204" pitchFamily="34" charset="0"/>
              <a:ea typeface="+mn-ea"/>
              <a:cs typeface="Arial" panose="020B0604020202020204" pitchFamily="34" charset="0"/>
            </a:rPr>
            <a:t>hardware </a:t>
          </a:r>
          <a:r>
            <a:rPr lang="es-ES" sz="1200" b="0" i="0" u="none" strike="noStrike" baseline="0">
              <a:latin typeface="Arial" panose="020B0604020202020204" pitchFamily="34" charset="0"/>
              <a:ea typeface="+mn-ea"/>
              <a:cs typeface="Arial" panose="020B0604020202020204" pitchFamily="34" charset="0"/>
            </a:rPr>
            <a:t>compatible con la capacidad de conectarse a una pantalla o teclado, con o sin cable, en el caso de que, de forma habitual, dicho </a:t>
          </a:r>
          <a:r>
            <a:rPr lang="es-ES" sz="1200" b="0" i="1" u="none" strike="noStrike" baseline="0">
              <a:latin typeface="Arial" panose="020B0604020202020204" pitchFamily="34" charset="0"/>
              <a:ea typeface="+mn-ea"/>
              <a:cs typeface="Arial" panose="020B0604020202020204" pitchFamily="34" charset="0"/>
            </a:rPr>
            <a:t>hardware </a:t>
          </a:r>
          <a:r>
            <a:rPr lang="es-ES" sz="1200" b="0" i="0" u="none" strike="noStrike" baseline="0">
              <a:latin typeface="Arial" panose="020B0604020202020204" pitchFamily="34" charset="0"/>
              <a:ea typeface="+mn-ea"/>
              <a:cs typeface="Arial" panose="020B0604020202020204" pitchFamily="34" charset="0"/>
            </a:rPr>
            <a:t>no se suministrase .</a:t>
          </a:r>
        </a:p>
        <a:p>
          <a:r>
            <a:rPr lang="es-ES" sz="1200" b="0" i="0" u="none" strike="noStrike" baseline="0">
              <a:latin typeface="Arial" panose="020B0604020202020204" pitchFamily="34" charset="0"/>
              <a:ea typeface="+mn-ea"/>
              <a:cs typeface="Arial" panose="020B0604020202020204" pitchFamily="34" charset="0"/>
            </a:rPr>
            <a:t>NOTA 3: A efectos de la interoperabilidad, se suele requerir el cumplimiento de la Recomendación ITU-T T.140 [i.36]. </a:t>
          </a:r>
          <a:endParaRPr lang="en-US" sz="1200" b="0" strike="noStrike" spc="-1">
            <a:solidFill>
              <a:srgbClr val="000000"/>
            </a:solidFill>
            <a:latin typeface="Arial" panose="020B0604020202020204" pitchFamily="34" charset="0"/>
            <a:ea typeface="Linux Libertine G"/>
            <a:cs typeface="Arial" panose="020B0604020202020204" pitchFamily="34" charset="0"/>
          </a:endParaRPr>
        </a:p>
      </xdr:txBody>
    </xdr:sp>
    <xdr:clientData/>
  </xdr:twoCellAnchor>
  <xdr:twoCellAnchor editAs="absolute">
    <xdr:from>
      <xdr:col>4</xdr:col>
      <xdr:colOff>359424</xdr:colOff>
      <xdr:row>26</xdr:row>
      <xdr:rowOff>38883</xdr:rowOff>
    </xdr:from>
    <xdr:to>
      <xdr:col>10</xdr:col>
      <xdr:colOff>965591</xdr:colOff>
      <xdr:row>49</xdr:row>
      <xdr:rowOff>127000</xdr:rowOff>
    </xdr:to>
    <xdr:sp macro="" textlink="">
      <xdr:nvSpPr>
        <xdr:cNvPr id="22" name="TextShape 1" descr="6.1 Anchura de banda para voz (Condicional)  Condición: Cuando las páginas web proporcionen comunicación bidireccional por voz.  Cuando las TIC proporcionen comunicación bidireccional por voz, dichas TIC deben poder codificar y descodificar la comunicación bidireccional por voz con una gama de frecuencias cuyo límite superior sea como mínimo 7 000 Hz a fin de proporcionar una buena calidad de audio.   NOTA 1: A efectos de la interoperabilidad es frecuente recurrir a la Recomendación ITU-T G.722 [i.21].  NOTA 2: En el caso de que se implemente la negociación de códecs, a veces se utilizan otros códecs normalizados tales como la Recomendación ITU-T G.722.2 [i.22] para evitar la transcodificación. ">
          <a:extLst>
            <a:ext uri="{FF2B5EF4-FFF2-40B4-BE49-F238E27FC236}">
              <a16:creationId xmlns:a16="http://schemas.microsoft.com/office/drawing/2014/main" id="{00000000-0008-0000-0400-000016000000}"/>
            </a:ext>
          </a:extLst>
        </xdr:cNvPr>
        <xdr:cNvSpPr txBox="1"/>
      </xdr:nvSpPr>
      <xdr:spPr>
        <a:xfrm>
          <a:off x="6921091" y="5468133"/>
          <a:ext cx="5834333" cy="3495950"/>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strike="noStrike" spc="-1">
              <a:solidFill>
                <a:srgbClr val="000000"/>
              </a:solidFill>
              <a:latin typeface="Arial" pitchFamily="34" charset="0"/>
              <a:ea typeface="Linux Libertine G"/>
              <a:cs typeface="Arial" pitchFamily="34" charset="0"/>
            </a:rPr>
            <a:t>6.1 Anchura de banda para voz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strike="noStrike" spc="-1">
            <a:solidFill>
              <a:srgbClr val="000000"/>
            </a:solidFill>
            <a:latin typeface="Arial" pitchFamily="34" charset="0"/>
            <a:ea typeface="Linux Libertine G"/>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strike="noStrike" spc="-1">
              <a:solidFill>
                <a:srgbClr val="000000"/>
              </a:solidFill>
              <a:latin typeface="Arial" pitchFamily="34" charset="0"/>
              <a:ea typeface="Linux Libertine G"/>
              <a:cs typeface="Arial" pitchFamily="34" charset="0"/>
            </a:rPr>
            <a:t>Condición:</a:t>
          </a:r>
          <a:r>
            <a:rPr lang="en-US" sz="1500" b="0" strike="noStrike" spc="-1">
              <a:solidFill>
                <a:srgbClr val="000000"/>
              </a:solidFill>
              <a:latin typeface="Arial" pitchFamily="34" charset="0"/>
              <a:ea typeface="Linux Libertine G"/>
              <a:cs typeface="Arial" pitchFamily="34" charset="0"/>
            </a:rPr>
            <a:t> </a:t>
          </a:r>
          <a:r>
            <a:rPr lang="es-ES" sz="1500" b="0" i="0" u="none" strike="noStrike" baseline="0">
              <a:latin typeface="Arial" pitchFamily="34" charset="0"/>
              <a:ea typeface="+mn-ea"/>
              <a:cs typeface="Arial" pitchFamily="34" charset="0"/>
            </a:rPr>
            <a:t>Cuando las páginas web proporcionen comunicación bidireccional por voz.</a:t>
          </a:r>
        </a:p>
        <a:p>
          <a:pPr marL="0" marR="0" indent="0" defTabSz="914400" eaLnBrk="1" fontAlgn="auto" latinLnBrk="0" hangingPunct="1">
            <a:lnSpc>
              <a:spcPct val="100000"/>
            </a:lnSpc>
            <a:spcBef>
              <a:spcPts val="0"/>
            </a:spcBef>
            <a:spcAft>
              <a:spcPts val="0"/>
            </a:spcAft>
            <a:buClrTx/>
            <a:buSzTx/>
            <a:buFontTx/>
            <a:buNone/>
            <a:tabLst/>
            <a:defRPr/>
          </a:pPr>
          <a:endParaRPr lang="es-ES" sz="1500" b="0" i="0" u="none" strike="noStrike" spc="-1" baseline="0">
            <a:solidFill>
              <a:srgbClr val="000000"/>
            </a:solidFill>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strike="noStrike" spc="-1">
              <a:solidFill>
                <a:srgbClr val="000000"/>
              </a:solidFill>
              <a:latin typeface="Arial" pitchFamily="34" charset="0"/>
              <a:ea typeface="Linux Libertine G"/>
              <a:cs typeface="Arial" pitchFamily="34" charset="0"/>
            </a:rPr>
            <a:t>Cuando </a:t>
          </a:r>
          <a:r>
            <a:rPr lang="en-US" sz="1500" b="0" strike="noStrike" spc="-1">
              <a:solidFill>
                <a:srgbClr val="000000"/>
              </a:solidFill>
              <a:latin typeface="Arial"/>
              <a:ea typeface="Linux Libertine G"/>
            </a:rPr>
            <a:t>las TIC proporcionen comunicación bidireccional por voz, dichas TIC deben poder codificar y descodificar la comunicación bidireccional por voz con una gama de frecuencias cuyo límite superior sea como mínimo 7 000 Hz a fin de proporcionar una buena calidad de audio. </a:t>
          </a:r>
        </a:p>
        <a:p>
          <a:pPr marL="0" marR="0" indent="0" defTabSz="914400" eaLnBrk="1" fontAlgn="auto" latinLnBrk="0" hangingPunct="1">
            <a:lnSpc>
              <a:spcPct val="100000"/>
            </a:lnSpc>
            <a:spcBef>
              <a:spcPts val="0"/>
            </a:spcBef>
            <a:spcAft>
              <a:spcPts val="0"/>
            </a:spcAft>
            <a:buClrTx/>
            <a:buSzTx/>
            <a:buFontTx/>
            <a:buNone/>
            <a:tabLst/>
            <a:defRPr/>
          </a:pPr>
          <a:endParaRPr lang="en-US" sz="1200" b="0" strike="noStrike" spc="-1">
            <a:solidFill>
              <a:srgbClr val="000000"/>
            </a:solidFill>
            <a:latin typeface="Arial" panose="020B0604020202020204" pitchFamily="34" charset="0"/>
            <a:ea typeface="Linux Libertine G"/>
            <a:cs typeface="Arial" panose="020B0604020202020204" pitchFamily="34" charset="0"/>
          </a:endParaRPr>
        </a:p>
        <a:p>
          <a:r>
            <a:rPr lang="es-ES" sz="1200" b="0" i="0" u="none" strike="noStrike" baseline="0">
              <a:latin typeface="Arial" panose="020B0604020202020204" pitchFamily="34" charset="0"/>
              <a:ea typeface="+mn-ea"/>
              <a:cs typeface="Arial" panose="020B0604020202020204" pitchFamily="34" charset="0"/>
            </a:rPr>
            <a:t>NOTA 1: A efectos de la interoperabilidad es frecuente recurrir a la Recomendación ITU-T G.722 [i.21]. </a:t>
          </a:r>
        </a:p>
        <a:p>
          <a:r>
            <a:rPr lang="es-ES" sz="1200" b="0" i="0" u="none" strike="noStrike" baseline="0">
              <a:latin typeface="Arial" panose="020B0604020202020204" pitchFamily="34" charset="0"/>
              <a:ea typeface="+mn-ea"/>
              <a:cs typeface="Arial" panose="020B0604020202020204" pitchFamily="34" charset="0"/>
            </a:rPr>
            <a:t>NOTA 2: En el caso de que se implemente la negociación de códecs, a veces se utilizan otros códecs normalizados tales como la Recomendación ITU-T G.722.2 [i.22] para evitar la transcodificación. </a:t>
          </a:r>
          <a:endParaRPr lang="es-ES" sz="1200" b="0" strike="noStrike" spc="-1">
            <a:latin typeface="Arial" panose="020B0604020202020204" pitchFamily="34" charset="0"/>
            <a:cs typeface="Arial" panose="020B0604020202020204" pitchFamily="34" charset="0"/>
          </a:endParaRPr>
        </a:p>
      </xdr:txBody>
    </xdr:sp>
    <xdr:clientData/>
  </xdr:twoCellAnchor>
  <xdr:twoCellAnchor editAs="absolute">
    <xdr:from>
      <xdr:col>7</xdr:col>
      <xdr:colOff>529503</xdr:colOff>
      <xdr:row>57</xdr:row>
      <xdr:rowOff>143337</xdr:rowOff>
    </xdr:from>
    <xdr:to>
      <xdr:col>8</xdr:col>
      <xdr:colOff>315234</xdr:colOff>
      <xdr:row>62</xdr:row>
      <xdr:rowOff>74217</xdr:rowOff>
    </xdr:to>
    <xdr:pic>
      <xdr:nvPicPr>
        <xdr:cNvPr id="23" name="Image 1">
          <a:extLst>
            <a:ext uri="{FF2B5EF4-FFF2-40B4-BE49-F238E27FC236}">
              <a16:creationId xmlns:a16="http://schemas.microsoft.com/office/drawing/2014/main" id="{00000000-0008-0000-0400-000017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46503" y="10430337"/>
          <a:ext cx="621814" cy="671713"/>
        </a:xfrm>
        <a:prstGeom prst="rect">
          <a:avLst/>
        </a:prstGeom>
        <a:ln>
          <a:noFill/>
        </a:ln>
      </xdr:spPr>
    </xdr:pic>
    <xdr:clientData/>
  </xdr:twoCellAnchor>
  <xdr:twoCellAnchor editAs="absolute">
    <xdr:from>
      <xdr:col>7</xdr:col>
      <xdr:colOff>546456</xdr:colOff>
      <xdr:row>95</xdr:row>
      <xdr:rowOff>146395</xdr:rowOff>
    </xdr:from>
    <xdr:to>
      <xdr:col>8</xdr:col>
      <xdr:colOff>277896</xdr:colOff>
      <xdr:row>100</xdr:row>
      <xdr:rowOff>77635</xdr:rowOff>
    </xdr:to>
    <xdr:pic>
      <xdr:nvPicPr>
        <xdr:cNvPr id="24" name="Image 1">
          <a:extLst>
            <a:ext uri="{FF2B5EF4-FFF2-40B4-BE49-F238E27FC236}">
              <a16:creationId xmlns:a16="http://schemas.microsoft.com/office/drawing/2014/main" id="{00000000-0008-0000-0400-000018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63456" y="16329370"/>
          <a:ext cx="567523" cy="672073"/>
        </a:xfrm>
        <a:prstGeom prst="rect">
          <a:avLst/>
        </a:prstGeom>
        <a:ln>
          <a:noFill/>
        </a:ln>
      </xdr:spPr>
    </xdr:pic>
    <xdr:clientData/>
  </xdr:twoCellAnchor>
  <xdr:twoCellAnchor editAs="absolute">
    <xdr:from>
      <xdr:col>7</xdr:col>
      <xdr:colOff>568931</xdr:colOff>
      <xdr:row>135</xdr:row>
      <xdr:rowOff>30621</xdr:rowOff>
    </xdr:from>
    <xdr:to>
      <xdr:col>8</xdr:col>
      <xdr:colOff>328946</xdr:colOff>
      <xdr:row>139</xdr:row>
      <xdr:rowOff>118375</xdr:rowOff>
    </xdr:to>
    <xdr:pic>
      <xdr:nvPicPr>
        <xdr:cNvPr id="25" name="Image 1">
          <a:extLst>
            <a:ext uri="{FF2B5EF4-FFF2-40B4-BE49-F238E27FC236}">
              <a16:creationId xmlns:a16="http://schemas.microsoft.com/office/drawing/2014/main" id="{00000000-0008-0000-0400-000019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85931" y="22436596"/>
          <a:ext cx="596098" cy="676187"/>
        </a:xfrm>
        <a:prstGeom prst="rect">
          <a:avLst/>
        </a:prstGeom>
        <a:ln>
          <a:noFill/>
        </a:ln>
      </xdr:spPr>
    </xdr:pic>
    <xdr:clientData/>
  </xdr:twoCellAnchor>
  <xdr:twoCellAnchor editAs="absolute">
    <xdr:from>
      <xdr:col>7</xdr:col>
      <xdr:colOff>544494</xdr:colOff>
      <xdr:row>171</xdr:row>
      <xdr:rowOff>90723</xdr:rowOff>
    </xdr:from>
    <xdr:to>
      <xdr:col>8</xdr:col>
      <xdr:colOff>330225</xdr:colOff>
      <xdr:row>176</xdr:row>
      <xdr:rowOff>21604</xdr:rowOff>
    </xdr:to>
    <xdr:pic>
      <xdr:nvPicPr>
        <xdr:cNvPr id="26" name="Image 1">
          <a:extLst>
            <a:ext uri="{FF2B5EF4-FFF2-40B4-BE49-F238E27FC236}">
              <a16:creationId xmlns:a16="http://schemas.microsoft.com/office/drawing/2014/main" id="{00000000-0008-0000-0400-00001A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45619" y="28703823"/>
          <a:ext cx="623931" cy="692881"/>
        </a:xfrm>
        <a:prstGeom prst="rect">
          <a:avLst/>
        </a:prstGeom>
        <a:ln>
          <a:noFill/>
        </a:ln>
      </xdr:spPr>
    </xdr:pic>
    <xdr:clientData/>
  </xdr:twoCellAnchor>
  <xdr:twoCellAnchor editAs="absolute">
    <xdr:from>
      <xdr:col>7</xdr:col>
      <xdr:colOff>544802</xdr:colOff>
      <xdr:row>210</xdr:row>
      <xdr:rowOff>40541</xdr:rowOff>
    </xdr:from>
    <xdr:to>
      <xdr:col>8</xdr:col>
      <xdr:colOff>330533</xdr:colOff>
      <xdr:row>214</xdr:row>
      <xdr:rowOff>124180</xdr:rowOff>
    </xdr:to>
    <xdr:pic>
      <xdr:nvPicPr>
        <xdr:cNvPr id="27" name="Image 1">
          <a:extLst>
            <a:ext uri="{FF2B5EF4-FFF2-40B4-BE49-F238E27FC236}">
              <a16:creationId xmlns:a16="http://schemas.microsoft.com/office/drawing/2014/main" id="{00000000-0008-0000-0400-00001B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61802" y="34055374"/>
          <a:ext cx="621814" cy="676306"/>
        </a:xfrm>
        <a:prstGeom prst="rect">
          <a:avLst/>
        </a:prstGeom>
        <a:ln>
          <a:noFill/>
        </a:ln>
      </xdr:spPr>
    </xdr:pic>
    <xdr:clientData/>
  </xdr:twoCellAnchor>
  <xdr:twoCellAnchor editAs="absolute">
    <xdr:from>
      <xdr:col>7</xdr:col>
      <xdr:colOff>575689</xdr:colOff>
      <xdr:row>248</xdr:row>
      <xdr:rowOff>68175</xdr:rowOff>
    </xdr:from>
    <xdr:to>
      <xdr:col>8</xdr:col>
      <xdr:colOff>307129</xdr:colOff>
      <xdr:row>253</xdr:row>
      <xdr:rowOff>7763</xdr:rowOff>
    </xdr:to>
    <xdr:pic>
      <xdr:nvPicPr>
        <xdr:cNvPr id="28" name="Image 1">
          <a:extLst>
            <a:ext uri="{FF2B5EF4-FFF2-40B4-BE49-F238E27FC236}">
              <a16:creationId xmlns:a16="http://schemas.microsoft.com/office/drawing/2014/main" id="{00000000-0008-0000-0400-00001C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92689" y="39977925"/>
          <a:ext cx="567523" cy="680421"/>
        </a:xfrm>
        <a:prstGeom prst="rect">
          <a:avLst/>
        </a:prstGeom>
        <a:ln>
          <a:noFill/>
        </a:ln>
      </xdr:spPr>
    </xdr:pic>
    <xdr:clientData/>
  </xdr:twoCellAnchor>
  <xdr:twoCellAnchor editAs="absolute">
    <xdr:from>
      <xdr:col>7</xdr:col>
      <xdr:colOff>570218</xdr:colOff>
      <xdr:row>286</xdr:row>
      <xdr:rowOff>35052</xdr:rowOff>
    </xdr:from>
    <xdr:to>
      <xdr:col>8</xdr:col>
      <xdr:colOff>355949</xdr:colOff>
      <xdr:row>290</xdr:row>
      <xdr:rowOff>118334</xdr:rowOff>
    </xdr:to>
    <xdr:pic>
      <xdr:nvPicPr>
        <xdr:cNvPr id="29" name="Image 1">
          <a:extLst>
            <a:ext uri="{FF2B5EF4-FFF2-40B4-BE49-F238E27FC236}">
              <a16:creationId xmlns:a16="http://schemas.microsoft.com/office/drawing/2014/main" id="{00000000-0008-0000-0400-00001D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87218" y="45839719"/>
          <a:ext cx="621814" cy="675948"/>
        </a:xfrm>
        <a:prstGeom prst="rect">
          <a:avLst/>
        </a:prstGeom>
        <a:ln>
          <a:noFill/>
        </a:ln>
      </xdr:spPr>
    </xdr:pic>
    <xdr:clientData/>
  </xdr:twoCellAnchor>
  <xdr:twoCellAnchor editAs="absolute">
    <xdr:from>
      <xdr:col>4</xdr:col>
      <xdr:colOff>348005</xdr:colOff>
      <xdr:row>328</xdr:row>
      <xdr:rowOff>59204</xdr:rowOff>
    </xdr:from>
    <xdr:to>
      <xdr:col>14</xdr:col>
      <xdr:colOff>783442</xdr:colOff>
      <xdr:row>359</xdr:row>
      <xdr:rowOff>201085</xdr:rowOff>
    </xdr:to>
    <xdr:sp macro="" textlink="">
      <xdr:nvSpPr>
        <xdr:cNvPr id="30" name="TextShape 1" descr="6.2.3 Interoperabilidad - Apartado b) (Condicional)  Condición: Cuando las páginas web con funcionalidad RTT interoperen con otras TIC con funcionalidad RTT (como se especifica en el apartado 6.2.1.1). Cuando las TIC con funcionalidad RTT interoperen con otras TIC con funcionalidad RTT (como se especifica en el apartado 6.2.1.1), deben ser compatibles con los mecanismos de interoperabilidad RTT descritos a continuación:   b) TIC que interoperen con otra TIC mediante VoIP con protocolo de iniciación de sesión (SIP) y que usen RTT conforme a la Petición de Comentarios IETF RFC 4103 [i.13]. Para TIC que interoperen con otras TIC mediante el subsistema multimedia IP (IMS) que implementa VoIP, el conjunto de protocolos recogidos en las Especificaciones Técnicas ETSI TS 126 114 [i.10], ETSI TS 122 173 [i.11] y ETSI TS 134 229 [i.12] describe cómo se aplicaría la Petición de Comentarios IETF RFC 4103 [i.13].   NOTA 1: En la práctica, se introducen nuevas normas, como un códec/protocolo alternativo que es compatible con la norma existente común y se utiliza cuando todos los componentes punto a punto son compatibles con ella, mientras otras se tornan obsoletas debido al desarrollo tecnológico, junto con otros factores como el desarrollo de la sociedad y la rentabilidad.  NOTA 2: En el caso de que se utilicen múltiples tecnologías para proporcionar la comunicación por voz, pueden ser necesarios múltiples mecanismos de interoperabilidad para garantizar que todos los usuarios puedan utilizar RTT.  EJEMPLO: Un sistema de conferencia que es compatible con la comunicación por voz a través de una conexión de internet podría proporcionar RTT a través de una conexión de internet mediante un método de RTT propietario (opción C). Sin embargo, independientemente de que sea o no propietario el método de RTT, si el sistema de conferencia también ofrece una comunicación por telefonía, tendrá asimismo que ser compatible con las opciones a o b para asegurar que el RTT sea compatible con una conexión por telefonía.">
          <a:extLst>
            <a:ext uri="{FF2B5EF4-FFF2-40B4-BE49-F238E27FC236}">
              <a16:creationId xmlns:a16="http://schemas.microsoft.com/office/drawing/2014/main" id="{C217402B-A315-4E12-A79F-9D393C5D4E20}"/>
            </a:ext>
          </a:extLst>
        </xdr:cNvPr>
        <xdr:cNvSpPr txBox="1"/>
      </xdr:nvSpPr>
      <xdr:spPr>
        <a:xfrm>
          <a:off x="7209304" y="52409594"/>
          <a:ext cx="9952190" cy="4743569"/>
        </a:xfrm>
        <a:prstGeom prst="rect">
          <a:avLst/>
        </a:prstGeom>
        <a:solidFill>
          <a:srgbClr val="DDDDDD"/>
        </a:solidFill>
        <a:ln>
          <a:noFill/>
        </a:ln>
      </xdr:spPr>
      <xdr:txBody>
        <a:bodyPr wrap="square"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6.2.3 Interoperabilidad - Apartado b)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con funcionalidad RTT interoperen con otras TIC con funcionalidad RTT (como se especifica en el apartado 6.2.1.1).</a:t>
          </a:r>
        </a:p>
        <a:p>
          <a:pPr marL="0" marR="0" indent="0" defTabSz="914400" eaLnBrk="1" fontAlgn="auto" latinLnBrk="0" hangingPunct="1">
            <a:lnSpc>
              <a:spcPct val="100000"/>
            </a:lnSpc>
            <a:spcBef>
              <a:spcPts val="0"/>
            </a:spcBef>
            <a:spcAft>
              <a:spcPts val="0"/>
            </a:spcAft>
            <a:buClrTx/>
            <a:buSzTx/>
            <a:buFontTx/>
            <a:buNone/>
            <a:tabLst/>
            <a:defRPr/>
          </a:pPr>
          <a:endParaRPr lang="es-ES" sz="1500" b="0" i="0" baseline="0">
            <a:effectLst/>
            <a:latin typeface="Arial" pitchFamily="34" charset="0"/>
            <a:ea typeface="+mn-ea"/>
            <a:cs typeface="Arial" pitchFamily="34" charset="0"/>
          </a:endParaRPr>
        </a:p>
        <a:p>
          <a:r>
            <a:rPr lang="es-ES" sz="1500" b="0" i="0" baseline="0">
              <a:effectLst/>
              <a:latin typeface="Arial" pitchFamily="34" charset="0"/>
              <a:ea typeface="+mn-ea"/>
              <a:cs typeface="Arial" pitchFamily="34" charset="0"/>
            </a:rPr>
            <a:t>Cuando las TIC con funcionalidad RTT interoperen con otras TIC con funcionalidad RTT (como se especifica en el apartado 6.2.1.1), deben ser compatibles con los mecanismos de interoperabilidad RTT descritos a continuación: </a:t>
          </a:r>
        </a:p>
        <a:p>
          <a:endParaRPr lang="es-ES" sz="1500" b="0" i="0" u="none" strike="noStrike" baseline="0">
            <a:latin typeface="Arial" pitchFamily="34" charset="0"/>
            <a:ea typeface="+mn-ea"/>
            <a:cs typeface="Arial" pitchFamily="34" charset="0"/>
          </a:endParaRPr>
        </a:p>
        <a:p>
          <a:r>
            <a:rPr lang="es-ES" sz="1500" b="0" i="0" u="none" strike="noStrike" baseline="0">
              <a:latin typeface="Arial" pitchFamily="34" charset="0"/>
              <a:ea typeface="+mn-ea"/>
              <a:cs typeface="Arial" pitchFamily="34" charset="0"/>
            </a:rPr>
            <a:t>b) TIC que interoperen con otra TIC mediante VoIP con protocolo de iniciación de sesión (SIP) y que usen RTT conforme a la Petición de Comentarios IETF RFC 4103 [i.13]. Para TIC que interoperen con otras TIC mediante el subsistema multimedia IP (IMS) que implementa VoIP, el conjunto de protocolos recogidos en las Especificaciones Técnicas ETSI TS 126 114 [i.10], ETSI TS 122 173 [i.11] y ETSI TS 134 229 [i.12] describe cómo se aplicaría la Petición de Comentarios IETF RFC 4103 [i.13]. </a:t>
          </a:r>
          <a:endParaRPr lang="es-ES" sz="1500" b="0" i="0" baseline="0">
            <a:effectLst/>
            <a:latin typeface="Arial" pitchFamily="34" charset="0"/>
            <a:ea typeface="+mn-ea"/>
            <a:cs typeface="Arial" pitchFamily="34" charset="0"/>
          </a:endParaRPr>
        </a:p>
        <a:p>
          <a:endParaRPr lang="es-ES" sz="1200" b="0" i="0" baseline="0">
            <a:effectLst/>
            <a:latin typeface="Arial" pitchFamily="34" charset="0"/>
            <a:ea typeface="+mn-ea"/>
            <a:cs typeface="Arial" pitchFamily="34" charset="0"/>
          </a:endParaRPr>
        </a:p>
        <a:p>
          <a:r>
            <a:rPr lang="es-ES" sz="1200" b="0" i="0" baseline="0">
              <a:effectLst/>
              <a:latin typeface="Arial" pitchFamily="34" charset="0"/>
              <a:ea typeface="+mn-ea"/>
              <a:cs typeface="Arial" pitchFamily="34" charset="0"/>
            </a:rPr>
            <a:t>NOTA 1: En la práctica, se introducen nuevas normas, como un códec/protocolo alternativo que es compatible con la norma existente común y se utiliza cuando todos los componentes punto a punto son compatibles con ella, mientras otras se tornan obsoletas debido al desarrollo tecnológico, junto con otros factores como el desarrollo de la sociedad y la rentabilidad. </a:t>
          </a:r>
        </a:p>
        <a:p>
          <a:r>
            <a:rPr lang="es-ES" sz="1200" b="0" i="0" baseline="0">
              <a:effectLst/>
              <a:latin typeface="Arial" pitchFamily="34" charset="0"/>
              <a:ea typeface="+mn-ea"/>
              <a:cs typeface="Arial" pitchFamily="34" charset="0"/>
            </a:rPr>
            <a:t>NOTA 2: En el caso de que se utilicen múltiples tecnologías para proporcionar la comunicación por voz, pueden ser necesarios múltiples mecanismos de interoperabilidad para garantizar que todos los usuarios puedan utilizar RTT. </a:t>
          </a:r>
        </a:p>
        <a:p>
          <a:r>
            <a:rPr lang="es-ES" sz="1200" b="0" i="0" baseline="0">
              <a:effectLst/>
              <a:latin typeface="Arial" pitchFamily="34" charset="0"/>
              <a:ea typeface="+mn-ea"/>
              <a:cs typeface="Arial" pitchFamily="34" charset="0"/>
            </a:rPr>
            <a:t>EJEMPLO: Un sistema de conferencia que es compatible con la comunicación por voz a través de una conexión de internet podría proporcionar RTT a través de una conexión de internet mediante un método de RTT propietario (opción C). Sin embargo, independientemente de que sea o no propietario el método de RTT, si el sistema de conferencia también ofrece una comunicación por telefonía, tendrá asimismo que ser compatible con las opciones a o b para asegurar que el RTT sea compatible con una conexión por telefonía. </a:t>
          </a:r>
        </a:p>
      </xdr:txBody>
    </xdr:sp>
    <xdr:clientData/>
  </xdr:twoCellAnchor>
  <xdr:twoCellAnchor editAs="absolute">
    <xdr:from>
      <xdr:col>5</xdr:col>
      <xdr:colOff>21790</xdr:colOff>
      <xdr:row>366</xdr:row>
      <xdr:rowOff>21849</xdr:rowOff>
    </xdr:from>
    <xdr:to>
      <xdr:col>14</xdr:col>
      <xdr:colOff>791688</xdr:colOff>
      <xdr:row>397</xdr:row>
      <xdr:rowOff>63200</xdr:rowOff>
    </xdr:to>
    <xdr:sp macro="" textlink="">
      <xdr:nvSpPr>
        <xdr:cNvPr id="32" name="TextShape 1" descr="6.2.3 Interoperabilidad - Apartado c) (Condicional)  Condición: Cuando las páginas web con funcionalidad RTT interoperen con otras TIC con funcionalidad RTT (como se especifica en el apartado 6.2.1.1). Cuando las TIC con funcionalidad RTT interoperen con otras TIC con funcionalidad RTT (como se especifica en el apartado 6.2.1.1), deben ser compatibles con los mecanismos de interoperabilidad RTT descritos a continuación:   c) TIC que interoperen con otras TIC a través de otras tecnologías no señaladas bajo los puntos a y b anteriores, mediante una especificación común aplicable y pertinente para el intercambio de RTT que esté publicada y disponible para los entornos en los que operarán. Esta especificación común debe incluir un método para indicar la pérdida o la corrupción de caracteres.   NOTA 1: En la práctica, se introducen nuevas normas, como un códec/protocolo alternativo que es compatible con la norma existente común y se utiliza cuando todos los componentes punto a punto son compatibles con ella, mientras otras se tornan obsoletas debido al desarrollo tecnológico, junto con otros factores como el desarrollo de la sociedad y la rentabilidad.  NOTA 2: En el caso de que se utilicen múltiples tecnologías para proporcionar la comunicación por voz, pueden ser necesarios múltiples mecanismos de interoperabilidad para garantizar que todos los usuarios puedan utilizar RTT.  EJEMPLO: Un sistema de conferencia que es compatible con la comunicación por voz a través de una conexión de internet podría proporcionar RTT a través de una conexión de internet mediante un método de RTT propietario (opción C). Sin embargo, independientemente de que sea o no propietario el método de RTT, si el sistema de conferencia también ofrece una comunicación por telefonía, tendrá asimismo que ser compatible con las opciones a o b para asegurar que el RTT sea compatible con una conexión por telefonía.">
          <a:extLst>
            <a:ext uri="{FF2B5EF4-FFF2-40B4-BE49-F238E27FC236}">
              <a16:creationId xmlns:a16="http://schemas.microsoft.com/office/drawing/2014/main" id="{E94AD767-E29C-4972-AECC-E51B5E90D354}"/>
            </a:ext>
          </a:extLst>
        </xdr:cNvPr>
        <xdr:cNvSpPr txBox="1"/>
      </xdr:nvSpPr>
      <xdr:spPr>
        <a:xfrm>
          <a:off x="7270686" y="58268667"/>
          <a:ext cx="9899054" cy="4643039"/>
        </a:xfrm>
        <a:prstGeom prst="rect">
          <a:avLst/>
        </a:prstGeom>
        <a:solidFill>
          <a:srgbClr val="DDDDDD"/>
        </a:solidFill>
        <a:ln>
          <a:noFill/>
        </a:ln>
      </xdr:spPr>
      <xdr:txBody>
        <a:bodyPr wrap="square" lIns="108000" tIns="108000" rIns="108000" bIns="108000">
          <a:sp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6.2.3 Interoperabilidad - Apartado c)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con funcionalidad RTT interoperen con otras TIC con funcionalidad RTT (como se especifica en el apartado 6.2.1.1).</a:t>
          </a:r>
        </a:p>
        <a:p>
          <a:pPr marL="0" marR="0" indent="0" defTabSz="914400" eaLnBrk="1" fontAlgn="auto" latinLnBrk="0" hangingPunct="1">
            <a:lnSpc>
              <a:spcPct val="100000"/>
            </a:lnSpc>
            <a:spcBef>
              <a:spcPts val="0"/>
            </a:spcBef>
            <a:spcAft>
              <a:spcPts val="0"/>
            </a:spcAft>
            <a:buClrTx/>
            <a:buSzTx/>
            <a:buFontTx/>
            <a:buNone/>
            <a:tabLst/>
            <a:defRPr/>
          </a:pPr>
          <a:endParaRPr lang="es-ES" sz="1500" b="0" i="0" baseline="0">
            <a:effectLst/>
            <a:latin typeface="Arial" pitchFamily="34" charset="0"/>
            <a:ea typeface="+mn-ea"/>
            <a:cs typeface="Arial" pitchFamily="34" charset="0"/>
          </a:endParaRPr>
        </a:p>
        <a:p>
          <a:r>
            <a:rPr lang="es-ES" sz="1500" b="0" i="0" baseline="0">
              <a:effectLst/>
              <a:latin typeface="Arial" pitchFamily="34" charset="0"/>
              <a:ea typeface="+mn-ea"/>
              <a:cs typeface="Arial" pitchFamily="34" charset="0"/>
            </a:rPr>
            <a:t>Cuando las TIC con funcionalidad RTT interoperen con otras TIC con funcionalidad RTT (como se especifica en el apartado 6.2.1.1), deben ser compatibles con los mecanismos de interoperabilidad RTT descritos a continuación: </a:t>
          </a:r>
        </a:p>
        <a:p>
          <a:endParaRPr lang="es-ES" sz="1500" b="0" i="0" baseline="0">
            <a:effectLst/>
            <a:latin typeface="Arial" pitchFamily="34" charset="0"/>
            <a:ea typeface="+mn-ea"/>
            <a:cs typeface="Arial" pitchFamily="34" charset="0"/>
          </a:endParaRPr>
        </a:p>
        <a:p>
          <a:r>
            <a:rPr lang="es-ES" sz="1500" b="0" i="0" u="none" strike="noStrike" baseline="0">
              <a:latin typeface="Arial" pitchFamily="34" charset="0"/>
              <a:ea typeface="+mn-ea"/>
              <a:cs typeface="Arial" pitchFamily="34" charset="0"/>
            </a:rPr>
            <a:t>c) TIC que interoperen con otras TIC a través de otras tecnologías no señaladas bajo los puntos a y b anteriores, mediante una especificación común aplicable y pertinente para el intercambio de RTT que esté publicada y disponible para los entornos en los que operarán. Esta especificación común debe incluir un método para indicar la pérdida o la corrupción de caracteres. </a:t>
          </a:r>
          <a:endParaRPr lang="es-ES" sz="1500" b="0" i="0" baseline="0">
            <a:effectLst/>
            <a:latin typeface="Arial" pitchFamily="34" charset="0"/>
            <a:ea typeface="+mn-ea"/>
            <a:cs typeface="Arial" pitchFamily="34" charset="0"/>
          </a:endParaRPr>
        </a:p>
        <a:p>
          <a:endParaRPr lang="es-ES" sz="1200" b="0" i="0" baseline="0">
            <a:effectLst/>
            <a:latin typeface="Arial" pitchFamily="34" charset="0"/>
            <a:ea typeface="+mn-ea"/>
            <a:cs typeface="Arial" pitchFamily="34" charset="0"/>
          </a:endParaRPr>
        </a:p>
        <a:p>
          <a:r>
            <a:rPr lang="es-ES" sz="1200" b="0" i="0" baseline="0">
              <a:effectLst/>
              <a:latin typeface="Arial" pitchFamily="34" charset="0"/>
              <a:ea typeface="+mn-ea"/>
              <a:cs typeface="Arial" pitchFamily="34" charset="0"/>
            </a:rPr>
            <a:t>NOTA 1: En la práctica, se introducen nuevas normas, como un códec/protocolo alternativo que es compatible con la norma existente común y se utiliza cuando todos los componentes punto a punto son compatibles con ella, mientras otras se tornan obsoletas debido al desarrollo tecnológico, junto con otros factores como el desarrollo de la sociedad y la rentabilidad. </a:t>
          </a:r>
        </a:p>
        <a:p>
          <a:r>
            <a:rPr lang="es-ES" sz="1200" b="0" i="0" baseline="0">
              <a:effectLst/>
              <a:latin typeface="Arial" pitchFamily="34" charset="0"/>
              <a:ea typeface="+mn-ea"/>
              <a:cs typeface="Arial" pitchFamily="34" charset="0"/>
            </a:rPr>
            <a:t>NOTA 2: En el caso de que se utilicen múltiples tecnologías para proporcionar la comunicación por voz, pueden ser necesarios múltiples mecanismos de interoperabilidad para garantizar que todos los usuarios puedan utilizar RTT. </a:t>
          </a:r>
        </a:p>
        <a:p>
          <a:r>
            <a:rPr lang="es-ES" sz="1200" b="0" i="0" baseline="0">
              <a:effectLst/>
              <a:latin typeface="Arial" pitchFamily="34" charset="0"/>
              <a:ea typeface="+mn-ea"/>
              <a:cs typeface="Arial" pitchFamily="34" charset="0"/>
            </a:rPr>
            <a:t>EJEMPLO: Un sistema de conferencia que es compatible con la comunicación por voz a través de una conexión de internet podría proporcionar RTT a través de una conexión de internet mediante un método de RTT propietario (opción C). Sin embargo, independientemente de que sea o no propietario el método de RTT, si el sistema de conferencia también ofrece una comunicación por telefonía, tendrá asimismo que ser compatible con las opciones a o b para asegurar que el RTT sea compatible con una conexión por telefonía. </a:t>
          </a:r>
        </a:p>
      </xdr:txBody>
    </xdr:sp>
    <xdr:clientData/>
  </xdr:twoCellAnchor>
  <xdr:twoCellAnchor editAs="absolute">
    <xdr:from>
      <xdr:col>7</xdr:col>
      <xdr:colOff>541566</xdr:colOff>
      <xdr:row>361</xdr:row>
      <xdr:rowOff>147046</xdr:rowOff>
    </xdr:from>
    <xdr:to>
      <xdr:col>8</xdr:col>
      <xdr:colOff>336799</xdr:colOff>
      <xdr:row>366</xdr:row>
      <xdr:rowOff>21167</xdr:rowOff>
    </xdr:to>
    <xdr:pic>
      <xdr:nvPicPr>
        <xdr:cNvPr id="33" name="Image 1">
          <a:extLst>
            <a:ext uri="{FF2B5EF4-FFF2-40B4-BE49-F238E27FC236}">
              <a16:creationId xmlns:a16="http://schemas.microsoft.com/office/drawing/2014/main" id="{6282DA80-0781-4B4F-AACF-11B6128A46B4}"/>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8566" y="57593379"/>
          <a:ext cx="631316" cy="614955"/>
        </a:xfrm>
        <a:prstGeom prst="rect">
          <a:avLst/>
        </a:prstGeom>
        <a:ln>
          <a:noFill/>
        </a:ln>
      </xdr:spPr>
    </xdr:pic>
    <xdr:clientData/>
  </xdr:twoCellAnchor>
  <xdr:twoCellAnchor editAs="absolute">
    <xdr:from>
      <xdr:col>5</xdr:col>
      <xdr:colOff>0</xdr:colOff>
      <xdr:row>405</xdr:row>
      <xdr:rowOff>38658</xdr:rowOff>
    </xdr:from>
    <xdr:to>
      <xdr:col>14</xdr:col>
      <xdr:colOff>791688</xdr:colOff>
      <xdr:row>435</xdr:row>
      <xdr:rowOff>7235</xdr:rowOff>
    </xdr:to>
    <xdr:sp macro="" textlink="">
      <xdr:nvSpPr>
        <xdr:cNvPr id="34" name="TextShape 1" descr="6.2.3 Interoperabilidad - Apartado d) (Condicional)  Condición: Cuando las páginas web con funcionalidad RTT interoperen con otras TIC con funcionalidad RTT (como se especifica en el apartado 6.2.1.1). Cuando las TIC con funcionalidad RTT interoperen con otras TIC con funcionalidad RTT (como se especifica en el apartado 6.2.1.1), deben ser compatibles con los mecanismos de interoperabilidad RTT descritos a continuación:   d) TIC que interoperen con otras TIC mediante una norma de RTT que haya sido introducida para su uso en cualquiera de los entornos arriba mencionados y sea compatible con todas las TIC activas que sean compatibles con voz y RTT en ese entorno.   NOTA 1: En la práctica, se introducen nuevas normas, como un códec/protocolo alternativo que es compatible con la norma existente común y se utiliza cuando todos los componentes punto a punto son compatibles con ella, mientras otras se tornan obsoletas debido al desarrollo tecnológico, junto con otros factores como el desarrollo de la sociedad y la rentabilidad.  NOTA 2: En el caso de que se utilicen múltiples tecnologías para proporcionar la comunicación por voz, pueden ser necesarios múltiples mecanismos de interoperabilidad para garantizar que todos los usuarios puedan utilizar RTT.  EJEMPLO: Un sistema de conferencia que es compatible con la comunicación por voz a través de una conexión de internet podría proporcionar RTT a través de una conexión de internet mediante un método de RTT propietario (opción C). Sin embargo, independientemente de que sea o no propietario el método de RTT, si el sistema de conferencia también ofrece una comunicación por telefonía, tendrá asimismo que ser compatible con las opciones a o b para asegurar que el RTT sea compatible con una conexión por telefonía.">
          <a:extLst>
            <a:ext uri="{FF2B5EF4-FFF2-40B4-BE49-F238E27FC236}">
              <a16:creationId xmlns:a16="http://schemas.microsoft.com/office/drawing/2014/main" id="{48F0D83E-00A1-4B9F-98B5-C39B587D43CF}"/>
            </a:ext>
          </a:extLst>
        </xdr:cNvPr>
        <xdr:cNvSpPr txBox="1"/>
      </xdr:nvSpPr>
      <xdr:spPr>
        <a:xfrm>
          <a:off x="7248896" y="64330346"/>
          <a:ext cx="9920844" cy="4421824"/>
        </a:xfrm>
        <a:prstGeom prst="rect">
          <a:avLst/>
        </a:prstGeom>
        <a:solidFill>
          <a:srgbClr val="DDDDDD"/>
        </a:solidFill>
        <a:ln>
          <a:noFill/>
        </a:ln>
      </xdr:spPr>
      <xdr:txBody>
        <a:bodyPr wrap="square" lIns="108000" tIns="108000" rIns="108000" bIns="108000">
          <a:sp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6.2.3 Interoperabilidad - Apartado d)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con funcionalidad RTT interoperen con otras TIC con funcionalidad RTT (como se especifica en el apartado 6.2.1.1).</a:t>
          </a:r>
        </a:p>
        <a:p>
          <a:pPr marL="0" marR="0" indent="0" defTabSz="914400" eaLnBrk="1" fontAlgn="auto" latinLnBrk="0" hangingPunct="1">
            <a:lnSpc>
              <a:spcPct val="100000"/>
            </a:lnSpc>
            <a:spcBef>
              <a:spcPts val="0"/>
            </a:spcBef>
            <a:spcAft>
              <a:spcPts val="0"/>
            </a:spcAft>
            <a:buClrTx/>
            <a:buSzTx/>
            <a:buFontTx/>
            <a:buNone/>
            <a:tabLst/>
            <a:defRPr/>
          </a:pPr>
          <a:endParaRPr lang="es-ES" sz="1500" b="0" i="0" baseline="0">
            <a:effectLst/>
            <a:latin typeface="Arial" pitchFamily="34" charset="0"/>
            <a:ea typeface="+mn-ea"/>
            <a:cs typeface="Arial" pitchFamily="34" charset="0"/>
          </a:endParaRPr>
        </a:p>
        <a:p>
          <a:r>
            <a:rPr lang="es-ES" sz="1500" b="0" i="0" baseline="0">
              <a:effectLst/>
              <a:latin typeface="Arial" pitchFamily="34" charset="0"/>
              <a:ea typeface="+mn-ea"/>
              <a:cs typeface="Arial" pitchFamily="34" charset="0"/>
            </a:rPr>
            <a:t>Cuando las TIC con funcionalidad RTT interoperen con otras TIC con funcionalidad RTT (como se especifica en el apartado 6.2.1.1), deben ser compatibles con los mecanismos de interoperabilidad RTT descritos a continuación: </a:t>
          </a:r>
        </a:p>
        <a:p>
          <a:endParaRPr lang="es-ES" sz="1500" b="0" i="0" baseline="0">
            <a:effectLst/>
            <a:latin typeface="Arial" pitchFamily="34" charset="0"/>
            <a:ea typeface="+mn-ea"/>
            <a:cs typeface="Arial" pitchFamily="34" charset="0"/>
          </a:endParaRPr>
        </a:p>
        <a:p>
          <a:r>
            <a:rPr lang="es-ES" sz="1500" b="0" i="0" u="none" strike="noStrike" baseline="0">
              <a:latin typeface="Arial" pitchFamily="34" charset="0"/>
              <a:ea typeface="+mn-ea"/>
              <a:cs typeface="Arial" pitchFamily="34" charset="0"/>
            </a:rPr>
            <a:t>d) TIC que interoperen con otras TIC mediante una norma de RTT que haya sido introducida para su uso en cualquiera de los entornos arriba mencionados y sea compatible con todas las TIC activas que sean compatibles con voz y RTT en ese entorno. </a:t>
          </a:r>
          <a:endParaRPr lang="es-ES" sz="1500" b="0" i="0" baseline="0">
            <a:effectLst/>
            <a:latin typeface="Arial" pitchFamily="34" charset="0"/>
            <a:ea typeface="+mn-ea"/>
            <a:cs typeface="Arial" pitchFamily="34" charset="0"/>
          </a:endParaRPr>
        </a:p>
        <a:p>
          <a:endParaRPr lang="es-ES" sz="1200">
            <a:effectLst/>
            <a:latin typeface="Arial" panose="020B0604020202020204" pitchFamily="34" charset="0"/>
            <a:cs typeface="Arial" panose="020B0604020202020204" pitchFamily="34" charset="0"/>
          </a:endParaRPr>
        </a:p>
        <a:p>
          <a:r>
            <a:rPr lang="es-ES" sz="1200" b="0" i="0" baseline="0">
              <a:effectLst/>
              <a:latin typeface="Arial" panose="020B0604020202020204" pitchFamily="34" charset="0"/>
              <a:ea typeface="+mn-ea"/>
              <a:cs typeface="Arial" panose="020B0604020202020204" pitchFamily="34" charset="0"/>
            </a:rPr>
            <a:t>NOTA 1: En la práctica, se introducen nuevas normas, como un códec/protocolo alternativo que es compatible con la norma existente común y se utiliza cuando todos los componentes punto a punto son compatibles con ella, mientras otras se tornan obsoletas debido al desarrollo tecnológico, junto con otros factores como el desarrollo de la sociedad y la rentabilidad. </a:t>
          </a:r>
        </a:p>
        <a:p>
          <a:r>
            <a:rPr lang="es-ES" sz="1200" b="0" i="0" baseline="0">
              <a:effectLst/>
              <a:latin typeface="Arial" panose="020B0604020202020204" pitchFamily="34" charset="0"/>
              <a:ea typeface="+mn-ea"/>
              <a:cs typeface="Arial" panose="020B0604020202020204" pitchFamily="34" charset="0"/>
            </a:rPr>
            <a:t>NOTA 2: En el caso de que se utilicen múltiples tecnologías para proporcionar la comunicación por voz, pueden ser necesarios múltiples mecanismos de interoperabilidad para garantizar que todos los usuarios puedan utilizar RTT. </a:t>
          </a:r>
        </a:p>
        <a:p>
          <a:r>
            <a:rPr lang="es-ES" sz="1200" b="0" i="0" baseline="0">
              <a:effectLst/>
              <a:latin typeface="Arial" panose="020B0604020202020204" pitchFamily="34" charset="0"/>
              <a:ea typeface="+mn-ea"/>
              <a:cs typeface="Arial" panose="020B0604020202020204" pitchFamily="34" charset="0"/>
            </a:rPr>
            <a:t>EJEMPLO: Un sistema de conferencia que es compatible con la comunicación por voz a través de una conexión de internet podría proporcionar RTT a través de una conexión de internet mediante un método de RTT propietario (opción C). Sin embargo, independientemente de que sea o no propietario el método de RTT, si el sistema de conferencia también ofrece una comunicación por telefonía, tendrá asimismo que ser compatible con las opciones a o b para asegurar que el RTT sea compatible con una conexión por telefonía. </a:t>
          </a:r>
        </a:p>
      </xdr:txBody>
    </xdr:sp>
    <xdr:clientData/>
  </xdr:twoCellAnchor>
  <xdr:twoCellAnchor editAs="absolute">
    <xdr:from>
      <xdr:col>7</xdr:col>
      <xdr:colOff>552149</xdr:colOff>
      <xdr:row>400</xdr:row>
      <xdr:rowOff>38100</xdr:rowOff>
    </xdr:from>
    <xdr:to>
      <xdr:col>8</xdr:col>
      <xdr:colOff>337880</xdr:colOff>
      <xdr:row>404</xdr:row>
      <xdr:rowOff>121381</xdr:rowOff>
    </xdr:to>
    <xdr:pic>
      <xdr:nvPicPr>
        <xdr:cNvPr id="35" name="Image 1">
          <a:extLst>
            <a:ext uri="{FF2B5EF4-FFF2-40B4-BE49-F238E27FC236}">
              <a16:creationId xmlns:a16="http://schemas.microsoft.com/office/drawing/2014/main" id="{EC2FA621-38A6-43AD-B671-87F9DBB17434}"/>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3274" y="65093850"/>
          <a:ext cx="623931" cy="692881"/>
        </a:xfrm>
        <a:prstGeom prst="rect">
          <a:avLst/>
        </a:prstGeom>
        <a:ln>
          <a:noFill/>
        </a:ln>
      </xdr:spPr>
    </xdr:pic>
    <xdr:clientData/>
  </xdr:twoCellAnchor>
  <xdr:twoCellAnchor editAs="absolute">
    <xdr:from>
      <xdr:col>5</xdr:col>
      <xdr:colOff>0</xdr:colOff>
      <xdr:row>443</xdr:row>
      <xdr:rowOff>38658</xdr:rowOff>
    </xdr:from>
    <xdr:to>
      <xdr:col>11</xdr:col>
      <xdr:colOff>14884</xdr:colOff>
      <xdr:row>471</xdr:row>
      <xdr:rowOff>74118</xdr:rowOff>
    </xdr:to>
    <xdr:sp macro="" textlink="">
      <xdr:nvSpPr>
        <xdr:cNvPr id="36" name="TextShape 1" descr="6.2.4 Capacidad de respuesta de RTT (Condicional)  Condición: Cuando las páginas web utilicen una entrada de RTT.  Cuando las TIC utilicen una entrada de RTT, dicha entrada de RTT debe transmitirse a la red TIC o a la plataforma en la que se ejecuta la TIC dentro de 500 ms a partir del momento en el que la TIC tenga acceso a la unidad mínima de entrada de texto compuesta de forma fiable para su transmisión.   NOTA 1: Para la entrada por caracteres, la &quot;unidad mínima de entrada de texto compuesta de forma fiable&quot; sería un carácter. Para la predicción de palabras, dicha unidad sería una palabra. Para algunos sistemas de reconocimiento de voz, puede que el texto no salga del software de reconocimiento hasta que no se haya pronunciado una palabra (o frase) entera. En este caso, la unidad mínima de entrada de texto compuesta de forma fiable a la que tiene acceso la TIC sería la palabra (o frase).  NOTA 2: El límite de 500 ms permite el almacenamiento intermedio de caracteres durante este periodo antes de su transmisión, por lo que no es necesaria la transmisión por caracteres a no ser que los caracteres se generen a un ritmo menor de 1 por 500 ms.  NOTA 3: Con un retardo de 300 ms, o menor, el usuario percibe mejor el flujo.">
          <a:extLst>
            <a:ext uri="{FF2B5EF4-FFF2-40B4-BE49-F238E27FC236}">
              <a16:creationId xmlns:a16="http://schemas.microsoft.com/office/drawing/2014/main" id="{E227E616-82B6-482E-8CB7-25B3F3DDA5CD}"/>
            </a:ext>
          </a:extLst>
        </xdr:cNvPr>
        <xdr:cNvSpPr txBox="1"/>
      </xdr:nvSpPr>
      <xdr:spPr>
        <a:xfrm>
          <a:off x="7248896" y="70226775"/>
          <a:ext cx="6100988" cy="4554681"/>
        </a:xfrm>
        <a:prstGeom prst="rect">
          <a:avLst/>
        </a:prstGeom>
        <a:solidFill>
          <a:srgbClr val="DDDDDD"/>
        </a:solidFill>
        <a:ln>
          <a:noFill/>
        </a:ln>
      </xdr:spPr>
      <xdr:txBody>
        <a:bodyPr lIns="108000" tIns="108000" rIns="108000" bIns="108000">
          <a:sp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6.2.4 Capacidad de respuesta de RTT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utilicen una entrada de RTT.</a:t>
          </a: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r>
            <a:rPr lang="es-ES" sz="1500" b="0" i="0" u="none" strike="noStrike" baseline="0">
              <a:latin typeface="Arial" pitchFamily="34" charset="0"/>
              <a:ea typeface="+mn-ea"/>
              <a:cs typeface="Arial" pitchFamily="34" charset="0"/>
            </a:rPr>
            <a:t>Cuando las TIC utilicen una entrada de RTT, dicha entrada de RTT debe transmitirse a la red TIC o a la plataforma en la que se ejecuta la TIC dentro de 500 ms a partir del momento en el que la TIC tenga acceso a la unidad mínima de entrada de texto compuesta de forma fiable para su transmisión. </a:t>
          </a:r>
        </a:p>
        <a:p>
          <a:endParaRPr lang="es-ES" sz="1500" b="0" i="0" u="none" strike="noStrike" baseline="0">
            <a:latin typeface="Arial" pitchFamily="34" charset="0"/>
            <a:ea typeface="+mn-ea"/>
            <a:cs typeface="Arial" pitchFamily="34" charset="0"/>
          </a:endParaRPr>
        </a:p>
        <a:p>
          <a:r>
            <a:rPr lang="es-ES" sz="1200" b="0" i="0" u="none" strike="noStrike" baseline="0">
              <a:latin typeface="Arial" panose="020B0604020202020204" pitchFamily="34" charset="0"/>
              <a:ea typeface="+mn-ea"/>
              <a:cs typeface="Arial" panose="020B0604020202020204" pitchFamily="34" charset="0"/>
            </a:rPr>
            <a:t>NOTA 1: Para la entrada por caracteres, la "unidad mínima de entrada de texto compuesta de forma fiable" sería un carácter. Para la predicción de palabras, dicha unidad sería una palabra. Para algunos sistemas de reconocimiento de voz, puede que el texto no salga del </a:t>
          </a:r>
          <a:r>
            <a:rPr lang="es-ES" sz="1200" b="0" i="1" u="none" strike="noStrike" baseline="0">
              <a:latin typeface="Arial" panose="020B0604020202020204" pitchFamily="34" charset="0"/>
              <a:ea typeface="+mn-ea"/>
              <a:cs typeface="Arial" panose="020B0604020202020204" pitchFamily="34" charset="0"/>
            </a:rPr>
            <a:t>software </a:t>
          </a:r>
          <a:r>
            <a:rPr lang="es-ES" sz="1200" b="0" i="0" u="none" strike="noStrike" baseline="0">
              <a:latin typeface="Arial" panose="020B0604020202020204" pitchFamily="34" charset="0"/>
              <a:ea typeface="+mn-ea"/>
              <a:cs typeface="Arial" panose="020B0604020202020204" pitchFamily="34" charset="0"/>
            </a:rPr>
            <a:t>de reconocimiento hasta que no se haya pronunciado una palabra (o frase) entera. En este caso, la unidad mínima de entrada de texto compuesta de forma fiable a la que tiene acceso la TIC sería la palabra (o frase). </a:t>
          </a:r>
        </a:p>
        <a:p>
          <a:r>
            <a:rPr lang="es-ES" sz="1200" b="0" i="0" u="none" strike="noStrike" baseline="0">
              <a:latin typeface="Arial" panose="020B0604020202020204" pitchFamily="34" charset="0"/>
              <a:ea typeface="+mn-ea"/>
              <a:cs typeface="Arial" panose="020B0604020202020204" pitchFamily="34" charset="0"/>
            </a:rPr>
            <a:t>NOTA 2: El límite de 500 ms permite el almacenamiento intermedio de caracteres durante este periodo antes de su transmisión, por lo que no es necesaria la transmisión por caracteres a no ser que los caracteres se generen a un ritmo menor de 1 por 500 ms. </a:t>
          </a:r>
        </a:p>
        <a:p>
          <a:r>
            <a:rPr lang="es-ES" sz="1200" b="0" i="0" u="none" strike="noStrike" baseline="0">
              <a:latin typeface="Arial" panose="020B0604020202020204" pitchFamily="34" charset="0"/>
              <a:ea typeface="+mn-ea"/>
              <a:cs typeface="Arial" panose="020B0604020202020204" pitchFamily="34" charset="0"/>
            </a:rPr>
            <a:t>NOTA 3: Con un retardo de 300 ms, o menor, el usuario percibe mejor el flujo. </a:t>
          </a:r>
          <a:endParaRPr lang="es-ES" sz="1200">
            <a:effectLst/>
            <a:latin typeface="Arial" pitchFamily="34" charset="0"/>
            <a:cs typeface="Arial" pitchFamily="34" charset="0"/>
          </a:endParaRPr>
        </a:p>
      </xdr:txBody>
    </xdr:sp>
    <xdr:clientData/>
  </xdr:twoCellAnchor>
  <xdr:twoCellAnchor editAs="absolute">
    <xdr:from>
      <xdr:col>7</xdr:col>
      <xdr:colOff>552149</xdr:colOff>
      <xdr:row>438</xdr:row>
      <xdr:rowOff>38100</xdr:rowOff>
    </xdr:from>
    <xdr:to>
      <xdr:col>8</xdr:col>
      <xdr:colOff>337880</xdr:colOff>
      <xdr:row>442</xdr:row>
      <xdr:rowOff>121381</xdr:rowOff>
    </xdr:to>
    <xdr:pic>
      <xdr:nvPicPr>
        <xdr:cNvPr id="37" name="Image 1">
          <a:extLst>
            <a:ext uri="{FF2B5EF4-FFF2-40B4-BE49-F238E27FC236}">
              <a16:creationId xmlns:a16="http://schemas.microsoft.com/office/drawing/2014/main" id="{E67B90A5-73DB-4D96-ABF6-A05E4B30C05A}"/>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3274" y="71142225"/>
          <a:ext cx="623931" cy="692881"/>
        </a:xfrm>
        <a:prstGeom prst="rect">
          <a:avLst/>
        </a:prstGeom>
        <a:ln>
          <a:noFill/>
        </a:ln>
      </xdr:spPr>
    </xdr:pic>
    <xdr:clientData/>
  </xdr:twoCellAnchor>
  <xdr:twoCellAnchor editAs="absolute">
    <xdr:from>
      <xdr:col>5</xdr:col>
      <xdr:colOff>0</xdr:colOff>
      <xdr:row>481</xdr:row>
      <xdr:rowOff>38658</xdr:rowOff>
    </xdr:from>
    <xdr:to>
      <xdr:col>11</xdr:col>
      <xdr:colOff>14884</xdr:colOff>
      <xdr:row>494</xdr:row>
      <xdr:rowOff>54061</xdr:rowOff>
    </xdr:to>
    <xdr:sp macro="" textlink="">
      <xdr:nvSpPr>
        <xdr:cNvPr id="38" name="TextShape 1" descr="6.3 Identificación de llamadas (Condicional)  Condición: Cuando las páginas web proporcionen identificación de llamadas o funciones similares de telecomunicación.  Cuando las TIC proporcionen identificación de llamadas o funciones similares de telecomunicación, estas funciones de telecomunicación deben estar disponibles en forma textual, además de ser determinable por software, salvo que la funcionalidad esté cerrada.">
          <a:extLst>
            <a:ext uri="{FF2B5EF4-FFF2-40B4-BE49-F238E27FC236}">
              <a16:creationId xmlns:a16="http://schemas.microsoft.com/office/drawing/2014/main" id="{2194F74B-2BE5-41BA-91A6-47534CB1D947}"/>
            </a:ext>
          </a:extLst>
        </xdr:cNvPr>
        <xdr:cNvSpPr txBox="1"/>
      </xdr:nvSpPr>
      <xdr:spPr>
        <a:xfrm>
          <a:off x="7248896" y="76486061"/>
          <a:ext cx="6100988" cy="2209039"/>
        </a:xfrm>
        <a:prstGeom prst="rect">
          <a:avLst/>
        </a:prstGeom>
        <a:solidFill>
          <a:srgbClr val="DDDDDD"/>
        </a:solidFill>
        <a:ln>
          <a:noFill/>
        </a:ln>
      </xdr:spPr>
      <xdr:txBody>
        <a:bodyPr lIns="108000" tIns="108000" rIns="108000" bIns="108000">
          <a:sp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6.3 Identificación de llamadas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proporcionen identificación de llamadas o funciones similares de telecomunicación.</a:t>
          </a: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s-ES" sz="1500" b="0" i="0" u="none" strike="noStrike" baseline="0">
              <a:latin typeface="Arial" pitchFamily="34" charset="0"/>
              <a:ea typeface="+mn-ea"/>
              <a:cs typeface="Arial" pitchFamily="34" charset="0"/>
            </a:rPr>
            <a:t>Cuando las TIC proporcionen identificación de llamadas o funciones similares de telecomunicación, estas funciones de telecomunicación deben estar disponibles en forma textual, además de ser determinable por software, salvo que la funcionalidad esté cerrada. </a:t>
          </a:r>
        </a:p>
      </xdr:txBody>
    </xdr:sp>
    <xdr:clientData/>
  </xdr:twoCellAnchor>
  <xdr:twoCellAnchor editAs="absolute">
    <xdr:from>
      <xdr:col>7</xdr:col>
      <xdr:colOff>552149</xdr:colOff>
      <xdr:row>476</xdr:row>
      <xdr:rowOff>38100</xdr:rowOff>
    </xdr:from>
    <xdr:to>
      <xdr:col>8</xdr:col>
      <xdr:colOff>337880</xdr:colOff>
      <xdr:row>480</xdr:row>
      <xdr:rowOff>121381</xdr:rowOff>
    </xdr:to>
    <xdr:pic>
      <xdr:nvPicPr>
        <xdr:cNvPr id="39" name="Image 1">
          <a:extLst>
            <a:ext uri="{FF2B5EF4-FFF2-40B4-BE49-F238E27FC236}">
              <a16:creationId xmlns:a16="http://schemas.microsoft.com/office/drawing/2014/main" id="{25E6FD57-063E-4122-AB58-FCBC91650B8F}"/>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3274" y="77400150"/>
          <a:ext cx="623931" cy="692881"/>
        </a:xfrm>
        <a:prstGeom prst="rect">
          <a:avLst/>
        </a:prstGeom>
        <a:ln>
          <a:noFill/>
        </a:ln>
      </xdr:spPr>
    </xdr:pic>
    <xdr:clientData/>
  </xdr:twoCellAnchor>
  <xdr:twoCellAnchor editAs="absolute">
    <xdr:from>
      <xdr:col>5</xdr:col>
      <xdr:colOff>0</xdr:colOff>
      <xdr:row>519</xdr:row>
      <xdr:rowOff>38658</xdr:rowOff>
    </xdr:from>
    <xdr:to>
      <xdr:col>11</xdr:col>
      <xdr:colOff>14884</xdr:colOff>
      <xdr:row>545</xdr:row>
      <xdr:rowOff>16610</xdr:rowOff>
    </xdr:to>
    <xdr:sp macro="" textlink="">
      <xdr:nvSpPr>
        <xdr:cNvPr id="40" name="TextShape 1" descr="6.4 Alternativas a los servicios basados ​​en voz (Condicional)  Condición: Cuando las páginas web proporcionen un servicio de comunicación basada en voz en tiempo real e igualmente facilidades de buzón de voz, asistente automático o respuesta interactiva de voz.  Cuando las TIC proporcionen un servicio de comunicación basada en voz en tiempo real e igualmente facilidades de buzón de voz, asistente automático o respuesta interactiva de voz, las TIC deben ofrecer a los usuarios un modo de acceder a la información, así como de realizar las tareas facilitadas por las TIC sin que sea necesario el uso de la audición o de la voz.   NOTA 1 Se requeriría, para las tareas que implican tanto la operación de la interfaz como la percepción de la información, que tanto la interfaz como la información fueran accesibles sin la necesidad de utilizar la voz o la audición.  NOTA 2 Las soluciones capaces de manejar los medios sonoros, de RTT y de vídeo podrían satisfacer el requisito anterior.">
          <a:extLst>
            <a:ext uri="{FF2B5EF4-FFF2-40B4-BE49-F238E27FC236}">
              <a16:creationId xmlns:a16="http://schemas.microsoft.com/office/drawing/2014/main" id="{F218498B-0082-461A-B1EB-880C7CDA3068}"/>
            </a:ext>
          </a:extLst>
        </xdr:cNvPr>
        <xdr:cNvSpPr txBox="1"/>
      </xdr:nvSpPr>
      <xdr:spPr>
        <a:xfrm>
          <a:off x="7248896" y="82745346"/>
          <a:ext cx="6100988" cy="4200290"/>
        </a:xfrm>
        <a:prstGeom prst="rect">
          <a:avLst/>
        </a:prstGeom>
        <a:solidFill>
          <a:srgbClr val="DDDDDD"/>
        </a:solidFill>
        <a:ln>
          <a:noFill/>
        </a:ln>
      </xdr:spPr>
      <xdr:txBody>
        <a:bodyPr lIns="108000" tIns="108000" rIns="108000" bIns="108000">
          <a:sp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6.4 Alternativas a los servicios basados ​​en voz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proporcionen un servicio de comunicación basada en voz en tiempo real e igualmente facilidades de buzón de voz, asistente automático o respuesta interactiva de voz.</a:t>
          </a: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r>
            <a:rPr lang="es-ES" sz="1500" b="0" i="0" baseline="0">
              <a:effectLst/>
              <a:latin typeface="Arial" pitchFamily="34" charset="0"/>
              <a:ea typeface="+mn-ea"/>
              <a:cs typeface="Arial" pitchFamily="34" charset="0"/>
            </a:rPr>
            <a:t>Cuando las TIC proporcionen un servicio de comunicación basada en voz en tiempo real e igualmente facilidades de buzón de voz, asistente automático o respuesta interactiva de voz, las TIC deben ofrecer a los usuarios un modo de acceder a la información, así como de realizar las tareas facilitadas por las TIC sin que sea necesario el uso de la audición o de la voz. </a:t>
          </a:r>
        </a:p>
        <a:p>
          <a:endParaRPr lang="es-ES" sz="1500" b="0" i="0" baseline="0">
            <a:effectLst/>
            <a:latin typeface="Arial" pitchFamily="34" charset="0"/>
            <a:ea typeface="+mn-ea"/>
            <a:cs typeface="Arial" pitchFamily="34" charset="0"/>
          </a:endParaRPr>
        </a:p>
        <a:p>
          <a:r>
            <a:rPr lang="es-ES" sz="1200" b="0" i="0" u="none" strike="noStrike" baseline="0">
              <a:latin typeface="Arial" panose="020B0604020202020204" pitchFamily="34" charset="0"/>
              <a:ea typeface="+mn-ea"/>
              <a:cs typeface="Arial" panose="020B0604020202020204" pitchFamily="34" charset="0"/>
            </a:rPr>
            <a:t>NOTA 1 Se requeriría, para las tareas que implican tanto la operación de la interfaz como la percepción de la información, que tanto la interfaz como la información fueran accesibles sin la necesidad de utilizar la voz o la audición. </a:t>
          </a:r>
        </a:p>
        <a:p>
          <a:r>
            <a:rPr lang="es-ES" sz="1200" b="0" i="0" u="none" strike="noStrike" baseline="0">
              <a:latin typeface="Arial" panose="020B0604020202020204" pitchFamily="34" charset="0"/>
              <a:ea typeface="+mn-ea"/>
              <a:cs typeface="Arial" panose="020B0604020202020204" pitchFamily="34" charset="0"/>
            </a:rPr>
            <a:t>NOTA 2 Las soluciones capaces de manejar los medios sonoros, de RTT y de vídeo podrían satisfacer el requisito anterior. </a:t>
          </a:r>
          <a:endParaRPr lang="es-ES" sz="1200">
            <a:effectLst/>
            <a:latin typeface="Arial" pitchFamily="34" charset="0"/>
            <a:cs typeface="Arial" pitchFamily="34" charset="0"/>
          </a:endParaRPr>
        </a:p>
      </xdr:txBody>
    </xdr:sp>
    <xdr:clientData/>
  </xdr:twoCellAnchor>
  <xdr:twoCellAnchor editAs="absolute">
    <xdr:from>
      <xdr:col>7</xdr:col>
      <xdr:colOff>552149</xdr:colOff>
      <xdr:row>514</xdr:row>
      <xdr:rowOff>38100</xdr:rowOff>
    </xdr:from>
    <xdr:to>
      <xdr:col>8</xdr:col>
      <xdr:colOff>337880</xdr:colOff>
      <xdr:row>518</xdr:row>
      <xdr:rowOff>121381</xdr:rowOff>
    </xdr:to>
    <xdr:pic>
      <xdr:nvPicPr>
        <xdr:cNvPr id="41" name="Image 1">
          <a:extLst>
            <a:ext uri="{FF2B5EF4-FFF2-40B4-BE49-F238E27FC236}">
              <a16:creationId xmlns:a16="http://schemas.microsoft.com/office/drawing/2014/main" id="{137279DC-30EF-4F99-A8D2-7FC4AA33707F}"/>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3274" y="83658075"/>
          <a:ext cx="623931" cy="692881"/>
        </a:xfrm>
        <a:prstGeom prst="rect">
          <a:avLst/>
        </a:prstGeom>
        <a:ln>
          <a:noFill/>
        </a:ln>
      </xdr:spPr>
    </xdr:pic>
    <xdr:clientData/>
  </xdr:twoCellAnchor>
  <xdr:twoCellAnchor editAs="absolute">
    <xdr:from>
      <xdr:col>5</xdr:col>
      <xdr:colOff>0</xdr:colOff>
      <xdr:row>557</xdr:row>
      <xdr:rowOff>38658</xdr:rowOff>
    </xdr:from>
    <xdr:to>
      <xdr:col>11</xdr:col>
      <xdr:colOff>14884</xdr:colOff>
      <xdr:row>576</xdr:row>
      <xdr:rowOff>42333</xdr:rowOff>
    </xdr:to>
    <xdr:sp macro="" textlink="">
      <xdr:nvSpPr>
        <xdr:cNvPr id="54" name="TextShape 1" descr="6.5.2 Resolución - Apartado a) (Condicional)  Condición: Cuando las páginas web proporcionen comunicación bidireccional por voz incluyan una funcionalidad de vídeo en tiempo real.  En el caso de que unas TIC que proporcionen comunicación bidireccional por voz incluyan una funcionalidad de vídeo en tiempo real, las TIC:  a) deben ser compatible con una resolución QVGA como mínimo.   NOTA: En la tabla A.1 de la norma EN 301 549 v3.2.1 (2021-03) se indica que solo hay que evaluar el apartado a) de este requisito.">
          <a:extLst>
            <a:ext uri="{FF2B5EF4-FFF2-40B4-BE49-F238E27FC236}">
              <a16:creationId xmlns:a16="http://schemas.microsoft.com/office/drawing/2014/main" id="{AD3E78A9-3860-4B8D-A607-35FD3EAF5208}"/>
            </a:ext>
          </a:extLst>
        </xdr:cNvPr>
        <xdr:cNvSpPr txBox="1"/>
      </xdr:nvSpPr>
      <xdr:spPr>
        <a:xfrm>
          <a:off x="6932083" y="88547075"/>
          <a:ext cx="5846301" cy="3051675"/>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6.5.2 Resolución - Apartado a)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proporcionen comunicación bidireccional por voz incluyan una funcionalidad de vídeo en tiempo real.</a:t>
          </a: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r>
            <a:rPr lang="es-ES" sz="1500" b="0" i="0" baseline="0">
              <a:effectLst/>
              <a:latin typeface="Arial" pitchFamily="34" charset="0"/>
              <a:ea typeface="+mn-ea"/>
              <a:cs typeface="Arial" pitchFamily="34" charset="0"/>
            </a:rPr>
            <a:t>En el caso de que unas TIC que proporcionen comunicación bidireccional por voz incluyan una funcionalidad de vídeo en tiempo real, las TIC:</a:t>
          </a:r>
        </a:p>
        <a:p>
          <a:endParaRPr lang="es-ES" sz="1500" b="0" i="0" baseline="0">
            <a:effectLst/>
            <a:latin typeface="Arial" pitchFamily="34" charset="0"/>
            <a:ea typeface="+mn-ea"/>
            <a:cs typeface="Arial" pitchFamily="34" charset="0"/>
          </a:endParaRPr>
        </a:p>
        <a:p>
          <a:r>
            <a:rPr lang="es-ES" sz="1500" b="0" i="0" baseline="0">
              <a:effectLst/>
              <a:latin typeface="Arial" pitchFamily="34" charset="0"/>
              <a:ea typeface="+mn-ea"/>
              <a:cs typeface="Arial" pitchFamily="34" charset="0"/>
            </a:rPr>
            <a:t>a) deben ser compatible con una resolución QVGA como mínimo. </a:t>
          </a:r>
        </a:p>
        <a:p>
          <a:endParaRPr lang="es-ES" sz="1500" b="0" i="0" baseline="0">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s-ES" sz="1200" b="0" i="0" baseline="0">
              <a:effectLst/>
              <a:latin typeface="Arial" pitchFamily="34" charset="0"/>
              <a:ea typeface="+mn-ea"/>
              <a:cs typeface="Arial" pitchFamily="34" charset="0"/>
            </a:rPr>
            <a:t>NOTA: En la tabla A.1 de la norma EN 301 549 v3.2.1 (2021-03) se indica que solo hay que evaluar el apartado a) de este requisito.</a:t>
          </a:r>
        </a:p>
        <a:p>
          <a:endParaRPr lang="en-US" sz="1500" b="0" i="0" baseline="0">
            <a:effectLst/>
            <a:latin typeface="Arial" pitchFamily="34" charset="0"/>
            <a:ea typeface="+mn-ea"/>
            <a:cs typeface="Arial" pitchFamily="34" charset="0"/>
          </a:endParaRPr>
        </a:p>
      </xdr:txBody>
    </xdr:sp>
    <xdr:clientData/>
  </xdr:twoCellAnchor>
  <xdr:twoCellAnchor editAs="absolute">
    <xdr:from>
      <xdr:col>7</xdr:col>
      <xdr:colOff>552149</xdr:colOff>
      <xdr:row>552</xdr:row>
      <xdr:rowOff>38100</xdr:rowOff>
    </xdr:from>
    <xdr:to>
      <xdr:col>8</xdr:col>
      <xdr:colOff>337880</xdr:colOff>
      <xdr:row>556</xdr:row>
      <xdr:rowOff>121381</xdr:rowOff>
    </xdr:to>
    <xdr:pic>
      <xdr:nvPicPr>
        <xdr:cNvPr id="55" name="Image 1">
          <a:extLst>
            <a:ext uri="{FF2B5EF4-FFF2-40B4-BE49-F238E27FC236}">
              <a16:creationId xmlns:a16="http://schemas.microsoft.com/office/drawing/2014/main" id="{9872E02F-F2E7-4836-A8AC-64F7EB5D3DDB}"/>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3274" y="89916000"/>
          <a:ext cx="623931" cy="692881"/>
        </a:xfrm>
        <a:prstGeom prst="rect">
          <a:avLst/>
        </a:prstGeom>
        <a:ln>
          <a:noFill/>
        </a:ln>
      </xdr:spPr>
    </xdr:pic>
    <xdr:clientData/>
  </xdr:twoCellAnchor>
  <xdr:twoCellAnchor editAs="absolute">
    <xdr:from>
      <xdr:col>5</xdr:col>
      <xdr:colOff>0</xdr:colOff>
      <xdr:row>595</xdr:row>
      <xdr:rowOff>38658</xdr:rowOff>
    </xdr:from>
    <xdr:to>
      <xdr:col>11</xdr:col>
      <xdr:colOff>14884</xdr:colOff>
      <xdr:row>616</xdr:row>
      <xdr:rowOff>6496</xdr:rowOff>
    </xdr:to>
    <xdr:sp macro="" textlink="">
      <xdr:nvSpPr>
        <xdr:cNvPr id="56" name="TextShape 1" descr="6.5.3 Frecuencia de imagen - Apartado a) (Condicional)  Condición: Cuando las páginas web que proporcionan comunicación bidireccional por voz incluyan una funcionalidad de vídeo en tiempo real.  En el caso de que unas TIC que proporcionen comunicación bidireccional por voz incluyan una funcionalidad de vídeo en tiempo real, las TIC:   a) deben ser compatible con una frecuencia de imagen de 20 FPS como mínimo.  NOTA: En la tabla A.1 de la norma EN 301 549 v3.2.1 (2021-03) se indica que solo hay que evaluar el apartado a) de este requisito.">
          <a:extLst>
            <a:ext uri="{FF2B5EF4-FFF2-40B4-BE49-F238E27FC236}">
              <a16:creationId xmlns:a16="http://schemas.microsoft.com/office/drawing/2014/main" id="{3376AFCA-6A6F-4950-8D2D-9EFC7ED7DBEB}"/>
            </a:ext>
          </a:extLst>
        </xdr:cNvPr>
        <xdr:cNvSpPr txBox="1"/>
      </xdr:nvSpPr>
      <xdr:spPr>
        <a:xfrm>
          <a:off x="7248896" y="95263918"/>
          <a:ext cx="6100988" cy="3447968"/>
        </a:xfrm>
        <a:prstGeom prst="rect">
          <a:avLst/>
        </a:prstGeom>
        <a:solidFill>
          <a:srgbClr val="DDDDDD"/>
        </a:solidFill>
        <a:ln>
          <a:noFill/>
        </a:ln>
      </xdr:spPr>
      <xdr:txBody>
        <a:bodyPr lIns="108000" tIns="108000" rIns="108000" bIns="108000">
          <a:sp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6.5.3 Frecuencia de imagen - Apartado a)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que proporcionan comunicación bidireccional por voz incluyan una funcionalidad de vídeo en tiempo real.</a:t>
          </a:r>
        </a:p>
        <a:p>
          <a:pPr marL="0" marR="0" indent="0" defTabSz="914400" eaLnBrk="1" fontAlgn="auto" latinLnBrk="0" hangingPunct="1">
            <a:lnSpc>
              <a:spcPct val="100000"/>
            </a:lnSpc>
            <a:spcBef>
              <a:spcPts val="0"/>
            </a:spcBef>
            <a:spcAft>
              <a:spcPts val="0"/>
            </a:spcAft>
            <a:buClrTx/>
            <a:buSzTx/>
            <a:buFontTx/>
            <a:buNone/>
            <a:tabLst/>
            <a:defRPr/>
          </a:pPr>
          <a:endParaRPr lang="es-ES" sz="1500" b="0" i="0" baseline="0">
            <a:effectLst/>
            <a:latin typeface="Arial" pitchFamily="34" charset="0"/>
            <a:ea typeface="+mn-ea"/>
            <a:cs typeface="Arial" pitchFamily="34" charset="0"/>
          </a:endParaRPr>
        </a:p>
        <a:p>
          <a:r>
            <a:rPr lang="es-ES" sz="1500" b="0" i="0" u="none" strike="noStrike" baseline="0">
              <a:latin typeface="Arial" pitchFamily="34" charset="0"/>
              <a:ea typeface="+mn-ea"/>
              <a:cs typeface="Arial" pitchFamily="34" charset="0"/>
            </a:rPr>
            <a:t>En el caso de que unas TIC que proporcionen comunicación bidireccional por voz incluyan una funcionalidad de vídeo en tiempo real, las TIC: </a:t>
          </a:r>
        </a:p>
        <a:p>
          <a:endParaRPr lang="es-ES" sz="1500" b="0" i="0" u="none" strike="noStrike" baseline="0">
            <a:latin typeface="Arial" pitchFamily="34" charset="0"/>
            <a:ea typeface="+mn-ea"/>
            <a:cs typeface="Arial" pitchFamily="34" charset="0"/>
          </a:endParaRPr>
        </a:p>
        <a:p>
          <a:r>
            <a:rPr lang="es-ES" sz="1500" b="0" i="0" u="none" strike="noStrike" baseline="0">
              <a:latin typeface="Arial" pitchFamily="34" charset="0"/>
              <a:ea typeface="+mn-ea"/>
              <a:cs typeface="Arial" pitchFamily="34" charset="0"/>
            </a:rPr>
            <a:t>a) deben ser compatible con una frecuencia de imagen de 20 FPS como mínimo.</a:t>
          </a:r>
        </a:p>
        <a:p>
          <a:endParaRPr lang="es-ES" sz="1500" b="0" i="0" u="none" strike="noStrike" baseline="0">
            <a:latin typeface="Arial" pitchFamily="34" charset="0"/>
            <a:ea typeface="+mn-ea"/>
            <a:cs typeface="Arial" pitchFamily="34" charset="0"/>
          </a:endParaRPr>
        </a:p>
        <a:p>
          <a:pPr eaLnBrk="1" fontAlgn="auto" latinLnBrk="0" hangingPunct="1"/>
          <a:r>
            <a:rPr lang="es-ES" sz="1200" b="0" i="0" baseline="0">
              <a:effectLst/>
              <a:latin typeface="Arial" panose="020B0604020202020204" pitchFamily="34" charset="0"/>
              <a:ea typeface="+mn-ea"/>
              <a:cs typeface="Arial" panose="020B0604020202020204" pitchFamily="34" charset="0"/>
            </a:rPr>
            <a:t>NOTA: En la tabla A.1 de la norma EN 301 549 v3.2.1 (2021-03) se indica que solo hay que evaluar el apartado a) de este requisito.</a:t>
          </a:r>
          <a:endParaRPr lang="es-ES" sz="1200">
            <a:effectLst/>
            <a:latin typeface="Arial" panose="020B0604020202020204" pitchFamily="34" charset="0"/>
            <a:cs typeface="Arial" panose="020B0604020202020204" pitchFamily="34" charset="0"/>
          </a:endParaRPr>
        </a:p>
      </xdr:txBody>
    </xdr:sp>
    <xdr:clientData/>
  </xdr:twoCellAnchor>
  <xdr:twoCellAnchor editAs="absolute">
    <xdr:from>
      <xdr:col>7</xdr:col>
      <xdr:colOff>552149</xdr:colOff>
      <xdr:row>590</xdr:row>
      <xdr:rowOff>38100</xdr:rowOff>
    </xdr:from>
    <xdr:to>
      <xdr:col>8</xdr:col>
      <xdr:colOff>337880</xdr:colOff>
      <xdr:row>594</xdr:row>
      <xdr:rowOff>121381</xdr:rowOff>
    </xdr:to>
    <xdr:pic>
      <xdr:nvPicPr>
        <xdr:cNvPr id="57" name="Image 1">
          <a:extLst>
            <a:ext uri="{FF2B5EF4-FFF2-40B4-BE49-F238E27FC236}">
              <a16:creationId xmlns:a16="http://schemas.microsoft.com/office/drawing/2014/main" id="{4121ED59-2E21-4960-A0C1-B4F500C94832}"/>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3274" y="96173925"/>
          <a:ext cx="623931" cy="692881"/>
        </a:xfrm>
        <a:prstGeom prst="rect">
          <a:avLst/>
        </a:prstGeom>
        <a:ln>
          <a:noFill/>
        </a:ln>
      </xdr:spPr>
    </xdr:pic>
    <xdr:clientData/>
  </xdr:twoCellAnchor>
  <xdr:twoCellAnchor editAs="absolute">
    <xdr:from>
      <xdr:col>5</xdr:col>
      <xdr:colOff>0</xdr:colOff>
      <xdr:row>633</xdr:row>
      <xdr:rowOff>38658</xdr:rowOff>
    </xdr:from>
    <xdr:to>
      <xdr:col>11</xdr:col>
      <xdr:colOff>14884</xdr:colOff>
      <xdr:row>650</xdr:row>
      <xdr:rowOff>108845</xdr:rowOff>
    </xdr:to>
    <xdr:sp macro="" textlink="">
      <xdr:nvSpPr>
        <xdr:cNvPr id="58" name="TextShape 1" descr="6.5.4 Sincronización entre audio y video (Condicional)  Condición: Cuando las páginas web que proporcionan comunicación bidireccional por voz incluyan una funcionalidad de vídeo en tiempo real.  En el caso de que unas TIC que proporcionen comunicación bidireccional por voz incluyan una funcionalidad de vídeo en tiempo real, las TIC deben garantizar una diferencia temporal máxima de 100 ms entre la presentación de la voz y el vídeo al usuario.   NOTA Las investigaciones recientes indican que, si el audio se adelanta al vídeo, se degrada mucho más la inteligibilidad que viceversa. ">
          <a:extLst>
            <a:ext uri="{FF2B5EF4-FFF2-40B4-BE49-F238E27FC236}">
              <a16:creationId xmlns:a16="http://schemas.microsoft.com/office/drawing/2014/main" id="{735098FF-BEA1-4500-B725-C43C101E8E5F}"/>
            </a:ext>
          </a:extLst>
        </xdr:cNvPr>
        <xdr:cNvSpPr txBox="1"/>
      </xdr:nvSpPr>
      <xdr:spPr>
        <a:xfrm>
          <a:off x="7248896" y="101523203"/>
          <a:ext cx="6100988" cy="2956551"/>
        </a:xfrm>
        <a:prstGeom prst="rect">
          <a:avLst/>
        </a:prstGeom>
        <a:solidFill>
          <a:srgbClr val="DDDDDD"/>
        </a:solidFill>
        <a:ln>
          <a:noFill/>
        </a:ln>
      </xdr:spPr>
      <xdr:txBody>
        <a:bodyPr lIns="108000" tIns="108000" rIns="108000" bIns="108000">
          <a:sp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6.5.4 Sincronización entre audio y video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que proporcionan comunicación bidireccional por voz incluyan una funcionalidad de vídeo en tiempo real.</a:t>
          </a:r>
        </a:p>
        <a:p>
          <a:endParaRPr lang="es-ES" sz="1500" b="0" i="0" u="none" strike="noStrike" baseline="0">
            <a:latin typeface="Arial" pitchFamily="34" charset="0"/>
            <a:ea typeface="+mn-ea"/>
            <a:cs typeface="Arial" pitchFamily="34" charset="0"/>
          </a:endParaRPr>
        </a:p>
        <a:p>
          <a:r>
            <a:rPr lang="es-ES" sz="1500" b="0" i="0" u="none" strike="noStrike" baseline="0">
              <a:latin typeface="Arial" pitchFamily="34" charset="0"/>
              <a:ea typeface="+mn-ea"/>
              <a:cs typeface="Arial" pitchFamily="34" charset="0"/>
            </a:rPr>
            <a:t>En el caso de que unas TIC que proporcionen comunicación bidireccional por voz incluyan una funcionalidad de vídeo en tiempo real, las TIC deben garantizar una diferencia temporal máxima de 100 ms entre la presentación de la voz y el vídeo al usuario. </a:t>
          </a:r>
        </a:p>
        <a:p>
          <a:endParaRPr lang="es-ES" sz="1100" b="0" i="0" u="none" strike="noStrike" baseline="0">
            <a:latin typeface="+mn-lt"/>
            <a:ea typeface="+mn-ea"/>
            <a:cs typeface="+mn-cs"/>
          </a:endParaRPr>
        </a:p>
        <a:p>
          <a:r>
            <a:rPr lang="es-ES" sz="1200" b="0" i="0" u="none" strike="noStrike" baseline="0">
              <a:latin typeface="Arial" panose="020B0604020202020204" pitchFamily="34" charset="0"/>
              <a:ea typeface="+mn-ea"/>
              <a:cs typeface="Arial" panose="020B0604020202020204" pitchFamily="34" charset="0"/>
            </a:rPr>
            <a:t>NOTA Las investigaciones recientes indican que, si el audio se adelanta al vídeo, se degrada mucho más la inteligibilidad que viceversa. </a:t>
          </a:r>
          <a:endParaRPr lang="es-ES" sz="1200">
            <a:effectLst/>
            <a:latin typeface="Arial" pitchFamily="34" charset="0"/>
            <a:cs typeface="Arial" pitchFamily="34" charset="0"/>
          </a:endParaRPr>
        </a:p>
      </xdr:txBody>
    </xdr:sp>
    <xdr:clientData/>
  </xdr:twoCellAnchor>
  <xdr:twoCellAnchor editAs="absolute">
    <xdr:from>
      <xdr:col>7</xdr:col>
      <xdr:colOff>552149</xdr:colOff>
      <xdr:row>628</xdr:row>
      <xdr:rowOff>38100</xdr:rowOff>
    </xdr:from>
    <xdr:to>
      <xdr:col>8</xdr:col>
      <xdr:colOff>337880</xdr:colOff>
      <xdr:row>632</xdr:row>
      <xdr:rowOff>121381</xdr:rowOff>
    </xdr:to>
    <xdr:pic>
      <xdr:nvPicPr>
        <xdr:cNvPr id="59" name="Image 1">
          <a:extLst>
            <a:ext uri="{FF2B5EF4-FFF2-40B4-BE49-F238E27FC236}">
              <a16:creationId xmlns:a16="http://schemas.microsoft.com/office/drawing/2014/main" id="{02E92828-227F-4291-BBA2-0B4A2ED5DC53}"/>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3274" y="102431850"/>
          <a:ext cx="623931" cy="692881"/>
        </a:xfrm>
        <a:prstGeom prst="rect">
          <a:avLst/>
        </a:prstGeom>
        <a:ln>
          <a:noFill/>
        </a:ln>
      </xdr:spPr>
    </xdr:pic>
    <xdr:clientData/>
  </xdr:twoCellAnchor>
  <xdr:twoCellAnchor editAs="absolute">
    <xdr:from>
      <xdr:col>5</xdr:col>
      <xdr:colOff>0</xdr:colOff>
      <xdr:row>671</xdr:row>
      <xdr:rowOff>38658</xdr:rowOff>
    </xdr:from>
    <xdr:to>
      <xdr:col>11</xdr:col>
      <xdr:colOff>14884</xdr:colOff>
      <xdr:row>691</xdr:row>
      <xdr:rowOff>71838</xdr:rowOff>
    </xdr:to>
    <xdr:sp macro="" textlink="">
      <xdr:nvSpPr>
        <xdr:cNvPr id="60" name="TextShape 1" descr="6.5.5 Indicador visual de audio con video (Condicional)  Condición: Cuando las páginas web proporcionen comunicación bidireccional por voz e incluyan una funcionalidad de vídeo en tiempo real.  En el caso de que unas TIC qproporcionen comunicación bidireccional por voz e incluyan una funcionalidad de vídeo en tiempo real, deben proporcionar un indicador visual de la actividad de audio en tiempo real.   NOTA 1: El indicador visual puede ser un punto visual sencillo o LED, u otro tipo de indicador de encendido/apagado, que parpadea para indicar la actividad de audio.  NOTA 2: Sin esta indicación, una persona que carezca de capacidad auditiva no sabrá cuándo se está hablando.">
          <a:extLst>
            <a:ext uri="{FF2B5EF4-FFF2-40B4-BE49-F238E27FC236}">
              <a16:creationId xmlns:a16="http://schemas.microsoft.com/office/drawing/2014/main" id="{6DA73619-AC74-4F79-89CD-BCCB56F7E757}"/>
            </a:ext>
          </a:extLst>
        </xdr:cNvPr>
        <xdr:cNvSpPr txBox="1"/>
      </xdr:nvSpPr>
      <xdr:spPr>
        <a:xfrm>
          <a:off x="7248896" y="107782489"/>
          <a:ext cx="6100988" cy="3364868"/>
        </a:xfrm>
        <a:prstGeom prst="rect">
          <a:avLst/>
        </a:prstGeom>
        <a:solidFill>
          <a:srgbClr val="DDDDDD"/>
        </a:solidFill>
        <a:ln>
          <a:noFill/>
        </a:ln>
      </xdr:spPr>
      <xdr:txBody>
        <a:bodyPr lIns="108000" tIns="108000" rIns="108000" bIns="108000">
          <a:sp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6.5.5 Indicador visual de audio con video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proporcionen comunicación bidireccional por voz e incluyan una funcionalidad de vídeo en tiempo real.</a:t>
          </a:r>
        </a:p>
        <a:p>
          <a:pPr marL="0" marR="0" indent="0" defTabSz="914400" eaLnBrk="1" fontAlgn="auto" latinLnBrk="0" hangingPunct="1">
            <a:lnSpc>
              <a:spcPct val="100000"/>
            </a:lnSpc>
            <a:spcBef>
              <a:spcPts val="0"/>
            </a:spcBef>
            <a:spcAft>
              <a:spcPts val="0"/>
            </a:spcAft>
            <a:buClrTx/>
            <a:buSzTx/>
            <a:buFontTx/>
            <a:buNone/>
            <a:tabLst/>
            <a:defRPr/>
          </a:pPr>
          <a:endParaRPr lang="es-ES" sz="1500" b="0" i="0" baseline="0">
            <a:effectLst/>
            <a:latin typeface="Arial" pitchFamily="34" charset="0"/>
            <a:ea typeface="+mn-ea"/>
            <a:cs typeface="Arial" pitchFamily="34" charset="0"/>
          </a:endParaRPr>
        </a:p>
        <a:p>
          <a:r>
            <a:rPr lang="es-ES" sz="1500" b="0" i="0" baseline="0">
              <a:effectLst/>
              <a:latin typeface="Arial" pitchFamily="34" charset="0"/>
              <a:ea typeface="+mn-ea"/>
              <a:cs typeface="Arial" pitchFamily="34" charset="0"/>
            </a:rPr>
            <a:t>En el caso de que unas TIC proporcionen comunicación bidireccional por voz e incluyan una funcionalidad de vídeo en tiempo real, deben proporcionar un indicador visual de la actividad de audio en tiempo real. </a:t>
          </a:r>
        </a:p>
        <a:p>
          <a:endParaRPr lang="es-ES" sz="1500" b="0" i="0" baseline="0">
            <a:effectLst/>
            <a:latin typeface="Arial" pitchFamily="34" charset="0"/>
            <a:ea typeface="+mn-ea"/>
            <a:cs typeface="Arial" pitchFamily="34" charset="0"/>
          </a:endParaRPr>
        </a:p>
        <a:p>
          <a:r>
            <a:rPr lang="es-ES" sz="1200" b="0" i="0" u="none" strike="noStrike" baseline="0">
              <a:latin typeface="Arial" panose="020B0604020202020204" pitchFamily="34" charset="0"/>
              <a:ea typeface="+mn-ea"/>
              <a:cs typeface="Arial" panose="020B0604020202020204" pitchFamily="34" charset="0"/>
            </a:rPr>
            <a:t>NOTA 1: El indicador visual puede ser un punto visual sencillo o LED, u otro tipo de indicador de encendido/apagado, que parpadea para indicar la actividad de audio. </a:t>
          </a:r>
        </a:p>
        <a:p>
          <a:r>
            <a:rPr lang="es-ES" sz="1200" b="0" i="0" u="none" strike="noStrike" baseline="0">
              <a:latin typeface="Arial" panose="020B0604020202020204" pitchFamily="34" charset="0"/>
              <a:ea typeface="+mn-ea"/>
              <a:cs typeface="Arial" panose="020B0604020202020204" pitchFamily="34" charset="0"/>
            </a:rPr>
            <a:t>NOTA 2: Sin esta indicación, una persona que carezca de capacidad auditiva no sabrá cuándo se está hablando</a:t>
          </a:r>
          <a:r>
            <a:rPr lang="es-ES" sz="1100" b="0" i="0" u="none" strike="noStrike" baseline="0">
              <a:latin typeface="+mn-lt"/>
              <a:ea typeface="+mn-ea"/>
              <a:cs typeface="+mn-cs"/>
            </a:rPr>
            <a:t>. </a:t>
          </a:r>
          <a:endParaRPr lang="es-ES" sz="1500" b="0" i="0" baseline="0">
            <a:effectLst/>
            <a:latin typeface="Arial" pitchFamily="34" charset="0"/>
            <a:ea typeface="+mn-ea"/>
            <a:cs typeface="Arial" pitchFamily="34" charset="0"/>
          </a:endParaRPr>
        </a:p>
      </xdr:txBody>
    </xdr:sp>
    <xdr:clientData/>
  </xdr:twoCellAnchor>
  <xdr:twoCellAnchor editAs="absolute">
    <xdr:from>
      <xdr:col>7</xdr:col>
      <xdr:colOff>552149</xdr:colOff>
      <xdr:row>666</xdr:row>
      <xdr:rowOff>38100</xdr:rowOff>
    </xdr:from>
    <xdr:to>
      <xdr:col>8</xdr:col>
      <xdr:colOff>337880</xdr:colOff>
      <xdr:row>670</xdr:row>
      <xdr:rowOff>121381</xdr:rowOff>
    </xdr:to>
    <xdr:pic>
      <xdr:nvPicPr>
        <xdr:cNvPr id="61" name="Image 1">
          <a:extLst>
            <a:ext uri="{FF2B5EF4-FFF2-40B4-BE49-F238E27FC236}">
              <a16:creationId xmlns:a16="http://schemas.microsoft.com/office/drawing/2014/main" id="{F48BA175-1EEC-4DDD-8DD8-89E2DA1196AA}"/>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3274" y="108689775"/>
          <a:ext cx="623931" cy="692881"/>
        </a:xfrm>
        <a:prstGeom prst="rect">
          <a:avLst/>
        </a:prstGeom>
        <a:ln>
          <a:noFill/>
        </a:ln>
      </xdr:spPr>
    </xdr:pic>
    <xdr:clientData/>
  </xdr:twoCellAnchor>
  <xdr:twoCellAnchor editAs="absolute">
    <xdr:from>
      <xdr:col>5</xdr:col>
      <xdr:colOff>0</xdr:colOff>
      <xdr:row>709</xdr:row>
      <xdr:rowOff>69163</xdr:rowOff>
    </xdr:from>
    <xdr:to>
      <xdr:col>11</xdr:col>
      <xdr:colOff>14884</xdr:colOff>
      <xdr:row>729</xdr:row>
      <xdr:rowOff>97084</xdr:rowOff>
    </xdr:to>
    <xdr:sp macro="" textlink="">
      <xdr:nvSpPr>
        <xdr:cNvPr id="62" name="TextShape 1" descr="6.5.6 Identificación del hablante con comunicación por video (lenguaje de signos)  (Condicional)  Condición: Cuando las páginas web proporcionen identificación del hablante para usuarios de voz.  Cuando las TIC proporcionen identificación del hablante para usuarios de voz, deben, una vez que se haya indicado el comienzo del uso de la lengua de signos, facilitar un modo para la identificación del hablante para los usuarios de lengua de signos en tiempo real.   NOTA 1: En llamadas multiparte, la identificación del hablante puede estar en el mismo sitio que la de los usuarios de voz.  NOTA 2: Este mecanismo puede activarse manualmente por un usuario o de forma automática en el caso de que sea técnicamente posible. ">
          <a:extLst>
            <a:ext uri="{FF2B5EF4-FFF2-40B4-BE49-F238E27FC236}">
              <a16:creationId xmlns:a16="http://schemas.microsoft.com/office/drawing/2014/main" id="{CD4DE1D4-4D89-4C7F-99E5-E00B6FCE531C}"/>
            </a:ext>
          </a:extLst>
        </xdr:cNvPr>
        <xdr:cNvSpPr txBox="1"/>
      </xdr:nvSpPr>
      <xdr:spPr>
        <a:xfrm>
          <a:off x="7248896" y="114261955"/>
          <a:ext cx="6100988" cy="3359610"/>
        </a:xfrm>
        <a:prstGeom prst="rect">
          <a:avLst/>
        </a:prstGeom>
        <a:solidFill>
          <a:srgbClr val="DDDDDD"/>
        </a:solidFill>
        <a:ln>
          <a:noFill/>
        </a:ln>
      </xdr:spPr>
      <xdr:txBody>
        <a:bodyPr lIns="108000" tIns="108000" rIns="108000" bIns="108000">
          <a:sp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6.5.6 Identificación del hablante con comunicación por video (lenguaje de signos)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proporcionen identificación del hablante para usuarios de voz.</a:t>
          </a: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r>
            <a:rPr lang="es-ES" sz="1500" b="0" i="0" baseline="0">
              <a:effectLst/>
              <a:latin typeface="Arial" pitchFamily="34" charset="0"/>
              <a:ea typeface="+mn-ea"/>
              <a:cs typeface="Arial" pitchFamily="34" charset="0"/>
            </a:rPr>
            <a:t>Cuando las TIC proporcionen identificación del hablante para usuarios de voz, deben, una vez que se haya indicado el comienzo del uso de la lengua de signos, facilitar un modo para la identificación del hablante para los usuarios de lengua de signos en tiempo real. </a:t>
          </a:r>
        </a:p>
        <a:p>
          <a:endParaRPr lang="es-ES" sz="1500" b="0" i="0" baseline="0">
            <a:effectLst/>
            <a:latin typeface="Arial" pitchFamily="34" charset="0"/>
            <a:ea typeface="+mn-ea"/>
            <a:cs typeface="Arial" pitchFamily="34" charset="0"/>
          </a:endParaRPr>
        </a:p>
        <a:p>
          <a:r>
            <a:rPr lang="es-ES" sz="1200" b="0" i="0" u="none" strike="noStrike" baseline="0">
              <a:latin typeface="Arial" panose="020B0604020202020204" pitchFamily="34" charset="0"/>
              <a:ea typeface="+mn-ea"/>
              <a:cs typeface="Arial" panose="020B0604020202020204" pitchFamily="34" charset="0"/>
            </a:rPr>
            <a:t>NOTA 1: En llamadas multiparte, la identificación del hablante puede estar en el mismo sitio que la de los usuarios de voz. </a:t>
          </a:r>
        </a:p>
        <a:p>
          <a:r>
            <a:rPr lang="es-ES" sz="1200" b="0" i="0" u="none" strike="noStrike" baseline="0">
              <a:latin typeface="Arial" panose="020B0604020202020204" pitchFamily="34" charset="0"/>
              <a:ea typeface="+mn-ea"/>
              <a:cs typeface="Arial" panose="020B0604020202020204" pitchFamily="34" charset="0"/>
            </a:rPr>
            <a:t>NOTA 2: Este mecanismo puede activarse manualmente por un usuario o de forma automática en el caso de que sea técnicamente posible. </a:t>
          </a:r>
          <a:endParaRPr lang="es-ES" sz="1200">
            <a:effectLst/>
            <a:latin typeface="Arial" pitchFamily="34" charset="0"/>
            <a:cs typeface="Arial" pitchFamily="34" charset="0"/>
          </a:endParaRPr>
        </a:p>
      </xdr:txBody>
    </xdr:sp>
    <xdr:clientData/>
  </xdr:twoCellAnchor>
  <xdr:twoCellAnchor editAs="absolute">
    <xdr:from>
      <xdr:col>7</xdr:col>
      <xdr:colOff>509816</xdr:colOff>
      <xdr:row>704</xdr:row>
      <xdr:rowOff>47438</xdr:rowOff>
    </xdr:from>
    <xdr:to>
      <xdr:col>8</xdr:col>
      <xdr:colOff>295547</xdr:colOff>
      <xdr:row>708</xdr:row>
      <xdr:rowOff>130720</xdr:rowOff>
    </xdr:to>
    <xdr:pic>
      <xdr:nvPicPr>
        <xdr:cNvPr id="63" name="Image 1">
          <a:extLst>
            <a:ext uri="{FF2B5EF4-FFF2-40B4-BE49-F238E27FC236}">
              <a16:creationId xmlns:a16="http://schemas.microsoft.com/office/drawing/2014/main" id="{4B4200EA-7E29-4BA6-BFFC-627D39BEDC48}"/>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26816" y="112505938"/>
          <a:ext cx="621814" cy="675949"/>
        </a:xfrm>
        <a:prstGeom prst="rect">
          <a:avLst/>
        </a:prstGeom>
        <a:ln>
          <a:noFill/>
        </a:ln>
      </xdr:spPr>
    </xdr:pic>
    <xdr:clientData/>
  </xdr:twoCellAnchor>
  <xdr:twoCellAnchor editAs="absolute">
    <xdr:from>
      <xdr:col>7</xdr:col>
      <xdr:colOff>550333</xdr:colOff>
      <xdr:row>324</xdr:row>
      <xdr:rowOff>10583</xdr:rowOff>
    </xdr:from>
    <xdr:to>
      <xdr:col>8</xdr:col>
      <xdr:colOff>336064</xdr:colOff>
      <xdr:row>328</xdr:row>
      <xdr:rowOff>93864</xdr:rowOff>
    </xdr:to>
    <xdr:pic>
      <xdr:nvPicPr>
        <xdr:cNvPr id="64" name="Image 1">
          <a:extLst>
            <a:ext uri="{FF2B5EF4-FFF2-40B4-BE49-F238E27FC236}">
              <a16:creationId xmlns:a16="http://schemas.microsoft.com/office/drawing/2014/main" id="{CAA89297-5CC6-44A4-9373-6EEA2395E051}"/>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67333" y="51710166"/>
          <a:ext cx="621814" cy="675948"/>
        </a:xfrm>
        <a:prstGeom prst="rect">
          <a:avLst/>
        </a:prstGeom>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absolute">
    <xdr:from>
      <xdr:col>7</xdr:col>
      <xdr:colOff>584473</xdr:colOff>
      <xdr:row>20</xdr:row>
      <xdr:rowOff>110972</xdr:rowOff>
    </xdr:from>
    <xdr:to>
      <xdr:col>8</xdr:col>
      <xdr:colOff>315913</xdr:colOff>
      <xdr:row>25</xdr:row>
      <xdr:rowOff>41851</xdr:rowOff>
    </xdr:to>
    <xdr:pic>
      <xdr:nvPicPr>
        <xdr:cNvPr id="2" name="Image 1">
          <a:extLst>
            <a:ext uri="{FF2B5EF4-FFF2-40B4-BE49-F238E27FC236}">
              <a16:creationId xmlns:a16="http://schemas.microsoft.com/office/drawing/2014/main" id="{00000000-0008-0000-0500-000002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601473" y="4652280"/>
          <a:ext cx="567523" cy="671713"/>
        </a:xfrm>
        <a:prstGeom prst="rect">
          <a:avLst/>
        </a:prstGeom>
        <a:ln>
          <a:noFill/>
        </a:ln>
      </xdr:spPr>
    </xdr:pic>
    <xdr:clientData/>
  </xdr:twoCellAnchor>
  <xdr:twoCellAnchor editAs="absolute">
    <xdr:from>
      <xdr:col>5</xdr:col>
      <xdr:colOff>19094</xdr:colOff>
      <xdr:row>100</xdr:row>
      <xdr:rowOff>42721</xdr:rowOff>
    </xdr:from>
    <xdr:to>
      <xdr:col>11</xdr:col>
      <xdr:colOff>22010</xdr:colOff>
      <xdr:row>120</xdr:row>
      <xdr:rowOff>85725</xdr:rowOff>
    </xdr:to>
    <xdr:sp macro="" textlink="">
      <xdr:nvSpPr>
        <xdr:cNvPr id="20" name="TextShape 1" descr="7.1.3 Preservación del subtitulado (Condicional)  Condición: Cuando el contenido web permita visualizar vídeo.  Cuando las TIC transmitan, conviertan o graben vídeo con audio sincronizado, deben preservar los datos de los subtítulos de forma que puedan visualizarse en consonancia con los apartados 7.1.1 y 7.1.2.  Aspectos adicionales de la presentación del texto, como la ubicación en la pantalla, los colores del texto, el estilo del texto y las fuentes del texto, pueden, según las convenciones locales, transmitir algún sentido. Alterar estos aspectos de la presentación podría cambiar el significado y debería evitarse siempre que sea posible.">
          <a:extLst>
            <a:ext uri="{FF2B5EF4-FFF2-40B4-BE49-F238E27FC236}">
              <a16:creationId xmlns:a16="http://schemas.microsoft.com/office/drawing/2014/main" id="{00000000-0008-0000-0500-000014000000}"/>
            </a:ext>
          </a:extLst>
        </xdr:cNvPr>
        <xdr:cNvSpPr txBox="1"/>
      </xdr:nvSpPr>
      <xdr:spPr>
        <a:xfrm>
          <a:off x="6943769" y="17321071"/>
          <a:ext cx="5822691" cy="3300554"/>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7.1.3 Preservación del subtitulado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Cuando el contenido web transmitan, conviertan o graben vídeo con audio sincronizado.</a:t>
          </a: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r>
            <a:rPr lang="es-ES" sz="1500" b="0" strike="noStrike" spc="-1">
              <a:latin typeface="Arial"/>
            </a:rPr>
            <a:t>Cuando las TIC transmitan, conviertan o graben vídeo con audio sincronizado, deben preservar los datos de los subtítulos de forma que puedan visualizarse en consonancia con los apartados 7.1.1 y 7.1.2. </a:t>
          </a:r>
        </a:p>
        <a:p>
          <a:r>
            <a:rPr lang="es-ES" sz="1500" b="0" strike="noStrike" spc="-1">
              <a:latin typeface="Arial"/>
            </a:rPr>
            <a:t>Aspectos adicionales de la presentación del texto, como la ubicación en la pantalla, los colores del texto, el estilo del texto y las fuentes del texto, pueden, según las convenciones locales, transmitir algún sentido. Alterar estos aspectos de la presentación podría cambiar el significado y debería evitarse siempre que sea posible. </a:t>
          </a:r>
        </a:p>
      </xdr:txBody>
    </xdr:sp>
    <xdr:clientData/>
  </xdr:twoCellAnchor>
  <xdr:twoCellAnchor editAs="absolute">
    <xdr:from>
      <xdr:col>4</xdr:col>
      <xdr:colOff>365202</xdr:colOff>
      <xdr:row>62</xdr:row>
      <xdr:rowOff>139625</xdr:rowOff>
    </xdr:from>
    <xdr:to>
      <xdr:col>11</xdr:col>
      <xdr:colOff>9670</xdr:colOff>
      <xdr:row>80</xdr:row>
      <xdr:rowOff>74084</xdr:rowOff>
    </xdr:to>
    <xdr:sp macro="" textlink="">
      <xdr:nvSpPr>
        <xdr:cNvPr id="21" name="TextShape 1" descr="7.1.2 Sincronización del subtitulado (Condicional)  Condición: Cuando el contenido web permita visualizar vídeo.  Cuando las TIC permitan visualizar subtítulos, el mecanismo que permita visualizarlos debe preservar la sincronización entre el audio y los correspondientes subtítulos como sigue:  • Los subtítulos de grabaciones: dentro de 100 ms a partir de la marca temporal del subtitulo.  • Subtítulos en vivo: dentro de 100 ms a partir del momento en el que el reproductor tiene acceso al subtítulo. ">
          <a:extLst>
            <a:ext uri="{FF2B5EF4-FFF2-40B4-BE49-F238E27FC236}">
              <a16:creationId xmlns:a16="http://schemas.microsoft.com/office/drawing/2014/main" id="{00000000-0008-0000-0500-000015000000}"/>
            </a:ext>
          </a:extLst>
        </xdr:cNvPr>
        <xdr:cNvSpPr txBox="1"/>
      </xdr:nvSpPr>
      <xdr:spPr>
        <a:xfrm>
          <a:off x="6926869" y="11167458"/>
          <a:ext cx="5846301" cy="2601459"/>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7.1.2 Sincronización del subtitulado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Cuando el contenido web permita visualizar subtítulos.</a:t>
          </a: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r>
            <a:rPr lang="es-ES" sz="1500" b="0">
              <a:effectLst/>
              <a:latin typeface="Arial" pitchFamily="34" charset="0"/>
              <a:ea typeface="+mn-ea"/>
              <a:cs typeface="Arial" pitchFamily="34" charset="0"/>
            </a:rPr>
            <a:t>Cuando las TIC permitan visualizar subtítulos, el mecanismo que permita visualizarlos debe preservar la sincronización entre el audio y los correspondientes subtítulos como sigue: </a:t>
          </a:r>
        </a:p>
        <a:p>
          <a:r>
            <a:rPr lang="es-ES" sz="1500" b="0">
              <a:effectLst/>
              <a:latin typeface="Arial" pitchFamily="34" charset="0"/>
              <a:ea typeface="+mn-ea"/>
              <a:cs typeface="Arial" pitchFamily="34" charset="0"/>
            </a:rPr>
            <a:t>• Los subtítulos de grabaciones: dentro de 100 ms a partir de la marca temporal del subtitulo. </a:t>
          </a:r>
        </a:p>
        <a:p>
          <a:r>
            <a:rPr lang="es-ES" sz="1500" b="0">
              <a:effectLst/>
              <a:latin typeface="Arial" pitchFamily="34" charset="0"/>
              <a:ea typeface="+mn-ea"/>
              <a:cs typeface="Arial" pitchFamily="34" charset="0"/>
            </a:rPr>
            <a:t>• Subtítulos en vivo: dentro de 100 ms a partir del momento en el que el reproductor tiene acceso al subtítulo. </a:t>
          </a:r>
          <a:endParaRPr lang="en-US" sz="1500" b="0">
            <a:effectLst/>
            <a:latin typeface="Arial" pitchFamily="34" charset="0"/>
            <a:ea typeface="+mn-ea"/>
            <a:cs typeface="Arial" pitchFamily="34" charset="0"/>
          </a:endParaRPr>
        </a:p>
      </xdr:txBody>
    </xdr:sp>
    <xdr:clientData/>
  </xdr:twoCellAnchor>
  <xdr:twoCellAnchor editAs="absolute">
    <xdr:from>
      <xdr:col>4</xdr:col>
      <xdr:colOff>359424</xdr:colOff>
      <xdr:row>25</xdr:row>
      <xdr:rowOff>55817</xdr:rowOff>
    </xdr:from>
    <xdr:to>
      <xdr:col>11</xdr:col>
      <xdr:colOff>813874</xdr:colOff>
      <xdr:row>52</xdr:row>
      <xdr:rowOff>125213</xdr:rowOff>
    </xdr:to>
    <xdr:sp macro="" textlink="">
      <xdr:nvSpPr>
        <xdr:cNvPr id="22" name="TextShape 1" descr="7.1.1 Reproducción del subtitulado (Condicional)  Condición: Cuando el contenido web permita visualizar vídeo.  Cuando las TIC permitan visualizar vídeo con audio sincronizado, debe tener un modo de operación que permita visualizar los subtítulos disponibles. En el caso de que se proporcionen subtítulos ocultos como parte del contenido, el contenido web debe permitir al usuario seleccionar la visualización de los subtítulos.   NOTA 1: Los subtítulos pueden contener información sobre la velocidad, el color y la ubicación de los subtítulos. Estos datos de los subtítulos son necesarios para los usuarios de los subtítulos. La velocidad se utiliza para la sincronización de los subtítulos. El color puede utilizarse para identificar a la persona que habla. La ubicación puede utilizarse para evitar ocultar información importante.  NOTA 2: Si se encuentra conectado un dispositivo braille, las TIC deberían proporcionar una opción para la reproducción de los subtítulos en el dispositivo braille.  NOTE 3: Clause 7.1.1 refers to the ability of the player to display captions. Clauses 9.1.2.2, 10.1.2.2 and 11.1.2.2 refer to the provision of captions for the content (the video). ">
          <a:extLst>
            <a:ext uri="{FF2B5EF4-FFF2-40B4-BE49-F238E27FC236}">
              <a16:creationId xmlns:a16="http://schemas.microsoft.com/office/drawing/2014/main" id="{00000000-0008-0000-0500-000016000000}"/>
            </a:ext>
          </a:extLst>
        </xdr:cNvPr>
        <xdr:cNvSpPr txBox="1"/>
      </xdr:nvSpPr>
      <xdr:spPr>
        <a:xfrm>
          <a:off x="7219213" y="5439902"/>
          <a:ext cx="6947548" cy="4174536"/>
        </a:xfrm>
        <a:prstGeom prst="rect">
          <a:avLst/>
        </a:prstGeom>
        <a:solidFill>
          <a:srgbClr val="DDDDDD"/>
        </a:solidFill>
        <a:ln>
          <a:noFill/>
        </a:ln>
      </xdr:spPr>
      <xdr:txBody>
        <a:bodyPr lIns="108000" tIns="108000" rIns="108000" bIns="108000">
          <a:noAutofit/>
        </a:bodyPr>
        <a:lstStyle/>
        <a:p>
          <a:r>
            <a:rPr lang="en-US" sz="1500" b="1" u="none" strike="noStrike" spc="-1">
              <a:solidFill>
                <a:srgbClr val="000000"/>
              </a:solidFill>
              <a:latin typeface="Arial"/>
              <a:ea typeface="Linux Libertine G"/>
            </a:rPr>
            <a:t>7.1.1 Reproducción del subtitulado (Condicional)</a:t>
          </a:r>
        </a:p>
        <a:p>
          <a:endParaRPr lang="en-US" sz="1500" b="0" u="sng" strike="noStrike" spc="-1">
            <a:solidFill>
              <a:srgbClr val="000000"/>
            </a:solidFill>
            <a:latin typeface="Arial"/>
            <a:ea typeface="Linux Libertine G"/>
          </a:endParaRPr>
        </a:p>
        <a:p>
          <a:r>
            <a:rPr lang="en-US" sz="1500" b="0" u="sng" strike="noStrike" spc="-1">
              <a:solidFill>
                <a:srgbClr val="000000"/>
              </a:solidFill>
              <a:latin typeface="Arial"/>
              <a:ea typeface="Linux Libertine G"/>
            </a:rPr>
            <a:t>Condición:</a:t>
          </a:r>
          <a:r>
            <a:rPr lang="en-US" sz="1500" b="0" strike="noStrike" spc="-1">
              <a:solidFill>
                <a:srgbClr val="000000"/>
              </a:solidFill>
              <a:latin typeface="Arial"/>
              <a:ea typeface="Linux Libertine G"/>
            </a:rPr>
            <a:t> Cuando el contenido web permitan visualizar vídeo con audio sincronizado.</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Cuando las</a:t>
          </a:r>
          <a:r>
            <a:rPr lang="en-US" sz="1500" b="0" strike="noStrike" spc="-1" baseline="0">
              <a:solidFill>
                <a:srgbClr val="000000"/>
              </a:solidFill>
              <a:latin typeface="Arial"/>
              <a:ea typeface="Linux Libertine G"/>
            </a:rPr>
            <a:t> TIC </a:t>
          </a:r>
          <a:r>
            <a:rPr lang="en-US" sz="1500" b="0" strike="noStrike" spc="-1">
              <a:solidFill>
                <a:srgbClr val="000000"/>
              </a:solidFill>
              <a:latin typeface="Arial"/>
              <a:ea typeface="Linux Libertine G"/>
            </a:rPr>
            <a:t>permitan visualizar vídeo con audio sincronizado, debe tener un modo de operación que permita visualizar los subtítulos disponibles. En el caso de que se proporcionen subtítulos ocultos como parte del contenido, el contenido web debe permitir al usuario seleccionar la visualización de los subtítulos. </a:t>
          </a:r>
        </a:p>
        <a:p>
          <a:endParaRPr lang="en-US" sz="1500" b="0" strike="noStrike" spc="-1">
            <a:solidFill>
              <a:srgbClr val="000000"/>
            </a:solidFill>
            <a:latin typeface="Arial"/>
            <a:ea typeface="Linux Libertine G"/>
          </a:endParaRPr>
        </a:p>
        <a:p>
          <a:r>
            <a:rPr lang="es-ES" sz="1200" b="0" i="0" u="none" strike="noStrike" baseline="0">
              <a:latin typeface="Arial" panose="020B0604020202020204" pitchFamily="34" charset="0"/>
              <a:ea typeface="+mn-ea"/>
              <a:cs typeface="Arial" panose="020B0604020202020204" pitchFamily="34" charset="0"/>
            </a:rPr>
            <a:t>NOTA 1: Los subtítulos pueden contener información sobre la velocidad, el color y la ubicación de los subtítulos. Estos datos de los subtítulos son necesarios para los usuarios de los subtítulos. La velocidad se utiliza para la sincronización de los subtítulos. El color puede utilizarse para identificar a la persona que habla. La ubicación puede utilizarse para evitar ocultar información importante. </a:t>
          </a:r>
        </a:p>
        <a:p>
          <a:r>
            <a:rPr lang="es-ES" sz="1200" b="0" i="0" u="none" strike="noStrike" baseline="0">
              <a:latin typeface="Arial" panose="020B0604020202020204" pitchFamily="34" charset="0"/>
              <a:ea typeface="+mn-ea"/>
              <a:cs typeface="Arial" panose="020B0604020202020204" pitchFamily="34" charset="0"/>
            </a:rPr>
            <a:t>NOTA 2: Si se encuentra conectado un dispositivo braille, las TIC deberían proporcionar una opción para la reproducción de los subtítulos en el dispositivo braille. </a:t>
          </a:r>
        </a:p>
        <a:p>
          <a:r>
            <a:rPr lang="es-ES" sz="1200" b="0" i="0" u="none" strike="noStrike" baseline="0">
              <a:latin typeface="Arial" panose="020B0604020202020204" pitchFamily="34" charset="0"/>
              <a:ea typeface="+mn-ea"/>
              <a:cs typeface="Arial" panose="020B0604020202020204" pitchFamily="34" charset="0"/>
            </a:rPr>
            <a:t>NOTE 3: Clause 7.1.1 refers to the ability of the player to display captions. Clauses 9.1.2.2, 10.1.2.2 and 11.1.2.2 refer to the provision of captions for the content (the video). </a:t>
          </a:r>
          <a:endParaRPr lang="es-ES" sz="1200" b="0" strike="noStrike" spc="-1">
            <a:latin typeface="Arial" panose="020B0604020202020204" pitchFamily="34" charset="0"/>
            <a:cs typeface="Arial" panose="020B0604020202020204" pitchFamily="34" charset="0"/>
          </a:endParaRPr>
        </a:p>
      </xdr:txBody>
    </xdr:sp>
    <xdr:clientData/>
  </xdr:twoCellAnchor>
  <xdr:twoCellAnchor editAs="absolute">
    <xdr:from>
      <xdr:col>7</xdr:col>
      <xdr:colOff>471295</xdr:colOff>
      <xdr:row>58</xdr:row>
      <xdr:rowOff>11046</xdr:rowOff>
    </xdr:from>
    <xdr:to>
      <xdr:col>8</xdr:col>
      <xdr:colOff>257026</xdr:colOff>
      <xdr:row>62</xdr:row>
      <xdr:rowOff>90093</xdr:rowOff>
    </xdr:to>
    <xdr:pic>
      <xdr:nvPicPr>
        <xdr:cNvPr id="23" name="Image 1">
          <a:extLst>
            <a:ext uri="{FF2B5EF4-FFF2-40B4-BE49-F238E27FC236}">
              <a16:creationId xmlns:a16="http://schemas.microsoft.com/office/drawing/2014/main" id="{00000000-0008-0000-0500-000017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488295" y="10446213"/>
          <a:ext cx="621814" cy="671713"/>
        </a:xfrm>
        <a:prstGeom prst="rect">
          <a:avLst/>
        </a:prstGeom>
        <a:ln>
          <a:noFill/>
        </a:ln>
      </xdr:spPr>
    </xdr:pic>
    <xdr:clientData/>
  </xdr:twoCellAnchor>
  <xdr:twoCellAnchor editAs="absolute">
    <xdr:from>
      <xdr:col>7</xdr:col>
      <xdr:colOff>567623</xdr:colOff>
      <xdr:row>95</xdr:row>
      <xdr:rowOff>125228</xdr:rowOff>
    </xdr:from>
    <xdr:to>
      <xdr:col>8</xdr:col>
      <xdr:colOff>299063</xdr:colOff>
      <xdr:row>100</xdr:row>
      <xdr:rowOff>56468</xdr:rowOff>
    </xdr:to>
    <xdr:pic>
      <xdr:nvPicPr>
        <xdr:cNvPr id="24" name="Image 1">
          <a:extLst>
            <a:ext uri="{FF2B5EF4-FFF2-40B4-BE49-F238E27FC236}">
              <a16:creationId xmlns:a16="http://schemas.microsoft.com/office/drawing/2014/main" id="{00000000-0008-0000-0500-000018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84623" y="16308203"/>
          <a:ext cx="567523" cy="672073"/>
        </a:xfrm>
        <a:prstGeom prst="rect">
          <a:avLst/>
        </a:prstGeom>
        <a:ln>
          <a:noFill/>
        </a:ln>
      </xdr:spPr>
    </xdr:pic>
    <xdr:clientData/>
  </xdr:twoCellAnchor>
  <xdr:twoCellAnchor editAs="absolute">
    <xdr:from>
      <xdr:col>5</xdr:col>
      <xdr:colOff>24342</xdr:colOff>
      <xdr:row>328</xdr:row>
      <xdr:rowOff>146503</xdr:rowOff>
    </xdr:from>
    <xdr:to>
      <xdr:col>11</xdr:col>
      <xdr:colOff>804930</xdr:colOff>
      <xdr:row>357</xdr:row>
      <xdr:rowOff>35775</xdr:rowOff>
    </xdr:to>
    <xdr:sp macro="" textlink="">
      <xdr:nvSpPr>
        <xdr:cNvPr id="29" name="TextShape 1" descr="7.3 Controles de usuario para subtítulos y audiodescripción (Condicional)  Condición: Cuando las páginas web permitan visualizar vídeo.  Cuando el contenido web permita visualizar principalmente materiales que contienen vídeo con contenido de audio asociado, se deben proporcionar controles de usuario para activar el subtitulado y la audiodescripción al mismo nivel de interacción (es decir, que requieran el mismo número de pasos para completar la tarea) que los controles de los medios principales.   NOTA 1: Los controles de los medios principales son el conjunto de controles que el usuario utiliza de forma habitual para controlar los medios.  NOTA 2: Los productos que tienen un control de volumen general por hardware, tales como un teléfono o un portátil que pueda configurarse para la visualización de vídeo a través de software aunque no sea esta su finalidad principal, no necesitarían controles por hardware específicos para el subtitulado y las descripciones; sin embargo, los controles por software o los controles por hardware asignados mediante software tendrían que estar al mismo nivel de interacción.  NOTA 3: La práctica más idónea es que las TIC incluyan controles adicionales que permitan al usuario seleccionar si los subtítulos y la audiodescripción están activados o desactivados por defecto. ">
          <a:extLst>
            <a:ext uri="{FF2B5EF4-FFF2-40B4-BE49-F238E27FC236}">
              <a16:creationId xmlns:a16="http://schemas.microsoft.com/office/drawing/2014/main" id="{7302A39B-088D-4EE6-9901-73CEC8D341E8}"/>
            </a:ext>
          </a:extLst>
        </xdr:cNvPr>
        <xdr:cNvSpPr txBox="1"/>
      </xdr:nvSpPr>
      <xdr:spPr>
        <a:xfrm>
          <a:off x="7268708" y="55373616"/>
          <a:ext cx="6889109" cy="4593638"/>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7.3 Controles de usuario para subtítulos y audiodescripción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Cuando las páginas web permitan visualizar principalmente materiales que contienen vídeo con contenido de audio asociado.</a:t>
          </a: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r>
            <a:rPr lang="en-US" sz="1500" b="0" strike="noStrike" spc="-1">
              <a:solidFill>
                <a:srgbClr val="000000"/>
              </a:solidFill>
              <a:latin typeface="Arial"/>
              <a:ea typeface="Linux Libertine G"/>
            </a:rPr>
            <a:t>Cuando las TIC permitan visualizar principalmente materiales que contienen vídeo con contenido de audio asociado, se deben proporcionar controles de usuario para activar el subtitulado y la audiodescripción al mismo nivel de interacción (es decir, que requieran el mismo número de pasos para completar la tarea) que los controles de los medios principales. </a:t>
          </a:r>
        </a:p>
        <a:p>
          <a:endParaRPr lang="en-US" sz="1500" b="0" strike="noStrike" spc="-1">
            <a:solidFill>
              <a:srgbClr val="000000"/>
            </a:solidFill>
            <a:latin typeface="Arial"/>
            <a:ea typeface="Linux Libertine G"/>
          </a:endParaRPr>
        </a:p>
        <a:p>
          <a:r>
            <a:rPr lang="es-ES" sz="1200" b="0" i="0" u="none" strike="noStrike" baseline="0">
              <a:latin typeface="Arial" panose="020B0604020202020204" pitchFamily="34" charset="0"/>
              <a:ea typeface="+mn-ea"/>
              <a:cs typeface="Arial" panose="020B0604020202020204" pitchFamily="34" charset="0"/>
            </a:rPr>
            <a:t>NOTA 1: Los controles de los medios principales son el conjunto de controles que el usuario utiliza de forma habitual para controlar los medios. </a:t>
          </a:r>
        </a:p>
        <a:p>
          <a:r>
            <a:rPr lang="es-ES" sz="1200" b="0" i="0" u="none" strike="noStrike" baseline="0">
              <a:latin typeface="Arial" panose="020B0604020202020204" pitchFamily="34" charset="0"/>
              <a:ea typeface="+mn-ea"/>
              <a:cs typeface="Arial" panose="020B0604020202020204" pitchFamily="34" charset="0"/>
            </a:rPr>
            <a:t>NOTA 2: Los productos que tienen un control de volumen general por </a:t>
          </a:r>
          <a:r>
            <a:rPr lang="es-ES" sz="1200" b="0" i="1" u="none" strike="noStrike" baseline="0">
              <a:latin typeface="Arial" panose="020B0604020202020204" pitchFamily="34" charset="0"/>
              <a:ea typeface="+mn-ea"/>
              <a:cs typeface="Arial" panose="020B0604020202020204" pitchFamily="34" charset="0"/>
            </a:rPr>
            <a:t>hardware</a:t>
          </a:r>
          <a:r>
            <a:rPr lang="es-ES" sz="1200" b="0" i="0" u="none" strike="noStrike" baseline="0">
              <a:latin typeface="Arial" panose="020B0604020202020204" pitchFamily="34" charset="0"/>
              <a:ea typeface="+mn-ea"/>
              <a:cs typeface="Arial" panose="020B0604020202020204" pitchFamily="34" charset="0"/>
            </a:rPr>
            <a:t>, tales como un teléfono o un portátil que pueda configurarse para la visualización de vídeo a través de </a:t>
          </a:r>
          <a:r>
            <a:rPr lang="es-ES" sz="1200" b="0" i="1" u="none" strike="noStrike" baseline="0">
              <a:latin typeface="Arial" panose="020B0604020202020204" pitchFamily="34" charset="0"/>
              <a:ea typeface="+mn-ea"/>
              <a:cs typeface="Arial" panose="020B0604020202020204" pitchFamily="34" charset="0"/>
            </a:rPr>
            <a:t>software </a:t>
          </a:r>
          <a:r>
            <a:rPr lang="es-ES" sz="1200" b="0" i="0" u="none" strike="noStrike" baseline="0">
              <a:latin typeface="Arial" panose="020B0604020202020204" pitchFamily="34" charset="0"/>
              <a:ea typeface="+mn-ea"/>
              <a:cs typeface="Arial" panose="020B0604020202020204" pitchFamily="34" charset="0"/>
            </a:rPr>
            <a:t>aunque no sea esta su finalidad principal, no necesitarían controles por </a:t>
          </a:r>
          <a:r>
            <a:rPr lang="es-ES" sz="1200" b="0" i="1" u="none" strike="noStrike" baseline="0">
              <a:latin typeface="Arial" panose="020B0604020202020204" pitchFamily="34" charset="0"/>
              <a:ea typeface="+mn-ea"/>
              <a:cs typeface="Arial" panose="020B0604020202020204" pitchFamily="34" charset="0"/>
            </a:rPr>
            <a:t>hardware </a:t>
          </a:r>
          <a:r>
            <a:rPr lang="es-ES" sz="1200" b="0" i="0" u="none" strike="noStrike" baseline="0">
              <a:latin typeface="Arial" panose="020B0604020202020204" pitchFamily="34" charset="0"/>
              <a:ea typeface="+mn-ea"/>
              <a:cs typeface="Arial" panose="020B0604020202020204" pitchFamily="34" charset="0"/>
            </a:rPr>
            <a:t>específicos para el subtitulado y las descripciones; sin embargo, los controles por </a:t>
          </a:r>
          <a:r>
            <a:rPr lang="es-ES" sz="1200" b="0" i="1" u="none" strike="noStrike" baseline="0">
              <a:latin typeface="Arial" panose="020B0604020202020204" pitchFamily="34" charset="0"/>
              <a:ea typeface="+mn-ea"/>
              <a:cs typeface="Arial" panose="020B0604020202020204" pitchFamily="34" charset="0"/>
            </a:rPr>
            <a:t>software </a:t>
          </a:r>
          <a:r>
            <a:rPr lang="es-ES" sz="1200" b="0" i="0" u="none" strike="noStrike" baseline="0">
              <a:latin typeface="Arial" panose="020B0604020202020204" pitchFamily="34" charset="0"/>
              <a:ea typeface="+mn-ea"/>
              <a:cs typeface="Arial" panose="020B0604020202020204" pitchFamily="34" charset="0"/>
            </a:rPr>
            <a:t>o los controles por </a:t>
          </a:r>
          <a:r>
            <a:rPr lang="es-ES" sz="1200" b="0" i="1" u="none" strike="noStrike" baseline="0">
              <a:latin typeface="Arial" panose="020B0604020202020204" pitchFamily="34" charset="0"/>
              <a:ea typeface="+mn-ea"/>
              <a:cs typeface="Arial" panose="020B0604020202020204" pitchFamily="34" charset="0"/>
            </a:rPr>
            <a:t>hardware </a:t>
          </a:r>
          <a:r>
            <a:rPr lang="es-ES" sz="1200" b="0" i="0" u="none" strike="noStrike" baseline="0">
              <a:latin typeface="Arial" panose="020B0604020202020204" pitchFamily="34" charset="0"/>
              <a:ea typeface="+mn-ea"/>
              <a:cs typeface="Arial" panose="020B0604020202020204" pitchFamily="34" charset="0"/>
            </a:rPr>
            <a:t>asignados mediante </a:t>
          </a:r>
          <a:r>
            <a:rPr lang="es-ES" sz="1200" b="0" i="1" u="none" strike="noStrike" baseline="0">
              <a:latin typeface="Arial" panose="020B0604020202020204" pitchFamily="34" charset="0"/>
              <a:ea typeface="+mn-ea"/>
              <a:cs typeface="Arial" panose="020B0604020202020204" pitchFamily="34" charset="0"/>
            </a:rPr>
            <a:t>software </a:t>
          </a:r>
          <a:r>
            <a:rPr lang="es-ES" sz="1200" b="0" i="0" u="none" strike="noStrike" baseline="0">
              <a:latin typeface="Arial" panose="020B0604020202020204" pitchFamily="34" charset="0"/>
              <a:ea typeface="+mn-ea"/>
              <a:cs typeface="Arial" panose="020B0604020202020204" pitchFamily="34" charset="0"/>
            </a:rPr>
            <a:t>tendrían que estar al mismo nivel de interacción. </a:t>
          </a:r>
        </a:p>
        <a:p>
          <a:r>
            <a:rPr lang="es-ES" sz="1200" b="0" i="0" u="none" strike="noStrike" baseline="0">
              <a:latin typeface="Arial" panose="020B0604020202020204" pitchFamily="34" charset="0"/>
              <a:ea typeface="+mn-ea"/>
              <a:cs typeface="Arial" panose="020B0604020202020204" pitchFamily="34" charset="0"/>
            </a:rPr>
            <a:t>NOTA 3: La práctica más idónea es que las TIC incluyan controles adicionales que permitan al usuario seleccionar si los subtítulos y la audiodescripción están activados o desactivados por defecto. </a:t>
          </a:r>
          <a:endParaRPr lang="es-ES" sz="1200" b="0" strike="noStrike" spc="-1">
            <a:latin typeface="Arial" panose="020B0604020202020204" pitchFamily="34" charset="0"/>
            <a:cs typeface="Arial" panose="020B0604020202020204" pitchFamily="34" charset="0"/>
          </a:endParaRPr>
        </a:p>
      </xdr:txBody>
    </xdr:sp>
    <xdr:clientData/>
  </xdr:twoCellAnchor>
  <xdr:twoCellAnchor editAs="absolute">
    <xdr:from>
      <xdr:col>4</xdr:col>
      <xdr:colOff>363009</xdr:colOff>
      <xdr:row>291</xdr:row>
      <xdr:rowOff>58597</xdr:rowOff>
    </xdr:from>
    <xdr:to>
      <xdr:col>11</xdr:col>
      <xdr:colOff>6418</xdr:colOff>
      <xdr:row>304</xdr:row>
      <xdr:rowOff>62606</xdr:rowOff>
    </xdr:to>
    <xdr:sp macro="" textlink="">
      <xdr:nvSpPr>
        <xdr:cNvPr id="30" name="TextShape 1" descr="7.2.3 Preservación de la audiodescripción (Condicional)  Condición: Cuando el contenido web permita visualizar vídeo.  Cuando las TIC transmitan, conviertan o graben vídeo con audio sincronizado, deben preservar los datos de la audiodescripción de forma que esta pueda reproducirse en consonancia con los apartados 7.2.1 y 7.2.2. ">
          <a:extLst>
            <a:ext uri="{FF2B5EF4-FFF2-40B4-BE49-F238E27FC236}">
              <a16:creationId xmlns:a16="http://schemas.microsoft.com/office/drawing/2014/main" id="{7673EA44-26F2-4EE2-B21D-A8999FEE8B68}"/>
            </a:ext>
          </a:extLst>
        </xdr:cNvPr>
        <xdr:cNvSpPr txBox="1"/>
      </xdr:nvSpPr>
      <xdr:spPr>
        <a:xfrm>
          <a:off x="7222798" y="49114583"/>
          <a:ext cx="6136507" cy="2195206"/>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7.2.3 Preservación de la audiodescripción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Cuando el contenido web transmita, convierta o grabe vídeo con audio sincronizado.</a:t>
          </a: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r>
            <a:rPr lang="en-US" sz="1500" b="0" strike="noStrike" spc="-1">
              <a:solidFill>
                <a:srgbClr val="000000"/>
              </a:solidFill>
              <a:latin typeface="Arial"/>
              <a:ea typeface="Linux Libertine G"/>
            </a:rPr>
            <a:t>Cuando las TIC transmitan, conviertan o graben vídeo con audio sincronizado, deben preservar los datos de la audiodescripción de forma que esta pueda reproducirse en consonancia con los apartados 7.2.1 y 7.2.2. </a:t>
          </a:r>
          <a:endParaRPr lang="es-ES" sz="1500" b="0" strike="noStrike" spc="-1">
            <a:latin typeface="Times New Roman"/>
          </a:endParaRPr>
        </a:p>
      </xdr:txBody>
    </xdr:sp>
    <xdr:clientData/>
  </xdr:twoCellAnchor>
  <xdr:twoCellAnchor editAs="absolute">
    <xdr:from>
      <xdr:col>4</xdr:col>
      <xdr:colOff>363008</xdr:colOff>
      <xdr:row>253</xdr:row>
      <xdr:rowOff>80053</xdr:rowOff>
    </xdr:from>
    <xdr:to>
      <xdr:col>11</xdr:col>
      <xdr:colOff>4300</xdr:colOff>
      <xdr:row>265</xdr:row>
      <xdr:rowOff>100213</xdr:rowOff>
    </xdr:to>
    <xdr:sp macro="" textlink="">
      <xdr:nvSpPr>
        <xdr:cNvPr id="31" name="TextShape 1" descr="7.2.2 Sincronización de la audiodescripción (Condicional)  Condición: Cuando el contenido web disponga de un mecanismo para reproducir la audiodescripción.  Cuando las TIC dispongan de un mecanismo para reproducir la audiodescripción, debe preservar la sincronización entre el contenido de audio o visual y la correspondiente audiodescripción.  ">
          <a:extLst>
            <a:ext uri="{FF2B5EF4-FFF2-40B4-BE49-F238E27FC236}">
              <a16:creationId xmlns:a16="http://schemas.microsoft.com/office/drawing/2014/main" id="{89B6FDDA-7633-441B-A79A-D2E3DE909DAE}"/>
            </a:ext>
          </a:extLst>
        </xdr:cNvPr>
        <xdr:cNvSpPr txBox="1"/>
      </xdr:nvSpPr>
      <xdr:spPr>
        <a:xfrm>
          <a:off x="7222797" y="42812870"/>
          <a:ext cx="6134390" cy="2032484"/>
        </a:xfrm>
        <a:prstGeom prst="rect">
          <a:avLst/>
        </a:prstGeom>
        <a:solidFill>
          <a:srgbClr val="DDDDDD"/>
        </a:solidFill>
        <a:ln>
          <a:noFill/>
        </a:ln>
      </xdr:spPr>
      <xdr:txBody>
        <a:bodyPr lIns="108000" tIns="108000" rIns="108000" bIns="108000">
          <a:sp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7.2.2 Sincronización de la audiodescripción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Cuando el contenido web disponga de un mecanismo para reproducir la audiodescripción.</a:t>
          </a: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r>
            <a:rPr lang="en-US" sz="1500" b="0" strike="noStrike" spc="-1">
              <a:solidFill>
                <a:srgbClr val="000000"/>
              </a:solidFill>
              <a:latin typeface="Arial"/>
              <a:ea typeface="Linux Libertine G"/>
            </a:rPr>
            <a:t>Cuando las TIC dispongan de un mecanismo para reproducir la audiodescripción, debe preservar la sincronización entre el contenido de audio o visual y la correspondiente audiodescripción. </a:t>
          </a:r>
          <a:endParaRPr lang="es-ES" sz="1500" b="0" strike="noStrike" spc="-1">
            <a:latin typeface="Times New Roman"/>
          </a:endParaRPr>
        </a:p>
      </xdr:txBody>
    </xdr:sp>
    <xdr:clientData/>
  </xdr:twoCellAnchor>
  <xdr:twoCellAnchor editAs="absolute">
    <xdr:from>
      <xdr:col>5</xdr:col>
      <xdr:colOff>17505</xdr:colOff>
      <xdr:row>214</xdr:row>
      <xdr:rowOff>59890</xdr:rowOff>
    </xdr:from>
    <xdr:to>
      <xdr:col>11</xdr:col>
      <xdr:colOff>20421</xdr:colOff>
      <xdr:row>241</xdr:row>
      <xdr:rowOff>74084</xdr:rowOff>
    </xdr:to>
    <xdr:sp macro="" textlink="">
      <xdr:nvSpPr>
        <xdr:cNvPr id="32" name="TextShape 1" descr="7.2.1 Reproducción de la audiodescripción (Condicional)  Condición: Cuando el contenido web visualice vídeo con audio sincronizado.  Cuando las TIC visualicen vídeo con audio sincronizado, debe proporcionar un mecanismo para seleccionar la audiodescripción disponible y reproducirla por el canal de audio predeterminado. En el caso de que las tecnologías de vídeo no tengan mecanismos explícitos y separados para la audiodescripción, se considera que el contenido web satisface este requisito si permite al usuario seleccionar y reproducir varias pistas de audio.    NOTA 1: En esos casos, el contenido de vídeo puede incluir la audiodescripción como una de las pistas de audio disponibles.  NOTA 2: A veces, las audiodescripciones incorporadas a los medios digitales pueden incluir información para permitir descripciones que sean más largas que los silencios entre los diálogos. Es conveniente que los reproductores de medios digitales sean compatibles con esta característica de «audiodescripción ampliada», sobre todo con respecto a los medios digitales para uso personal.">
          <a:extLst>
            <a:ext uri="{FF2B5EF4-FFF2-40B4-BE49-F238E27FC236}">
              <a16:creationId xmlns:a16="http://schemas.microsoft.com/office/drawing/2014/main" id="{82B169B1-062C-469C-89CF-CBA0DE6AE760}"/>
            </a:ext>
          </a:extLst>
        </xdr:cNvPr>
        <xdr:cNvSpPr txBox="1"/>
      </xdr:nvSpPr>
      <xdr:spPr>
        <a:xfrm>
          <a:off x="6949588" y="35365890"/>
          <a:ext cx="5834333" cy="4247527"/>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7.2.1 Reproducción de la audiodescripción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Cuando el contenido web visualice vídeo con audio sincronizado.</a:t>
          </a:r>
        </a:p>
        <a:p>
          <a:pPr marL="0" marR="0" indent="0" defTabSz="914400" eaLnBrk="1" fontAlgn="auto" latinLnBrk="0" hangingPunct="1">
            <a:lnSpc>
              <a:spcPct val="100000"/>
            </a:lnSpc>
            <a:spcBef>
              <a:spcPts val="0"/>
            </a:spcBef>
            <a:spcAft>
              <a:spcPts val="0"/>
            </a:spcAft>
            <a:buClrTx/>
            <a:buSzTx/>
            <a:buFontTx/>
            <a:buNone/>
            <a:tabLst/>
            <a:defRPr/>
          </a:pPr>
          <a:endParaRPr lang="en-US" sz="1500" b="0">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a:effectLst/>
              <a:latin typeface="Arial" pitchFamily="34" charset="0"/>
              <a:ea typeface="+mn-ea"/>
              <a:cs typeface="Arial" pitchFamily="34" charset="0"/>
            </a:rPr>
            <a:t>Cuando las TIC visualicen vídeo con audio sincronizado</a:t>
          </a:r>
          <a:r>
            <a:rPr lang="es-ES" sz="1500" b="0" strike="noStrike" spc="-1">
              <a:latin typeface="Arial"/>
              <a:ea typeface="+mn-ea"/>
              <a:cs typeface="+mn-cs"/>
            </a:rPr>
            <a:t>, debe proporcionar un mecanismo para seleccionar la audiodescripción disponible y reproducirla por el canal de audio predeterminado.</a:t>
          </a:r>
        </a:p>
        <a:p>
          <a:pPr marL="0" indent="0"/>
          <a:r>
            <a:rPr lang="es-ES" sz="1500" b="0" strike="noStrike" spc="-1">
              <a:latin typeface="Arial"/>
              <a:ea typeface="+mn-ea"/>
              <a:cs typeface="+mn-cs"/>
            </a:rPr>
            <a:t>En el caso de que las tecnologías de vídeo no tengan mecanismos explícitos y separados para la audiodescripción, se considera que el contenido web satisface este requisito si permite al usuario seleccionar y reproducir varias pistas de audio.  </a:t>
          </a:r>
        </a:p>
        <a:p>
          <a:pPr marL="0" indent="0"/>
          <a:endParaRPr lang="es-ES" sz="1500" b="0" strike="noStrike" spc="-1">
            <a:latin typeface="Arial"/>
            <a:ea typeface="+mn-ea"/>
            <a:cs typeface="+mn-cs"/>
          </a:endParaRPr>
        </a:p>
        <a:p>
          <a:r>
            <a:rPr lang="es-ES" sz="1200" b="0" i="0" u="none" strike="noStrike" baseline="0">
              <a:latin typeface="Arial" panose="020B0604020202020204" pitchFamily="34" charset="0"/>
              <a:ea typeface="+mn-ea"/>
              <a:cs typeface="Arial" panose="020B0604020202020204" pitchFamily="34" charset="0"/>
            </a:rPr>
            <a:t>NOTA 1: En esos casos, el contenido de vídeo puede incluir la audiodescripción como una de las pistas de audio disponibles. </a:t>
          </a:r>
        </a:p>
        <a:p>
          <a:r>
            <a:rPr lang="es-ES" sz="1200" b="0" i="0" u="none" strike="noStrike" baseline="0">
              <a:latin typeface="Arial" panose="020B0604020202020204" pitchFamily="34" charset="0"/>
              <a:ea typeface="+mn-ea"/>
              <a:cs typeface="Arial" panose="020B0604020202020204" pitchFamily="34" charset="0"/>
            </a:rPr>
            <a:t>NOTA 2: A veces, las audiodescripciones incorporadas a los medios digitales pueden incluir información para permitir descripciones que sean más largas que los silencios entre los diálogos. Es conveniente que los reproductores de medios digitales sean compatibles con esta característica de "audiodescripción ampliada", sobre todo con respecto a los medios digitales para uso personal. </a:t>
          </a:r>
          <a:endParaRPr lang="es-ES" sz="1200" b="0" strike="noStrike" spc="-1">
            <a:latin typeface="Arial" panose="020B0604020202020204" pitchFamily="34" charset="0"/>
            <a:cs typeface="Arial" panose="020B0604020202020204" pitchFamily="34" charset="0"/>
          </a:endParaRPr>
        </a:p>
      </xdr:txBody>
    </xdr:sp>
    <xdr:clientData/>
  </xdr:twoCellAnchor>
  <xdr:twoCellAnchor editAs="absolute">
    <xdr:from>
      <xdr:col>7</xdr:col>
      <xdr:colOff>544512</xdr:colOff>
      <xdr:row>209</xdr:row>
      <xdr:rowOff>123825</xdr:rowOff>
    </xdr:from>
    <xdr:to>
      <xdr:col>8</xdr:col>
      <xdr:colOff>304527</xdr:colOff>
      <xdr:row>214</xdr:row>
      <xdr:rowOff>59179</xdr:rowOff>
    </xdr:to>
    <xdr:pic>
      <xdr:nvPicPr>
        <xdr:cNvPr id="33" name="Image 1">
          <a:extLst>
            <a:ext uri="{FF2B5EF4-FFF2-40B4-BE49-F238E27FC236}">
              <a16:creationId xmlns:a16="http://schemas.microsoft.com/office/drawing/2014/main" id="{B6040042-5C72-4BF7-8665-035BEF529256}"/>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45637" y="35413950"/>
          <a:ext cx="598215" cy="697354"/>
        </a:xfrm>
        <a:prstGeom prst="rect">
          <a:avLst/>
        </a:prstGeom>
        <a:ln>
          <a:noFill/>
        </a:ln>
      </xdr:spPr>
    </xdr:pic>
    <xdr:clientData/>
  </xdr:twoCellAnchor>
  <xdr:twoCellAnchor editAs="absolute">
    <xdr:from>
      <xdr:col>7</xdr:col>
      <xdr:colOff>519016</xdr:colOff>
      <xdr:row>248</xdr:row>
      <xdr:rowOff>45284</xdr:rowOff>
    </xdr:from>
    <xdr:to>
      <xdr:col>8</xdr:col>
      <xdr:colOff>304747</xdr:colOff>
      <xdr:row>252</xdr:row>
      <xdr:rowOff>124330</xdr:rowOff>
    </xdr:to>
    <xdr:pic>
      <xdr:nvPicPr>
        <xdr:cNvPr id="34" name="Image 1">
          <a:extLst>
            <a:ext uri="{FF2B5EF4-FFF2-40B4-BE49-F238E27FC236}">
              <a16:creationId xmlns:a16="http://schemas.microsoft.com/office/drawing/2014/main" id="{877BB9E8-35C7-4171-9C9A-0D57CC7BEB76}"/>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36016" y="40886367"/>
          <a:ext cx="621814" cy="671713"/>
        </a:xfrm>
        <a:prstGeom prst="rect">
          <a:avLst/>
        </a:prstGeom>
        <a:ln>
          <a:noFill/>
        </a:ln>
      </xdr:spPr>
    </xdr:pic>
    <xdr:clientData/>
  </xdr:twoCellAnchor>
  <xdr:twoCellAnchor editAs="absolute">
    <xdr:from>
      <xdr:col>7</xdr:col>
      <xdr:colOff>562716</xdr:colOff>
      <xdr:row>286</xdr:row>
      <xdr:rowOff>79768</xdr:rowOff>
    </xdr:from>
    <xdr:to>
      <xdr:col>8</xdr:col>
      <xdr:colOff>348447</xdr:colOff>
      <xdr:row>291</xdr:row>
      <xdr:rowOff>11006</xdr:rowOff>
    </xdr:to>
    <xdr:pic>
      <xdr:nvPicPr>
        <xdr:cNvPr id="35" name="Image 1">
          <a:extLst>
            <a:ext uri="{FF2B5EF4-FFF2-40B4-BE49-F238E27FC236}">
              <a16:creationId xmlns:a16="http://schemas.microsoft.com/office/drawing/2014/main" id="{AAA46B3F-F74C-436D-99F6-856470B38B7F}"/>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79716" y="47048601"/>
          <a:ext cx="621814" cy="672072"/>
        </a:xfrm>
        <a:prstGeom prst="rect">
          <a:avLst/>
        </a:prstGeom>
        <a:ln>
          <a:noFill/>
        </a:ln>
      </xdr:spPr>
    </xdr:pic>
    <xdr:clientData/>
  </xdr:twoCellAnchor>
  <xdr:twoCellAnchor editAs="absolute">
    <xdr:from>
      <xdr:col>7</xdr:col>
      <xdr:colOff>561854</xdr:colOff>
      <xdr:row>323</xdr:row>
      <xdr:rowOff>110577</xdr:rowOff>
    </xdr:from>
    <xdr:to>
      <xdr:col>8</xdr:col>
      <xdr:colOff>293294</xdr:colOff>
      <xdr:row>328</xdr:row>
      <xdr:rowOff>45931</xdr:rowOff>
    </xdr:to>
    <xdr:pic>
      <xdr:nvPicPr>
        <xdr:cNvPr id="36" name="Image 1">
          <a:extLst>
            <a:ext uri="{FF2B5EF4-FFF2-40B4-BE49-F238E27FC236}">
              <a16:creationId xmlns:a16="http://schemas.microsoft.com/office/drawing/2014/main" id="{375D97CC-9862-46FC-8283-36C9A7F48EB7}"/>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78854" y="53058994"/>
          <a:ext cx="567523" cy="676187"/>
        </a:xfrm>
        <a:prstGeom prst="rect">
          <a:avLst/>
        </a:prstGeom>
        <a:ln>
          <a:noFill/>
        </a:ln>
      </xdr:spPr>
    </xdr:pic>
    <xdr:clientData/>
  </xdr:twoCellAnchor>
  <xdr:twoCellAnchor editAs="absolute">
    <xdr:from>
      <xdr:col>7</xdr:col>
      <xdr:colOff>581025</xdr:colOff>
      <xdr:row>133</xdr:row>
      <xdr:rowOff>104775</xdr:rowOff>
    </xdr:from>
    <xdr:to>
      <xdr:col>8</xdr:col>
      <xdr:colOff>312465</xdr:colOff>
      <xdr:row>138</xdr:row>
      <xdr:rowOff>36015</xdr:rowOff>
    </xdr:to>
    <xdr:pic>
      <xdr:nvPicPr>
        <xdr:cNvPr id="37" name="Image 1">
          <a:extLst>
            <a:ext uri="{FF2B5EF4-FFF2-40B4-BE49-F238E27FC236}">
              <a16:creationId xmlns:a16="http://schemas.microsoft.com/office/drawing/2014/main" id="{0DBD1209-0F93-4FEC-81D3-F62094FC6DAE}"/>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82150" y="22879050"/>
          <a:ext cx="569640" cy="693240"/>
        </a:xfrm>
        <a:prstGeom prst="rect">
          <a:avLst/>
        </a:prstGeom>
        <a:ln>
          <a:noFill/>
        </a:ln>
      </xdr:spPr>
    </xdr:pic>
    <xdr:clientData/>
  </xdr:twoCellAnchor>
  <xdr:twoCellAnchor editAs="absolute">
    <xdr:from>
      <xdr:col>7</xdr:col>
      <xdr:colOff>579967</xdr:colOff>
      <xdr:row>172</xdr:row>
      <xdr:rowOff>29634</xdr:rowOff>
    </xdr:from>
    <xdr:to>
      <xdr:col>8</xdr:col>
      <xdr:colOff>311407</xdr:colOff>
      <xdr:row>176</xdr:row>
      <xdr:rowOff>109040</xdr:rowOff>
    </xdr:to>
    <xdr:pic>
      <xdr:nvPicPr>
        <xdr:cNvPr id="38" name="Image 1">
          <a:extLst>
            <a:ext uri="{FF2B5EF4-FFF2-40B4-BE49-F238E27FC236}">
              <a16:creationId xmlns:a16="http://schemas.microsoft.com/office/drawing/2014/main" id="{431B96D0-8FFC-4B8E-8547-C41143AFDBA2}"/>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96967" y="28615217"/>
          <a:ext cx="567523" cy="672073"/>
        </a:xfrm>
        <a:prstGeom prst="rect">
          <a:avLst/>
        </a:prstGeom>
        <a:ln>
          <a:noFill/>
        </a:ln>
      </xdr:spPr>
    </xdr:pic>
    <xdr:clientData/>
  </xdr:twoCellAnchor>
  <xdr:twoCellAnchor editAs="absolute">
    <xdr:from>
      <xdr:col>4</xdr:col>
      <xdr:colOff>351367</xdr:colOff>
      <xdr:row>138</xdr:row>
      <xdr:rowOff>113242</xdr:rowOff>
    </xdr:from>
    <xdr:to>
      <xdr:col>10</xdr:col>
      <xdr:colOff>954358</xdr:colOff>
      <xdr:row>160</xdr:row>
      <xdr:rowOff>10584</xdr:rowOff>
    </xdr:to>
    <xdr:sp macro="" textlink="">
      <xdr:nvSpPr>
        <xdr:cNvPr id="39" name="TextShape 1" descr="7.1.4 Características de los subtítulos (Condicional)  Condición: Cuando el contenido web permita visualizar subtítulos.  Cuando las TIC permitan visualizar subtítulos, deben proporcionar un modo en el que el usuario pueda adaptar las características visualizadas de los subtítulos a sus requisitos individuales, salvo en el caso de que los subtítulos se visualicen como caracteres no modificables.   NOTA 1 La definición de los colores de fondo y principales de los subtítulos, de su tipo y cuerpo de letra, de la opacidad de la caja de fondo de los subtítulos, y del contorno o borde de los tipos de letra, puede contribuir al cumplimiento de este requisito.  NOTA 2 Los subtítulos que son imágenes en mapa de bits son ejemplos de caracteres no modificables.">
          <a:extLst>
            <a:ext uri="{FF2B5EF4-FFF2-40B4-BE49-F238E27FC236}">
              <a16:creationId xmlns:a16="http://schemas.microsoft.com/office/drawing/2014/main" id="{D51CC22D-1590-4E18-9EA2-EEAEB2A638D9}"/>
            </a:ext>
          </a:extLst>
        </xdr:cNvPr>
        <xdr:cNvSpPr txBox="1"/>
      </xdr:nvSpPr>
      <xdr:spPr>
        <a:xfrm>
          <a:off x="6913034" y="23163742"/>
          <a:ext cx="5831157" cy="3389842"/>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7.1.4 Características de los subtítulos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Cuando el contenido web permitan visualizar subtítulos.</a:t>
          </a: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r>
            <a:rPr lang="es-ES" sz="1500" b="0">
              <a:effectLst/>
              <a:latin typeface="Arial" pitchFamily="34" charset="0"/>
              <a:ea typeface="+mn-ea"/>
              <a:cs typeface="Arial" pitchFamily="34" charset="0"/>
            </a:rPr>
            <a:t>Cuando las TIC permitan visualizar subtítulos, deben proporcionar un modo en el que el usuario pueda adaptar las características visualizadas de los subtítulos a sus requisitos individuales, salvo en el caso de que los subtítulos se visualicen como caracteres no modificables. </a:t>
          </a:r>
        </a:p>
        <a:p>
          <a:endParaRPr lang="es-ES" sz="1100" b="0" i="0" u="none" strike="noStrike" baseline="0">
            <a:latin typeface="+mn-lt"/>
            <a:ea typeface="+mn-ea"/>
            <a:cs typeface="+mn-cs"/>
          </a:endParaRPr>
        </a:p>
        <a:p>
          <a:r>
            <a:rPr lang="es-ES" sz="1200" b="0" i="0" u="none" strike="noStrike" baseline="0">
              <a:latin typeface="Arial" panose="020B0604020202020204" pitchFamily="34" charset="0"/>
              <a:ea typeface="+mn-ea"/>
              <a:cs typeface="Arial" panose="020B0604020202020204" pitchFamily="34" charset="0"/>
            </a:rPr>
            <a:t>NOTA 1: La definición de los colores de fondo y principales de los subtítulos, de su tipo y cuerpo de letra, de la opacidad de la caja de fondo de los subtítulos, y del contorno o borde de los tipos de letra, puede contribuir al cumplimiento de este requisito. </a:t>
          </a:r>
        </a:p>
        <a:p>
          <a:r>
            <a:rPr lang="es-ES" sz="1200" b="0" i="0" u="none" strike="noStrike" baseline="0">
              <a:latin typeface="Arial" panose="020B0604020202020204" pitchFamily="34" charset="0"/>
              <a:ea typeface="+mn-ea"/>
              <a:cs typeface="Arial" panose="020B0604020202020204" pitchFamily="34" charset="0"/>
            </a:rPr>
            <a:t>NOTA 2: Los subtítulos que son imágenes en mapa de bits son ejemplos de caracteres no modificables.</a:t>
          </a:r>
          <a:endParaRPr lang="es-ES" sz="1200">
            <a:effectLst/>
            <a:latin typeface="Arial" pitchFamily="34" charset="0"/>
            <a:cs typeface="Arial" pitchFamily="34" charset="0"/>
          </a:endParaRPr>
        </a:p>
      </xdr:txBody>
    </xdr:sp>
    <xdr:clientData/>
  </xdr:twoCellAnchor>
  <xdr:twoCellAnchor editAs="absolute">
    <xdr:from>
      <xdr:col>5</xdr:col>
      <xdr:colOff>9525</xdr:colOff>
      <xdr:row>176</xdr:row>
      <xdr:rowOff>136524</xdr:rowOff>
    </xdr:from>
    <xdr:to>
      <xdr:col>11</xdr:col>
      <xdr:colOff>12441</xdr:colOff>
      <xdr:row>204</xdr:row>
      <xdr:rowOff>31749</xdr:rowOff>
    </xdr:to>
    <xdr:sp macro="" textlink="">
      <xdr:nvSpPr>
        <xdr:cNvPr id="40" name="TextShape 1" descr="7.1.5 Subtítulos hablados (Condicional)  Condición: Cuando el contenido web visualice vídeo con audio sincronizado.  Cuando las TIC visualicen vídeo con audio sincronizado, deben proporcionar un modo de operación que facilite una salida hablada de los subtítulos disponibles, salvo en el caso de que el contenido de los subtítulos visualizados no sea determinable por software.   NOTA 1: La mayoría de los usuarios prefiere poder manejar el rango de la salida de voz para los subtítulos hablados independientemente de la voz general de las TIC. Esto es posible cuando el fichero de audio con el subtítulo hablado se sirve en una pista de audio diferenciada y se mezcla en el dispositivo del usuario final.  NOTA 2: La sincronización entre la presentación de la pista de audio separada con los subtítulos hablados y los subtítulos visualizados mejora la comprensibilidad de los subtítulos.  NOTA 3: El suministro de subtítulos como flujos de texto separados facilita la conversión de los textos respectivos a audio.  NOTA 4: Un ejemplo de subtítulos visualizados cuyo contenido no será determinable por software son los subtítulos que son imágenes de mapa de bits.">
          <a:extLst>
            <a:ext uri="{FF2B5EF4-FFF2-40B4-BE49-F238E27FC236}">
              <a16:creationId xmlns:a16="http://schemas.microsoft.com/office/drawing/2014/main" id="{90FB650F-3FBA-4FA1-BAEA-D7ABE7AE247D}"/>
            </a:ext>
          </a:extLst>
        </xdr:cNvPr>
        <xdr:cNvSpPr txBox="1"/>
      </xdr:nvSpPr>
      <xdr:spPr>
        <a:xfrm>
          <a:off x="6941608" y="29314774"/>
          <a:ext cx="5834333" cy="4276725"/>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7.1.5 Subtítulos hablados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Cuando el contenido web visualice vídeo con audio sincronizado.</a:t>
          </a:r>
        </a:p>
        <a:p>
          <a:pPr marL="0" marR="0" indent="0" defTabSz="914400" eaLnBrk="1" fontAlgn="auto" latinLnBrk="0" hangingPunct="1">
            <a:lnSpc>
              <a:spcPct val="100000"/>
            </a:lnSpc>
            <a:spcBef>
              <a:spcPts val="0"/>
            </a:spcBef>
            <a:spcAft>
              <a:spcPts val="0"/>
            </a:spcAft>
            <a:buClrTx/>
            <a:buSzTx/>
            <a:buFontTx/>
            <a:buNone/>
            <a:tabLst/>
            <a:defRPr/>
          </a:pPr>
          <a:endParaRPr lang="en-US" sz="1500" b="0">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a:effectLst/>
              <a:latin typeface="Arial" pitchFamily="34" charset="0"/>
              <a:ea typeface="+mn-ea"/>
              <a:cs typeface="Arial" pitchFamily="34" charset="0"/>
            </a:rPr>
            <a:t>Cuando las TIC visualicen vídeo con audio sincronizado</a:t>
          </a:r>
          <a:r>
            <a:rPr lang="es-ES" sz="1500" b="0">
              <a:effectLst/>
              <a:latin typeface="Arial" pitchFamily="34" charset="0"/>
              <a:ea typeface="+mn-ea"/>
              <a:cs typeface="Arial" pitchFamily="34" charset="0"/>
            </a:rPr>
            <a:t>, deben proporcionar un modo de operación que facilite una salida hablada de los subtítulos disponibles, salvo en el caso de que el contenido de los subtítulos visualizados no sea determinable por software. </a:t>
          </a:r>
        </a:p>
        <a:p>
          <a:endParaRPr lang="es-ES" sz="1100" b="0" i="0" u="none" strike="noStrike" baseline="0">
            <a:latin typeface="+mn-lt"/>
            <a:ea typeface="+mn-ea"/>
            <a:cs typeface="+mn-cs"/>
          </a:endParaRPr>
        </a:p>
        <a:p>
          <a:r>
            <a:rPr lang="es-ES" sz="1200" b="0" i="0" u="none" strike="noStrike" baseline="0">
              <a:latin typeface="Arial" panose="020B0604020202020204" pitchFamily="34" charset="0"/>
              <a:ea typeface="+mn-ea"/>
              <a:cs typeface="Arial" panose="020B0604020202020204" pitchFamily="34" charset="0"/>
            </a:rPr>
            <a:t>NOTA 1: La mayoría de los usuarios prefiere poder manejar el rango de la salida de voz para los subtítulos hablados independientemente de la voz general de las TIC. Esto es posible cuando el fichero de audio con el subtítulo hablado se sirve en una pista de audio diferenciada y se mezcla en el dispositivo del usuario final. </a:t>
          </a:r>
        </a:p>
        <a:p>
          <a:r>
            <a:rPr lang="es-ES" sz="1200" b="0" i="0" u="none" strike="noStrike" baseline="0">
              <a:latin typeface="Arial" panose="020B0604020202020204" pitchFamily="34" charset="0"/>
              <a:ea typeface="+mn-ea"/>
              <a:cs typeface="Arial" panose="020B0604020202020204" pitchFamily="34" charset="0"/>
            </a:rPr>
            <a:t>NOTA 2: La sincronización entre la presentación de la pista de audio separada con los subtítulos hablados y los subtítulos visualizados mejora la comprensibilidad de los subtítulos. </a:t>
          </a:r>
        </a:p>
        <a:p>
          <a:r>
            <a:rPr lang="es-ES" sz="1200" b="0" i="0" u="none" strike="noStrike" baseline="0">
              <a:latin typeface="Arial" panose="020B0604020202020204" pitchFamily="34" charset="0"/>
              <a:ea typeface="+mn-ea"/>
              <a:cs typeface="Arial" panose="020B0604020202020204" pitchFamily="34" charset="0"/>
            </a:rPr>
            <a:t>NOTA 3: El suministro de subtítulos como flujos de texto separados facilita la conversión de los textos respectivos a audio. </a:t>
          </a:r>
        </a:p>
        <a:p>
          <a:r>
            <a:rPr lang="es-ES" sz="1200" b="0" i="0" u="none" strike="noStrike" baseline="0">
              <a:latin typeface="Arial" panose="020B0604020202020204" pitchFamily="34" charset="0"/>
              <a:ea typeface="+mn-ea"/>
              <a:cs typeface="Arial" panose="020B0604020202020204" pitchFamily="34" charset="0"/>
            </a:rPr>
            <a:t>NOTA 4: Un ejemplo de subtítulos visualizados cuyo contenido no será determinable por </a:t>
          </a:r>
          <a:r>
            <a:rPr lang="es-ES" sz="1200" b="0" i="1" u="none" strike="noStrike" baseline="0">
              <a:latin typeface="Arial" panose="020B0604020202020204" pitchFamily="34" charset="0"/>
              <a:ea typeface="+mn-ea"/>
              <a:cs typeface="Arial" panose="020B0604020202020204" pitchFamily="34" charset="0"/>
            </a:rPr>
            <a:t>software </a:t>
          </a:r>
          <a:r>
            <a:rPr lang="es-ES" sz="1200" b="0" i="0" u="none" strike="noStrike" baseline="0">
              <a:latin typeface="Arial" panose="020B0604020202020204" pitchFamily="34" charset="0"/>
              <a:ea typeface="+mn-ea"/>
              <a:cs typeface="Arial" panose="020B0604020202020204" pitchFamily="34" charset="0"/>
            </a:rPr>
            <a:t>son los subtítulos que son imágenes de mapa de bits. </a:t>
          </a:r>
          <a:endParaRPr lang="es-ES" sz="1200">
            <a:effectLst/>
            <a:latin typeface="Arial" pitchFamily="34" charset="0"/>
            <a:cs typeface="Arial" pitchFamily="34" charset="0"/>
          </a:endParaRPr>
        </a:p>
      </xdr:txBody>
    </xdr:sp>
    <xdr:clientData/>
  </xdr:twoCellAnchor>
</xdr:wsDr>
</file>

<file path=xl/drawings/drawing7.xml><?xml version="1.0" encoding="utf-8"?>
<xdr:wsDr xmlns:xdr="http://schemas.openxmlformats.org/drawingml/2006/spreadsheetDrawing" xmlns:a="http://schemas.openxmlformats.org/drawingml/2006/main">
  <xdr:twoCellAnchor editAs="absolute">
    <xdr:from>
      <xdr:col>7</xdr:col>
      <xdr:colOff>595056</xdr:colOff>
      <xdr:row>19</xdr:row>
      <xdr:rowOff>86630</xdr:rowOff>
    </xdr:from>
    <xdr:to>
      <xdr:col>8</xdr:col>
      <xdr:colOff>326496</xdr:colOff>
      <xdr:row>24</xdr:row>
      <xdr:rowOff>17510</xdr:rowOff>
    </xdr:to>
    <xdr:pic>
      <xdr:nvPicPr>
        <xdr:cNvPr id="2" name="Image 1">
          <a:extLst>
            <a:ext uri="{FF2B5EF4-FFF2-40B4-BE49-F238E27FC236}">
              <a16:creationId xmlns:a16="http://schemas.microsoft.com/office/drawing/2014/main" id="{00000000-0008-0000-0600-000002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612056" y="4457547"/>
          <a:ext cx="567523" cy="671713"/>
        </a:xfrm>
        <a:prstGeom prst="rect">
          <a:avLst/>
        </a:prstGeom>
        <a:ln>
          <a:noFill/>
        </a:ln>
      </xdr:spPr>
    </xdr:pic>
    <xdr:clientData/>
  </xdr:twoCellAnchor>
  <xdr:twoCellAnchor editAs="absolute">
    <xdr:from>
      <xdr:col>5</xdr:col>
      <xdr:colOff>18598</xdr:colOff>
      <xdr:row>670</xdr:row>
      <xdr:rowOff>9610</xdr:rowOff>
    </xdr:from>
    <xdr:to>
      <xdr:col>11</xdr:col>
      <xdr:colOff>582083</xdr:colOff>
      <xdr:row>701</xdr:row>
      <xdr:rowOff>222252</xdr:rowOff>
    </xdr:to>
    <xdr:sp macro="" textlink="">
      <xdr:nvSpPr>
        <xdr:cNvPr id="3" name="TextShape 1" descr="9.1.4.12 Espaciado del texto (Condicional)  Condición: Cuando las TIC sean una página web.  En el contenido implementado usando lenguajes de marcado que soportan las siguientes propiedades de estilo de texto, no se produce ninguna pérdida de contenido o funcionalidad al configurar todo lo siguiente y al no cambiar ninguna otra propiedad de estilo:   - Altura de línea (espaciado de línea) de al menos 1,5 veces el tamaño de la fuente;  - Espaciando los párrafos siguientes a por lo menos 2 veces el tamaño de la fuente;  - Espaciado de letras (rastreo) a por lo menos 0.12 veces el tamaño de la fuente;  - Espacio entre palabras de al menos 0.16 veces el tamaño de la fuente.  https://www.w3.org/TR/WCAG/#text-spacing">
          <a:extLst>
            <a:ext uri="{FF2B5EF4-FFF2-40B4-BE49-F238E27FC236}">
              <a16:creationId xmlns:a16="http://schemas.microsoft.com/office/drawing/2014/main" id="{00000000-0008-0000-0600-000003000000}"/>
            </a:ext>
          </a:extLst>
        </xdr:cNvPr>
        <xdr:cNvSpPr txBox="1"/>
      </xdr:nvSpPr>
      <xdr:spPr>
        <a:xfrm>
          <a:off x="6950681" y="104615277"/>
          <a:ext cx="6394902" cy="4805808"/>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9.1.4.12 Espaciado del texto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En el contenido implementado usando lenguajes de marcado que soportan las siguientes propiedades de estilo de texto, no se produce ninguna pérdida de contenido o funcionalidad al configurar todo lo siguiente y al no cambiar ninguna otra propiedad de estilo: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Altura de línea (espaciado de línea) de al menos 1,5 veces el tamaño de la fuente;</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Espaciando los párrafos siguientes a por lo menos 2 veces el tamaño de la fuente;</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Espaciado de letras (rastreo) a por lo menos 0.12 veces el tamaño de la fuente;</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Espacio entre palabras de al menos 0.16 veces el tamaño de la fuente.</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
            </a:rPr>
            <a:t>https://www.w3.org/TR/WCAG/#text-spacing</a:t>
          </a:r>
          <a:endParaRPr lang="es-ES" sz="1500" b="0" strike="noStrike" spc="-1">
            <a:latin typeface="Times New Roman"/>
          </a:endParaRPr>
        </a:p>
      </xdr:txBody>
    </xdr:sp>
    <xdr:clientData/>
  </xdr:twoCellAnchor>
  <xdr:twoCellAnchor editAs="absolute">
    <xdr:from>
      <xdr:col>5</xdr:col>
      <xdr:colOff>4234</xdr:colOff>
      <xdr:row>708</xdr:row>
      <xdr:rowOff>45837</xdr:rowOff>
    </xdr:from>
    <xdr:to>
      <xdr:col>12</xdr:col>
      <xdr:colOff>518584</xdr:colOff>
      <xdr:row>739</xdr:row>
      <xdr:rowOff>232833</xdr:rowOff>
    </xdr:to>
    <xdr:sp macro="" textlink="">
      <xdr:nvSpPr>
        <xdr:cNvPr id="4" name="TextShape 1" descr="9.1.4.13 Contenido señalado con el puntero o que tiene el foco (Condicional)  Condición: Cuando las TIC sean una página web.  Si al recibir y luego eliminar el puntero o el foco del teclado se activa el contenido adicional para que se haga visible y luego se oculte, lo siguiente es cierto:   - Puede retirarse: Un mecanismo está disponible para descartar el contenido adicional sin mover el puntero o el foco del teclado, a menos que el contenido adicional comunique un error de entrada o no oscurezca o reemplace otro contenido;  - Hoverable: Si el puntero puede activar el contenido adicional, entonces el puntero puede moverse sobre el contenido adicional sin que el contenido adicional desaparezca;  - Persistente: El contenido adicional permanece visible hasta que se elimina el cursor o el disparador de enfoque, el usuario lo despide o su información deja de ser válida.  https://www.w3.org/TR/WCAG/#content-on-hover-or-focus">
          <a:extLst>
            <a:ext uri="{FF2B5EF4-FFF2-40B4-BE49-F238E27FC236}">
              <a16:creationId xmlns:a16="http://schemas.microsoft.com/office/drawing/2014/main" id="{00000000-0008-0000-0600-000004000000}"/>
            </a:ext>
          </a:extLst>
        </xdr:cNvPr>
        <xdr:cNvSpPr txBox="1"/>
      </xdr:nvSpPr>
      <xdr:spPr>
        <a:xfrm>
          <a:off x="6936317" y="110504087"/>
          <a:ext cx="7181850" cy="4780163"/>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9.1.4.13 Contenido señalado con el puntero o que tiene el foco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Si al recibir y luego eliminar el puntero o el foco del teclado se activa el contenido adicional para que se haga visible y luego se oculte, lo siguiente es cierto: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Puede retirarse</a:t>
          </a:r>
          <a:r>
            <a:rPr lang="en-US" sz="1500" b="0" strike="noStrike" spc="-1">
              <a:solidFill>
                <a:srgbClr val="000000"/>
              </a:solidFill>
              <a:latin typeface="Arial"/>
              <a:ea typeface="Linux Libertine G"/>
            </a:rPr>
            <a:t>: Un mecanismo está disponible para descartar el contenido adicional sin mover el puntero o el foco del teclado, a menos que el contenido adicional comunique un error de entrada o no oscurezca o reemplace otro contenido;</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Hoverable</a:t>
          </a:r>
          <a:r>
            <a:rPr lang="en-US" sz="1500" b="0" strike="noStrike" spc="-1">
              <a:solidFill>
                <a:srgbClr val="000000"/>
              </a:solidFill>
              <a:latin typeface="Arial"/>
              <a:ea typeface="Linux Libertine G"/>
            </a:rPr>
            <a:t>: Si el puntero puede activar el contenido adicional, entonces el puntero puede moverse sobre el contenido adicional sin que el contenido adicional desaparezca;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Persistente</a:t>
          </a:r>
          <a:r>
            <a:rPr lang="en-US" sz="1500" b="0" strike="noStrike" spc="-1">
              <a:solidFill>
                <a:srgbClr val="000000"/>
              </a:solidFill>
              <a:latin typeface="Arial"/>
              <a:ea typeface="Linux Libertine G"/>
            </a:rPr>
            <a:t>: El contenido adicional permanece visible hasta que se elimina el cursor o el disparador de enfoque, el usuario lo despide o su información deja de ser válida.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
            </a:rPr>
            <a:t>https://www.w3.org/TR/WCAG/#content-on-hover-or-focus</a:t>
          </a:r>
          <a:endParaRPr lang="es-ES" sz="1500" b="0" strike="noStrike" spc="-1">
            <a:latin typeface="Times New Roman"/>
          </a:endParaRPr>
        </a:p>
      </xdr:txBody>
    </xdr:sp>
    <xdr:clientData/>
  </xdr:twoCellAnchor>
  <xdr:twoCellAnchor editAs="absolute">
    <xdr:from>
      <xdr:col>5</xdr:col>
      <xdr:colOff>13307</xdr:colOff>
      <xdr:row>632</xdr:row>
      <xdr:rowOff>102968</xdr:rowOff>
    </xdr:from>
    <xdr:to>
      <xdr:col>11</xdr:col>
      <xdr:colOff>28191</xdr:colOff>
      <xdr:row>663</xdr:row>
      <xdr:rowOff>84667</xdr:rowOff>
    </xdr:to>
    <xdr:sp macro="" textlink="">
      <xdr:nvSpPr>
        <xdr:cNvPr id="5" name="TextShape 1" descr="9.1.4.11 Contraste no textual (Condicional)  Condición: Cuando las TIC sean una página web.  La presentación visual de los siguientes elementos  tiene una relación de contraste de al menos 3:1 con respecto a los colores adyacentes:   - Componentes de la interfaz de usuario: Información visual necesaria para identificar los componentes y estados de la interfaz de usuario, excepto en el caso de los componentes inactivos o cuando la apariencia del componente es determinada por el agente de usuario y no modificada por el autor;  - Objetos gráficos: Partes de los gráficos necesarios para comprender el contenido, excepto cuando una presentación particular de los gráficos es esencial para la información que se transmite   https://www.w3.org/TR/WCAG/#non-text-contrast">
          <a:extLst>
            <a:ext uri="{FF2B5EF4-FFF2-40B4-BE49-F238E27FC236}">
              <a16:creationId xmlns:a16="http://schemas.microsoft.com/office/drawing/2014/main" id="{00000000-0008-0000-0600-000005000000}"/>
            </a:ext>
          </a:extLst>
        </xdr:cNvPr>
        <xdr:cNvSpPr txBox="1"/>
      </xdr:nvSpPr>
      <xdr:spPr>
        <a:xfrm>
          <a:off x="6945390" y="98856051"/>
          <a:ext cx="5846301" cy="4574866"/>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9.1.4.11 Contraste no textual</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La presentación visual de los siguientes elementos  tiene una relación de contraste de al menos 3:1 con respecto a los colores adyacentes: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Componentes de la interfaz de usuario</a:t>
          </a:r>
          <a:r>
            <a:rPr lang="en-US" sz="1500" b="0" strike="noStrike" spc="-1">
              <a:solidFill>
                <a:srgbClr val="000000"/>
              </a:solidFill>
              <a:latin typeface="Arial"/>
              <a:ea typeface="Linux Libertine G"/>
            </a:rPr>
            <a:t>: Información visual necesaria para identificar los componentes y estados de la interfaz de usuario, excepto en el caso de los componentes inactivos o cuando la apariencia del componente es determinada por el agente de usuario y no modificada por el autor;</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Objetos gráficos</a:t>
          </a:r>
          <a:r>
            <a:rPr lang="en-US" sz="1500" b="0" strike="noStrike" spc="-1">
              <a:solidFill>
                <a:srgbClr val="000000"/>
              </a:solidFill>
              <a:latin typeface="Arial"/>
              <a:ea typeface="Linux Libertine G"/>
            </a:rPr>
            <a:t>: Partes de los gráficos necesarios para comprender el contenido, excepto cuando una presentación particular de los gráficos es esencial para la información que se transmite</a:t>
          </a:r>
          <a:endParaRPr lang="es-ES" sz="1500" b="0" strike="noStrike" spc="-1">
            <a:latin typeface="Times New Roman"/>
          </a:endParaRPr>
        </a:p>
        <a:p>
          <a:r>
            <a:rPr lang="en-US" sz="1500" b="0" strike="noStrike" spc="-1">
              <a:solidFill>
                <a:srgbClr val="000000"/>
              </a:solidFill>
              <a:latin typeface="Arial"/>
              <a:ea typeface="Linux Libertine G"/>
            </a:rPr>
            <a:t>	</a:t>
          </a:r>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4"/>
            </a:rPr>
            <a:t>https://www.w3.org/TR/WCAG/#non-text-contrast</a:t>
          </a:r>
          <a:endParaRPr lang="es-ES" sz="1500" b="0" strike="noStrike" spc="-1">
            <a:latin typeface="Times New Roman"/>
          </a:endParaRPr>
        </a:p>
      </xdr:txBody>
    </xdr:sp>
    <xdr:clientData/>
  </xdr:twoCellAnchor>
  <xdr:twoCellAnchor editAs="absolute">
    <xdr:from>
      <xdr:col>5</xdr:col>
      <xdr:colOff>29182</xdr:colOff>
      <xdr:row>595</xdr:row>
      <xdr:rowOff>41645</xdr:rowOff>
    </xdr:from>
    <xdr:to>
      <xdr:col>11</xdr:col>
      <xdr:colOff>44066</xdr:colOff>
      <xdr:row>623</xdr:row>
      <xdr:rowOff>52916</xdr:rowOff>
    </xdr:to>
    <xdr:sp macro="" textlink="">
      <xdr:nvSpPr>
        <xdr:cNvPr id="6" name="TextShape 1" descr="9.1.4.10 Reajuste del texto (Condicional)  Condición: Cuando las TIC sean una página web.  El contenido puede ser presentado sin pérdida de información o funcionalidad, y sin necesidad de desplazarse en dos dimensiones:   - Contenido de desplazamiento vertical con un ancho equivalente a 320 píxeles CSS;  - Contenido de desplazamiento horizontal a una altura equivalente a 256 píxeles CSS;  - Excepto para partes del contenido que requieren un diseño bidimensional para su uso o significado.  https://www.w3.org/TR/WCAG/#reflow">
          <a:extLst>
            <a:ext uri="{FF2B5EF4-FFF2-40B4-BE49-F238E27FC236}">
              <a16:creationId xmlns:a16="http://schemas.microsoft.com/office/drawing/2014/main" id="{00000000-0008-0000-0600-000006000000}"/>
            </a:ext>
          </a:extLst>
        </xdr:cNvPr>
        <xdr:cNvSpPr txBox="1"/>
      </xdr:nvSpPr>
      <xdr:spPr>
        <a:xfrm>
          <a:off x="6961265" y="93090312"/>
          <a:ext cx="5846301" cy="4159937"/>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9.1.4.10 Reajuste del texto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El contenido puede ser presentado sin pérdida de información o funcionalidad, y sin necesidad de desplazarse en dos dimensiones: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Contenido de desplazamiento vertical con un ancho equivalente a 320 píxeles CSS;</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Contenido de desplazamiento horizontal a una altura equivalente a 256 píxeles CSS;</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Excepto para partes del contenido que requieren un diseño bidimensional para su uso o significado.</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5"/>
            </a:rPr>
            <a:t>https://www.w3.org/TR/WCAG/#reflow</a:t>
          </a:r>
          <a:endParaRPr lang="es-ES" sz="1500" b="0" strike="noStrike" spc="-1">
            <a:latin typeface="Times New Roman"/>
          </a:endParaRPr>
        </a:p>
      </xdr:txBody>
    </xdr:sp>
    <xdr:clientData/>
  </xdr:twoCellAnchor>
  <xdr:twoCellAnchor editAs="absolute">
    <xdr:from>
      <xdr:col>5</xdr:col>
      <xdr:colOff>29182</xdr:colOff>
      <xdr:row>556</xdr:row>
      <xdr:rowOff>91669</xdr:rowOff>
    </xdr:from>
    <xdr:to>
      <xdr:col>11</xdr:col>
      <xdr:colOff>44066</xdr:colOff>
      <xdr:row>584</xdr:row>
      <xdr:rowOff>34637</xdr:rowOff>
    </xdr:to>
    <xdr:sp macro="" textlink="">
      <xdr:nvSpPr>
        <xdr:cNvPr id="7" name="TextShape 1" descr="9.1.4.5 Imágenes de texto (Condicional)  Condición: Cuando las TIC sean una página web.  Si las tecnologías que se utilizan pueden lograr la presentación visual, el texto se utiliza para transmitir información en lugar de imágenes de texto, con la excepción de lo siguiente:   - Personalizable: La imagen del texto se puede personalizar visualmente según las necesidades del usuario;  - Esencial: Una presentación particular del texto es esencial para la información que se transmite.  Nota: Los logotipos (texto que forma parte de un logotipo o marca) se consideran esenciales.  https://www.w3.org/TR/WCAG/#images-of-text">
          <a:extLst>
            <a:ext uri="{FF2B5EF4-FFF2-40B4-BE49-F238E27FC236}">
              <a16:creationId xmlns:a16="http://schemas.microsoft.com/office/drawing/2014/main" id="{00000000-0008-0000-0600-000007000000}"/>
            </a:ext>
          </a:extLst>
        </xdr:cNvPr>
        <xdr:cNvSpPr txBox="1"/>
      </xdr:nvSpPr>
      <xdr:spPr>
        <a:xfrm>
          <a:off x="6939137" y="91116033"/>
          <a:ext cx="5833793" cy="4307149"/>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9.1.4.5 Imágenes de texto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Si las tecnologías que se utilizan pueden lograr la presentación visual, el texto se utiliza para transmitir información en lugar de imágenes de texto, con la excepción de lo siguiente: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Personalizable</a:t>
          </a:r>
          <a:r>
            <a:rPr lang="en-US" sz="1500" b="0" strike="noStrike" spc="-1">
              <a:solidFill>
                <a:srgbClr val="000000"/>
              </a:solidFill>
              <a:latin typeface="Arial"/>
              <a:ea typeface="Linux Libertine G"/>
            </a:rPr>
            <a:t>: La imagen del texto se puede personalizar visualmente según las necesidades del usuario;</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Esencial</a:t>
          </a:r>
          <a:r>
            <a:rPr lang="en-US" sz="1500" b="0" strike="noStrike" spc="-1">
              <a:solidFill>
                <a:srgbClr val="000000"/>
              </a:solidFill>
              <a:latin typeface="Arial"/>
              <a:ea typeface="Linux Libertine G"/>
            </a:rPr>
            <a:t>: Una presentación particular del texto es esencial para la información que se transmite.</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Nota: Los logotipos (texto que forma parte de un logotipo o marca) se consideran esenciales.</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6"/>
            </a:rPr>
            <a:t>https://www.w3.org/TR/WCAG/#images-of-text</a:t>
          </a:r>
          <a:endParaRPr lang="es-ES" sz="1500" b="0" strike="noStrike" spc="-1">
            <a:latin typeface="Times New Roman"/>
          </a:endParaRPr>
        </a:p>
      </xdr:txBody>
    </xdr:sp>
    <xdr:clientData/>
  </xdr:twoCellAnchor>
  <xdr:twoCellAnchor editAs="absolute">
    <xdr:from>
      <xdr:col>5</xdr:col>
      <xdr:colOff>29182</xdr:colOff>
      <xdr:row>518</xdr:row>
      <xdr:rowOff>26561</xdr:rowOff>
    </xdr:from>
    <xdr:to>
      <xdr:col>11</xdr:col>
      <xdr:colOff>44066</xdr:colOff>
      <xdr:row>533</xdr:row>
      <xdr:rowOff>21167</xdr:rowOff>
    </xdr:to>
    <xdr:sp macro="" textlink="">
      <xdr:nvSpPr>
        <xdr:cNvPr id="8" name="TextShape 1" descr="9.1.4.4 Cambio de tamaño del texto (Condicional)  Condición: Cuando las TIC sean una página web.  A excepción de los subtítulos y las imágenes de texto, el texto puede redimensionarse sin tecnología de asistencia hasta un 200% sin pérdida de contenido o funcionalidad.  https://www.w3.org/TR/WCAG/#resize-text">
          <a:extLst>
            <a:ext uri="{FF2B5EF4-FFF2-40B4-BE49-F238E27FC236}">
              <a16:creationId xmlns:a16="http://schemas.microsoft.com/office/drawing/2014/main" id="{00000000-0008-0000-0600-000008000000}"/>
            </a:ext>
          </a:extLst>
        </xdr:cNvPr>
        <xdr:cNvSpPr txBox="1"/>
      </xdr:nvSpPr>
      <xdr:spPr>
        <a:xfrm>
          <a:off x="6961265" y="81221894"/>
          <a:ext cx="5846301" cy="2217106"/>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9.1.4.4 Cambio de tamaño del texto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A excepción de los subtítulos y las imágenes de texto, el texto puede redimensionarse sin tecnología de asistencia hasta un 200% sin pérdida de contenido o funcionalidad.</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7"/>
            </a:rPr>
            <a:t>https://www.w3.org/TR/WCAG/#resize-text</a:t>
          </a:r>
          <a:endParaRPr lang="es-ES" sz="1500" b="0" strike="noStrike" spc="-1">
            <a:latin typeface="Times New Roman"/>
          </a:endParaRPr>
        </a:p>
      </xdr:txBody>
    </xdr:sp>
    <xdr:clientData/>
  </xdr:twoCellAnchor>
  <xdr:twoCellAnchor editAs="absolute">
    <xdr:from>
      <xdr:col>4</xdr:col>
      <xdr:colOff>339879</xdr:colOff>
      <xdr:row>480</xdr:row>
      <xdr:rowOff>116977</xdr:rowOff>
    </xdr:from>
    <xdr:to>
      <xdr:col>10</xdr:col>
      <xdr:colOff>965951</xdr:colOff>
      <xdr:row>511</xdr:row>
      <xdr:rowOff>116416</xdr:rowOff>
    </xdr:to>
    <xdr:sp macro="" textlink="">
      <xdr:nvSpPr>
        <xdr:cNvPr id="9" name="TextShape 1" descr="9.1.4.3 Contraste (mínimo) (Condicional)  Condición: Cuando las TIC sean una página web.  La presentación visual de texto e imágenes de texto tiene una relación de contraste de al menos 4,5:1, excepto para lo siguiente:   - Texto grande: El texto y las imágenes a gran escala de texto a gran escala tienen una relación de contraste de al menos 3:1;  - Incidental: El texto o las imágenes de texto que forman parte de un componente inactivo de la interfaz de usuario, que son pura decoración, que no son visibles para nadie, o que forman parte de una imagen que contiene otro contenido visual significativo, no tienen requisitos de contraste.  - Logotipos: El texto que forma parte de un logotipo o marca no tiene un requisito de contraste mínimo.  https://www.w3.org/TR/WCAG/#contrast-minimum">
          <a:extLst>
            <a:ext uri="{FF2B5EF4-FFF2-40B4-BE49-F238E27FC236}">
              <a16:creationId xmlns:a16="http://schemas.microsoft.com/office/drawing/2014/main" id="{00000000-0008-0000-0600-000009000000}"/>
            </a:ext>
          </a:extLst>
        </xdr:cNvPr>
        <xdr:cNvSpPr txBox="1"/>
      </xdr:nvSpPr>
      <xdr:spPr>
        <a:xfrm>
          <a:off x="6901546" y="75459727"/>
          <a:ext cx="5854238" cy="4592606"/>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9.1.4.3 Contraste (mínimo)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La presentación visual de texto e imágenes de texto tiene una relación de contraste de al menos 4,5:1, excepto para lo siguiente: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Texto grande</a:t>
          </a:r>
          <a:r>
            <a:rPr lang="en-US" sz="1500" b="0" strike="noStrike" spc="-1">
              <a:solidFill>
                <a:srgbClr val="000000"/>
              </a:solidFill>
              <a:latin typeface="Arial"/>
              <a:ea typeface="Linux Libertine G"/>
            </a:rPr>
            <a:t>: El texto y las imágenes a gran escala de texto a gran escala tienen una relación de contraste de al menos 3:1;</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Incidental</a:t>
          </a:r>
          <a:r>
            <a:rPr lang="en-US" sz="1500" b="0" strike="noStrike" spc="-1">
              <a:solidFill>
                <a:srgbClr val="000000"/>
              </a:solidFill>
              <a:latin typeface="Arial"/>
              <a:ea typeface="Linux Libertine G"/>
            </a:rPr>
            <a:t>: El texto o las imágenes de texto que forman parte de un componente inactivo de la interfaz de usuario, que son pura decoración, que no son visibles para nadie, o que forman parte de una imagen que contiene otro contenido visual significativo, no tienen requisitos de contraste.</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Logotipos</a:t>
          </a:r>
          <a:r>
            <a:rPr lang="en-US" sz="1500" b="0" strike="noStrike" spc="-1">
              <a:solidFill>
                <a:srgbClr val="000000"/>
              </a:solidFill>
              <a:latin typeface="Arial"/>
              <a:ea typeface="Linux Libertine G"/>
            </a:rPr>
            <a:t>: El texto que forma parte de un logotipo o marca no tiene un requisito de contraste mínimo.</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8"/>
            </a:rPr>
            <a:t>https://www.w3.org/TR/WCAG/#contrast-minimum</a:t>
          </a:r>
          <a:endParaRPr lang="es-ES" sz="1500" b="0" strike="noStrike" spc="-1">
            <a:latin typeface="Times New Roman"/>
          </a:endParaRPr>
        </a:p>
      </xdr:txBody>
    </xdr:sp>
    <xdr:clientData/>
  </xdr:twoCellAnchor>
  <xdr:twoCellAnchor editAs="absolute">
    <xdr:from>
      <xdr:col>5</xdr:col>
      <xdr:colOff>40521</xdr:colOff>
      <xdr:row>442</xdr:row>
      <xdr:rowOff>82655</xdr:rowOff>
    </xdr:from>
    <xdr:to>
      <xdr:col>11</xdr:col>
      <xdr:colOff>55405</xdr:colOff>
      <xdr:row>470</xdr:row>
      <xdr:rowOff>116417</xdr:rowOff>
    </xdr:to>
    <xdr:sp macro="" textlink="">
      <xdr:nvSpPr>
        <xdr:cNvPr id="10" name="TextShape 1" descr="9.1.4.2 Control del audio (Condicional)  Condición: Cuando las TIC sean una página web.  Si el audio de una página web suena automáticamente durante más de 3 segundos, se proporciona ya sea un mecanismo para pausar o detener el audio, o un mecanismo para controlar el volumen del sonido que es independiente del nivel de volumen global del sistema. (Nivel A)  Nota: En la medida en que cualquier contenido que no satisfaga este criterio puede interferir con la capacidad del usuario de emplear la página en su conjunto, todo contenido de la página web (tanto si satisface o no otros criterios de conformidad) debe satisfacer este criterio. Véase Requisito de Conformidad 5: Sin interferencia.  https://www.w3.org/TR/WCAG/#audio-control">
          <a:extLst>
            <a:ext uri="{FF2B5EF4-FFF2-40B4-BE49-F238E27FC236}">
              <a16:creationId xmlns:a16="http://schemas.microsoft.com/office/drawing/2014/main" id="{00000000-0008-0000-0600-00000A000000}"/>
            </a:ext>
          </a:extLst>
        </xdr:cNvPr>
        <xdr:cNvSpPr txBox="1"/>
      </xdr:nvSpPr>
      <xdr:spPr>
        <a:xfrm>
          <a:off x="6972604" y="69572822"/>
          <a:ext cx="5846301" cy="4182428"/>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9.1.4.2 Control del audio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Si el audio de una página web suena automáticamente durante más de 3 segundos, se proporciona ya sea un mecanismo para pausar o detener el audio, o un mecanismo para controlar el volumen del sonido que es independiente del nivel de volumen global del sistema.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Nota: En la medida en que cualquier contenido que no satisfaga este criterio puede interferir con la capacidad del usuario de emplear la página en su conjunto, todo contenido de la página web (tanto si satisface o no otros criterios de conformidad) debe satisfacer este criterio. Véase Requisito de Conformidad 5: Sin interferencia.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9"/>
            </a:rPr>
            <a:t>https://www.w3.org/TR/WCAG/#audio-control</a:t>
          </a:r>
          <a:endParaRPr lang="es-ES" sz="1500" b="0" strike="noStrike" spc="-1">
            <a:latin typeface="Times New Roman"/>
          </a:endParaRPr>
        </a:p>
      </xdr:txBody>
    </xdr:sp>
    <xdr:clientData/>
  </xdr:twoCellAnchor>
  <xdr:twoCellAnchor editAs="absolute">
    <xdr:from>
      <xdr:col>5</xdr:col>
      <xdr:colOff>8772</xdr:colOff>
      <xdr:row>405</xdr:row>
      <xdr:rowOff>4966</xdr:rowOff>
    </xdr:from>
    <xdr:to>
      <xdr:col>11</xdr:col>
      <xdr:colOff>23656</xdr:colOff>
      <xdr:row>427</xdr:row>
      <xdr:rowOff>63500</xdr:rowOff>
    </xdr:to>
    <xdr:sp macro="" textlink="">
      <xdr:nvSpPr>
        <xdr:cNvPr id="11" name="TextShape 1" descr="9.1.4.1 Uso del Color (Condicional)  Condición: Cuando las TIC sean una página web.  El color no se usa como único medio visual para transmitir la información, indicar una acción, solicitar una respuesta o distinguir un elemento visual. (Nivel A)  Nota: Este criterio de conformidad trata específicamente acerca de la percepción del color. En la Pauta 1.3 se recogen otras formas de percepción, incluyendo el acceso por software al color y a otros códigos de presentación visual.  https://www.w3.org/TR/WCAG/#use-of-color">
          <a:extLst>
            <a:ext uri="{FF2B5EF4-FFF2-40B4-BE49-F238E27FC236}">
              <a16:creationId xmlns:a16="http://schemas.microsoft.com/office/drawing/2014/main" id="{00000000-0008-0000-0600-00000B000000}"/>
            </a:ext>
          </a:extLst>
        </xdr:cNvPr>
        <xdr:cNvSpPr txBox="1"/>
      </xdr:nvSpPr>
      <xdr:spPr>
        <a:xfrm>
          <a:off x="6940855" y="63790716"/>
          <a:ext cx="5846301" cy="3318201"/>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9.1.4.1 Uso del Color</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El color no se usa como único medio visual para transmitir la información, indicar una acción, solicitar una respuesta o distinguir un elemento visual.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Nota: Este criterio de conformidad trata específicamente acerca de la percepción del color. En la Pauta 1.3 se recogen otras formas de percepción, incluyendo el acceso por software al color y a otros códigos de presentación visual.</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0"/>
            </a:rPr>
            <a:t>https://www.w3.org/TR/WCAG/#use-of-color</a:t>
          </a:r>
          <a:endParaRPr lang="es-ES" sz="1500" b="0" strike="noStrike" spc="-1">
            <a:latin typeface="Times New Roman"/>
          </a:endParaRPr>
        </a:p>
      </xdr:txBody>
    </xdr:sp>
    <xdr:clientData/>
  </xdr:twoCellAnchor>
  <xdr:twoCellAnchor editAs="absolute">
    <xdr:from>
      <xdr:col>5</xdr:col>
      <xdr:colOff>1514</xdr:colOff>
      <xdr:row>366</xdr:row>
      <xdr:rowOff>122631</xdr:rowOff>
    </xdr:from>
    <xdr:to>
      <xdr:col>11</xdr:col>
      <xdr:colOff>12316</xdr:colOff>
      <xdr:row>392</xdr:row>
      <xdr:rowOff>10584</xdr:rowOff>
    </xdr:to>
    <xdr:sp macro="" textlink="">
      <xdr:nvSpPr>
        <xdr:cNvPr id="12" name="TextShape 1" descr="9.1.3.5 Identificación del propósito de la entrada (Condicional)  Condición: Cuando las TIC sean una página web.  El propósito de cada campo de entrada que recoge información sobre el usuario puede ser determinado programáticamente cuando:  - El campo de entrada sirve a un propósito identificado en los propósitos de entrada de los componentes de la interfaz de usuario; y - El contenido se implementa usando tecnologías con soporte para identificar el significado esperado de los datos de entrada en formularios.  https://www.w3.org/TR/WCAG/#identify-input-purpose">
          <a:extLst>
            <a:ext uri="{FF2B5EF4-FFF2-40B4-BE49-F238E27FC236}">
              <a16:creationId xmlns:a16="http://schemas.microsoft.com/office/drawing/2014/main" id="{00000000-0008-0000-0600-00000C000000}"/>
            </a:ext>
          </a:extLst>
        </xdr:cNvPr>
        <xdr:cNvSpPr txBox="1"/>
      </xdr:nvSpPr>
      <xdr:spPr>
        <a:xfrm>
          <a:off x="6933597" y="57907631"/>
          <a:ext cx="5842219" cy="3740286"/>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9.1.3.5 Identificación del propósito de la entrada</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El propósito de cada campo de entrada que recoge información sobre el usuario puede ser determinado programáticamente cuando:</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El campo de entrada sirve a un propósito identificado en los propósitos de entrada de los componentes de la interfaz de usuario; y</a:t>
          </a:r>
          <a:endParaRPr lang="es-ES" sz="1500" b="0" strike="noStrike" spc="-1">
            <a:latin typeface="Times New Roman"/>
          </a:endParaRPr>
        </a:p>
        <a:p>
          <a:r>
            <a:rPr lang="en-US" sz="1500" b="0" strike="noStrike" spc="-1">
              <a:solidFill>
                <a:srgbClr val="000000"/>
              </a:solidFill>
              <a:latin typeface="Arial"/>
              <a:ea typeface="Linux Libertine G"/>
            </a:rPr>
            <a:t>- El contenido se implementa usando tecnologías con soporte para identificar el significado esperado de los datos de entrada en formularios.</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1"/>
            </a:rPr>
            <a:t>https://www.w3.org/TR/WCAG/#identify-input-purpose</a:t>
          </a:r>
          <a:endParaRPr lang="es-ES" sz="1500" b="0" strike="noStrike" spc="-1">
            <a:latin typeface="Times New Roman"/>
          </a:endParaRPr>
        </a:p>
      </xdr:txBody>
    </xdr:sp>
    <xdr:clientData/>
  </xdr:twoCellAnchor>
  <xdr:twoCellAnchor editAs="absolute">
    <xdr:from>
      <xdr:col>4</xdr:col>
      <xdr:colOff>351216</xdr:colOff>
      <xdr:row>329</xdr:row>
      <xdr:rowOff>1530</xdr:rowOff>
    </xdr:from>
    <xdr:to>
      <xdr:col>10</xdr:col>
      <xdr:colOff>969351</xdr:colOff>
      <xdr:row>345</xdr:row>
      <xdr:rowOff>63500</xdr:rowOff>
    </xdr:to>
    <xdr:sp macro="" textlink="">
      <xdr:nvSpPr>
        <xdr:cNvPr id="13" name="TextShape 1" descr="9.1.3.4 Orientación (Condicional)  Condición: Cuando las TIC sean una página web.  El contenido no restringe su visualización y funcionamiento a una única orientación de pantalla, como vertical u horizontal, a menos que sea esencial una orientación de pantalla específica.   https://www.w3.org/TR/WCAG/#orientation">
          <a:extLst>
            <a:ext uri="{FF2B5EF4-FFF2-40B4-BE49-F238E27FC236}">
              <a16:creationId xmlns:a16="http://schemas.microsoft.com/office/drawing/2014/main" id="{00000000-0008-0000-0600-00000D000000}"/>
            </a:ext>
          </a:extLst>
        </xdr:cNvPr>
        <xdr:cNvSpPr txBox="1"/>
      </xdr:nvSpPr>
      <xdr:spPr>
        <a:xfrm>
          <a:off x="6912883" y="52082113"/>
          <a:ext cx="5846301" cy="2432637"/>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9.1.3.4 Orientación</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El contenido no restringe su visualización y funcionamiento a una única orientación de pantalla, como vertical u horizontal, a menos que sea esencial una orientación de pantalla específica.</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2"/>
            </a:rPr>
            <a:t>https://www.w3.org/TR/WCAG/#orientation</a:t>
          </a:r>
          <a:endParaRPr lang="es-ES" sz="1500" b="0" strike="noStrike" spc="-1">
            <a:latin typeface="Times New Roman"/>
          </a:endParaRPr>
        </a:p>
      </xdr:txBody>
    </xdr:sp>
    <xdr:clientData/>
  </xdr:twoCellAnchor>
  <xdr:twoCellAnchor editAs="absolute">
    <xdr:from>
      <xdr:col>5</xdr:col>
      <xdr:colOff>63199</xdr:colOff>
      <xdr:row>290</xdr:row>
      <xdr:rowOff>87026</xdr:rowOff>
    </xdr:from>
    <xdr:to>
      <xdr:col>11</xdr:col>
      <xdr:colOff>78083</xdr:colOff>
      <xdr:row>309</xdr:row>
      <xdr:rowOff>74083</xdr:rowOff>
    </xdr:to>
    <xdr:sp macro="" textlink="">
      <xdr:nvSpPr>
        <xdr:cNvPr id="14" name="TextShape 1" descr="9.1.3.3 Características sensoriales (Condicional)  Condición: Cuando las TIC sean una página web.  Las instrucciones proporcionadas para entender y operar el contenido no dependen exclusivamente en las características sensoriales de los componentes como su forma, tamaño, ubicación visual, orientación o sonido. (Nivel A)  Nota: Para los requisitos relacionados con el color, véase la Pauta 1.4.  https://www.w3.org/TR/WCAG/#sensory-characteristics">
          <a:extLst>
            <a:ext uri="{FF2B5EF4-FFF2-40B4-BE49-F238E27FC236}">
              <a16:creationId xmlns:a16="http://schemas.microsoft.com/office/drawing/2014/main" id="{00000000-0008-0000-0600-00000E000000}"/>
            </a:ext>
          </a:extLst>
        </xdr:cNvPr>
        <xdr:cNvSpPr txBox="1"/>
      </xdr:nvSpPr>
      <xdr:spPr>
        <a:xfrm>
          <a:off x="6995282" y="46166859"/>
          <a:ext cx="5846301" cy="2802224"/>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9.1.3.3 Características sensoriales</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Las instrucciones proporcionadas para entender y operar el contenido no dependen exclusivamente en las características sensoriales de los componentes como su forma, tamaño, ubicación visual, orientación o sonido. (Nivel A)</a:t>
          </a:r>
          <a:endParaRPr lang="es-ES" sz="1500" b="0" strike="noStrike" spc="-1">
            <a:latin typeface="Times New Roman"/>
          </a:endParaRPr>
        </a:p>
        <a:p>
          <a:endParaRPr lang="es-ES" sz="1500" b="0" strike="noStrike" spc="-1">
            <a:latin typeface="Times New Roman"/>
          </a:endParaRPr>
        </a:p>
        <a:p>
          <a:r>
            <a:rPr lang="en-US" sz="1200" b="0" strike="noStrike" spc="-1">
              <a:solidFill>
                <a:srgbClr val="000000"/>
              </a:solidFill>
              <a:latin typeface="Arial" panose="020B0604020202020204" pitchFamily="34" charset="0"/>
              <a:ea typeface="Linux Libertine G"/>
              <a:cs typeface="Arial" panose="020B0604020202020204" pitchFamily="34" charset="0"/>
            </a:rPr>
            <a:t>Nota: Para los requisitos relacionados con el color, véase la Pauta 1.4.</a:t>
          </a:r>
          <a:endParaRPr lang="es-ES" sz="1200" b="0" strike="noStrike" spc="-1">
            <a:latin typeface="Arial" panose="020B0604020202020204" pitchFamily="34" charset="0"/>
            <a:cs typeface="Arial" panose="020B0604020202020204" pitchFamily="34" charset="0"/>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3"/>
            </a:rPr>
            <a:t>https://www.w3.org/TR/WCAG/#sensory-characteristics</a:t>
          </a:r>
          <a:endParaRPr lang="es-ES" sz="1500" b="0" strike="noStrike" spc="-1">
            <a:latin typeface="Times New Roman"/>
          </a:endParaRPr>
        </a:p>
      </xdr:txBody>
    </xdr:sp>
    <xdr:clientData/>
  </xdr:twoCellAnchor>
  <xdr:twoCellAnchor editAs="absolute">
    <xdr:from>
      <xdr:col>5</xdr:col>
      <xdr:colOff>24646</xdr:colOff>
      <xdr:row>252</xdr:row>
      <xdr:rowOff>96237</xdr:rowOff>
    </xdr:from>
    <xdr:to>
      <xdr:col>11</xdr:col>
      <xdr:colOff>39530</xdr:colOff>
      <xdr:row>267</xdr:row>
      <xdr:rowOff>63500</xdr:rowOff>
    </xdr:to>
    <xdr:sp macro="" textlink="">
      <xdr:nvSpPr>
        <xdr:cNvPr id="15" name="TextShape 1" descr="9.1.3.2 Secuencia significativa (Condicional)  Condición: Cuando las TIC sean una página web.  Cuando la secuencia en que se presenta el contenido afecta a su significado, se puede determinar por software la secuencia correcta de lectura.   https://www.w3.org/TR/WCAG/#meaningful-sequence">
          <a:extLst>
            <a:ext uri="{FF2B5EF4-FFF2-40B4-BE49-F238E27FC236}">
              <a16:creationId xmlns:a16="http://schemas.microsoft.com/office/drawing/2014/main" id="{00000000-0008-0000-0600-00000F000000}"/>
            </a:ext>
          </a:extLst>
        </xdr:cNvPr>
        <xdr:cNvSpPr txBox="1"/>
      </xdr:nvSpPr>
      <xdr:spPr>
        <a:xfrm>
          <a:off x="6956729" y="40323487"/>
          <a:ext cx="5846301" cy="2189763"/>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9.1.3.2 Secuencia significativa</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Cuando la secuencia en que se presenta el contenido afecta a su significado, se puede determinar por software la secuencia correcta de lectura. </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4"/>
            </a:rPr>
            <a:t>https://www.w3.org/TR/WCAG/#meaningful-sequence</a:t>
          </a:r>
          <a:endParaRPr lang="es-ES" sz="1500" b="0" strike="noStrike" spc="-1">
            <a:latin typeface="Times New Roman"/>
          </a:endParaRPr>
        </a:p>
      </xdr:txBody>
    </xdr:sp>
    <xdr:clientData/>
  </xdr:twoCellAnchor>
  <xdr:twoCellAnchor editAs="absolute">
    <xdr:from>
      <xdr:col>5</xdr:col>
      <xdr:colOff>24646</xdr:colOff>
      <xdr:row>214</xdr:row>
      <xdr:rowOff>8097</xdr:rowOff>
    </xdr:from>
    <xdr:to>
      <xdr:col>11</xdr:col>
      <xdr:colOff>39530</xdr:colOff>
      <xdr:row>229</xdr:row>
      <xdr:rowOff>10583</xdr:rowOff>
    </xdr:to>
    <xdr:sp macro="" textlink="">
      <xdr:nvSpPr>
        <xdr:cNvPr id="16" name="TextShape 1" descr="9.1.3.1 Información y relaciones (Condicional)  Condición: Cuando las TIC sean una página web.  La información, estructura y relaciones comunicadas a través de la presentación pueden ser determinadas por software o están disponibles como texto.   https://www.w3.org/TR/WCAG/#info-and-relationships">
          <a:extLst>
            <a:ext uri="{FF2B5EF4-FFF2-40B4-BE49-F238E27FC236}">
              <a16:creationId xmlns:a16="http://schemas.microsoft.com/office/drawing/2014/main" id="{00000000-0008-0000-0600-000010000000}"/>
            </a:ext>
          </a:extLst>
        </xdr:cNvPr>
        <xdr:cNvSpPr txBox="1"/>
      </xdr:nvSpPr>
      <xdr:spPr>
        <a:xfrm>
          <a:off x="6956729" y="34382764"/>
          <a:ext cx="5846301" cy="2224986"/>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9.1.3.1 Información y relaciones</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La información, estructura y relaciones comunicadas a través de la presentación pueden ser determinadas por software o están disponibles como texto. </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5"/>
            </a:rPr>
            <a:t>https://www.w3.org/TR/WCAG/#info-and-relationships</a:t>
          </a:r>
          <a:endParaRPr lang="es-ES" sz="1500" b="0" strike="noStrike" spc="-1">
            <a:latin typeface="Times New Roman"/>
          </a:endParaRPr>
        </a:p>
      </xdr:txBody>
    </xdr:sp>
    <xdr:clientData/>
  </xdr:twoCellAnchor>
  <xdr:twoCellAnchor editAs="absolute">
    <xdr:from>
      <xdr:col>5</xdr:col>
      <xdr:colOff>13307</xdr:colOff>
      <xdr:row>177</xdr:row>
      <xdr:rowOff>4098</xdr:rowOff>
    </xdr:from>
    <xdr:to>
      <xdr:col>11</xdr:col>
      <xdr:colOff>266700</xdr:colOff>
      <xdr:row>190</xdr:row>
      <xdr:rowOff>86591</xdr:rowOff>
    </xdr:to>
    <xdr:sp macro="" textlink="">
      <xdr:nvSpPr>
        <xdr:cNvPr id="17" name="TextShape 1" descr="9.1.2.5 Audiodescripción (grabada) (Condicional)  Condición: Cuando las TIC sean una página web.  Se proporciona una audiodescripción para todo el contenido de vídeo grabado dentro de contenido multimedia sincronizado.   https://www.w3.org/TR/WCAG/#audio-description-prerecorded">
          <a:extLst>
            <a:ext uri="{FF2B5EF4-FFF2-40B4-BE49-F238E27FC236}">
              <a16:creationId xmlns:a16="http://schemas.microsoft.com/office/drawing/2014/main" id="{00000000-0008-0000-0600-000011000000}"/>
            </a:ext>
          </a:extLst>
        </xdr:cNvPr>
        <xdr:cNvSpPr txBox="1"/>
      </xdr:nvSpPr>
      <xdr:spPr>
        <a:xfrm>
          <a:off x="6923262" y="29877962"/>
          <a:ext cx="6072302" cy="2108720"/>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9.1.2.5 Audiodescripción (grabada)</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Se proporciona una audiodescripción para todo el contenido de vídeo grabado dentro de contenido multimedia sincronizado. </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6"/>
            </a:rPr>
            <a:t>https://www.w3.org/TR/WCAG/#audio-description-prerecorded</a:t>
          </a:r>
          <a:endParaRPr lang="es-ES" sz="1500" b="0" strike="noStrike" spc="-1">
            <a:latin typeface="Times New Roman"/>
          </a:endParaRPr>
        </a:p>
      </xdr:txBody>
    </xdr:sp>
    <xdr:clientData/>
  </xdr:twoCellAnchor>
  <xdr:twoCellAnchor editAs="absolute">
    <xdr:from>
      <xdr:col>5</xdr:col>
      <xdr:colOff>56286</xdr:colOff>
      <xdr:row>139</xdr:row>
      <xdr:rowOff>14462</xdr:rowOff>
    </xdr:from>
    <xdr:to>
      <xdr:col>11</xdr:col>
      <xdr:colOff>63739</xdr:colOff>
      <xdr:row>157</xdr:row>
      <xdr:rowOff>137583</xdr:rowOff>
    </xdr:to>
    <xdr:sp macro="" textlink="">
      <xdr:nvSpPr>
        <xdr:cNvPr id="18" name="TextShape 1" descr="9.1.2.3 Audiodescripción o Medio Alternativo (grabado)  (Condicional) Condición: Cuando las TIC sean una página web.  Se proporciona una alternativa para los medios tempodependientes o una audiodescripción para el contenido de vídeo grabado en los multimedia sincronizados, excepto cuando ese contenido es un contenido multimedia alternativo al texto y está claramente identificado como tal.  https://www.w3.org/TR/WCAG/#audio-description-or-media-alternative-prerecorded">
          <a:extLst>
            <a:ext uri="{FF2B5EF4-FFF2-40B4-BE49-F238E27FC236}">
              <a16:creationId xmlns:a16="http://schemas.microsoft.com/office/drawing/2014/main" id="{00000000-0008-0000-0600-000012000000}"/>
            </a:ext>
          </a:extLst>
        </xdr:cNvPr>
        <xdr:cNvSpPr txBox="1"/>
      </xdr:nvSpPr>
      <xdr:spPr>
        <a:xfrm>
          <a:off x="6988369" y="22832129"/>
          <a:ext cx="5838870" cy="2790121"/>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9.1.2.3 Audiodescripción o Medio Alternativo (grabado)</a:t>
          </a:r>
        </a:p>
        <a:p>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Se proporciona una alternativa para los medios tempodependientes o una audiodescripción para el contenido de vídeo grabado en los multimedia sincronizados, excepto cuando ese contenido es un contenido multimedia alternativo al texto y está claramente identificado como tal.</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7"/>
            </a:rPr>
            <a:t>https://www.w3.org/TR/WCAG/#audio-description-or-media-alternative-prerecorded</a:t>
          </a:r>
          <a:endParaRPr lang="es-ES" sz="1500" b="0" strike="noStrike" spc="-1">
            <a:latin typeface="Times New Roman"/>
          </a:endParaRPr>
        </a:p>
        <a:p>
          <a:endParaRPr lang="es-ES" sz="1500" b="0" strike="noStrike" spc="-1">
            <a:latin typeface="Times New Roman"/>
          </a:endParaRPr>
        </a:p>
      </xdr:txBody>
    </xdr:sp>
    <xdr:clientData/>
  </xdr:twoCellAnchor>
  <xdr:twoCellAnchor editAs="absolute">
    <xdr:from>
      <xdr:col>5</xdr:col>
      <xdr:colOff>53867</xdr:colOff>
      <xdr:row>100</xdr:row>
      <xdr:rowOff>68272</xdr:rowOff>
    </xdr:from>
    <xdr:to>
      <xdr:col>11</xdr:col>
      <xdr:colOff>56784</xdr:colOff>
      <xdr:row>116</xdr:row>
      <xdr:rowOff>105834</xdr:rowOff>
    </xdr:to>
    <xdr:sp macro="" textlink="">
      <xdr:nvSpPr>
        <xdr:cNvPr id="19" name="TextShape 1" descr="9.1.2.2 Subtítulos (grabados) (Condicional)  Condición: Cuando las TIC sean una página web.  Se proporcionan subtítulos para el contenido de audio grabado dentro de contenido multimedia sincronizado, excepto cuando la presentación es un contenido multimedia alternativo al texto y está claramente identificado como tal. (Nivel A)  https://www.w3.org/TR/WCAG/#captions-prerecorded">
          <a:extLst>
            <a:ext uri="{FF2B5EF4-FFF2-40B4-BE49-F238E27FC236}">
              <a16:creationId xmlns:a16="http://schemas.microsoft.com/office/drawing/2014/main" id="{00000000-0008-0000-0600-000013000000}"/>
            </a:ext>
          </a:extLst>
        </xdr:cNvPr>
        <xdr:cNvSpPr txBox="1"/>
      </xdr:nvSpPr>
      <xdr:spPr>
        <a:xfrm>
          <a:off x="6985950" y="16885189"/>
          <a:ext cx="5834334" cy="2408228"/>
        </a:xfrm>
        <a:prstGeom prst="rect">
          <a:avLst/>
        </a:prstGeom>
        <a:solidFill>
          <a:srgbClr val="DDDDDD"/>
        </a:solidFill>
        <a:ln>
          <a:noFill/>
        </a:ln>
      </xdr:spPr>
      <xdr:txBody>
        <a:bodyPr lIns="108000" tIns="108000" rIns="108000" bIns="108000">
          <a:noAutofit/>
        </a:bodyPr>
        <a:lstStyle/>
        <a:p>
          <a:r>
            <a:rPr lang="es-ES" sz="1500" b="1" strike="noStrike" spc="-1">
              <a:latin typeface="Arial"/>
            </a:rPr>
            <a:t>9.1.2.2 Subtítulos (grabados)</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s-ES" sz="1500" b="1" strike="noStrike" spc="-1">
            <a:latin typeface="Arial"/>
          </a:endParaRPr>
        </a:p>
        <a:p>
          <a:endParaRPr lang="es-ES" sz="1500" b="0" strike="noStrike" spc="-1">
            <a:latin typeface="Arial"/>
          </a:endParaRPr>
        </a:p>
        <a:p>
          <a:r>
            <a:rPr lang="es-ES" sz="1500" b="0" u="sng" strike="noStrike" spc="-1">
              <a:latin typeface="Arial"/>
              <a:ea typeface="+mn-ea"/>
              <a:cs typeface="+mn-cs"/>
            </a:rPr>
            <a:t>Condición</a:t>
          </a:r>
          <a:r>
            <a:rPr lang="es-ES" sz="1500" b="0" strike="noStrike" spc="-1">
              <a:latin typeface="Arial"/>
              <a:ea typeface="+mn-ea"/>
              <a:cs typeface="+mn-cs"/>
            </a:rPr>
            <a:t>: Cuando las TIC sean una página web.</a:t>
          </a:r>
        </a:p>
        <a:p>
          <a:endParaRPr lang="es-ES" sz="1500" b="0" strike="noStrike" spc="-1">
            <a:latin typeface="Arial"/>
          </a:endParaRPr>
        </a:p>
        <a:p>
          <a:r>
            <a:rPr lang="es-ES" sz="1500" b="0" strike="noStrike" spc="-1">
              <a:latin typeface="Arial"/>
            </a:rPr>
            <a:t>Se proporcionan subtítulos para el contenido de audio grabado dentro de contenido multimedia sincronizado, excepto cuando la presentación es un contenido multimedia alternativo al texto y está claramente identificado como tal. (Nivel A)</a:t>
          </a:r>
          <a:endParaRPr lang="es-ES" sz="1500" b="0" strike="noStrike" spc="-1">
            <a:latin typeface="Times New Roman"/>
          </a:endParaRPr>
        </a:p>
        <a:p>
          <a:endParaRPr lang="es-ES" sz="1500" b="0" strike="noStrike" spc="-1">
            <a:latin typeface="Times New Roman"/>
          </a:endParaRPr>
        </a:p>
        <a:p>
          <a:r>
            <a:rPr lang="es-ES" sz="1500" b="1" strike="noStrike" spc="-1">
              <a:solidFill>
                <a:srgbClr val="3465A4"/>
              </a:solidFill>
              <a:latin typeface="Arial"/>
              <a:hlinkClick xmlns:r="http://schemas.openxmlformats.org/officeDocument/2006/relationships" r:id="rId17"/>
            </a:rPr>
            <a:t>https://www.w3.org/TR/WCAG/#captions-prerecorded</a:t>
          </a:r>
          <a:endParaRPr lang="es-ES" sz="1500" b="0" strike="noStrike" spc="-1">
            <a:latin typeface="Times New Roman"/>
          </a:endParaRPr>
        </a:p>
      </xdr:txBody>
    </xdr:sp>
    <xdr:clientData/>
  </xdr:twoCellAnchor>
  <xdr:twoCellAnchor editAs="absolute">
    <xdr:from>
      <xdr:col>5</xdr:col>
      <xdr:colOff>52994</xdr:colOff>
      <xdr:row>62</xdr:row>
      <xdr:rowOff>91093</xdr:rowOff>
    </xdr:from>
    <xdr:to>
      <xdr:col>11</xdr:col>
      <xdr:colOff>428625</xdr:colOff>
      <xdr:row>84</xdr:row>
      <xdr:rowOff>95250</xdr:rowOff>
    </xdr:to>
    <xdr:sp macro="" textlink="">
      <xdr:nvSpPr>
        <xdr:cNvPr id="20" name="TextShape 1" descr="9.1.2.1 Solo audio y solo vídeo (grabado) (Condicional)  Condición: Cuando las TIC sean una página web.    Sólo audio grabado: Se proporciona una alternativa para los medios tempodependientes que presenta información equivalente para el contenido sólo audio grabado.  Sólo vídeo grabado: Se proporciona una alternativa para los medios tempodependientes o se proporciona una pista sonora que presenta información equivalente al contenido del medio de sólo vídeo grabado.  https://www.w3.org/TR/WCAG/#audio-only-and-video-only-prerecorded">
          <a:extLst>
            <a:ext uri="{FF2B5EF4-FFF2-40B4-BE49-F238E27FC236}">
              <a16:creationId xmlns:a16="http://schemas.microsoft.com/office/drawing/2014/main" id="{00000000-0008-0000-0600-000014000000}"/>
            </a:ext>
          </a:extLst>
        </xdr:cNvPr>
        <xdr:cNvSpPr txBox="1"/>
      </xdr:nvSpPr>
      <xdr:spPr>
        <a:xfrm>
          <a:off x="6985077" y="11055426"/>
          <a:ext cx="6207048" cy="3263824"/>
        </a:xfrm>
        <a:prstGeom prst="rect">
          <a:avLst/>
        </a:prstGeom>
        <a:solidFill>
          <a:srgbClr val="DDDDDD"/>
        </a:solidFill>
        <a:ln>
          <a:noFill/>
        </a:ln>
      </xdr:spPr>
      <xdr:txBody>
        <a:bodyPr wrap="square" lIns="108000" tIns="108000" rIns="108000" bIns="108000">
          <a:noAutofit/>
        </a:bodyPr>
        <a:lstStyle/>
        <a:p>
          <a:r>
            <a:rPr lang="en-US" sz="1500" b="1" strike="noStrike" spc="-1">
              <a:solidFill>
                <a:srgbClr val="000000"/>
              </a:solidFill>
              <a:latin typeface="Arial"/>
              <a:ea typeface="Linux Libertine G"/>
            </a:rPr>
            <a:t>9.1.2.1 Solo audio y solo vídeo (grabado)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1" strike="noStrike" spc="-1">
            <a:solidFill>
              <a:srgbClr val="000000"/>
            </a:solidFill>
            <a:latin typeface="Arial" pitchFamily="34" charset="0"/>
            <a:ea typeface="Linux Libertine G"/>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s-ES" sz="1500" b="0" i="0" u="sng">
              <a:effectLst/>
              <a:latin typeface="Arial" pitchFamily="34" charset="0"/>
              <a:ea typeface="+mn-ea"/>
              <a:cs typeface="Arial" pitchFamily="34" charset="0"/>
            </a:rPr>
            <a:t>Condición</a:t>
          </a:r>
          <a:r>
            <a:rPr lang="es-ES" sz="1500" b="0" i="0">
              <a:effectLst/>
              <a:latin typeface="Arial" pitchFamily="34" charset="0"/>
              <a:ea typeface="+mn-ea"/>
              <a:cs typeface="Arial" pitchFamily="34" charset="0"/>
            </a:rPr>
            <a:t>: Cuando las TIC sean una página web. </a:t>
          </a:r>
          <a:r>
            <a:rPr lang="es-ES" sz="1100" b="0" i="0" baseline="0">
              <a:effectLst/>
              <a:latin typeface="+mn-lt"/>
              <a:ea typeface="+mn-ea"/>
              <a:cs typeface="+mn-cs"/>
            </a:rPr>
            <a:t>	</a:t>
          </a:r>
          <a:endParaRPr lang="es-ES" sz="1600">
            <a:effectLst/>
          </a:endParaRPr>
        </a:p>
        <a:p>
          <a:endParaRPr lang="en-US" sz="1500" b="1" strike="noStrike" spc="-1">
            <a:solidFill>
              <a:srgbClr val="000000"/>
            </a:solidFill>
            <a:latin typeface="Arial"/>
            <a:ea typeface="Linux Libertine G"/>
          </a:endParaRPr>
        </a:p>
        <a:p>
          <a:r>
            <a:rPr lang="en-US" sz="1500" b="1" strike="noStrike" spc="-1">
              <a:solidFill>
                <a:srgbClr val="000000"/>
              </a:solidFill>
              <a:latin typeface="Arial"/>
              <a:ea typeface="Linux Libertine G"/>
            </a:rPr>
            <a:t>Sólo audio grabado: </a:t>
          </a:r>
          <a:r>
            <a:rPr lang="en-US" sz="1500" b="0" strike="noStrike" spc="-1">
              <a:solidFill>
                <a:srgbClr val="000000"/>
              </a:solidFill>
              <a:latin typeface="Arial"/>
              <a:ea typeface="Linux Libertine G"/>
            </a:rPr>
            <a:t>Se proporciona una alternativa para los medios tempodependientes que presenta información equivalente para el contenido sólo audio grabado.</a:t>
          </a:r>
          <a:endParaRPr lang="es-ES" sz="1500" b="0" strike="noStrike" spc="-1">
            <a:latin typeface="Times New Roman"/>
          </a:endParaRPr>
        </a:p>
        <a:p>
          <a:endParaRPr lang="es-ES" sz="1500" b="0" strike="noStrike" spc="-1">
            <a:latin typeface="Times New Roman"/>
          </a:endParaRPr>
        </a:p>
        <a:p>
          <a:r>
            <a:rPr lang="en-US" sz="1500" b="1" strike="noStrike" spc="-1">
              <a:solidFill>
                <a:srgbClr val="000000"/>
              </a:solidFill>
              <a:latin typeface="Arial"/>
              <a:ea typeface="Linux Libertine G"/>
            </a:rPr>
            <a:t>Sólo vídeo grabado:</a:t>
          </a:r>
          <a:r>
            <a:rPr lang="en-US" sz="1500" b="0" strike="noStrike" spc="-1">
              <a:solidFill>
                <a:srgbClr val="000000"/>
              </a:solidFill>
              <a:latin typeface="Arial"/>
              <a:ea typeface="Linux Libertine G"/>
            </a:rPr>
            <a:t> Se proporciona una alternativa para los medios tempodependientes o se proporciona una pista sonora que presenta información equivalente al contenido del medio de sólo vídeo grabado.</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8"/>
            </a:rPr>
            <a:t>https://www.w3.org/TR/WCAG/#audio-only-and-video-only-prerecorded</a:t>
          </a:r>
          <a:endParaRPr lang="es-ES" sz="1500" b="0" strike="noStrike" spc="-1">
            <a:latin typeface="Times New Roman"/>
          </a:endParaRPr>
        </a:p>
      </xdr:txBody>
    </xdr:sp>
    <xdr:clientData/>
  </xdr:twoCellAnchor>
  <xdr:twoCellAnchor editAs="absolute">
    <xdr:from>
      <xdr:col>7</xdr:col>
      <xdr:colOff>582420</xdr:colOff>
      <xdr:row>57</xdr:row>
      <xdr:rowOff>137139</xdr:rowOff>
    </xdr:from>
    <xdr:to>
      <xdr:col>8</xdr:col>
      <xdr:colOff>368151</xdr:colOff>
      <xdr:row>62</xdr:row>
      <xdr:rowOff>68018</xdr:rowOff>
    </xdr:to>
    <xdr:pic>
      <xdr:nvPicPr>
        <xdr:cNvPr id="21" name="Image 1">
          <a:extLst>
            <a:ext uri="{FF2B5EF4-FFF2-40B4-BE49-F238E27FC236}">
              <a16:creationId xmlns:a16="http://schemas.microsoft.com/office/drawing/2014/main" id="{00000000-0008-0000-0600-000015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83545" y="10814664"/>
          <a:ext cx="627106" cy="724629"/>
        </a:xfrm>
        <a:prstGeom prst="rect">
          <a:avLst/>
        </a:prstGeom>
        <a:ln>
          <a:noFill/>
        </a:ln>
      </xdr:spPr>
    </xdr:pic>
    <xdr:clientData/>
  </xdr:twoCellAnchor>
  <xdr:twoCellAnchor editAs="absolute">
    <xdr:from>
      <xdr:col>7</xdr:col>
      <xdr:colOff>623563</xdr:colOff>
      <xdr:row>95</xdr:row>
      <xdr:rowOff>145488</xdr:rowOff>
    </xdr:from>
    <xdr:to>
      <xdr:col>8</xdr:col>
      <xdr:colOff>355003</xdr:colOff>
      <xdr:row>100</xdr:row>
      <xdr:rowOff>66144</xdr:rowOff>
    </xdr:to>
    <xdr:pic>
      <xdr:nvPicPr>
        <xdr:cNvPr id="22" name="Image 1">
          <a:extLst>
            <a:ext uri="{FF2B5EF4-FFF2-40B4-BE49-F238E27FC236}">
              <a16:creationId xmlns:a16="http://schemas.microsoft.com/office/drawing/2014/main" id="{00000000-0008-0000-0600-000016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624688" y="17061888"/>
          <a:ext cx="572815" cy="714406"/>
        </a:xfrm>
        <a:prstGeom prst="rect">
          <a:avLst/>
        </a:prstGeom>
        <a:ln>
          <a:noFill/>
        </a:ln>
      </xdr:spPr>
    </xdr:pic>
    <xdr:clientData/>
  </xdr:twoCellAnchor>
  <xdr:twoCellAnchor editAs="absolute">
    <xdr:from>
      <xdr:col>7</xdr:col>
      <xdr:colOff>580270</xdr:colOff>
      <xdr:row>134</xdr:row>
      <xdr:rowOff>4316</xdr:rowOff>
    </xdr:from>
    <xdr:to>
      <xdr:col>8</xdr:col>
      <xdr:colOff>340285</xdr:colOff>
      <xdr:row>138</xdr:row>
      <xdr:rowOff>90555</xdr:rowOff>
    </xdr:to>
    <xdr:pic>
      <xdr:nvPicPr>
        <xdr:cNvPr id="23" name="Image 1">
          <a:extLst>
            <a:ext uri="{FF2B5EF4-FFF2-40B4-BE49-F238E27FC236}">
              <a16:creationId xmlns:a16="http://schemas.microsoft.com/office/drawing/2014/main" id="{00000000-0008-0000-0600-000017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81395" y="23311991"/>
          <a:ext cx="601390" cy="727589"/>
        </a:xfrm>
        <a:prstGeom prst="rect">
          <a:avLst/>
        </a:prstGeom>
        <a:ln>
          <a:noFill/>
        </a:ln>
      </xdr:spPr>
    </xdr:pic>
    <xdr:clientData/>
  </xdr:twoCellAnchor>
  <xdr:twoCellAnchor editAs="absolute">
    <xdr:from>
      <xdr:col>7</xdr:col>
      <xdr:colOff>483948</xdr:colOff>
      <xdr:row>172</xdr:row>
      <xdr:rowOff>43867</xdr:rowOff>
    </xdr:from>
    <xdr:to>
      <xdr:col>8</xdr:col>
      <xdr:colOff>269679</xdr:colOff>
      <xdr:row>176</xdr:row>
      <xdr:rowOff>124784</xdr:rowOff>
    </xdr:to>
    <xdr:pic>
      <xdr:nvPicPr>
        <xdr:cNvPr id="25" name="Image 1">
          <a:extLst>
            <a:ext uri="{FF2B5EF4-FFF2-40B4-BE49-F238E27FC236}">
              <a16:creationId xmlns:a16="http://schemas.microsoft.com/office/drawing/2014/main" id="{00000000-0008-0000-0600-000019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485073" y="27194880"/>
          <a:ext cx="619169" cy="642892"/>
        </a:xfrm>
        <a:prstGeom prst="rect">
          <a:avLst/>
        </a:prstGeom>
        <a:ln>
          <a:noFill/>
        </a:ln>
      </xdr:spPr>
    </xdr:pic>
    <xdr:clientData/>
  </xdr:twoCellAnchor>
  <xdr:twoCellAnchor editAs="absolute">
    <xdr:from>
      <xdr:col>7</xdr:col>
      <xdr:colOff>568508</xdr:colOff>
      <xdr:row>209</xdr:row>
      <xdr:rowOff>98110</xdr:rowOff>
    </xdr:from>
    <xdr:to>
      <xdr:col>8</xdr:col>
      <xdr:colOff>299948</xdr:colOff>
      <xdr:row>214</xdr:row>
      <xdr:rowOff>29232</xdr:rowOff>
    </xdr:to>
    <xdr:pic>
      <xdr:nvPicPr>
        <xdr:cNvPr id="26" name="Image 1">
          <a:extLst>
            <a:ext uri="{FF2B5EF4-FFF2-40B4-BE49-F238E27FC236}">
              <a16:creationId xmlns:a16="http://schemas.microsoft.com/office/drawing/2014/main" id="{00000000-0008-0000-0600-00001A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69633" y="32764098"/>
          <a:ext cx="564878" cy="655022"/>
        </a:xfrm>
        <a:prstGeom prst="rect">
          <a:avLst/>
        </a:prstGeom>
        <a:ln>
          <a:noFill/>
        </a:ln>
      </xdr:spPr>
    </xdr:pic>
    <xdr:clientData/>
  </xdr:twoCellAnchor>
  <xdr:twoCellAnchor editAs="absolute">
    <xdr:from>
      <xdr:col>7</xdr:col>
      <xdr:colOff>531287</xdr:colOff>
      <xdr:row>247</xdr:row>
      <xdr:rowOff>142248</xdr:rowOff>
    </xdr:from>
    <xdr:to>
      <xdr:col>8</xdr:col>
      <xdr:colOff>317018</xdr:colOff>
      <xdr:row>252</xdr:row>
      <xdr:rowOff>82652</xdr:rowOff>
    </xdr:to>
    <xdr:pic>
      <xdr:nvPicPr>
        <xdr:cNvPr id="27" name="Image 1">
          <a:extLst>
            <a:ext uri="{FF2B5EF4-FFF2-40B4-BE49-F238E27FC236}">
              <a16:creationId xmlns:a16="http://schemas.microsoft.com/office/drawing/2014/main" id="{00000000-0008-0000-0600-00001B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32412" y="38475611"/>
          <a:ext cx="619169" cy="654779"/>
        </a:xfrm>
        <a:prstGeom prst="rect">
          <a:avLst/>
        </a:prstGeom>
        <a:ln>
          <a:noFill/>
        </a:ln>
      </xdr:spPr>
    </xdr:pic>
    <xdr:clientData/>
  </xdr:twoCellAnchor>
  <xdr:twoCellAnchor editAs="absolute">
    <xdr:from>
      <xdr:col>7</xdr:col>
      <xdr:colOff>580711</xdr:colOff>
      <xdr:row>285</xdr:row>
      <xdr:rowOff>112981</xdr:rowOff>
    </xdr:from>
    <xdr:to>
      <xdr:col>8</xdr:col>
      <xdr:colOff>312151</xdr:colOff>
      <xdr:row>290</xdr:row>
      <xdr:rowOff>43861</xdr:rowOff>
    </xdr:to>
    <xdr:pic>
      <xdr:nvPicPr>
        <xdr:cNvPr id="28" name="Image 1">
          <a:extLst>
            <a:ext uri="{FF2B5EF4-FFF2-40B4-BE49-F238E27FC236}">
              <a16:creationId xmlns:a16="http://schemas.microsoft.com/office/drawing/2014/main" id="{00000000-0008-0000-0600-00001C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81836" y="44113719"/>
          <a:ext cx="564878" cy="654780"/>
        </a:xfrm>
        <a:prstGeom prst="rect">
          <a:avLst/>
        </a:prstGeom>
        <a:ln>
          <a:noFill/>
        </a:ln>
      </xdr:spPr>
    </xdr:pic>
    <xdr:clientData/>
  </xdr:twoCellAnchor>
  <xdr:twoCellAnchor editAs="absolute">
    <xdr:from>
      <xdr:col>7</xdr:col>
      <xdr:colOff>545937</xdr:colOff>
      <xdr:row>324</xdr:row>
      <xdr:rowOff>20681</xdr:rowOff>
    </xdr:from>
    <xdr:to>
      <xdr:col>8</xdr:col>
      <xdr:colOff>277377</xdr:colOff>
      <xdr:row>328</xdr:row>
      <xdr:rowOff>103840</xdr:rowOff>
    </xdr:to>
    <xdr:pic>
      <xdr:nvPicPr>
        <xdr:cNvPr id="29" name="Image 1">
          <a:extLst>
            <a:ext uri="{FF2B5EF4-FFF2-40B4-BE49-F238E27FC236}">
              <a16:creationId xmlns:a16="http://schemas.microsoft.com/office/drawing/2014/main" id="{00000000-0008-0000-0600-00001D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62937" y="51360431"/>
          <a:ext cx="567523" cy="675826"/>
        </a:xfrm>
        <a:prstGeom prst="rect">
          <a:avLst/>
        </a:prstGeom>
        <a:ln>
          <a:noFill/>
        </a:ln>
      </xdr:spPr>
    </xdr:pic>
    <xdr:clientData/>
  </xdr:twoCellAnchor>
  <xdr:twoCellAnchor editAs="absolute">
    <xdr:from>
      <xdr:col>7</xdr:col>
      <xdr:colOff>504073</xdr:colOff>
      <xdr:row>361</xdr:row>
      <xdr:rowOff>129049</xdr:rowOff>
    </xdr:from>
    <xdr:to>
      <xdr:col>8</xdr:col>
      <xdr:colOff>289804</xdr:colOff>
      <xdr:row>366</xdr:row>
      <xdr:rowOff>49228</xdr:rowOff>
    </xdr:to>
    <xdr:pic>
      <xdr:nvPicPr>
        <xdr:cNvPr id="30" name="Image 1">
          <a:extLst>
            <a:ext uri="{FF2B5EF4-FFF2-40B4-BE49-F238E27FC236}">
              <a16:creationId xmlns:a16="http://schemas.microsoft.com/office/drawing/2014/main" id="{00000000-0008-0000-0600-00001E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05198" y="55464537"/>
          <a:ext cx="619169" cy="644079"/>
        </a:xfrm>
        <a:prstGeom prst="rect">
          <a:avLst/>
        </a:prstGeom>
        <a:ln>
          <a:noFill/>
        </a:ln>
      </xdr:spPr>
    </xdr:pic>
    <xdr:clientData/>
  </xdr:twoCellAnchor>
  <xdr:twoCellAnchor editAs="absolute">
    <xdr:from>
      <xdr:col>7</xdr:col>
      <xdr:colOff>558034</xdr:colOff>
      <xdr:row>400</xdr:row>
      <xdr:rowOff>15047</xdr:rowOff>
    </xdr:from>
    <xdr:to>
      <xdr:col>8</xdr:col>
      <xdr:colOff>289474</xdr:colOff>
      <xdr:row>404</xdr:row>
      <xdr:rowOff>98326</xdr:rowOff>
    </xdr:to>
    <xdr:pic>
      <xdr:nvPicPr>
        <xdr:cNvPr id="31" name="Image 1">
          <a:extLst>
            <a:ext uri="{FF2B5EF4-FFF2-40B4-BE49-F238E27FC236}">
              <a16:creationId xmlns:a16="http://schemas.microsoft.com/office/drawing/2014/main" id="{00000000-0008-0000-0600-00001F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9159" y="61170310"/>
          <a:ext cx="564878" cy="645254"/>
        </a:xfrm>
        <a:prstGeom prst="rect">
          <a:avLst/>
        </a:prstGeom>
        <a:ln>
          <a:noFill/>
        </a:ln>
      </xdr:spPr>
    </xdr:pic>
    <xdr:clientData/>
  </xdr:twoCellAnchor>
  <xdr:twoCellAnchor editAs="absolute">
    <xdr:from>
      <xdr:col>7</xdr:col>
      <xdr:colOff>547162</xdr:colOff>
      <xdr:row>438</xdr:row>
      <xdr:rowOff>16341</xdr:rowOff>
    </xdr:from>
    <xdr:to>
      <xdr:col>8</xdr:col>
      <xdr:colOff>332893</xdr:colOff>
      <xdr:row>442</xdr:row>
      <xdr:rowOff>92062</xdr:rowOff>
    </xdr:to>
    <xdr:pic>
      <xdr:nvPicPr>
        <xdr:cNvPr id="32" name="Image 1">
          <a:extLst>
            <a:ext uri="{FF2B5EF4-FFF2-40B4-BE49-F238E27FC236}">
              <a16:creationId xmlns:a16="http://schemas.microsoft.com/office/drawing/2014/main" id="{00000000-0008-0000-0600-000020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48287" y="66838979"/>
          <a:ext cx="619169" cy="637696"/>
        </a:xfrm>
        <a:prstGeom prst="rect">
          <a:avLst/>
        </a:prstGeom>
        <a:ln>
          <a:noFill/>
        </a:ln>
      </xdr:spPr>
    </xdr:pic>
    <xdr:clientData/>
  </xdr:twoCellAnchor>
  <xdr:twoCellAnchor editAs="absolute">
    <xdr:from>
      <xdr:col>7</xdr:col>
      <xdr:colOff>540007</xdr:colOff>
      <xdr:row>476</xdr:row>
      <xdr:rowOff>35424</xdr:rowOff>
    </xdr:from>
    <xdr:to>
      <xdr:col>8</xdr:col>
      <xdr:colOff>300022</xdr:colOff>
      <xdr:row>480</xdr:row>
      <xdr:rowOff>106394</xdr:rowOff>
    </xdr:to>
    <xdr:pic>
      <xdr:nvPicPr>
        <xdr:cNvPr id="33" name="Image 1">
          <a:extLst>
            <a:ext uri="{FF2B5EF4-FFF2-40B4-BE49-F238E27FC236}">
              <a16:creationId xmlns:a16="http://schemas.microsoft.com/office/drawing/2014/main" id="{00000000-0008-0000-0600-000021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7007" y="74785507"/>
          <a:ext cx="596098" cy="663637"/>
        </a:xfrm>
        <a:prstGeom prst="rect">
          <a:avLst/>
        </a:prstGeom>
        <a:ln>
          <a:noFill/>
        </a:ln>
      </xdr:spPr>
    </xdr:pic>
    <xdr:clientData/>
  </xdr:twoCellAnchor>
  <xdr:twoCellAnchor editAs="absolute">
    <xdr:from>
      <xdr:col>7</xdr:col>
      <xdr:colOff>504178</xdr:colOff>
      <xdr:row>513</xdr:row>
      <xdr:rowOff>128816</xdr:rowOff>
    </xdr:from>
    <xdr:to>
      <xdr:col>8</xdr:col>
      <xdr:colOff>289909</xdr:colOff>
      <xdr:row>518</xdr:row>
      <xdr:rowOff>53226</xdr:rowOff>
    </xdr:to>
    <xdr:pic>
      <xdr:nvPicPr>
        <xdr:cNvPr id="34" name="Image 1">
          <a:extLst>
            <a:ext uri="{FF2B5EF4-FFF2-40B4-BE49-F238E27FC236}">
              <a16:creationId xmlns:a16="http://schemas.microsoft.com/office/drawing/2014/main" id="{00000000-0008-0000-0600-000022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05303" y="78133804"/>
          <a:ext cx="619169" cy="648310"/>
        </a:xfrm>
        <a:prstGeom prst="rect">
          <a:avLst/>
        </a:prstGeom>
        <a:ln>
          <a:noFill/>
        </a:ln>
      </xdr:spPr>
    </xdr:pic>
    <xdr:clientData/>
  </xdr:twoCellAnchor>
  <xdr:twoCellAnchor editAs="absolute">
    <xdr:from>
      <xdr:col>7</xdr:col>
      <xdr:colOff>562569</xdr:colOff>
      <xdr:row>552</xdr:row>
      <xdr:rowOff>39762</xdr:rowOff>
    </xdr:from>
    <xdr:to>
      <xdr:col>8</xdr:col>
      <xdr:colOff>294009</xdr:colOff>
      <xdr:row>556</xdr:row>
      <xdr:rowOff>118808</xdr:rowOff>
    </xdr:to>
    <xdr:pic>
      <xdr:nvPicPr>
        <xdr:cNvPr id="35" name="Image 1">
          <a:extLst>
            <a:ext uri="{FF2B5EF4-FFF2-40B4-BE49-F238E27FC236}">
              <a16:creationId xmlns:a16="http://schemas.microsoft.com/office/drawing/2014/main" id="{00000000-0008-0000-0600-000023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63694" y="83864525"/>
          <a:ext cx="564878" cy="641021"/>
        </a:xfrm>
        <a:prstGeom prst="rect">
          <a:avLst/>
        </a:prstGeom>
        <a:ln>
          <a:noFill/>
        </a:ln>
      </xdr:spPr>
    </xdr:pic>
    <xdr:clientData/>
  </xdr:twoCellAnchor>
  <xdr:twoCellAnchor editAs="absolute">
    <xdr:from>
      <xdr:col>7</xdr:col>
      <xdr:colOff>546694</xdr:colOff>
      <xdr:row>590</xdr:row>
      <xdr:rowOff>131952</xdr:rowOff>
    </xdr:from>
    <xdr:to>
      <xdr:col>8</xdr:col>
      <xdr:colOff>278134</xdr:colOff>
      <xdr:row>595</xdr:row>
      <xdr:rowOff>61321</xdr:rowOff>
    </xdr:to>
    <xdr:pic>
      <xdr:nvPicPr>
        <xdr:cNvPr id="36" name="Image 1">
          <a:extLst>
            <a:ext uri="{FF2B5EF4-FFF2-40B4-BE49-F238E27FC236}">
              <a16:creationId xmlns:a16="http://schemas.microsoft.com/office/drawing/2014/main" id="{00000000-0008-0000-0600-000024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47819" y="89614565"/>
          <a:ext cx="564878" cy="653269"/>
        </a:xfrm>
        <a:prstGeom prst="rect">
          <a:avLst/>
        </a:prstGeom>
        <a:ln>
          <a:noFill/>
        </a:ln>
      </xdr:spPr>
    </xdr:pic>
    <xdr:clientData/>
  </xdr:twoCellAnchor>
  <xdr:twoCellAnchor editAs="absolute">
    <xdr:from>
      <xdr:col>7</xdr:col>
      <xdr:colOff>546694</xdr:colOff>
      <xdr:row>628</xdr:row>
      <xdr:rowOff>18393</xdr:rowOff>
    </xdr:from>
    <xdr:to>
      <xdr:col>8</xdr:col>
      <xdr:colOff>278134</xdr:colOff>
      <xdr:row>632</xdr:row>
      <xdr:rowOff>83248</xdr:rowOff>
    </xdr:to>
    <xdr:pic>
      <xdr:nvPicPr>
        <xdr:cNvPr id="37" name="Image 1">
          <a:extLst>
            <a:ext uri="{FF2B5EF4-FFF2-40B4-BE49-F238E27FC236}">
              <a16:creationId xmlns:a16="http://schemas.microsoft.com/office/drawing/2014/main" id="{00000000-0008-0000-0600-000025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47819" y="95177906"/>
          <a:ext cx="564878" cy="626830"/>
        </a:xfrm>
        <a:prstGeom prst="rect">
          <a:avLst/>
        </a:prstGeom>
        <a:ln>
          <a:noFill/>
        </a:ln>
      </xdr:spPr>
    </xdr:pic>
    <xdr:clientData/>
  </xdr:twoCellAnchor>
  <xdr:twoCellAnchor editAs="absolute">
    <xdr:from>
      <xdr:col>7</xdr:col>
      <xdr:colOff>509685</xdr:colOff>
      <xdr:row>703</xdr:row>
      <xdr:rowOff>145060</xdr:rowOff>
    </xdr:from>
    <xdr:to>
      <xdr:col>8</xdr:col>
      <xdr:colOff>241125</xdr:colOff>
      <xdr:row>708</xdr:row>
      <xdr:rowOff>47576</xdr:rowOff>
    </xdr:to>
    <xdr:pic>
      <xdr:nvPicPr>
        <xdr:cNvPr id="38" name="Image 1">
          <a:extLst>
            <a:ext uri="{FF2B5EF4-FFF2-40B4-BE49-F238E27FC236}">
              <a16:creationId xmlns:a16="http://schemas.microsoft.com/office/drawing/2014/main" id="{00000000-0008-0000-0600-000026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10810" y="106486923"/>
          <a:ext cx="564878" cy="626416"/>
        </a:xfrm>
        <a:prstGeom prst="rect">
          <a:avLst/>
        </a:prstGeom>
        <a:ln>
          <a:noFill/>
        </a:ln>
      </xdr:spPr>
    </xdr:pic>
    <xdr:clientData/>
  </xdr:twoCellAnchor>
  <xdr:twoCellAnchor editAs="absolute">
    <xdr:from>
      <xdr:col>7</xdr:col>
      <xdr:colOff>551460</xdr:colOff>
      <xdr:row>665</xdr:row>
      <xdr:rowOff>145391</xdr:rowOff>
    </xdr:from>
    <xdr:to>
      <xdr:col>8</xdr:col>
      <xdr:colOff>292425</xdr:colOff>
      <xdr:row>670</xdr:row>
      <xdr:rowOff>31731</xdr:rowOff>
    </xdr:to>
    <xdr:pic>
      <xdr:nvPicPr>
        <xdr:cNvPr id="39" name="Image 1">
          <a:extLst>
            <a:ext uri="{FF2B5EF4-FFF2-40B4-BE49-F238E27FC236}">
              <a16:creationId xmlns:a16="http://schemas.microsoft.com/office/drawing/2014/main" id="{00000000-0008-0000-0600-000027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68460" y="104010224"/>
          <a:ext cx="577048" cy="627174"/>
        </a:xfrm>
        <a:prstGeom prst="rect">
          <a:avLst/>
        </a:prstGeom>
        <a:ln>
          <a:noFill/>
        </a:ln>
      </xdr:spPr>
    </xdr:pic>
    <xdr:clientData/>
  </xdr:twoCellAnchor>
  <xdr:twoCellAnchor editAs="absolute">
    <xdr:from>
      <xdr:col>5</xdr:col>
      <xdr:colOff>17318</xdr:colOff>
      <xdr:row>24</xdr:row>
      <xdr:rowOff>62139</xdr:rowOff>
    </xdr:from>
    <xdr:to>
      <xdr:col>19</xdr:col>
      <xdr:colOff>582083</xdr:colOff>
      <xdr:row>55</xdr:row>
      <xdr:rowOff>277091</xdr:rowOff>
    </xdr:to>
    <xdr:sp macro="" textlink="">
      <xdr:nvSpPr>
        <xdr:cNvPr id="52" name="TextShape 1" descr="9.1.1.1 Contenido no textual (Condicional)  Condición: Cuando las TIC sean una página web.    Todo contenido no textual que se presenta al usuario tiene una alternativa textual que cumple el mismo propósito, excepto en las situaciones enumeradas a continuación:  - Controles, Entrada de datos: Si el contenido no textual es un control o acepta datos introducidos por el usuario, entonces tiene un nombre que describe su propósito. (Véase la Pauta 4.1 para requisitos adicionales sobre los controles y el contenido que aceptan entrada de datos).   - Contenido multimedia tempodependiente: Si el contenido no textual es una presentación multimedia con desarrollo temporal, entonces las alternativas textuales proporcionan al menos una identificación descriptiva del contenido no textual. (Véase la Pauta 1.2 para requisitos adicionales sobre contenido multimedia).   - Pruebas: Si el contenido no textual es una prueba o un ejercicio que no sería válido si se presentara en forma de texto, entonces las alternativas textuales proporcionan al menos una identificación descriptiva del contenido no textual.   - Sensorial: Si el contenido no textual tiene como objetivo principal el crear una experiencia sensorial específica, entonces las alternativas textuales proporcionan al menos una identificación descriptiva del contenido no textual.   - CAPTCHA: Si el propósito del contenido no textual es confirmar que quien está accediendo al contenido es una persona y no una computadora, entonces se proporcionan alternativas textuales que identifican y describen el propósito del contenido no textual y se proporcionan formas alternativas de CAPTCHA con modos de salida para distintos tipos de percepciones sensoriales, con el fin de acomodarse a las diferentes discapacidades.   - Decoración, Formato, Invisible: Si el contenido no textual es simple decoración, se utiliza únicamente para definir el formato visual o no se presenta a los usuarios, entonces se implementa de forma que pueda ser ignorado por las ayudas técnicas.  http://www.w3.org/TR/WCAG/#text-alternatives">
          <a:extLst>
            <a:ext uri="{FF2B5EF4-FFF2-40B4-BE49-F238E27FC236}">
              <a16:creationId xmlns:a16="http://schemas.microsoft.com/office/drawing/2014/main" id="{00000000-0008-0000-0600-000034000000}"/>
            </a:ext>
          </a:extLst>
        </xdr:cNvPr>
        <xdr:cNvSpPr txBox="1"/>
      </xdr:nvSpPr>
      <xdr:spPr>
        <a:xfrm>
          <a:off x="6949401" y="5173889"/>
          <a:ext cx="12947265" cy="4808119"/>
        </a:xfrm>
        <a:prstGeom prst="rect">
          <a:avLst/>
        </a:prstGeom>
        <a:solidFill>
          <a:srgbClr val="DDDDDD"/>
        </a:solidFill>
        <a:ln>
          <a:noFill/>
        </a:ln>
      </xdr:spPr>
      <xdr:txBody>
        <a:bodyPr wrap="square" lIns="108000" tIns="108000" rIns="108000" bIns="108000">
          <a:noAutofit/>
        </a:bodyPr>
        <a:lstStyle/>
        <a:p>
          <a:r>
            <a:rPr lang="es-ES" sz="1500" b="1" i="0" u="none" strike="noStrike">
              <a:latin typeface="Arial" pitchFamily="34" charset="0"/>
              <a:ea typeface="+mn-ea"/>
              <a:cs typeface="Arial" pitchFamily="34" charset="0"/>
            </a:rPr>
            <a:t>9.1.1.1 Contenido no textual (Condicional)</a:t>
          </a:r>
        </a:p>
        <a:p>
          <a:endParaRPr lang="es-ES" sz="1500" b="0" i="0" u="none" strike="noStrike">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s-ES" sz="1500" b="0" i="0" u="sng" strike="noStrike">
              <a:latin typeface="Arial" pitchFamily="34" charset="0"/>
              <a:ea typeface="+mn-ea"/>
              <a:cs typeface="Arial" pitchFamily="34" charset="0"/>
            </a:rPr>
            <a:t>Condición</a:t>
          </a:r>
          <a:r>
            <a:rPr lang="es-ES" sz="1500" b="0" i="0" u="none" strike="noStrike">
              <a:latin typeface="Arial" pitchFamily="34" charset="0"/>
              <a:ea typeface="+mn-ea"/>
              <a:cs typeface="Arial" pitchFamily="34" charset="0"/>
            </a:rPr>
            <a:t>: Cuando las TIC sean una página web. </a:t>
          </a:r>
          <a:r>
            <a:rPr lang="es-ES" sz="1100" b="0" i="0" u="none" strike="noStrike" baseline="0">
              <a:latin typeface="+mn-lt"/>
              <a:ea typeface="+mn-ea"/>
              <a:cs typeface="+mn-cs"/>
            </a:rPr>
            <a:t>	</a:t>
          </a:r>
        </a:p>
        <a:p>
          <a:endParaRPr lang="es-ES" sz="1500" b="0" i="0" u="none" strike="noStrike">
            <a:latin typeface="Arial" pitchFamily="34" charset="0"/>
            <a:ea typeface="+mn-ea"/>
            <a:cs typeface="Arial" pitchFamily="34" charset="0"/>
          </a:endParaRPr>
        </a:p>
        <a:p>
          <a:r>
            <a:rPr lang="es-ES" sz="1500" b="0" i="0" u="none" strike="noStrike">
              <a:latin typeface="Arial" pitchFamily="34" charset="0"/>
              <a:ea typeface="+mn-ea"/>
              <a:cs typeface="Arial" pitchFamily="34" charset="0"/>
            </a:rPr>
            <a:t>Todo contenido no textual que se presenta al usuario tiene una alternativa textual que cumple el mismo propósito, excepto en las situaciones enumeradas a continuación:</a:t>
          </a:r>
        </a:p>
        <a:p>
          <a:r>
            <a:rPr lang="es-ES" sz="1500" b="0" i="0" u="none" strike="noStrike" baseline="0">
              <a:latin typeface="Arial" pitchFamily="34" charset="0"/>
              <a:cs typeface="Arial" pitchFamily="34" charset="0"/>
            </a:rPr>
            <a:t> </a:t>
          </a:r>
          <a:r>
            <a:rPr lang="es-ES" sz="1500" b="1" i="0" u="none" strike="noStrike" baseline="0">
              <a:latin typeface="Arial" pitchFamily="34" charset="0"/>
              <a:ea typeface="+mn-ea"/>
              <a:cs typeface="Arial" pitchFamily="34" charset="0"/>
            </a:rPr>
            <a:t>- Controles, Entrada de datos:</a:t>
          </a:r>
          <a:r>
            <a:rPr lang="es-ES" sz="1500" b="0" i="0" u="none" strike="noStrike" baseline="0">
              <a:latin typeface="Arial" pitchFamily="34" charset="0"/>
              <a:ea typeface="+mn-ea"/>
              <a:cs typeface="Arial" pitchFamily="34" charset="0"/>
            </a:rPr>
            <a:t> Si el contenido no textual es un control o acepta datos introducidos por el usuario, entonces tiene un nombre que describe su propósito. (Véase la Pauta 4.1 para requisitos adicionales sobre los controles y el contenido que aceptan entrada de datos). </a:t>
          </a:r>
        </a:p>
        <a:p>
          <a:r>
            <a:rPr lang="es-ES" sz="1500" b="0" i="0" u="none" strike="noStrike" baseline="0">
              <a:latin typeface="Arial" pitchFamily="34" charset="0"/>
              <a:cs typeface="Arial" pitchFamily="34" charset="0"/>
            </a:rPr>
            <a:t> </a:t>
          </a:r>
          <a:r>
            <a:rPr lang="es-ES" sz="1500" b="1" i="0" u="none" strike="noStrike" baseline="0">
              <a:latin typeface="Arial" pitchFamily="34" charset="0"/>
              <a:ea typeface="+mn-ea"/>
              <a:cs typeface="Arial" pitchFamily="34" charset="0"/>
            </a:rPr>
            <a:t>- Contenido multimedia tempodependiente:</a:t>
          </a:r>
          <a:r>
            <a:rPr lang="es-ES" sz="1500" b="0" i="0" u="none" strike="noStrike" baseline="0">
              <a:latin typeface="Arial" pitchFamily="34" charset="0"/>
              <a:ea typeface="+mn-ea"/>
              <a:cs typeface="Arial" pitchFamily="34" charset="0"/>
            </a:rPr>
            <a:t> Si el contenido no textual es una presentación multimedia con desarrollo temporal, entonces las alternativas textuales proporcionan al menos una identificación descriptiva del contenido no textual. (Véase la Pauta 1.2 para requisitos adicionales sobre contenido multimedia). </a:t>
          </a:r>
        </a:p>
        <a:p>
          <a:r>
            <a:rPr lang="es-ES" sz="1500" b="0" i="0" u="none" strike="noStrike" baseline="0">
              <a:latin typeface="Arial" pitchFamily="34" charset="0"/>
              <a:cs typeface="Arial" pitchFamily="34" charset="0"/>
            </a:rPr>
            <a:t> </a:t>
          </a:r>
          <a:r>
            <a:rPr lang="es-ES" sz="1500" b="1" i="0" u="none" strike="noStrike" baseline="0">
              <a:latin typeface="Arial" pitchFamily="34" charset="0"/>
              <a:ea typeface="+mn-ea"/>
              <a:cs typeface="Arial" pitchFamily="34" charset="0"/>
            </a:rPr>
            <a:t>- Pruebas:</a:t>
          </a:r>
          <a:r>
            <a:rPr lang="es-ES" sz="1500" b="0" i="0" u="none" strike="noStrike" baseline="0">
              <a:latin typeface="Arial" pitchFamily="34" charset="0"/>
              <a:ea typeface="+mn-ea"/>
              <a:cs typeface="Arial" pitchFamily="34" charset="0"/>
            </a:rPr>
            <a:t> Si el contenido no textual es una prueba o un ejercicio que no sería válido si se presentara en forma de texto, entonces las alternativas textuales proporcionan al menos una identificación descriptiva del contenido no textual. </a:t>
          </a:r>
        </a:p>
        <a:p>
          <a:r>
            <a:rPr lang="es-ES" sz="1500" b="0" i="0" u="none" strike="noStrike" baseline="0">
              <a:latin typeface="Arial" pitchFamily="34" charset="0"/>
              <a:cs typeface="Arial" pitchFamily="34" charset="0"/>
            </a:rPr>
            <a:t> </a:t>
          </a:r>
          <a:r>
            <a:rPr lang="es-ES" sz="1500" b="1" i="0" u="none" strike="noStrike" baseline="0">
              <a:latin typeface="Arial" pitchFamily="34" charset="0"/>
              <a:ea typeface="+mn-ea"/>
              <a:cs typeface="Arial" pitchFamily="34" charset="0"/>
            </a:rPr>
            <a:t>- Sensorial:</a:t>
          </a:r>
          <a:r>
            <a:rPr lang="es-ES" sz="1500" b="0" i="0" u="none" strike="noStrike" baseline="0">
              <a:latin typeface="Arial" pitchFamily="34" charset="0"/>
              <a:ea typeface="+mn-ea"/>
              <a:cs typeface="Arial" pitchFamily="34" charset="0"/>
            </a:rPr>
            <a:t> Si el contenido no textual tiene como objetivo principal el crear una experiencia sensorial específica, entonces las alternativas textuales proporcionan al menos una identificación descriptiva del contenido no textual. </a:t>
          </a:r>
        </a:p>
        <a:p>
          <a:r>
            <a:rPr lang="es-ES" sz="1500" b="0" i="0" u="none" strike="noStrike" baseline="0">
              <a:latin typeface="Arial" pitchFamily="34" charset="0"/>
              <a:cs typeface="Arial" pitchFamily="34" charset="0"/>
            </a:rPr>
            <a:t> </a:t>
          </a:r>
          <a:r>
            <a:rPr lang="es-ES" sz="1500" b="1" i="0" u="none" strike="noStrike" baseline="0">
              <a:latin typeface="Arial" pitchFamily="34" charset="0"/>
              <a:ea typeface="+mn-ea"/>
              <a:cs typeface="Arial" pitchFamily="34" charset="0"/>
            </a:rPr>
            <a:t>- CAPTCHA:</a:t>
          </a:r>
          <a:r>
            <a:rPr lang="es-ES" sz="1500" b="0" i="0" u="none" strike="noStrike" baseline="0">
              <a:latin typeface="Arial" pitchFamily="34" charset="0"/>
              <a:ea typeface="+mn-ea"/>
              <a:cs typeface="Arial" pitchFamily="34" charset="0"/>
            </a:rPr>
            <a:t> Si el propósito del contenido no textual es confirmar que quien está accediendo al contenido es una persona y no una computadora, entonces se proporcionan alternativas textuales que identifican y describen el propósito del contenido no textual y se proporcionan formas alternativas de CAPTCHA con modos de salida para distintos tipos de percepciones sensoriales, con el fin de acomodarse a las diferentes discapacidades. </a:t>
          </a:r>
        </a:p>
        <a:p>
          <a:r>
            <a:rPr lang="es-ES" sz="1500" b="0" i="0" u="none" strike="noStrike" baseline="0">
              <a:latin typeface="Arial" pitchFamily="34" charset="0"/>
              <a:cs typeface="Arial" pitchFamily="34" charset="0"/>
            </a:rPr>
            <a:t> </a:t>
          </a:r>
          <a:r>
            <a:rPr lang="es-ES" sz="1500" b="1" i="0" u="none" strike="noStrike" baseline="0">
              <a:latin typeface="Arial" pitchFamily="34" charset="0"/>
              <a:ea typeface="+mn-ea"/>
              <a:cs typeface="Arial" pitchFamily="34" charset="0"/>
            </a:rPr>
            <a:t>- Decoración, Formato, Invisible:</a:t>
          </a:r>
          <a:r>
            <a:rPr lang="es-ES" sz="1500" b="0" i="0" u="none" strike="noStrike" baseline="0">
              <a:latin typeface="Arial" pitchFamily="34" charset="0"/>
              <a:ea typeface="+mn-ea"/>
              <a:cs typeface="Arial" pitchFamily="34" charset="0"/>
            </a:rPr>
            <a:t> Si el contenido no textual es simple decoración, se utiliza únicamente para definir el formato visual o no se presenta a los usuarios, entonces se implementa de forma que pueda ser ignorado por las ayudas técnicas. </a:t>
          </a:r>
        </a:p>
        <a:p>
          <a:r>
            <a:rPr lang="es-ES" sz="1500" b="1" u="sng" strike="noStrike" spc="-1">
              <a:solidFill>
                <a:srgbClr val="3365A4"/>
              </a:solidFill>
              <a:latin typeface="Arial"/>
              <a:ea typeface="Linux Libertine G"/>
              <a:cs typeface="+mn-cs"/>
            </a:rPr>
            <a:t>http://www.w3.org/TR/WCAG/#text-alternatives</a:t>
          </a:r>
        </a:p>
      </xdr:txBody>
    </xdr:sp>
    <xdr:clientData/>
  </xdr:twoCellAnchor>
  <xdr:twoCellAnchor editAs="absolute">
    <xdr:from>
      <xdr:col>5</xdr:col>
      <xdr:colOff>1280</xdr:colOff>
      <xdr:row>746</xdr:row>
      <xdr:rowOff>47712</xdr:rowOff>
    </xdr:from>
    <xdr:to>
      <xdr:col>12</xdr:col>
      <xdr:colOff>84667</xdr:colOff>
      <xdr:row>777</xdr:row>
      <xdr:rowOff>10585</xdr:rowOff>
    </xdr:to>
    <xdr:sp macro="" textlink="">
      <xdr:nvSpPr>
        <xdr:cNvPr id="54" name="TextShape 1" descr="9.2.1.1 Teclado (Condicional)  Condición: Cuando las TIC sean una página web.  Toda la funcionalidad del contenido es operable a través de una interfaz de teclado sin que se requiera una determinada velocidad para cada pulsación individual de las teclas, excepto cuando la función interna requiere de una entrada que depende del trayecto de los movimientos del usuario y no sólo de los puntos inicial y final. (Nivel A)  Nota 1: Esta excepción se refiere a la función subyacente, no a la técnica de entrada de datos. Por ejemplo, si la entrada de texto se hace por medio de escritura a mano, la técnica de entrada (escritura a mano) depende del trazo (ruta trazada) pero la función interna (introducir texto) no.  Nota 2: Esto no prohíbe ni debería desanimar a los autores a proporcionar entrada de ratón u otros métodos de entrada de datos adicionales a la operabilidad a través del teclado.  https://www.w3.org/TR/WCAG/#keyboard">
          <a:extLst>
            <a:ext uri="{FF2B5EF4-FFF2-40B4-BE49-F238E27FC236}">
              <a16:creationId xmlns:a16="http://schemas.microsoft.com/office/drawing/2014/main" id="{00000000-0008-0000-0600-000036000000}"/>
            </a:ext>
          </a:extLst>
        </xdr:cNvPr>
        <xdr:cNvSpPr txBox="1"/>
      </xdr:nvSpPr>
      <xdr:spPr>
        <a:xfrm>
          <a:off x="6933363" y="116358545"/>
          <a:ext cx="6750887" cy="4556040"/>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9.2.1.1 Teclado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Toda la funcionalidad del contenido es operable a través de una interfaz de teclado sin que se requiera una determinada velocidad para cada pulsación individual de las teclas, excepto cuando la función interna requiere de una entrada que depende del trayecto de los movimientos del usuario y no sólo de los puntos inicial y final.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Nota 1: Esta excepción se refiere a la función subyacente, no a la técnica de entrada de datos. Por ejemplo, si la entrada de texto se hace por medio de escritura a mano, la técnica de entrada (escritura a mano) depende del trazo (ruta trazada) pero la función interna (introducir texto) no.</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Nota 2: Esto no prohíbe ni debería desanimar a los autores a proporcionar entrada de ratón u otros métodos de entrada de datos adicionales a la operabilidad a través del teclado.</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9"/>
            </a:rPr>
            <a:t>https://www.w3.org/TR/WCAG/#keyboard</a:t>
          </a:r>
          <a:endParaRPr lang="es-ES" sz="1500" b="0" strike="noStrike" spc="-1">
            <a:latin typeface="Times New Roman"/>
          </a:endParaRPr>
        </a:p>
      </xdr:txBody>
    </xdr:sp>
    <xdr:clientData/>
  </xdr:twoCellAnchor>
  <xdr:twoCellAnchor editAs="absolute">
    <xdr:from>
      <xdr:col>4</xdr:col>
      <xdr:colOff>348797</xdr:colOff>
      <xdr:row>936</xdr:row>
      <xdr:rowOff>80596</xdr:rowOff>
    </xdr:from>
    <xdr:to>
      <xdr:col>11</xdr:col>
      <xdr:colOff>324530</xdr:colOff>
      <xdr:row>959</xdr:row>
      <xdr:rowOff>148166</xdr:rowOff>
    </xdr:to>
    <xdr:sp macro="" textlink="">
      <xdr:nvSpPr>
        <xdr:cNvPr id="55" name="TextShape 1" descr="9.2.3.1 Umbral de tres destellos o menos (Condicional)  Condición: Cuando las TIC sean una página web.  Las páginas web no contienen nada que destelle más de tres veces en un segundo, o el destello está por debajo del umbral de destello general y de destello rojo. (Nivel A)  Nota: En la medida en que cualquier contenido que no satisfaga este criterio puede interferir con la capacidad del usuario para emplear la página como un todo, todo contenido de la página web (tanto si satisface o no otros criterios de conformidad) debe satisfacer este criterio. Véase Requisito de Conformidad 5: Sin interferencia.  https://www.w3.org/TR/WCAG/#three-flashes-or-below-threshold">
          <a:extLst>
            <a:ext uri="{FF2B5EF4-FFF2-40B4-BE49-F238E27FC236}">
              <a16:creationId xmlns:a16="http://schemas.microsoft.com/office/drawing/2014/main" id="{00000000-0008-0000-0600-000037000000}"/>
            </a:ext>
          </a:extLst>
        </xdr:cNvPr>
        <xdr:cNvSpPr txBox="1"/>
      </xdr:nvSpPr>
      <xdr:spPr>
        <a:xfrm>
          <a:off x="6910464" y="145654346"/>
          <a:ext cx="6177566" cy="3475403"/>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9.2.3.1 Umbral de tres destellos o menos</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Las páginas web no contienen nada que destelle más de tres veces en un segundo, o el destello está por debajo del umbral de destello general y de destello rojo.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Nota: En la medida en que cualquier contenido que no satisfaga este criterio puede interferir con la capacidad del usuario para emplear la página como un todo, todo contenido de la página web (tanto si satisface o no otros criterios de conformidad) debe satisfacer este criterio. Véase Requisito de Conformidad 5: Sin interferencia.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0"/>
            </a:rPr>
            <a:t>https://www.w3.org/TR/WCAG/#three-flashes-or-below-threshold</a:t>
          </a:r>
          <a:endParaRPr lang="es-ES" sz="1500" b="0" strike="noStrike" spc="-1">
            <a:latin typeface="Times New Roman"/>
          </a:endParaRPr>
        </a:p>
      </xdr:txBody>
    </xdr:sp>
    <xdr:clientData/>
  </xdr:twoCellAnchor>
  <xdr:twoCellAnchor editAs="absolute">
    <xdr:from>
      <xdr:col>4</xdr:col>
      <xdr:colOff>361802</xdr:colOff>
      <xdr:row>824</xdr:row>
      <xdr:rowOff>49404</xdr:rowOff>
    </xdr:from>
    <xdr:to>
      <xdr:col>11</xdr:col>
      <xdr:colOff>24346</xdr:colOff>
      <xdr:row>852</xdr:row>
      <xdr:rowOff>52916</xdr:rowOff>
    </xdr:to>
    <xdr:sp macro="" textlink="">
      <xdr:nvSpPr>
        <xdr:cNvPr id="56" name="TextShape 1" descr="9.2.1.4  Atajos del teclado (Condicional)  Condición: Cuando las TIC sean una página web.  En el caso de que para activar los elementos de interacción (enlaces, botones, etc.) se empleen atajos de teclado usando una única letra, signo de puntuación, número o símbolo entonces se debe cumplir al menos una de las siguientes condiciones:  - Existe un mecanismo que permite desactivar el atajo de teclado  - Existe un mecanismo que permite reasignar el atajo de teclado para emplear en su lugar otra tecla no imprimible (ej, Ctrl, Alt, etc.)  - El atajo de teclado sólo se puede activar cuando el componente tiene el foco del teclado.  https://www.w3.org/TR/WCAG/#character-key-shortcuts">
          <a:extLst>
            <a:ext uri="{FF2B5EF4-FFF2-40B4-BE49-F238E27FC236}">
              <a16:creationId xmlns:a16="http://schemas.microsoft.com/office/drawing/2014/main" id="{00000000-0008-0000-0600-000038000000}"/>
            </a:ext>
          </a:extLst>
        </xdr:cNvPr>
        <xdr:cNvSpPr txBox="1"/>
      </xdr:nvSpPr>
      <xdr:spPr>
        <a:xfrm>
          <a:off x="6923469" y="128361737"/>
          <a:ext cx="5864377" cy="4152179"/>
        </a:xfrm>
        <a:prstGeom prst="rect">
          <a:avLst/>
        </a:prstGeom>
        <a:solidFill>
          <a:srgbClr val="DDDDDD"/>
        </a:solidFill>
        <a:ln>
          <a:noFill/>
        </a:ln>
      </xdr:spPr>
      <xdr:txBody>
        <a:bodyPr lIns="108000" tIns="108000" rIns="108000" bIns="108000">
          <a:noAutofit/>
        </a:bodyPr>
        <a:lstStyle/>
        <a:p>
          <a:r>
            <a:rPr lang="es-ES" sz="1500" b="1" strike="noStrike" spc="-1">
              <a:solidFill>
                <a:srgbClr val="000000"/>
              </a:solidFill>
              <a:latin typeface="Arial"/>
              <a:ea typeface="Linux Libertine G"/>
            </a:rPr>
            <a:t>9.2.1.4  Atajos del teclado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s-ES" sz="1500" b="1" strike="noStrike" spc="-1">
            <a:solidFill>
              <a:srgbClr val="000000"/>
            </a:solidFill>
            <a:latin typeface="Arial"/>
            <a:ea typeface="Linux Libertine G"/>
          </a:endParaRPr>
        </a:p>
        <a:p>
          <a:endParaRPr lang="es-E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s-ES" sz="1500" b="0" strike="noStrike" spc="-1">
            <a:solidFill>
              <a:srgbClr val="000000"/>
            </a:solidFill>
            <a:latin typeface="Arial"/>
            <a:ea typeface="Linux Libertine G"/>
          </a:endParaRPr>
        </a:p>
        <a:p>
          <a:r>
            <a:rPr lang="es-ES" sz="1500" b="0" strike="noStrike" spc="-1">
              <a:solidFill>
                <a:srgbClr val="000000"/>
              </a:solidFill>
              <a:latin typeface="Arial"/>
              <a:ea typeface="Linux Libertine G"/>
            </a:rPr>
            <a:t>En el caso de que para activar los elementos de interacción (enlaces, botones, etc.) se empleen </a:t>
          </a:r>
          <a:r>
            <a:rPr lang="es-ES" sz="1500" b="1" strike="noStrike" spc="-1">
              <a:solidFill>
                <a:srgbClr val="000000"/>
              </a:solidFill>
              <a:latin typeface="Arial"/>
              <a:ea typeface="Linux Libertine G"/>
            </a:rPr>
            <a:t>atajos de teclado usando una única letra</a:t>
          </a:r>
          <a:r>
            <a:rPr lang="es-ES" sz="1500" b="0" strike="noStrike" spc="-1">
              <a:solidFill>
                <a:srgbClr val="000000"/>
              </a:solidFill>
              <a:latin typeface="Arial"/>
              <a:ea typeface="Linux Libertine G"/>
            </a:rPr>
            <a:t>, signo de puntuación, número o símbolo entonces se debe cumplir al menos una de las siguientes condiciones:</a:t>
          </a:r>
          <a:endParaRPr lang="es-ES" sz="1500" b="0" strike="noStrike" spc="-1">
            <a:latin typeface="Times New Roman"/>
          </a:endParaRPr>
        </a:p>
        <a:p>
          <a:endParaRPr lang="es-ES" sz="1500" b="0" strike="noStrike" spc="-1">
            <a:latin typeface="Times New Roman"/>
          </a:endParaRPr>
        </a:p>
        <a:p>
          <a:r>
            <a:rPr lang="es-ES" sz="1500" b="0" strike="noStrike" spc="-1">
              <a:solidFill>
                <a:srgbClr val="000000"/>
              </a:solidFill>
              <a:latin typeface="Arial"/>
              <a:ea typeface="Linux Libertine G"/>
            </a:rPr>
            <a:t>- Existe un mecanismo que permite </a:t>
          </a:r>
          <a:r>
            <a:rPr lang="es-ES" sz="1500" b="1" strike="noStrike" spc="-1">
              <a:solidFill>
                <a:srgbClr val="000000"/>
              </a:solidFill>
              <a:latin typeface="Arial"/>
              <a:ea typeface="Linux Libertine G"/>
            </a:rPr>
            <a:t>desactivar </a:t>
          </a:r>
          <a:r>
            <a:rPr lang="es-ES" sz="1500" b="0" strike="noStrike" spc="-1">
              <a:solidFill>
                <a:srgbClr val="000000"/>
              </a:solidFill>
              <a:latin typeface="Arial"/>
              <a:ea typeface="Linux Libertine G"/>
            </a:rPr>
            <a:t>el atajo de teclado</a:t>
          </a:r>
          <a:endParaRPr lang="es-ES" sz="1500" b="0" strike="noStrike" spc="-1">
            <a:latin typeface="Times New Roman"/>
          </a:endParaRPr>
        </a:p>
        <a:p>
          <a:endParaRPr lang="es-ES" sz="1500" b="0" strike="noStrike" spc="-1">
            <a:latin typeface="Times New Roman"/>
          </a:endParaRPr>
        </a:p>
        <a:p>
          <a:r>
            <a:rPr lang="es-ES" sz="1500" b="0" strike="noStrike" spc="-1">
              <a:solidFill>
                <a:srgbClr val="000000"/>
              </a:solidFill>
              <a:latin typeface="Arial"/>
              <a:ea typeface="Linux Libertine G"/>
            </a:rPr>
            <a:t>- Existe un mecanismo que permite </a:t>
          </a:r>
          <a:r>
            <a:rPr lang="es-ES" sz="1500" b="1" strike="noStrike" spc="-1">
              <a:solidFill>
                <a:srgbClr val="000000"/>
              </a:solidFill>
              <a:latin typeface="Arial"/>
              <a:ea typeface="Linux Libertine G"/>
            </a:rPr>
            <a:t>reasignar </a:t>
          </a:r>
          <a:r>
            <a:rPr lang="es-ES" sz="1500" b="0" strike="noStrike" spc="-1">
              <a:solidFill>
                <a:srgbClr val="000000"/>
              </a:solidFill>
              <a:latin typeface="Arial"/>
              <a:ea typeface="Linux Libertine G"/>
            </a:rPr>
            <a:t>el atajo de teclado para emplear en su lugar otra tecla no imprimible (ej, </a:t>
          </a:r>
          <a:r>
            <a:rPr lang="es-ES" sz="1500" b="0" i="1" strike="noStrike" spc="-1">
              <a:solidFill>
                <a:srgbClr val="000000"/>
              </a:solidFill>
              <a:latin typeface="Arial"/>
              <a:ea typeface="Linux Libertine G"/>
            </a:rPr>
            <a:t>Ctrl</a:t>
          </a:r>
          <a:r>
            <a:rPr lang="es-ES" sz="1500" b="0" strike="noStrike" spc="-1">
              <a:solidFill>
                <a:srgbClr val="000000"/>
              </a:solidFill>
              <a:latin typeface="Arial"/>
              <a:ea typeface="Linux Libertine G"/>
            </a:rPr>
            <a:t>, </a:t>
          </a:r>
          <a:r>
            <a:rPr lang="es-ES" sz="1500" b="0" i="1" strike="noStrike" spc="-1">
              <a:solidFill>
                <a:srgbClr val="000000"/>
              </a:solidFill>
              <a:latin typeface="Arial"/>
              <a:ea typeface="Linux Libertine G"/>
            </a:rPr>
            <a:t>Alt</a:t>
          </a:r>
          <a:r>
            <a:rPr lang="es-ES" sz="1500" b="0" strike="noStrike" spc="-1">
              <a:solidFill>
                <a:srgbClr val="000000"/>
              </a:solidFill>
              <a:latin typeface="Arial"/>
              <a:ea typeface="Linux Libertine G"/>
            </a:rPr>
            <a:t>, etc.)</a:t>
          </a:r>
          <a:endParaRPr lang="es-ES" sz="1500" b="0" strike="noStrike" spc="-1">
            <a:latin typeface="Times New Roman"/>
          </a:endParaRPr>
        </a:p>
        <a:p>
          <a:endParaRPr lang="es-ES" sz="1500" b="0" strike="noStrike" spc="-1">
            <a:latin typeface="Times New Roman"/>
          </a:endParaRPr>
        </a:p>
        <a:p>
          <a:r>
            <a:rPr lang="es-ES" sz="1500" b="0" strike="noStrike" spc="-1">
              <a:solidFill>
                <a:srgbClr val="000000"/>
              </a:solidFill>
              <a:latin typeface="Arial"/>
              <a:ea typeface="Linux Libertine G"/>
            </a:rPr>
            <a:t>- El atajo de teclado </a:t>
          </a:r>
          <a:r>
            <a:rPr lang="es-ES" sz="1500" b="1" strike="noStrike" spc="-1">
              <a:solidFill>
                <a:srgbClr val="000000"/>
              </a:solidFill>
              <a:latin typeface="Arial"/>
              <a:ea typeface="Linux Libertine G"/>
            </a:rPr>
            <a:t>sólo se puede activar cuando el componente</a:t>
          </a:r>
          <a:r>
            <a:rPr lang="es-ES" sz="1500" b="0" strike="noStrike" spc="-1">
              <a:solidFill>
                <a:srgbClr val="000000"/>
              </a:solidFill>
              <a:latin typeface="Arial"/>
              <a:ea typeface="Linux Libertine G"/>
            </a:rPr>
            <a:t> </a:t>
          </a:r>
          <a:r>
            <a:rPr lang="es-ES" sz="1500" b="1" strike="noStrike" spc="-1">
              <a:solidFill>
                <a:srgbClr val="000000"/>
              </a:solidFill>
              <a:latin typeface="Arial"/>
              <a:ea typeface="Linux Libertine G"/>
            </a:rPr>
            <a:t>tiene el foco</a:t>
          </a:r>
          <a:r>
            <a:rPr lang="es-ES" sz="1500" b="0" strike="noStrike" spc="-1">
              <a:solidFill>
                <a:srgbClr val="000000"/>
              </a:solidFill>
              <a:latin typeface="Arial"/>
              <a:ea typeface="Linux Libertine G"/>
            </a:rPr>
            <a:t> del teclado.</a:t>
          </a:r>
          <a:endParaRPr lang="es-ES" sz="1500" b="0" strike="noStrike" spc="-1">
            <a:latin typeface="Times New Roman"/>
          </a:endParaRPr>
        </a:p>
        <a:p>
          <a:endParaRPr lang="es-ES" sz="1500" b="0" strike="noStrike" spc="-1">
            <a:latin typeface="Times New Roman"/>
          </a:endParaRPr>
        </a:p>
        <a:p>
          <a:r>
            <a:rPr lang="es-ES" sz="1500" b="1" strike="noStrike" spc="-1">
              <a:solidFill>
                <a:srgbClr val="3465A4"/>
              </a:solidFill>
              <a:latin typeface="Arial"/>
              <a:ea typeface="Linux Libertine G"/>
              <a:hlinkClick xmlns:r="http://schemas.openxmlformats.org/officeDocument/2006/relationships" r:id="rId21"/>
            </a:rPr>
            <a:t>https://www.w3.org/TR/WCAG/#character-key-shortcuts</a:t>
          </a:r>
          <a:endParaRPr lang="es-ES" sz="1500" b="0" strike="noStrike" spc="-1">
            <a:latin typeface="Times New Roman"/>
          </a:endParaRPr>
        </a:p>
      </xdr:txBody>
    </xdr:sp>
    <xdr:clientData/>
  </xdr:twoCellAnchor>
  <xdr:twoCellAnchor editAs="absolute">
    <xdr:from>
      <xdr:col>5</xdr:col>
      <xdr:colOff>1967</xdr:colOff>
      <xdr:row>784</xdr:row>
      <xdr:rowOff>98496</xdr:rowOff>
    </xdr:from>
    <xdr:to>
      <xdr:col>11</xdr:col>
      <xdr:colOff>3681</xdr:colOff>
      <xdr:row>812</xdr:row>
      <xdr:rowOff>105833</xdr:rowOff>
    </xdr:to>
    <xdr:sp macro="" textlink="">
      <xdr:nvSpPr>
        <xdr:cNvPr id="57" name="TextShape 1" descr="9.2.1.2 Sin trampas para el foco del teclado (Condicional)  Condición: Cuando las TIC sean una página web.  Si es posible mover el foco a un componente de la página usando una interfaz de teclado, entonces el foco se puede quitar de ese componente usando sólo la interfaz de teclado y, si se requiere algo más que las teclas de dirección o de tabulación, se informa al usuario el método apropiado para mover el foco. (Nivel A)  Nota: En la medida en que cualquier contenido que no satisfaga este criterio puede interferir con la capacidad del usuario para emplear la página por completo, todo contenido de la página web (tanto si satisface o no otros criterios de conformidad) debe satisfacer este criterio. Véase Requisito de Conformidad 5: Sin interferencia.  https://www.w3.org/TR/WCAG/#no-keyboard-trap">
          <a:extLst>
            <a:ext uri="{FF2B5EF4-FFF2-40B4-BE49-F238E27FC236}">
              <a16:creationId xmlns:a16="http://schemas.microsoft.com/office/drawing/2014/main" id="{00000000-0008-0000-0600-000039000000}"/>
            </a:ext>
          </a:extLst>
        </xdr:cNvPr>
        <xdr:cNvSpPr txBox="1"/>
      </xdr:nvSpPr>
      <xdr:spPr>
        <a:xfrm>
          <a:off x="6934050" y="122261913"/>
          <a:ext cx="5833131" cy="4156003"/>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9.2.1.2 Sin trampas para el foco del teclado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Si es posible mover el foco a un componente de la página usando una interfaz de teclado, entonces el foco se puede quitar de ese componente usando sólo la interfaz de teclado y, si se requiere algo más que las teclas de dirección o de tabulación, se informa al usuario el método apropiado para mover el foco.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Nota: En la medida en que cualquier contenido que no satisfaga este criterio puede interferir con la capacidad del usuario para emplear la página por completo, todo contenido de la página web (tanto si satisface o no otros criterios de conformidad) debe satisfacer este criterio. Véase Requisito de Conformidad 5: Sin interferencia.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2"/>
            </a:rPr>
            <a:t>https://www.w3.org/TR/WCAG/#no-keyboard-trap</a:t>
          </a:r>
          <a:endParaRPr lang="es-ES" sz="1500" b="0" strike="noStrike" spc="-1">
            <a:latin typeface="Times New Roman"/>
          </a:endParaRPr>
        </a:p>
      </xdr:txBody>
    </xdr:sp>
    <xdr:clientData/>
  </xdr:twoCellAnchor>
  <xdr:twoCellAnchor editAs="absolute">
    <xdr:from>
      <xdr:col>7</xdr:col>
      <xdr:colOff>536619</xdr:colOff>
      <xdr:row>742</xdr:row>
      <xdr:rowOff>1058</xdr:rowOff>
    </xdr:from>
    <xdr:to>
      <xdr:col>8</xdr:col>
      <xdr:colOff>276770</xdr:colOff>
      <xdr:row>746</xdr:row>
      <xdr:rowOff>62149</xdr:rowOff>
    </xdr:to>
    <xdr:pic>
      <xdr:nvPicPr>
        <xdr:cNvPr id="58" name="Image 1">
          <a:extLst>
            <a:ext uri="{FF2B5EF4-FFF2-40B4-BE49-F238E27FC236}">
              <a16:creationId xmlns:a16="http://schemas.microsoft.com/office/drawing/2014/main" id="{00000000-0008-0000-0600-00003A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37744" y="112158463"/>
          <a:ext cx="573589" cy="636824"/>
        </a:xfrm>
        <a:prstGeom prst="rect">
          <a:avLst/>
        </a:prstGeom>
        <a:ln>
          <a:noFill/>
        </a:ln>
      </xdr:spPr>
    </xdr:pic>
    <xdr:clientData/>
  </xdr:twoCellAnchor>
  <xdr:twoCellAnchor editAs="absolute">
    <xdr:from>
      <xdr:col>7</xdr:col>
      <xdr:colOff>555554</xdr:colOff>
      <xdr:row>779</xdr:row>
      <xdr:rowOff>142118</xdr:rowOff>
    </xdr:from>
    <xdr:to>
      <xdr:col>8</xdr:col>
      <xdr:colOff>295705</xdr:colOff>
      <xdr:row>784</xdr:row>
      <xdr:rowOff>50573</xdr:rowOff>
    </xdr:to>
    <xdr:pic>
      <xdr:nvPicPr>
        <xdr:cNvPr id="59" name="Image 1">
          <a:extLst>
            <a:ext uri="{FF2B5EF4-FFF2-40B4-BE49-F238E27FC236}">
              <a16:creationId xmlns:a16="http://schemas.microsoft.com/office/drawing/2014/main" id="{00000000-0008-0000-0600-00003B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72554" y="121564701"/>
          <a:ext cx="576234" cy="649289"/>
        </a:xfrm>
        <a:prstGeom prst="rect">
          <a:avLst/>
        </a:prstGeom>
        <a:ln>
          <a:noFill/>
        </a:ln>
      </xdr:spPr>
    </xdr:pic>
    <xdr:clientData/>
  </xdr:twoCellAnchor>
  <xdr:twoCellAnchor editAs="absolute">
    <xdr:from>
      <xdr:col>7</xdr:col>
      <xdr:colOff>534281</xdr:colOff>
      <xdr:row>818</xdr:row>
      <xdr:rowOff>60379</xdr:rowOff>
    </xdr:from>
    <xdr:to>
      <xdr:col>8</xdr:col>
      <xdr:colOff>334513</xdr:colOff>
      <xdr:row>822</xdr:row>
      <xdr:rowOff>133021</xdr:rowOff>
    </xdr:to>
    <xdr:pic>
      <xdr:nvPicPr>
        <xdr:cNvPr id="60" name="Image 1">
          <a:extLst>
            <a:ext uri="{FF2B5EF4-FFF2-40B4-BE49-F238E27FC236}">
              <a16:creationId xmlns:a16="http://schemas.microsoft.com/office/drawing/2014/main" id="{00000000-0008-0000-0600-00003C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35406" y="123556767"/>
          <a:ext cx="633670" cy="634617"/>
        </a:xfrm>
        <a:prstGeom prst="rect">
          <a:avLst/>
        </a:prstGeom>
        <a:ln>
          <a:noFill/>
        </a:ln>
      </xdr:spPr>
    </xdr:pic>
    <xdr:clientData/>
  </xdr:twoCellAnchor>
  <xdr:twoCellAnchor editAs="absolute">
    <xdr:from>
      <xdr:col>7</xdr:col>
      <xdr:colOff>544467</xdr:colOff>
      <xdr:row>855</xdr:row>
      <xdr:rowOff>137547</xdr:rowOff>
    </xdr:from>
    <xdr:to>
      <xdr:col>8</xdr:col>
      <xdr:colOff>323532</xdr:colOff>
      <xdr:row>860</xdr:row>
      <xdr:rowOff>98963</xdr:rowOff>
    </xdr:to>
    <xdr:pic>
      <xdr:nvPicPr>
        <xdr:cNvPr id="61" name="Image 1">
          <a:extLst>
            <a:ext uri="{FF2B5EF4-FFF2-40B4-BE49-F238E27FC236}">
              <a16:creationId xmlns:a16="http://schemas.microsoft.com/office/drawing/2014/main" id="{00000000-0008-0000-0600-00003D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45592" y="129148910"/>
          <a:ext cx="612503" cy="675791"/>
        </a:xfrm>
        <a:prstGeom prst="rect">
          <a:avLst/>
        </a:prstGeom>
        <a:ln>
          <a:noFill/>
        </a:ln>
      </xdr:spPr>
    </xdr:pic>
    <xdr:clientData/>
  </xdr:twoCellAnchor>
  <xdr:twoCellAnchor editAs="absolute">
    <xdr:from>
      <xdr:col>7</xdr:col>
      <xdr:colOff>523282</xdr:colOff>
      <xdr:row>931</xdr:row>
      <xdr:rowOff>109139</xdr:rowOff>
    </xdr:from>
    <xdr:to>
      <xdr:col>8</xdr:col>
      <xdr:colOff>339626</xdr:colOff>
      <xdr:row>936</xdr:row>
      <xdr:rowOff>81565</xdr:rowOff>
    </xdr:to>
    <xdr:pic>
      <xdr:nvPicPr>
        <xdr:cNvPr id="63" name="Image 1">
          <a:extLst>
            <a:ext uri="{FF2B5EF4-FFF2-40B4-BE49-F238E27FC236}">
              <a16:creationId xmlns:a16="http://schemas.microsoft.com/office/drawing/2014/main" id="{00000000-0008-0000-0600-00003F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40282" y="144942056"/>
          <a:ext cx="652427" cy="713259"/>
        </a:xfrm>
        <a:prstGeom prst="rect">
          <a:avLst/>
        </a:prstGeom>
        <a:ln>
          <a:noFill/>
        </a:ln>
      </xdr:spPr>
    </xdr:pic>
    <xdr:clientData/>
  </xdr:twoCellAnchor>
  <xdr:twoCellAnchor editAs="absolute">
    <xdr:from>
      <xdr:col>7</xdr:col>
      <xdr:colOff>540233</xdr:colOff>
      <xdr:row>1083</xdr:row>
      <xdr:rowOff>100006</xdr:rowOff>
    </xdr:from>
    <xdr:to>
      <xdr:col>8</xdr:col>
      <xdr:colOff>302365</xdr:colOff>
      <xdr:row>1088</xdr:row>
      <xdr:rowOff>77551</xdr:rowOff>
    </xdr:to>
    <xdr:pic>
      <xdr:nvPicPr>
        <xdr:cNvPr id="65" name="Image 1">
          <a:extLst>
            <a:ext uri="{FF2B5EF4-FFF2-40B4-BE49-F238E27FC236}">
              <a16:creationId xmlns:a16="http://schemas.microsoft.com/office/drawing/2014/main" id="{00000000-0008-0000-0600-000041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41358" y="163115619"/>
          <a:ext cx="595570" cy="691920"/>
        </a:xfrm>
        <a:prstGeom prst="rect">
          <a:avLst/>
        </a:prstGeom>
        <a:ln>
          <a:noFill/>
        </a:ln>
      </xdr:spPr>
    </xdr:pic>
    <xdr:clientData/>
  </xdr:twoCellAnchor>
  <xdr:twoCellAnchor editAs="absolute">
    <xdr:from>
      <xdr:col>7</xdr:col>
      <xdr:colOff>541416</xdr:colOff>
      <xdr:row>1159</xdr:row>
      <xdr:rowOff>80005</xdr:rowOff>
    </xdr:from>
    <xdr:to>
      <xdr:col>8</xdr:col>
      <xdr:colOff>300617</xdr:colOff>
      <xdr:row>1164</xdr:row>
      <xdr:rowOff>84200</xdr:rowOff>
    </xdr:to>
    <xdr:pic>
      <xdr:nvPicPr>
        <xdr:cNvPr id="66" name="Image 1">
          <a:extLst>
            <a:ext uri="{FF2B5EF4-FFF2-40B4-BE49-F238E27FC236}">
              <a16:creationId xmlns:a16="http://schemas.microsoft.com/office/drawing/2014/main" id="{00000000-0008-0000-0600-000042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42541" y="174430368"/>
          <a:ext cx="592639" cy="718570"/>
        </a:xfrm>
        <a:prstGeom prst="rect">
          <a:avLst/>
        </a:prstGeom>
        <a:ln>
          <a:noFill/>
        </a:ln>
      </xdr:spPr>
    </xdr:pic>
    <xdr:clientData/>
  </xdr:twoCellAnchor>
  <xdr:twoCellAnchor editAs="absolute">
    <xdr:from>
      <xdr:col>7</xdr:col>
      <xdr:colOff>543862</xdr:colOff>
      <xdr:row>1197</xdr:row>
      <xdr:rowOff>123330</xdr:rowOff>
    </xdr:from>
    <xdr:to>
      <xdr:col>8</xdr:col>
      <xdr:colOff>305994</xdr:colOff>
      <xdr:row>1203</xdr:row>
      <xdr:rowOff>26430</xdr:rowOff>
    </xdr:to>
    <xdr:pic>
      <xdr:nvPicPr>
        <xdr:cNvPr id="67" name="Image 1">
          <a:extLst>
            <a:ext uri="{FF2B5EF4-FFF2-40B4-BE49-F238E27FC236}">
              <a16:creationId xmlns:a16="http://schemas.microsoft.com/office/drawing/2014/main" id="{00000000-0008-0000-0600-000043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60862" y="185924330"/>
          <a:ext cx="598215" cy="792100"/>
        </a:xfrm>
        <a:prstGeom prst="rect">
          <a:avLst/>
        </a:prstGeom>
        <a:ln>
          <a:noFill/>
        </a:ln>
      </xdr:spPr>
    </xdr:pic>
    <xdr:clientData/>
  </xdr:twoCellAnchor>
  <xdr:twoCellAnchor editAs="absolute">
    <xdr:from>
      <xdr:col>7</xdr:col>
      <xdr:colOff>539136</xdr:colOff>
      <xdr:row>1236</xdr:row>
      <xdr:rowOff>32334</xdr:rowOff>
    </xdr:from>
    <xdr:to>
      <xdr:col>8</xdr:col>
      <xdr:colOff>301268</xdr:colOff>
      <xdr:row>1241</xdr:row>
      <xdr:rowOff>67941</xdr:rowOff>
    </xdr:to>
    <xdr:pic>
      <xdr:nvPicPr>
        <xdr:cNvPr id="68" name="Image 1">
          <a:extLst>
            <a:ext uri="{FF2B5EF4-FFF2-40B4-BE49-F238E27FC236}">
              <a16:creationId xmlns:a16="http://schemas.microsoft.com/office/drawing/2014/main" id="{00000000-0008-0000-0600-000044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6136" y="191834084"/>
          <a:ext cx="598215" cy="776440"/>
        </a:xfrm>
        <a:prstGeom prst="rect">
          <a:avLst/>
        </a:prstGeom>
        <a:ln>
          <a:noFill/>
        </a:ln>
      </xdr:spPr>
    </xdr:pic>
    <xdr:clientData/>
  </xdr:twoCellAnchor>
  <xdr:twoCellAnchor editAs="absolute">
    <xdr:from>
      <xdr:col>7</xdr:col>
      <xdr:colOff>585545</xdr:colOff>
      <xdr:row>1273</xdr:row>
      <xdr:rowOff>119102</xdr:rowOff>
    </xdr:from>
    <xdr:to>
      <xdr:col>8</xdr:col>
      <xdr:colOff>325696</xdr:colOff>
      <xdr:row>1278</xdr:row>
      <xdr:rowOff>12706</xdr:rowOff>
    </xdr:to>
    <xdr:pic>
      <xdr:nvPicPr>
        <xdr:cNvPr id="69" name="Image 1">
          <a:extLst>
            <a:ext uri="{FF2B5EF4-FFF2-40B4-BE49-F238E27FC236}">
              <a16:creationId xmlns:a16="http://schemas.microsoft.com/office/drawing/2014/main" id="{00000000-0008-0000-0600-000045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602545" y="197625269"/>
          <a:ext cx="576234" cy="634437"/>
        </a:xfrm>
        <a:prstGeom prst="rect">
          <a:avLst/>
        </a:prstGeom>
        <a:ln>
          <a:noFill/>
        </a:ln>
      </xdr:spPr>
    </xdr:pic>
    <xdr:clientData/>
  </xdr:twoCellAnchor>
  <xdr:twoCellAnchor editAs="absolute">
    <xdr:from>
      <xdr:col>7</xdr:col>
      <xdr:colOff>509767</xdr:colOff>
      <xdr:row>1312</xdr:row>
      <xdr:rowOff>38906</xdr:rowOff>
    </xdr:from>
    <xdr:to>
      <xdr:col>8</xdr:col>
      <xdr:colOff>271899</xdr:colOff>
      <xdr:row>1316</xdr:row>
      <xdr:rowOff>146067</xdr:rowOff>
    </xdr:to>
    <xdr:pic>
      <xdr:nvPicPr>
        <xdr:cNvPr id="70" name="Image 1">
          <a:extLst>
            <a:ext uri="{FF2B5EF4-FFF2-40B4-BE49-F238E27FC236}">
              <a16:creationId xmlns:a16="http://schemas.microsoft.com/office/drawing/2014/main" id="{00000000-0008-0000-0600-000046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10892" y="197211169"/>
          <a:ext cx="595570" cy="669136"/>
        </a:xfrm>
        <a:prstGeom prst="rect">
          <a:avLst/>
        </a:prstGeom>
        <a:ln>
          <a:noFill/>
        </a:ln>
      </xdr:spPr>
    </xdr:pic>
    <xdr:clientData/>
  </xdr:twoCellAnchor>
  <xdr:twoCellAnchor editAs="absolute">
    <xdr:from>
      <xdr:col>7</xdr:col>
      <xdr:colOff>557392</xdr:colOff>
      <xdr:row>1349</xdr:row>
      <xdr:rowOff>101779</xdr:rowOff>
    </xdr:from>
    <xdr:to>
      <xdr:col>8</xdr:col>
      <xdr:colOff>319524</xdr:colOff>
      <xdr:row>1354</xdr:row>
      <xdr:rowOff>48002</xdr:rowOff>
    </xdr:to>
    <xdr:pic>
      <xdr:nvPicPr>
        <xdr:cNvPr id="71" name="Image 1">
          <a:extLst>
            <a:ext uri="{FF2B5EF4-FFF2-40B4-BE49-F238E27FC236}">
              <a16:creationId xmlns:a16="http://schemas.microsoft.com/office/drawing/2014/main" id="{00000000-0008-0000-0600-000047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8517" y="202789017"/>
          <a:ext cx="595570" cy="670123"/>
        </a:xfrm>
        <a:prstGeom prst="rect">
          <a:avLst/>
        </a:prstGeom>
        <a:ln>
          <a:noFill/>
        </a:ln>
      </xdr:spPr>
    </xdr:pic>
    <xdr:clientData/>
  </xdr:twoCellAnchor>
  <xdr:twoCellAnchor editAs="absolute">
    <xdr:from>
      <xdr:col>4</xdr:col>
      <xdr:colOff>338973</xdr:colOff>
      <xdr:row>860</xdr:row>
      <xdr:rowOff>21608</xdr:rowOff>
    </xdr:from>
    <xdr:to>
      <xdr:col>15</xdr:col>
      <xdr:colOff>317499</xdr:colOff>
      <xdr:row>891</xdr:row>
      <xdr:rowOff>201083</xdr:rowOff>
    </xdr:to>
    <xdr:sp macro="" textlink="">
      <xdr:nvSpPr>
        <xdr:cNvPr id="72" name="TextShape 1" descr="9.2.2.1 Tiempo ajustable (Condicional)  Condición: Cuando las TIC sean una página web.  Para cada límite de tiempo impuesto por el contenido, se cumple al menos uno de los siguientes casos: (Nivel A)  - Apagar: El usuario puede detener el límite de tiempo antes de alcanzar el límite de tiempo; o - Ajustar: El usuario puede ajustar el límite de tiempo antes de alcanzar dicho límite en un rango amplio que es, al menos, diez veces mayor al tiempo fijado originalmente; o - Extender: Se advierte al usuario antes de que el tiempo expire y se le conceden al menos 20 segundos para extender el límite temporal con una acción simple (por ejemplo, &quot;presione la barra de espacio&quot;) y el usuario puede extender ese límite de tiempo al menos diez veces; o  - Excepción por ser esencial: El límite de tiempo es esencial y, si se extendiera, invalidaría la actividad; o  - Excepción de 20 horas: El límite de tiempo es de más de 20 horas.   Nota: Este criterio de conformidad ayuda a garantizar que los usuarios pueden completar las tareas sin cambios inesperados en el contenido o contexto que son el resultado de un límite de tiempo. Este criterio debe ser considerado conjuntamente con el criterio de conformidad 3.2.1, que pone límites a los cambios de contenido o el contexto, como resultado de una acción del usuario.  https://www.w3.org/TR/WCAG/#timing-adjustable">
          <a:extLst>
            <a:ext uri="{FF2B5EF4-FFF2-40B4-BE49-F238E27FC236}">
              <a16:creationId xmlns:a16="http://schemas.microsoft.com/office/drawing/2014/main" id="{00000000-0008-0000-0600-000048000000}"/>
            </a:ext>
          </a:extLst>
        </xdr:cNvPr>
        <xdr:cNvSpPr txBox="1"/>
      </xdr:nvSpPr>
      <xdr:spPr>
        <a:xfrm>
          <a:off x="6900640" y="133890191"/>
          <a:ext cx="9799859" cy="4772642"/>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9.2.2.1 Tiempo ajustable</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Para cada límite de </a:t>
          </a:r>
          <a:r>
            <a:rPr lang="en-US" sz="1500" b="0" strike="noStrike" spc="-1">
              <a:solidFill>
                <a:srgbClr val="000000"/>
              </a:solidFill>
              <a:latin typeface="Arial"/>
              <a:ea typeface="Linux Libertine G"/>
              <a:cs typeface="+mn-cs"/>
            </a:rPr>
            <a:t>tiempo</a:t>
          </a:r>
          <a:r>
            <a:rPr lang="en-US" sz="1500" b="0" strike="noStrike" spc="-1">
              <a:solidFill>
                <a:srgbClr val="000000"/>
              </a:solidFill>
              <a:latin typeface="Arial"/>
              <a:ea typeface="Linux Libertine G"/>
            </a:rPr>
            <a:t> impuesto por el contenido, se cumple al menos uno de los siguientes casos: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Apagar</a:t>
          </a:r>
          <a:r>
            <a:rPr lang="en-US" sz="1500" b="0" strike="noStrike" spc="-1">
              <a:solidFill>
                <a:srgbClr val="000000"/>
              </a:solidFill>
              <a:latin typeface="Arial"/>
              <a:ea typeface="Linux Libertine G"/>
            </a:rPr>
            <a:t>: El usuario puede detener el límite de tiempo antes de alcanzar el límite de tiempo; o</a:t>
          </a:r>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Ajustar</a:t>
          </a:r>
          <a:r>
            <a:rPr lang="en-US" sz="1500" b="0" strike="noStrike" spc="-1">
              <a:solidFill>
                <a:srgbClr val="000000"/>
              </a:solidFill>
              <a:latin typeface="Arial"/>
              <a:ea typeface="Linux Libertine G"/>
            </a:rPr>
            <a:t>: El usuario puede ajustar el límite de tiempo antes de alcanzar dicho límite en un rango amplio que es, al menos, diez veces mayor al tiempo fijado originalmente; o</a:t>
          </a:r>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Extender</a:t>
          </a:r>
          <a:r>
            <a:rPr lang="en-US" sz="1500" b="0" strike="noStrike" spc="-1">
              <a:solidFill>
                <a:srgbClr val="000000"/>
              </a:solidFill>
              <a:latin typeface="Arial"/>
              <a:ea typeface="Linux Libertine G"/>
            </a:rPr>
            <a:t>: Se advierte al usuario antes de que el tiempo expire y se le conceden al menos 20 segundos para extender el límite temporal con una acción simple (por ejemplo, "presione la barra de espacio") y el usuario puede extender ese límite de tiempo al menos diez veces; o</a:t>
          </a:r>
          <a:endParaRPr lang="es-ES" sz="1500" b="0" strike="noStrike" spc="-1">
            <a:latin typeface="Times New Roman"/>
          </a:endParaRPr>
        </a:p>
        <a:p>
          <a:r>
            <a:rPr lang="en-US" sz="1500" b="0" strike="noStrike" spc="-1">
              <a:solidFill>
                <a:srgbClr val="000000"/>
              </a:solidFill>
              <a:latin typeface="Arial"/>
              <a:ea typeface="Linux Libertine G"/>
            </a:rPr>
            <a:t> - </a:t>
          </a:r>
          <a:r>
            <a:rPr lang="en-US" sz="1500" b="1" strike="noStrike" spc="-1">
              <a:solidFill>
                <a:srgbClr val="000000"/>
              </a:solidFill>
              <a:latin typeface="Arial"/>
              <a:ea typeface="Linux Libertine G"/>
            </a:rPr>
            <a:t>Excepción por ser esencial</a:t>
          </a:r>
          <a:r>
            <a:rPr lang="en-US" sz="1500" b="0" strike="noStrike" spc="-1">
              <a:solidFill>
                <a:srgbClr val="000000"/>
              </a:solidFill>
              <a:latin typeface="Arial"/>
              <a:ea typeface="Linux Libertine G"/>
            </a:rPr>
            <a:t>: El límite de tiempo es esencial y, si se extendiera, invalidaría la actividad; o</a:t>
          </a:r>
          <a:endParaRPr lang="es-ES" sz="1500" b="0" strike="noStrike" spc="-1">
            <a:latin typeface="Times New Roman"/>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strike="noStrike" spc="-1">
              <a:solidFill>
                <a:srgbClr val="000000"/>
              </a:solidFill>
              <a:latin typeface="Arial"/>
              <a:ea typeface="Linux Libertine G"/>
            </a:rPr>
            <a:t> - </a:t>
          </a:r>
          <a:r>
            <a:rPr lang="en-US" sz="1500" b="1" strike="noStrike" spc="-1">
              <a:solidFill>
                <a:srgbClr val="000000"/>
              </a:solidFill>
              <a:latin typeface="Arial"/>
              <a:ea typeface="Linux Libertine G"/>
            </a:rPr>
            <a:t>Excepción de 20 horas</a:t>
          </a:r>
          <a:r>
            <a:rPr lang="es-ES" sz="1500" b="0" strike="noStrike" spc="-1">
              <a:solidFill>
                <a:srgbClr val="000000"/>
              </a:solidFill>
              <a:latin typeface="Arial"/>
              <a:ea typeface="Linux Libertine G"/>
              <a:cs typeface="+mn-cs"/>
            </a:rPr>
            <a:t>: El límite de tiempo es de más de 20 horas. </a:t>
          </a:r>
        </a:p>
        <a:p>
          <a:endParaRPr lang="es-ES" sz="1500" b="0" strike="noStrike" spc="-1">
            <a:solidFill>
              <a:srgbClr val="000000"/>
            </a:solidFill>
            <a:latin typeface="Arial"/>
            <a:ea typeface="Linux Libertine G"/>
            <a:cs typeface="+mn-cs"/>
          </a:endParaRPr>
        </a:p>
        <a:p>
          <a:r>
            <a:rPr lang="es-ES" sz="1500" b="0" strike="noStrike" spc="-1">
              <a:solidFill>
                <a:srgbClr val="000000"/>
              </a:solidFill>
              <a:latin typeface="Arial"/>
              <a:ea typeface="Linux Libertine G"/>
              <a:cs typeface="+mn-cs"/>
            </a:rPr>
            <a:t>Nota: Este criterio de conformidad ayuda a garantizar que los usuarios pueden completar las tareas sin cambios inesperados en el contenido o contexto que son el resultado de un límite de tiempo. Este criterio debe ser considerado conjuntamente con el criterio de conformidad 3.2.1, que pone límites a los cambios de contenido o el contexto, como resultado de una acción del usuario.</a:t>
          </a: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3"/>
            </a:rPr>
            <a:t>https://www.w3.org/TR/WCAG/#timing-adjustable</a:t>
          </a:r>
          <a:endParaRPr lang="es-ES" sz="1500" b="0" strike="noStrike" spc="-1">
            <a:latin typeface="Times New Roman"/>
          </a:endParaRPr>
        </a:p>
      </xdr:txBody>
    </xdr:sp>
    <xdr:clientData/>
  </xdr:twoCellAnchor>
  <xdr:twoCellAnchor editAs="absolute">
    <xdr:from>
      <xdr:col>4</xdr:col>
      <xdr:colOff>344683</xdr:colOff>
      <xdr:row>898</xdr:row>
      <xdr:rowOff>40859</xdr:rowOff>
    </xdr:from>
    <xdr:to>
      <xdr:col>23</xdr:col>
      <xdr:colOff>10584</xdr:colOff>
      <xdr:row>929</xdr:row>
      <xdr:rowOff>201085</xdr:rowOff>
    </xdr:to>
    <xdr:sp macro="" textlink="">
      <xdr:nvSpPr>
        <xdr:cNvPr id="73" name="TextShape 1" descr="9.2.2.2 Poner en pausa, detener, ocultar (Condicional)  Condición: Cuando las TIC sean una página web.  Para la información que tiene movimiento, parpadeo, se desplaza o se actualiza automáticamente, se cumplen todos los casos siguientes: (Nivel A)  - Movimiento, parpadeo, desplazamiento: Para toda información que se mueve, parpadea o se desplaza, que (1) comienza automáticamente, (2) dura más de cinco segundos y (3) se presenta en paralelo con otro contenido, existe un mecanismo para que el usuario la pueda poner en pausa, detener u ocultar, a menos que el movimiento, parpadeo o desplazamiento sea parte esencial de una actividad; y  - Actualización automática: Para toda información que se actualiza automáticamente, que (1) se inicia automáticamente y (2) se presenta …  Nota 1: Para los requisitos relacionados con el parpadeo o el destello de contenido, véase la Pauta 2.3  Nota 2: En la medida en que cualquier contenido que no satisfaga este criterio puede interferir con la capacidad del usuario para emplear la página como un todo, todo contenido de la página web (tanto si satisface o no otros criterios de conformidad) debe satisfacer este criterio. Véase Requisito de Conformidad 5: Sin interferencia.  Nota 3: Para el contenido que es actualizado periódicamente por medio de un software, o que se sirve a la aplicación de usuario por medio de streaming, no hay obligación de preservar o presentar la información que ha sido generada o recibida entre el inicio de la pausa y el reinicio de la presentación; no solo podría no ser técnicamente posible, sino que además en muchas ocasiones podría ser erróneo o engañoso hacerlo.  Nota 4: Una animación que ocurre como parte de una fase de precarga de un contenido o una situación similar puede ser considerada esencial si no se permite interacción a ningún usuario durante esa fase, y si el hecho de no indicar el progreso pudiera confundir a los usuarios y hacerles creer que ha habido un fallo en el contenido.  https://www.w3.org/TR/WCAG/#pause-stop-hide">
          <a:extLst>
            <a:ext uri="{FF2B5EF4-FFF2-40B4-BE49-F238E27FC236}">
              <a16:creationId xmlns:a16="http://schemas.microsoft.com/office/drawing/2014/main" id="{00000000-0008-0000-0600-000049000000}"/>
            </a:ext>
          </a:extLst>
        </xdr:cNvPr>
        <xdr:cNvSpPr txBox="1"/>
      </xdr:nvSpPr>
      <xdr:spPr>
        <a:xfrm>
          <a:off x="6906350" y="139762026"/>
          <a:ext cx="14852984" cy="4753392"/>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9.2.2.2 Poner en pausa, detener, ocultar</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Para la información que tiene movimiento, parpadeo, se desplaza o se actualiza automáticamente, se cumplen todos los casos siguientes: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Movimiento, parpadeo, desplazamiento</a:t>
          </a:r>
          <a:r>
            <a:rPr lang="en-US" sz="1500" b="0" strike="noStrike" spc="-1">
              <a:solidFill>
                <a:srgbClr val="000000"/>
              </a:solidFill>
              <a:latin typeface="Arial"/>
              <a:ea typeface="Linux Libertine G"/>
            </a:rPr>
            <a:t>: Para toda información que se mueve, parpadea o se desplaza, que (1) comienza automáticamente, (2) dura más de cinco segundos y (3) se presenta en paralelo con otro contenido, existe un mecanismo para que el usuario la pueda poner en pausa, detener u ocultar, a menos que el movimiento, parpadeo o desplazamiento sea parte esencial de una actividad; y</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Actualización automática</a:t>
          </a:r>
          <a:r>
            <a:rPr lang="en-US" sz="1500" b="0" strike="noStrike" spc="-1">
              <a:solidFill>
                <a:srgbClr val="000000"/>
              </a:solidFill>
              <a:latin typeface="Arial"/>
              <a:ea typeface="Linux Libertine G"/>
            </a:rPr>
            <a:t>: Para toda información que se actualiza automáticamente, que (1) se inicia automáticamente y (2) se presenta …</a:t>
          </a:r>
        </a:p>
        <a:p>
          <a:endParaRPr lang="en-US" sz="1500" b="0" strike="noStrike" spc="-1">
            <a:solidFill>
              <a:srgbClr val="000000"/>
            </a:solidFill>
            <a:latin typeface="Arial"/>
            <a:ea typeface="Linux Libertine G"/>
          </a:endParaRPr>
        </a:p>
        <a:p>
          <a:r>
            <a:rPr lang="es-ES" sz="1200" b="0" strike="noStrike" spc="-1">
              <a:latin typeface="Arial" pitchFamily="34" charset="0"/>
              <a:cs typeface="Arial" pitchFamily="34" charset="0"/>
            </a:rPr>
            <a:t>Nota 1:</a:t>
          </a:r>
          <a:r>
            <a:rPr lang="es-ES" sz="1200" b="0" strike="noStrike" spc="-1" baseline="0">
              <a:latin typeface="Arial" pitchFamily="34" charset="0"/>
              <a:cs typeface="Arial" pitchFamily="34" charset="0"/>
            </a:rPr>
            <a:t> </a:t>
          </a:r>
          <a:r>
            <a:rPr lang="es-ES" sz="1200" b="0" strike="noStrike" spc="-1">
              <a:latin typeface="Arial" pitchFamily="34" charset="0"/>
              <a:cs typeface="Arial" pitchFamily="34" charset="0"/>
            </a:rPr>
            <a:t>Para los requisitos relacionados con el parpadeo o el destello de contenido, véase la Pauta 2.3</a:t>
          </a:r>
        </a:p>
        <a:p>
          <a:endParaRPr lang="es-ES" sz="1200" b="0" strike="noStrike" spc="-1">
            <a:latin typeface="Arial" pitchFamily="34" charset="0"/>
            <a:cs typeface="Arial" pitchFamily="34" charset="0"/>
          </a:endParaRPr>
        </a:p>
        <a:p>
          <a:r>
            <a:rPr lang="es-ES" sz="1200" b="0" strike="noStrike" spc="-1">
              <a:latin typeface="Arial" pitchFamily="34" charset="0"/>
              <a:cs typeface="Arial" pitchFamily="34" charset="0"/>
            </a:rPr>
            <a:t>Nota 2: En la medida en que cualquier contenido que no satisfaga este criterio puede interferir con la capacidad del usuario para emplear la página como un todo, todo contenido de la página web (tanto si satisface o no otros criterios de conformidad) debe satisfacer este criterio. Véase Requisito de Conformidad 5: Sin interferencia.</a:t>
          </a:r>
        </a:p>
        <a:p>
          <a:endParaRPr lang="es-ES" sz="1200" b="0" strike="noStrike" spc="-1">
            <a:latin typeface="Arial" pitchFamily="34" charset="0"/>
            <a:cs typeface="Arial" pitchFamily="34" charset="0"/>
          </a:endParaRPr>
        </a:p>
        <a:p>
          <a:r>
            <a:rPr lang="es-ES" sz="1200" b="0" strike="noStrike" spc="-1">
              <a:latin typeface="Arial" pitchFamily="34" charset="0"/>
              <a:cs typeface="Arial" pitchFamily="34" charset="0"/>
            </a:rPr>
            <a:t>Nota 3:</a:t>
          </a:r>
          <a:r>
            <a:rPr lang="es-ES" sz="1200" b="0" strike="noStrike" spc="-1" baseline="0">
              <a:latin typeface="Arial" pitchFamily="34" charset="0"/>
              <a:cs typeface="Arial" pitchFamily="34" charset="0"/>
            </a:rPr>
            <a:t> </a:t>
          </a:r>
          <a:r>
            <a:rPr lang="es-ES" sz="1200" b="0" strike="noStrike" spc="-1">
              <a:latin typeface="Arial" pitchFamily="34" charset="0"/>
              <a:cs typeface="Arial" pitchFamily="34" charset="0"/>
            </a:rPr>
            <a:t>Para el contenido que es actualizado periódicamente por medio de un software, o que se sirve a la aplicación de usuario por medio de streaming, no hay obligación de preservar o presentar la información que ha sido generada o recibida entre el inicio de la pausa y el reinicio de la presentación; no solo podría no ser técnicamente posible, sino que además en muchas ocasiones podría ser erróneo o engañoso hacerlo.</a:t>
          </a:r>
        </a:p>
        <a:p>
          <a:endParaRPr lang="es-ES" sz="1200" b="0" strike="noStrike" spc="-1">
            <a:latin typeface="Arial" pitchFamily="34" charset="0"/>
            <a:cs typeface="Arial" pitchFamily="34" charset="0"/>
          </a:endParaRPr>
        </a:p>
        <a:p>
          <a:r>
            <a:rPr lang="es-ES" sz="1200" b="0" strike="noStrike" spc="-1">
              <a:latin typeface="Arial" pitchFamily="34" charset="0"/>
              <a:cs typeface="Arial" pitchFamily="34" charset="0"/>
            </a:rPr>
            <a:t>Nota 4: Una animación que ocurre como parte de una fase de precarga de un contenido o una situación similar puede ser considerada esencial si no se permite interacción a ningún usuario durante esa fase, y si el hecho de no indicar el progreso pudiera confundir a los usuarios y hacerles creer que ha habido un fallo en el contenido.</a:t>
          </a:r>
        </a:p>
        <a:p>
          <a:r>
            <a:rPr lang="en-US" sz="1500" b="1" strike="noStrike" spc="-1">
              <a:solidFill>
                <a:srgbClr val="3465A4"/>
              </a:solidFill>
              <a:latin typeface="Arial"/>
              <a:ea typeface="Linux Libertine G"/>
              <a:hlinkClick xmlns:r="http://schemas.openxmlformats.org/officeDocument/2006/relationships" r:id="rId24"/>
            </a:rPr>
            <a:t>https://www.w3.org/TR/WCAG/#pause-stop-hide</a:t>
          </a:r>
          <a:endParaRPr lang="es-ES" sz="1500" b="0" strike="noStrike" spc="-1">
            <a:latin typeface="Times New Roman"/>
          </a:endParaRPr>
        </a:p>
      </xdr:txBody>
    </xdr:sp>
    <xdr:clientData/>
  </xdr:twoCellAnchor>
  <xdr:twoCellAnchor editAs="absolute">
    <xdr:from>
      <xdr:col>4</xdr:col>
      <xdr:colOff>286885</xdr:colOff>
      <xdr:row>1050</xdr:row>
      <xdr:rowOff>147357</xdr:rowOff>
    </xdr:from>
    <xdr:to>
      <xdr:col>10</xdr:col>
      <xdr:colOff>922159</xdr:colOff>
      <xdr:row>1067</xdr:row>
      <xdr:rowOff>105834</xdr:rowOff>
    </xdr:to>
    <xdr:sp macro="" textlink="">
      <xdr:nvSpPr>
        <xdr:cNvPr id="74" name="TextShape 1" descr="9.2.4.3 Orden del foco (Condicional)  Condición: Cuando las TIC sean una página web.  Si se puede navegar secuencialmente por una página web y la secuencia de navegación afecta su significado o su operación, los componentes que pueden recibir el foco lo hacen en un orden que preserva su significado y operabilidad. (Nivel A)  https://www.w3.org/TR/WCAG/#focus-order">
          <a:extLst>
            <a:ext uri="{FF2B5EF4-FFF2-40B4-BE49-F238E27FC236}">
              <a16:creationId xmlns:a16="http://schemas.microsoft.com/office/drawing/2014/main" id="{00000000-0008-0000-0600-00004A000000}"/>
            </a:ext>
          </a:extLst>
        </xdr:cNvPr>
        <xdr:cNvSpPr txBox="1"/>
      </xdr:nvSpPr>
      <xdr:spPr>
        <a:xfrm>
          <a:off x="6848552" y="163278857"/>
          <a:ext cx="5863440" cy="2477310"/>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9.2.4.3 Orden del foco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Si se puede navegar secuencialmente por una página web y la secuencia de navegación afecta su significado o su operación, los componentes que pueden recibir el foco lo hacen en un orden que preserva su significado y operabilidad. (Nivel 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5"/>
            </a:rPr>
            <a:t>https://www.w3.org/TR/WCAG/#focus-order</a:t>
          </a:r>
          <a:endParaRPr lang="es-ES" sz="1500" b="0" strike="noStrike" spc="-1">
            <a:latin typeface="Times New Roman"/>
          </a:endParaRPr>
        </a:p>
      </xdr:txBody>
    </xdr:sp>
    <xdr:clientData/>
  </xdr:twoCellAnchor>
  <xdr:twoCellAnchor editAs="absolute">
    <xdr:from>
      <xdr:col>5</xdr:col>
      <xdr:colOff>682</xdr:colOff>
      <xdr:row>1088</xdr:row>
      <xdr:rowOff>116365</xdr:rowOff>
    </xdr:from>
    <xdr:to>
      <xdr:col>11</xdr:col>
      <xdr:colOff>23529</xdr:colOff>
      <xdr:row>1107</xdr:row>
      <xdr:rowOff>0</xdr:rowOff>
    </xdr:to>
    <xdr:sp macro="" textlink="">
      <xdr:nvSpPr>
        <xdr:cNvPr id="75" name="TextShape 1" descr="9.2.4.4 Propósito de los enlaces (en contexto) (Condicional)  Condición: Cuando las TIC sean una página web.  El propósito de cada enlace puede ser determinado con sólo el texto del enlace o a través del texto del enlace sumado al contexto del enlace determinado por software, excepto cuando el propósito del enlace resultara ambiguo para los usuarios en general. (Nivel A)  https://www.w3.org/TR/WCAG/#link-purpose-in-context">
          <a:extLst>
            <a:ext uri="{FF2B5EF4-FFF2-40B4-BE49-F238E27FC236}">
              <a16:creationId xmlns:a16="http://schemas.microsoft.com/office/drawing/2014/main" id="{00000000-0008-0000-0600-00004B000000}"/>
            </a:ext>
          </a:extLst>
        </xdr:cNvPr>
        <xdr:cNvSpPr txBox="1"/>
      </xdr:nvSpPr>
      <xdr:spPr>
        <a:xfrm>
          <a:off x="6932765" y="169100448"/>
          <a:ext cx="5854264" cy="2698802"/>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9.2.4.4 Propósito de los enlaces (en contexto)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El propósito de cada enlace puede ser determinado con sólo el texto del enlace o a través del texto del enlace sumado al contexto del enlace determinado por software, excepto cuando el propósito del enlace resultara ambiguo para los usuarios en general. (Nivel 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6"/>
            </a:rPr>
            <a:t>https://www.w3.org/TR/WCAG/#link-purpose-in-context</a:t>
          </a:r>
          <a:endParaRPr lang="es-ES" sz="1500" b="0" strike="noStrike" spc="-1">
            <a:latin typeface="Times New Roman"/>
          </a:endParaRPr>
        </a:p>
      </xdr:txBody>
    </xdr:sp>
    <xdr:clientData/>
  </xdr:twoCellAnchor>
  <xdr:twoCellAnchor editAs="absolute">
    <xdr:from>
      <xdr:col>5</xdr:col>
      <xdr:colOff>2950</xdr:colOff>
      <xdr:row>1164</xdr:row>
      <xdr:rowOff>131747</xdr:rowOff>
    </xdr:from>
    <xdr:to>
      <xdr:col>11</xdr:col>
      <xdr:colOff>11106</xdr:colOff>
      <xdr:row>1182</xdr:row>
      <xdr:rowOff>86591</xdr:rowOff>
    </xdr:to>
    <xdr:sp macro="" textlink="">
      <xdr:nvSpPr>
        <xdr:cNvPr id="76" name="TextShape 1" descr="9.2.4.6 Encabezados y etiquetas (Condicional)  Condición: Cuando las TIC sean una página web.  Los encabezados y etiquetas describen el tema o propósito. (Nivel AA)  Nota: Los encabezados y etiquetas deben determinarse mediante programación, según el criterio de conformidad 1.3.1.  https://www.w3.org/TR/WCAG/#headings-and-labels">
          <a:extLst>
            <a:ext uri="{FF2B5EF4-FFF2-40B4-BE49-F238E27FC236}">
              <a16:creationId xmlns:a16="http://schemas.microsoft.com/office/drawing/2014/main" id="{00000000-0008-0000-0600-00004C000000}"/>
            </a:ext>
          </a:extLst>
        </xdr:cNvPr>
        <xdr:cNvSpPr txBox="1"/>
      </xdr:nvSpPr>
      <xdr:spPr>
        <a:xfrm>
          <a:off x="6912905" y="189246292"/>
          <a:ext cx="5827065" cy="2760390"/>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9.2.4.6 Encabezados y etiquetas</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Los encabezados y etiquetas describen el tema o propósito. (Nivel AA)</a:t>
          </a:r>
          <a:endParaRPr lang="es-ES" sz="1500" b="0" strike="noStrike" spc="-1">
            <a:latin typeface="Times New Roman"/>
          </a:endParaRPr>
        </a:p>
        <a:p>
          <a:endParaRPr lang="es-ES" sz="1500" b="0" strike="noStrike" spc="-1">
            <a:latin typeface="Times New Roman"/>
          </a:endParaRPr>
        </a:p>
        <a:p>
          <a:r>
            <a:rPr lang="es-ES" sz="1500" b="0" strike="noStrike" spc="-1">
              <a:latin typeface="Arial" pitchFamily="34" charset="0"/>
              <a:cs typeface="Arial" pitchFamily="34" charset="0"/>
            </a:rPr>
            <a:t>Nota: Los encabezados y etiquetas deben determinarse mediante programación, según el criterio de conformidad 1.3.1.</a:t>
          </a: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7"/>
            </a:rPr>
            <a:t>https://www.w3.org/TR/WCAG/#headings-and-labels</a:t>
          </a:r>
          <a:endParaRPr lang="es-ES" sz="1500" b="0" strike="noStrike" spc="-1">
            <a:latin typeface="Times New Roman"/>
          </a:endParaRPr>
        </a:p>
      </xdr:txBody>
    </xdr:sp>
    <xdr:clientData/>
  </xdr:twoCellAnchor>
  <xdr:twoCellAnchor editAs="absolute">
    <xdr:from>
      <xdr:col>5</xdr:col>
      <xdr:colOff>1671</xdr:colOff>
      <xdr:row>1203</xdr:row>
      <xdr:rowOff>61330</xdr:rowOff>
    </xdr:from>
    <xdr:to>
      <xdr:col>11</xdr:col>
      <xdr:colOff>23623</xdr:colOff>
      <xdr:row>1218</xdr:row>
      <xdr:rowOff>17318</xdr:rowOff>
    </xdr:to>
    <xdr:sp macro="" textlink="">
      <xdr:nvSpPr>
        <xdr:cNvPr id="77" name="TextShape 1" descr="9.2.4.7 Foco visible (Condicional)  Condición: Cuando las TIC sean una página web.  Cualquier interfaz de usuario operable por teclado tiene una forma de operar en la cuál el indicador del foco del teclado resulta visible. (Nivel AA)  https://www.w3.org/TR/WCAG/#focus-visible">
          <a:extLst>
            <a:ext uri="{FF2B5EF4-FFF2-40B4-BE49-F238E27FC236}">
              <a16:creationId xmlns:a16="http://schemas.microsoft.com/office/drawing/2014/main" id="{00000000-0008-0000-0600-00004D000000}"/>
            </a:ext>
          </a:extLst>
        </xdr:cNvPr>
        <xdr:cNvSpPr txBox="1"/>
      </xdr:nvSpPr>
      <xdr:spPr>
        <a:xfrm>
          <a:off x="6911626" y="195462375"/>
          <a:ext cx="5840861" cy="2293943"/>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9.2.4.7 Foco visible</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Cualquier interfaz de usuario operable por teclado tiene una forma de operar en la cuál el indicador del foco del teclado resulta visible. (Nivel AA)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8"/>
            </a:rPr>
            <a:t>https://www.w3.org/TR/WCAG/#focus-visible</a:t>
          </a:r>
          <a:endParaRPr lang="es-ES" sz="1500" b="0" strike="noStrike" spc="-1">
            <a:latin typeface="Times New Roman"/>
          </a:endParaRPr>
        </a:p>
      </xdr:txBody>
    </xdr:sp>
    <xdr:clientData/>
  </xdr:twoCellAnchor>
  <xdr:twoCellAnchor editAs="absolute">
    <xdr:from>
      <xdr:col>5</xdr:col>
      <xdr:colOff>6087</xdr:colOff>
      <xdr:row>1241</xdr:row>
      <xdr:rowOff>129214</xdr:rowOff>
    </xdr:from>
    <xdr:to>
      <xdr:col>11</xdr:col>
      <xdr:colOff>64688</xdr:colOff>
      <xdr:row>1258</xdr:row>
      <xdr:rowOff>63500</xdr:rowOff>
    </xdr:to>
    <xdr:sp macro="" textlink="">
      <xdr:nvSpPr>
        <xdr:cNvPr id="78" name="TextShape 1" descr="9.2.5.1 Gestos con el puntero (Condicional)  Condición: Cuando las TIC sean una página web.  Todas las funciones que utilizan gestos multipunto o basados ​​en ruta para la operación pueden operarse con un solo puntero sin un gesto basado en ruta, a menos que sea esencial un gesto multipunto o basado en ruta.  https://www.w3.org/TR/WCAG/#pointer-gestures">
          <a:extLst>
            <a:ext uri="{FF2B5EF4-FFF2-40B4-BE49-F238E27FC236}">
              <a16:creationId xmlns:a16="http://schemas.microsoft.com/office/drawing/2014/main" id="{00000000-0008-0000-0600-00004E000000}"/>
            </a:ext>
          </a:extLst>
        </xdr:cNvPr>
        <xdr:cNvSpPr txBox="1"/>
      </xdr:nvSpPr>
      <xdr:spPr>
        <a:xfrm>
          <a:off x="6938170" y="192671797"/>
          <a:ext cx="5890018" cy="2453120"/>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9.2.5.1 Gestos con el puntero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Todas las funciones que utilizan gestos multipunto o basados ​​en ruta para la operación pueden operarse con un solo puntero sin un gesto basado en ruta, a menos que sea esencial un gesto multipunto o basado en ruta.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9"/>
            </a:rPr>
            <a:t>https://www.w3.org/TR/WCAG/#pointer-gestures</a:t>
          </a:r>
          <a:endParaRPr lang="es-ES" sz="1500" b="0" strike="noStrike" spc="-1">
            <a:latin typeface="Times New Roman"/>
          </a:endParaRPr>
        </a:p>
      </xdr:txBody>
    </xdr:sp>
    <xdr:clientData/>
  </xdr:twoCellAnchor>
  <xdr:twoCellAnchor editAs="absolute">
    <xdr:from>
      <xdr:col>4</xdr:col>
      <xdr:colOff>352569</xdr:colOff>
      <xdr:row>1277</xdr:row>
      <xdr:rowOff>102883</xdr:rowOff>
    </xdr:from>
    <xdr:to>
      <xdr:col>11</xdr:col>
      <xdr:colOff>486834</xdr:colOff>
      <xdr:row>1308</xdr:row>
      <xdr:rowOff>52917</xdr:rowOff>
    </xdr:to>
    <xdr:sp macro="" textlink="">
      <xdr:nvSpPr>
        <xdr:cNvPr id="79" name="TextShape 1" descr="9.2.5.2 Cancelación del puntero (Condicional)  Condición: Cuando las TIC sean una página web.  Para la funcionalidad que puede operarse con un solo puntero, al menos uno de los siguientes es verdadero:   - Sin evento descendente: el evento descendente del puntero no se utiliza para ejecutar ninguna parte de la función;  - Abortar o Deshacer: la finalización de la función está en el evento up, y hay un mecanismo disponible para abortar la función antes de que se complete o para deshacer la función después de que se complete;  - Inversión ascendente: el evento ascendente invierte cualquier resultado del evento descendente anterior;  - Esencial: completar la función en el evento descendente es esencial.  https://www.w3.org/TR/WCAG/#pointer-cancellation">
          <a:extLst>
            <a:ext uri="{FF2B5EF4-FFF2-40B4-BE49-F238E27FC236}">
              <a16:creationId xmlns:a16="http://schemas.microsoft.com/office/drawing/2014/main" id="{00000000-0008-0000-0600-00004F000000}"/>
            </a:ext>
          </a:extLst>
        </xdr:cNvPr>
        <xdr:cNvSpPr txBox="1"/>
      </xdr:nvSpPr>
      <xdr:spPr>
        <a:xfrm>
          <a:off x="6914236" y="198201716"/>
          <a:ext cx="6336098" cy="4543201"/>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9.2.5.2 Cancelación del puntero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Para la funcionalidad que puede operarse con un solo puntero, al menos uno de los siguientes es verdadero: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Sin evento descendente</a:t>
          </a:r>
          <a:r>
            <a:rPr lang="en-US" sz="1500" b="0" strike="noStrike" spc="-1">
              <a:solidFill>
                <a:srgbClr val="000000"/>
              </a:solidFill>
              <a:latin typeface="Arial"/>
              <a:ea typeface="Linux Libertine G"/>
            </a:rPr>
            <a:t>: el evento descendente del puntero no se utiliza para ejecutar ninguna parte de la función;</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Abortar o Deshacer</a:t>
          </a:r>
          <a:r>
            <a:rPr lang="en-US" sz="1500" b="0" strike="noStrike" spc="-1">
              <a:solidFill>
                <a:srgbClr val="000000"/>
              </a:solidFill>
              <a:latin typeface="Arial"/>
              <a:ea typeface="Linux Libertine G"/>
            </a:rPr>
            <a:t>: la finalización de la función está en el evento up, y hay un mecanismo disponible para abortar la función antes de que se complete o para deshacer la función después de que se complete;</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Inversión ascendente</a:t>
          </a:r>
          <a:r>
            <a:rPr lang="en-US" sz="1500" b="0" strike="noStrike" spc="-1">
              <a:solidFill>
                <a:srgbClr val="000000"/>
              </a:solidFill>
              <a:latin typeface="Arial"/>
              <a:ea typeface="Linux Libertine G"/>
            </a:rPr>
            <a:t>: el evento ascendente invierte cualquier resultado del evento descendente anterior;</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Esencial</a:t>
          </a:r>
          <a:r>
            <a:rPr lang="en-US" sz="1500" b="0" strike="noStrike" spc="-1">
              <a:solidFill>
                <a:srgbClr val="000000"/>
              </a:solidFill>
              <a:latin typeface="Arial"/>
              <a:ea typeface="Linux Libertine G"/>
            </a:rPr>
            <a:t>: completar la función en el evento descendente es esencial.</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0"/>
            </a:rPr>
            <a:t>https://www.w3.org/TR/WCAG/#pointer-cancellation</a:t>
          </a:r>
          <a:endParaRPr lang="es-ES" sz="1500" b="0" strike="noStrike" spc="-1">
            <a:latin typeface="Times New Roman"/>
          </a:endParaRPr>
        </a:p>
      </xdr:txBody>
    </xdr:sp>
    <xdr:clientData/>
  </xdr:twoCellAnchor>
  <xdr:twoCellAnchor editAs="absolute">
    <xdr:from>
      <xdr:col>4</xdr:col>
      <xdr:colOff>308768</xdr:colOff>
      <xdr:row>1317</xdr:row>
      <xdr:rowOff>103928</xdr:rowOff>
    </xdr:from>
    <xdr:to>
      <xdr:col>11</xdr:col>
      <xdr:colOff>1985</xdr:colOff>
      <xdr:row>1332</xdr:row>
      <xdr:rowOff>116417</xdr:rowOff>
    </xdr:to>
    <xdr:sp macro="" textlink="">
      <xdr:nvSpPr>
        <xdr:cNvPr id="80" name="TextShape 1" descr="9.2.5.3 Inclusión de la etiqueta en el nombre (Condicional)  Condición: Cuando las TIC sean una página web.  Para los componentes de la interfaz de usuario con etiquetas que incluyen texto o imágenes de texto, el nombre contiene el texto que se presenta visualmente.  https://www.w3.org/TR/WCAG/#label-in-name">
          <a:extLst>
            <a:ext uri="{FF2B5EF4-FFF2-40B4-BE49-F238E27FC236}">
              <a16:creationId xmlns:a16="http://schemas.microsoft.com/office/drawing/2014/main" id="{00000000-0008-0000-0600-000050000000}"/>
            </a:ext>
          </a:extLst>
        </xdr:cNvPr>
        <xdr:cNvSpPr txBox="1"/>
      </xdr:nvSpPr>
      <xdr:spPr>
        <a:xfrm>
          <a:off x="6870435" y="204351678"/>
          <a:ext cx="5895050" cy="2234989"/>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9.2.5.3 Inclusión de la etiqueta en el nombre</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Para los componentes de la interfaz de usuario con etiquetas que incluyen texto o imágenes de texto, el nombre contiene el texto que se presenta visualmente.</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1"/>
            </a:rPr>
            <a:t>https://www.w3.org/TR/WCAG/#label-in-name</a:t>
          </a:r>
          <a:endParaRPr lang="es-ES" sz="1500" b="0" strike="noStrike" spc="-1">
            <a:latin typeface="Times New Roman"/>
          </a:endParaRPr>
        </a:p>
      </xdr:txBody>
    </xdr:sp>
    <xdr:clientData/>
  </xdr:twoCellAnchor>
  <xdr:twoCellAnchor editAs="absolute">
    <xdr:from>
      <xdr:col>5</xdr:col>
      <xdr:colOff>23018</xdr:colOff>
      <xdr:row>1355</xdr:row>
      <xdr:rowOff>1194</xdr:rowOff>
    </xdr:from>
    <xdr:to>
      <xdr:col>11</xdr:col>
      <xdr:colOff>79686</xdr:colOff>
      <xdr:row>1381</xdr:row>
      <xdr:rowOff>105833</xdr:rowOff>
    </xdr:to>
    <xdr:sp macro="" textlink="">
      <xdr:nvSpPr>
        <xdr:cNvPr id="81" name="TextShape 1" descr="9.2.5.4. Activación mediante movimiento (Condicional)  Condición: Cuando las TIC sean una página web.  La funcionalidad que puede ser operada por el movimiento del dispositivo o el movimiento del usuario también puede ser operada por los componentes de la interfaz del usuario y la respuesta al movimiento se puede desactivar para evitar la activación accidental, excepto cuando:    - Interfaz compatible: el movimiento se utiliza para operar la funcionalidad a través de una interfaz compatible de accesibilidad;   - Esencial: el movimiento es esencial para la función y hacerlo invalidaría la actividad.  https://www.w3.org/TR/WCAG/#motion-actuation">
          <a:extLst>
            <a:ext uri="{FF2B5EF4-FFF2-40B4-BE49-F238E27FC236}">
              <a16:creationId xmlns:a16="http://schemas.microsoft.com/office/drawing/2014/main" id="{00000000-0008-0000-0600-000051000000}"/>
            </a:ext>
          </a:extLst>
        </xdr:cNvPr>
        <xdr:cNvSpPr txBox="1"/>
      </xdr:nvSpPr>
      <xdr:spPr>
        <a:xfrm>
          <a:off x="6955101" y="210101527"/>
          <a:ext cx="5888085" cy="3956973"/>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9.2.5.4. Activación mediante movimiento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La funcionalidad que puede ser operada por el movimiento del dispositivo o el movimiento del usuario también puede ser operada por los componentes de la interfaz del usuario y la respuesta al movimiento se puede desactivar para evitar la activación accidental, excepto cuando: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 Interfaz compatible</a:t>
          </a:r>
          <a:r>
            <a:rPr lang="en-US" sz="1500" b="0" strike="noStrike" spc="-1">
              <a:solidFill>
                <a:srgbClr val="000000"/>
              </a:solidFill>
              <a:latin typeface="Arial"/>
              <a:ea typeface="Linux Libertine G"/>
            </a:rPr>
            <a:t>: el movimiento se utiliza para operar la funcionalidad a través de una interfaz compatible de accesibilidad;</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 </a:t>
          </a:r>
          <a:r>
            <a:rPr lang="en-US" sz="1500" b="1" strike="noStrike" spc="-1">
              <a:solidFill>
                <a:srgbClr val="000000"/>
              </a:solidFill>
              <a:latin typeface="Arial"/>
              <a:ea typeface="Linux Libertine G"/>
            </a:rPr>
            <a:t>Esencial</a:t>
          </a:r>
          <a:r>
            <a:rPr lang="en-US" sz="1500" b="0" strike="noStrike" spc="-1">
              <a:solidFill>
                <a:srgbClr val="000000"/>
              </a:solidFill>
              <a:latin typeface="Arial"/>
              <a:ea typeface="Linux Libertine G"/>
            </a:rPr>
            <a:t>: el movimiento es esencial para la función y hacerlo invalidaría la actividad.</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2"/>
            </a:rPr>
            <a:t>https://www.w3.org/TR/WCAG/#motion-actuation</a:t>
          </a:r>
          <a:endParaRPr lang="es-ES" sz="1500" b="0" strike="noStrike" spc="-1">
            <a:latin typeface="Times New Roman"/>
          </a:endParaRPr>
        </a:p>
        <a:p>
          <a:r>
            <a:rPr lang="en-US" sz="1100" b="0" strike="noStrike" spc="-1">
              <a:solidFill>
                <a:srgbClr val="000000"/>
              </a:solidFill>
              <a:latin typeface="Arial"/>
              <a:ea typeface="Linux Libertine G"/>
            </a:rPr>
            <a:t>	</a:t>
          </a:r>
          <a:endParaRPr lang="es-ES" sz="1100" b="0" strike="noStrike" spc="-1">
            <a:latin typeface="Times New Roman"/>
          </a:endParaRPr>
        </a:p>
      </xdr:txBody>
    </xdr:sp>
    <xdr:clientData/>
  </xdr:twoCellAnchor>
  <xdr:twoCellAnchor editAs="absolute">
    <xdr:from>
      <xdr:col>5</xdr:col>
      <xdr:colOff>3729</xdr:colOff>
      <xdr:row>1392</xdr:row>
      <xdr:rowOff>104145</xdr:rowOff>
    </xdr:from>
    <xdr:to>
      <xdr:col>10</xdr:col>
      <xdr:colOff>607644</xdr:colOff>
      <xdr:row>1405</xdr:row>
      <xdr:rowOff>103909</xdr:rowOff>
    </xdr:to>
    <xdr:sp macro="" textlink="">
      <xdr:nvSpPr>
        <xdr:cNvPr id="82" name="TextShape 1" descr="9.3.1.1 Idioma de la página (Condicional)  Condición: Cuando las TIC sean una página web.  El idioma predeterminado de cada página web puede ser determinado por software. (Nivel A)  https://www.w3.org/TR/WCAG/#language-of-page">
          <a:extLst>
            <a:ext uri="{FF2B5EF4-FFF2-40B4-BE49-F238E27FC236}">
              <a16:creationId xmlns:a16="http://schemas.microsoft.com/office/drawing/2014/main" id="{00000000-0008-0000-0600-000052000000}"/>
            </a:ext>
          </a:extLst>
        </xdr:cNvPr>
        <xdr:cNvSpPr txBox="1"/>
      </xdr:nvSpPr>
      <xdr:spPr>
        <a:xfrm>
          <a:off x="6913684" y="226002509"/>
          <a:ext cx="5453005" cy="2025991"/>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9.3.1.1 Idioma de la página</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El idioma predeterminado de cada página web puede ser determinado por software. (Nivel 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3"/>
            </a:rPr>
            <a:t>https://www.w3.org/TR/WCAG/#language-of-page</a:t>
          </a:r>
          <a:endParaRPr lang="es-ES" sz="1500" b="0" strike="noStrike" spc="-1">
            <a:latin typeface="Times New Roman"/>
          </a:endParaRPr>
        </a:p>
      </xdr:txBody>
    </xdr:sp>
    <xdr:clientData/>
  </xdr:twoCellAnchor>
  <xdr:twoCellAnchor editAs="absolute">
    <xdr:from>
      <xdr:col>7</xdr:col>
      <xdr:colOff>554089</xdr:colOff>
      <xdr:row>1387</xdr:row>
      <xdr:rowOff>132821</xdr:rowOff>
    </xdr:from>
    <xdr:to>
      <xdr:col>8</xdr:col>
      <xdr:colOff>309366</xdr:colOff>
      <xdr:row>1392</xdr:row>
      <xdr:rowOff>92504</xdr:rowOff>
    </xdr:to>
    <xdr:pic>
      <xdr:nvPicPr>
        <xdr:cNvPr id="83" name="Image 1">
          <a:extLst>
            <a:ext uri="{FF2B5EF4-FFF2-40B4-BE49-F238E27FC236}">
              <a16:creationId xmlns:a16="http://schemas.microsoft.com/office/drawing/2014/main" id="{00000000-0008-0000-0600-000053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71089" y="215196738"/>
          <a:ext cx="591360" cy="700516"/>
        </a:xfrm>
        <a:prstGeom prst="rect">
          <a:avLst/>
        </a:prstGeom>
        <a:ln>
          <a:noFill/>
        </a:ln>
      </xdr:spPr>
    </xdr:pic>
    <xdr:clientData/>
  </xdr:twoCellAnchor>
  <xdr:twoCellAnchor editAs="absolute">
    <xdr:from>
      <xdr:col>7</xdr:col>
      <xdr:colOff>557777</xdr:colOff>
      <xdr:row>1464</xdr:row>
      <xdr:rowOff>4300</xdr:rowOff>
    </xdr:from>
    <xdr:to>
      <xdr:col>8</xdr:col>
      <xdr:colOff>308292</xdr:colOff>
      <xdr:row>1468</xdr:row>
      <xdr:rowOff>138380</xdr:rowOff>
    </xdr:to>
    <xdr:pic>
      <xdr:nvPicPr>
        <xdr:cNvPr id="84" name="Image 1">
          <a:extLst>
            <a:ext uri="{FF2B5EF4-FFF2-40B4-BE49-F238E27FC236}">
              <a16:creationId xmlns:a16="http://schemas.microsoft.com/office/drawing/2014/main" id="{00000000-0008-0000-0600-000054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8902" y="219846063"/>
          <a:ext cx="583953" cy="696055"/>
        </a:xfrm>
        <a:prstGeom prst="rect">
          <a:avLst/>
        </a:prstGeom>
        <a:ln>
          <a:noFill/>
        </a:ln>
      </xdr:spPr>
    </xdr:pic>
    <xdr:clientData/>
  </xdr:twoCellAnchor>
  <xdr:twoCellAnchor editAs="absolute">
    <xdr:from>
      <xdr:col>7</xdr:col>
      <xdr:colOff>513326</xdr:colOff>
      <xdr:row>1501</xdr:row>
      <xdr:rowOff>114724</xdr:rowOff>
    </xdr:from>
    <xdr:to>
      <xdr:col>8</xdr:col>
      <xdr:colOff>254316</xdr:colOff>
      <xdr:row>1506</xdr:row>
      <xdr:rowOff>77594</xdr:rowOff>
    </xdr:to>
    <xdr:pic>
      <xdr:nvPicPr>
        <xdr:cNvPr id="85" name="Image 1">
          <a:extLst>
            <a:ext uri="{FF2B5EF4-FFF2-40B4-BE49-F238E27FC236}">
              <a16:creationId xmlns:a16="http://schemas.microsoft.com/office/drawing/2014/main" id="{00000000-0008-0000-0600-000055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14451" y="225471462"/>
          <a:ext cx="574428" cy="677245"/>
        </a:xfrm>
        <a:prstGeom prst="rect">
          <a:avLst/>
        </a:prstGeom>
        <a:ln>
          <a:noFill/>
        </a:ln>
      </xdr:spPr>
    </xdr:pic>
    <xdr:clientData/>
  </xdr:twoCellAnchor>
  <xdr:twoCellAnchor editAs="absolute">
    <xdr:from>
      <xdr:col>7</xdr:col>
      <xdr:colOff>543176</xdr:colOff>
      <xdr:row>1616</xdr:row>
      <xdr:rowOff>18403</xdr:rowOff>
    </xdr:from>
    <xdr:to>
      <xdr:col>8</xdr:col>
      <xdr:colOff>290516</xdr:colOff>
      <xdr:row>1620</xdr:row>
      <xdr:rowOff>133433</xdr:rowOff>
    </xdr:to>
    <xdr:pic>
      <xdr:nvPicPr>
        <xdr:cNvPr id="86" name="Image 1">
          <a:extLst>
            <a:ext uri="{FF2B5EF4-FFF2-40B4-BE49-F238E27FC236}">
              <a16:creationId xmlns:a16="http://schemas.microsoft.com/office/drawing/2014/main" id="{00000000-0008-0000-0600-000056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44301" y="242529666"/>
          <a:ext cx="580778" cy="677005"/>
        </a:xfrm>
        <a:prstGeom prst="rect">
          <a:avLst/>
        </a:prstGeom>
        <a:ln>
          <a:noFill/>
        </a:ln>
      </xdr:spPr>
    </xdr:pic>
    <xdr:clientData/>
  </xdr:twoCellAnchor>
  <xdr:twoCellAnchor editAs="absolute">
    <xdr:from>
      <xdr:col>7</xdr:col>
      <xdr:colOff>549526</xdr:colOff>
      <xdr:row>1653</xdr:row>
      <xdr:rowOff>85256</xdr:rowOff>
    </xdr:from>
    <xdr:to>
      <xdr:col>8</xdr:col>
      <xdr:colOff>296866</xdr:colOff>
      <xdr:row>1658</xdr:row>
      <xdr:rowOff>48126</xdr:rowOff>
    </xdr:to>
    <xdr:pic>
      <xdr:nvPicPr>
        <xdr:cNvPr id="87" name="Image 1">
          <a:extLst>
            <a:ext uri="{FF2B5EF4-FFF2-40B4-BE49-F238E27FC236}">
              <a16:creationId xmlns:a16="http://schemas.microsoft.com/office/drawing/2014/main" id="{00000000-0008-0000-0600-000057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0651" y="248111494"/>
          <a:ext cx="580778" cy="686770"/>
        </a:xfrm>
        <a:prstGeom prst="rect">
          <a:avLst/>
        </a:prstGeom>
        <a:ln>
          <a:noFill/>
        </a:ln>
      </xdr:spPr>
    </xdr:pic>
    <xdr:clientData/>
  </xdr:twoCellAnchor>
  <xdr:twoCellAnchor editAs="absolute">
    <xdr:from>
      <xdr:col>7</xdr:col>
      <xdr:colOff>521188</xdr:colOff>
      <xdr:row>1692</xdr:row>
      <xdr:rowOff>50354</xdr:rowOff>
    </xdr:from>
    <xdr:to>
      <xdr:col>8</xdr:col>
      <xdr:colOff>268528</xdr:colOff>
      <xdr:row>1697</xdr:row>
      <xdr:rowOff>21861</xdr:rowOff>
    </xdr:to>
    <xdr:pic>
      <xdr:nvPicPr>
        <xdr:cNvPr id="88" name="Image 1">
          <a:extLst>
            <a:ext uri="{FF2B5EF4-FFF2-40B4-BE49-F238E27FC236}">
              <a16:creationId xmlns:a16="http://schemas.microsoft.com/office/drawing/2014/main" id="{00000000-0008-0000-0600-000058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38188" y="262083104"/>
          <a:ext cx="583423" cy="712340"/>
        </a:xfrm>
        <a:prstGeom prst="rect">
          <a:avLst/>
        </a:prstGeom>
        <a:ln>
          <a:noFill/>
        </a:ln>
      </xdr:spPr>
    </xdr:pic>
    <xdr:clientData/>
  </xdr:twoCellAnchor>
  <xdr:twoCellAnchor editAs="absolute">
    <xdr:from>
      <xdr:col>5</xdr:col>
      <xdr:colOff>3031</xdr:colOff>
      <xdr:row>1469</xdr:row>
      <xdr:rowOff>17509</xdr:rowOff>
    </xdr:from>
    <xdr:to>
      <xdr:col>10</xdr:col>
      <xdr:colOff>938212</xdr:colOff>
      <xdr:row>1481</xdr:row>
      <xdr:rowOff>116417</xdr:rowOff>
    </xdr:to>
    <xdr:sp macro="" textlink="">
      <xdr:nvSpPr>
        <xdr:cNvPr id="90" name="TextShape 1" descr="9.3.2.1 Al recibir el foco (Condicional)  Condición: Cuando las TIC sean una página web.  Cuando cualquier componente recibe el foco, no inicia ningún cambio en el contexto. (Nivel A)  https://www.w3.org/TR/WCAG/#on-focus">
          <a:extLst>
            <a:ext uri="{FF2B5EF4-FFF2-40B4-BE49-F238E27FC236}">
              <a16:creationId xmlns:a16="http://schemas.microsoft.com/office/drawing/2014/main" id="{00000000-0008-0000-0600-00005A000000}"/>
            </a:ext>
          </a:extLst>
        </xdr:cNvPr>
        <xdr:cNvSpPr txBox="1"/>
      </xdr:nvSpPr>
      <xdr:spPr>
        <a:xfrm>
          <a:off x="6935114" y="227675592"/>
          <a:ext cx="5792931" cy="1876908"/>
        </a:xfrm>
        <a:prstGeom prst="rect">
          <a:avLst/>
        </a:prstGeom>
        <a:solidFill>
          <a:srgbClr val="DDDDDD"/>
        </a:solidFill>
        <a:ln>
          <a:noFill/>
        </a:ln>
      </xdr:spPr>
      <xdr:txBody>
        <a:bodyPr lIns="0" tIns="0" rIns="0" bIns="0">
          <a:noAutofit/>
        </a:bodyPr>
        <a:lstStyle/>
        <a:p>
          <a:r>
            <a:rPr lang="es-ES" sz="1500" b="1" strike="noStrike" spc="-1">
              <a:solidFill>
                <a:srgbClr val="000000"/>
              </a:solidFill>
              <a:latin typeface="Arial"/>
              <a:ea typeface="Linux Libertine G"/>
            </a:rPr>
            <a:t>9.3.2.1 Al recibir el foco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s-ES" sz="1500" b="1" strike="noStrike" spc="-1">
            <a:solidFill>
              <a:srgbClr val="000000"/>
            </a:solidFill>
            <a:latin typeface="Arial"/>
            <a:ea typeface="Linux Libertine G"/>
          </a:endParaRPr>
        </a:p>
        <a:p>
          <a:endParaRPr lang="es-E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s-ES" sz="1500" b="0" strike="noStrike" spc="-1">
              <a:solidFill>
                <a:srgbClr val="000000"/>
              </a:solidFill>
              <a:latin typeface="Arial"/>
              <a:ea typeface="Linux Libertine G"/>
            </a:rPr>
            <a:t>Cuando cualquier componente recibe el foco, no inicia ningún cambio en el contexto. (Nivel A)</a:t>
          </a:r>
          <a:endParaRPr lang="es-ES" sz="1500" b="0" strike="noStrike" spc="-1">
            <a:latin typeface="Times New Roman"/>
          </a:endParaRPr>
        </a:p>
        <a:p>
          <a:endParaRPr lang="es-ES" sz="1500" b="0" strike="noStrike" spc="-1">
            <a:latin typeface="Times New Roman"/>
          </a:endParaRPr>
        </a:p>
        <a:p>
          <a:r>
            <a:rPr lang="es-ES" sz="1500" b="1" strike="noStrike" spc="-1">
              <a:solidFill>
                <a:srgbClr val="3465A4"/>
              </a:solidFill>
              <a:latin typeface="Arial"/>
              <a:ea typeface="Linux Libertine G"/>
              <a:hlinkClick xmlns:r="http://schemas.openxmlformats.org/officeDocument/2006/relationships" r:id="rId34"/>
            </a:rPr>
            <a:t>https://www.w3.org/TR/WCAG/#on-focus</a:t>
          </a:r>
          <a:endParaRPr lang="es-ES" sz="1500" b="0" strike="noStrike" spc="-1">
            <a:latin typeface="Times New Roman"/>
          </a:endParaRPr>
        </a:p>
      </xdr:txBody>
    </xdr:sp>
    <xdr:clientData/>
  </xdr:twoCellAnchor>
  <xdr:twoCellAnchor editAs="absolute">
    <xdr:from>
      <xdr:col>5</xdr:col>
      <xdr:colOff>23812</xdr:colOff>
      <xdr:row>1506</xdr:row>
      <xdr:rowOff>128257</xdr:rowOff>
    </xdr:from>
    <xdr:to>
      <xdr:col>11</xdr:col>
      <xdr:colOff>2268</xdr:colOff>
      <xdr:row>1523</xdr:row>
      <xdr:rowOff>42334</xdr:rowOff>
    </xdr:to>
    <xdr:sp macro="" textlink="">
      <xdr:nvSpPr>
        <xdr:cNvPr id="91" name="TextShape 1" descr="9.3.2.2 Al recibir entradas (Condicional)  Condición: Cuando las TIC sean una página web.  El cambio de estado en cualquier componente de la interfaz de usuario no provoca automáticamente un cambio en el contexto a menos que el usuario haya sido advertido de ese comportamiento antes de usar el componente. (Nivel A)  https://www.w3.org/TR/WCAG/#on-input">
          <a:extLst>
            <a:ext uri="{FF2B5EF4-FFF2-40B4-BE49-F238E27FC236}">
              <a16:creationId xmlns:a16="http://schemas.microsoft.com/office/drawing/2014/main" id="{00000000-0008-0000-0600-00005B000000}"/>
            </a:ext>
          </a:extLst>
        </xdr:cNvPr>
        <xdr:cNvSpPr txBox="1"/>
      </xdr:nvSpPr>
      <xdr:spPr>
        <a:xfrm>
          <a:off x="6955895" y="233490757"/>
          <a:ext cx="5809873" cy="2432910"/>
        </a:xfrm>
        <a:prstGeom prst="rect">
          <a:avLst/>
        </a:prstGeom>
        <a:solidFill>
          <a:srgbClr val="DDDDDD"/>
        </a:solidFill>
        <a:ln>
          <a:noFill/>
        </a:ln>
      </xdr:spPr>
      <xdr:txBody>
        <a:bodyPr wrap="square" lIns="108000" tIns="108000" rIns="108000" bIns="108000">
          <a:noAutofit/>
        </a:bodyPr>
        <a:lstStyle/>
        <a:p>
          <a:r>
            <a:rPr lang="en-US" sz="1500" b="1" strike="noStrike" spc="-1">
              <a:solidFill>
                <a:srgbClr val="000000"/>
              </a:solidFill>
              <a:latin typeface="Arial"/>
              <a:ea typeface="Linux Libertine G"/>
            </a:rPr>
            <a:t>9.3.2.2 Al recibir entradas</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El cambio de estado en cualquier componente de la interfaz de usuario no provoca automáticamente un cambio en el contexto a menos que el usuario haya sido advertido de ese comportamiento antes de usar el componente. (Nivel 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5"/>
            </a:rPr>
            <a:t>https://www.w3.org/TR/WCAG/#on-input</a:t>
          </a:r>
          <a:endParaRPr lang="es-ES" sz="1500" b="0" strike="noStrike" spc="-1">
            <a:latin typeface="Times New Roman"/>
          </a:endParaRPr>
        </a:p>
      </xdr:txBody>
    </xdr:sp>
    <xdr:clientData/>
  </xdr:twoCellAnchor>
  <xdr:twoCellAnchor editAs="absolute">
    <xdr:from>
      <xdr:col>5</xdr:col>
      <xdr:colOff>7938</xdr:colOff>
      <xdr:row>1620</xdr:row>
      <xdr:rowOff>130337</xdr:rowOff>
    </xdr:from>
    <xdr:to>
      <xdr:col>10</xdr:col>
      <xdr:colOff>881063</xdr:colOff>
      <xdr:row>1635</xdr:row>
      <xdr:rowOff>3026</xdr:rowOff>
    </xdr:to>
    <xdr:sp macro="" textlink="">
      <xdr:nvSpPr>
        <xdr:cNvPr id="92" name="TextShape 1" descr="9.3.3.1 Identificación de errores (Condicional)  Condición: Cuando las TIC sean una página web.  Si se detecta automáticamente un error en la entrada de datos, el elemento erróneo es identificado y el error se describe al usuario mediante un texto. (Nivel A)  https://www.w3.org/TR/WCAG/#error-identification">
          <a:extLst>
            <a:ext uri="{FF2B5EF4-FFF2-40B4-BE49-F238E27FC236}">
              <a16:creationId xmlns:a16="http://schemas.microsoft.com/office/drawing/2014/main" id="{00000000-0008-0000-0600-00005C000000}"/>
            </a:ext>
          </a:extLst>
        </xdr:cNvPr>
        <xdr:cNvSpPr txBox="1"/>
      </xdr:nvSpPr>
      <xdr:spPr>
        <a:xfrm>
          <a:off x="6917893" y="262812519"/>
          <a:ext cx="5722215" cy="2210643"/>
        </a:xfrm>
        <a:prstGeom prst="rect">
          <a:avLst/>
        </a:prstGeom>
        <a:solidFill>
          <a:srgbClr val="DDDDDD"/>
        </a:solidFill>
        <a:ln>
          <a:noFill/>
        </a:ln>
      </xdr:spPr>
      <xdr:txBody>
        <a:bodyPr wrap="square" lIns="108000" tIns="108000" rIns="108000" bIns="108000">
          <a:spAutoFit/>
        </a:bodyPr>
        <a:lstStyle/>
        <a:p>
          <a:r>
            <a:rPr lang="en-US" sz="1500" b="1" strike="noStrike" spc="-1">
              <a:solidFill>
                <a:srgbClr val="000000"/>
              </a:solidFill>
              <a:latin typeface="Arial"/>
              <a:ea typeface="Linux Libertine G"/>
            </a:rPr>
            <a:t>9.3.3.1 Identificación de errores</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Si se detecta automáticamente un error en la entrada de datos, el elemento erróneo es identificado y el error se describe al usuario mediante un texto. (Nivel 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cs typeface="+mn-cs"/>
            </a:rPr>
            <a:t>https://www.w3.org/TR/WCAG/#error-identification</a:t>
          </a:r>
          <a:endParaRPr lang="es-ES" sz="1500" b="1" strike="noStrike" spc="-1">
            <a:solidFill>
              <a:srgbClr val="3465A4"/>
            </a:solidFill>
            <a:latin typeface="Arial"/>
            <a:ea typeface="Linux Libertine G"/>
            <a:cs typeface="+mn-cs"/>
          </a:endParaRPr>
        </a:p>
      </xdr:txBody>
    </xdr:sp>
    <xdr:clientData/>
  </xdr:twoCellAnchor>
  <xdr:twoCellAnchor editAs="absolute">
    <xdr:from>
      <xdr:col>5</xdr:col>
      <xdr:colOff>7938</xdr:colOff>
      <xdr:row>1658</xdr:row>
      <xdr:rowOff>78630</xdr:rowOff>
    </xdr:from>
    <xdr:to>
      <xdr:col>10</xdr:col>
      <xdr:colOff>928688</xdr:colOff>
      <xdr:row>1671</xdr:row>
      <xdr:rowOff>51955</xdr:rowOff>
    </xdr:to>
    <xdr:sp macro="" textlink="">
      <xdr:nvSpPr>
        <xdr:cNvPr id="93" name="TextShape 1" descr="9.3.3.2 Etiquetas o instrucciones (Condicional)  Condición: Cuando las TIC sean una página web.  Se proporcionan etiquetas o instrucciones cuando el contenido requiere la introducción de datos por parte del usuario. (Nivel A)  https://www.w3.org/TR/WCAG/#labels-or-instructions">
          <a:extLst>
            <a:ext uri="{FF2B5EF4-FFF2-40B4-BE49-F238E27FC236}">
              <a16:creationId xmlns:a16="http://schemas.microsoft.com/office/drawing/2014/main" id="{00000000-0008-0000-0600-00005D000000}"/>
            </a:ext>
          </a:extLst>
        </xdr:cNvPr>
        <xdr:cNvSpPr txBox="1"/>
      </xdr:nvSpPr>
      <xdr:spPr>
        <a:xfrm>
          <a:off x="6917893" y="268891448"/>
          <a:ext cx="5769840" cy="1999552"/>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9.3.3.2 Etiquetas o instrucciones</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Se proporcionan etiquetas o instrucciones cuando el contenido requiere la introducción de datos por parte del usuario. (Nivel A)</a:t>
          </a: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6"/>
            </a:rPr>
            <a:t>https://www.w3.org/TR/WCAG/#labels-or-instructions</a:t>
          </a:r>
          <a:endParaRPr lang="es-ES" sz="1500" b="0" strike="noStrike" spc="-1">
            <a:latin typeface="Times New Roman"/>
          </a:endParaRPr>
        </a:p>
      </xdr:txBody>
    </xdr:sp>
    <xdr:clientData/>
  </xdr:twoCellAnchor>
  <xdr:twoCellAnchor editAs="absolute">
    <xdr:from>
      <xdr:col>5</xdr:col>
      <xdr:colOff>26458</xdr:colOff>
      <xdr:row>1697</xdr:row>
      <xdr:rowOff>86190</xdr:rowOff>
    </xdr:from>
    <xdr:to>
      <xdr:col>10</xdr:col>
      <xdr:colOff>902229</xdr:colOff>
      <xdr:row>1714</xdr:row>
      <xdr:rowOff>10583</xdr:rowOff>
    </xdr:to>
    <xdr:sp macro="" textlink="">
      <xdr:nvSpPr>
        <xdr:cNvPr id="94" name="TextShape 1" descr="9.3.3.3 Sugerencias ante errores (Condicional)  Condición: Cuando las TIC sean una página web.  Si se detecta automáticamente un error en la entrada de datos y se dispone de sugerencias para hacer la corrección, entonces se presentan las sugerencias al usuario, a menos que esto ponga en riesgo la seguridad o el propósito del contenido. (Nivel AA)  https://www.w3.org/TR/WCAG/#error-suggestion">
          <a:extLst>
            <a:ext uri="{FF2B5EF4-FFF2-40B4-BE49-F238E27FC236}">
              <a16:creationId xmlns:a16="http://schemas.microsoft.com/office/drawing/2014/main" id="{00000000-0008-0000-0600-00005E000000}"/>
            </a:ext>
          </a:extLst>
        </xdr:cNvPr>
        <xdr:cNvSpPr txBox="1"/>
      </xdr:nvSpPr>
      <xdr:spPr>
        <a:xfrm>
          <a:off x="6958541" y="262859773"/>
          <a:ext cx="5733521" cy="2443227"/>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9.3.3.3 Sugerencias ante errores</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Si se detecta automáticamente un error en la entrada de datos y se dispone de sugerencias para hacer la corrección, entonces se presentan las sugerencias al usuario, a menos que esto ponga en riesgo la seguridad o el propósito del contenido. (Nivel AA)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7"/>
            </a:rPr>
            <a:t>https://www.w3.org/TR/WCAG/#error-suggestion</a:t>
          </a:r>
          <a:endParaRPr lang="es-ES" sz="1500" b="0" strike="noStrike" spc="-1">
            <a:latin typeface="Times New Roman"/>
          </a:endParaRPr>
        </a:p>
      </xdr:txBody>
    </xdr:sp>
    <xdr:clientData/>
  </xdr:twoCellAnchor>
  <xdr:twoCellAnchor editAs="absolute">
    <xdr:from>
      <xdr:col>4</xdr:col>
      <xdr:colOff>359594</xdr:colOff>
      <xdr:row>1734</xdr:row>
      <xdr:rowOff>129856</xdr:rowOff>
    </xdr:from>
    <xdr:to>
      <xdr:col>12</xdr:col>
      <xdr:colOff>539751</xdr:colOff>
      <xdr:row>1762</xdr:row>
      <xdr:rowOff>127000</xdr:rowOff>
    </xdr:to>
    <xdr:sp macro="" textlink="">
      <xdr:nvSpPr>
        <xdr:cNvPr id="95" name="TextShape 1" descr="9.3.3.4 Prevención de errores (legales, financieros, de datos) (Condicional)  Condición: Cuando las TIC sean una página web.  Para las páginas web que representan para el usuario compromisos legales o transacciones financieras; que modifican o eliminan datos controlables por el usuario en sistemas de almacenamiento de datos; o que envían las respuestas del usuario a una prueba, se cumple al menos uno de los siguientes casos: (Nivel AA)  - Reversible: El envío es reversible.  - Revisado: Se verifica la información para detectar errores en la entrada de datos y se proporciona al usuario una oportunidad de corregirlos.  - Confirmado: Se proporciona un mecanismo para revisar, confirmar y corregir la información antes de finalizar el envío de los datos.  https://www.w3.org/TR/WCAG/#error-prevention-legal-financial-data">
          <a:extLst>
            <a:ext uri="{FF2B5EF4-FFF2-40B4-BE49-F238E27FC236}">
              <a16:creationId xmlns:a16="http://schemas.microsoft.com/office/drawing/2014/main" id="{00000000-0008-0000-0600-00005F000000}"/>
            </a:ext>
          </a:extLst>
        </xdr:cNvPr>
        <xdr:cNvSpPr txBox="1"/>
      </xdr:nvSpPr>
      <xdr:spPr>
        <a:xfrm>
          <a:off x="6921261" y="268607856"/>
          <a:ext cx="7218073" cy="4145811"/>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9.3.3.4 Prevención de errores (legales, financieros, de datos)</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Para las páginas web que representan para el usuario compromisos legales o transacciones financieras; que modifican o eliminan datos controlables por el usuario en sistemas de almacenamiento de datos; o que envían las respuestas del usuario a una prueba, se cumple al menos uno de los siguientes casos: (Nivel AA)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Reversible</a:t>
          </a:r>
          <a:r>
            <a:rPr lang="en-US" sz="1500" b="0" strike="noStrike" spc="-1">
              <a:solidFill>
                <a:srgbClr val="000000"/>
              </a:solidFill>
              <a:latin typeface="Arial"/>
              <a:ea typeface="Linux Libertine G"/>
            </a:rPr>
            <a:t>: El envío es reversible.</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Revisado</a:t>
          </a:r>
          <a:r>
            <a:rPr lang="en-US" sz="1500" b="0" strike="noStrike" spc="-1">
              <a:solidFill>
                <a:srgbClr val="000000"/>
              </a:solidFill>
              <a:latin typeface="Arial"/>
              <a:ea typeface="Linux Libertine G"/>
            </a:rPr>
            <a:t>: Se verifica la información para detectar errores en la entrada de datos y se proporciona al usuario una oportunidad de corregirlos.</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Confirmado</a:t>
          </a:r>
          <a:r>
            <a:rPr lang="en-US" sz="1500" b="0" strike="noStrike" spc="-1">
              <a:solidFill>
                <a:srgbClr val="000000"/>
              </a:solidFill>
              <a:latin typeface="Arial"/>
              <a:ea typeface="Linux Libertine G"/>
            </a:rPr>
            <a:t>: Se proporciona un mecanismo para revisar, confirmar y corregir la información antes de finalizar el envío de los datos.</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8"/>
            </a:rPr>
            <a:t>https://www.w3.org/TR/WCAG/#error-prevention-legal-financial-data</a:t>
          </a:r>
          <a:endParaRPr lang="es-ES" sz="1500" b="0" strike="noStrike" spc="-1">
            <a:latin typeface="Times New Roman"/>
          </a:endParaRPr>
        </a:p>
      </xdr:txBody>
    </xdr:sp>
    <xdr:clientData/>
  </xdr:twoCellAnchor>
  <xdr:twoCellAnchor editAs="absolute">
    <xdr:from>
      <xdr:col>5</xdr:col>
      <xdr:colOff>5670</xdr:colOff>
      <xdr:row>1772</xdr:row>
      <xdr:rowOff>121314</xdr:rowOff>
    </xdr:from>
    <xdr:to>
      <xdr:col>10</xdr:col>
      <xdr:colOff>854546</xdr:colOff>
      <xdr:row>1799</xdr:row>
      <xdr:rowOff>127000</xdr:rowOff>
    </xdr:to>
    <xdr:sp macro="" textlink="">
      <xdr:nvSpPr>
        <xdr:cNvPr id="96" name="TextShape 1" descr="9.4.1.1 Procesamiento (Condicional)  Condición: Cuando las TIC sean una página web.  En los contenidos implementados mediante el uso de lenguajes de marcas, los elementos tienen las etiquetas de apertura y cierre completas; los elementos están anidados de acuerdo a sus especificaciones; los elementos no contienen atributos duplicados y los ID son únicos, excepto cuando las especificaciones permitan estas características. (Nivel A)  Nota: Las etiquetas de apertura y cierre a las que les falte un carácter crítico para su formación, como un signo de &quot;mayor qué&quot;, o en las que falten las comillas de apertura o cierre en el valor de un atributo, no se consideran completas.  https://www.w3.org/TR/WCAG/#parsing">
          <a:extLst>
            <a:ext uri="{FF2B5EF4-FFF2-40B4-BE49-F238E27FC236}">
              <a16:creationId xmlns:a16="http://schemas.microsoft.com/office/drawing/2014/main" id="{00000000-0008-0000-0600-000060000000}"/>
            </a:ext>
          </a:extLst>
        </xdr:cNvPr>
        <xdr:cNvSpPr txBox="1"/>
      </xdr:nvSpPr>
      <xdr:spPr>
        <a:xfrm>
          <a:off x="6937753" y="274451897"/>
          <a:ext cx="5706626" cy="4006186"/>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9.4.1.1 Procesamiento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En los contenidos implementados mediante el uso de lenguajes de marcas, los elementos tienen las etiquetas de apertura y cierre completas; los elementos están anidados de acuerdo a sus especificaciones; los elementos no contienen atributos duplicados y los ID son únicos, excepto cuando las especificaciones permitan estas características.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Nota: Las etiquetas de apertura y cierre a las que les falte un carácter crítico para su formación, como un signo de "mayor qué", o en las que falten las comillas de apertura o cierre en el valor de un atributo, no se consideran completas.</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9"/>
            </a:rPr>
            <a:t>https://www.w3.org/TR/WCAG/#parsing</a:t>
          </a:r>
          <a:endParaRPr lang="es-ES" sz="1500" b="0" strike="noStrike" spc="-1">
            <a:latin typeface="Times New Roman"/>
          </a:endParaRPr>
        </a:p>
      </xdr:txBody>
    </xdr:sp>
    <xdr:clientData/>
  </xdr:twoCellAnchor>
  <xdr:twoCellAnchor editAs="absolute">
    <xdr:from>
      <xdr:col>5</xdr:col>
      <xdr:colOff>13868</xdr:colOff>
      <xdr:row>1810</xdr:row>
      <xdr:rowOff>139496</xdr:rowOff>
    </xdr:from>
    <xdr:to>
      <xdr:col>10</xdr:col>
      <xdr:colOff>962025</xdr:colOff>
      <xdr:row>1841</xdr:row>
      <xdr:rowOff>127000</xdr:rowOff>
    </xdr:to>
    <xdr:sp macro="" textlink="">
      <xdr:nvSpPr>
        <xdr:cNvPr id="97" name="TextShape 1" descr="9.4.1.2 Nombre, función, valor (Condicional)  Condición: Cuando las TIC sean una página web.  Para todos los componentes de la interfaz de usuario (incluyendo pero no limitado a: elementos de formulario, enlaces y componentes generados por scripts), el nombre y la función pueden ser determinados por software; los estados, propiedades y valores que pueden ser asignados por el usuario pueden ser especificados por software; y los cambios en estos elementos se encuentran disponibles para su consulta por las aplicaciones de usuario, incluyendo las ayudas técnicas. (Nivel A)  Nota: Este criterio de conformidad se dirige principalmente a los autores web que desarrollan o programan sus propios componentes de interfaz de usuario. Por ejemplo, los controles estándar de HTML satisfacen automáticamente este criterio cuando se emplean de acuerdo con su especificación.  https://www.w3.org/TR/WCAG/#name-role-value">
          <a:extLst>
            <a:ext uri="{FF2B5EF4-FFF2-40B4-BE49-F238E27FC236}">
              <a16:creationId xmlns:a16="http://schemas.microsoft.com/office/drawing/2014/main" id="{00000000-0008-0000-0600-000061000000}"/>
            </a:ext>
          </a:extLst>
        </xdr:cNvPr>
        <xdr:cNvSpPr txBox="1"/>
      </xdr:nvSpPr>
      <xdr:spPr>
        <a:xfrm>
          <a:off x="6945951" y="280322663"/>
          <a:ext cx="5805907" cy="4580670"/>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9.4.1.2 Nombre, función, valor</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Para todos los componentes de la interfaz de usuario (incluyendo pero no limitado a: elementos de formulario, enlaces y componentes generados por scripts), el nombre y la función pueden ser determinados por software; los estados, propiedades y valores que pueden ser asignados por el usuario pueden ser especificados por software; y los cambios en estos elementos se encuentran disponibles para su consulta por las aplicaciones de usuario, incluyendo las ayudas técnicas.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Nota: Este criterio de conformidad se dirige principalmente a los autores web que desarrollan o programan sus propios componentes de interfaz de usuario. Por ejemplo, los controles estándar de HTML satisfacen automáticamente este criterio cuando se emplean de acuerdo con su especificación.</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40"/>
            </a:rPr>
            <a:t>https://www.w3.org/TR/WCAG/#name-role-value</a:t>
          </a:r>
          <a:endParaRPr lang="es-ES" sz="1500" b="0" strike="noStrike" spc="-1">
            <a:latin typeface="Times New Roman"/>
          </a:endParaRPr>
        </a:p>
      </xdr:txBody>
    </xdr:sp>
    <xdr:clientData/>
  </xdr:twoCellAnchor>
  <xdr:twoCellAnchor editAs="absolute">
    <xdr:from>
      <xdr:col>7</xdr:col>
      <xdr:colOff>550466</xdr:colOff>
      <xdr:row>1768</xdr:row>
      <xdr:rowOff>26194</xdr:rowOff>
    </xdr:from>
    <xdr:to>
      <xdr:col>8</xdr:col>
      <xdr:colOff>283016</xdr:colOff>
      <xdr:row>1772</xdr:row>
      <xdr:rowOff>107869</xdr:rowOff>
    </xdr:to>
    <xdr:pic>
      <xdr:nvPicPr>
        <xdr:cNvPr id="98" name="Image 1">
          <a:extLst>
            <a:ext uri="{FF2B5EF4-FFF2-40B4-BE49-F238E27FC236}">
              <a16:creationId xmlns:a16="http://schemas.microsoft.com/office/drawing/2014/main" id="{00000000-0008-0000-0600-000062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1591" y="265206957"/>
          <a:ext cx="565988" cy="643650"/>
        </a:xfrm>
        <a:prstGeom prst="rect">
          <a:avLst/>
        </a:prstGeom>
        <a:ln>
          <a:noFill/>
        </a:ln>
      </xdr:spPr>
    </xdr:pic>
    <xdr:clientData/>
  </xdr:twoCellAnchor>
  <xdr:twoCellAnchor editAs="absolute">
    <xdr:from>
      <xdr:col>7</xdr:col>
      <xdr:colOff>525799</xdr:colOff>
      <xdr:row>1805</xdr:row>
      <xdr:rowOff>133990</xdr:rowOff>
    </xdr:from>
    <xdr:to>
      <xdr:col>8</xdr:col>
      <xdr:colOff>258349</xdr:colOff>
      <xdr:row>1810</xdr:row>
      <xdr:rowOff>83315</xdr:rowOff>
    </xdr:to>
    <xdr:pic>
      <xdr:nvPicPr>
        <xdr:cNvPr id="99" name="Image 1">
          <a:extLst>
            <a:ext uri="{FF2B5EF4-FFF2-40B4-BE49-F238E27FC236}">
              <a16:creationId xmlns:a16="http://schemas.microsoft.com/office/drawing/2014/main" id="{00000000-0008-0000-0600-000063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26924" y="270829728"/>
          <a:ext cx="565988" cy="663700"/>
        </a:xfrm>
        <a:prstGeom prst="rect">
          <a:avLst/>
        </a:prstGeom>
        <a:ln>
          <a:noFill/>
        </a:ln>
      </xdr:spPr>
    </xdr:pic>
    <xdr:clientData/>
  </xdr:twoCellAnchor>
  <xdr:twoCellAnchor editAs="absolute">
    <xdr:from>
      <xdr:col>5</xdr:col>
      <xdr:colOff>7938</xdr:colOff>
      <xdr:row>974</xdr:row>
      <xdr:rowOff>142728</xdr:rowOff>
    </xdr:from>
    <xdr:to>
      <xdr:col>11</xdr:col>
      <xdr:colOff>61903</xdr:colOff>
      <xdr:row>987</xdr:row>
      <xdr:rowOff>105929</xdr:rowOff>
    </xdr:to>
    <xdr:sp macro="" textlink="">
      <xdr:nvSpPr>
        <xdr:cNvPr id="100" name="TextShape 1" descr="9.2.4.1 Evitar bloques (Condicional)  Condición: Cuando las TIC sean una página web.  Existe un mecanismo para evitar los bloques de contenido que se repiten en múltiples páginas web. (Nivel A)  https://www.w3.org/TR/WCAG/#bypass-blocks">
          <a:extLst>
            <a:ext uri="{FF2B5EF4-FFF2-40B4-BE49-F238E27FC236}">
              <a16:creationId xmlns:a16="http://schemas.microsoft.com/office/drawing/2014/main" id="{00000000-0008-0000-0600-000064000000}"/>
            </a:ext>
          </a:extLst>
        </xdr:cNvPr>
        <xdr:cNvSpPr txBox="1"/>
      </xdr:nvSpPr>
      <xdr:spPr>
        <a:xfrm>
          <a:off x="6917893" y="158604092"/>
          <a:ext cx="5872874" cy="1989428"/>
        </a:xfrm>
        <a:prstGeom prst="rect">
          <a:avLst/>
        </a:prstGeom>
        <a:solidFill>
          <a:srgbClr val="DDDDDD"/>
        </a:solidFill>
        <a:ln>
          <a:noFill/>
        </a:ln>
      </xdr:spPr>
      <xdr:txBody>
        <a:bodyPr lIns="108000" tIns="108000" rIns="108000" bIns="108000">
          <a:spAutoFit/>
        </a:bodyPr>
        <a:lstStyle/>
        <a:p>
          <a:r>
            <a:rPr lang="en-US" sz="1500" b="1" strike="noStrike" spc="-1">
              <a:solidFill>
                <a:srgbClr val="000000"/>
              </a:solidFill>
              <a:latin typeface="Arial"/>
              <a:ea typeface="Linux Libertine G"/>
            </a:rPr>
            <a:t>9.2.4.1 Evitar bloques</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Existe un mecanismo para evitar los bloques de contenido que se repiten en múltiples páginas web. (Nivel 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41"/>
            </a:rPr>
            <a:t>https://www.w3.org/TR/WCAG/#bypass-blocks</a:t>
          </a:r>
          <a:endParaRPr lang="es-ES" sz="1500" b="0" strike="noStrike" spc="-1">
            <a:latin typeface="Times New Roman"/>
          </a:endParaRPr>
        </a:p>
      </xdr:txBody>
    </xdr:sp>
    <xdr:clientData/>
  </xdr:twoCellAnchor>
  <xdr:twoCellAnchor editAs="absolute">
    <xdr:from>
      <xdr:col>7</xdr:col>
      <xdr:colOff>616288</xdr:colOff>
      <xdr:row>970</xdr:row>
      <xdr:rowOff>12700</xdr:rowOff>
    </xdr:from>
    <xdr:to>
      <xdr:col>8</xdr:col>
      <xdr:colOff>354078</xdr:colOff>
      <xdr:row>974</xdr:row>
      <xdr:rowOff>64230</xdr:rowOff>
    </xdr:to>
    <xdr:pic>
      <xdr:nvPicPr>
        <xdr:cNvPr id="101" name="Image 1">
          <a:extLst>
            <a:ext uri="{FF2B5EF4-FFF2-40B4-BE49-F238E27FC236}">
              <a16:creationId xmlns:a16="http://schemas.microsoft.com/office/drawing/2014/main" id="{00000000-0008-0000-0600-000065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617413" y="146178588"/>
          <a:ext cx="571228" cy="623030"/>
        </a:xfrm>
        <a:prstGeom prst="rect">
          <a:avLst/>
        </a:prstGeom>
        <a:ln>
          <a:noFill/>
        </a:ln>
      </xdr:spPr>
    </xdr:pic>
    <xdr:clientData/>
  </xdr:twoCellAnchor>
  <xdr:twoCellAnchor editAs="absolute">
    <xdr:from>
      <xdr:col>5</xdr:col>
      <xdr:colOff>23813</xdr:colOff>
      <xdr:row>1012</xdr:row>
      <xdr:rowOff>41395</xdr:rowOff>
    </xdr:from>
    <xdr:to>
      <xdr:col>11</xdr:col>
      <xdr:colOff>101178</xdr:colOff>
      <xdr:row>1025</xdr:row>
      <xdr:rowOff>4596</xdr:rowOff>
    </xdr:to>
    <xdr:sp macro="" textlink="">
      <xdr:nvSpPr>
        <xdr:cNvPr id="102" name="TextShape 1" descr="9.2.4.2 Titulado de páginas (Condicional)  Condición: Cuando las TIC sean una página web.  Las páginas web tienen títulos que describen su temática o propósito. (Nivel A)  https://www.w3.org/TR/WCAG/#page-titled">
          <a:extLst>
            <a:ext uri="{FF2B5EF4-FFF2-40B4-BE49-F238E27FC236}">
              <a16:creationId xmlns:a16="http://schemas.microsoft.com/office/drawing/2014/main" id="{00000000-0008-0000-0600-000066000000}"/>
            </a:ext>
          </a:extLst>
        </xdr:cNvPr>
        <xdr:cNvSpPr txBox="1"/>
      </xdr:nvSpPr>
      <xdr:spPr>
        <a:xfrm>
          <a:off x="6933768" y="164633395"/>
          <a:ext cx="5896274" cy="1989428"/>
        </a:xfrm>
        <a:prstGeom prst="rect">
          <a:avLst/>
        </a:prstGeom>
        <a:solidFill>
          <a:srgbClr val="DDDDDD"/>
        </a:solidFill>
        <a:ln>
          <a:noFill/>
        </a:ln>
      </xdr:spPr>
      <xdr:txBody>
        <a:bodyPr lIns="108000" tIns="108000" rIns="108000" bIns="108000">
          <a:spAutoFit/>
        </a:bodyPr>
        <a:lstStyle/>
        <a:p>
          <a:r>
            <a:rPr lang="en-US" sz="1500" b="1" strike="noStrike" spc="-1">
              <a:solidFill>
                <a:srgbClr val="000000"/>
              </a:solidFill>
              <a:latin typeface="Arial"/>
              <a:ea typeface="Linux Libertine G"/>
            </a:rPr>
            <a:t>9.2.4.2 Titulado de páginas</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Las páginas web tienen títulos que describen su temática o propósito. (Nivel 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42"/>
            </a:rPr>
            <a:t>https://www.w3.org/TR/WCAG/#page-titled</a:t>
          </a:r>
          <a:endParaRPr lang="es-ES" sz="1500" b="0" strike="noStrike" spc="-1">
            <a:latin typeface="Times New Roman"/>
          </a:endParaRPr>
        </a:p>
      </xdr:txBody>
    </xdr:sp>
    <xdr:clientData/>
  </xdr:twoCellAnchor>
  <xdr:twoCellAnchor editAs="absolute">
    <xdr:from>
      <xdr:col>7</xdr:col>
      <xdr:colOff>607938</xdr:colOff>
      <xdr:row>1007</xdr:row>
      <xdr:rowOff>101600</xdr:rowOff>
    </xdr:from>
    <xdr:to>
      <xdr:col>8</xdr:col>
      <xdr:colOff>345728</xdr:colOff>
      <xdr:row>1012</xdr:row>
      <xdr:rowOff>7320</xdr:rowOff>
    </xdr:to>
    <xdr:pic>
      <xdr:nvPicPr>
        <xdr:cNvPr id="103" name="Image 1">
          <a:extLst>
            <a:ext uri="{FF2B5EF4-FFF2-40B4-BE49-F238E27FC236}">
              <a16:creationId xmlns:a16="http://schemas.microsoft.com/office/drawing/2014/main" id="{00000000-0008-0000-0600-000067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609063" y="151782463"/>
          <a:ext cx="571228" cy="629620"/>
        </a:xfrm>
        <a:prstGeom prst="rect">
          <a:avLst/>
        </a:prstGeom>
        <a:ln>
          <a:noFill/>
        </a:ln>
      </xdr:spPr>
    </xdr:pic>
    <xdr:clientData/>
  </xdr:twoCellAnchor>
  <xdr:twoCellAnchor editAs="absolute">
    <xdr:from>
      <xdr:col>7</xdr:col>
      <xdr:colOff>595313</xdr:colOff>
      <xdr:row>1046</xdr:row>
      <xdr:rowOff>12700</xdr:rowOff>
    </xdr:from>
    <xdr:to>
      <xdr:col>8</xdr:col>
      <xdr:colOff>333103</xdr:colOff>
      <xdr:row>1050</xdr:row>
      <xdr:rowOff>64470</xdr:rowOff>
    </xdr:to>
    <xdr:pic>
      <xdr:nvPicPr>
        <xdr:cNvPr id="104" name="Image 1">
          <a:extLst>
            <a:ext uri="{FF2B5EF4-FFF2-40B4-BE49-F238E27FC236}">
              <a16:creationId xmlns:a16="http://schemas.microsoft.com/office/drawing/2014/main" id="{00000000-0008-0000-0600-000068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96438" y="157513338"/>
          <a:ext cx="571228" cy="623270"/>
        </a:xfrm>
        <a:prstGeom prst="rect">
          <a:avLst/>
        </a:prstGeom>
        <a:ln>
          <a:noFill/>
        </a:ln>
      </xdr:spPr>
    </xdr:pic>
    <xdr:clientData/>
  </xdr:twoCellAnchor>
  <xdr:twoCellAnchor editAs="absolute">
    <xdr:from>
      <xdr:col>5</xdr:col>
      <xdr:colOff>23813</xdr:colOff>
      <xdr:row>1126</xdr:row>
      <xdr:rowOff>78645</xdr:rowOff>
    </xdr:from>
    <xdr:to>
      <xdr:col>11</xdr:col>
      <xdr:colOff>40084</xdr:colOff>
      <xdr:row>1142</xdr:row>
      <xdr:rowOff>148166</xdr:rowOff>
    </xdr:to>
    <xdr:sp macro="" textlink="">
      <xdr:nvSpPr>
        <xdr:cNvPr id="105" name="TextShape 1" descr="9.2.4.5 Múltiples vías (Condicional)  Condición: Cuando las TIC sean una página web.  Se proporciona más de un camino para localizar una página web dentro de un conjunto de páginas web, excepto cuando la página es el resultado, o un paso intermedio, de un proceso. (Nivel AA)   https://www.w3.org/TR/WCAG/#multiple-ways">
          <a:extLst>
            <a:ext uri="{FF2B5EF4-FFF2-40B4-BE49-F238E27FC236}">
              <a16:creationId xmlns:a16="http://schemas.microsoft.com/office/drawing/2014/main" id="{00000000-0008-0000-0600-000069000000}"/>
            </a:ext>
          </a:extLst>
        </xdr:cNvPr>
        <xdr:cNvSpPr txBox="1"/>
      </xdr:nvSpPr>
      <xdr:spPr>
        <a:xfrm>
          <a:off x="6955896" y="174915312"/>
          <a:ext cx="5847688" cy="2440187"/>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9.2.4.5 Múltiples vías</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Se proporciona más de un camino para localizar una página web dentro de un conjunto de páginas web, excepto cuando la página es el resultado, o un paso intermedio, de un proceso. (Nivel AA)</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pPr algn="just"/>
          <a:r>
            <a:rPr lang="en-US" sz="1500" b="1" strike="noStrike" spc="-1">
              <a:solidFill>
                <a:srgbClr val="3465A4"/>
              </a:solidFill>
              <a:latin typeface="Arial"/>
              <a:ea typeface="Linux Libertine G"/>
              <a:hlinkClick xmlns:r="http://schemas.openxmlformats.org/officeDocument/2006/relationships" r:id="rId43"/>
            </a:rPr>
            <a:t>https://www.w3.org/TR/WCAG/#multiple-ways</a:t>
          </a:r>
          <a:endParaRPr lang="es-ES" sz="1500" b="0" strike="noStrike" spc="-1">
            <a:latin typeface="Times New Roman"/>
          </a:endParaRPr>
        </a:p>
      </xdr:txBody>
    </xdr:sp>
    <xdr:clientData/>
  </xdr:twoCellAnchor>
  <xdr:twoCellAnchor editAs="absolute">
    <xdr:from>
      <xdr:col>7</xdr:col>
      <xdr:colOff>626219</xdr:colOff>
      <xdr:row>1122</xdr:row>
      <xdr:rowOff>28575</xdr:rowOff>
    </xdr:from>
    <xdr:to>
      <xdr:col>8</xdr:col>
      <xdr:colOff>364009</xdr:colOff>
      <xdr:row>1126</xdr:row>
      <xdr:rowOff>80105</xdr:rowOff>
    </xdr:to>
    <xdr:pic>
      <xdr:nvPicPr>
        <xdr:cNvPr id="106" name="Image 1">
          <a:extLst>
            <a:ext uri="{FF2B5EF4-FFF2-40B4-BE49-F238E27FC236}">
              <a16:creationId xmlns:a16="http://schemas.microsoft.com/office/drawing/2014/main" id="{00000000-0008-0000-0600-00006A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627344" y="168863963"/>
          <a:ext cx="571228" cy="613505"/>
        </a:xfrm>
        <a:prstGeom prst="rect">
          <a:avLst/>
        </a:prstGeom>
        <a:ln>
          <a:noFill/>
        </a:ln>
      </xdr:spPr>
    </xdr:pic>
    <xdr:clientData/>
  </xdr:twoCellAnchor>
  <xdr:twoCellAnchor editAs="absolute">
    <xdr:from>
      <xdr:col>5</xdr:col>
      <xdr:colOff>11113</xdr:colOff>
      <xdr:row>1430</xdr:row>
      <xdr:rowOff>81604</xdr:rowOff>
    </xdr:from>
    <xdr:to>
      <xdr:col>10</xdr:col>
      <xdr:colOff>909638</xdr:colOff>
      <xdr:row>1448</xdr:row>
      <xdr:rowOff>0</xdr:rowOff>
    </xdr:to>
    <xdr:sp macro="" textlink="">
      <xdr:nvSpPr>
        <xdr:cNvPr id="107" name="TextShape 1" descr="9.3.1.2 Idioma de las partes (Condicional)  Condición: Cuando las TIC sean una página web.  El idioma de cada pasaje o frase en el contenido puede ser determinado por software, excepto los nombres propios, términos técnicos, palabras en un idioma indeterminado y palabras o frases que se hayan convertido en parte natural del texto que las rodea. (Nivel AA)  https://www.w3.org/TR/WCAG/#language-of-parts">
          <a:extLst>
            <a:ext uri="{FF2B5EF4-FFF2-40B4-BE49-F238E27FC236}">
              <a16:creationId xmlns:a16="http://schemas.microsoft.com/office/drawing/2014/main" id="{00000000-0008-0000-0600-00006B000000}"/>
            </a:ext>
          </a:extLst>
        </xdr:cNvPr>
        <xdr:cNvSpPr txBox="1"/>
      </xdr:nvSpPr>
      <xdr:spPr>
        <a:xfrm>
          <a:off x="6943196" y="221738937"/>
          <a:ext cx="5756275" cy="2585396"/>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9.3.1.2 Idioma de las partes</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El idioma de cada pasaje o frase en el contenido puede ser determinado por software, excepto los nombres propios, términos técnicos, palabras en un idioma indeterminado y palabras o frases que se hayan convertido en parte natural del texto que las rodea. (Nivel AA)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44"/>
            </a:rPr>
            <a:t>https://www.w3.org/TR/WCAG/#language-of-parts</a:t>
          </a:r>
          <a:endParaRPr lang="es-ES" sz="1500" b="0" strike="noStrike" spc="-1">
            <a:latin typeface="Times New Roman"/>
          </a:endParaRPr>
        </a:p>
      </xdr:txBody>
    </xdr:sp>
    <xdr:clientData/>
  </xdr:twoCellAnchor>
  <xdr:twoCellAnchor editAs="absolute">
    <xdr:from>
      <xdr:col>7</xdr:col>
      <xdr:colOff>580503</xdr:colOff>
      <xdr:row>1425</xdr:row>
      <xdr:rowOff>133350</xdr:rowOff>
    </xdr:from>
    <xdr:to>
      <xdr:col>8</xdr:col>
      <xdr:colOff>324668</xdr:colOff>
      <xdr:row>1430</xdr:row>
      <xdr:rowOff>38831</xdr:rowOff>
    </xdr:to>
    <xdr:pic>
      <xdr:nvPicPr>
        <xdr:cNvPr id="108" name="Image 1">
          <a:extLst>
            <a:ext uri="{FF2B5EF4-FFF2-40B4-BE49-F238E27FC236}">
              <a16:creationId xmlns:a16="http://schemas.microsoft.com/office/drawing/2014/main" id="{00000000-0008-0000-0600-00006C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81628" y="214155338"/>
          <a:ext cx="577603" cy="629381"/>
        </a:xfrm>
        <a:prstGeom prst="rect">
          <a:avLst/>
        </a:prstGeom>
        <a:ln>
          <a:noFill/>
        </a:ln>
      </xdr:spPr>
    </xdr:pic>
    <xdr:clientData/>
  </xdr:twoCellAnchor>
  <xdr:twoCellAnchor editAs="absolute">
    <xdr:from>
      <xdr:col>5</xdr:col>
      <xdr:colOff>23813</xdr:colOff>
      <xdr:row>1544</xdr:row>
      <xdr:rowOff>140051</xdr:rowOff>
    </xdr:from>
    <xdr:to>
      <xdr:col>10</xdr:col>
      <xdr:colOff>833438</xdr:colOff>
      <xdr:row>1563</xdr:row>
      <xdr:rowOff>21167</xdr:rowOff>
    </xdr:to>
    <xdr:sp macro="" textlink="">
      <xdr:nvSpPr>
        <xdr:cNvPr id="109" name="TextShape 1" descr="9.3.2.3 Navegación coherente (Condicional)  Condición: Cuando las TIC sean una página web.  Los mecanismos de navegación que se repiten en múltiples páginas web dentro de un conjunto de páginas web aparecen siempre en el mismo orden relativo cada vez que se repiten, a menos que el cambio sea provocado por el propio usuario. (Nivel AA)  https://www.w3.org/TR/WCAG/#consistent-navigation">
          <a:extLst>
            <a:ext uri="{FF2B5EF4-FFF2-40B4-BE49-F238E27FC236}">
              <a16:creationId xmlns:a16="http://schemas.microsoft.com/office/drawing/2014/main" id="{00000000-0008-0000-0600-00006D000000}"/>
            </a:ext>
          </a:extLst>
        </xdr:cNvPr>
        <xdr:cNvSpPr txBox="1"/>
      </xdr:nvSpPr>
      <xdr:spPr>
        <a:xfrm>
          <a:off x="6955896" y="239355134"/>
          <a:ext cx="5667375" cy="2696283"/>
        </a:xfrm>
        <a:prstGeom prst="rect">
          <a:avLst/>
        </a:prstGeom>
        <a:solidFill>
          <a:srgbClr val="DDDDDD"/>
        </a:solidFill>
        <a:ln>
          <a:noFill/>
        </a:ln>
      </xdr:spPr>
      <xdr:txBody>
        <a:bodyPr wrap="square" lIns="108000" tIns="108000" rIns="108000" bIns="108000">
          <a:noAutofit/>
        </a:bodyPr>
        <a:lstStyle/>
        <a:p>
          <a:r>
            <a:rPr lang="en-US" sz="1500" b="1" strike="noStrike" spc="-1">
              <a:solidFill>
                <a:srgbClr val="000000"/>
              </a:solidFill>
              <a:latin typeface="Arial"/>
              <a:ea typeface="Linux Libertine G"/>
            </a:rPr>
            <a:t>9.3.2.3 Navegación coherente</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Los mecanismos de navegación que se repiten en múltiples páginas web dentro de un conjunto de páginas web aparecen siempre en el mismo orden relativo cada vez que se repiten, a menos que el cambio sea provocado por el propio usuario. (Nivel AA)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45"/>
            </a:rPr>
            <a:t>https://www.w3.org/TR/WCAG/#consistent-navigation</a:t>
          </a:r>
          <a:endParaRPr lang="es-ES" sz="1500" b="0" strike="noStrike" spc="-1">
            <a:latin typeface="Times New Roman"/>
          </a:endParaRPr>
        </a:p>
      </xdr:txBody>
    </xdr:sp>
    <xdr:clientData/>
  </xdr:twoCellAnchor>
  <xdr:twoCellAnchor editAs="absolute">
    <xdr:from>
      <xdr:col>7</xdr:col>
      <xdr:colOff>523448</xdr:colOff>
      <xdr:row>1540</xdr:row>
      <xdr:rowOff>53975</xdr:rowOff>
    </xdr:from>
    <xdr:to>
      <xdr:col>8</xdr:col>
      <xdr:colOff>267613</xdr:colOff>
      <xdr:row>1544</xdr:row>
      <xdr:rowOff>112096</xdr:rowOff>
    </xdr:to>
    <xdr:pic>
      <xdr:nvPicPr>
        <xdr:cNvPr id="110" name="Image 1">
          <a:extLst>
            <a:ext uri="{FF2B5EF4-FFF2-40B4-BE49-F238E27FC236}">
              <a16:creationId xmlns:a16="http://schemas.microsoft.com/office/drawing/2014/main" id="{00000000-0008-0000-0600-00006E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24573" y="231230488"/>
          <a:ext cx="577603" cy="620096"/>
        </a:xfrm>
        <a:prstGeom prst="rect">
          <a:avLst/>
        </a:prstGeom>
        <a:ln>
          <a:noFill/>
        </a:ln>
      </xdr:spPr>
    </xdr:pic>
    <xdr:clientData/>
  </xdr:twoCellAnchor>
  <xdr:twoCellAnchor editAs="absolute">
    <xdr:from>
      <xdr:col>7</xdr:col>
      <xdr:colOff>526522</xdr:colOff>
      <xdr:row>1578</xdr:row>
      <xdr:rowOff>2116</xdr:rowOff>
    </xdr:from>
    <xdr:to>
      <xdr:col>8</xdr:col>
      <xdr:colOff>273862</xdr:colOff>
      <xdr:row>1582</xdr:row>
      <xdr:rowOff>119672</xdr:rowOff>
    </xdr:to>
    <xdr:pic>
      <xdr:nvPicPr>
        <xdr:cNvPr id="111" name="Image 1">
          <a:extLst>
            <a:ext uri="{FF2B5EF4-FFF2-40B4-BE49-F238E27FC236}">
              <a16:creationId xmlns:a16="http://schemas.microsoft.com/office/drawing/2014/main" id="{00000000-0008-0000-0600-00006F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43522" y="244477116"/>
          <a:ext cx="583423" cy="710223"/>
        </a:xfrm>
        <a:prstGeom prst="rect">
          <a:avLst/>
        </a:prstGeom>
        <a:ln>
          <a:noFill/>
        </a:ln>
      </xdr:spPr>
    </xdr:pic>
    <xdr:clientData/>
  </xdr:twoCellAnchor>
  <xdr:twoCellAnchor editAs="absolute">
    <xdr:from>
      <xdr:col>4</xdr:col>
      <xdr:colOff>346604</xdr:colOff>
      <xdr:row>1582</xdr:row>
      <xdr:rowOff>138641</xdr:rowOff>
    </xdr:from>
    <xdr:to>
      <xdr:col>14</xdr:col>
      <xdr:colOff>585931</xdr:colOff>
      <xdr:row>1611</xdr:row>
      <xdr:rowOff>116417</xdr:rowOff>
    </xdr:to>
    <xdr:sp macro="" textlink="">
      <xdr:nvSpPr>
        <xdr:cNvPr id="112" name="TextShape 1" descr="9.3.2.4 Identificación coherente (Condicional)  Condición: Cuando las TIC sean una página web.  Los componentes que tienen la misma funcionalidad dentro de un conjunto de páginas web son identificados de manera coherente. (Nivel AA)  Nota 1: Las alternativas textuales que son &quot;coherentes&quot;, no siempre son &quot;idénticas&quot;. Por ejemplo, usted puede tener una imagen de una flecha en la parte inferior de una página web que enlace a la siguiente página. El texto alternativo puede decir: &quot;Ir a la página 4&quot;. Naturalmente, no sería conveniente repetir este texto alternativo exacto en la siguiente página. Sería más apropiado decir: &quot;Ir a la página 5&quot;. Aunque estas alternativas textuales no serían idénticas, serían consistentes y, por lo tanto, cumplirían con este criterio de conformidad.  Nota 2: Se puede utilizar un único elemento no textual para cumplir funciones diferentes. En tales casos, son necesarias y deben usarse diferentes alternativas textuales. Los ejemplos se pueden encontrar comúnmente con el uso de iconos como marcas de verificación, cruces y señales de tráfico. Sus funciones pueden ser diferentes según el contexto de la página web. Un icono de marca de verificación puede funcionar como &quot;aprobado&quot;, &quot;terminada&quot;, o &quot;incluido&quot;, para nombrar unos pocos, dependiendo de la situación. El uso de &quot;marca de verificación&quot; como texto alternativo en todas las páginas web no ayuda a los usuarios a comprender la función del icono. Se pueden usar diferentes alternativas de texto cuando el mismo contenido que no es de texto cumple múltiples funciones.  https://www.w3.org/TR/WCAG/#consistent-identification">
          <a:extLst>
            <a:ext uri="{FF2B5EF4-FFF2-40B4-BE49-F238E27FC236}">
              <a16:creationId xmlns:a16="http://schemas.microsoft.com/office/drawing/2014/main" id="{00000000-0008-0000-0600-000070000000}"/>
            </a:ext>
          </a:extLst>
        </xdr:cNvPr>
        <xdr:cNvSpPr txBox="1"/>
      </xdr:nvSpPr>
      <xdr:spPr>
        <a:xfrm>
          <a:off x="6908271" y="245206308"/>
          <a:ext cx="9224577" cy="4274609"/>
        </a:xfrm>
        <a:prstGeom prst="rect">
          <a:avLst/>
        </a:prstGeom>
        <a:solidFill>
          <a:srgbClr val="DDDDDD"/>
        </a:solidFill>
        <a:ln>
          <a:noFill/>
        </a:ln>
      </xdr:spPr>
      <xdr:txBody>
        <a:bodyPr wrap="square" lIns="108000" tIns="108000" rIns="108000" bIns="108000">
          <a:noAutofit/>
        </a:bodyPr>
        <a:lstStyle/>
        <a:p>
          <a:r>
            <a:rPr lang="en-US" sz="1500" b="1" strike="noStrike" spc="-1">
              <a:solidFill>
                <a:srgbClr val="000000"/>
              </a:solidFill>
              <a:latin typeface="Arial"/>
              <a:ea typeface="Linux Libertine G"/>
            </a:rPr>
            <a:t>9.3.2.4 Identificación coherente</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Los componentes que tienen la misma funcionalidad dentro de un conjunto de páginas web son identificados de manera coherente. (Nivel AA)</a:t>
          </a:r>
          <a:endParaRPr lang="es-ES" sz="1500" b="0" strike="noStrike" spc="-1">
            <a:latin typeface="Times New Roman"/>
          </a:endParaRPr>
        </a:p>
        <a:p>
          <a:endParaRPr lang="es-ES" sz="1500" b="0" strike="noStrike" spc="-1">
            <a:latin typeface="Arial" pitchFamily="34" charset="0"/>
            <a:cs typeface="Arial" pitchFamily="34" charset="0"/>
          </a:endParaRPr>
        </a:p>
        <a:p>
          <a:r>
            <a:rPr lang="es-ES" sz="1200" b="0" strike="noStrike" spc="-1">
              <a:latin typeface="Arial" pitchFamily="34" charset="0"/>
              <a:cs typeface="Arial" pitchFamily="34" charset="0"/>
            </a:rPr>
            <a:t>Nota 1: Las alternativas textuales que son "coherentes", no siempre son "idénticas". Por ejemplo, usted puede tener una imagen de una flecha en la parte inferior de una página web que enlace a la siguiente página. El texto alternativo puede decir: "Ir a la página 4". Naturalmente, no sería conveniente repetir este texto alternativo exacto en la siguiente página. Sería más apropiado decir: "Ir a la página 5". Aunque estas alternativas textuales no serían idénticas, serían consistentes y, por lo tanto, cumplirían con este criterio de conformidad.</a:t>
          </a:r>
        </a:p>
        <a:p>
          <a:endParaRPr lang="es-ES" sz="1200" b="0" strike="noStrike" spc="-1">
            <a:latin typeface="Arial" pitchFamily="34" charset="0"/>
            <a:cs typeface="Arial" pitchFamily="34" charset="0"/>
          </a:endParaRPr>
        </a:p>
        <a:p>
          <a:r>
            <a:rPr lang="es-ES" sz="1200" b="0" strike="noStrike" spc="-1">
              <a:latin typeface="Arial" pitchFamily="34" charset="0"/>
              <a:cs typeface="Arial" pitchFamily="34" charset="0"/>
            </a:rPr>
            <a:t>Nota 2: Se puede utilizar un único elemento no textual para cumplir funciones diferentes. En tales casos, son necesarias y deben usarse diferentes alternativas textuales. Los ejemplos se pueden encontrar comúnmente con el uso de iconos como marcas de verificación, cruces y señales de tráfico. Sus funciones pueden ser diferentes según el contexto de la página web. Un icono de marca de verificación puede funcionar como "aprobado", "terminada", o "incluido", para nombrar unos pocos, dependiendo de la situación. El uso de "marca de verificación" como texto alternativo en todas las páginas web no ayuda a los usuarios a comprender la función del icono. Se pueden usar diferentes alternativas de texto cuando el mismo contenido que no es de texto cumple múltiples funciones.</a:t>
          </a: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46"/>
            </a:rPr>
            <a:t>https://www.w3.org/TR/WCAG/#consistent-identification</a:t>
          </a:r>
          <a:endParaRPr lang="es-ES" sz="1500" b="0" strike="noStrike" spc="-1">
            <a:latin typeface="Times New Roman"/>
          </a:endParaRPr>
        </a:p>
      </xdr:txBody>
    </xdr:sp>
    <xdr:clientData/>
  </xdr:twoCellAnchor>
  <xdr:twoCellAnchor editAs="absolute">
    <xdr:from>
      <xdr:col>7</xdr:col>
      <xdr:colOff>547688</xdr:colOff>
      <xdr:row>1729</xdr:row>
      <xdr:rowOff>133350</xdr:rowOff>
    </xdr:from>
    <xdr:to>
      <xdr:col>8</xdr:col>
      <xdr:colOff>280238</xdr:colOff>
      <xdr:row>1734</xdr:row>
      <xdr:rowOff>82675</xdr:rowOff>
    </xdr:to>
    <xdr:pic>
      <xdr:nvPicPr>
        <xdr:cNvPr id="113" name="Image 1">
          <a:extLst>
            <a:ext uri="{FF2B5EF4-FFF2-40B4-BE49-F238E27FC236}">
              <a16:creationId xmlns:a16="http://schemas.microsoft.com/office/drawing/2014/main" id="{00000000-0008-0000-0600-000071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48813" y="259494338"/>
          <a:ext cx="565988" cy="663700"/>
        </a:xfrm>
        <a:prstGeom prst="rect">
          <a:avLst/>
        </a:prstGeom>
        <a:ln>
          <a:noFill/>
        </a:ln>
      </xdr:spPr>
    </xdr:pic>
    <xdr:clientData/>
  </xdr:twoCellAnchor>
  <xdr:twoCellAnchor editAs="absolute">
    <xdr:from>
      <xdr:col>5</xdr:col>
      <xdr:colOff>39688</xdr:colOff>
      <xdr:row>1849</xdr:row>
      <xdr:rowOff>110054</xdr:rowOff>
    </xdr:from>
    <xdr:to>
      <xdr:col>10</xdr:col>
      <xdr:colOff>941858</xdr:colOff>
      <xdr:row>1865</xdr:row>
      <xdr:rowOff>48093</xdr:rowOff>
    </xdr:to>
    <xdr:sp macro="" textlink="">
      <xdr:nvSpPr>
        <xdr:cNvPr id="114" name="TextShape 1" descr="9.4.1.3 Mensajes de estado (Condicional)  Condición: Cuando las TIC sean una página web.  En el contenido implementado utilizando lenguajes de marcado, los mensajes de estado se pueden determinar mediante roles o propiedades, de modo que se puedan presentar al usuario mediante tecnologías de asistencia sin recibir atención.  https://www.w3.org/TR/WCAG/#status-messages">
          <a:extLst>
            <a:ext uri="{FF2B5EF4-FFF2-40B4-BE49-F238E27FC236}">
              <a16:creationId xmlns:a16="http://schemas.microsoft.com/office/drawing/2014/main" id="{00000000-0008-0000-0600-000072000000}"/>
            </a:ext>
          </a:extLst>
        </xdr:cNvPr>
        <xdr:cNvSpPr txBox="1"/>
      </xdr:nvSpPr>
      <xdr:spPr>
        <a:xfrm>
          <a:off x="6949643" y="299731918"/>
          <a:ext cx="5751260" cy="2431857"/>
        </a:xfrm>
        <a:prstGeom prst="rect">
          <a:avLst/>
        </a:prstGeom>
        <a:solidFill>
          <a:srgbClr val="DDDDDD"/>
        </a:solidFill>
        <a:ln>
          <a:noFill/>
        </a:ln>
      </xdr:spPr>
      <xdr:txBody>
        <a:bodyPr wrap="square" lIns="108000" tIns="108000" rIns="108000" bIns="108000">
          <a:spAutoFit/>
        </a:bodyPr>
        <a:lstStyle/>
        <a:p>
          <a:r>
            <a:rPr lang="es-ES" sz="1500" b="1" strike="noStrike" spc="-1">
              <a:solidFill>
                <a:srgbClr val="000000"/>
              </a:solidFill>
              <a:latin typeface="Arial"/>
              <a:ea typeface="Linux Libertine G"/>
            </a:rPr>
            <a:t>9.4.1.3 Mensajes de estado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s-ES" sz="1500" b="1" strike="noStrike" spc="-1">
            <a:solidFill>
              <a:srgbClr val="000000"/>
            </a:solidFill>
            <a:latin typeface="Arial"/>
            <a:ea typeface="Linux Libertine G"/>
          </a:endParaRPr>
        </a:p>
        <a:p>
          <a:endParaRPr lang="es-E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s-ES" sz="1500" b="0" strike="noStrike" spc="-1">
              <a:solidFill>
                <a:srgbClr val="000000"/>
              </a:solidFill>
              <a:latin typeface="Arial"/>
              <a:ea typeface="Linux Libertine G"/>
            </a:rPr>
            <a:t>En el contenido implementado utilizando lenguajes de marcado, los mensajes de estado se pueden determinar mediante roles o propiedades, de modo que se puedan presentar al usuario mediante tecnologías de asistencia sin recibir atención.</a:t>
          </a:r>
          <a:endParaRPr lang="es-ES" sz="1500" b="0" strike="noStrike" spc="-1">
            <a:latin typeface="Times New Roman"/>
          </a:endParaRPr>
        </a:p>
        <a:p>
          <a:endParaRPr lang="es-ES" sz="1500" b="0" strike="noStrike" spc="-1">
            <a:latin typeface="Times New Roman"/>
          </a:endParaRPr>
        </a:p>
        <a:p>
          <a:r>
            <a:rPr lang="es-ES" sz="1500" b="1" strike="noStrike" spc="-1">
              <a:solidFill>
                <a:srgbClr val="3465A4"/>
              </a:solidFill>
              <a:latin typeface="Arial"/>
              <a:ea typeface="Linux Libertine G"/>
              <a:hlinkClick xmlns:r="http://schemas.openxmlformats.org/officeDocument/2006/relationships" r:id="rId47"/>
            </a:rPr>
            <a:t>https://www.w3.org/TR/WCAG/#status-messages</a:t>
          </a:r>
          <a:endParaRPr lang="es-ES" sz="1500" b="0" strike="noStrike" spc="-1">
            <a:latin typeface="Times New Roman"/>
          </a:endParaRPr>
        </a:p>
      </xdr:txBody>
    </xdr:sp>
    <xdr:clientData/>
  </xdr:twoCellAnchor>
  <xdr:twoCellAnchor editAs="absolute">
    <xdr:from>
      <xdr:col>7</xdr:col>
      <xdr:colOff>554618</xdr:colOff>
      <xdr:row>1843</xdr:row>
      <xdr:rowOff>112712</xdr:rowOff>
    </xdr:from>
    <xdr:to>
      <xdr:col>8</xdr:col>
      <xdr:colOff>290343</xdr:colOff>
      <xdr:row>1848</xdr:row>
      <xdr:rowOff>104405</xdr:rowOff>
    </xdr:to>
    <xdr:pic>
      <xdr:nvPicPr>
        <xdr:cNvPr id="115" name="Image 1">
          <a:extLst>
            <a:ext uri="{FF2B5EF4-FFF2-40B4-BE49-F238E27FC236}">
              <a16:creationId xmlns:a16="http://schemas.microsoft.com/office/drawing/2014/main" id="{00000000-0008-0000-0600-000073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5743" y="276475825"/>
          <a:ext cx="569163" cy="706068"/>
        </a:xfrm>
        <a:prstGeom prst="rect">
          <a:avLst/>
        </a:prstGeom>
        <a:ln>
          <a:noFill/>
        </a:ln>
      </xdr:spPr>
    </xdr:pic>
    <xdr:clientData/>
  </xdr:twoCellAnchor>
  <xdr:twoCellAnchor editAs="absolute">
    <xdr:from>
      <xdr:col>7</xdr:col>
      <xdr:colOff>555430</xdr:colOff>
      <xdr:row>893</xdr:row>
      <xdr:rowOff>106139</xdr:rowOff>
    </xdr:from>
    <xdr:to>
      <xdr:col>8</xdr:col>
      <xdr:colOff>328802</xdr:colOff>
      <xdr:row>898</xdr:row>
      <xdr:rowOff>111492</xdr:rowOff>
    </xdr:to>
    <xdr:pic>
      <xdr:nvPicPr>
        <xdr:cNvPr id="62" name="Image 1">
          <a:extLst>
            <a:ext uri="{FF2B5EF4-FFF2-40B4-BE49-F238E27FC236}">
              <a16:creationId xmlns:a16="http://schemas.microsoft.com/office/drawing/2014/main" id="{00000000-0008-0000-0600-00003E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72430" y="139086472"/>
          <a:ext cx="609455" cy="746187"/>
        </a:xfrm>
        <a:prstGeom prst="rect">
          <a:avLst/>
        </a:prstGeom>
        <a:ln>
          <a:noFill/>
        </a:ln>
      </xdr:spPr>
    </xdr:pic>
    <xdr:clientData/>
  </xdr:twoCellAnchor>
  <xdr:twoCellAnchor editAs="absolute">
    <xdr:from>
      <xdr:col>5</xdr:col>
      <xdr:colOff>0</xdr:colOff>
      <xdr:row>1887</xdr:row>
      <xdr:rowOff>107711</xdr:rowOff>
    </xdr:from>
    <xdr:to>
      <xdr:col>10</xdr:col>
      <xdr:colOff>963084</xdr:colOff>
      <xdr:row>1923</xdr:row>
      <xdr:rowOff>96833</xdr:rowOff>
    </xdr:to>
    <xdr:sp macro="" textlink="">
      <xdr:nvSpPr>
        <xdr:cNvPr id="116" name="TextShape 1" descr="9.6 Requisitos de conformidad de las Pautas WCAG (Condicional)  Condición: Cuando las TIC sean una página web  Se deben satisfacer, en el nivel AA, los cinco requisitos de conformidad de las Pautas WCAG 2.1 siguientes [5]:  1) nivel de conformidad;  2) páginas completas;  3) procesos completos;  4) uso de tecnologías exclusivamente según métodos que sean compatibles con la accesibilidad;  5) sin interferencia.   NOTA 1: En el caso de que una página web cumpla todos los requisitos 9.1 a 9.4 o se proporcione una versión alternativa conforme al nivel AA (como se define en las Pautas WCAG 2.1 [5]), se cumplirá el requisito de conformidad 1.  NOTA 2: Según el WC3, &quot;Las Pautas WCAG 2.1 amplían las Pautas de Accesibilidad para Contenido Web 2.0 [4], que se publicaron en formato de Recomendación del WWW en diciembre de 2008. Los contenidos que están conformes con las Pautas WCAG 2.1 también lo están con las Pautas WCAG 2.0 y, en consecuencia, con las políticas que hacen referencia a las Pautas WCAG 2.0 [4].  NOTA 3: El requisito de conformidad 5 establece que todo el contenido de la página, incluyendo el contenido que, de otra manera, no serviría de base para conseguir la conformidad, cumple los apartados 9.1.4.2, 9.2.1.2, 9.2.2.2 y 9.2.3.1. ">
          <a:extLst>
            <a:ext uri="{FF2B5EF4-FFF2-40B4-BE49-F238E27FC236}">
              <a16:creationId xmlns:a16="http://schemas.microsoft.com/office/drawing/2014/main" id="{52552B4F-3FCE-4A15-89D4-65803157AD36}"/>
            </a:ext>
          </a:extLst>
        </xdr:cNvPr>
        <xdr:cNvSpPr txBox="1"/>
      </xdr:nvSpPr>
      <xdr:spPr>
        <a:xfrm>
          <a:off x="6932083" y="292186544"/>
          <a:ext cx="5820834" cy="5439539"/>
        </a:xfrm>
        <a:prstGeom prst="rect">
          <a:avLst/>
        </a:prstGeom>
        <a:solidFill>
          <a:srgbClr val="DDDDDD"/>
        </a:solidFill>
        <a:ln>
          <a:noFill/>
        </a:ln>
      </xdr:spPr>
      <xdr:txBody>
        <a:bodyPr wrap="square" lIns="108000" tIns="108000" rIns="108000" bIns="108000">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s-ES" sz="1500" b="1" strike="noStrike" spc="-1">
              <a:solidFill>
                <a:srgbClr val="000000"/>
              </a:solidFill>
              <a:latin typeface="Arial"/>
              <a:ea typeface="Linux Libertine G"/>
            </a:rPr>
            <a:t>9.6 Requisitos de conformidad de las Pautas WCAG (Condicional)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las TIC sean una página web</a:t>
          </a:r>
          <a:endParaRPr lang="es-ES" sz="1500" b="1" strike="noStrike" spc="-1">
            <a:solidFill>
              <a:srgbClr val="000000"/>
            </a:solidFill>
            <a:latin typeface="Arial"/>
            <a:ea typeface="Linux Libertine G"/>
          </a:endParaRPr>
        </a:p>
        <a:p>
          <a:endParaRPr lang="es-ES" sz="1500" b="0" strike="noStrike" spc="-1">
            <a:solidFill>
              <a:srgbClr val="000000"/>
            </a:solidFill>
            <a:latin typeface="Arial"/>
            <a:ea typeface="Linux Libertine G"/>
          </a:endParaRPr>
        </a:p>
        <a:p>
          <a:r>
            <a:rPr kumimoji="0" lang="es-ES" sz="1500" b="0" i="0" u="none" strike="noStrike" kern="0" cap="none" spc="0" normalizeH="0" baseline="0">
              <a:ln>
                <a:noFill/>
              </a:ln>
              <a:solidFill>
                <a:sysClr val="windowText" lastClr="000000"/>
              </a:solidFill>
              <a:effectLst/>
              <a:uLnTx/>
              <a:uFillTx/>
              <a:latin typeface="Arial" pitchFamily="34" charset="0"/>
              <a:ea typeface="+mn-ea"/>
              <a:cs typeface="Arial" pitchFamily="34" charset="0"/>
            </a:rPr>
            <a:t>Se deben satisfacer, en el nivel AA, los cinco requisitos de conformidad de las Pautas WCAG 2.1 siguientes [5]: </a:t>
          </a:r>
          <a:br>
            <a:rPr kumimoji="0" lang="es-ES" sz="1500" b="0" i="0" u="none" strike="noStrike" kern="0" cap="none" spc="0" normalizeH="0" baseline="0">
              <a:ln>
                <a:noFill/>
              </a:ln>
              <a:solidFill>
                <a:sysClr val="windowText" lastClr="000000"/>
              </a:solidFill>
              <a:effectLst/>
              <a:uLnTx/>
              <a:uFillTx/>
              <a:latin typeface="Arial" pitchFamily="34" charset="0"/>
              <a:ea typeface="+mn-ea"/>
              <a:cs typeface="Arial" pitchFamily="34" charset="0"/>
            </a:rPr>
          </a:br>
          <a:r>
            <a:rPr kumimoji="0" lang="es-ES" sz="1500" b="0" i="0" u="none" strike="noStrike" kern="0" cap="none" spc="0" normalizeH="0" baseline="0">
              <a:ln>
                <a:noFill/>
              </a:ln>
              <a:solidFill>
                <a:sysClr val="windowText" lastClr="000000"/>
              </a:solidFill>
              <a:effectLst/>
              <a:uLnTx/>
              <a:uFillTx/>
              <a:latin typeface="Arial" pitchFamily="34" charset="0"/>
              <a:ea typeface="+mn-ea"/>
              <a:cs typeface="Arial" pitchFamily="34" charset="0"/>
            </a:rPr>
            <a:t>1) nivel de conformidad; </a:t>
          </a:r>
          <a:br>
            <a:rPr kumimoji="0" lang="es-ES" sz="1500" b="0" i="0" u="none" strike="noStrike" kern="0" cap="none" spc="0" normalizeH="0" baseline="0">
              <a:ln>
                <a:noFill/>
              </a:ln>
              <a:solidFill>
                <a:sysClr val="windowText" lastClr="000000"/>
              </a:solidFill>
              <a:effectLst/>
              <a:uLnTx/>
              <a:uFillTx/>
              <a:latin typeface="Arial" pitchFamily="34" charset="0"/>
              <a:ea typeface="+mn-ea"/>
              <a:cs typeface="Arial" pitchFamily="34" charset="0"/>
            </a:rPr>
          </a:br>
          <a:r>
            <a:rPr kumimoji="0" lang="es-ES" sz="1500" b="0" i="0" u="none" strike="noStrike" kern="0" cap="none" spc="0" normalizeH="0" baseline="0">
              <a:ln>
                <a:noFill/>
              </a:ln>
              <a:solidFill>
                <a:sysClr val="windowText" lastClr="000000"/>
              </a:solidFill>
              <a:effectLst/>
              <a:uLnTx/>
              <a:uFillTx/>
              <a:latin typeface="Arial" pitchFamily="34" charset="0"/>
              <a:ea typeface="+mn-ea"/>
              <a:cs typeface="Arial" pitchFamily="34" charset="0"/>
            </a:rPr>
            <a:t>2) páginas completas; </a:t>
          </a:r>
          <a:br>
            <a:rPr kumimoji="0" lang="es-ES" sz="1500" b="0" i="0" u="none" strike="noStrike" kern="0" cap="none" spc="0" normalizeH="0" baseline="0">
              <a:ln>
                <a:noFill/>
              </a:ln>
              <a:solidFill>
                <a:sysClr val="windowText" lastClr="000000"/>
              </a:solidFill>
              <a:effectLst/>
              <a:uLnTx/>
              <a:uFillTx/>
              <a:latin typeface="Arial" pitchFamily="34" charset="0"/>
              <a:ea typeface="+mn-ea"/>
              <a:cs typeface="Arial" pitchFamily="34" charset="0"/>
            </a:rPr>
          </a:br>
          <a:r>
            <a:rPr kumimoji="0" lang="es-ES" sz="1500" b="0" i="0" u="none" strike="noStrike" kern="0" cap="none" spc="0" normalizeH="0" baseline="0">
              <a:ln>
                <a:noFill/>
              </a:ln>
              <a:solidFill>
                <a:sysClr val="windowText" lastClr="000000"/>
              </a:solidFill>
              <a:effectLst/>
              <a:uLnTx/>
              <a:uFillTx/>
              <a:latin typeface="Arial" pitchFamily="34" charset="0"/>
              <a:ea typeface="+mn-ea"/>
              <a:cs typeface="Arial" pitchFamily="34" charset="0"/>
            </a:rPr>
            <a:t>3) procesos completos; </a:t>
          </a:r>
          <a:br>
            <a:rPr kumimoji="0" lang="es-ES" sz="1500" b="0" i="0" u="none" strike="noStrike" kern="0" cap="none" spc="0" normalizeH="0" baseline="0">
              <a:ln>
                <a:noFill/>
              </a:ln>
              <a:solidFill>
                <a:sysClr val="windowText" lastClr="000000"/>
              </a:solidFill>
              <a:effectLst/>
              <a:uLnTx/>
              <a:uFillTx/>
              <a:latin typeface="Arial" pitchFamily="34" charset="0"/>
              <a:ea typeface="+mn-ea"/>
              <a:cs typeface="Arial" pitchFamily="34" charset="0"/>
            </a:rPr>
          </a:br>
          <a:r>
            <a:rPr kumimoji="0" lang="es-ES" sz="1500" b="0" i="0" u="none" strike="noStrike" kern="0" cap="none" spc="0" normalizeH="0" baseline="0">
              <a:ln>
                <a:noFill/>
              </a:ln>
              <a:solidFill>
                <a:sysClr val="windowText" lastClr="000000"/>
              </a:solidFill>
              <a:effectLst/>
              <a:uLnTx/>
              <a:uFillTx/>
              <a:latin typeface="Arial" pitchFamily="34" charset="0"/>
              <a:ea typeface="+mn-ea"/>
              <a:cs typeface="Arial" pitchFamily="34" charset="0"/>
            </a:rPr>
            <a:t>4) uso de tecnologías exclusivamente según métodos que sean compatibles con la accesibilidad; </a:t>
          </a:r>
          <a:br>
            <a:rPr kumimoji="0" lang="es-ES" sz="1500" b="0" i="0" u="none" strike="noStrike" kern="0" cap="none" spc="0" normalizeH="0" baseline="0">
              <a:ln>
                <a:noFill/>
              </a:ln>
              <a:solidFill>
                <a:sysClr val="windowText" lastClr="000000"/>
              </a:solidFill>
              <a:effectLst/>
              <a:uLnTx/>
              <a:uFillTx/>
              <a:latin typeface="Arial" pitchFamily="34" charset="0"/>
              <a:ea typeface="+mn-ea"/>
              <a:cs typeface="Arial" pitchFamily="34" charset="0"/>
            </a:rPr>
          </a:br>
          <a:r>
            <a:rPr kumimoji="0" lang="es-ES" sz="1500" b="0" i="0" u="none" strike="noStrike" kern="0" cap="none" spc="0" normalizeH="0" baseline="0">
              <a:ln>
                <a:noFill/>
              </a:ln>
              <a:solidFill>
                <a:sysClr val="windowText" lastClr="000000"/>
              </a:solidFill>
              <a:effectLst/>
              <a:uLnTx/>
              <a:uFillTx/>
              <a:latin typeface="Arial" pitchFamily="34" charset="0"/>
              <a:ea typeface="+mn-ea"/>
              <a:cs typeface="Arial" pitchFamily="34" charset="0"/>
            </a:rPr>
            <a:t>5) sin interferencia. </a:t>
          </a:r>
          <a:br>
            <a:rPr kumimoji="0" lang="es-ES" sz="1500" b="0" i="0" u="none" strike="noStrike" kern="0" cap="none" spc="0" normalizeH="0" baseline="0">
              <a:ln>
                <a:noFill/>
              </a:ln>
              <a:solidFill>
                <a:sysClr val="windowText" lastClr="000000"/>
              </a:solidFill>
              <a:effectLst/>
              <a:uLnTx/>
              <a:uFillTx/>
              <a:latin typeface="Arial" pitchFamily="34" charset="0"/>
              <a:ea typeface="+mn-ea"/>
              <a:cs typeface="Arial" pitchFamily="34" charset="0"/>
            </a:rPr>
          </a:br>
          <a:r>
            <a:rPr kumimoji="0" lang="es-ES" sz="1500" b="0" i="0" u="none" strike="noStrike" kern="0" cap="none" spc="0" normalizeH="0" baseline="0">
              <a:ln>
                <a:noFill/>
              </a:ln>
              <a:solidFill>
                <a:sysClr val="windowText" lastClr="000000"/>
              </a:solidFill>
              <a:effectLst/>
              <a:uLnTx/>
              <a:uFillTx/>
              <a:latin typeface="Arial" pitchFamily="34" charset="0"/>
              <a:ea typeface="+mn-ea"/>
              <a:cs typeface="Arial" pitchFamily="34" charset="0"/>
            </a:rPr>
            <a:t/>
          </a:r>
          <a:br>
            <a:rPr kumimoji="0" lang="es-ES" sz="1500" b="0" i="0" u="none" strike="noStrike" kern="0" cap="none" spc="0" normalizeH="0" baseline="0">
              <a:ln>
                <a:noFill/>
              </a:ln>
              <a:solidFill>
                <a:sysClr val="windowText" lastClr="000000"/>
              </a:solidFill>
              <a:effectLst/>
              <a:uLnTx/>
              <a:uFillTx/>
              <a:latin typeface="Arial" pitchFamily="34" charset="0"/>
              <a:ea typeface="+mn-ea"/>
              <a:cs typeface="Arial" pitchFamily="34" charset="0"/>
            </a:rPr>
          </a:br>
          <a:r>
            <a:rPr lang="es-ES" sz="1200" b="0" i="0" u="none" strike="noStrike" baseline="0">
              <a:latin typeface="Arial" panose="020B0604020202020204" pitchFamily="34" charset="0"/>
              <a:ea typeface="+mn-ea"/>
              <a:cs typeface="Arial" panose="020B0604020202020204" pitchFamily="34" charset="0"/>
            </a:rPr>
            <a:t>NOTA 1: En el caso de que una página web cumpla todos los requisitos 9.1 a 9.4 o se proporcione una versión alternativa conforme al nivel AA (como se define en las Pautas WCAG 2.1 [5]), se cumplirá el requisito de conformidad 1. </a:t>
          </a:r>
        </a:p>
        <a:p>
          <a:r>
            <a:rPr lang="es-ES" sz="1200" b="0" i="0" u="none" strike="noStrike" baseline="0">
              <a:latin typeface="Arial" panose="020B0604020202020204" pitchFamily="34" charset="0"/>
              <a:ea typeface="+mn-ea"/>
              <a:cs typeface="Arial" panose="020B0604020202020204" pitchFamily="34" charset="0"/>
            </a:rPr>
            <a:t>NOTA 2: Según el WC3, "Las Pautas WCAG 2.1 amplían las Pautas de Accesibilidad para Contenido Web 2.0 [4], que se publicaron en formato de Recomendación del WWW en diciembre de 2008. Los contenidos que están conformes con las Pautas WCAG 2.1 también lo están con las Pautas WCAG 2.0 y, en consecuencia, con las políticas que hacen referencia a las Pautas WCAG 2.0 [4]. </a:t>
          </a:r>
        </a:p>
        <a:p>
          <a:r>
            <a:rPr lang="es-ES" sz="1200" b="0" i="0" u="none" strike="noStrike" baseline="0">
              <a:latin typeface="Arial" panose="020B0604020202020204" pitchFamily="34" charset="0"/>
              <a:ea typeface="+mn-ea"/>
              <a:cs typeface="Arial" panose="020B0604020202020204" pitchFamily="34" charset="0"/>
            </a:rPr>
            <a:t>NOTA 3: El requisito de conformidad 5 establece que todo el contenido de la página, incluyendo el contenido que, de otra manera, no serviría de base para conseguir la conformidad, cumple los apartados 9.1.4.2, 9.2.1.2, 9.2.2.2 y 9.2.3.1. </a:t>
          </a:r>
          <a:endParaRPr kumimoji="0" lang="es-ES" sz="1200" b="0" i="0" u="none" strike="noStrike" kern="0" cap="none" spc="0" normalizeH="0" baseline="0">
            <a:ln>
              <a:noFill/>
            </a:ln>
            <a:solidFill>
              <a:sysClr val="windowText" lastClr="000000"/>
            </a:solidFill>
            <a:effectLst/>
            <a:uLnTx/>
            <a:uFillTx/>
            <a:latin typeface="Arial" pitchFamily="34" charset="0"/>
            <a:ea typeface="+mn-ea"/>
            <a:cs typeface="Arial" pitchFamily="34" charset="0"/>
          </a:endParaRPr>
        </a:p>
      </xdr:txBody>
    </xdr:sp>
    <xdr:clientData/>
  </xdr:twoCellAnchor>
  <xdr:twoCellAnchor editAs="absolute">
    <xdr:from>
      <xdr:col>7</xdr:col>
      <xdr:colOff>590525</xdr:colOff>
      <xdr:row>1882</xdr:row>
      <xdr:rowOff>68036</xdr:rowOff>
    </xdr:from>
    <xdr:to>
      <xdr:col>8</xdr:col>
      <xdr:colOff>318691</xdr:colOff>
      <xdr:row>1887</xdr:row>
      <xdr:rowOff>52169</xdr:rowOff>
    </xdr:to>
    <xdr:pic>
      <xdr:nvPicPr>
        <xdr:cNvPr id="117" name="Image 1">
          <a:extLst>
            <a:ext uri="{FF2B5EF4-FFF2-40B4-BE49-F238E27FC236}">
              <a16:creationId xmlns:a16="http://schemas.microsoft.com/office/drawing/2014/main" id="{64B6CB2B-739A-4D35-B4F0-D1A840922AB6}"/>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98454" y="294009536"/>
          <a:ext cx="571808" cy="732526"/>
        </a:xfrm>
        <a:prstGeom prst="rect">
          <a:avLst/>
        </a:prstGeom>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absolute">
    <xdr:from>
      <xdr:col>7</xdr:col>
      <xdr:colOff>595056</xdr:colOff>
      <xdr:row>19</xdr:row>
      <xdr:rowOff>131080</xdr:rowOff>
    </xdr:from>
    <xdr:to>
      <xdr:col>8</xdr:col>
      <xdr:colOff>326496</xdr:colOff>
      <xdr:row>24</xdr:row>
      <xdr:rowOff>57727</xdr:rowOff>
    </xdr:to>
    <xdr:pic>
      <xdr:nvPicPr>
        <xdr:cNvPr id="2" name="Image 1">
          <a:extLst>
            <a:ext uri="{FF2B5EF4-FFF2-40B4-BE49-F238E27FC236}">
              <a16:creationId xmlns:a16="http://schemas.microsoft.com/office/drawing/2014/main" id="{00000000-0008-0000-0700-000002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96181" y="4445905"/>
          <a:ext cx="569640" cy="688647"/>
        </a:xfrm>
        <a:prstGeom prst="rect">
          <a:avLst/>
        </a:prstGeom>
        <a:ln>
          <a:noFill/>
        </a:ln>
      </xdr:spPr>
    </xdr:pic>
    <xdr:clientData/>
  </xdr:twoCellAnchor>
  <xdr:twoCellAnchor editAs="absolute">
    <xdr:from>
      <xdr:col>5</xdr:col>
      <xdr:colOff>817</xdr:colOff>
      <xdr:row>138</xdr:row>
      <xdr:rowOff>127101</xdr:rowOff>
    </xdr:from>
    <xdr:to>
      <xdr:col>11</xdr:col>
      <xdr:colOff>6589</xdr:colOff>
      <xdr:row>158</xdr:row>
      <xdr:rowOff>51955</xdr:rowOff>
    </xdr:to>
    <xdr:sp macro="" textlink="">
      <xdr:nvSpPr>
        <xdr:cNvPr id="18" name="TextShape 1" descr="10.1.2.3 Audiodescripción o contenido multimedia alternativo (grabado) (Condicional)  Condición: Cuando los documentos se puedan descargar de una página web.  Se proporciona una alternativa para los medios tempodependientes o una audiodescripción para el contenido de vídeo grabado en los multimedia sincronizados, excepto cuando ese contenido es un contenido multimedia alternativo al texto y está claramente identificado como tal.  https://www.w3.org/TR/WCAG/#audio-description-or-media-alternative-prerecorded">
          <a:extLst>
            <a:ext uri="{FF2B5EF4-FFF2-40B4-BE49-F238E27FC236}">
              <a16:creationId xmlns:a16="http://schemas.microsoft.com/office/drawing/2014/main" id="{00000000-0008-0000-0700-000012000000}"/>
            </a:ext>
          </a:extLst>
        </xdr:cNvPr>
        <xdr:cNvSpPr txBox="1"/>
      </xdr:nvSpPr>
      <xdr:spPr>
        <a:xfrm>
          <a:off x="6910772" y="23991556"/>
          <a:ext cx="5824681" cy="3232626"/>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10.1.2.3 Audiodescripción o contenido multimedia alternativo (grabado)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Se proporciona una alternativa para los medios tempodependientes o una audiodescripción para el contenido de vídeo grabado en los multimedia sincronizados, excepto cuando ese contenido es un contenido multimedia alternativo al texto y está claramente identificado como tal.</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
            </a:rPr>
            <a:t>https://www.w3.org/TR/WCAG/#audio-description-or-media-alternative-prerecorded</a:t>
          </a:r>
          <a:endParaRPr lang="es-ES" sz="1500" b="0" strike="noStrike" spc="-1">
            <a:latin typeface="Times New Roman"/>
          </a:endParaRPr>
        </a:p>
        <a:p>
          <a:endParaRPr lang="es-ES" sz="1500" b="0" strike="noStrike" spc="-1">
            <a:latin typeface="Times New Roman"/>
          </a:endParaRPr>
        </a:p>
      </xdr:txBody>
    </xdr:sp>
    <xdr:clientData/>
  </xdr:twoCellAnchor>
  <xdr:twoCellAnchor editAs="absolute">
    <xdr:from>
      <xdr:col>4</xdr:col>
      <xdr:colOff>349142</xdr:colOff>
      <xdr:row>100</xdr:row>
      <xdr:rowOff>80065</xdr:rowOff>
    </xdr:from>
    <xdr:to>
      <xdr:col>10</xdr:col>
      <xdr:colOff>955309</xdr:colOff>
      <xdr:row>115</xdr:row>
      <xdr:rowOff>155863</xdr:rowOff>
    </xdr:to>
    <xdr:sp macro="" textlink="">
      <xdr:nvSpPr>
        <xdr:cNvPr id="19" name="TextShape 1" descr="10.1.2.2 Subtítulos (grabados) (Condicional)  Condición: Cuando los documentos se puedan descargar de una página web.  Se proporcionan subtítulos para el contenido de audio grabado dentro de contenido multimedia sincronizado, excepto cuando la presentación es un contenido multimedia alternativo al texto y está claramente identificado como tal. (Nivel A)  https://www.w3.org/TR/WCAG/#captions-prerecorded">
          <a:extLst>
            <a:ext uri="{FF2B5EF4-FFF2-40B4-BE49-F238E27FC236}">
              <a16:creationId xmlns:a16="http://schemas.microsoft.com/office/drawing/2014/main" id="{00000000-0008-0000-0700-000013000000}"/>
            </a:ext>
          </a:extLst>
        </xdr:cNvPr>
        <xdr:cNvSpPr txBox="1"/>
      </xdr:nvSpPr>
      <xdr:spPr>
        <a:xfrm>
          <a:off x="6895415" y="17571429"/>
          <a:ext cx="5818939" cy="2569616"/>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s-ES" sz="1500" b="1" strike="noStrike" spc="-1">
              <a:latin typeface="Arial"/>
            </a:rPr>
            <a:t>10.1.2.2 Subtítulos (grabados)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s-ES" sz="1500" b="1" strike="noStrike" spc="-1">
            <a:latin typeface="Arial"/>
          </a:endParaRPr>
        </a:p>
        <a:p>
          <a:endParaRPr lang="es-ES" sz="1500" b="0" strike="noStrike" spc="-1">
            <a:latin typeface="Arial"/>
          </a:endParaRPr>
        </a:p>
        <a:p>
          <a:r>
            <a:rPr lang="es-ES" sz="1500" b="0" strike="noStrike" spc="-1">
              <a:latin typeface="Arial"/>
            </a:rPr>
            <a:t>Se proporcionan subtítulos para el contenido de audio grabado dentro de contenido multimedia sincronizado, excepto cuando la presentación es un contenido multimedia alternativo al texto y está claramente identificado como tal. (Nivel A)</a:t>
          </a:r>
          <a:endParaRPr lang="es-ES" sz="1500" b="0" strike="noStrike" spc="-1">
            <a:latin typeface="Times New Roman"/>
          </a:endParaRPr>
        </a:p>
        <a:p>
          <a:endParaRPr lang="es-ES" sz="1500" b="0" strike="noStrike" spc="-1">
            <a:latin typeface="Times New Roman"/>
          </a:endParaRPr>
        </a:p>
        <a:p>
          <a:r>
            <a:rPr lang="es-ES" sz="1500" b="1" strike="noStrike" spc="-1">
              <a:solidFill>
                <a:srgbClr val="3465A4"/>
              </a:solidFill>
              <a:latin typeface="Arial"/>
              <a:hlinkClick xmlns:r="http://schemas.openxmlformats.org/officeDocument/2006/relationships" r:id="rId2"/>
            </a:rPr>
            <a:t>https://www.w3.org/TR/WCAG/#captions-prerecorded</a:t>
          </a:r>
          <a:endParaRPr lang="es-ES" sz="1500" b="0" strike="noStrike" spc="-1">
            <a:latin typeface="Times New Roman"/>
          </a:endParaRPr>
        </a:p>
      </xdr:txBody>
    </xdr:sp>
    <xdr:clientData/>
  </xdr:twoCellAnchor>
  <xdr:twoCellAnchor editAs="absolute">
    <xdr:from>
      <xdr:col>5</xdr:col>
      <xdr:colOff>5369</xdr:colOff>
      <xdr:row>63</xdr:row>
      <xdr:rowOff>82929</xdr:rowOff>
    </xdr:from>
    <xdr:to>
      <xdr:col>11</xdr:col>
      <xdr:colOff>20253</xdr:colOff>
      <xdr:row>87</xdr:row>
      <xdr:rowOff>102114</xdr:rowOff>
    </xdr:to>
    <xdr:sp macro="" textlink="">
      <xdr:nvSpPr>
        <xdr:cNvPr id="20" name="TextShape 1" descr="10.1.2.1 Solo audio y solo vídeo (grabado) (Condicional)  Condición: Cuando los documentos se puedan descargar de una página web.   Sólo audio grabado: Se proporciona una alternativa para los medios tempodependientes que presenta información equivalente para el contenido sólo audio grabado.  Sólo vídeo grabado: Se proporciona una alternativa para los medios tempodependientes o se proporciona una pista sonora que presenta información equivalente al contenido del medio de sólo vídeo grabado.  https://www.w3.org/TR/WCAG/#audio-only-and-video-only-prerecorded">
          <a:extLst>
            <a:ext uri="{FF2B5EF4-FFF2-40B4-BE49-F238E27FC236}">
              <a16:creationId xmlns:a16="http://schemas.microsoft.com/office/drawing/2014/main" id="{00000000-0008-0000-0700-000014000000}"/>
            </a:ext>
          </a:extLst>
        </xdr:cNvPr>
        <xdr:cNvSpPr txBox="1"/>
      </xdr:nvSpPr>
      <xdr:spPr>
        <a:xfrm>
          <a:off x="6915324" y="11547565"/>
          <a:ext cx="5833793" cy="3759913"/>
        </a:xfrm>
        <a:prstGeom prst="rect">
          <a:avLst/>
        </a:prstGeom>
        <a:solidFill>
          <a:srgbClr val="DDDDDD"/>
        </a:solidFill>
        <a:ln>
          <a:noFill/>
        </a:ln>
      </xdr:spPr>
      <xdr:txBody>
        <a:bodyPr lIns="108000" tIns="108000" rIns="108000" bIns="108000">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10.1.2.1 Solo audio y solo vídeo (grabado)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 </a:t>
          </a:r>
        </a:p>
        <a:p>
          <a:pPr marL="0" marR="0" lvl="0" indent="0" defTabSz="914400" eaLnBrk="1" fontAlgn="auto" latinLnBrk="0" hangingPunct="1">
            <a:lnSpc>
              <a:spcPct val="100000"/>
            </a:lnSpc>
            <a:spcBef>
              <a:spcPts val="0"/>
            </a:spcBef>
            <a:spcAft>
              <a:spcPts val="0"/>
            </a:spcAft>
            <a:buClrTx/>
            <a:buSzTx/>
            <a:buFontTx/>
            <a:buNone/>
            <a:tabLst/>
            <a:defRPr/>
          </a:pPr>
          <a:endParaRPr lang="en-US" sz="1500" b="1" strike="noStrike" spc="-1">
            <a:solidFill>
              <a:srgbClr val="000000"/>
            </a:solidFill>
            <a:latin typeface="Arial"/>
            <a:ea typeface="Linux Libertine G"/>
          </a:endParaRPr>
        </a:p>
        <a:p>
          <a:r>
            <a:rPr lang="en-US" sz="1500" b="1" strike="noStrike" spc="-1">
              <a:solidFill>
                <a:srgbClr val="000000"/>
              </a:solidFill>
              <a:latin typeface="Arial"/>
              <a:ea typeface="Linux Libertine G"/>
            </a:rPr>
            <a:t>Sólo audio grabado: </a:t>
          </a:r>
          <a:r>
            <a:rPr lang="en-US" sz="1500" b="0" strike="noStrike" spc="-1">
              <a:solidFill>
                <a:srgbClr val="000000"/>
              </a:solidFill>
              <a:latin typeface="Arial"/>
              <a:ea typeface="Linux Libertine G"/>
            </a:rPr>
            <a:t>Se proporciona una alternativa para los medios tempodependientes que presenta información equivalente para el contenido sólo audio grabado.</a:t>
          </a:r>
          <a:endParaRPr lang="es-ES" sz="1500" b="0" strike="noStrike" spc="-1">
            <a:latin typeface="Times New Roman"/>
          </a:endParaRPr>
        </a:p>
        <a:p>
          <a:endParaRPr lang="es-ES" sz="1500" b="0" strike="noStrike" spc="-1">
            <a:latin typeface="Times New Roman"/>
          </a:endParaRPr>
        </a:p>
        <a:p>
          <a:r>
            <a:rPr lang="en-US" sz="1500" b="1" strike="noStrike" spc="-1">
              <a:solidFill>
                <a:srgbClr val="000000"/>
              </a:solidFill>
              <a:latin typeface="Arial"/>
              <a:ea typeface="Linux Libertine G"/>
            </a:rPr>
            <a:t>Sólo vídeo grabado:</a:t>
          </a:r>
          <a:r>
            <a:rPr lang="en-US" sz="1500" b="0" strike="noStrike" spc="-1">
              <a:solidFill>
                <a:srgbClr val="000000"/>
              </a:solidFill>
              <a:latin typeface="Arial"/>
              <a:ea typeface="Linux Libertine G"/>
            </a:rPr>
            <a:t> Se proporciona una alternativa para los medios tempodependientes o se proporciona una pista sonora que presenta información equivalente al contenido del medio de sólo vídeo grabado.</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
            </a:rPr>
            <a:t>https://www.w3.org/TR/WCAG/#audio-only-and-video-only-prerecorded</a:t>
          </a:r>
          <a:endParaRPr lang="es-ES" sz="1500" b="0" strike="noStrike" spc="-1">
            <a:latin typeface="Times New Roman"/>
          </a:endParaRPr>
        </a:p>
      </xdr:txBody>
    </xdr:sp>
    <xdr:clientData/>
  </xdr:twoCellAnchor>
  <xdr:twoCellAnchor editAs="absolute">
    <xdr:from>
      <xdr:col>7</xdr:col>
      <xdr:colOff>661795</xdr:colOff>
      <xdr:row>58</xdr:row>
      <xdr:rowOff>147571</xdr:rowOff>
    </xdr:from>
    <xdr:to>
      <xdr:col>8</xdr:col>
      <xdr:colOff>447526</xdr:colOff>
      <xdr:row>63</xdr:row>
      <xdr:rowOff>75729</xdr:rowOff>
    </xdr:to>
    <xdr:pic>
      <xdr:nvPicPr>
        <xdr:cNvPr id="21" name="Image 1">
          <a:extLst>
            <a:ext uri="{FF2B5EF4-FFF2-40B4-BE49-F238E27FC236}">
              <a16:creationId xmlns:a16="http://schemas.microsoft.com/office/drawing/2014/main" id="{00000000-0008-0000-0700-000015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662920" y="10663171"/>
          <a:ext cx="623931" cy="690158"/>
        </a:xfrm>
        <a:prstGeom prst="rect">
          <a:avLst/>
        </a:prstGeom>
        <a:ln>
          <a:noFill/>
        </a:ln>
      </xdr:spPr>
    </xdr:pic>
    <xdr:clientData/>
  </xdr:twoCellAnchor>
  <xdr:twoCellAnchor editAs="absolute">
    <xdr:from>
      <xdr:col>7</xdr:col>
      <xdr:colOff>582288</xdr:colOff>
      <xdr:row>96</xdr:row>
      <xdr:rowOff>1706</xdr:rowOff>
    </xdr:from>
    <xdr:to>
      <xdr:col>8</xdr:col>
      <xdr:colOff>313728</xdr:colOff>
      <xdr:row>100</xdr:row>
      <xdr:rowOff>85346</xdr:rowOff>
    </xdr:to>
    <xdr:pic>
      <xdr:nvPicPr>
        <xdr:cNvPr id="22" name="Image 1">
          <a:extLst>
            <a:ext uri="{FF2B5EF4-FFF2-40B4-BE49-F238E27FC236}">
              <a16:creationId xmlns:a16="http://schemas.microsoft.com/office/drawing/2014/main" id="{00000000-0008-0000-0700-000016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83413" y="16565681"/>
          <a:ext cx="569640" cy="693240"/>
        </a:xfrm>
        <a:prstGeom prst="rect">
          <a:avLst/>
        </a:prstGeom>
        <a:ln>
          <a:noFill/>
        </a:ln>
      </xdr:spPr>
    </xdr:pic>
    <xdr:clientData/>
  </xdr:twoCellAnchor>
  <xdr:twoCellAnchor editAs="absolute">
    <xdr:from>
      <xdr:col>7</xdr:col>
      <xdr:colOff>573920</xdr:colOff>
      <xdr:row>134</xdr:row>
      <xdr:rowOff>8549</xdr:rowOff>
    </xdr:from>
    <xdr:to>
      <xdr:col>8</xdr:col>
      <xdr:colOff>333935</xdr:colOff>
      <xdr:row>138</xdr:row>
      <xdr:rowOff>92068</xdr:rowOff>
    </xdr:to>
    <xdr:pic>
      <xdr:nvPicPr>
        <xdr:cNvPr id="23" name="Image 1">
          <a:extLst>
            <a:ext uri="{FF2B5EF4-FFF2-40B4-BE49-F238E27FC236}">
              <a16:creationId xmlns:a16="http://schemas.microsoft.com/office/drawing/2014/main" id="{00000000-0008-0000-0700-000017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75045" y="22830449"/>
          <a:ext cx="598215" cy="693119"/>
        </a:xfrm>
        <a:prstGeom prst="rect">
          <a:avLst/>
        </a:prstGeom>
        <a:ln>
          <a:noFill/>
        </a:ln>
      </xdr:spPr>
    </xdr:pic>
    <xdr:clientData/>
  </xdr:twoCellAnchor>
  <xdr:twoCellAnchor editAs="absolute">
    <xdr:from>
      <xdr:col>4</xdr:col>
      <xdr:colOff>333374</xdr:colOff>
      <xdr:row>24</xdr:row>
      <xdr:rowOff>72159</xdr:rowOff>
    </xdr:from>
    <xdr:to>
      <xdr:col>19</xdr:col>
      <xdr:colOff>333374</xdr:colOff>
      <xdr:row>55</xdr:row>
      <xdr:rowOff>254000</xdr:rowOff>
    </xdr:to>
    <xdr:sp macro="" textlink="">
      <xdr:nvSpPr>
        <xdr:cNvPr id="52" name="TextShape 1" descr="10.1.1.1 Contenido no textual (Condicional)  Condición: Cuando los documentos se puedan descargar de una página web.    Todo contenido no textual que se presenta al usuario tiene una alternativa textual que cumple el mismo propósito, excepto en las situaciones enumeradas a continuación:  - Controles, Entrada de datos: Si el contenido no textual es un control o acepta datos introducidos por el usuario, entonces tiene un nombre que describe su propósito. (Véase la Pauta 4.1 para requisitos adicionales sobre los controles y el contenido que aceptan entrada de datos).   - Contenido multimedia tempodependiente: Si el contenido no textual es una presentación multimedia con desarrollo temporal, entonces las alternativas textuales proporcionan al menos una identificación descriptiva del contenido no textual. (Véase la Pauta 1.2 para requisitos adicionales sobre contenido multimedia).   - Pruebas: Si el contenido no textual es una prueba o un ejercicio que no sería válido si se presentara en forma de texto, entonces las alternativas textuales proporcionan al menos una identificación descriptiva del contenido no textual.   - Sensorial: Si el contenido no textual tiene como objetivo principal el crear una experiencia sensorial específica, entonces las alternativas textuales proporcionan al menos una identificación descriptiva del contenido no textual.   - CAPTCHA: Si el propósito del contenido no textual es confirmar que quien está accediendo al contenido es una persona y no una computadora, entonces se proporcionan alternativas textuales que identifican y describen el propósito del contenido no textual y se proporcionan formas alternativas de CAPTCHA con modos de salida para distintos tipos de percepciones sensoriales, con el fin de acomodarse a las diferentes discapacidades.   - Decoración, Formato, Invisible: Si el contenido no textual es simple decoración, se utiliza únicamente para definir el formato visual o no se presenta a los usuarios, entonces se implementa de forma que pueda ser ignorado por las ayudas técnicas.   http://www.w3.org/TR/WCAG/#text-alternatives">
          <a:extLst>
            <a:ext uri="{FF2B5EF4-FFF2-40B4-BE49-F238E27FC236}">
              <a16:creationId xmlns:a16="http://schemas.microsoft.com/office/drawing/2014/main" id="{00000000-0008-0000-0700-000034000000}"/>
            </a:ext>
          </a:extLst>
        </xdr:cNvPr>
        <xdr:cNvSpPr txBox="1"/>
      </xdr:nvSpPr>
      <xdr:spPr>
        <a:xfrm>
          <a:off x="6889749" y="5215659"/>
          <a:ext cx="12969875" cy="5103091"/>
        </a:xfrm>
        <a:prstGeom prst="rect">
          <a:avLst/>
        </a:prstGeom>
        <a:solidFill>
          <a:srgbClr val="DDDDDD"/>
        </a:solidFill>
        <a:ln>
          <a:noFill/>
        </a:ln>
      </xdr:spPr>
      <xdr:txBody>
        <a:bodyPr wrap="square" lIns="108000" tIns="108000" rIns="108000" bIns="108000">
          <a:noAutofit/>
        </a:bodyPr>
        <a:lstStyle/>
        <a:p>
          <a:r>
            <a:rPr lang="es-ES" sz="1500" b="1" i="0" u="none" strike="noStrike">
              <a:latin typeface="Arial" pitchFamily="34" charset="0"/>
              <a:ea typeface="+mn-ea"/>
              <a:cs typeface="Arial" pitchFamily="34" charset="0"/>
            </a:rPr>
            <a:t>10.1.1.1 Contenido no textual (</a:t>
          </a:r>
          <a:r>
            <a:rPr lang="es-ES" sz="1500" b="1" i="0">
              <a:effectLst/>
              <a:latin typeface="Arial" pitchFamily="34" charset="0"/>
              <a:ea typeface="+mn-ea"/>
              <a:cs typeface="Arial" pitchFamily="34" charset="0"/>
            </a:rPr>
            <a:t>Condicional)</a:t>
          </a:r>
        </a:p>
        <a:p>
          <a:endParaRPr lang="es-ES" sz="1500" b="0">
            <a:effectLst/>
            <a:latin typeface="Arial" pitchFamily="34" charset="0"/>
            <a:cs typeface="Arial" pitchFamily="34" charset="0"/>
          </a:endParaRPr>
        </a:p>
        <a:p>
          <a:pPr eaLnBrk="1" fontAlgn="auto" latinLnBrk="0" hangingPunct="1"/>
          <a:r>
            <a:rPr lang="es-ES" sz="1500" b="0" i="0" u="sng">
              <a:effectLst/>
              <a:latin typeface="Arial" pitchFamily="34" charset="0"/>
              <a:ea typeface="+mn-ea"/>
              <a:cs typeface="Arial" pitchFamily="34" charset="0"/>
            </a:rPr>
            <a:t>Condición</a:t>
          </a:r>
          <a:r>
            <a:rPr lang="es-ES" sz="1500" b="0" i="0">
              <a:effectLst/>
              <a:latin typeface="Arial" pitchFamily="34" charset="0"/>
              <a:ea typeface="+mn-ea"/>
              <a:cs typeface="Arial" pitchFamily="34" charset="0"/>
            </a:rPr>
            <a:t>: Cuando los documentos se puedan descargar de una página web. </a:t>
          </a:r>
          <a:r>
            <a:rPr lang="es-ES" sz="1100" b="0" i="0" baseline="0">
              <a:effectLst/>
              <a:latin typeface="+mn-lt"/>
              <a:ea typeface="+mn-ea"/>
              <a:cs typeface="+mn-cs"/>
            </a:rPr>
            <a:t>	</a:t>
          </a:r>
          <a:endParaRPr lang="es-ES" sz="1600">
            <a:effectLst/>
          </a:endParaRPr>
        </a:p>
        <a:p>
          <a:endParaRPr lang="es-ES" sz="1500" b="1" i="0" u="none" strike="noStrike">
            <a:latin typeface="Arial" pitchFamily="34" charset="0"/>
            <a:ea typeface="+mn-ea"/>
            <a:cs typeface="Arial" pitchFamily="34" charset="0"/>
          </a:endParaRPr>
        </a:p>
        <a:p>
          <a:r>
            <a:rPr lang="es-ES" sz="1500" b="0" i="0" u="none" strike="noStrike">
              <a:latin typeface="Arial" pitchFamily="34" charset="0"/>
              <a:ea typeface="+mn-ea"/>
              <a:cs typeface="Arial" pitchFamily="34" charset="0"/>
            </a:rPr>
            <a:t>Todo contenido no textual que se presenta al usuario tiene una alternativa textual que cumple el mismo propósito, excepto en las situaciones enumeradas a continuación:</a:t>
          </a:r>
        </a:p>
        <a:p>
          <a:r>
            <a:rPr lang="es-ES" sz="1500" b="0" i="0" u="none" strike="noStrike" baseline="0">
              <a:latin typeface="Arial" pitchFamily="34" charset="0"/>
              <a:cs typeface="Arial" pitchFamily="34" charset="0"/>
            </a:rPr>
            <a:t> </a:t>
          </a:r>
          <a:r>
            <a:rPr lang="es-ES" sz="1500" b="1" i="0" u="none" strike="noStrike" baseline="0">
              <a:latin typeface="Arial" pitchFamily="34" charset="0"/>
              <a:ea typeface="+mn-ea"/>
              <a:cs typeface="Arial" pitchFamily="34" charset="0"/>
            </a:rPr>
            <a:t>- Controles, Entrada de datos:</a:t>
          </a:r>
          <a:r>
            <a:rPr lang="es-ES" sz="1500" b="0" i="0" u="none" strike="noStrike" baseline="0">
              <a:latin typeface="Arial" pitchFamily="34" charset="0"/>
              <a:ea typeface="+mn-ea"/>
              <a:cs typeface="Arial" pitchFamily="34" charset="0"/>
            </a:rPr>
            <a:t> Si el contenido no textual es un control o acepta datos introducidos por el usuario, entonces tiene un nombre que describe su propósito. (Véase la Pauta 4.1 para requisitos adicionales sobre los controles y el contenido que aceptan entrada de datos). </a:t>
          </a:r>
        </a:p>
        <a:p>
          <a:r>
            <a:rPr lang="es-ES" sz="1500" b="0" i="0" u="none" strike="noStrike" baseline="0">
              <a:latin typeface="Arial" pitchFamily="34" charset="0"/>
              <a:cs typeface="Arial" pitchFamily="34" charset="0"/>
            </a:rPr>
            <a:t> </a:t>
          </a:r>
          <a:r>
            <a:rPr lang="es-ES" sz="1500" b="1" i="0" u="none" strike="noStrike" baseline="0">
              <a:latin typeface="Arial" pitchFamily="34" charset="0"/>
              <a:ea typeface="+mn-ea"/>
              <a:cs typeface="Arial" pitchFamily="34" charset="0"/>
            </a:rPr>
            <a:t>- Contenido multimedia tempodependiente:</a:t>
          </a:r>
          <a:r>
            <a:rPr lang="es-ES" sz="1500" b="0" i="0" u="none" strike="noStrike" baseline="0">
              <a:latin typeface="Arial" pitchFamily="34" charset="0"/>
              <a:ea typeface="+mn-ea"/>
              <a:cs typeface="Arial" pitchFamily="34" charset="0"/>
            </a:rPr>
            <a:t> Si el contenido no textual es una presentación multimedia con desarrollo temporal, entonces las alternativas textuales proporcionan al menos una identificación descriptiva del contenido no textual. (Véase la Pauta 1.2 para requisitos adicionales sobre contenido multimedia). </a:t>
          </a:r>
        </a:p>
        <a:p>
          <a:r>
            <a:rPr lang="es-ES" sz="1500" b="0" i="0" u="none" strike="noStrike" baseline="0">
              <a:latin typeface="Arial" pitchFamily="34" charset="0"/>
              <a:cs typeface="Arial" pitchFamily="34" charset="0"/>
            </a:rPr>
            <a:t> </a:t>
          </a:r>
          <a:r>
            <a:rPr lang="es-ES" sz="1500" b="1" i="0" u="none" strike="noStrike" baseline="0">
              <a:latin typeface="Arial" pitchFamily="34" charset="0"/>
              <a:ea typeface="+mn-ea"/>
              <a:cs typeface="Arial" pitchFamily="34" charset="0"/>
            </a:rPr>
            <a:t>- Pruebas:</a:t>
          </a:r>
          <a:r>
            <a:rPr lang="es-ES" sz="1500" b="0" i="0" u="none" strike="noStrike" baseline="0">
              <a:latin typeface="Arial" pitchFamily="34" charset="0"/>
              <a:ea typeface="+mn-ea"/>
              <a:cs typeface="Arial" pitchFamily="34" charset="0"/>
            </a:rPr>
            <a:t> Si el contenido no textual es una prueba o un ejercicio que no sería válido si se presentara en forma de texto, entonces las alternativas textuales proporcionan al menos una identificación descriptiva del contenido no textual. </a:t>
          </a:r>
        </a:p>
        <a:p>
          <a:r>
            <a:rPr lang="es-ES" sz="1500" b="0" i="0" u="none" strike="noStrike" baseline="0">
              <a:latin typeface="Arial" pitchFamily="34" charset="0"/>
              <a:cs typeface="Arial" pitchFamily="34" charset="0"/>
            </a:rPr>
            <a:t> </a:t>
          </a:r>
          <a:r>
            <a:rPr lang="es-ES" sz="1500" b="1" i="0" u="none" strike="noStrike" baseline="0">
              <a:latin typeface="Arial" pitchFamily="34" charset="0"/>
              <a:ea typeface="+mn-ea"/>
              <a:cs typeface="Arial" pitchFamily="34" charset="0"/>
            </a:rPr>
            <a:t>- Sensorial:</a:t>
          </a:r>
          <a:r>
            <a:rPr lang="es-ES" sz="1500" b="0" i="0" u="none" strike="noStrike" baseline="0">
              <a:latin typeface="Arial" pitchFamily="34" charset="0"/>
              <a:ea typeface="+mn-ea"/>
              <a:cs typeface="Arial" pitchFamily="34" charset="0"/>
            </a:rPr>
            <a:t> Si el contenido no textual tiene como objetivo principal el crear una experiencia sensorial específica, entonces las alternativas textuales proporcionan al menos una identificación descriptiva del contenido no textual. </a:t>
          </a:r>
        </a:p>
        <a:p>
          <a:r>
            <a:rPr lang="es-ES" sz="1500" b="0" i="0" u="none" strike="noStrike" baseline="0">
              <a:latin typeface="Arial" pitchFamily="34" charset="0"/>
              <a:cs typeface="Arial" pitchFamily="34" charset="0"/>
            </a:rPr>
            <a:t> </a:t>
          </a:r>
          <a:r>
            <a:rPr lang="es-ES" sz="1500" b="1" i="0" u="none" strike="noStrike" baseline="0">
              <a:latin typeface="Arial" pitchFamily="34" charset="0"/>
              <a:ea typeface="+mn-ea"/>
              <a:cs typeface="Arial" pitchFamily="34" charset="0"/>
            </a:rPr>
            <a:t>- CAPTCHA:</a:t>
          </a:r>
          <a:r>
            <a:rPr lang="es-ES" sz="1500" b="0" i="0" u="none" strike="noStrike" baseline="0">
              <a:latin typeface="Arial" pitchFamily="34" charset="0"/>
              <a:ea typeface="+mn-ea"/>
              <a:cs typeface="Arial" pitchFamily="34" charset="0"/>
            </a:rPr>
            <a:t> Si el propósito del contenido no textual es confirmar que quien está accediendo al contenido es una persona y no una computadora, entonces se proporcionan alternativas textuales que identifican y describen el propósito del contenido no textual y se proporcionan formas alternativas de CAPTCHA con modos de salida para distintos tipos de percepciones sensoriales, con el fin de acomodarse a las diferentes discapacidades. </a:t>
          </a:r>
        </a:p>
        <a:p>
          <a:r>
            <a:rPr lang="es-ES" sz="1500" b="0" i="0" u="none" strike="noStrike" baseline="0">
              <a:latin typeface="Arial" pitchFamily="34" charset="0"/>
              <a:cs typeface="Arial" pitchFamily="34" charset="0"/>
            </a:rPr>
            <a:t> </a:t>
          </a:r>
          <a:r>
            <a:rPr lang="es-ES" sz="1500" b="1" i="0" u="none" strike="noStrike" baseline="0">
              <a:latin typeface="Arial" pitchFamily="34" charset="0"/>
              <a:ea typeface="+mn-ea"/>
              <a:cs typeface="Arial" pitchFamily="34" charset="0"/>
            </a:rPr>
            <a:t>- Decoración, Formato, Invisible:</a:t>
          </a:r>
          <a:r>
            <a:rPr lang="es-ES" sz="1500" b="0" i="0" u="none" strike="noStrike" baseline="0">
              <a:latin typeface="Arial" pitchFamily="34" charset="0"/>
              <a:ea typeface="+mn-ea"/>
              <a:cs typeface="Arial" pitchFamily="34" charset="0"/>
            </a:rPr>
            <a:t> Si el contenido no textual es simple decoración, se utiliza únicamente para definir el formato visual o no se presenta a los usuarios, entonces se implementa de forma que pueda ser ignorado por las ayudas técnicas. </a:t>
          </a:r>
        </a:p>
        <a:p>
          <a:r>
            <a:rPr lang="es-ES" sz="1500" b="1" u="sng" strike="noStrike" spc="-1">
              <a:solidFill>
                <a:srgbClr val="3465A4"/>
              </a:solidFill>
              <a:latin typeface="Arial"/>
              <a:ea typeface="Linux Libertine G"/>
              <a:cs typeface="+mn-cs"/>
            </a:rPr>
            <a:t>http://www.w3.org/TR/WCAG/#text-alternatives</a:t>
          </a:r>
        </a:p>
      </xdr:txBody>
    </xdr:sp>
    <xdr:clientData/>
  </xdr:twoCellAnchor>
  <xdr:twoCellAnchor editAs="absolute">
    <xdr:from>
      <xdr:col>7</xdr:col>
      <xdr:colOff>364782</xdr:colOff>
      <xdr:row>1425</xdr:row>
      <xdr:rowOff>104775</xdr:rowOff>
    </xdr:from>
    <xdr:to>
      <xdr:col>8</xdr:col>
      <xdr:colOff>108039</xdr:colOff>
      <xdr:row>1429</xdr:row>
      <xdr:rowOff>117538</xdr:rowOff>
    </xdr:to>
    <xdr:pic>
      <xdr:nvPicPr>
        <xdr:cNvPr id="107" name="Image 1">
          <a:extLst>
            <a:ext uri="{FF2B5EF4-FFF2-40B4-BE49-F238E27FC236}">
              <a16:creationId xmlns:a16="http://schemas.microsoft.com/office/drawing/2014/main" id="{00000000-0008-0000-0700-00006B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413532" y="236483525"/>
          <a:ext cx="568757" cy="647763"/>
        </a:xfrm>
        <a:prstGeom prst="rect">
          <a:avLst/>
        </a:prstGeom>
        <a:ln>
          <a:noFill/>
        </a:ln>
      </xdr:spPr>
    </xdr:pic>
    <xdr:clientData/>
  </xdr:twoCellAnchor>
  <xdr:twoCellAnchor editAs="absolute">
    <xdr:from>
      <xdr:col>4</xdr:col>
      <xdr:colOff>254000</xdr:colOff>
      <xdr:row>1430</xdr:row>
      <xdr:rowOff>9451</xdr:rowOff>
    </xdr:from>
    <xdr:to>
      <xdr:col>10</xdr:col>
      <xdr:colOff>823232</xdr:colOff>
      <xdr:row>1445</xdr:row>
      <xdr:rowOff>64795</xdr:rowOff>
    </xdr:to>
    <xdr:sp macro="" textlink="">
      <xdr:nvSpPr>
        <xdr:cNvPr id="108" name="TextShape 1" descr="10.3.2.2 Al recibir entradas (Condicional)  Condición: Cuando los documentos se puedan descargar de una página web.  El cambio de estado en cualquier componente de la interfaz de usuario no provoca automáticamente un cambio en el contexto a menos que el usuario haya sido advertido de ese comportamiento antes de usar el componente. (Nivel A)  https://www.w3.org/TR/WCAG/#on-input">
          <a:extLst>
            <a:ext uri="{FF2B5EF4-FFF2-40B4-BE49-F238E27FC236}">
              <a16:creationId xmlns:a16="http://schemas.microsoft.com/office/drawing/2014/main" id="{00000000-0008-0000-0700-00006C000000}"/>
            </a:ext>
          </a:extLst>
        </xdr:cNvPr>
        <xdr:cNvSpPr txBox="1"/>
      </xdr:nvSpPr>
      <xdr:spPr>
        <a:xfrm>
          <a:off x="6810375" y="250977326"/>
          <a:ext cx="5792107" cy="2674719"/>
        </a:xfrm>
        <a:prstGeom prst="rect">
          <a:avLst/>
        </a:prstGeom>
        <a:solidFill>
          <a:srgbClr val="DDDDDD"/>
        </a:solidFill>
        <a:ln>
          <a:noFill/>
        </a:ln>
      </xdr:spPr>
      <xdr:txBody>
        <a:bodyPr wrap="square" lIns="108000" tIns="108000" rIns="108000" bIns="108000">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10.3.2.2 Al recibir entradas</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El cambio de estado en cualquier componente de la interfaz de usuario no provoca automáticamente un cambio en el contexto a menos que el usuario haya sido advertido de ese comportamiento antes de usar el componente. (Nivel 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4"/>
            </a:rPr>
            <a:t>https://www.w3.org/TR/WCAG/#on-input</a:t>
          </a:r>
          <a:endParaRPr lang="es-ES" sz="1500" b="0" strike="noStrike" spc="-1">
            <a:latin typeface="Times New Roman"/>
          </a:endParaRPr>
        </a:p>
      </xdr:txBody>
    </xdr:sp>
    <xdr:clientData/>
  </xdr:twoCellAnchor>
  <xdr:twoCellAnchor editAs="absolute">
    <xdr:from>
      <xdr:col>7</xdr:col>
      <xdr:colOff>347006</xdr:colOff>
      <xdr:row>1463</xdr:row>
      <xdr:rowOff>88900</xdr:rowOff>
    </xdr:from>
    <xdr:to>
      <xdr:col>8</xdr:col>
      <xdr:colOff>96613</xdr:colOff>
      <xdr:row>1467</xdr:row>
      <xdr:rowOff>101423</xdr:rowOff>
    </xdr:to>
    <xdr:pic>
      <xdr:nvPicPr>
        <xdr:cNvPr id="109" name="Image 1">
          <a:extLst>
            <a:ext uri="{FF2B5EF4-FFF2-40B4-BE49-F238E27FC236}">
              <a16:creationId xmlns:a16="http://schemas.microsoft.com/office/drawing/2014/main" id="{00000000-0008-0000-0700-00006D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395756" y="242722400"/>
          <a:ext cx="575107" cy="647523"/>
        </a:xfrm>
        <a:prstGeom prst="rect">
          <a:avLst/>
        </a:prstGeom>
        <a:ln>
          <a:noFill/>
        </a:ln>
      </xdr:spPr>
    </xdr:pic>
    <xdr:clientData/>
  </xdr:twoCellAnchor>
  <xdr:twoCellAnchor editAs="absolute">
    <xdr:from>
      <xdr:col>4</xdr:col>
      <xdr:colOff>301625</xdr:colOff>
      <xdr:row>1467</xdr:row>
      <xdr:rowOff>145952</xdr:rowOff>
    </xdr:from>
    <xdr:to>
      <xdr:col>10</xdr:col>
      <xdr:colOff>809625</xdr:colOff>
      <xdr:row>1481</xdr:row>
      <xdr:rowOff>153263</xdr:rowOff>
    </xdr:to>
    <xdr:sp macro="" textlink="">
      <xdr:nvSpPr>
        <xdr:cNvPr id="110" name="TextShape 1" descr="10.3.3.1 Identificación de errores (Condicional)  Condición: Cuando los documentos se puedan descargar de una página web.  Si se detecta automáticamente un error en la entrada de datos, el elemento erróneo es identificado y el error se describe al usuario mediante un texto. (Nivel A)  https://www.w3.org/TR/WCAG/#error-identification">
          <a:extLst>
            <a:ext uri="{FF2B5EF4-FFF2-40B4-BE49-F238E27FC236}">
              <a16:creationId xmlns:a16="http://schemas.microsoft.com/office/drawing/2014/main" id="{00000000-0008-0000-0700-00006E000000}"/>
            </a:ext>
          </a:extLst>
        </xdr:cNvPr>
        <xdr:cNvSpPr txBox="1"/>
      </xdr:nvSpPr>
      <xdr:spPr>
        <a:xfrm>
          <a:off x="6847898" y="255069588"/>
          <a:ext cx="5720772" cy="2431857"/>
        </a:xfrm>
        <a:prstGeom prst="rect">
          <a:avLst/>
        </a:prstGeom>
        <a:solidFill>
          <a:srgbClr val="DDDDDD"/>
        </a:solidFill>
        <a:ln>
          <a:noFill/>
        </a:ln>
      </xdr:spPr>
      <xdr:txBody>
        <a:bodyPr wrap="square" lIns="108000" tIns="108000" rIns="108000" bIns="108000">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10.3.3.1 Identificación de errores</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Si se detecta automáticamente un error en la entrada de datos, el elemento erróneo es identificado y el error se describe al usuario mediante un texto. (Nivel A)</a:t>
          </a:r>
          <a:endParaRPr lang="es-ES" sz="1500" b="0" strike="noStrike" spc="-1">
            <a:latin typeface="Times New Roman"/>
          </a:endParaRPr>
        </a:p>
        <a:p>
          <a:endParaRPr lang="es-ES" sz="1500" b="0" strike="noStrike" spc="-1">
            <a:latin typeface="Times New Roman"/>
          </a:endParaRPr>
        </a:p>
        <a:p>
          <a:r>
            <a:rPr lang="en-US" sz="1500" b="1" u="sng" strike="noStrike" spc="-1">
              <a:solidFill>
                <a:srgbClr val="3366FF"/>
              </a:solidFill>
              <a:latin typeface="Arial"/>
              <a:ea typeface="Linux Libertine G"/>
            </a:rPr>
            <a:t>https://www.w3.org/TR/WCAG/#error-identification</a:t>
          </a:r>
          <a:endParaRPr lang="es-ES" sz="1500" b="0" u="sng" strike="noStrike" spc="-1">
            <a:solidFill>
              <a:srgbClr val="3366FF"/>
            </a:solidFill>
            <a:latin typeface="Times New Roman"/>
          </a:endParaRPr>
        </a:p>
      </xdr:txBody>
    </xdr:sp>
    <xdr:clientData/>
  </xdr:twoCellAnchor>
  <xdr:twoCellAnchor editAs="absolute">
    <xdr:from>
      <xdr:col>7</xdr:col>
      <xdr:colOff>432731</xdr:colOff>
      <xdr:row>1501</xdr:row>
      <xdr:rowOff>136525</xdr:rowOff>
    </xdr:from>
    <xdr:to>
      <xdr:col>8</xdr:col>
      <xdr:colOff>182338</xdr:colOff>
      <xdr:row>1505</xdr:row>
      <xdr:rowOff>149288</xdr:rowOff>
    </xdr:to>
    <xdr:pic>
      <xdr:nvPicPr>
        <xdr:cNvPr id="111" name="Image 1">
          <a:extLst>
            <a:ext uri="{FF2B5EF4-FFF2-40B4-BE49-F238E27FC236}">
              <a16:creationId xmlns:a16="http://schemas.microsoft.com/office/drawing/2014/main" id="{00000000-0008-0000-0700-00006F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481481" y="249024775"/>
          <a:ext cx="575107" cy="647763"/>
        </a:xfrm>
        <a:prstGeom prst="rect">
          <a:avLst/>
        </a:prstGeom>
        <a:ln>
          <a:noFill/>
        </a:ln>
      </xdr:spPr>
    </xdr:pic>
    <xdr:clientData/>
  </xdr:twoCellAnchor>
  <xdr:twoCellAnchor editAs="absolute">
    <xdr:from>
      <xdr:col>4</xdr:col>
      <xdr:colOff>269875</xdr:colOff>
      <xdr:row>1506</xdr:row>
      <xdr:rowOff>21042</xdr:rowOff>
    </xdr:from>
    <xdr:to>
      <xdr:col>10</xdr:col>
      <xdr:colOff>825500</xdr:colOff>
      <xdr:row>1519</xdr:row>
      <xdr:rowOff>0</xdr:rowOff>
    </xdr:to>
    <xdr:sp macro="" textlink="">
      <xdr:nvSpPr>
        <xdr:cNvPr id="112" name="TextShape 1" descr="10.3.3.2 Etiquetas o instrucciones (Condicional)  Condición: Cuando los documentos se puedan descargar de una página web.  Se proporcionan etiquetas o instrucciones cuando el contenido requiere la introducción de datos por parte del usuario. (Nivel A)  https://www.w3.org/TR/WCAG/#labels-or-instructions">
          <a:extLst>
            <a:ext uri="{FF2B5EF4-FFF2-40B4-BE49-F238E27FC236}">
              <a16:creationId xmlns:a16="http://schemas.microsoft.com/office/drawing/2014/main" id="{00000000-0008-0000-0700-000070000000}"/>
            </a:ext>
          </a:extLst>
        </xdr:cNvPr>
        <xdr:cNvSpPr txBox="1"/>
      </xdr:nvSpPr>
      <xdr:spPr>
        <a:xfrm>
          <a:off x="6816148" y="261906587"/>
          <a:ext cx="5768397" cy="2230322"/>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10.3.3.2 Etiquetas o instrucciones</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Se proporcionan etiquetas o instrucciones cuando el contenido requiere la introducción de datos por parte del usuario. (Nivel A)</a:t>
          </a: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5"/>
            </a:rPr>
            <a:t>https://www.w3.org/TR/WCAG/#labels-or-instructions</a:t>
          </a:r>
          <a:endParaRPr lang="es-ES" sz="1500" b="0" strike="noStrike" spc="-1">
            <a:latin typeface="Times New Roman"/>
          </a:endParaRPr>
        </a:p>
      </xdr:txBody>
    </xdr:sp>
    <xdr:clientData/>
  </xdr:twoCellAnchor>
  <xdr:twoCellAnchor editAs="absolute">
    <xdr:from>
      <xdr:col>7</xdr:col>
      <xdr:colOff>385873</xdr:colOff>
      <xdr:row>1539</xdr:row>
      <xdr:rowOff>88900</xdr:rowOff>
    </xdr:from>
    <xdr:to>
      <xdr:col>8</xdr:col>
      <xdr:colOff>135480</xdr:colOff>
      <xdr:row>1543</xdr:row>
      <xdr:rowOff>113021</xdr:rowOff>
    </xdr:to>
    <xdr:pic>
      <xdr:nvPicPr>
        <xdr:cNvPr id="113" name="Image 1">
          <a:extLst>
            <a:ext uri="{FF2B5EF4-FFF2-40B4-BE49-F238E27FC236}">
              <a16:creationId xmlns:a16="http://schemas.microsoft.com/office/drawing/2014/main" id="{00000000-0008-0000-0700-000071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434623" y="255231900"/>
          <a:ext cx="575107" cy="659121"/>
        </a:xfrm>
        <a:prstGeom prst="rect">
          <a:avLst/>
        </a:prstGeom>
        <a:ln>
          <a:noFill/>
        </a:ln>
      </xdr:spPr>
    </xdr:pic>
    <xdr:clientData/>
  </xdr:twoCellAnchor>
  <xdr:twoCellAnchor editAs="absolute">
    <xdr:from>
      <xdr:col>4</xdr:col>
      <xdr:colOff>269875</xdr:colOff>
      <xdr:row>1544</xdr:row>
      <xdr:rowOff>15877</xdr:rowOff>
    </xdr:from>
    <xdr:to>
      <xdr:col>10</xdr:col>
      <xdr:colOff>764646</xdr:colOff>
      <xdr:row>1559</xdr:row>
      <xdr:rowOff>86591</xdr:rowOff>
    </xdr:to>
    <xdr:sp macro="" textlink="">
      <xdr:nvSpPr>
        <xdr:cNvPr id="114" name="TextShape 1" descr="10.3.3.3 Sugerencias ante errores (Condicional)  Condición: Cuando los documentos se puedan descargar de una página web.  Si se detecta automáticamente un error en la entrada de datos y se dispone de sugerencias para hacer la corrección, entonces se presentan las sugerencias al usuario, a menos que esto ponga en riesgo la seguridad o el propósito del contenido. (Nivel AA)  https://www.w3.org/TR/WCAG/#error-suggestion">
          <a:extLst>
            <a:ext uri="{FF2B5EF4-FFF2-40B4-BE49-F238E27FC236}">
              <a16:creationId xmlns:a16="http://schemas.microsoft.com/office/drawing/2014/main" id="{00000000-0008-0000-0700-000072000000}"/>
            </a:ext>
          </a:extLst>
        </xdr:cNvPr>
        <xdr:cNvSpPr txBox="1"/>
      </xdr:nvSpPr>
      <xdr:spPr>
        <a:xfrm>
          <a:off x="6816148" y="268690150"/>
          <a:ext cx="5707543" cy="2668441"/>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10.3.3.3 Sugerencias ante errores</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Si se detecta automáticamente un error en la entrada de datos y se dispone de sugerencias para hacer la corrección, entonces se presentan las sugerencias al usuario, a menos que esto ponga en riesgo la seguridad o el propósito del contenido. (Nivel AA)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6"/>
            </a:rPr>
            <a:t>https://www.w3.org/TR/WCAG/#error-suggestion</a:t>
          </a:r>
          <a:endParaRPr lang="es-ES" sz="1500" b="0" strike="noStrike" spc="-1">
            <a:latin typeface="Times New Roman"/>
          </a:endParaRPr>
        </a:p>
      </xdr:txBody>
    </xdr:sp>
    <xdr:clientData/>
  </xdr:twoCellAnchor>
  <xdr:twoCellAnchor editAs="absolute">
    <xdr:from>
      <xdr:col>5</xdr:col>
      <xdr:colOff>63499</xdr:colOff>
      <xdr:row>1582</xdr:row>
      <xdr:rowOff>42262</xdr:rowOff>
    </xdr:from>
    <xdr:to>
      <xdr:col>11</xdr:col>
      <xdr:colOff>793749</xdr:colOff>
      <xdr:row>1611</xdr:row>
      <xdr:rowOff>127000</xdr:rowOff>
    </xdr:to>
    <xdr:sp macro="" textlink="">
      <xdr:nvSpPr>
        <xdr:cNvPr id="115" name="TextShape 1" descr="10.3.3.4 Prevención de errores (legales, financieros, datos) (Condicional)  Condición: Cuando los documentos se puedan descargar de una página web.  Para los documentos que representan para el usuario compromisos legales o transacciones financieras, que modifican o eliminan datos controlables por el usuario en sistemas de almacenamiento de datos o que envían las respuestas dadas por el usuario en una prueba, se cumple al menos uno de los siguientes casos:   (Nivel AA)  - Reversible: El envío es reversible.  - Revisado: Se verifica la información para detectar errores en la entrada de datos y se proporciona al usuario una oportunidad de corregirlos.  - Confirmado: Se proporciona un mecanismo para revisar, confirmar y corregir la información antes de finalizar el envío de los datos.  https://www.w3.org/TR/WCAG/#error-prevention-legal-financial-data">
          <a:extLst>
            <a:ext uri="{FF2B5EF4-FFF2-40B4-BE49-F238E27FC236}">
              <a16:creationId xmlns:a16="http://schemas.microsoft.com/office/drawing/2014/main" id="{00000000-0008-0000-0700-000073000000}"/>
            </a:ext>
          </a:extLst>
        </xdr:cNvPr>
        <xdr:cNvSpPr txBox="1"/>
      </xdr:nvSpPr>
      <xdr:spPr>
        <a:xfrm>
          <a:off x="6984999" y="278378637"/>
          <a:ext cx="6556375" cy="5148863"/>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10.3.3.4 Prevención de errores (legales, financieros, datos)</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Para los documentos que representan para el usuario compromisos legales o transacciones financieras, que modifican o eliminan datos controlables por el usuario en sistemas de almacenamiento de datos o que envían las respuestas dadas por el usuario en una prueba, se cumple al menos uno de los siguientes casos: 	</a:t>
          </a:r>
        </a:p>
        <a:p>
          <a:r>
            <a:rPr lang="en-US" sz="1500" b="0" strike="noStrike" spc="-1">
              <a:solidFill>
                <a:srgbClr val="000000"/>
              </a:solidFill>
              <a:latin typeface="Arial"/>
              <a:ea typeface="Linux Libertine G"/>
            </a:rPr>
            <a:t>(Nivel AA)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Reversible</a:t>
          </a:r>
          <a:r>
            <a:rPr lang="en-US" sz="1500" b="0" strike="noStrike" spc="-1">
              <a:solidFill>
                <a:srgbClr val="000000"/>
              </a:solidFill>
              <a:latin typeface="Arial"/>
              <a:ea typeface="Linux Libertine G"/>
            </a:rPr>
            <a:t>: El envío es reversible.</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Revisado</a:t>
          </a:r>
          <a:r>
            <a:rPr lang="en-US" sz="1500" b="0" strike="noStrike" spc="-1">
              <a:solidFill>
                <a:srgbClr val="000000"/>
              </a:solidFill>
              <a:latin typeface="Arial"/>
              <a:ea typeface="Linux Libertine G"/>
            </a:rPr>
            <a:t>: Se verifica la información para detectar errores en la entrada de datos y se proporciona al usuario una oportunidad de corregirlos.</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Confirmado</a:t>
          </a:r>
          <a:r>
            <a:rPr lang="en-US" sz="1500" b="0" strike="noStrike" spc="-1">
              <a:solidFill>
                <a:srgbClr val="000000"/>
              </a:solidFill>
              <a:latin typeface="Arial"/>
              <a:ea typeface="Linux Libertine G"/>
            </a:rPr>
            <a:t>: Se proporciona un mecanismo para revisar, confirmar y corregir la información antes de finalizar el envío de los datos.</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7"/>
            </a:rPr>
            <a:t>https://www.w3.org/TR/WCAG/#error-prevention-legal-financial-data</a:t>
          </a:r>
          <a:endParaRPr lang="es-ES" sz="1500" b="0" strike="noStrike" spc="-1">
            <a:latin typeface="Times New Roman"/>
          </a:endParaRPr>
        </a:p>
      </xdr:txBody>
    </xdr:sp>
    <xdr:clientData/>
  </xdr:twoCellAnchor>
  <xdr:twoCellAnchor editAs="absolute">
    <xdr:from>
      <xdr:col>5</xdr:col>
      <xdr:colOff>2268</xdr:colOff>
      <xdr:row>1621</xdr:row>
      <xdr:rowOff>31506</xdr:rowOff>
    </xdr:from>
    <xdr:to>
      <xdr:col>10</xdr:col>
      <xdr:colOff>848876</xdr:colOff>
      <xdr:row>1647</xdr:row>
      <xdr:rowOff>176067</xdr:rowOff>
    </xdr:to>
    <xdr:sp macro="" textlink="">
      <xdr:nvSpPr>
        <xdr:cNvPr id="116" name="TextShape 1" descr="10.4.1.1 Procesamiento (Condicional)  Condición: Cuando los documentos se puedan descargar de una página web.  En los documentos que usen lenguajes de marcas de forma que las marcas se muestren por separado y estén disponibles para los productos de apoyo y características de accesibilidad del software o para un agente de usuario seleccionable por este, los elementos tienen las etiquetas de apertura y cierre completas, los elementos están anidados de acuerdo con sus especificaciones, los elementos no contienen atributos duplicados, y los ID son únicos, excepto cuando las especificaciones permitan estas características.   . (Nivel A)  Nota: Las etiquetas de apertura y cierre a las que les falte un carácter crítico para su formación, como un signo de &quot;mayor qué&quot;, o en las que falten las comillas de apertura o cierre en el valor de un atributo, no se consideran completas.  https://www.w3.org/TR/WCAG/#parsing">
          <a:extLst>
            <a:ext uri="{FF2B5EF4-FFF2-40B4-BE49-F238E27FC236}">
              <a16:creationId xmlns:a16="http://schemas.microsoft.com/office/drawing/2014/main" id="{00000000-0008-0000-0700-000074000000}"/>
            </a:ext>
          </a:extLst>
        </xdr:cNvPr>
        <xdr:cNvSpPr txBox="1"/>
      </xdr:nvSpPr>
      <xdr:spPr>
        <a:xfrm>
          <a:off x="6923768" y="285527506"/>
          <a:ext cx="5704358" cy="5097561"/>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10.4.1.1 Procesamiento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En los documentos que usen lenguajes de marcas de forma que las marcas se muestren por separado y estén disponibles para los productos de apoyo y características de accesibilidad del software o para un agente de usuario seleccionable por este, los elementos tienen las etiquetas de apertura y cierre completas, los elementos están anidados de acuerdo con sus especificaciones, los elementos no contienen atributos duplicados, y los ID son únicos, excepto cuando las especificaciones permitan estas características. 	</a:t>
          </a:r>
        </a:p>
        <a:p>
          <a:r>
            <a:rPr lang="en-US" sz="1500" b="0" strike="noStrike" spc="-1">
              <a:solidFill>
                <a:srgbClr val="000000"/>
              </a:solidFill>
              <a:latin typeface="Arial"/>
              <a:ea typeface="Linux Libertine G"/>
            </a:rPr>
            <a:t>. (Nivel A)</a:t>
          </a:r>
          <a:endParaRPr lang="es-ES" sz="1500" b="0" strike="noStrike" spc="-1">
            <a:latin typeface="Times New Roman"/>
          </a:endParaRPr>
        </a:p>
        <a:p>
          <a:endParaRPr lang="es-ES" sz="1500" b="0" strike="noStrike" spc="-1">
            <a:latin typeface="Times New Roman"/>
          </a:endParaRPr>
        </a:p>
        <a:p>
          <a:r>
            <a:rPr lang="en-US" sz="1200" b="0" strike="noStrike" spc="-1">
              <a:solidFill>
                <a:srgbClr val="000000"/>
              </a:solidFill>
              <a:latin typeface="Arial" panose="020B0604020202020204" pitchFamily="34" charset="0"/>
              <a:ea typeface="Linux Libertine G"/>
              <a:cs typeface="Arial" panose="020B0604020202020204" pitchFamily="34" charset="0"/>
            </a:rPr>
            <a:t>Nota: Las etiquetas de apertura y cierre a las que les falte un carácter crítico para su formación, como un signo de "mayor qué", o en las que falten las comillas de apertura o cierre en el valor de un atributo, no se consideran completas.</a:t>
          </a:r>
          <a:endParaRPr lang="es-ES" sz="1200" b="0" strike="noStrike" spc="-1">
            <a:latin typeface="Arial" panose="020B0604020202020204" pitchFamily="34" charset="0"/>
            <a:cs typeface="Arial" panose="020B0604020202020204" pitchFamily="34" charset="0"/>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8"/>
            </a:rPr>
            <a:t>https://www.w3.org/TR/WCAG/#parsing</a:t>
          </a:r>
          <a:endParaRPr lang="es-ES" sz="1500" b="0" strike="noStrike" spc="-1">
            <a:latin typeface="Times New Roman"/>
          </a:endParaRPr>
        </a:p>
      </xdr:txBody>
    </xdr:sp>
    <xdr:clientData/>
  </xdr:twoCellAnchor>
  <xdr:twoCellAnchor editAs="absolute">
    <xdr:from>
      <xdr:col>7</xdr:col>
      <xdr:colOff>515314</xdr:colOff>
      <xdr:row>1616</xdr:row>
      <xdr:rowOff>121444</xdr:rowOff>
    </xdr:from>
    <xdr:to>
      <xdr:col>8</xdr:col>
      <xdr:colOff>250131</xdr:colOff>
      <xdr:row>1620</xdr:row>
      <xdr:rowOff>49812</xdr:rowOff>
    </xdr:to>
    <xdr:pic>
      <xdr:nvPicPr>
        <xdr:cNvPr id="117" name="Image 1">
          <a:extLst>
            <a:ext uri="{FF2B5EF4-FFF2-40B4-BE49-F238E27FC236}">
              <a16:creationId xmlns:a16="http://schemas.microsoft.com/office/drawing/2014/main" id="{00000000-0008-0000-0700-000075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16439" y="284664944"/>
          <a:ext cx="576192" cy="690368"/>
        </a:xfrm>
        <a:prstGeom prst="rect">
          <a:avLst/>
        </a:prstGeom>
        <a:ln>
          <a:noFill/>
        </a:ln>
      </xdr:spPr>
    </xdr:pic>
    <xdr:clientData/>
  </xdr:twoCellAnchor>
  <xdr:twoCellAnchor editAs="absolute">
    <xdr:from>
      <xdr:col>7</xdr:col>
      <xdr:colOff>401411</xdr:colOff>
      <xdr:row>1577</xdr:row>
      <xdr:rowOff>146050</xdr:rowOff>
    </xdr:from>
    <xdr:to>
      <xdr:col>8</xdr:col>
      <xdr:colOff>136228</xdr:colOff>
      <xdr:row>1582</xdr:row>
      <xdr:rowOff>37318</xdr:rowOff>
    </xdr:to>
    <xdr:pic>
      <xdr:nvPicPr>
        <xdr:cNvPr id="118" name="Image 1">
          <a:extLst>
            <a:ext uri="{FF2B5EF4-FFF2-40B4-BE49-F238E27FC236}">
              <a16:creationId xmlns:a16="http://schemas.microsoft.com/office/drawing/2014/main" id="{00000000-0008-0000-0700-000076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450161" y="261543800"/>
          <a:ext cx="560317" cy="685018"/>
        </a:xfrm>
        <a:prstGeom prst="rect">
          <a:avLst/>
        </a:prstGeom>
        <a:ln>
          <a:noFill/>
        </a:ln>
      </xdr:spPr>
    </xdr:pic>
    <xdr:clientData/>
  </xdr:twoCellAnchor>
  <xdr:twoCellAnchor editAs="absolute">
    <xdr:from>
      <xdr:col>4</xdr:col>
      <xdr:colOff>238125</xdr:colOff>
      <xdr:row>1659</xdr:row>
      <xdr:rowOff>58574</xdr:rowOff>
    </xdr:from>
    <xdr:to>
      <xdr:col>10</xdr:col>
      <xdr:colOff>676694</xdr:colOff>
      <xdr:row>1686</xdr:row>
      <xdr:rowOff>17318</xdr:rowOff>
    </xdr:to>
    <xdr:sp macro="" textlink="">
      <xdr:nvSpPr>
        <xdr:cNvPr id="119" name="TextShape 1" descr="10.4.1.2 Nombre, función, valor  (Condicional)  Condición: Cuando los documentos se puedan descargar de una página web.  Para todos los componentes de la interfaz de usuario (incluyendo pero no limitado a: elementos de formulario, enlaces y componentes generados por scripts), el nombre y la función pueden ser determinados por software; los estados, propiedades y valores que pueden ser asignados por el usuario pueden ser especificados por software; y los cambios en estos elementos se encuentran disponibles para su consulta por las aplicaciones de usuario, incluyendo las ayudas técnicas. (Nivel A)  Nota: Este criterio de conformidad se dirige principalmente a los autores web que desarrollan o programan sus propios componentes de interfaz de usuario. Por ejemplo, los controles estándar de HTML satisfacen automáticamente este criterio cuando se emplean de acuerdo con su especificación.  https://www.w3.org/TR/WCAG/#name-role-value">
          <a:extLst>
            <a:ext uri="{FF2B5EF4-FFF2-40B4-BE49-F238E27FC236}">
              <a16:creationId xmlns:a16="http://schemas.microsoft.com/office/drawing/2014/main" id="{00000000-0008-0000-0700-000077000000}"/>
            </a:ext>
          </a:extLst>
        </xdr:cNvPr>
        <xdr:cNvSpPr txBox="1"/>
      </xdr:nvSpPr>
      <xdr:spPr>
        <a:xfrm>
          <a:off x="6784398" y="290086165"/>
          <a:ext cx="5651341" cy="5102244"/>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10.4.1.2 Nombre, función, valor </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1" strike="noStrike" spc="-1">
            <a:solidFill>
              <a:srgbClr val="000000"/>
            </a:solidFill>
            <a:latin typeface="Arial"/>
            <a:ea typeface="Linux Libertine G"/>
          </a:endParaRPr>
        </a:p>
        <a:p>
          <a:r>
            <a:rPr lang="en-US" sz="1500" b="0" strike="noStrike" spc="-1">
              <a:solidFill>
                <a:srgbClr val="000000"/>
              </a:solidFill>
              <a:latin typeface="Arial"/>
              <a:ea typeface="Linux Libertine G"/>
            </a:rPr>
            <a:t>Para todos los componentes de la interfaz de usuario (incluyendo pero no limitado a: elementos de formulario, enlaces y componentes generados por scripts), el nombre y la función pueden ser determinados por software; los estados, propiedades y valores que pueden ser asignados por el usuario pueden ser especificados por software; y los cambios en estos elementos se encuentran disponibles para su consulta por las aplicaciones de usuario, incluyendo las ayudas técnicas. (Nivel A)</a:t>
          </a:r>
          <a:endParaRPr lang="es-ES" sz="1500" b="0" strike="noStrike" spc="-1">
            <a:latin typeface="Times New Roman"/>
          </a:endParaRPr>
        </a:p>
        <a:p>
          <a:endParaRPr lang="es-ES" sz="1500" b="0" strike="noStrike" spc="-1">
            <a:latin typeface="Times New Roman"/>
          </a:endParaRPr>
        </a:p>
        <a:p>
          <a:r>
            <a:rPr lang="en-US" sz="1200" b="0" strike="noStrike" spc="-1">
              <a:solidFill>
                <a:srgbClr val="000000"/>
              </a:solidFill>
              <a:latin typeface="Arial"/>
              <a:ea typeface="Linux Libertine G"/>
            </a:rPr>
            <a:t>Nota: Este criterio de conformidad se dirige principalmente a los autores web que desarrollan o programan sus propios componentes de interfaz de usuario. Por ejemplo, los controles estándar de HTML satisfacen automáticamente este criterio cuando se emplean de acuerdo con su especificación.</a:t>
          </a:r>
          <a:endParaRPr lang="es-ES" sz="12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9"/>
            </a:rPr>
            <a:t>https://www.w3.org/TR/WCAG/#name-role-value</a:t>
          </a:r>
          <a:endParaRPr lang="es-ES" sz="1500" b="0" strike="noStrike" spc="-1">
            <a:latin typeface="Times New Roman"/>
          </a:endParaRPr>
        </a:p>
      </xdr:txBody>
    </xdr:sp>
    <xdr:clientData/>
  </xdr:twoCellAnchor>
  <xdr:twoCellAnchor editAs="absolute">
    <xdr:from>
      <xdr:col>7</xdr:col>
      <xdr:colOff>418949</xdr:colOff>
      <xdr:row>1654</xdr:row>
      <xdr:rowOff>76200</xdr:rowOff>
    </xdr:from>
    <xdr:to>
      <xdr:col>8</xdr:col>
      <xdr:colOff>153766</xdr:colOff>
      <xdr:row>1658</xdr:row>
      <xdr:rowOff>2393</xdr:rowOff>
    </xdr:to>
    <xdr:pic>
      <xdr:nvPicPr>
        <xdr:cNvPr id="120" name="Image 1">
          <a:extLst>
            <a:ext uri="{FF2B5EF4-FFF2-40B4-BE49-F238E27FC236}">
              <a16:creationId xmlns:a16="http://schemas.microsoft.com/office/drawing/2014/main" id="{00000000-0008-0000-0700-000078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420074" y="292065075"/>
          <a:ext cx="576192" cy="688193"/>
        </a:xfrm>
        <a:prstGeom prst="rect">
          <a:avLst/>
        </a:prstGeom>
        <a:ln>
          <a:noFill/>
        </a:ln>
      </xdr:spPr>
    </xdr:pic>
    <xdr:clientData/>
  </xdr:twoCellAnchor>
  <xdr:twoCellAnchor editAs="absolute">
    <xdr:from>
      <xdr:col>5</xdr:col>
      <xdr:colOff>7100</xdr:colOff>
      <xdr:row>670</xdr:row>
      <xdr:rowOff>41726</xdr:rowOff>
    </xdr:from>
    <xdr:to>
      <xdr:col>11</xdr:col>
      <xdr:colOff>20253</xdr:colOff>
      <xdr:row>701</xdr:row>
      <xdr:rowOff>114011</xdr:rowOff>
    </xdr:to>
    <xdr:sp macro="" textlink="">
      <xdr:nvSpPr>
        <xdr:cNvPr id="148" name="TextShape 1" descr="10.1.4.12 Espaciado del texto (Condicional)  Condición: Cuando los documentos se puedan descargar de una página web.  En el contenido implementado usando lenguajes de marcado que soportan las siguientes propiedades de estilo de texto, no se produce ninguna pérdida de contenido o funcionalidad al configurar todo lo siguiente y al no cambiar ninguna otra propiedad de estilo:   - Altura de línea (espaciado de línea) de al menos 1,5 veces el tamaño de la fuente;  - Espaciando los párrafos siguientes a por lo menos 2 veces el tamaño de la fuente;  - Espaciado de letras (rastreo) a por lo menos 0.12 veces el tamaño de la fuente;  - Espacio entre palabras de al menos 0.16 veces el tamaño de la fuente.  https://www.w3.org/TR/WCAG/#text-spacing">
          <a:extLst>
            <a:ext uri="{FF2B5EF4-FFF2-40B4-BE49-F238E27FC236}">
              <a16:creationId xmlns:a16="http://schemas.microsoft.com/office/drawing/2014/main" id="{A864EAD8-723F-4D45-9E9C-92DD10EC49E9}"/>
            </a:ext>
          </a:extLst>
        </xdr:cNvPr>
        <xdr:cNvSpPr txBox="1"/>
      </xdr:nvSpPr>
      <xdr:spPr>
        <a:xfrm>
          <a:off x="6928600" y="114786226"/>
          <a:ext cx="5839278" cy="5485660"/>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10.1.4.12 Espaciado del texto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En el contenido implementado usando lenguajes de marcado que soportan las siguientes propiedades de estilo de texto, no se produce ninguna pérdida de contenido o funcionalidad al configurar todo lo siguiente y al no cambiar ninguna otra propiedad de estilo: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Altura de línea (espaciado de línea) de al menos 1,5 veces el tamaño de la fuente;</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Espaciando los párrafos siguientes a por lo menos 2 veces el tamaño de la fuente;</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Espaciado de letras (rastreo) a por lo menos 0.12 veces el tamaño de la fuente;</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Espacio entre palabras de al menos 0.16 veces el tamaño de la fuente.</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0"/>
            </a:rPr>
            <a:t>https://www.w3.org/TR/WCAG/#text-spacing</a:t>
          </a:r>
          <a:endParaRPr lang="es-ES" sz="1500" b="0" strike="noStrike" spc="-1">
            <a:latin typeface="Times New Roman"/>
          </a:endParaRPr>
        </a:p>
      </xdr:txBody>
    </xdr:sp>
    <xdr:clientData/>
  </xdr:twoCellAnchor>
  <xdr:twoCellAnchor editAs="absolute">
    <xdr:from>
      <xdr:col>5</xdr:col>
      <xdr:colOff>246</xdr:colOff>
      <xdr:row>707</xdr:row>
      <xdr:rowOff>83141</xdr:rowOff>
    </xdr:from>
    <xdr:to>
      <xdr:col>11</xdr:col>
      <xdr:colOff>171450</xdr:colOff>
      <xdr:row>739</xdr:row>
      <xdr:rowOff>158750</xdr:rowOff>
    </xdr:to>
    <xdr:sp macro="" textlink="">
      <xdr:nvSpPr>
        <xdr:cNvPr id="149" name="TextShape 1" descr="10.1.4.13 Contenido señalado con el puntero o que tiene el foco (Condicional)  Condición: Cuando los documentos se puedan descargar de una página web.  Si al recibir y luego eliminar el puntero o el foco del teclado se activa el contenido adicional para que se haga visible y luego se oculte, lo siguiente es cierto:   - Puede retirarse: Un mecanismo está disponible para descartar el contenido adicional sin mover el puntero o el foco del teclado, a menos que el contenido adicional comunique un error de entrada o no oscurezca o reemplace otro contenido;  - Hoverable: Si el puntero puede activar el contenido adicional, entonces el puntero puede moverse sobre el contenido adicional sin que el contenido adicional desaparezca;  - Persistente: El contenido adicional permanece visible hasta que se elimina el cursor o el disparador de enfoque, el usuario lo despide o su información deja de ser válida.  https://www.w3.org/TR/WCAG/#content-on-hover-or-focus">
          <a:extLst>
            <a:ext uri="{FF2B5EF4-FFF2-40B4-BE49-F238E27FC236}">
              <a16:creationId xmlns:a16="http://schemas.microsoft.com/office/drawing/2014/main" id="{40C2B2E5-5D03-478B-B19F-D0693D4EFC37}"/>
            </a:ext>
          </a:extLst>
        </xdr:cNvPr>
        <xdr:cNvSpPr txBox="1"/>
      </xdr:nvSpPr>
      <xdr:spPr>
        <a:xfrm>
          <a:off x="6932329" y="115706058"/>
          <a:ext cx="6002621" cy="5451942"/>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10.1.4.13 Contenido señalado con el puntero o que tiene el foco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Si al recibir y luego eliminar el puntero o el foco del teclado se activa el contenido adicional para que se haga visible y luego se oculte, lo siguiente es cierto: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Puede retirarse</a:t>
          </a:r>
          <a:r>
            <a:rPr lang="en-US" sz="1500" b="0" strike="noStrike" spc="-1">
              <a:solidFill>
                <a:srgbClr val="000000"/>
              </a:solidFill>
              <a:latin typeface="Arial"/>
              <a:ea typeface="Linux Libertine G"/>
            </a:rPr>
            <a:t>: Un mecanismo está disponible para descartar el contenido adicional sin mover el puntero o el foco del teclado, a menos que el contenido adicional comunique un error de entrada o no oscurezca o reemplace otro contenido;</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Hoverable</a:t>
          </a:r>
          <a:r>
            <a:rPr lang="en-US" sz="1500" b="0" strike="noStrike" spc="-1">
              <a:solidFill>
                <a:srgbClr val="000000"/>
              </a:solidFill>
              <a:latin typeface="Arial"/>
              <a:ea typeface="Linux Libertine G"/>
            </a:rPr>
            <a:t>: Si el puntero puede activar el contenido adicional, entonces el puntero puede moverse sobre el contenido adicional sin que el contenido adicional desaparezca;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Persistente</a:t>
          </a:r>
          <a:r>
            <a:rPr lang="en-US" sz="1500" b="0" strike="noStrike" spc="-1">
              <a:solidFill>
                <a:srgbClr val="000000"/>
              </a:solidFill>
              <a:latin typeface="Arial"/>
              <a:ea typeface="Linux Libertine G"/>
            </a:rPr>
            <a:t>: El contenido adicional permanece visible hasta que se elimina el cursor o el disparador de enfoque, el usuario lo despide o su información deja de ser válida.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1"/>
            </a:rPr>
            <a:t>https://www.w3.org/TR/WCAG/#content-on-hover-or-focus</a:t>
          </a:r>
          <a:endParaRPr lang="es-ES" sz="1500" b="0" strike="noStrike" spc="-1">
            <a:latin typeface="Times New Roman"/>
          </a:endParaRPr>
        </a:p>
      </xdr:txBody>
    </xdr:sp>
    <xdr:clientData/>
  </xdr:twoCellAnchor>
  <xdr:twoCellAnchor editAs="absolute">
    <xdr:from>
      <xdr:col>7</xdr:col>
      <xdr:colOff>533497</xdr:colOff>
      <xdr:row>703</xdr:row>
      <xdr:rowOff>113159</xdr:rowOff>
    </xdr:from>
    <xdr:to>
      <xdr:col>8</xdr:col>
      <xdr:colOff>264937</xdr:colOff>
      <xdr:row>708</xdr:row>
      <xdr:rowOff>16733</xdr:rowOff>
    </xdr:to>
    <xdr:pic>
      <xdr:nvPicPr>
        <xdr:cNvPr id="150" name="Image 1">
          <a:extLst>
            <a:ext uri="{FF2B5EF4-FFF2-40B4-BE49-F238E27FC236}">
              <a16:creationId xmlns:a16="http://schemas.microsoft.com/office/drawing/2014/main" id="{ECACFD47-2A35-4246-9FAB-A227FAA1B3E5}"/>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82247" y="117651659"/>
          <a:ext cx="556940" cy="697324"/>
        </a:xfrm>
        <a:prstGeom prst="rect">
          <a:avLst/>
        </a:prstGeom>
        <a:ln>
          <a:noFill/>
        </a:ln>
      </xdr:spPr>
    </xdr:pic>
    <xdr:clientData/>
  </xdr:twoCellAnchor>
  <xdr:twoCellAnchor editAs="absolute">
    <xdr:from>
      <xdr:col>5</xdr:col>
      <xdr:colOff>6427</xdr:colOff>
      <xdr:row>746</xdr:row>
      <xdr:rowOff>102923</xdr:rowOff>
    </xdr:from>
    <xdr:to>
      <xdr:col>11</xdr:col>
      <xdr:colOff>603250</xdr:colOff>
      <xdr:row>775</xdr:row>
      <xdr:rowOff>42334</xdr:rowOff>
    </xdr:to>
    <xdr:sp macro="" textlink="">
      <xdr:nvSpPr>
        <xdr:cNvPr id="151" name="TextShape 1" descr="10.2.1.1 Teclado (Condicional)  Condición: Cuando los documentos se puedan descargar de una página web.  Toda la funcionalidad del contenido es operable a través de una interfaz de teclado sin que se requiera una determinada velocidad para cada pulsación individual de las teclas, excepto cuando la función interna requiere de una entrada que depende del trayecto de los movimientos del usuario y no sólo de los puntos inicial y final. (Nivel A)  Nota 1: Esta excepción se refiere a la función subyacente, no a la técnica de entrada de datos. Por ejemplo, si la entrada de texto se hace por medio de escritura a mano, la técnica de entrada (escritura a mano) depende del trazo (ruta trazada) pero la función interna (introducir texto) no.  Nota 2: Esto no prohíbe ni debería desanimar a los autores a proporcionar entrada de ratón u otros métodos de entrada de datos adicionales a la operabilidad a través del teclado. https://www.w3.org/TR/WCAG/#keyboard">
          <a:extLst>
            <a:ext uri="{FF2B5EF4-FFF2-40B4-BE49-F238E27FC236}">
              <a16:creationId xmlns:a16="http://schemas.microsoft.com/office/drawing/2014/main" id="{58A117FC-FD3E-4C4D-9C7F-168249B44D74}"/>
            </a:ext>
          </a:extLst>
        </xdr:cNvPr>
        <xdr:cNvSpPr txBox="1"/>
      </xdr:nvSpPr>
      <xdr:spPr>
        <a:xfrm>
          <a:off x="6938510" y="122372173"/>
          <a:ext cx="6428240" cy="4236244"/>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10.2.1.1 Teclado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Toda la funcionalidad del contenido es operable a través de una interfaz de teclado sin que se requiera una determinada velocidad para cada pulsación individual de las teclas, excepto cuando la función interna requiere de una entrada que depende del trayecto de los movimientos del usuario y no sólo de los puntos inicial y final. (Nivel A)</a:t>
          </a:r>
          <a:endParaRPr lang="es-ES" sz="1500" b="0" strike="noStrike" spc="-1">
            <a:latin typeface="Times New Roman"/>
          </a:endParaRPr>
        </a:p>
        <a:p>
          <a:endParaRPr lang="es-ES" sz="1500" b="0" strike="noStrike" spc="-1">
            <a:latin typeface="Times New Roman"/>
          </a:endParaRPr>
        </a:p>
        <a:p>
          <a:r>
            <a:rPr lang="en-US" sz="1200" b="0" strike="noStrike" spc="-1">
              <a:solidFill>
                <a:srgbClr val="000000"/>
              </a:solidFill>
              <a:latin typeface="Arial" panose="020B0604020202020204" pitchFamily="34" charset="0"/>
              <a:ea typeface="Linux Libertine G"/>
              <a:cs typeface="Arial" panose="020B0604020202020204" pitchFamily="34" charset="0"/>
            </a:rPr>
            <a:t>Nota 1: Esta excepción se refiere a la función subyacente, no a la técnica de entrada de datos. Por ejemplo, si la entrada de texto se hace por medio de escritura a mano, la técnica de entrada (escritura a mano) depende del trazo (ruta trazada) pero la función interna (introducir texto) no.</a:t>
          </a:r>
          <a:endParaRPr lang="es-ES" sz="1200" b="0" strike="noStrike" spc="-1">
            <a:latin typeface="Arial" panose="020B0604020202020204" pitchFamily="34" charset="0"/>
            <a:cs typeface="Arial" panose="020B0604020202020204" pitchFamily="34" charset="0"/>
          </a:endParaRPr>
        </a:p>
        <a:p>
          <a:endParaRPr lang="es-ES" sz="1200" b="0" strike="noStrike" spc="-1">
            <a:latin typeface="Arial" panose="020B0604020202020204" pitchFamily="34" charset="0"/>
            <a:cs typeface="Arial" panose="020B0604020202020204" pitchFamily="34" charset="0"/>
          </a:endParaRPr>
        </a:p>
        <a:p>
          <a:r>
            <a:rPr lang="en-US" sz="1200" b="0" strike="noStrike" spc="-1">
              <a:solidFill>
                <a:srgbClr val="000000"/>
              </a:solidFill>
              <a:latin typeface="Arial" panose="020B0604020202020204" pitchFamily="34" charset="0"/>
              <a:ea typeface="Linux Libertine G"/>
              <a:cs typeface="Arial" panose="020B0604020202020204" pitchFamily="34" charset="0"/>
            </a:rPr>
            <a:t>Nota 2: Esto no prohíbe ni debería desanimar a los autores a proporcionar entrada de ratón u otros métodos de entrada de datos adicionales a la operabilidad a través del teclado.</a:t>
          </a:r>
        </a:p>
        <a:p>
          <a:endParaRPr lang="es-ES" sz="1200" b="0" strike="noStrike" spc="-1">
            <a:latin typeface="Arial" panose="020B0604020202020204" pitchFamily="34" charset="0"/>
            <a:cs typeface="Arial" panose="020B0604020202020204" pitchFamily="34" charset="0"/>
          </a:endParaRPr>
        </a:p>
        <a:p>
          <a:r>
            <a:rPr lang="en-US" sz="1500" b="1" strike="noStrike" spc="-1">
              <a:solidFill>
                <a:srgbClr val="3465A4"/>
              </a:solidFill>
              <a:latin typeface="Arial"/>
              <a:ea typeface="Linux Libertine G"/>
              <a:hlinkClick xmlns:r="http://schemas.openxmlformats.org/officeDocument/2006/relationships" r:id="rId12"/>
            </a:rPr>
            <a:t>https://www.w3.org/TR/WCAG/#keyboard</a:t>
          </a:r>
          <a:endParaRPr lang="es-ES" sz="1500" b="0" strike="noStrike" spc="-1">
            <a:latin typeface="Times New Roman"/>
          </a:endParaRPr>
        </a:p>
      </xdr:txBody>
    </xdr:sp>
    <xdr:clientData/>
  </xdr:twoCellAnchor>
  <xdr:twoCellAnchor editAs="absolute">
    <xdr:from>
      <xdr:col>5</xdr:col>
      <xdr:colOff>4309</xdr:colOff>
      <xdr:row>937</xdr:row>
      <xdr:rowOff>117939</xdr:rowOff>
    </xdr:from>
    <xdr:to>
      <xdr:col>11</xdr:col>
      <xdr:colOff>335642</xdr:colOff>
      <xdr:row>957</xdr:row>
      <xdr:rowOff>79375</xdr:rowOff>
    </xdr:to>
    <xdr:sp macro="" textlink="">
      <xdr:nvSpPr>
        <xdr:cNvPr id="152" name="TextShape 1" descr="10.2.3.1 Umbral de tres destellos o menos (Condicional)  Condición: Cuando los documentos se puedan descargar de una página web.  Los documentos no contienen nada que destelle más de tres veces en un segundo, o el destello está por debajo del umbral de destello general y de destello rojo. (Nivel A)  Nota: En la medida en que cualquier parte del documento que no cumpla este criterio puede interferir con la capacidad del usuario de emplear el documento en su conjunto, es necesario que todo el contenido del documento (tanto si se utiliza como si no para cumplir otros criterios de conformidad) cumpla este criterio de conformidad.  https://www.w3.org/TR/WCAG/#three-flashes-or-below-threshold">
          <a:extLst>
            <a:ext uri="{FF2B5EF4-FFF2-40B4-BE49-F238E27FC236}">
              <a16:creationId xmlns:a16="http://schemas.microsoft.com/office/drawing/2014/main" id="{6BD99A46-6710-4C99-B5BC-1A2AC15D0089}"/>
            </a:ext>
          </a:extLst>
        </xdr:cNvPr>
        <xdr:cNvSpPr txBox="1"/>
      </xdr:nvSpPr>
      <xdr:spPr>
        <a:xfrm>
          <a:off x="6925809" y="162312814"/>
          <a:ext cx="6157458" cy="3453936"/>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10.2.3.1 Umbral de tres destellos o menos</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Los documentos no contienen nada que destelle más de tres veces en un segundo, o el destello está por debajo del umbral de destello general y de destello rojo. (Nivel A)</a:t>
          </a:r>
          <a:endParaRPr lang="es-ES" sz="1500" b="0" strike="noStrike" spc="-1">
            <a:latin typeface="Times New Roman"/>
          </a:endParaRPr>
        </a:p>
        <a:p>
          <a:endParaRPr lang="es-ES" sz="1500" b="0" strike="noStrike" spc="-1">
            <a:latin typeface="Times New Roman"/>
          </a:endParaRPr>
        </a:p>
        <a:p>
          <a:r>
            <a:rPr lang="en-US" sz="1200" b="0" strike="noStrike" spc="-1">
              <a:solidFill>
                <a:srgbClr val="000000"/>
              </a:solidFill>
              <a:latin typeface="Arial" panose="020B0604020202020204" pitchFamily="34" charset="0"/>
              <a:ea typeface="Linux Libertine G"/>
              <a:cs typeface="Arial" panose="020B0604020202020204" pitchFamily="34" charset="0"/>
            </a:rPr>
            <a:t>Nota: En la medida en que cualquier parte del documento que no cumpla este criterio puede interferir con la capacidad del usuario de emplear el documento en su conjunto, es necesario que todo el contenido del documento (tanto si se utiliza como si no para cumplir otros criterios de conformidad) cumpla este criterio de conformidad.</a:t>
          </a:r>
          <a:endParaRPr lang="es-ES" sz="1200" b="0" strike="noStrike" spc="-1">
            <a:latin typeface="Arial" panose="020B0604020202020204" pitchFamily="34" charset="0"/>
            <a:cs typeface="Arial" panose="020B0604020202020204" pitchFamily="34" charset="0"/>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3"/>
            </a:rPr>
            <a:t>https://www.w3.org/TR/WCAG/#three-flashes-or-below-threshold</a:t>
          </a:r>
          <a:endParaRPr lang="es-ES" sz="1500" b="0" strike="noStrike" spc="-1">
            <a:latin typeface="Times New Roman"/>
          </a:endParaRPr>
        </a:p>
      </xdr:txBody>
    </xdr:sp>
    <xdr:clientData/>
  </xdr:twoCellAnchor>
  <xdr:twoCellAnchor editAs="absolute">
    <xdr:from>
      <xdr:col>4</xdr:col>
      <xdr:colOff>331639</xdr:colOff>
      <xdr:row>821</xdr:row>
      <xdr:rowOff>161891</xdr:rowOff>
    </xdr:from>
    <xdr:to>
      <xdr:col>10</xdr:col>
      <xdr:colOff>965733</xdr:colOff>
      <xdr:row>847</xdr:row>
      <xdr:rowOff>148167</xdr:rowOff>
    </xdr:to>
    <xdr:sp macro="" textlink="">
      <xdr:nvSpPr>
        <xdr:cNvPr id="153" name="TextShape 1" descr="10.2.1.4  Atajos del teclado (Condicional)  Condición: Cuando los documentos se puedan descargar de una página web.  En el caso de que para activar los elementos de interacción (enlaces, botones, etc.) se empleen atajos de teclado usando una única letra, signo de puntuación, número o símbolo entonces se debe cumplir al menos una de las siguientes condiciones:  - Existe un mecanismo que permite desactivar el atajo de teclado  - Existe un mecanismo que permite reasignar el atajo de teclado para emplear en su lugar otra tecla no imprimible (ej, Ctrl, Alt, etc.)  - El atajo de teclado sólo se puede activar cuando el componente tiene el foco del teclado.  https://www.w3.org/TR/WCAG/#character-key-shortcuts">
          <a:extLst>
            <a:ext uri="{FF2B5EF4-FFF2-40B4-BE49-F238E27FC236}">
              <a16:creationId xmlns:a16="http://schemas.microsoft.com/office/drawing/2014/main" id="{9CCF7551-CB14-4589-99EE-D14521892132}"/>
            </a:ext>
          </a:extLst>
        </xdr:cNvPr>
        <xdr:cNvSpPr txBox="1"/>
      </xdr:nvSpPr>
      <xdr:spPr>
        <a:xfrm>
          <a:off x="6893306" y="134898308"/>
          <a:ext cx="5862260" cy="4388942"/>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s-ES" sz="1500" b="1" strike="noStrike" spc="-1">
              <a:solidFill>
                <a:srgbClr val="000000"/>
              </a:solidFill>
              <a:latin typeface="Arial"/>
              <a:ea typeface="Linux Libertine G"/>
            </a:rPr>
            <a:t>10.2.1.4  Atajos del teclado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s-ES" sz="1500" b="1" strike="noStrike" spc="-1">
            <a:solidFill>
              <a:srgbClr val="000000"/>
            </a:solidFill>
            <a:latin typeface="Arial"/>
            <a:ea typeface="Linux Libertine G"/>
          </a:endParaRPr>
        </a:p>
        <a:p>
          <a:endParaRPr lang="es-ES" sz="1500" b="0" strike="noStrike" spc="-1">
            <a:solidFill>
              <a:srgbClr val="000000"/>
            </a:solidFill>
            <a:latin typeface="Arial"/>
            <a:ea typeface="Linux Libertine G"/>
          </a:endParaRPr>
        </a:p>
        <a:p>
          <a:r>
            <a:rPr lang="es-ES" sz="1500" b="0" strike="noStrike" spc="-1">
              <a:solidFill>
                <a:srgbClr val="000000"/>
              </a:solidFill>
              <a:latin typeface="Arial"/>
              <a:ea typeface="Linux Libertine G"/>
            </a:rPr>
            <a:t>En el caso de que para activar los elementos de interacción (enlaces, botones, etc.) se empleen </a:t>
          </a:r>
          <a:r>
            <a:rPr lang="es-ES" sz="1500" b="1" strike="noStrike" spc="-1">
              <a:solidFill>
                <a:srgbClr val="000000"/>
              </a:solidFill>
              <a:latin typeface="Arial"/>
              <a:ea typeface="Linux Libertine G"/>
            </a:rPr>
            <a:t>atajos de teclado usando una única letra</a:t>
          </a:r>
          <a:r>
            <a:rPr lang="es-ES" sz="1500" b="0" strike="noStrike" spc="-1">
              <a:solidFill>
                <a:srgbClr val="000000"/>
              </a:solidFill>
              <a:latin typeface="Arial"/>
              <a:ea typeface="Linux Libertine G"/>
            </a:rPr>
            <a:t>, signo de puntuación, número o símbolo entonces se debe cumplir al menos una de las siguientes condiciones:</a:t>
          </a:r>
          <a:endParaRPr lang="es-ES" sz="1500" b="0" strike="noStrike" spc="-1">
            <a:latin typeface="Times New Roman"/>
          </a:endParaRPr>
        </a:p>
        <a:p>
          <a:endParaRPr lang="es-ES" sz="1500" b="0" strike="noStrike" spc="-1">
            <a:latin typeface="Times New Roman"/>
          </a:endParaRPr>
        </a:p>
        <a:p>
          <a:r>
            <a:rPr lang="es-ES" sz="1500" b="0" strike="noStrike" spc="-1">
              <a:solidFill>
                <a:srgbClr val="000000"/>
              </a:solidFill>
              <a:latin typeface="Arial"/>
              <a:ea typeface="Linux Libertine G"/>
            </a:rPr>
            <a:t>- Existe un mecanismo que permite </a:t>
          </a:r>
          <a:r>
            <a:rPr lang="es-ES" sz="1500" b="1" strike="noStrike" spc="-1">
              <a:solidFill>
                <a:srgbClr val="000000"/>
              </a:solidFill>
              <a:latin typeface="Arial"/>
              <a:ea typeface="Linux Libertine G"/>
            </a:rPr>
            <a:t>desactivar </a:t>
          </a:r>
          <a:r>
            <a:rPr lang="es-ES" sz="1500" b="0" strike="noStrike" spc="-1">
              <a:solidFill>
                <a:srgbClr val="000000"/>
              </a:solidFill>
              <a:latin typeface="Arial"/>
              <a:ea typeface="Linux Libertine G"/>
            </a:rPr>
            <a:t>el atajo de teclado</a:t>
          </a:r>
          <a:endParaRPr lang="es-ES" sz="1500" b="0" strike="noStrike" spc="-1">
            <a:latin typeface="Times New Roman"/>
          </a:endParaRPr>
        </a:p>
        <a:p>
          <a:endParaRPr lang="es-ES" sz="1500" b="0" strike="noStrike" spc="-1">
            <a:latin typeface="Times New Roman"/>
          </a:endParaRPr>
        </a:p>
        <a:p>
          <a:r>
            <a:rPr lang="es-ES" sz="1500" b="0" strike="noStrike" spc="-1">
              <a:solidFill>
                <a:srgbClr val="000000"/>
              </a:solidFill>
              <a:latin typeface="Arial"/>
              <a:ea typeface="Linux Libertine G"/>
            </a:rPr>
            <a:t>- Existe un mecanismo que permite </a:t>
          </a:r>
          <a:r>
            <a:rPr lang="es-ES" sz="1500" b="1" strike="noStrike" spc="-1">
              <a:solidFill>
                <a:srgbClr val="000000"/>
              </a:solidFill>
              <a:latin typeface="Arial"/>
              <a:ea typeface="Linux Libertine G"/>
            </a:rPr>
            <a:t>reasignar </a:t>
          </a:r>
          <a:r>
            <a:rPr lang="es-ES" sz="1500" b="0" strike="noStrike" spc="-1">
              <a:solidFill>
                <a:srgbClr val="000000"/>
              </a:solidFill>
              <a:latin typeface="Arial"/>
              <a:ea typeface="Linux Libertine G"/>
            </a:rPr>
            <a:t>el atajo de teclado para emplear en su lugar otra tecla no imprimible (ej, </a:t>
          </a:r>
          <a:r>
            <a:rPr lang="es-ES" sz="1500" b="0" i="1" strike="noStrike" spc="-1">
              <a:solidFill>
                <a:srgbClr val="000000"/>
              </a:solidFill>
              <a:latin typeface="Arial"/>
              <a:ea typeface="Linux Libertine G"/>
            </a:rPr>
            <a:t>Ctrl</a:t>
          </a:r>
          <a:r>
            <a:rPr lang="es-ES" sz="1500" b="0" strike="noStrike" spc="-1">
              <a:solidFill>
                <a:srgbClr val="000000"/>
              </a:solidFill>
              <a:latin typeface="Arial"/>
              <a:ea typeface="Linux Libertine G"/>
            </a:rPr>
            <a:t>, </a:t>
          </a:r>
          <a:r>
            <a:rPr lang="es-ES" sz="1500" b="0" i="1" strike="noStrike" spc="-1">
              <a:solidFill>
                <a:srgbClr val="000000"/>
              </a:solidFill>
              <a:latin typeface="Arial"/>
              <a:ea typeface="Linux Libertine G"/>
            </a:rPr>
            <a:t>Alt</a:t>
          </a:r>
          <a:r>
            <a:rPr lang="es-ES" sz="1500" b="0" strike="noStrike" spc="-1">
              <a:solidFill>
                <a:srgbClr val="000000"/>
              </a:solidFill>
              <a:latin typeface="Arial"/>
              <a:ea typeface="Linux Libertine G"/>
            </a:rPr>
            <a:t>, etc.)</a:t>
          </a:r>
          <a:endParaRPr lang="es-ES" sz="1500" b="0" strike="noStrike" spc="-1">
            <a:latin typeface="Times New Roman"/>
          </a:endParaRPr>
        </a:p>
        <a:p>
          <a:endParaRPr lang="es-ES" sz="1500" b="0" strike="noStrike" spc="-1">
            <a:latin typeface="Times New Roman"/>
          </a:endParaRPr>
        </a:p>
        <a:p>
          <a:r>
            <a:rPr lang="es-ES" sz="1500" b="0" strike="noStrike" spc="-1">
              <a:solidFill>
                <a:srgbClr val="000000"/>
              </a:solidFill>
              <a:latin typeface="Arial"/>
              <a:ea typeface="Linux Libertine G"/>
            </a:rPr>
            <a:t>- El atajo de teclado </a:t>
          </a:r>
          <a:r>
            <a:rPr lang="es-ES" sz="1500" b="1" strike="noStrike" spc="-1">
              <a:solidFill>
                <a:srgbClr val="000000"/>
              </a:solidFill>
              <a:latin typeface="Arial"/>
              <a:ea typeface="Linux Libertine G"/>
            </a:rPr>
            <a:t>sólo se puede activar cuando el componente</a:t>
          </a:r>
          <a:r>
            <a:rPr lang="es-ES" sz="1500" b="0" strike="noStrike" spc="-1">
              <a:solidFill>
                <a:srgbClr val="000000"/>
              </a:solidFill>
              <a:latin typeface="Arial"/>
              <a:ea typeface="Linux Libertine G"/>
            </a:rPr>
            <a:t> </a:t>
          </a:r>
          <a:r>
            <a:rPr lang="es-ES" sz="1500" b="1" strike="noStrike" spc="-1">
              <a:solidFill>
                <a:srgbClr val="000000"/>
              </a:solidFill>
              <a:latin typeface="Arial"/>
              <a:ea typeface="Linux Libertine G"/>
            </a:rPr>
            <a:t>tiene el foco</a:t>
          </a:r>
          <a:r>
            <a:rPr lang="es-ES" sz="1500" b="0" strike="noStrike" spc="-1">
              <a:solidFill>
                <a:srgbClr val="000000"/>
              </a:solidFill>
              <a:latin typeface="Arial"/>
              <a:ea typeface="Linux Libertine G"/>
            </a:rPr>
            <a:t> del teclado.</a:t>
          </a:r>
          <a:endParaRPr lang="es-ES" sz="1500" b="0" strike="noStrike" spc="-1">
            <a:latin typeface="Times New Roman"/>
          </a:endParaRPr>
        </a:p>
        <a:p>
          <a:endParaRPr lang="es-ES" sz="1500" b="0" strike="noStrike" spc="-1">
            <a:latin typeface="Times New Roman"/>
          </a:endParaRPr>
        </a:p>
        <a:p>
          <a:r>
            <a:rPr lang="es-ES" sz="1500" b="1" strike="noStrike" spc="-1">
              <a:solidFill>
                <a:srgbClr val="3465A4"/>
              </a:solidFill>
              <a:latin typeface="Arial"/>
              <a:ea typeface="Linux Libertine G"/>
              <a:hlinkClick xmlns:r="http://schemas.openxmlformats.org/officeDocument/2006/relationships" r:id="rId14"/>
            </a:rPr>
            <a:t>https://www.w3.org/TR/WCAG/#character-key-shortcuts</a:t>
          </a:r>
          <a:endParaRPr lang="es-ES" sz="1500" b="0" strike="noStrike" spc="-1">
            <a:latin typeface="Times New Roman"/>
          </a:endParaRPr>
        </a:p>
      </xdr:txBody>
    </xdr:sp>
    <xdr:clientData/>
  </xdr:twoCellAnchor>
  <xdr:twoCellAnchor editAs="absolute">
    <xdr:from>
      <xdr:col>5</xdr:col>
      <xdr:colOff>2647</xdr:colOff>
      <xdr:row>783</xdr:row>
      <xdr:rowOff>139772</xdr:rowOff>
    </xdr:from>
    <xdr:to>
      <xdr:col>11</xdr:col>
      <xdr:colOff>21143</xdr:colOff>
      <xdr:row>811</xdr:row>
      <xdr:rowOff>116416</xdr:rowOff>
    </xdr:to>
    <xdr:sp macro="" textlink="">
      <xdr:nvSpPr>
        <xdr:cNvPr id="154" name="TextShape 1" descr="10.2.1.2 Sin trampas para el foco del teclado (Condicional)  Condición: Cuando los documentos se puedan descargar de una página web.  Si es posible mover el foco a un componente del documento usando una interfaz de teclado, entonces el foco se puede quitar de ese componente usando sólo la interfaz de teclado y, si se requiere algo más que las teclas de dirección o de tabulación, se informa al usuario el método apropiado para mover el foco. (Nivel A)  Nota: En la medida en que cualquier parte del documento que no cumpla este criterio puede interferir con la capacidad del usuario de emplear lel documento en su conjunto, es necesario que todo el contenido del documento (tanto si se utiliza como si no para cumplir otros criterios de conformidad) cumpla este criterio. Véase Requisito de Conformidad 5: Sin interferencia.  https://www.w3.org/TR/WCAG/#no-keyboard-trap">
          <a:extLst>
            <a:ext uri="{FF2B5EF4-FFF2-40B4-BE49-F238E27FC236}">
              <a16:creationId xmlns:a16="http://schemas.microsoft.com/office/drawing/2014/main" id="{5621F8B2-F91C-4DD4-8428-0A3AE9C3B713}"/>
            </a:ext>
          </a:extLst>
        </xdr:cNvPr>
        <xdr:cNvSpPr txBox="1"/>
      </xdr:nvSpPr>
      <xdr:spPr>
        <a:xfrm>
          <a:off x="6934730" y="128229855"/>
          <a:ext cx="5849913" cy="4717978"/>
        </a:xfrm>
        <a:prstGeom prst="rect">
          <a:avLst/>
        </a:prstGeom>
        <a:solidFill>
          <a:srgbClr val="DDDDDD"/>
        </a:solidFill>
        <a:ln>
          <a:noFill/>
        </a:ln>
      </xdr:spPr>
      <xdr:txBody>
        <a:bodyPr vertOverflow="clip" horzOverflow="clip"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10.2.1.2 Sin trampas para el foco del teclado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Si es posible mover el foco a un componente del documento usando una interfaz de teclado, entonces el foco se puede quitar de ese componente usando sólo la interfaz de teclado y, si se requiere algo más que las teclas de dirección o de tabulación, se informa al usuario el método apropiado para mover el foco.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Nota: En la medida en que cualquier parte del documento que no cumpla este criterio puede interferir con la capacidad del usuario de emplear lel documento en su conjunto, es necesario que todo el contenido del documento (tanto si se utiliza como si no para cumplir otros criterios de conformidad) cumpla este criterio. Véase Requisito de Conformidad 5: Sin interferencia.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5"/>
            </a:rPr>
            <a:t>https://www.w3.org/TR/WCAG/#no-keyboard-trap</a:t>
          </a:r>
          <a:endParaRPr lang="es-ES" sz="1500" b="0" strike="noStrike" spc="-1">
            <a:latin typeface="Times New Roman"/>
          </a:endParaRPr>
        </a:p>
      </xdr:txBody>
    </xdr:sp>
    <xdr:clientData/>
  </xdr:twoCellAnchor>
  <xdr:twoCellAnchor editAs="absolute">
    <xdr:from>
      <xdr:col>7</xdr:col>
      <xdr:colOff>569956</xdr:colOff>
      <xdr:row>742</xdr:row>
      <xdr:rowOff>21960</xdr:rowOff>
    </xdr:from>
    <xdr:to>
      <xdr:col>8</xdr:col>
      <xdr:colOff>310107</xdr:colOff>
      <xdr:row>746</xdr:row>
      <xdr:rowOff>84601</xdr:rowOff>
    </xdr:to>
    <xdr:pic>
      <xdr:nvPicPr>
        <xdr:cNvPr id="155" name="Image 1">
          <a:extLst>
            <a:ext uri="{FF2B5EF4-FFF2-40B4-BE49-F238E27FC236}">
              <a16:creationId xmlns:a16="http://schemas.microsoft.com/office/drawing/2014/main" id="{30719572-95DA-4C26-B52C-F2D6B0BD0A21}"/>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71081" y="124113660"/>
          <a:ext cx="578351" cy="672241"/>
        </a:xfrm>
        <a:prstGeom prst="rect">
          <a:avLst/>
        </a:prstGeom>
        <a:ln>
          <a:noFill/>
        </a:ln>
      </xdr:spPr>
    </xdr:pic>
    <xdr:clientData/>
  </xdr:twoCellAnchor>
  <xdr:twoCellAnchor editAs="absolute">
    <xdr:from>
      <xdr:col>7</xdr:col>
      <xdr:colOff>542324</xdr:colOff>
      <xdr:row>780</xdr:row>
      <xdr:rowOff>2604</xdr:rowOff>
    </xdr:from>
    <xdr:to>
      <xdr:col>8</xdr:col>
      <xdr:colOff>282475</xdr:colOff>
      <xdr:row>783</xdr:row>
      <xdr:rowOff>154290</xdr:rowOff>
    </xdr:to>
    <xdr:pic>
      <xdr:nvPicPr>
        <xdr:cNvPr id="156" name="Image 1">
          <a:extLst>
            <a:ext uri="{FF2B5EF4-FFF2-40B4-BE49-F238E27FC236}">
              <a16:creationId xmlns:a16="http://schemas.microsoft.com/office/drawing/2014/main" id="{AA53C2BA-ECCB-4587-8ED7-EB818912BD7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43449" y="130148843"/>
          <a:ext cx="578351" cy="669397"/>
        </a:xfrm>
        <a:prstGeom prst="rect">
          <a:avLst/>
        </a:prstGeom>
        <a:ln>
          <a:noFill/>
        </a:ln>
      </xdr:spPr>
    </xdr:pic>
    <xdr:clientData/>
  </xdr:twoCellAnchor>
  <xdr:twoCellAnchor editAs="absolute">
    <xdr:from>
      <xdr:col>7</xdr:col>
      <xdr:colOff>542218</xdr:colOff>
      <xdr:row>817</xdr:row>
      <xdr:rowOff>140057</xdr:rowOff>
    </xdr:from>
    <xdr:to>
      <xdr:col>8</xdr:col>
      <xdr:colOff>342450</xdr:colOff>
      <xdr:row>821</xdr:row>
      <xdr:rowOff>107469</xdr:rowOff>
    </xdr:to>
    <xdr:pic>
      <xdr:nvPicPr>
        <xdr:cNvPr id="157" name="Image 1">
          <a:extLst>
            <a:ext uri="{FF2B5EF4-FFF2-40B4-BE49-F238E27FC236}">
              <a16:creationId xmlns:a16="http://schemas.microsoft.com/office/drawing/2014/main" id="{8B0D1928-4B71-43F5-8EEB-4560A084376B}"/>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90968" y="136442807"/>
          <a:ext cx="625732" cy="602412"/>
        </a:xfrm>
        <a:prstGeom prst="rect">
          <a:avLst/>
        </a:prstGeom>
        <a:ln>
          <a:noFill/>
        </a:ln>
      </xdr:spPr>
    </xdr:pic>
    <xdr:clientData/>
  </xdr:twoCellAnchor>
  <xdr:twoCellAnchor editAs="absolute">
    <xdr:from>
      <xdr:col>7</xdr:col>
      <xdr:colOff>568279</xdr:colOff>
      <xdr:row>856</xdr:row>
      <xdr:rowOff>4802</xdr:rowOff>
    </xdr:from>
    <xdr:to>
      <xdr:col>8</xdr:col>
      <xdr:colOff>347344</xdr:colOff>
      <xdr:row>860</xdr:row>
      <xdr:rowOff>19739</xdr:rowOff>
    </xdr:to>
    <xdr:pic>
      <xdr:nvPicPr>
        <xdr:cNvPr id="158" name="Image 1">
          <a:extLst>
            <a:ext uri="{FF2B5EF4-FFF2-40B4-BE49-F238E27FC236}">
              <a16:creationId xmlns:a16="http://schemas.microsoft.com/office/drawing/2014/main" id="{FFCFC700-C0B5-4E85-B302-BA36B76562ED}"/>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617029" y="142721052"/>
          <a:ext cx="604565" cy="649937"/>
        </a:xfrm>
        <a:prstGeom prst="rect">
          <a:avLst/>
        </a:prstGeom>
        <a:ln>
          <a:noFill/>
        </a:ln>
      </xdr:spPr>
    </xdr:pic>
    <xdr:clientData/>
  </xdr:twoCellAnchor>
  <xdr:twoCellAnchor editAs="absolute">
    <xdr:from>
      <xdr:col>7</xdr:col>
      <xdr:colOff>616284</xdr:colOff>
      <xdr:row>893</xdr:row>
      <xdr:rowOff>102936</xdr:rowOff>
    </xdr:from>
    <xdr:to>
      <xdr:col>8</xdr:col>
      <xdr:colOff>401201</xdr:colOff>
      <xdr:row>897</xdr:row>
      <xdr:rowOff>152739</xdr:rowOff>
    </xdr:to>
    <xdr:pic>
      <xdr:nvPicPr>
        <xdr:cNvPr id="159" name="Image 1">
          <a:extLst>
            <a:ext uri="{FF2B5EF4-FFF2-40B4-BE49-F238E27FC236}">
              <a16:creationId xmlns:a16="http://schemas.microsoft.com/office/drawing/2014/main" id="{F2A34834-A414-4755-9243-06E5113ED712}"/>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665034" y="148915186"/>
          <a:ext cx="610417" cy="684803"/>
        </a:xfrm>
        <a:prstGeom prst="rect">
          <a:avLst/>
        </a:prstGeom>
        <a:ln>
          <a:noFill/>
        </a:ln>
      </xdr:spPr>
    </xdr:pic>
    <xdr:clientData/>
  </xdr:twoCellAnchor>
  <xdr:twoCellAnchor editAs="absolute">
    <xdr:from>
      <xdr:col>7</xdr:col>
      <xdr:colOff>610594</xdr:colOff>
      <xdr:row>932</xdr:row>
      <xdr:rowOff>91450</xdr:rowOff>
    </xdr:from>
    <xdr:to>
      <xdr:col>8</xdr:col>
      <xdr:colOff>426938</xdr:colOff>
      <xdr:row>936</xdr:row>
      <xdr:rowOff>136901</xdr:rowOff>
    </xdr:to>
    <xdr:pic>
      <xdr:nvPicPr>
        <xdr:cNvPr id="160" name="Image 1">
          <a:extLst>
            <a:ext uri="{FF2B5EF4-FFF2-40B4-BE49-F238E27FC236}">
              <a16:creationId xmlns:a16="http://schemas.microsoft.com/office/drawing/2014/main" id="{C4A15EAF-A804-494B-9FF9-5AFA22311D1E}"/>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659344" y="155317200"/>
          <a:ext cx="641844" cy="680451"/>
        </a:xfrm>
        <a:prstGeom prst="rect">
          <a:avLst/>
        </a:prstGeom>
        <a:ln>
          <a:noFill/>
        </a:ln>
      </xdr:spPr>
    </xdr:pic>
    <xdr:clientData/>
  </xdr:twoCellAnchor>
  <xdr:twoCellAnchor editAs="absolute">
    <xdr:from>
      <xdr:col>7</xdr:col>
      <xdr:colOff>552705</xdr:colOff>
      <xdr:row>1008</xdr:row>
      <xdr:rowOff>12052</xdr:rowOff>
    </xdr:from>
    <xdr:to>
      <xdr:col>8</xdr:col>
      <xdr:colOff>319372</xdr:colOff>
      <xdr:row>1012</xdr:row>
      <xdr:rowOff>81306</xdr:rowOff>
    </xdr:to>
    <xdr:pic>
      <xdr:nvPicPr>
        <xdr:cNvPr id="161" name="Image 1">
          <a:extLst>
            <a:ext uri="{FF2B5EF4-FFF2-40B4-BE49-F238E27FC236}">
              <a16:creationId xmlns:a16="http://schemas.microsoft.com/office/drawing/2014/main" id="{1AA3725C-61EC-46C8-8DE4-D302EAA8A762}"/>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3830" y="170509552"/>
          <a:ext cx="604867" cy="755054"/>
        </a:xfrm>
        <a:prstGeom prst="rect">
          <a:avLst/>
        </a:prstGeom>
        <a:ln>
          <a:noFill/>
        </a:ln>
      </xdr:spPr>
    </xdr:pic>
    <xdr:clientData/>
  </xdr:twoCellAnchor>
  <xdr:twoCellAnchor editAs="absolute">
    <xdr:from>
      <xdr:col>7</xdr:col>
      <xdr:colOff>529120</xdr:colOff>
      <xdr:row>1045</xdr:row>
      <xdr:rowOff>134175</xdr:rowOff>
    </xdr:from>
    <xdr:to>
      <xdr:col>8</xdr:col>
      <xdr:colOff>291252</xdr:colOff>
      <xdr:row>1049</xdr:row>
      <xdr:rowOff>157681</xdr:rowOff>
    </xdr:to>
    <xdr:pic>
      <xdr:nvPicPr>
        <xdr:cNvPr id="162" name="Image 1">
          <a:extLst>
            <a:ext uri="{FF2B5EF4-FFF2-40B4-BE49-F238E27FC236}">
              <a16:creationId xmlns:a16="http://schemas.microsoft.com/office/drawing/2014/main" id="{241E557A-6C7C-449C-A826-CAD399D5EC51}"/>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30245" y="177184875"/>
          <a:ext cx="600332" cy="709306"/>
        </a:xfrm>
        <a:prstGeom prst="rect">
          <a:avLst/>
        </a:prstGeom>
        <a:ln>
          <a:noFill/>
        </a:ln>
      </xdr:spPr>
    </xdr:pic>
    <xdr:clientData/>
  </xdr:twoCellAnchor>
  <xdr:twoCellAnchor editAs="absolute">
    <xdr:from>
      <xdr:col>7</xdr:col>
      <xdr:colOff>485853</xdr:colOff>
      <xdr:row>1083</xdr:row>
      <xdr:rowOff>116593</xdr:rowOff>
    </xdr:from>
    <xdr:to>
      <xdr:col>8</xdr:col>
      <xdr:colOff>245054</xdr:colOff>
      <xdr:row>1087</xdr:row>
      <xdr:rowOff>155712</xdr:rowOff>
    </xdr:to>
    <xdr:pic>
      <xdr:nvPicPr>
        <xdr:cNvPr id="163" name="Image 1">
          <a:extLst>
            <a:ext uri="{FF2B5EF4-FFF2-40B4-BE49-F238E27FC236}">
              <a16:creationId xmlns:a16="http://schemas.microsoft.com/office/drawing/2014/main" id="{0CD7567D-B5E3-4CB2-8BE0-57D748522AC9}"/>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34603" y="180202593"/>
          <a:ext cx="584701" cy="674119"/>
        </a:xfrm>
        <a:prstGeom prst="rect">
          <a:avLst/>
        </a:prstGeom>
        <a:ln>
          <a:noFill/>
        </a:ln>
      </xdr:spPr>
    </xdr:pic>
    <xdr:clientData/>
  </xdr:twoCellAnchor>
  <xdr:twoCellAnchor editAs="absolute">
    <xdr:from>
      <xdr:col>7</xdr:col>
      <xdr:colOff>559207</xdr:colOff>
      <xdr:row>1122</xdr:row>
      <xdr:rowOff>19050</xdr:rowOff>
    </xdr:from>
    <xdr:to>
      <xdr:col>8</xdr:col>
      <xdr:colOff>321339</xdr:colOff>
      <xdr:row>1126</xdr:row>
      <xdr:rowOff>73904</xdr:rowOff>
    </xdr:to>
    <xdr:pic>
      <xdr:nvPicPr>
        <xdr:cNvPr id="164" name="Image 1">
          <a:extLst>
            <a:ext uri="{FF2B5EF4-FFF2-40B4-BE49-F238E27FC236}">
              <a16:creationId xmlns:a16="http://schemas.microsoft.com/office/drawing/2014/main" id="{5C813E4E-8142-4658-9A77-1AC2BF325908}"/>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60332" y="190690500"/>
          <a:ext cx="600332" cy="740654"/>
        </a:xfrm>
        <a:prstGeom prst="rect">
          <a:avLst/>
        </a:prstGeom>
        <a:ln>
          <a:noFill/>
        </a:ln>
      </xdr:spPr>
    </xdr:pic>
    <xdr:clientData/>
  </xdr:twoCellAnchor>
  <xdr:twoCellAnchor editAs="absolute">
    <xdr:from>
      <xdr:col>7</xdr:col>
      <xdr:colOff>572473</xdr:colOff>
      <xdr:row>1160</xdr:row>
      <xdr:rowOff>15098</xdr:rowOff>
    </xdr:from>
    <xdr:to>
      <xdr:col>8</xdr:col>
      <xdr:colOff>334605</xdr:colOff>
      <xdr:row>1164</xdr:row>
      <xdr:rowOff>98784</xdr:rowOff>
    </xdr:to>
    <xdr:pic>
      <xdr:nvPicPr>
        <xdr:cNvPr id="165" name="Image 1">
          <a:extLst>
            <a:ext uri="{FF2B5EF4-FFF2-40B4-BE49-F238E27FC236}">
              <a16:creationId xmlns:a16="http://schemas.microsoft.com/office/drawing/2014/main" id="{C041F79E-42E1-4B9D-970D-FDFC0627940F}"/>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73598" y="197411198"/>
          <a:ext cx="600332" cy="769486"/>
        </a:xfrm>
        <a:prstGeom prst="rect">
          <a:avLst/>
        </a:prstGeom>
        <a:ln>
          <a:noFill/>
        </a:ln>
      </xdr:spPr>
    </xdr:pic>
    <xdr:clientData/>
  </xdr:twoCellAnchor>
  <xdr:twoCellAnchor editAs="absolute">
    <xdr:from>
      <xdr:col>7</xdr:col>
      <xdr:colOff>555382</xdr:colOff>
      <xdr:row>1198</xdr:row>
      <xdr:rowOff>1814</xdr:rowOff>
    </xdr:from>
    <xdr:to>
      <xdr:col>8</xdr:col>
      <xdr:colOff>295533</xdr:colOff>
      <xdr:row>1201</xdr:row>
      <xdr:rowOff>102665</xdr:rowOff>
    </xdr:to>
    <xdr:pic>
      <xdr:nvPicPr>
        <xdr:cNvPr id="166" name="Image 1">
          <a:extLst>
            <a:ext uri="{FF2B5EF4-FFF2-40B4-BE49-F238E27FC236}">
              <a16:creationId xmlns:a16="http://schemas.microsoft.com/office/drawing/2014/main" id="{FB34E56C-0724-4925-93FE-80A4B118DC38}"/>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6507" y="204119202"/>
          <a:ext cx="578351" cy="618563"/>
        </a:xfrm>
        <a:prstGeom prst="rect">
          <a:avLst/>
        </a:prstGeom>
        <a:ln>
          <a:noFill/>
        </a:ln>
      </xdr:spPr>
    </xdr:pic>
    <xdr:clientData/>
  </xdr:twoCellAnchor>
  <xdr:twoCellAnchor editAs="absolute">
    <xdr:from>
      <xdr:col>7</xdr:col>
      <xdr:colOff>508179</xdr:colOff>
      <xdr:row>1236</xdr:row>
      <xdr:rowOff>3829</xdr:rowOff>
    </xdr:from>
    <xdr:to>
      <xdr:col>8</xdr:col>
      <xdr:colOff>270311</xdr:colOff>
      <xdr:row>1240</xdr:row>
      <xdr:rowOff>1565</xdr:rowOff>
    </xdr:to>
    <xdr:pic>
      <xdr:nvPicPr>
        <xdr:cNvPr id="167" name="Image 1">
          <a:extLst>
            <a:ext uri="{FF2B5EF4-FFF2-40B4-BE49-F238E27FC236}">
              <a16:creationId xmlns:a16="http://schemas.microsoft.com/office/drawing/2014/main" id="{B6D37077-EDC8-479E-90D7-04519F2FE796}"/>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09304" y="210849229"/>
          <a:ext cx="600332" cy="680174"/>
        </a:xfrm>
        <a:prstGeom prst="rect">
          <a:avLst/>
        </a:prstGeom>
        <a:ln>
          <a:noFill/>
        </a:ln>
      </xdr:spPr>
    </xdr:pic>
    <xdr:clientData/>
  </xdr:twoCellAnchor>
  <xdr:twoCellAnchor editAs="absolute">
    <xdr:from>
      <xdr:col>7</xdr:col>
      <xdr:colOff>470079</xdr:colOff>
      <xdr:row>1274</xdr:row>
      <xdr:rowOff>41605</xdr:rowOff>
    </xdr:from>
    <xdr:to>
      <xdr:col>8</xdr:col>
      <xdr:colOff>232211</xdr:colOff>
      <xdr:row>1278</xdr:row>
      <xdr:rowOff>58737</xdr:rowOff>
    </xdr:to>
    <xdr:pic>
      <xdr:nvPicPr>
        <xdr:cNvPr id="168" name="Image 1">
          <a:extLst>
            <a:ext uri="{FF2B5EF4-FFF2-40B4-BE49-F238E27FC236}">
              <a16:creationId xmlns:a16="http://schemas.microsoft.com/office/drawing/2014/main" id="{9DB74199-4AB7-4F47-B814-665DE0F99AF2}"/>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18829" y="211560105"/>
          <a:ext cx="587632" cy="652132"/>
        </a:xfrm>
        <a:prstGeom prst="rect">
          <a:avLst/>
        </a:prstGeom>
        <a:ln>
          <a:noFill/>
        </a:ln>
      </xdr:spPr>
    </xdr:pic>
    <xdr:clientData/>
  </xdr:twoCellAnchor>
  <xdr:twoCellAnchor editAs="absolute">
    <xdr:from>
      <xdr:col>5</xdr:col>
      <xdr:colOff>452</xdr:colOff>
      <xdr:row>859</xdr:row>
      <xdr:rowOff>115947</xdr:rowOff>
    </xdr:from>
    <xdr:to>
      <xdr:col>14</xdr:col>
      <xdr:colOff>446163</xdr:colOff>
      <xdr:row>891</xdr:row>
      <xdr:rowOff>34636</xdr:rowOff>
    </xdr:to>
    <xdr:sp macro="" textlink="">
      <xdr:nvSpPr>
        <xdr:cNvPr id="169" name="TextShape 1" descr="10.2.2.1 Tiempo ajustable (Condicional)  Condición: Cuando los documentos se puedan descargar de una página web.  Para cada límite de tiempo impuesto por el documento, se cumple al menos uno de los siguientes casos: (Nivel A)  - Apagar: El usuario puede detener el límite de tiempo antes de alcanzar el límite de tiempo; o - Ajustar: El usuario puede ajustar el límite de tiempo antes de alcanzar dicho límite en un rango amplio que es, al menos, diez veces mayor al tiempo fijado originalmente; o - Extender: Se advierte al usuario antes de que el tiempo expire y se le conceden al menos 20 segundos para extender el límite temporal con una acción simple (por ejemplo, &quot;presione la barra de espacio&quot;) y el usuario puede extender ese límite de tiempo al menos diez veces; o  - Excepción por ser esencial: El límite de tiempo es esencial y, si se extendiera, invalidaría la actividad; o  - Excepción de 20 horas: El límite de tiempo es de más de 20 horas.   Nota: Este criterio de conformidad ayuda a asegurarse de que los usuarios puedan completar una tarea sin cambios inesperados en el contenido o contexto que sean el resultado de un límite de tiempo. Este criterio de conformidad debería considerarse en combinación con el criterio de conformidad 3.2.1 de las Pautas WCAG 2.1, que impone límites a los cambios de contenido o contexto como resultado de una acción del usuario.    https://www.w3.org/TR/WCAG/#timing-adjustable">
          <a:extLst>
            <a:ext uri="{FF2B5EF4-FFF2-40B4-BE49-F238E27FC236}">
              <a16:creationId xmlns:a16="http://schemas.microsoft.com/office/drawing/2014/main" id="{E6368EC4-F9BA-4D52-B028-6F9107CCB5A4}"/>
            </a:ext>
          </a:extLst>
        </xdr:cNvPr>
        <xdr:cNvSpPr txBox="1"/>
      </xdr:nvSpPr>
      <xdr:spPr>
        <a:xfrm>
          <a:off x="6910407" y="146419947"/>
          <a:ext cx="9243347" cy="5460507"/>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10.2.2.1 Tiempo ajustable</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Para cada límite de </a:t>
          </a:r>
          <a:r>
            <a:rPr lang="en-US" sz="1500" b="0" strike="noStrike" spc="-1">
              <a:solidFill>
                <a:srgbClr val="000000"/>
              </a:solidFill>
              <a:latin typeface="Arial"/>
              <a:ea typeface="Linux Libertine G"/>
              <a:cs typeface="+mn-cs"/>
            </a:rPr>
            <a:t>tiempo</a:t>
          </a:r>
          <a:r>
            <a:rPr lang="en-US" sz="1500" b="0" strike="noStrike" spc="-1">
              <a:solidFill>
                <a:srgbClr val="000000"/>
              </a:solidFill>
              <a:latin typeface="Arial"/>
              <a:ea typeface="Linux Libertine G"/>
            </a:rPr>
            <a:t> impuesto por el documento, se cumple al menos uno de los siguientes casos: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Apagar</a:t>
          </a:r>
          <a:r>
            <a:rPr lang="en-US" sz="1500" b="0" strike="noStrike" spc="-1">
              <a:solidFill>
                <a:srgbClr val="000000"/>
              </a:solidFill>
              <a:latin typeface="Arial"/>
              <a:ea typeface="Linux Libertine G"/>
            </a:rPr>
            <a:t>: El usuario puede detener el límite de tiempo antes de alcanzar el límite de tiempo; o</a:t>
          </a:r>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Ajustar</a:t>
          </a:r>
          <a:r>
            <a:rPr lang="en-US" sz="1500" b="0" strike="noStrike" spc="-1">
              <a:solidFill>
                <a:srgbClr val="000000"/>
              </a:solidFill>
              <a:latin typeface="Arial"/>
              <a:ea typeface="Linux Libertine G"/>
            </a:rPr>
            <a:t>: El usuario puede ajustar el límite de tiempo antes de alcanzar dicho límite en un rango amplio que es, al menos, diez veces mayor al tiempo fijado originalmente; o</a:t>
          </a:r>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Extender</a:t>
          </a:r>
          <a:r>
            <a:rPr lang="en-US" sz="1500" b="0" strike="noStrike" spc="-1">
              <a:solidFill>
                <a:srgbClr val="000000"/>
              </a:solidFill>
              <a:latin typeface="Arial"/>
              <a:ea typeface="Linux Libertine G"/>
            </a:rPr>
            <a:t>: Se advierte al usuario antes de que el tiempo expire y se le conceden al menos 20 segundos para extender el límite temporal con una acción simple (por ejemplo, "presione la barra de espacio") y el usuario puede extender ese límite de tiempo al menos diez veces; o</a:t>
          </a:r>
          <a:endParaRPr lang="es-ES" sz="1500" b="0" strike="noStrike" spc="-1">
            <a:latin typeface="Times New Roman"/>
          </a:endParaRPr>
        </a:p>
        <a:p>
          <a:r>
            <a:rPr lang="en-US" sz="1500" b="0" strike="noStrike" spc="-1">
              <a:solidFill>
                <a:srgbClr val="000000"/>
              </a:solidFill>
              <a:latin typeface="Arial"/>
              <a:ea typeface="Linux Libertine G"/>
            </a:rPr>
            <a:t> - </a:t>
          </a:r>
          <a:r>
            <a:rPr lang="en-US" sz="1500" b="1" strike="noStrike" spc="-1">
              <a:solidFill>
                <a:srgbClr val="000000"/>
              </a:solidFill>
              <a:latin typeface="Arial"/>
              <a:ea typeface="Linux Libertine G"/>
            </a:rPr>
            <a:t>Excepción por ser esencial</a:t>
          </a:r>
          <a:r>
            <a:rPr lang="en-US" sz="1500" b="0" strike="noStrike" spc="-1">
              <a:solidFill>
                <a:srgbClr val="000000"/>
              </a:solidFill>
              <a:latin typeface="Arial"/>
              <a:ea typeface="Linux Libertine G"/>
            </a:rPr>
            <a:t>: El límite de tiempo es esencial y, si se extendiera, invalidaría la actividad; o</a:t>
          </a:r>
          <a:endParaRPr lang="es-ES" sz="1500" b="0" strike="noStrike" spc="-1">
            <a:latin typeface="Times New Roman"/>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strike="noStrike" spc="-1">
              <a:solidFill>
                <a:srgbClr val="000000"/>
              </a:solidFill>
              <a:latin typeface="Arial"/>
              <a:ea typeface="Linux Libertine G"/>
            </a:rPr>
            <a:t> - </a:t>
          </a:r>
          <a:r>
            <a:rPr lang="en-US" sz="1500" b="1" strike="noStrike" spc="-1">
              <a:solidFill>
                <a:srgbClr val="000000"/>
              </a:solidFill>
              <a:latin typeface="Arial"/>
              <a:ea typeface="Linux Libertine G"/>
            </a:rPr>
            <a:t>Excepción de 20 horas</a:t>
          </a:r>
          <a:r>
            <a:rPr lang="es-ES" sz="1500" b="0" strike="noStrike" spc="-1">
              <a:solidFill>
                <a:srgbClr val="000000"/>
              </a:solidFill>
              <a:latin typeface="Arial"/>
              <a:ea typeface="Linux Libertine G"/>
              <a:cs typeface="+mn-cs"/>
            </a:rPr>
            <a:t>: El límite de tiempo es de más de 20 horas. </a:t>
          </a:r>
        </a:p>
        <a:p>
          <a:endParaRPr lang="es-ES" sz="1500" b="0" strike="noStrike" spc="-1">
            <a:solidFill>
              <a:srgbClr val="000000"/>
            </a:solidFill>
            <a:latin typeface="Arial"/>
            <a:ea typeface="Linux Libertine G"/>
            <a:cs typeface="+mn-cs"/>
          </a:endParaRPr>
        </a:p>
        <a:p>
          <a:r>
            <a:rPr lang="es-ES" sz="1500" b="0" strike="noStrike" spc="-1">
              <a:solidFill>
                <a:srgbClr val="000000"/>
              </a:solidFill>
              <a:latin typeface="Arial"/>
              <a:ea typeface="Linux Libertine G"/>
              <a:cs typeface="+mn-cs"/>
            </a:rPr>
            <a:t>Nota: Este criterio de conformidad ayuda a asegurarse de que los usuarios puedan completar una tarea sin cambios inesperados en el contenido o contexto que sean el resultado de un límite de tiempo. Este criterio de conformidad debería considerarse en combinación con el criterio de conformidad 3.2.1 de las Pautas WCAG 2.1, que impone límites a los cambios de contenido o contexto como resultado de una acción del usuario. 	</a:t>
          </a: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6"/>
            </a:rPr>
            <a:t>https://www.w3.org/TR/WCAG/#timing-adjustable</a:t>
          </a:r>
          <a:endParaRPr lang="es-ES" sz="1500" b="0" strike="noStrike" spc="-1">
            <a:latin typeface="Times New Roman"/>
          </a:endParaRPr>
        </a:p>
      </xdr:txBody>
    </xdr:sp>
    <xdr:clientData/>
  </xdr:twoCellAnchor>
  <xdr:twoCellAnchor editAs="absolute">
    <xdr:from>
      <xdr:col>5</xdr:col>
      <xdr:colOff>453</xdr:colOff>
      <xdr:row>897</xdr:row>
      <xdr:rowOff>69360</xdr:rowOff>
    </xdr:from>
    <xdr:to>
      <xdr:col>18</xdr:col>
      <xdr:colOff>486380</xdr:colOff>
      <xdr:row>929</xdr:row>
      <xdr:rowOff>121228</xdr:rowOff>
    </xdr:to>
    <xdr:sp macro="" textlink="">
      <xdr:nvSpPr>
        <xdr:cNvPr id="170" name="TextShape 1" descr="10.2.2.2 Poner en pausa, detener, ocultar (Condicional)  Condición: Cuando los documentos se puedan descargar de una página web.  Para la información que tiene movimiento, parpadeo, se desplaza o se actualiza automáticamente, se cumplen todos los casos siguientes: (Nivel A)  - Movimiento, parpadeo, desplazamiento: Para toda información que se mueve, parpadea o se desplaza, que (1) comienza automáticamente, (2) dura más de cinco segundos y (3) se presenta en paralelo con otro contenido, existe un mecanismo para que el usuario la pueda poner en pausa, detener u ocultar, a menos que el movimiento, parpadeo o desplazamiento sea parte esencial de una actividad; y  - Actualización automática: Para toda información que se actualiza automáticamente, que (1) se inicia automáticamente y (2) se presenta …  Nota 1: Para los requisitos relacionados con el parpadeo o el destello de contenido, véase la Pauta 2.3  Nota 2: En la medida en que cualquier contenido que no satisfaga este criterio puede interferir con la capacidad del usuario para emplear lel documento como un todo, todo contenido del documento (tanto si satisface o no otros criterios de conformidad) debe satisfacer este criterio. Véase Requisito de Conformidad 5: Sin interferencia.  Nota 3: Para el contenido que es actualizado periódicamente por medio de un software, o que se sirve a la aplicación de usuario por medio de streaming, no hay obligación de preservar o presentar la información que ha sido generada o recibida entre el inicio de la pausa y el reinicio de la presentación; no solo podría no ser técnicamente posible, sino que además en muchas ocasiones podría ser erróneo o engañoso hacerlo.  Nota 4: Una animación que ocurre como parte de una fase de precarga de un contenido o una situación similar puede ser considerada esencial si no se permite interacción a ningún usuario durante esa fase, y si el hecho de no indicar el progreso pudiera confundir a los usuarios y hacerles creer que ha habido un fallo en el contenido.   https://www.w3.org/TR/WCAG/#pause-stop-hide">
          <a:extLst>
            <a:ext uri="{FF2B5EF4-FFF2-40B4-BE49-F238E27FC236}">
              <a16:creationId xmlns:a16="http://schemas.microsoft.com/office/drawing/2014/main" id="{2CC2B4C4-21C1-4828-8919-7065DB369F57}"/>
            </a:ext>
          </a:extLst>
        </xdr:cNvPr>
        <xdr:cNvSpPr txBox="1"/>
      </xdr:nvSpPr>
      <xdr:spPr>
        <a:xfrm>
          <a:off x="6910408" y="153162087"/>
          <a:ext cx="12175699" cy="5593686"/>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10.2.2.2 Poner en pausa, detener, ocultar</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Para la información que tiene movimiento, parpadeo, se desplaza o se actualiza automáticamente, se cumplen todos los casos siguientes: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Movimiento, parpadeo, desplazamiento</a:t>
          </a:r>
          <a:r>
            <a:rPr lang="en-US" sz="1500" b="0" strike="noStrike" spc="-1">
              <a:solidFill>
                <a:srgbClr val="000000"/>
              </a:solidFill>
              <a:latin typeface="Arial"/>
              <a:ea typeface="Linux Libertine G"/>
            </a:rPr>
            <a:t>: Para toda información que se mueve, parpadea o se desplaza, que (1) comienza automáticamente, (2) dura más de cinco segundos y (3) se presenta en paralelo con otro contenido, existe un mecanismo para que el usuario la pueda poner en pausa, detener u ocultar, a menos que el movimiento, parpadeo o desplazamiento sea parte esencial de una actividad; y</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Actualización automática</a:t>
          </a:r>
          <a:r>
            <a:rPr lang="en-US" sz="1500" b="0" strike="noStrike" spc="-1">
              <a:solidFill>
                <a:srgbClr val="000000"/>
              </a:solidFill>
              <a:latin typeface="Arial"/>
              <a:ea typeface="Linux Libertine G"/>
            </a:rPr>
            <a:t>: Para toda información que se actualiza automáticamente, que (1) se inicia automáticamente y (2) se presenta …</a:t>
          </a:r>
        </a:p>
        <a:p>
          <a:endParaRPr lang="en-US" sz="1500" b="0" strike="noStrike" spc="-1">
            <a:solidFill>
              <a:srgbClr val="000000"/>
            </a:solidFill>
            <a:latin typeface="Arial"/>
            <a:ea typeface="Linux Libertine G"/>
          </a:endParaRPr>
        </a:p>
        <a:p>
          <a:r>
            <a:rPr lang="es-ES" sz="1200" b="0" strike="noStrike" spc="-1">
              <a:latin typeface="Arial" pitchFamily="34" charset="0"/>
              <a:cs typeface="Arial" pitchFamily="34" charset="0"/>
            </a:rPr>
            <a:t>Nota 1:</a:t>
          </a:r>
          <a:r>
            <a:rPr lang="es-ES" sz="1200" b="0" strike="noStrike" spc="-1" baseline="0">
              <a:latin typeface="Arial" pitchFamily="34" charset="0"/>
              <a:cs typeface="Arial" pitchFamily="34" charset="0"/>
            </a:rPr>
            <a:t> </a:t>
          </a:r>
          <a:r>
            <a:rPr lang="es-ES" sz="1200" b="0" strike="noStrike" spc="-1">
              <a:latin typeface="Arial" pitchFamily="34" charset="0"/>
              <a:cs typeface="Arial" pitchFamily="34" charset="0"/>
            </a:rPr>
            <a:t>Para los requisitos relacionados con el parpadeo o el destello de contenido, véase la Pauta 2.3</a:t>
          </a:r>
        </a:p>
        <a:p>
          <a:endParaRPr lang="es-ES" sz="1200" b="0" strike="noStrike" spc="-1">
            <a:latin typeface="Arial" pitchFamily="34" charset="0"/>
            <a:cs typeface="Arial" pitchFamily="34" charset="0"/>
          </a:endParaRPr>
        </a:p>
        <a:p>
          <a:r>
            <a:rPr lang="es-ES" sz="1200" b="0" strike="noStrike" spc="-1">
              <a:latin typeface="Arial" pitchFamily="34" charset="0"/>
              <a:cs typeface="Arial" pitchFamily="34" charset="0"/>
            </a:rPr>
            <a:t>Nota 2: En la medida en que cualquier contenido que no satisfaga este criterio puede interferir con la capacidad del usuario para emplear lel documento como un todo, todo contenido del documento (tanto si satisface o no otros criterios de conformidad) debe satisfacer este criterio. Véase Requisito de Conformidad 5: Sin interferencia.</a:t>
          </a:r>
        </a:p>
        <a:p>
          <a:endParaRPr lang="es-ES" sz="1200" b="0" strike="noStrike" spc="-1">
            <a:latin typeface="Arial" pitchFamily="34" charset="0"/>
            <a:cs typeface="Arial" pitchFamily="34" charset="0"/>
          </a:endParaRPr>
        </a:p>
        <a:p>
          <a:r>
            <a:rPr lang="es-ES" sz="1200" b="0" strike="noStrike" spc="-1">
              <a:latin typeface="Arial" pitchFamily="34" charset="0"/>
              <a:cs typeface="Arial" pitchFamily="34" charset="0"/>
            </a:rPr>
            <a:t>Nota 3:</a:t>
          </a:r>
          <a:r>
            <a:rPr lang="es-ES" sz="1200" b="0" strike="noStrike" spc="-1" baseline="0">
              <a:latin typeface="Arial" pitchFamily="34" charset="0"/>
              <a:cs typeface="Arial" pitchFamily="34" charset="0"/>
            </a:rPr>
            <a:t> </a:t>
          </a:r>
          <a:r>
            <a:rPr lang="es-ES" sz="1200" b="0" strike="noStrike" spc="-1">
              <a:latin typeface="Arial" pitchFamily="34" charset="0"/>
              <a:cs typeface="Arial" pitchFamily="34" charset="0"/>
            </a:rPr>
            <a:t>Para el contenido que es actualizado periódicamente por medio de un software, o que se sirve a la aplicación de usuario por medio de streaming, no hay obligación de preservar o presentar la información que ha sido generada o recibida entre el inicio de la pausa y el reinicio de la presentación; no solo podría no ser técnicamente posible, sino que además en muchas ocasiones podría ser erróneo o engañoso hacerlo.</a:t>
          </a:r>
        </a:p>
        <a:p>
          <a:endParaRPr lang="es-ES" sz="1200" b="0" strike="noStrike" spc="-1">
            <a:latin typeface="Arial" pitchFamily="34" charset="0"/>
            <a:cs typeface="Arial" pitchFamily="34" charset="0"/>
          </a:endParaRPr>
        </a:p>
        <a:p>
          <a:r>
            <a:rPr lang="es-ES" sz="1200" b="0" strike="noStrike" spc="-1">
              <a:latin typeface="Arial" pitchFamily="34" charset="0"/>
              <a:cs typeface="Arial" pitchFamily="34" charset="0"/>
            </a:rPr>
            <a:t>Nota 4: Una animación que ocurre como parte de una fase de precarga de un contenido o una situación similar puede ser considerada esencial si no se permite interacción a ningún usuario durante esa fase, y si el hecho de no indicar el progreso pudiera confundir a los usuarios y hacerles creer que ha habido un fallo en el contenido.	</a:t>
          </a:r>
        </a:p>
        <a:p>
          <a:endParaRPr lang="es-ES" sz="1200" b="0" strike="noStrike" spc="-1">
            <a:latin typeface="Arial" pitchFamily="34" charset="0"/>
            <a:cs typeface="Arial" pitchFamily="34" charset="0"/>
          </a:endParaRPr>
        </a:p>
        <a:p>
          <a:r>
            <a:rPr lang="en-US" sz="1500" b="1" strike="noStrike" spc="-1">
              <a:solidFill>
                <a:srgbClr val="3465A4"/>
              </a:solidFill>
              <a:latin typeface="Arial"/>
              <a:ea typeface="Linux Libertine G"/>
              <a:hlinkClick xmlns:r="http://schemas.openxmlformats.org/officeDocument/2006/relationships" r:id="rId17"/>
            </a:rPr>
            <a:t>https://www.w3.org/TR/WCAG/#pause-stop-hide</a:t>
          </a:r>
          <a:endParaRPr lang="es-ES" sz="1500" b="0" strike="noStrike" spc="-1">
            <a:latin typeface="Times New Roman"/>
          </a:endParaRPr>
        </a:p>
      </xdr:txBody>
    </xdr:sp>
    <xdr:clientData/>
  </xdr:twoCellAnchor>
  <xdr:twoCellAnchor editAs="absolute">
    <xdr:from>
      <xdr:col>4</xdr:col>
      <xdr:colOff>358322</xdr:colOff>
      <xdr:row>1012</xdr:row>
      <xdr:rowOff>91643</xdr:rowOff>
    </xdr:from>
    <xdr:to>
      <xdr:col>11</xdr:col>
      <xdr:colOff>22046</xdr:colOff>
      <xdr:row>1028</xdr:row>
      <xdr:rowOff>17317</xdr:rowOff>
    </xdr:to>
    <xdr:sp macro="" textlink="">
      <xdr:nvSpPr>
        <xdr:cNvPr id="171" name="TextShape 1" descr="10.2.4.3 Orden del foco (Condicional)  Condición: Cuando los documentos se puedan descargar de una página web.  Si se puede navegar secuencialmente por un documento y la secuencia de navegación afecta su significado o su operación, los componentes que pueden recibir el foco lo hacen en un orden que preserva su significado y operabilidad. (Nivel A)  https://www.w3.org/TR/WCAG/#focus-order">
          <a:extLst>
            <a:ext uri="{FF2B5EF4-FFF2-40B4-BE49-F238E27FC236}">
              <a16:creationId xmlns:a16="http://schemas.microsoft.com/office/drawing/2014/main" id="{89C3E0C0-33B8-45C5-920B-96AE3A4701BD}"/>
            </a:ext>
          </a:extLst>
        </xdr:cNvPr>
        <xdr:cNvSpPr txBox="1"/>
      </xdr:nvSpPr>
      <xdr:spPr>
        <a:xfrm>
          <a:off x="6904595" y="173723734"/>
          <a:ext cx="5846315" cy="2696583"/>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10.2.4.3 Orden del foco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Si se puede navegar secuencialmente por un documento y la secuencia de navegación afecta su significado o su operación, los componentes que pueden recibir el foco lo hacen en un orden que preserva su significado y operabilidad. (Nivel 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8"/>
            </a:rPr>
            <a:t>https://www.w3.org/TR/WCAG/#focus-order</a:t>
          </a:r>
          <a:endParaRPr lang="es-ES" sz="1500" b="0" strike="noStrike" spc="-1">
            <a:latin typeface="Times New Roman"/>
          </a:endParaRPr>
        </a:p>
      </xdr:txBody>
    </xdr:sp>
    <xdr:clientData/>
  </xdr:twoCellAnchor>
  <xdr:twoCellAnchor editAs="absolute">
    <xdr:from>
      <xdr:col>5</xdr:col>
      <xdr:colOff>1362</xdr:colOff>
      <xdr:row>1050</xdr:row>
      <xdr:rowOff>20813</xdr:rowOff>
    </xdr:from>
    <xdr:to>
      <xdr:col>11</xdr:col>
      <xdr:colOff>47341</xdr:colOff>
      <xdr:row>1066</xdr:row>
      <xdr:rowOff>155863</xdr:rowOff>
    </xdr:to>
    <xdr:sp macro="" textlink="">
      <xdr:nvSpPr>
        <xdr:cNvPr id="172" name="TextShape 1" descr="10.2.4.4 Propósito de los enlaces (en contexto) (Condicional)  Condición: Cuando los documentos se puedan descargar de una página web.  El propósito de cada enlace puede ser determinado con sólo el texto del enlace o a través del texto del enlace sumado al contexto del enlace determinado por software, excepto cuando el propósito del enlace resultara ambiguo para los usuarios en general. (Nivel A)  https://www.w3.org/TR/WCAG/#link-purpose-in-context">
          <a:extLst>
            <a:ext uri="{FF2B5EF4-FFF2-40B4-BE49-F238E27FC236}">
              <a16:creationId xmlns:a16="http://schemas.microsoft.com/office/drawing/2014/main" id="{53378F9B-C01F-4F97-85D3-FFC495CAAB66}"/>
            </a:ext>
          </a:extLst>
        </xdr:cNvPr>
        <xdr:cNvSpPr txBox="1"/>
      </xdr:nvSpPr>
      <xdr:spPr>
        <a:xfrm>
          <a:off x="6911317" y="180441631"/>
          <a:ext cx="5864888" cy="2905959"/>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10.2.4.4 Propósito de los enlaces (en contexto)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El propósito de cada enlace puede ser determinado con sólo el texto del enlace o a través del texto del enlace sumado al contexto del enlace determinado por software, excepto cuando el propósito del enlace resultara ambiguo para los usuarios en general. (Nivel 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9"/>
            </a:rPr>
            <a:t>https://www.w3.org/TR/WCAG/#link-purpose-in-context</a:t>
          </a:r>
          <a:endParaRPr lang="es-ES" sz="1500" b="0" strike="noStrike" spc="-1">
            <a:latin typeface="Times New Roman"/>
          </a:endParaRPr>
        </a:p>
      </xdr:txBody>
    </xdr:sp>
    <xdr:clientData/>
  </xdr:twoCellAnchor>
  <xdr:twoCellAnchor editAs="absolute">
    <xdr:from>
      <xdr:col>5</xdr:col>
      <xdr:colOff>17237</xdr:colOff>
      <xdr:row>1088</xdr:row>
      <xdr:rowOff>33399</xdr:rowOff>
    </xdr:from>
    <xdr:to>
      <xdr:col>11</xdr:col>
      <xdr:colOff>44443</xdr:colOff>
      <xdr:row>1104</xdr:row>
      <xdr:rowOff>121227</xdr:rowOff>
    </xdr:to>
    <xdr:sp macro="" textlink="">
      <xdr:nvSpPr>
        <xdr:cNvPr id="173" name="TextShape 1" descr="10.2.4.6 Encabezados y etiquetas (Condicional)  Condición: Cuando los documentos se puedan descargar de una página web.  Los encabezados y etiquetas describen el tema o propósito. (Nivel AA)  Nota: Los encabezados y etiquetas deben determinarse mediante programación, según el criterio de conformidad 1.3.1.  https://www.w3.org/TR/WCAG/#headings-and-labels">
          <a:extLst>
            <a:ext uri="{FF2B5EF4-FFF2-40B4-BE49-F238E27FC236}">
              <a16:creationId xmlns:a16="http://schemas.microsoft.com/office/drawing/2014/main" id="{292367FA-99D6-40EA-8D63-08C2E4F1ED37}"/>
            </a:ext>
          </a:extLst>
        </xdr:cNvPr>
        <xdr:cNvSpPr txBox="1"/>
      </xdr:nvSpPr>
      <xdr:spPr>
        <a:xfrm>
          <a:off x="6927192" y="187242944"/>
          <a:ext cx="5846115" cy="2858738"/>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10.2.4.6 Encabezados y etiquetas</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Los encabezados y etiquetas describen el tema o propósito. (Nivel AA)</a:t>
          </a:r>
          <a:endParaRPr lang="es-ES" sz="1500" b="0" strike="noStrike" spc="-1">
            <a:latin typeface="Times New Roman"/>
          </a:endParaRPr>
        </a:p>
        <a:p>
          <a:endParaRPr lang="es-ES" sz="1500" b="0" strike="noStrike" spc="-1">
            <a:latin typeface="Times New Roman"/>
          </a:endParaRPr>
        </a:p>
        <a:p>
          <a:r>
            <a:rPr lang="es-ES" sz="1200" b="0" strike="noStrike" spc="-1">
              <a:latin typeface="Arial" pitchFamily="34" charset="0"/>
              <a:cs typeface="Arial" pitchFamily="34" charset="0"/>
            </a:rPr>
            <a:t>Nota: Los encabezados y etiquetas deben determinarse mediante programación, según el criterio de conformidad 1.3.1.</a:t>
          </a: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0"/>
            </a:rPr>
            <a:t>https://www.w3.org/TR/WCAG/#headings-and-labels</a:t>
          </a:r>
          <a:endParaRPr lang="es-ES" sz="1500" b="0" strike="noStrike" spc="-1">
            <a:latin typeface="Times New Roman"/>
          </a:endParaRPr>
        </a:p>
      </xdr:txBody>
    </xdr:sp>
    <xdr:clientData/>
  </xdr:twoCellAnchor>
  <xdr:twoCellAnchor editAs="absolute">
    <xdr:from>
      <xdr:col>5</xdr:col>
      <xdr:colOff>321</xdr:colOff>
      <xdr:row>1126</xdr:row>
      <xdr:rowOff>103511</xdr:rowOff>
    </xdr:from>
    <xdr:to>
      <xdr:col>11</xdr:col>
      <xdr:colOff>41085</xdr:colOff>
      <xdr:row>1141</xdr:row>
      <xdr:rowOff>51955</xdr:rowOff>
    </xdr:to>
    <xdr:sp macro="" textlink="">
      <xdr:nvSpPr>
        <xdr:cNvPr id="174" name="TextShape 1" descr="10.2.4.7 Foco visible (Condicional)  Condición: Cuando los documentos se puedan descargar de una página web.  Cualquier interfaz de usuario operable por teclado tiene una forma de operar en la cuál el indicador del foco del teclado resulta visible. (Nivel AA)   https://www.w3.org/TR/WCAG/#focus-visible">
          <a:extLst>
            <a:ext uri="{FF2B5EF4-FFF2-40B4-BE49-F238E27FC236}">
              <a16:creationId xmlns:a16="http://schemas.microsoft.com/office/drawing/2014/main" id="{53F5CD13-34DD-4B03-9273-5A16A14F5455}"/>
            </a:ext>
          </a:extLst>
        </xdr:cNvPr>
        <xdr:cNvSpPr txBox="1"/>
      </xdr:nvSpPr>
      <xdr:spPr>
        <a:xfrm>
          <a:off x="6910276" y="194101784"/>
          <a:ext cx="5859673" cy="2546171"/>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10.2.4.7 Foco visible</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Cualquier interfaz de usuario operable por teclado tiene una forma de operar en la cuál el indicador del foco del teclado resulta visible. (Nivel AA)</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1"/>
            </a:rPr>
            <a:t>https://www.w3.org/TR/WCAG/#focus-visible</a:t>
          </a:r>
          <a:endParaRPr lang="es-ES" sz="1500" b="0" strike="noStrike" spc="-1">
            <a:latin typeface="Times New Roman"/>
          </a:endParaRPr>
        </a:p>
      </xdr:txBody>
    </xdr:sp>
    <xdr:clientData/>
  </xdr:twoCellAnchor>
  <xdr:twoCellAnchor editAs="absolute">
    <xdr:from>
      <xdr:col>4</xdr:col>
      <xdr:colOff>335756</xdr:colOff>
      <xdr:row>1164</xdr:row>
      <xdr:rowOff>120898</xdr:rowOff>
    </xdr:from>
    <xdr:to>
      <xdr:col>11</xdr:col>
      <xdr:colOff>17591</xdr:colOff>
      <xdr:row>1180</xdr:row>
      <xdr:rowOff>51954</xdr:rowOff>
    </xdr:to>
    <xdr:sp macro="" textlink="">
      <xdr:nvSpPr>
        <xdr:cNvPr id="175" name="TextShape 1" descr="10.2.5.1 Gestos con el puntero (Condicional)  Condición: Cuando los documentos se puedan descargar de una página web.  Todas las funciones que utilizan gestos multipunto o basados ​​en ruta para la operación pueden operarse con un solo puntero sin un gesto basado en ruta, a menos que sea esencial un gesto multipunto o basado en ruta.  https://www.w3.org/TR/WCAG/#pointer-gestures">
          <a:extLst>
            <a:ext uri="{FF2B5EF4-FFF2-40B4-BE49-F238E27FC236}">
              <a16:creationId xmlns:a16="http://schemas.microsoft.com/office/drawing/2014/main" id="{EDC2257F-B5BA-4476-B820-D208E7159C95}"/>
            </a:ext>
          </a:extLst>
        </xdr:cNvPr>
        <xdr:cNvSpPr txBox="1"/>
      </xdr:nvSpPr>
      <xdr:spPr>
        <a:xfrm>
          <a:off x="6882029" y="200907898"/>
          <a:ext cx="5864426" cy="2701965"/>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10.2.5.1 Gestos con el puntero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Todas las funciones que utilizan gestos multipunto o basados ​​en ruta para la operación pueden operarse con un solo puntero sin un gesto basado en ruta, a menos que sea esencial un gesto multipunto o basado en ruta.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2"/>
            </a:rPr>
            <a:t>https://www.w3.org/TR/WCAG/#pointer-gestures</a:t>
          </a:r>
          <a:endParaRPr lang="es-ES" sz="1500" b="0" strike="noStrike" spc="-1">
            <a:latin typeface="Times New Roman"/>
          </a:endParaRPr>
        </a:p>
      </xdr:txBody>
    </xdr:sp>
    <xdr:clientData/>
  </xdr:twoCellAnchor>
  <xdr:twoCellAnchor editAs="absolute">
    <xdr:from>
      <xdr:col>5</xdr:col>
      <xdr:colOff>10582</xdr:colOff>
      <xdr:row>1202</xdr:row>
      <xdr:rowOff>34379</xdr:rowOff>
    </xdr:from>
    <xdr:to>
      <xdr:col>11</xdr:col>
      <xdr:colOff>127578</xdr:colOff>
      <xdr:row>1232</xdr:row>
      <xdr:rowOff>155863</xdr:rowOff>
    </xdr:to>
    <xdr:sp macro="" textlink="">
      <xdr:nvSpPr>
        <xdr:cNvPr id="176" name="TextShape 1" descr="10.2.5.2 Cancelación del puntero (Condicional)  Condición: Cuando los documentos se puedan descargar de una página web.  Para la funcionalidad que puede operarse con un solo puntero, al menos uno de los siguientes es verdadero:   - Sin evento descendente: el evento descendente del puntero no se utiliza para ejecutar ninguna parte de la función;  - Abortar o Deshacer: la finalización de la función está en el evento up, y hay un mecanismo disponible para abortar la función antes de que se complete o para deshacer la función después de que se complete;  - Inversión ascendente: el evento ascendente invierte cualquier resultado del evento descendente anterior;  - Esencial: completar la función en el evento descendente es esencial.  https://www.w3.org/TR/WCAG/#pointer-cancellation">
          <a:extLst>
            <a:ext uri="{FF2B5EF4-FFF2-40B4-BE49-F238E27FC236}">
              <a16:creationId xmlns:a16="http://schemas.microsoft.com/office/drawing/2014/main" id="{E820357B-069D-4824-8DE4-F1A731873BF8}"/>
            </a:ext>
          </a:extLst>
        </xdr:cNvPr>
        <xdr:cNvSpPr txBox="1"/>
      </xdr:nvSpPr>
      <xdr:spPr>
        <a:xfrm>
          <a:off x="6920537" y="207610106"/>
          <a:ext cx="5935905" cy="5316939"/>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10.2.5.2 Cancelación del puntero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Para la funcionalidad que puede operarse con un solo puntero, al menos uno de los siguientes es verdadero: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Sin evento descendente</a:t>
          </a:r>
          <a:r>
            <a:rPr lang="en-US" sz="1500" b="0" strike="noStrike" spc="-1">
              <a:solidFill>
                <a:srgbClr val="000000"/>
              </a:solidFill>
              <a:latin typeface="Arial"/>
              <a:ea typeface="Linux Libertine G"/>
            </a:rPr>
            <a:t>: el evento descendente del puntero no se utiliza para ejecutar ninguna parte de la función;</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Abortar o Deshacer</a:t>
          </a:r>
          <a:r>
            <a:rPr lang="en-US" sz="1500" b="0" strike="noStrike" spc="-1">
              <a:solidFill>
                <a:srgbClr val="000000"/>
              </a:solidFill>
              <a:latin typeface="Arial"/>
              <a:ea typeface="Linux Libertine G"/>
            </a:rPr>
            <a:t>: la finalización de la función está en el evento up, y hay un mecanismo disponible para abortar la función antes de que se complete o para deshacer la función después de que se complete;</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Inversión ascendente</a:t>
          </a:r>
          <a:r>
            <a:rPr lang="en-US" sz="1500" b="0" strike="noStrike" spc="-1">
              <a:solidFill>
                <a:srgbClr val="000000"/>
              </a:solidFill>
              <a:latin typeface="Arial"/>
              <a:ea typeface="Linux Libertine G"/>
            </a:rPr>
            <a:t>: el evento ascendente invierte cualquier resultado del evento descendente anterior;</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Esencial</a:t>
          </a:r>
          <a:r>
            <a:rPr lang="en-US" sz="1500" b="0" strike="noStrike" spc="-1">
              <a:solidFill>
                <a:srgbClr val="000000"/>
              </a:solidFill>
              <a:latin typeface="Arial"/>
              <a:ea typeface="Linux Libertine G"/>
            </a:rPr>
            <a:t>: completar la función en el evento descendente es esencial.</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3"/>
            </a:rPr>
            <a:t>https://www.w3.org/TR/WCAG/#pointer-cancellation</a:t>
          </a:r>
          <a:endParaRPr lang="es-ES" sz="1500" b="0" strike="noStrike" spc="-1">
            <a:latin typeface="Times New Roman"/>
          </a:endParaRPr>
        </a:p>
      </xdr:txBody>
    </xdr:sp>
    <xdr:clientData/>
  </xdr:twoCellAnchor>
  <xdr:twoCellAnchor editAs="absolute">
    <xdr:from>
      <xdr:col>5</xdr:col>
      <xdr:colOff>648</xdr:colOff>
      <xdr:row>1240</xdr:row>
      <xdr:rowOff>51314</xdr:rowOff>
    </xdr:from>
    <xdr:to>
      <xdr:col>11</xdr:col>
      <xdr:colOff>70247</xdr:colOff>
      <xdr:row>1254</xdr:row>
      <xdr:rowOff>121227</xdr:rowOff>
    </xdr:to>
    <xdr:sp macro="" textlink="">
      <xdr:nvSpPr>
        <xdr:cNvPr id="177" name="TextShape 1" descr="10.2.5.3 Inclusión de la etiqueta en el nombre (Condicional)  Condición: Cuando los documentos se puedan descargar de una página web.  Para los componentes de la interfaz de usuario con etiquetas que incluyen texto o imágenes de texto, el nombre contiene el texto que se presenta visualmente.  https://www.w3.org/TR/WCAG/#label-in-name">
          <a:extLst>
            <a:ext uri="{FF2B5EF4-FFF2-40B4-BE49-F238E27FC236}">
              <a16:creationId xmlns:a16="http://schemas.microsoft.com/office/drawing/2014/main" id="{87A8C46C-B6C6-4B99-8B4F-8E6FF7638F7B}"/>
            </a:ext>
          </a:extLst>
        </xdr:cNvPr>
        <xdr:cNvSpPr txBox="1"/>
      </xdr:nvSpPr>
      <xdr:spPr>
        <a:xfrm>
          <a:off x="6910603" y="214415769"/>
          <a:ext cx="5888508" cy="2494458"/>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10.2.5.3 Inclusión de la etiqueta en el nombre</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Para los componentes de la interfaz de usuario con etiquetas que incluyen texto o imágenes de texto, el nombre contiene el texto que se presenta visualmente.</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4"/>
            </a:rPr>
            <a:t>https://www.w3.org/TR/WCAG/#label-in-name</a:t>
          </a:r>
          <a:endParaRPr lang="es-ES" sz="1500" b="0" strike="noStrike" spc="-1">
            <a:latin typeface="Times New Roman"/>
          </a:endParaRPr>
        </a:p>
      </xdr:txBody>
    </xdr:sp>
    <xdr:clientData/>
  </xdr:twoCellAnchor>
  <xdr:twoCellAnchor editAs="absolute">
    <xdr:from>
      <xdr:col>4</xdr:col>
      <xdr:colOff>332580</xdr:colOff>
      <xdr:row>1279</xdr:row>
      <xdr:rowOff>17974</xdr:rowOff>
    </xdr:from>
    <xdr:to>
      <xdr:col>11</xdr:col>
      <xdr:colOff>8248</xdr:colOff>
      <xdr:row>1304</xdr:row>
      <xdr:rowOff>51954</xdr:rowOff>
    </xdr:to>
    <xdr:sp macro="" textlink="">
      <xdr:nvSpPr>
        <xdr:cNvPr id="178" name="TextShape 1" descr="10.2.5.4. Activación mediante movimiento (Condicional)  Condición: Cuando los documentos se puedan descargar de una página web.  La funcionalidad que puede ser operada por el movimiento del dispositivo o el movimiento del usuario también puede ser operada por los componentes de la interfaz del usuario y la respuesta al movimiento se puede desactivar para evitar la activación accidental, excepto cuando:    - Interfaz compatible: el movimiento se utiliza para operar la funcionalidad a través de una interfaz compatible de accesibilidad;   - Esencial: el movimiento es esencial para la función y hacerlo invalidaría la actividad.   https://www.w3.org/TR/WCAG/#motion-actuation">
          <a:extLst>
            <a:ext uri="{FF2B5EF4-FFF2-40B4-BE49-F238E27FC236}">
              <a16:creationId xmlns:a16="http://schemas.microsoft.com/office/drawing/2014/main" id="{5DB5C4D0-FA57-4D09-ACCE-ED5D47DCE869}"/>
            </a:ext>
          </a:extLst>
        </xdr:cNvPr>
        <xdr:cNvSpPr txBox="1"/>
      </xdr:nvSpPr>
      <xdr:spPr>
        <a:xfrm>
          <a:off x="6878853" y="221344338"/>
          <a:ext cx="5858259" cy="4363525"/>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10.2.5.4. Activación mediante movimiento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La funcionalidad que puede ser operada por el movimiento del dispositivo o el movimiento del usuario también puede ser operada por los componentes de la interfaz del usuario y la respuesta al movimiento se puede desactivar para evitar la activación accidental, excepto cuando: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 Interfaz compatible</a:t>
          </a:r>
          <a:r>
            <a:rPr lang="en-US" sz="1500" b="0" strike="noStrike" spc="-1">
              <a:solidFill>
                <a:srgbClr val="000000"/>
              </a:solidFill>
              <a:latin typeface="Arial"/>
              <a:ea typeface="Linux Libertine G"/>
            </a:rPr>
            <a:t>: el movimiento se utiliza para operar la funcionalidad a través de una interfaz compatible de accesibilidad;</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 </a:t>
          </a:r>
          <a:r>
            <a:rPr lang="en-US" sz="1500" b="1" strike="noStrike" spc="-1">
              <a:solidFill>
                <a:srgbClr val="000000"/>
              </a:solidFill>
              <a:latin typeface="Arial"/>
              <a:ea typeface="Linux Libertine G"/>
            </a:rPr>
            <a:t>Esencial</a:t>
          </a:r>
          <a:r>
            <a:rPr lang="en-US" sz="1500" b="0" strike="noStrike" spc="-1">
              <a:solidFill>
                <a:srgbClr val="000000"/>
              </a:solidFill>
              <a:latin typeface="Arial"/>
              <a:ea typeface="Linux Libertine G"/>
            </a:rPr>
            <a:t>: el movimiento es esencial para la función y hacerlo invalidaría la actividad.</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5"/>
            </a:rPr>
            <a:t>https://www.w3.org/TR/WCAG/#motion-actuation</a:t>
          </a:r>
          <a:endParaRPr lang="es-ES" sz="1500" b="0" strike="noStrike" spc="-1">
            <a:latin typeface="Times New Roman"/>
          </a:endParaRPr>
        </a:p>
        <a:p>
          <a:r>
            <a:rPr lang="en-US" sz="1100" b="0" strike="noStrike" spc="-1">
              <a:solidFill>
                <a:srgbClr val="000000"/>
              </a:solidFill>
              <a:latin typeface="Arial"/>
              <a:ea typeface="Linux Libertine G"/>
            </a:rPr>
            <a:t>	</a:t>
          </a:r>
          <a:endParaRPr lang="es-ES" sz="1100" b="0" strike="noStrike" spc="-1">
            <a:latin typeface="Times New Roman"/>
          </a:endParaRPr>
        </a:p>
      </xdr:txBody>
    </xdr:sp>
    <xdr:clientData/>
  </xdr:twoCellAnchor>
  <xdr:twoCellAnchor editAs="absolute">
    <xdr:from>
      <xdr:col>5</xdr:col>
      <xdr:colOff>7584</xdr:colOff>
      <xdr:row>1316</xdr:row>
      <xdr:rowOff>61586</xdr:rowOff>
    </xdr:from>
    <xdr:to>
      <xdr:col>10</xdr:col>
      <xdr:colOff>615581</xdr:colOff>
      <xdr:row>1328</xdr:row>
      <xdr:rowOff>138545</xdr:rowOff>
    </xdr:to>
    <xdr:sp macro="" textlink="">
      <xdr:nvSpPr>
        <xdr:cNvPr id="179" name="TextShape 1" descr="10.3.1.1 Idioma de la página (Condicional)  Condición: Cuando los documentos se puedan descargar de una página web.  El idioma predeterminado de cada documento puede ser determinado por software. (Nivel A)  https://www.w3.org/TR/WCAG/#language-of-page">
          <a:extLst>
            <a:ext uri="{FF2B5EF4-FFF2-40B4-BE49-F238E27FC236}">
              <a16:creationId xmlns:a16="http://schemas.microsoft.com/office/drawing/2014/main" id="{C6AB3BC7-0FB5-4188-A522-C2AD3F799E6E}"/>
            </a:ext>
          </a:extLst>
        </xdr:cNvPr>
        <xdr:cNvSpPr txBox="1"/>
      </xdr:nvSpPr>
      <xdr:spPr>
        <a:xfrm>
          <a:off x="6917539" y="228003495"/>
          <a:ext cx="5457087" cy="2155141"/>
        </a:xfrm>
        <a:prstGeom prst="rect">
          <a:avLst/>
        </a:prstGeom>
        <a:solidFill>
          <a:srgbClr val="DDDDDD"/>
        </a:solidFill>
        <a:ln>
          <a:noFill/>
        </a:ln>
      </xdr:spPr>
      <xdr:txBody>
        <a:bodyPr lIns="0" tIns="0" rIns="0" bIns="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10.3.1.1 Idioma de la página</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El idioma predeterminado de cada documento puede ser determinado por software. (Nivel 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6"/>
            </a:rPr>
            <a:t>https://www.w3.org/TR/WCAG/#language-of-page</a:t>
          </a:r>
          <a:endParaRPr lang="es-ES" sz="1500" b="0" strike="noStrike" spc="-1">
            <a:latin typeface="Times New Roman"/>
          </a:endParaRPr>
        </a:p>
      </xdr:txBody>
    </xdr:sp>
    <xdr:clientData/>
  </xdr:twoCellAnchor>
  <xdr:twoCellAnchor editAs="absolute">
    <xdr:from>
      <xdr:col>7</xdr:col>
      <xdr:colOff>469421</xdr:colOff>
      <xdr:row>1312</xdr:row>
      <xdr:rowOff>26988</xdr:rowOff>
    </xdr:from>
    <xdr:to>
      <xdr:col>8</xdr:col>
      <xdr:colOff>216761</xdr:colOff>
      <xdr:row>1316</xdr:row>
      <xdr:rowOff>61586</xdr:rowOff>
    </xdr:to>
    <xdr:pic>
      <xdr:nvPicPr>
        <xdr:cNvPr id="180" name="Image 1">
          <a:extLst>
            <a:ext uri="{FF2B5EF4-FFF2-40B4-BE49-F238E27FC236}">
              <a16:creationId xmlns:a16="http://schemas.microsoft.com/office/drawing/2014/main" id="{D3AE86DB-7476-4C52-8B30-1CB2B1F8E9D9}"/>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18171" y="217800238"/>
          <a:ext cx="572840" cy="669598"/>
        </a:xfrm>
        <a:prstGeom prst="rect">
          <a:avLst/>
        </a:prstGeom>
        <a:ln>
          <a:noFill/>
        </a:ln>
      </xdr:spPr>
    </xdr:pic>
    <xdr:clientData/>
  </xdr:twoCellAnchor>
  <xdr:twoCellAnchor editAs="absolute">
    <xdr:from>
      <xdr:col>7</xdr:col>
      <xdr:colOff>546100</xdr:colOff>
      <xdr:row>970</xdr:row>
      <xdr:rowOff>36512</xdr:rowOff>
    </xdr:from>
    <xdr:to>
      <xdr:col>8</xdr:col>
      <xdr:colOff>308232</xdr:colOff>
      <xdr:row>974</xdr:row>
      <xdr:rowOff>55256</xdr:rowOff>
    </xdr:to>
    <xdr:pic>
      <xdr:nvPicPr>
        <xdr:cNvPr id="181" name="Image 1">
          <a:extLst>
            <a:ext uri="{FF2B5EF4-FFF2-40B4-BE49-F238E27FC236}">
              <a16:creationId xmlns:a16="http://schemas.microsoft.com/office/drawing/2014/main" id="{C136574E-F9DD-4446-96A8-39FC5FDD0BC1}"/>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47225" y="163809362"/>
          <a:ext cx="600332" cy="704544"/>
        </a:xfrm>
        <a:prstGeom prst="rect">
          <a:avLst/>
        </a:prstGeom>
        <a:ln>
          <a:noFill/>
        </a:ln>
      </xdr:spPr>
    </xdr:pic>
    <xdr:clientData/>
  </xdr:twoCellAnchor>
  <xdr:twoCellAnchor editAs="absolute">
    <xdr:from>
      <xdr:col>4</xdr:col>
      <xdr:colOff>352425</xdr:colOff>
      <xdr:row>974</xdr:row>
      <xdr:rowOff>95250</xdr:rowOff>
    </xdr:from>
    <xdr:to>
      <xdr:col>11</xdr:col>
      <xdr:colOff>59222</xdr:colOff>
      <xdr:row>990</xdr:row>
      <xdr:rowOff>130459</xdr:rowOff>
    </xdr:to>
    <xdr:sp macro="" textlink="">
      <xdr:nvSpPr>
        <xdr:cNvPr id="182" name="TextShape 1" descr="10.2.4.2 Titulado de documento (Condicional)  Condición: Cuando los documentos se puedan descargar de una página web.  Los documentos tienen títulos que describen el tema o propósito.   Nota: El nombre del documento (por ejemplo, documento, archivo multimedia) basta como título si describe el tema o propósito.     https://www.w3.org/TR/WCAG/#page-titled">
          <a:extLst>
            <a:ext uri="{FF2B5EF4-FFF2-40B4-BE49-F238E27FC236}">
              <a16:creationId xmlns:a16="http://schemas.microsoft.com/office/drawing/2014/main" id="{1B3B7621-89DB-4EEF-B68B-829899E77B24}"/>
            </a:ext>
          </a:extLst>
        </xdr:cNvPr>
        <xdr:cNvSpPr txBox="1"/>
      </xdr:nvSpPr>
      <xdr:spPr>
        <a:xfrm>
          <a:off x="6908800" y="168957625"/>
          <a:ext cx="5898047" cy="2829209"/>
        </a:xfrm>
        <a:prstGeom prst="rect">
          <a:avLst/>
        </a:prstGeom>
        <a:solidFill>
          <a:srgbClr val="DDDDDD"/>
        </a:solidFill>
        <a:ln>
          <a:noFill/>
        </a:ln>
      </xdr:spPr>
      <xdr:txBody>
        <a:bodyPr lIns="108000" tIns="108000" rIns="108000" bIns="108000">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cs typeface="+mn-cs"/>
            </a:rPr>
            <a:t>10.2.4.2 Titulado de documento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cs typeface="+mn-cs"/>
          </a:endParaRPr>
        </a:p>
        <a:p>
          <a:endParaRPr lang="en-US" sz="1500" b="0" strike="noStrike" spc="-1">
            <a:solidFill>
              <a:srgbClr val="000000"/>
            </a:solidFill>
            <a:latin typeface="Arial"/>
            <a:ea typeface="Linux Libertine G"/>
            <a:cs typeface="+mn-cs"/>
          </a:endParaRPr>
        </a:p>
        <a:p>
          <a:r>
            <a:rPr lang="en-US" sz="1500" b="0" strike="noStrike" spc="-1">
              <a:solidFill>
                <a:srgbClr val="000000"/>
              </a:solidFill>
              <a:latin typeface="Arial"/>
              <a:ea typeface="Linux Libertine G"/>
              <a:cs typeface="+mn-cs"/>
            </a:rPr>
            <a:t>Los documentos tienen títulos que describen el tema o propósito. </a:t>
          </a:r>
        </a:p>
        <a:p>
          <a:endParaRPr lang="es-ES" sz="1500" b="0" strike="noStrike" spc="-1">
            <a:solidFill>
              <a:srgbClr val="000000"/>
            </a:solidFill>
            <a:latin typeface="Arial"/>
            <a:ea typeface="Linux Libertine G"/>
            <a:cs typeface="+mn-cs"/>
          </a:endParaRPr>
        </a:p>
        <a:p>
          <a:pPr eaLnBrk="1" fontAlgn="auto" latinLnBrk="0" hangingPunct="1"/>
          <a:r>
            <a:rPr lang="en-US" sz="1200" b="0" strike="noStrike" spc="-1">
              <a:solidFill>
                <a:srgbClr val="000000"/>
              </a:solidFill>
              <a:latin typeface="Arial"/>
              <a:ea typeface="Linux Libertine G"/>
              <a:cs typeface="+mn-cs"/>
            </a:rPr>
            <a:t>Nota: </a:t>
          </a:r>
          <a:r>
            <a:rPr lang="es-ES" sz="1200" b="0" strike="noStrike" spc="-1">
              <a:solidFill>
                <a:srgbClr val="000000"/>
              </a:solidFill>
              <a:latin typeface="Arial"/>
              <a:ea typeface="Linux Libertine G"/>
              <a:cs typeface="+mn-cs"/>
            </a:rPr>
            <a:t>El nombre del documento (por ejemplo, documento, archivo multimedia) basta como título si describe el tema o propósito. </a:t>
          </a:r>
          <a:r>
            <a:rPr lang="es-ES" sz="1500" b="0" strike="noStrike" spc="-1">
              <a:solidFill>
                <a:srgbClr val="000000"/>
              </a:solidFill>
              <a:latin typeface="Arial"/>
              <a:ea typeface="Linux Libertine G"/>
              <a:cs typeface="+mn-cs"/>
            </a:rPr>
            <a:t>	</a:t>
          </a: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7"/>
            </a:rPr>
            <a:t>https://www.w3.org/TR/WCAG/#page-titled</a:t>
          </a:r>
          <a:endParaRPr lang="es-ES" sz="1500" b="0" strike="noStrike" spc="-1">
            <a:latin typeface="Times New Roman"/>
          </a:endParaRPr>
        </a:p>
      </xdr:txBody>
    </xdr:sp>
    <xdr:clientData/>
  </xdr:twoCellAnchor>
  <xdr:twoCellAnchor editAs="absolute">
    <xdr:from>
      <xdr:col>7</xdr:col>
      <xdr:colOff>453682</xdr:colOff>
      <xdr:row>1388</xdr:row>
      <xdr:rowOff>112250</xdr:rowOff>
    </xdr:from>
    <xdr:to>
      <xdr:col>8</xdr:col>
      <xdr:colOff>206464</xdr:colOff>
      <xdr:row>1392</xdr:row>
      <xdr:rowOff>143823</xdr:rowOff>
    </xdr:to>
    <xdr:pic>
      <xdr:nvPicPr>
        <xdr:cNvPr id="183" name="Image 1">
          <a:extLst>
            <a:ext uri="{FF2B5EF4-FFF2-40B4-BE49-F238E27FC236}">
              <a16:creationId xmlns:a16="http://schemas.microsoft.com/office/drawing/2014/main" id="{2EAA573B-1F10-45E8-8B06-76DF9F730EF6}"/>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02432" y="230395000"/>
          <a:ext cx="578282" cy="666573"/>
        </a:xfrm>
        <a:prstGeom prst="rect">
          <a:avLst/>
        </a:prstGeom>
        <a:ln>
          <a:noFill/>
        </a:ln>
      </xdr:spPr>
    </xdr:pic>
    <xdr:clientData/>
  </xdr:twoCellAnchor>
  <xdr:twoCellAnchor editAs="absolute">
    <xdr:from>
      <xdr:col>4</xdr:col>
      <xdr:colOff>254000</xdr:colOff>
      <xdr:row>1393</xdr:row>
      <xdr:rowOff>16604</xdr:rowOff>
    </xdr:from>
    <xdr:to>
      <xdr:col>10</xdr:col>
      <xdr:colOff>863599</xdr:colOff>
      <xdr:row>1405</xdr:row>
      <xdr:rowOff>51956</xdr:rowOff>
    </xdr:to>
    <xdr:sp macro="" textlink="">
      <xdr:nvSpPr>
        <xdr:cNvPr id="184" name="TextShape 1" descr="10.3.2.1 Al recibir el foco (Condicional)  Condición: Cuando los documentos se puedan descargar de una página web.  Cuando cualquier componente recibe el foco, no inicia ningún cambio en el contexto. (Nivel A)  https://www.w3.org/TR/WCAG/#on-focus">
          <a:extLst>
            <a:ext uri="{FF2B5EF4-FFF2-40B4-BE49-F238E27FC236}">
              <a16:creationId xmlns:a16="http://schemas.microsoft.com/office/drawing/2014/main" id="{7D69D9D3-6F3B-49B3-9393-BFD37F5374B1}"/>
            </a:ext>
          </a:extLst>
        </xdr:cNvPr>
        <xdr:cNvSpPr txBox="1"/>
      </xdr:nvSpPr>
      <xdr:spPr>
        <a:xfrm>
          <a:off x="6800273" y="241709149"/>
          <a:ext cx="5822371" cy="2113534"/>
        </a:xfrm>
        <a:prstGeom prst="rect">
          <a:avLst/>
        </a:prstGeom>
        <a:solidFill>
          <a:srgbClr val="DDDDDD"/>
        </a:solidFill>
        <a:ln>
          <a:noFill/>
        </a:ln>
      </xdr:spPr>
      <xdr:txBody>
        <a:bodyPr lIns="0" tIns="0" rIns="0" bIns="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s-ES" sz="1500" b="1" strike="noStrike" spc="-1">
              <a:solidFill>
                <a:srgbClr val="000000"/>
              </a:solidFill>
              <a:latin typeface="Arial"/>
              <a:ea typeface="Linux Libertine G"/>
            </a:rPr>
            <a:t>10.3.2.1 Al recibir el foco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s-ES" sz="1500" b="1" strike="noStrike" spc="-1">
            <a:solidFill>
              <a:srgbClr val="000000"/>
            </a:solidFill>
            <a:latin typeface="Arial"/>
            <a:ea typeface="Linux Libertine G"/>
          </a:endParaRPr>
        </a:p>
        <a:p>
          <a:endParaRPr lang="es-ES" sz="1500" b="0" strike="noStrike" spc="-1">
            <a:solidFill>
              <a:srgbClr val="000000"/>
            </a:solidFill>
            <a:latin typeface="Arial"/>
            <a:ea typeface="Linux Libertine G"/>
          </a:endParaRPr>
        </a:p>
        <a:p>
          <a:r>
            <a:rPr lang="es-ES" sz="1500" b="0" strike="noStrike" spc="-1">
              <a:solidFill>
                <a:srgbClr val="000000"/>
              </a:solidFill>
              <a:latin typeface="Arial"/>
              <a:ea typeface="Linux Libertine G"/>
            </a:rPr>
            <a:t>Cuando cualquier componente recibe el foco, no inicia ningún cambio en el contexto. (Nivel A)</a:t>
          </a:r>
          <a:endParaRPr lang="es-ES" sz="1500" b="0" strike="noStrike" spc="-1">
            <a:latin typeface="Times New Roman"/>
          </a:endParaRPr>
        </a:p>
        <a:p>
          <a:endParaRPr lang="es-ES" sz="1500" b="0" strike="noStrike" spc="-1">
            <a:latin typeface="Times New Roman"/>
          </a:endParaRPr>
        </a:p>
        <a:p>
          <a:r>
            <a:rPr lang="es-ES" sz="1500" b="1" strike="noStrike" spc="-1">
              <a:solidFill>
                <a:srgbClr val="3465A4"/>
              </a:solidFill>
              <a:latin typeface="Arial"/>
              <a:ea typeface="Linux Libertine G"/>
              <a:hlinkClick xmlns:r="http://schemas.openxmlformats.org/officeDocument/2006/relationships" r:id="rId28"/>
            </a:rPr>
            <a:t>https://www.w3.org/TR/WCAG/#on-focus</a:t>
          </a:r>
          <a:endParaRPr lang="es-ES" sz="1500" b="0" strike="noStrike" spc="-1">
            <a:latin typeface="Times New Roman"/>
          </a:endParaRPr>
        </a:p>
      </xdr:txBody>
    </xdr:sp>
    <xdr:clientData/>
  </xdr:twoCellAnchor>
  <xdr:twoCellAnchor editAs="absolute">
    <xdr:from>
      <xdr:col>4</xdr:col>
      <xdr:colOff>301625</xdr:colOff>
      <xdr:row>1354</xdr:row>
      <xdr:rowOff>14023</xdr:rowOff>
    </xdr:from>
    <xdr:to>
      <xdr:col>10</xdr:col>
      <xdr:colOff>850900</xdr:colOff>
      <xdr:row>1371</xdr:row>
      <xdr:rowOff>17317</xdr:rowOff>
    </xdr:to>
    <xdr:sp macro="" textlink="">
      <xdr:nvSpPr>
        <xdr:cNvPr id="185" name="TextShape 1" descr="10.3.1.2 Idioma de las partes (Condicional)  Condición: Cuando los documentos se puedan descargar de una página web.  El idioma de cada pasaje o frase en el documento puede ser determinado por software, excepto los nombres propios, los términos técnicos, las palabras que estén en un idioma indeterminado y las palabras o frases que se hayan convertido en parte natural del texto que las rodea.   (Nivel AA)  https://www.w3.org/TR/WCAG/#language-of-parts">
          <a:extLst>
            <a:ext uri="{FF2B5EF4-FFF2-40B4-BE49-F238E27FC236}">
              <a16:creationId xmlns:a16="http://schemas.microsoft.com/office/drawing/2014/main" id="{63CEC609-D314-4885-A206-CCF6808EFD21}"/>
            </a:ext>
          </a:extLst>
        </xdr:cNvPr>
        <xdr:cNvSpPr txBox="1"/>
      </xdr:nvSpPr>
      <xdr:spPr>
        <a:xfrm>
          <a:off x="6847898" y="234744659"/>
          <a:ext cx="5762047" cy="2947385"/>
        </a:xfrm>
        <a:prstGeom prst="rect">
          <a:avLst/>
        </a:prstGeom>
        <a:solidFill>
          <a:srgbClr val="DDDDDD"/>
        </a:solidFill>
        <a:ln>
          <a:noFill/>
        </a:ln>
      </xdr:spPr>
      <xdr:txBody>
        <a:bodyPr lIns="0" tIns="0" rIns="0" bIns="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10.3.1.2 Idioma de las partes</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El idioma de cada pasaje o frase en el documento puede ser determinado por software, excepto los nombres propios, los términos técnicos, las palabras que estén en un idioma indeterminado y las palabras o frases que se hayan convertido en parte natural del texto que las rodea. 	</a:t>
          </a:r>
        </a:p>
        <a:p>
          <a:r>
            <a:rPr lang="en-US" sz="1500" b="0" strike="noStrike" spc="-1">
              <a:solidFill>
                <a:srgbClr val="000000"/>
              </a:solidFill>
              <a:latin typeface="Arial"/>
              <a:ea typeface="Linux Libertine G"/>
            </a:rPr>
            <a:t>(Nivel AA)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9"/>
            </a:rPr>
            <a:t>https://www.w3.org/TR/WCAG/#language-of-parts</a:t>
          </a:r>
          <a:endParaRPr lang="es-ES" sz="1500" b="0" strike="noStrike" spc="-1">
            <a:latin typeface="Times New Roman"/>
          </a:endParaRPr>
        </a:p>
      </xdr:txBody>
    </xdr:sp>
    <xdr:clientData/>
  </xdr:twoCellAnchor>
  <xdr:twoCellAnchor editAs="absolute">
    <xdr:from>
      <xdr:col>7</xdr:col>
      <xdr:colOff>492283</xdr:colOff>
      <xdr:row>1350</xdr:row>
      <xdr:rowOff>44450</xdr:rowOff>
    </xdr:from>
    <xdr:to>
      <xdr:col>8</xdr:col>
      <xdr:colOff>238715</xdr:colOff>
      <xdr:row>1353</xdr:row>
      <xdr:rowOff>139524</xdr:rowOff>
    </xdr:to>
    <xdr:pic>
      <xdr:nvPicPr>
        <xdr:cNvPr id="186" name="Image 1">
          <a:extLst>
            <a:ext uri="{FF2B5EF4-FFF2-40B4-BE49-F238E27FC236}">
              <a16:creationId xmlns:a16="http://schemas.microsoft.com/office/drawing/2014/main" id="{C0910A41-3D67-42E0-AC6A-B2E322B8A04A}"/>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41033" y="224072450"/>
          <a:ext cx="571932" cy="571324"/>
        </a:xfrm>
        <a:prstGeom prst="rect">
          <a:avLst/>
        </a:prstGeom>
        <a:ln>
          <a:noFill/>
        </a:ln>
      </xdr:spPr>
    </xdr:pic>
    <xdr:clientData/>
  </xdr:twoCellAnchor>
  <xdr:twoCellAnchor editAs="absolute">
    <xdr:from>
      <xdr:col>5</xdr:col>
      <xdr:colOff>3637</xdr:colOff>
      <xdr:row>632</xdr:row>
      <xdr:rowOff>101306</xdr:rowOff>
    </xdr:from>
    <xdr:to>
      <xdr:col>11</xdr:col>
      <xdr:colOff>13903</xdr:colOff>
      <xdr:row>661</xdr:row>
      <xdr:rowOff>103909</xdr:rowOff>
    </xdr:to>
    <xdr:sp macro="" textlink="">
      <xdr:nvSpPr>
        <xdr:cNvPr id="187" name="TextShape 1" descr="10.1.4.11 Contraste no textual (Condicional)  Condición: Cuando los documentos se puedan descargar de una página web.  La presentación visual de los siguientes elementos  tiene una relación de contraste de al menos 3:1 con respecto a los colores adyacentes:   - Componentes de la interfaz de usuario: Información visual necesaria para identificar los componentes y estados de la interfaz de usuario, excepto en el caso de los componentes inactivos o cuando la apariencia del componente es determinada por el agente de usuario y no modificada por el autor;  - Objetos gráficos: Partes de los gráficos necesarios para comprender el contenido, excepto cuando una presentación particular de los gráficos es esencial para la información que se transmite   https://www.w3.org/TR/WCAG/#non-text-contrast">
          <a:extLst>
            <a:ext uri="{FF2B5EF4-FFF2-40B4-BE49-F238E27FC236}">
              <a16:creationId xmlns:a16="http://schemas.microsoft.com/office/drawing/2014/main" id="{B986DD0E-45D9-43C5-BCB2-25F899D0AC51}"/>
            </a:ext>
          </a:extLst>
        </xdr:cNvPr>
        <xdr:cNvSpPr txBox="1"/>
      </xdr:nvSpPr>
      <xdr:spPr>
        <a:xfrm>
          <a:off x="6913592" y="106833261"/>
          <a:ext cx="5829175" cy="4713148"/>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10.1.4.11 Contraste no textual</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La presentación visual de los siguientes elementos  tiene una relación de contraste de al menos 3:1 con respecto a los colores adyacentes: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Componentes de la interfaz de usuario</a:t>
          </a:r>
          <a:r>
            <a:rPr lang="en-US" sz="1500" b="0" strike="noStrike" spc="-1">
              <a:solidFill>
                <a:srgbClr val="000000"/>
              </a:solidFill>
              <a:latin typeface="Arial"/>
              <a:ea typeface="Linux Libertine G"/>
            </a:rPr>
            <a:t>: Información visual necesaria para identificar los componentes y estados de la interfaz de usuario, excepto en el caso de los componentes inactivos o cuando la apariencia del componente es determinada por el agente de usuario y no modificada por el autor;</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Objetos gráficos</a:t>
          </a:r>
          <a:r>
            <a:rPr lang="en-US" sz="1500" b="0" strike="noStrike" spc="-1">
              <a:solidFill>
                <a:srgbClr val="000000"/>
              </a:solidFill>
              <a:latin typeface="Arial"/>
              <a:ea typeface="Linux Libertine G"/>
            </a:rPr>
            <a:t>: Partes de los gráficos necesarios para comprender el contenido, excepto cuando una presentación particular de los gráficos es esencial para la información que se transmite</a:t>
          </a:r>
          <a:endParaRPr lang="es-ES" sz="1500" b="0" strike="noStrike" spc="-1">
            <a:latin typeface="Times New Roman"/>
          </a:endParaRPr>
        </a:p>
        <a:p>
          <a:r>
            <a:rPr lang="en-US" sz="1500" b="0" strike="noStrike" spc="-1">
              <a:solidFill>
                <a:srgbClr val="000000"/>
              </a:solidFill>
              <a:latin typeface="Arial"/>
              <a:ea typeface="Linux Libertine G"/>
            </a:rPr>
            <a:t>	</a:t>
          </a:r>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0"/>
            </a:rPr>
            <a:t>https://www.w3.org/TR/WCAG/#non-text-contrast</a:t>
          </a:r>
          <a:endParaRPr lang="es-ES" sz="1500" b="0" strike="noStrike" spc="-1">
            <a:latin typeface="Times New Roman"/>
          </a:endParaRPr>
        </a:p>
      </xdr:txBody>
    </xdr:sp>
    <xdr:clientData/>
  </xdr:twoCellAnchor>
  <xdr:twoCellAnchor editAs="absolute">
    <xdr:from>
      <xdr:col>5</xdr:col>
      <xdr:colOff>5369</xdr:colOff>
      <xdr:row>594</xdr:row>
      <xdr:rowOff>76722</xdr:rowOff>
    </xdr:from>
    <xdr:to>
      <xdr:col>11</xdr:col>
      <xdr:colOff>23428</xdr:colOff>
      <xdr:row>622</xdr:row>
      <xdr:rowOff>10583</xdr:rowOff>
    </xdr:to>
    <xdr:sp macro="" textlink="">
      <xdr:nvSpPr>
        <xdr:cNvPr id="188" name="TextShape 1" descr="10.1.4.10 Reajuste del texto (Condicional)  Condición: Cuando los documentos se puedan descargar de una página web.  El contenido puede ser presentado sin pérdida de información o funcionalidad, y sin necesidad de desplazarse en dos dimensiones:   - Contenido de desplazamiento vertical con un ancho equivalente a 320 píxeles CSS;  - Contenido de desplazamiento horizontal a una altura equivalente a 256 píxeles CSS;  - Excepto para partes del contenido que requieren un diseño bidimensional para su uso o significado.  https://www.w3.org/TR/WCAG/#reflow">
          <a:extLst>
            <a:ext uri="{FF2B5EF4-FFF2-40B4-BE49-F238E27FC236}">
              <a16:creationId xmlns:a16="http://schemas.microsoft.com/office/drawing/2014/main" id="{E5CFFC20-6BD8-47B6-AA57-861678AE6AFA}"/>
            </a:ext>
          </a:extLst>
        </xdr:cNvPr>
        <xdr:cNvSpPr txBox="1"/>
      </xdr:nvSpPr>
      <xdr:spPr>
        <a:xfrm>
          <a:off x="6937452" y="96586139"/>
          <a:ext cx="5849476" cy="4315361"/>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10.1.4.10 Reajuste del texto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El contenido puede ser presentado sin pérdida de información o funcionalidad, y sin necesidad de desplazarse en dos dimensiones: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Contenido de desplazamiento vertical con un ancho equivalente a 320 píxeles CSS;</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Contenido de desplazamiento horizontal a una altura equivalente a 256 píxeles CSS;</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Excepto para partes del contenido que requieren un diseño bidimensional para su uso o significado.</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1"/>
            </a:rPr>
            <a:t>https://www.w3.org/TR/WCAG/#reflow</a:t>
          </a:r>
          <a:endParaRPr lang="es-ES" sz="1500" b="0" strike="noStrike" spc="-1">
            <a:latin typeface="Times New Roman"/>
          </a:endParaRPr>
        </a:p>
      </xdr:txBody>
    </xdr:sp>
    <xdr:clientData/>
  </xdr:twoCellAnchor>
  <xdr:twoCellAnchor editAs="absolute">
    <xdr:from>
      <xdr:col>5</xdr:col>
      <xdr:colOff>3637</xdr:colOff>
      <xdr:row>556</xdr:row>
      <xdr:rowOff>116765</xdr:rowOff>
    </xdr:from>
    <xdr:to>
      <xdr:col>11</xdr:col>
      <xdr:colOff>13903</xdr:colOff>
      <xdr:row>583</xdr:row>
      <xdr:rowOff>69272</xdr:rowOff>
    </xdr:to>
    <xdr:sp macro="" textlink="">
      <xdr:nvSpPr>
        <xdr:cNvPr id="189" name="TextShape 1" descr="10.1.4.5 Imágenes de texto (Condicional)  Condición: Cuando los documentos se puedan descargar de una página web.  Si las tecnologías que se utilizan pueden lograr la presentación visual, el texto se utiliza para transmitir información en lugar de imágenes de texto, con la excepción de lo siguiente:   - Personalizable: La imagen del texto se puede personalizar visualmente según las necesidades del usuario;  - Esencial: Una presentación particular del texto es esencial para la información que se transmite.  Nota: Los logotipos (texto que forma parte de un logotipo o marca) se consideran esenciales.  https://www.w3.org/TR/WCAG/#images-of-text">
          <a:extLst>
            <a:ext uri="{FF2B5EF4-FFF2-40B4-BE49-F238E27FC236}">
              <a16:creationId xmlns:a16="http://schemas.microsoft.com/office/drawing/2014/main" id="{A0D7892D-C986-4D04-B53F-C9C184A3455D}"/>
            </a:ext>
          </a:extLst>
        </xdr:cNvPr>
        <xdr:cNvSpPr txBox="1"/>
      </xdr:nvSpPr>
      <xdr:spPr>
        <a:xfrm>
          <a:off x="6913592" y="94102538"/>
          <a:ext cx="5829175" cy="4351325"/>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10.1.4.5 Imágenes de texto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Si las tecnologías que se utilizan pueden lograr la presentación visual, el texto se utiliza para transmitir información en lugar de imágenes de texto, con la excepción de lo siguiente: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Personalizable</a:t>
          </a:r>
          <a:r>
            <a:rPr lang="en-US" sz="1500" b="0" strike="noStrike" spc="-1">
              <a:solidFill>
                <a:srgbClr val="000000"/>
              </a:solidFill>
              <a:latin typeface="Arial"/>
              <a:ea typeface="Linux Libertine G"/>
            </a:rPr>
            <a:t>: La imagen del texto se puede personalizar visualmente según las necesidades del usuario;</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Esencial</a:t>
          </a:r>
          <a:r>
            <a:rPr lang="en-US" sz="1500" b="0" strike="noStrike" spc="-1">
              <a:solidFill>
                <a:srgbClr val="000000"/>
              </a:solidFill>
              <a:latin typeface="Arial"/>
              <a:ea typeface="Linux Libertine G"/>
            </a:rPr>
            <a:t>: Una presentación particular del texto es esencial para la información que se transmite.</a:t>
          </a:r>
          <a:endParaRPr lang="es-ES" sz="1500" b="0" strike="noStrike" spc="-1">
            <a:latin typeface="Times New Roman"/>
          </a:endParaRPr>
        </a:p>
        <a:p>
          <a:endParaRPr lang="es-ES" sz="1500" b="0" strike="noStrike" spc="-1">
            <a:latin typeface="Times New Roman"/>
          </a:endParaRPr>
        </a:p>
        <a:p>
          <a:r>
            <a:rPr lang="en-US" sz="1200" b="0" strike="noStrike" spc="-1">
              <a:solidFill>
                <a:srgbClr val="000000"/>
              </a:solidFill>
              <a:latin typeface="Arial" panose="020B0604020202020204" pitchFamily="34" charset="0"/>
              <a:ea typeface="Linux Libertine G"/>
              <a:cs typeface="Arial" panose="020B0604020202020204" pitchFamily="34" charset="0"/>
            </a:rPr>
            <a:t>Nota: Los logotipos (texto que forma parte de un logotipo o marca) se consideran esenciales.</a:t>
          </a:r>
          <a:endParaRPr lang="es-ES" sz="1200" b="0" strike="noStrike" spc="-1">
            <a:latin typeface="Arial" panose="020B0604020202020204" pitchFamily="34" charset="0"/>
            <a:cs typeface="Arial" panose="020B0604020202020204" pitchFamily="34" charset="0"/>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2"/>
            </a:rPr>
            <a:t>https://www.w3.org/TR/WCAG/#images-of-text</a:t>
          </a:r>
          <a:endParaRPr lang="es-ES" sz="1500" b="0" strike="noStrike" spc="-1">
            <a:latin typeface="Times New Roman"/>
          </a:endParaRPr>
        </a:p>
      </xdr:txBody>
    </xdr:sp>
    <xdr:clientData/>
  </xdr:twoCellAnchor>
  <xdr:twoCellAnchor editAs="absolute">
    <xdr:from>
      <xdr:col>5</xdr:col>
      <xdr:colOff>5369</xdr:colOff>
      <xdr:row>518</xdr:row>
      <xdr:rowOff>84165</xdr:rowOff>
    </xdr:from>
    <xdr:to>
      <xdr:col>11</xdr:col>
      <xdr:colOff>23428</xdr:colOff>
      <xdr:row>533</xdr:row>
      <xdr:rowOff>22204</xdr:rowOff>
    </xdr:to>
    <xdr:sp macro="" textlink="">
      <xdr:nvSpPr>
        <xdr:cNvPr id="190" name="TextShape 1" descr="10.1.4.4 Cambio de tamaño del texto (Condicional)  Condición: Cuando los documentos se puedan descargar de una página web.  A excepción de los subtítulos y las imágenes de texto, el texto puede redimensionarse sin tecnología de asistencia hasta un 200% sin pérdida de contenido o funcionalidad.  https://www.w3.org/TR/WCAG/#resize-text">
          <a:extLst>
            <a:ext uri="{FF2B5EF4-FFF2-40B4-BE49-F238E27FC236}">
              <a16:creationId xmlns:a16="http://schemas.microsoft.com/office/drawing/2014/main" id="{EC3BE1D8-D61A-4211-B4A0-DF48818EA2CC}"/>
            </a:ext>
          </a:extLst>
        </xdr:cNvPr>
        <xdr:cNvSpPr txBox="1"/>
      </xdr:nvSpPr>
      <xdr:spPr>
        <a:xfrm>
          <a:off x="6915324" y="87696847"/>
          <a:ext cx="5836968" cy="2431857"/>
        </a:xfrm>
        <a:prstGeom prst="rect">
          <a:avLst/>
        </a:prstGeom>
        <a:solidFill>
          <a:srgbClr val="DDDDDD"/>
        </a:solidFill>
        <a:ln>
          <a:noFill/>
        </a:ln>
      </xdr:spPr>
      <xdr:txBody>
        <a:bodyPr lIns="108000" tIns="108000" rIns="108000" bIns="108000">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10.1.4.4 Cambio de tamaño del texto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A excepción de los subtítulos y las imágenes de texto, el texto puede redimensionarse sin tecnología de asistencia hasta un 200% sin pérdida de contenido o funcionalidad.</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3"/>
            </a:rPr>
            <a:t>https://www.w3.org/TR/WCAG/#resize-text</a:t>
          </a:r>
          <a:endParaRPr lang="es-ES" sz="1500" b="0" strike="noStrike" spc="-1">
            <a:latin typeface="Times New Roman"/>
          </a:endParaRPr>
        </a:p>
      </xdr:txBody>
    </xdr:sp>
    <xdr:clientData/>
  </xdr:twoCellAnchor>
  <xdr:twoCellAnchor editAs="absolute">
    <xdr:from>
      <xdr:col>4</xdr:col>
      <xdr:colOff>360516</xdr:colOff>
      <xdr:row>480</xdr:row>
      <xdr:rowOff>49850</xdr:rowOff>
    </xdr:from>
    <xdr:to>
      <xdr:col>11</xdr:col>
      <xdr:colOff>7100</xdr:colOff>
      <xdr:row>510</xdr:row>
      <xdr:rowOff>116417</xdr:rowOff>
    </xdr:to>
    <xdr:sp macro="" textlink="">
      <xdr:nvSpPr>
        <xdr:cNvPr id="191" name="TextShape 1" descr="10.1.4.3 Contraste (mínimo) (Condicional)  Condición: Cuando los documentos se puedan descargar de una página web.  La presentación visual de texto e imágenes de texto tiene una relación de contraste de al menos 4,5:1, excepto para lo siguiente:   - Texto grande: El texto y las imágenes a gran escala de texto a gran escala tienen una relación de contraste de al menos 3:1;  - Incidental: El texto o las imágenes de texto que forman parte de un componente inactivo de la interfaz de usuario, que son pura decoración, que no son visibles para nadie, o que forman parte de una imagen que contiene otro contenido visual significativo, no tienen requisitos de contraste.  - Logotipos: El texto que forma parte de un logotipo o marca no tiene un requisito de contraste mínimo.  https://www.w3.org/TR/WCAG/#contrast-minimum">
          <a:extLst>
            <a:ext uri="{FF2B5EF4-FFF2-40B4-BE49-F238E27FC236}">
              <a16:creationId xmlns:a16="http://schemas.microsoft.com/office/drawing/2014/main" id="{49294C06-3B98-40B0-997C-46D6AACF5E12}"/>
            </a:ext>
          </a:extLst>
        </xdr:cNvPr>
        <xdr:cNvSpPr txBox="1"/>
      </xdr:nvSpPr>
      <xdr:spPr>
        <a:xfrm>
          <a:off x="6922183" y="78154850"/>
          <a:ext cx="5848417" cy="4744400"/>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10.1.4.3 Contraste (mínimo)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La presentación visual de texto e imágenes de texto tiene una relación de contraste de al menos 4,5:1, excepto para lo siguiente: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Texto grande</a:t>
          </a:r>
          <a:r>
            <a:rPr lang="en-US" sz="1500" b="0" strike="noStrike" spc="-1">
              <a:solidFill>
                <a:srgbClr val="000000"/>
              </a:solidFill>
              <a:latin typeface="Arial"/>
              <a:ea typeface="Linux Libertine G"/>
            </a:rPr>
            <a:t>: El texto y las imágenes a gran escala de texto a gran escala tienen una relación de contraste de al menos 3:1;</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Incidental</a:t>
          </a:r>
          <a:r>
            <a:rPr lang="en-US" sz="1500" b="0" strike="noStrike" spc="-1">
              <a:solidFill>
                <a:srgbClr val="000000"/>
              </a:solidFill>
              <a:latin typeface="Arial"/>
              <a:ea typeface="Linux Libertine G"/>
            </a:rPr>
            <a:t>: El texto o las imágenes de texto que forman parte de un componente inactivo de la interfaz de usuario, que son pura decoración, que no son visibles para nadie, o que forman parte de una imagen que contiene otro contenido visual significativo, no tienen requisitos de contraste.</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Logotipos</a:t>
          </a:r>
          <a:r>
            <a:rPr lang="en-US" sz="1500" b="0" strike="noStrike" spc="-1">
              <a:solidFill>
                <a:srgbClr val="000000"/>
              </a:solidFill>
              <a:latin typeface="Arial"/>
              <a:ea typeface="Linux Libertine G"/>
            </a:rPr>
            <a:t>: El texto que forma parte de un logotipo o marca no tiene un requisito de contraste mínimo.</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4"/>
            </a:rPr>
            <a:t>https://www.w3.org/TR/WCAG/#contrast-minimum</a:t>
          </a:r>
          <a:endParaRPr lang="es-ES" sz="1500" b="0" strike="noStrike" spc="-1">
            <a:latin typeface="Times New Roman"/>
          </a:endParaRPr>
        </a:p>
      </xdr:txBody>
    </xdr:sp>
    <xdr:clientData/>
  </xdr:twoCellAnchor>
  <xdr:twoCellAnchor editAs="absolute">
    <xdr:from>
      <xdr:col>5</xdr:col>
      <xdr:colOff>2276</xdr:colOff>
      <xdr:row>442</xdr:row>
      <xdr:rowOff>100950</xdr:rowOff>
    </xdr:from>
    <xdr:to>
      <xdr:col>11</xdr:col>
      <xdr:colOff>12542</xdr:colOff>
      <xdr:row>466</xdr:row>
      <xdr:rowOff>127000</xdr:rowOff>
    </xdr:to>
    <xdr:sp macro="" textlink="">
      <xdr:nvSpPr>
        <xdr:cNvPr id="192" name="TextShape 1" descr="10.1.4.2 Control del audio (Condicional)  Condición: Cuando los documentos se puedan descargar de una página web.  Si el audio de un documento suena automáticamente durante más de 3 segundos, se proporciona ya sea un mecanismo para pausar o detener el audio, o un mecanismo para controlar el volumen del sonido que es independiente del nivel de volumen global del sistema. (Nivel A)  Nota: En la medida en que cualquier parte del documento que no satisfaga este criterio puede interferir con la capacidad del usuario de emplear el documento en su conjunto, todo contenido del documento (tanto si satisface o no otros criterios de conformidad) debe satisfacer este criterio. Véase Requisito de Conformidad 5: Sin interferencia.  https://www.w3.org/TR/WCAG/#audio-control">
          <a:extLst>
            <a:ext uri="{FF2B5EF4-FFF2-40B4-BE49-F238E27FC236}">
              <a16:creationId xmlns:a16="http://schemas.microsoft.com/office/drawing/2014/main" id="{68067D25-BD43-4D72-9A1C-512159387F33}"/>
            </a:ext>
          </a:extLst>
        </xdr:cNvPr>
        <xdr:cNvSpPr txBox="1"/>
      </xdr:nvSpPr>
      <xdr:spPr>
        <a:xfrm>
          <a:off x="6923776" y="75967575"/>
          <a:ext cx="5836391" cy="4010675"/>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10.1.4.2 Control del audio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Si el audio de un documento suena automáticamente durante más de 3 segundos, se proporciona ya sea un mecanismo para pausar o detener el audio, o un mecanismo para controlar el volumen del sonido que es independiente del nivel de volumen global del sistema. (Nivel A)</a:t>
          </a:r>
          <a:endParaRPr lang="es-ES" sz="1500" b="0" strike="noStrike" spc="-1">
            <a:latin typeface="Times New Roman"/>
          </a:endParaRPr>
        </a:p>
        <a:p>
          <a:endParaRPr lang="es-ES" sz="1500" b="0" strike="noStrike" spc="-1">
            <a:latin typeface="Times New Roman"/>
          </a:endParaRPr>
        </a:p>
        <a:p>
          <a:r>
            <a:rPr lang="en-US" sz="1200" b="0" strike="noStrike" spc="-1">
              <a:solidFill>
                <a:srgbClr val="000000"/>
              </a:solidFill>
              <a:latin typeface="Arial" panose="020B0604020202020204" pitchFamily="34" charset="0"/>
              <a:ea typeface="Linux Libertine G"/>
              <a:cs typeface="Arial" panose="020B0604020202020204" pitchFamily="34" charset="0"/>
            </a:rPr>
            <a:t>Nota: En la medida en que cualquier parte del documento que no satisfaga este criterio puede interferir con la capacidad del usuario de emplear el</a:t>
          </a:r>
          <a:r>
            <a:rPr lang="en-US" sz="1200" b="0" strike="noStrike" spc="-1" baseline="0">
              <a:solidFill>
                <a:srgbClr val="000000"/>
              </a:solidFill>
              <a:latin typeface="Arial" panose="020B0604020202020204" pitchFamily="34" charset="0"/>
              <a:ea typeface="Linux Libertine G"/>
              <a:cs typeface="Arial" panose="020B0604020202020204" pitchFamily="34" charset="0"/>
            </a:rPr>
            <a:t> documento</a:t>
          </a:r>
          <a:r>
            <a:rPr lang="en-US" sz="1200" b="0" strike="noStrike" spc="-1">
              <a:solidFill>
                <a:srgbClr val="000000"/>
              </a:solidFill>
              <a:latin typeface="Arial" panose="020B0604020202020204" pitchFamily="34" charset="0"/>
              <a:ea typeface="Linux Libertine G"/>
              <a:cs typeface="Arial" panose="020B0604020202020204" pitchFamily="34" charset="0"/>
            </a:rPr>
            <a:t> en su conjunto, todo contenido del documento (tanto si satisface o no otros criterios de conformidad) debe satisfacer este criterio. Véase Requisito de Conformidad 5: Sin interferencia.</a:t>
          </a:r>
          <a:endParaRPr lang="es-ES" sz="1200" b="0" strike="noStrike" spc="-1">
            <a:latin typeface="Arial" panose="020B0604020202020204" pitchFamily="34" charset="0"/>
            <a:cs typeface="Arial" panose="020B0604020202020204" pitchFamily="34" charset="0"/>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5"/>
            </a:rPr>
            <a:t>https://www.w3.org/TR/WCAG/#audio-control</a:t>
          </a:r>
          <a:endParaRPr lang="es-ES" sz="1500" b="0" strike="noStrike" spc="-1">
            <a:latin typeface="Times New Roman"/>
          </a:endParaRPr>
        </a:p>
      </xdr:txBody>
    </xdr:sp>
    <xdr:clientData/>
  </xdr:twoCellAnchor>
  <xdr:twoCellAnchor editAs="absolute">
    <xdr:from>
      <xdr:col>5</xdr:col>
      <xdr:colOff>2277</xdr:colOff>
      <xdr:row>404</xdr:row>
      <xdr:rowOff>58940</xdr:rowOff>
    </xdr:from>
    <xdr:to>
      <xdr:col>11</xdr:col>
      <xdr:colOff>12543</xdr:colOff>
      <xdr:row>423</xdr:row>
      <xdr:rowOff>142875</xdr:rowOff>
    </xdr:to>
    <xdr:sp macro="" textlink="">
      <xdr:nvSpPr>
        <xdr:cNvPr id="193" name="TextShape 1" descr="10.1.4.1 Uso del Color (Condicional)  Condición: Cuando los documentos se puedan descargar de una página web.  El color no se usa como único medio visual para transmitir la información, indicar una acción, solicitar una respuesta o distinguir un elemento visual. (Nivel A)  Nota: Este criterio de conformidad trata específicamente acerca de la percepción del color. En la Pauta 1.3 se recogen otras formas de percepción, incluyendo el acceso por software al color y a otros códigos de presentación visual.  https://www.w3.org/TR/WCAG/#use-of-color">
          <a:extLst>
            <a:ext uri="{FF2B5EF4-FFF2-40B4-BE49-F238E27FC236}">
              <a16:creationId xmlns:a16="http://schemas.microsoft.com/office/drawing/2014/main" id="{379B3FB5-3439-4B4B-B58E-F20D66208D6D}"/>
            </a:ext>
          </a:extLst>
        </xdr:cNvPr>
        <xdr:cNvSpPr txBox="1"/>
      </xdr:nvSpPr>
      <xdr:spPr>
        <a:xfrm>
          <a:off x="6923777" y="69464440"/>
          <a:ext cx="5836391" cy="3274810"/>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10.1.4.1 Uso del Color</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El color no se usa como único medio visual para transmitir la información, indicar una acción, solicitar una respuesta o distinguir un elemento visual. (Nivel A)</a:t>
          </a:r>
          <a:endParaRPr lang="es-ES" sz="1500" b="0" strike="noStrike" spc="-1">
            <a:latin typeface="Times New Roman"/>
          </a:endParaRPr>
        </a:p>
        <a:p>
          <a:endParaRPr lang="es-ES" sz="1500" b="0" strike="noStrike" spc="-1">
            <a:latin typeface="Times New Roman"/>
          </a:endParaRPr>
        </a:p>
        <a:p>
          <a:r>
            <a:rPr lang="en-US" sz="1200" b="0" strike="noStrike" spc="-1">
              <a:solidFill>
                <a:srgbClr val="000000"/>
              </a:solidFill>
              <a:latin typeface="Arial" panose="020B0604020202020204" pitchFamily="34" charset="0"/>
              <a:ea typeface="Linux Libertine G"/>
              <a:cs typeface="Arial" panose="020B0604020202020204" pitchFamily="34" charset="0"/>
            </a:rPr>
            <a:t>Nota: Este criterio de conformidad trata específicamente acerca de la percepción del color. En la Pauta 1.3 se recogen otras formas de percepción, incluyendo el acceso por software al color y a otros códigos de presentación visual.</a:t>
          </a:r>
          <a:endParaRPr lang="es-ES" sz="1200" b="0" strike="noStrike" spc="-1">
            <a:latin typeface="Arial" panose="020B0604020202020204" pitchFamily="34" charset="0"/>
            <a:cs typeface="Arial" panose="020B0604020202020204" pitchFamily="34" charset="0"/>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6"/>
            </a:rPr>
            <a:t>https://www.w3.org/TR/WCAG/#use-of-color</a:t>
          </a:r>
          <a:endParaRPr lang="es-ES" sz="1500" b="0" strike="noStrike" spc="-1">
            <a:latin typeface="Times New Roman"/>
          </a:endParaRPr>
        </a:p>
      </xdr:txBody>
    </xdr:sp>
    <xdr:clientData/>
  </xdr:twoCellAnchor>
  <xdr:twoCellAnchor editAs="absolute">
    <xdr:from>
      <xdr:col>5</xdr:col>
      <xdr:colOff>5369</xdr:colOff>
      <xdr:row>366</xdr:row>
      <xdr:rowOff>73645</xdr:rowOff>
    </xdr:from>
    <xdr:to>
      <xdr:col>11</xdr:col>
      <xdr:colOff>23428</xdr:colOff>
      <xdr:row>392</xdr:row>
      <xdr:rowOff>51953</xdr:rowOff>
    </xdr:to>
    <xdr:sp macro="" textlink="">
      <xdr:nvSpPr>
        <xdr:cNvPr id="194" name="TextShape 1" descr="10.1.3.5 Identificación del propósito de la entrada (Condicional)  Condición: Cuando los documentos se puedan descargar de una página web.  El propósito de cada campo de entrada que recoge información sobre el usuario puede ser determinado programáticamente cuando:  - El campo de entrada sirve a un propósito identificado en los propósitos de entrada de los componentes de la interfaz de usuario; y - El contenido se implementa usando tecnologías con soporte para identificar el significado esperado de los datos de entrada en formularios.  https://www.w3.org/TR/WCAG/#identify-input-purpose">
          <a:extLst>
            <a:ext uri="{FF2B5EF4-FFF2-40B4-BE49-F238E27FC236}">
              <a16:creationId xmlns:a16="http://schemas.microsoft.com/office/drawing/2014/main" id="{399E42ED-D3C5-45CB-B47E-8E0A827A7947}"/>
            </a:ext>
          </a:extLst>
        </xdr:cNvPr>
        <xdr:cNvSpPr txBox="1"/>
      </xdr:nvSpPr>
      <xdr:spPr>
        <a:xfrm>
          <a:off x="6915324" y="62176645"/>
          <a:ext cx="5836968" cy="4221263"/>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10.1.3.5 Identificación del propósito de la entrada</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El propósito de cada campo de entrada que recoge información sobre el usuario puede ser determinado programáticamente cuando:</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El campo de entrada sirve a un propósito identificado en los propósitos de entrada de los componentes de la interfaz de usuario; y</a:t>
          </a:r>
          <a:endParaRPr lang="es-ES" sz="1500" b="0" strike="noStrike" spc="-1">
            <a:latin typeface="Times New Roman"/>
          </a:endParaRPr>
        </a:p>
        <a:p>
          <a:r>
            <a:rPr lang="en-US" sz="1500" b="0" strike="noStrike" spc="-1">
              <a:solidFill>
                <a:srgbClr val="000000"/>
              </a:solidFill>
              <a:latin typeface="Arial"/>
              <a:ea typeface="Linux Libertine G"/>
            </a:rPr>
            <a:t>- El contenido se implementa usando tecnologías con soporte para identificar el significado esperado de los datos de entrada en formularios.</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7"/>
            </a:rPr>
            <a:t>https://www.w3.org/TR/WCAG/#identify-input-purpose</a:t>
          </a:r>
          <a:endParaRPr lang="es-ES" sz="1500" b="0" strike="noStrike" spc="-1">
            <a:latin typeface="Times New Roman"/>
          </a:endParaRPr>
        </a:p>
      </xdr:txBody>
    </xdr:sp>
    <xdr:clientData/>
  </xdr:twoCellAnchor>
  <xdr:twoCellAnchor editAs="absolute">
    <xdr:from>
      <xdr:col>4</xdr:col>
      <xdr:colOff>359154</xdr:colOff>
      <xdr:row>328</xdr:row>
      <xdr:rowOff>146370</xdr:rowOff>
    </xdr:from>
    <xdr:to>
      <xdr:col>10</xdr:col>
      <xdr:colOff>967763</xdr:colOff>
      <xdr:row>343</xdr:row>
      <xdr:rowOff>84409</xdr:rowOff>
    </xdr:to>
    <xdr:sp macro="" textlink="">
      <xdr:nvSpPr>
        <xdr:cNvPr id="195" name="TextShape 1" descr="10.1.3.4 Orientación (Condicional)  Condición: Cuando los documentos se puedan descargar de una página web.  El contenido no restringe su visualización y funcionamiento a una única orientación de pantalla, como vertical u horizontal, a menos que sea esencial una orientación de pantalla específica.  https://www.w3.org/TR/WCAG/#orientation">
          <a:extLst>
            <a:ext uri="{FF2B5EF4-FFF2-40B4-BE49-F238E27FC236}">
              <a16:creationId xmlns:a16="http://schemas.microsoft.com/office/drawing/2014/main" id="{F88E3705-F02A-4322-B16C-07FA5D31B73F}"/>
            </a:ext>
          </a:extLst>
        </xdr:cNvPr>
        <xdr:cNvSpPr txBox="1"/>
      </xdr:nvSpPr>
      <xdr:spPr>
        <a:xfrm>
          <a:off x="6905427" y="55876279"/>
          <a:ext cx="5821381" cy="2431857"/>
        </a:xfrm>
        <a:prstGeom prst="rect">
          <a:avLst/>
        </a:prstGeom>
        <a:solidFill>
          <a:srgbClr val="DDDDDD"/>
        </a:solidFill>
        <a:ln>
          <a:noFill/>
        </a:ln>
      </xdr:spPr>
      <xdr:txBody>
        <a:bodyPr lIns="108000" tIns="108000" rIns="108000" bIns="108000">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10.1.3.4 Orientación</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El contenido no restringe su visualización y funcionamiento a una única orientación de pantalla, como vertical u horizontal, a menos que sea esencial una orientación de pantalla específica.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8"/>
            </a:rPr>
            <a:t>https://www.w3.org/TR/WCAG/#orientation</a:t>
          </a:r>
          <a:endParaRPr lang="es-ES" sz="1500" b="0" strike="noStrike" spc="-1">
            <a:latin typeface="Times New Roman"/>
          </a:endParaRPr>
        </a:p>
      </xdr:txBody>
    </xdr:sp>
    <xdr:clientData/>
  </xdr:twoCellAnchor>
  <xdr:twoCellAnchor editAs="absolute">
    <xdr:from>
      <xdr:col>4</xdr:col>
      <xdr:colOff>363236</xdr:colOff>
      <xdr:row>290</xdr:row>
      <xdr:rowOff>125729</xdr:rowOff>
    </xdr:from>
    <xdr:to>
      <xdr:col>10</xdr:col>
      <xdr:colOff>968670</xdr:colOff>
      <xdr:row>310</xdr:row>
      <xdr:rowOff>148165</xdr:rowOff>
    </xdr:to>
    <xdr:sp macro="" textlink="">
      <xdr:nvSpPr>
        <xdr:cNvPr id="196" name="TextShape 1" descr="10.1.3.3 Características sensoriales (Condicional)  Condición: Cuando los documentos se puedan descargar de una página web.  Las instrucciones proporcionadas para entender y operar el contenido no dependen exclusivamente en las características sensoriales de los componentes como su forma, tamaño, ubicación visual, orientación o sonido. (Nivel A)  Nota: Para los requisitos relacionados con el color, véase la Pauta 1.4.  https://www.w3.org/TR/WCAG/#sensory-characteristics">
          <a:extLst>
            <a:ext uri="{FF2B5EF4-FFF2-40B4-BE49-F238E27FC236}">
              <a16:creationId xmlns:a16="http://schemas.microsoft.com/office/drawing/2014/main" id="{53452C68-E652-4E7D-A4E1-C4BA34F2B96E}"/>
            </a:ext>
          </a:extLst>
        </xdr:cNvPr>
        <xdr:cNvSpPr txBox="1"/>
      </xdr:nvSpPr>
      <xdr:spPr>
        <a:xfrm>
          <a:off x="6909509" y="49482547"/>
          <a:ext cx="5818206" cy="3337907"/>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10.1.3.3 Características sensoriales</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Las instrucciones proporcionadas para entender y operar el contenido no dependen exclusivamente en las características sensoriales de los componentes como su forma, tamaño, ubicación visual, orientación o sonido. (Nivel A)</a:t>
          </a:r>
          <a:endParaRPr lang="es-ES" sz="1500" b="0" strike="noStrike" spc="-1">
            <a:latin typeface="Times New Roman"/>
          </a:endParaRPr>
        </a:p>
        <a:p>
          <a:endParaRPr lang="es-ES" sz="1500" b="0" strike="noStrike" spc="-1">
            <a:latin typeface="Times New Roman"/>
          </a:endParaRPr>
        </a:p>
        <a:p>
          <a:r>
            <a:rPr lang="en-US" sz="1200" b="0" strike="noStrike" spc="-1">
              <a:solidFill>
                <a:srgbClr val="000000"/>
              </a:solidFill>
              <a:latin typeface="Arial" panose="020B0604020202020204" pitchFamily="34" charset="0"/>
              <a:ea typeface="Linux Libertine G"/>
              <a:cs typeface="Arial" panose="020B0604020202020204" pitchFamily="34" charset="0"/>
            </a:rPr>
            <a:t>Nota: Para los requisitos relacionados con el color, véase la Pauta 1.4.</a:t>
          </a:r>
          <a:endParaRPr lang="es-ES" sz="1200" b="0" strike="noStrike" spc="-1">
            <a:latin typeface="Arial" panose="020B0604020202020204" pitchFamily="34" charset="0"/>
            <a:cs typeface="Arial" panose="020B0604020202020204" pitchFamily="34" charset="0"/>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9"/>
            </a:rPr>
            <a:t>https://www.w3.org/TR/WCAG/#sensory-characteristics</a:t>
          </a:r>
          <a:endParaRPr lang="es-ES" sz="1500" b="0" strike="noStrike" spc="-1">
            <a:latin typeface="Times New Roman"/>
          </a:endParaRPr>
        </a:p>
      </xdr:txBody>
    </xdr:sp>
    <xdr:clientData/>
  </xdr:twoCellAnchor>
  <xdr:twoCellAnchor editAs="absolute">
    <xdr:from>
      <xdr:col>4</xdr:col>
      <xdr:colOff>346908</xdr:colOff>
      <xdr:row>252</xdr:row>
      <xdr:rowOff>111810</xdr:rowOff>
    </xdr:from>
    <xdr:to>
      <xdr:col>10</xdr:col>
      <xdr:colOff>965042</xdr:colOff>
      <xdr:row>268</xdr:row>
      <xdr:rowOff>97817</xdr:rowOff>
    </xdr:to>
    <xdr:sp macro="" textlink="">
      <xdr:nvSpPr>
        <xdr:cNvPr id="197" name="TextShape 1" descr="10.1.3.2 Secuencia significativa (Condicional)  Condición: Cuando los documentos se puedan descargar de una página web.  Cuando la secuencia en que se presenta el contenido afecta a su significado, se puede determinar por software la secuencia correcta de lectura.    https://www.w3.org/TR/WCAG/#meaningful-sequence">
          <a:extLst>
            <a:ext uri="{FF2B5EF4-FFF2-40B4-BE49-F238E27FC236}">
              <a16:creationId xmlns:a16="http://schemas.microsoft.com/office/drawing/2014/main" id="{F906FB32-AB43-46BC-80F3-D094C3C5099A}"/>
            </a:ext>
          </a:extLst>
        </xdr:cNvPr>
        <xdr:cNvSpPr txBox="1"/>
      </xdr:nvSpPr>
      <xdr:spPr>
        <a:xfrm>
          <a:off x="6893181" y="43095537"/>
          <a:ext cx="5830906" cy="2653007"/>
        </a:xfrm>
        <a:prstGeom prst="rect">
          <a:avLst/>
        </a:prstGeom>
        <a:solidFill>
          <a:srgbClr val="DDDDDD"/>
        </a:solidFill>
        <a:ln>
          <a:noFill/>
        </a:ln>
      </xdr:spPr>
      <xdr:txBody>
        <a:bodyPr lIns="108000" tIns="108000" rIns="108000" bIns="108000">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10.1.3.2 Secuencia significativa</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Cuando la secuencia en que se presenta el contenido afecta a su significado, se puede determinar por software la secuencia correcta de lectura. </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40"/>
            </a:rPr>
            <a:t>https://www.w3.org/TR/WCAG/#meaningful-sequence</a:t>
          </a:r>
          <a:endParaRPr lang="es-ES" sz="1500" b="0" strike="noStrike" spc="-1">
            <a:latin typeface="Times New Roman"/>
          </a:endParaRPr>
        </a:p>
      </xdr:txBody>
    </xdr:sp>
    <xdr:clientData/>
  </xdr:twoCellAnchor>
  <xdr:twoCellAnchor editAs="absolute">
    <xdr:from>
      <xdr:col>4</xdr:col>
      <xdr:colOff>337383</xdr:colOff>
      <xdr:row>215</xdr:row>
      <xdr:rowOff>31229</xdr:rowOff>
    </xdr:from>
    <xdr:to>
      <xdr:col>10</xdr:col>
      <xdr:colOff>955517</xdr:colOff>
      <xdr:row>231</xdr:row>
      <xdr:rowOff>3766</xdr:rowOff>
    </xdr:to>
    <xdr:sp macro="" textlink="">
      <xdr:nvSpPr>
        <xdr:cNvPr id="198" name="TextShape 1" descr="10.1.3.1 Información y relaciones (Condicional)  Condición: Cuando los documentos se puedan descargar de una página web.  La información, estructura y relaciones comunicadas a través de la presentación pueden ser determinadas por software o están disponibles como texto.    https://www.w3.org/TR/WCAG/#info-and-relationships">
          <a:extLst>
            <a:ext uri="{FF2B5EF4-FFF2-40B4-BE49-F238E27FC236}">
              <a16:creationId xmlns:a16="http://schemas.microsoft.com/office/drawing/2014/main" id="{923B5DF6-804C-4CDD-81F3-76796360A45F}"/>
            </a:ext>
          </a:extLst>
        </xdr:cNvPr>
        <xdr:cNvSpPr txBox="1"/>
      </xdr:nvSpPr>
      <xdr:spPr>
        <a:xfrm>
          <a:off x="6883656" y="36797729"/>
          <a:ext cx="5830906" cy="2653007"/>
        </a:xfrm>
        <a:prstGeom prst="rect">
          <a:avLst/>
        </a:prstGeom>
        <a:solidFill>
          <a:srgbClr val="DDDDDD"/>
        </a:solidFill>
        <a:ln>
          <a:noFill/>
        </a:ln>
      </xdr:spPr>
      <xdr:txBody>
        <a:bodyPr lIns="108000" tIns="108000" rIns="108000" bIns="108000">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10.1.3.1 Información y relaciones</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La información, estructura y relaciones comunicadas a través de la presentación pueden ser determinadas por software o están disponibles como texto. </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41"/>
            </a:rPr>
            <a:t>https://www.w3.org/TR/WCAG/#info-and-relationships</a:t>
          </a:r>
          <a:endParaRPr lang="es-ES" sz="1500" b="0" strike="noStrike" spc="-1">
            <a:latin typeface="Times New Roman"/>
          </a:endParaRPr>
        </a:p>
      </xdr:txBody>
    </xdr:sp>
    <xdr:clientData/>
  </xdr:twoCellAnchor>
  <xdr:twoCellAnchor editAs="absolute">
    <xdr:from>
      <xdr:col>4</xdr:col>
      <xdr:colOff>291119</xdr:colOff>
      <xdr:row>177</xdr:row>
      <xdr:rowOff>103732</xdr:rowOff>
    </xdr:from>
    <xdr:to>
      <xdr:col>11</xdr:col>
      <xdr:colOff>9525</xdr:colOff>
      <xdr:row>190</xdr:row>
      <xdr:rowOff>155863</xdr:rowOff>
    </xdr:to>
    <xdr:sp macro="" textlink="">
      <xdr:nvSpPr>
        <xdr:cNvPr id="199" name="TextShape 1" descr="10.1.2.5 Audiodescripción (grabada) (Condicional)  Condición: Cuando los documentos se puedan descargar de una página web.  Se proporciona una audiodescripción para todo el contenido de vídeo grabado dentro de contenido multimedia sincronizado.   https://www.w3.org/TR/WCAG/#audio-description-prerecorded">
          <a:extLst>
            <a:ext uri="{FF2B5EF4-FFF2-40B4-BE49-F238E27FC236}">
              <a16:creationId xmlns:a16="http://schemas.microsoft.com/office/drawing/2014/main" id="{E63B4FB3-EA24-404A-8537-3D780DAF3414}"/>
            </a:ext>
          </a:extLst>
        </xdr:cNvPr>
        <xdr:cNvSpPr txBox="1"/>
      </xdr:nvSpPr>
      <xdr:spPr>
        <a:xfrm>
          <a:off x="6837392" y="30497141"/>
          <a:ext cx="5900997" cy="2216904"/>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10.1.2.5 Audiodescripción (grabada)</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Se proporciona una audiodescripción para todo el contenido de vídeo grabado dentro de contenido multimedia sincronizado. </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42"/>
            </a:rPr>
            <a:t>https://www.w3.org/TR/WCAG/#audio-description-prerecorded</a:t>
          </a:r>
          <a:endParaRPr lang="es-ES" sz="1500" b="0" strike="noStrike" spc="-1">
            <a:latin typeface="Times New Roman"/>
          </a:endParaRPr>
        </a:p>
      </xdr:txBody>
    </xdr:sp>
    <xdr:clientData/>
  </xdr:twoCellAnchor>
  <xdr:twoCellAnchor editAs="absolute">
    <xdr:from>
      <xdr:col>7</xdr:col>
      <xdr:colOff>555385</xdr:colOff>
      <xdr:row>173</xdr:row>
      <xdr:rowOff>4255</xdr:rowOff>
    </xdr:from>
    <xdr:to>
      <xdr:col>8</xdr:col>
      <xdr:colOff>341116</xdr:colOff>
      <xdr:row>177</xdr:row>
      <xdr:rowOff>87894</xdr:rowOff>
    </xdr:to>
    <xdr:pic>
      <xdr:nvPicPr>
        <xdr:cNvPr id="200" name="Image 1">
          <a:extLst>
            <a:ext uri="{FF2B5EF4-FFF2-40B4-BE49-F238E27FC236}">
              <a16:creationId xmlns:a16="http://schemas.microsoft.com/office/drawing/2014/main" id="{87615422-C19D-4BD6-AB09-DEFF40E9C989}"/>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604135" y="29874655"/>
          <a:ext cx="611231" cy="724989"/>
        </a:xfrm>
        <a:prstGeom prst="rect">
          <a:avLst/>
        </a:prstGeom>
        <a:ln>
          <a:noFill/>
        </a:ln>
      </xdr:spPr>
    </xdr:pic>
    <xdr:clientData/>
  </xdr:twoCellAnchor>
  <xdr:twoCellAnchor editAs="absolute">
    <xdr:from>
      <xdr:col>7</xdr:col>
      <xdr:colOff>560570</xdr:colOff>
      <xdr:row>210</xdr:row>
      <xdr:rowOff>51393</xdr:rowOff>
    </xdr:from>
    <xdr:to>
      <xdr:col>8</xdr:col>
      <xdr:colOff>292010</xdr:colOff>
      <xdr:row>214</xdr:row>
      <xdr:rowOff>137636</xdr:rowOff>
    </xdr:to>
    <xdr:pic>
      <xdr:nvPicPr>
        <xdr:cNvPr id="201" name="Image 1">
          <a:extLst>
            <a:ext uri="{FF2B5EF4-FFF2-40B4-BE49-F238E27FC236}">
              <a16:creationId xmlns:a16="http://schemas.microsoft.com/office/drawing/2014/main" id="{9185A6C0-73DA-4550-8B86-85DD6466FF42}"/>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61695" y="35389143"/>
          <a:ext cx="569640" cy="695843"/>
        </a:xfrm>
        <a:prstGeom prst="rect">
          <a:avLst/>
        </a:prstGeom>
        <a:ln>
          <a:noFill/>
        </a:ln>
      </xdr:spPr>
    </xdr:pic>
    <xdr:clientData/>
  </xdr:twoCellAnchor>
  <xdr:twoCellAnchor editAs="absolute">
    <xdr:from>
      <xdr:col>7</xdr:col>
      <xdr:colOff>561449</xdr:colOff>
      <xdr:row>248</xdr:row>
      <xdr:rowOff>43520</xdr:rowOff>
    </xdr:from>
    <xdr:to>
      <xdr:col>8</xdr:col>
      <xdr:colOff>347180</xdr:colOff>
      <xdr:row>252</xdr:row>
      <xdr:rowOff>120450</xdr:rowOff>
    </xdr:to>
    <xdr:pic>
      <xdr:nvPicPr>
        <xdr:cNvPr id="202" name="Image 1">
          <a:extLst>
            <a:ext uri="{FF2B5EF4-FFF2-40B4-BE49-F238E27FC236}">
              <a16:creationId xmlns:a16="http://schemas.microsoft.com/office/drawing/2014/main" id="{A3909CD0-85DD-4584-9676-3FBECD5944A4}"/>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62574" y="41639195"/>
          <a:ext cx="623931" cy="686530"/>
        </a:xfrm>
        <a:prstGeom prst="rect">
          <a:avLst/>
        </a:prstGeom>
        <a:ln>
          <a:noFill/>
        </a:ln>
      </xdr:spPr>
    </xdr:pic>
    <xdr:clientData/>
  </xdr:twoCellAnchor>
  <xdr:twoCellAnchor editAs="absolute">
    <xdr:from>
      <xdr:col>7</xdr:col>
      <xdr:colOff>591823</xdr:colOff>
      <xdr:row>286</xdr:row>
      <xdr:rowOff>21510</xdr:rowOff>
    </xdr:from>
    <xdr:to>
      <xdr:col>8</xdr:col>
      <xdr:colOff>323263</xdr:colOff>
      <xdr:row>290</xdr:row>
      <xdr:rowOff>95719</xdr:rowOff>
    </xdr:to>
    <xdr:pic>
      <xdr:nvPicPr>
        <xdr:cNvPr id="203" name="Image 1">
          <a:extLst>
            <a:ext uri="{FF2B5EF4-FFF2-40B4-BE49-F238E27FC236}">
              <a16:creationId xmlns:a16="http://schemas.microsoft.com/office/drawing/2014/main" id="{940E5A5B-84B8-49BA-B283-8E571F800EC4}"/>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92948" y="47875110"/>
          <a:ext cx="569640" cy="683809"/>
        </a:xfrm>
        <a:prstGeom prst="rect">
          <a:avLst/>
        </a:prstGeom>
        <a:ln>
          <a:noFill/>
        </a:ln>
      </xdr:spPr>
    </xdr:pic>
    <xdr:clientData/>
  </xdr:twoCellAnchor>
  <xdr:twoCellAnchor editAs="absolute">
    <xdr:from>
      <xdr:col>7</xdr:col>
      <xdr:colOff>597266</xdr:colOff>
      <xdr:row>324</xdr:row>
      <xdr:rowOff>73446</xdr:rowOff>
    </xdr:from>
    <xdr:to>
      <xdr:col>8</xdr:col>
      <xdr:colOff>328706</xdr:colOff>
      <xdr:row>329</xdr:row>
      <xdr:rowOff>10556</xdr:rowOff>
    </xdr:to>
    <xdr:pic>
      <xdr:nvPicPr>
        <xdr:cNvPr id="204" name="Image 1">
          <a:extLst>
            <a:ext uri="{FF2B5EF4-FFF2-40B4-BE49-F238E27FC236}">
              <a16:creationId xmlns:a16="http://schemas.microsoft.com/office/drawing/2014/main" id="{309BB031-011A-42F0-ACE6-CCD4F18BD677}"/>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98391" y="54184971"/>
          <a:ext cx="569640" cy="699110"/>
        </a:xfrm>
        <a:prstGeom prst="rect">
          <a:avLst/>
        </a:prstGeom>
        <a:ln>
          <a:noFill/>
        </a:ln>
      </xdr:spPr>
    </xdr:pic>
    <xdr:clientData/>
  </xdr:twoCellAnchor>
  <xdr:twoCellAnchor editAs="absolute">
    <xdr:from>
      <xdr:col>7</xdr:col>
      <xdr:colOff>553285</xdr:colOff>
      <xdr:row>362</xdr:row>
      <xdr:rowOff>17017</xdr:rowOff>
    </xdr:from>
    <xdr:to>
      <xdr:col>8</xdr:col>
      <xdr:colOff>339016</xdr:colOff>
      <xdr:row>366</xdr:row>
      <xdr:rowOff>84909</xdr:rowOff>
    </xdr:to>
    <xdr:pic>
      <xdr:nvPicPr>
        <xdr:cNvPr id="205" name="Image 1">
          <a:extLst>
            <a:ext uri="{FF2B5EF4-FFF2-40B4-BE49-F238E27FC236}">
              <a16:creationId xmlns:a16="http://schemas.microsoft.com/office/drawing/2014/main" id="{E554B60D-AC13-442C-B9B2-EA01161CDB25}"/>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4410" y="60386467"/>
          <a:ext cx="623931" cy="677492"/>
        </a:xfrm>
        <a:prstGeom prst="rect">
          <a:avLst/>
        </a:prstGeom>
        <a:ln>
          <a:noFill/>
        </a:ln>
      </xdr:spPr>
    </xdr:pic>
    <xdr:clientData/>
  </xdr:twoCellAnchor>
  <xdr:twoCellAnchor editAs="absolute">
    <xdr:from>
      <xdr:col>7</xdr:col>
      <xdr:colOff>575496</xdr:colOff>
      <xdr:row>400</xdr:row>
      <xdr:rowOff>11872</xdr:rowOff>
    </xdr:from>
    <xdr:to>
      <xdr:col>8</xdr:col>
      <xdr:colOff>306936</xdr:colOff>
      <xdr:row>404</xdr:row>
      <xdr:rowOff>101501</xdr:rowOff>
    </xdr:to>
    <xdr:pic>
      <xdr:nvPicPr>
        <xdr:cNvPr id="206" name="Image 1">
          <a:extLst>
            <a:ext uri="{FF2B5EF4-FFF2-40B4-BE49-F238E27FC236}">
              <a16:creationId xmlns:a16="http://schemas.microsoft.com/office/drawing/2014/main" id="{4FE5396E-3FAF-4816-A95D-DF99D8C7577E}"/>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76621" y="66639247"/>
          <a:ext cx="569640" cy="699229"/>
        </a:xfrm>
        <a:prstGeom prst="rect">
          <a:avLst/>
        </a:prstGeom>
        <a:ln>
          <a:noFill/>
        </a:ln>
      </xdr:spPr>
    </xdr:pic>
    <xdr:clientData/>
  </xdr:twoCellAnchor>
  <xdr:twoCellAnchor editAs="absolute">
    <xdr:from>
      <xdr:col>7</xdr:col>
      <xdr:colOff>570974</xdr:colOff>
      <xdr:row>438</xdr:row>
      <xdr:rowOff>769</xdr:rowOff>
    </xdr:from>
    <xdr:to>
      <xdr:col>8</xdr:col>
      <xdr:colOff>356705</xdr:colOff>
      <xdr:row>442</xdr:row>
      <xdr:rowOff>70744</xdr:rowOff>
    </xdr:to>
    <xdr:pic>
      <xdr:nvPicPr>
        <xdr:cNvPr id="207" name="Image 1">
          <a:extLst>
            <a:ext uri="{FF2B5EF4-FFF2-40B4-BE49-F238E27FC236}">
              <a16:creationId xmlns:a16="http://schemas.microsoft.com/office/drawing/2014/main" id="{2BC3C428-E08B-499C-BB06-545D5836A8AA}"/>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72099" y="72881835"/>
          <a:ext cx="623931" cy="683809"/>
        </a:xfrm>
        <a:prstGeom prst="rect">
          <a:avLst/>
        </a:prstGeom>
        <a:ln>
          <a:noFill/>
        </a:ln>
      </xdr:spPr>
    </xdr:pic>
    <xdr:clientData/>
  </xdr:twoCellAnchor>
  <xdr:twoCellAnchor editAs="absolute">
    <xdr:from>
      <xdr:col>7</xdr:col>
      <xdr:colOff>583928</xdr:colOff>
      <xdr:row>476</xdr:row>
      <xdr:rowOff>2767</xdr:rowOff>
    </xdr:from>
    <xdr:to>
      <xdr:col>8</xdr:col>
      <xdr:colOff>343943</xdr:colOff>
      <xdr:row>480</xdr:row>
      <xdr:rowOff>78425</xdr:rowOff>
    </xdr:to>
    <xdr:pic>
      <xdr:nvPicPr>
        <xdr:cNvPr id="208" name="Image 1">
          <a:extLst>
            <a:ext uri="{FF2B5EF4-FFF2-40B4-BE49-F238E27FC236}">
              <a16:creationId xmlns:a16="http://schemas.microsoft.com/office/drawing/2014/main" id="{3F643BA9-F263-4699-A955-6B3B32EB8999}"/>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85053" y="79141758"/>
          <a:ext cx="598215" cy="689492"/>
        </a:xfrm>
        <a:prstGeom prst="rect">
          <a:avLst/>
        </a:prstGeom>
        <a:ln>
          <a:noFill/>
        </a:ln>
      </xdr:spPr>
    </xdr:pic>
    <xdr:clientData/>
  </xdr:twoCellAnchor>
  <xdr:twoCellAnchor editAs="absolute">
    <xdr:from>
      <xdr:col>7</xdr:col>
      <xdr:colOff>572440</xdr:colOff>
      <xdr:row>514</xdr:row>
      <xdr:rowOff>5445</xdr:rowOff>
    </xdr:from>
    <xdr:to>
      <xdr:col>8</xdr:col>
      <xdr:colOff>358171</xdr:colOff>
      <xdr:row>518</xdr:row>
      <xdr:rowOff>91326</xdr:rowOff>
    </xdr:to>
    <xdr:pic>
      <xdr:nvPicPr>
        <xdr:cNvPr id="209" name="Image 1">
          <a:extLst>
            <a:ext uri="{FF2B5EF4-FFF2-40B4-BE49-F238E27FC236}">
              <a16:creationId xmlns:a16="http://schemas.microsoft.com/office/drawing/2014/main" id="{974523CF-ABC7-4A4E-ABCC-8DFA5BE46365}"/>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73565" y="85425645"/>
          <a:ext cx="623931" cy="695481"/>
        </a:xfrm>
        <a:prstGeom prst="rect">
          <a:avLst/>
        </a:prstGeom>
        <a:ln>
          <a:noFill/>
        </a:ln>
      </xdr:spPr>
    </xdr:pic>
    <xdr:clientData/>
  </xdr:twoCellAnchor>
  <xdr:twoCellAnchor editAs="absolute">
    <xdr:from>
      <xdr:col>7</xdr:col>
      <xdr:colOff>567331</xdr:colOff>
      <xdr:row>551</xdr:row>
      <xdr:rowOff>145897</xdr:rowOff>
    </xdr:from>
    <xdr:to>
      <xdr:col>8</xdr:col>
      <xdr:colOff>298771</xdr:colOff>
      <xdr:row>556</xdr:row>
      <xdr:rowOff>86302</xdr:rowOff>
    </xdr:to>
    <xdr:pic>
      <xdr:nvPicPr>
        <xdr:cNvPr id="210" name="Image 1">
          <a:extLst>
            <a:ext uri="{FF2B5EF4-FFF2-40B4-BE49-F238E27FC236}">
              <a16:creationId xmlns:a16="http://schemas.microsoft.com/office/drawing/2014/main" id="{A4B95028-6FEB-4AEB-9D75-642975EF4487}"/>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68456" y="91671622"/>
          <a:ext cx="569640" cy="702405"/>
        </a:xfrm>
        <a:prstGeom prst="rect">
          <a:avLst/>
        </a:prstGeom>
        <a:ln>
          <a:noFill/>
        </a:ln>
      </xdr:spPr>
    </xdr:pic>
    <xdr:clientData/>
  </xdr:twoCellAnchor>
  <xdr:twoCellAnchor editAs="absolute">
    <xdr:from>
      <xdr:col>7</xdr:col>
      <xdr:colOff>557806</xdr:colOff>
      <xdr:row>590</xdr:row>
      <xdr:rowOff>24153</xdr:rowOff>
    </xdr:from>
    <xdr:to>
      <xdr:col>8</xdr:col>
      <xdr:colOff>289246</xdr:colOff>
      <xdr:row>594</xdr:row>
      <xdr:rowOff>69333</xdr:rowOff>
    </xdr:to>
    <xdr:pic>
      <xdr:nvPicPr>
        <xdr:cNvPr id="211" name="Image 1">
          <a:extLst>
            <a:ext uri="{FF2B5EF4-FFF2-40B4-BE49-F238E27FC236}">
              <a16:creationId xmlns:a16="http://schemas.microsoft.com/office/drawing/2014/main" id="{B866F00F-E01A-4FE6-953B-6815FCF8C3B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8931" y="97960203"/>
          <a:ext cx="569640" cy="654780"/>
        </a:xfrm>
        <a:prstGeom prst="rect">
          <a:avLst/>
        </a:prstGeom>
        <a:ln>
          <a:noFill/>
        </a:ln>
      </xdr:spPr>
    </xdr:pic>
    <xdr:clientData/>
  </xdr:twoCellAnchor>
  <xdr:twoCellAnchor editAs="absolute">
    <xdr:from>
      <xdr:col>7</xdr:col>
      <xdr:colOff>557806</xdr:colOff>
      <xdr:row>628</xdr:row>
      <xdr:rowOff>54226</xdr:rowOff>
    </xdr:from>
    <xdr:to>
      <xdr:col>8</xdr:col>
      <xdr:colOff>289246</xdr:colOff>
      <xdr:row>632</xdr:row>
      <xdr:rowOff>43486</xdr:rowOff>
    </xdr:to>
    <xdr:pic>
      <xdr:nvPicPr>
        <xdr:cNvPr id="212" name="Image 1">
          <a:extLst>
            <a:ext uri="{FF2B5EF4-FFF2-40B4-BE49-F238E27FC236}">
              <a16:creationId xmlns:a16="http://schemas.microsoft.com/office/drawing/2014/main" id="{6881603B-9A43-4D95-ABC3-902A41859BB1}"/>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8931" y="104267251"/>
          <a:ext cx="569640" cy="636960"/>
        </a:xfrm>
        <a:prstGeom prst="rect">
          <a:avLst/>
        </a:prstGeom>
        <a:ln>
          <a:noFill/>
        </a:ln>
      </xdr:spPr>
    </xdr:pic>
    <xdr:clientData/>
  </xdr:twoCellAnchor>
  <xdr:twoCellAnchor editAs="absolute">
    <xdr:from>
      <xdr:col>7</xdr:col>
      <xdr:colOff>576331</xdr:colOff>
      <xdr:row>666</xdr:row>
      <xdr:rowOff>80531</xdr:rowOff>
    </xdr:from>
    <xdr:to>
      <xdr:col>8</xdr:col>
      <xdr:colOff>317296</xdr:colOff>
      <xdr:row>670</xdr:row>
      <xdr:rowOff>34907</xdr:rowOff>
    </xdr:to>
    <xdr:pic>
      <xdr:nvPicPr>
        <xdr:cNvPr id="213" name="Image 1">
          <a:extLst>
            <a:ext uri="{FF2B5EF4-FFF2-40B4-BE49-F238E27FC236}">
              <a16:creationId xmlns:a16="http://schemas.microsoft.com/office/drawing/2014/main" id="{FCEEB7F6-5D92-4A1C-8CF2-17748BEAAB5E}"/>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77456" y="114126531"/>
          <a:ext cx="582340" cy="652876"/>
        </a:xfrm>
        <a:prstGeom prst="rect">
          <a:avLst/>
        </a:prstGeom>
        <a:ln>
          <a:noFill/>
        </a:ln>
      </xdr:spPr>
    </xdr:pic>
    <xdr:clientData/>
  </xdr:twoCellAnchor>
  <xdr:twoCellAnchor editAs="absolute">
    <xdr:from>
      <xdr:col>7</xdr:col>
      <xdr:colOff>571500</xdr:colOff>
      <xdr:row>1692</xdr:row>
      <xdr:rowOff>95250</xdr:rowOff>
    </xdr:from>
    <xdr:to>
      <xdr:col>8</xdr:col>
      <xdr:colOff>306317</xdr:colOff>
      <xdr:row>1696</xdr:row>
      <xdr:rowOff>21443</xdr:rowOff>
    </xdr:to>
    <xdr:pic>
      <xdr:nvPicPr>
        <xdr:cNvPr id="103" name="Image 1">
          <a:extLst>
            <a:ext uri="{FF2B5EF4-FFF2-40B4-BE49-F238E27FC236}">
              <a16:creationId xmlns:a16="http://schemas.microsoft.com/office/drawing/2014/main" id="{10C5445F-DA88-453E-A6F6-B8ACDE462CA1}"/>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72625" y="293160450"/>
          <a:ext cx="573017" cy="688193"/>
        </a:xfrm>
        <a:prstGeom prst="rect">
          <a:avLst/>
        </a:prstGeom>
        <a:ln>
          <a:noFill/>
        </a:ln>
      </xdr:spPr>
    </xdr:pic>
    <xdr:clientData/>
  </xdr:twoCellAnchor>
  <xdr:twoCellAnchor>
    <xdr:from>
      <xdr:col>5</xdr:col>
      <xdr:colOff>66675</xdr:colOff>
      <xdr:row>1696</xdr:row>
      <xdr:rowOff>28575</xdr:rowOff>
    </xdr:from>
    <xdr:to>
      <xdr:col>11</xdr:col>
      <xdr:colOff>66675</xdr:colOff>
      <xdr:row>1713</xdr:row>
      <xdr:rowOff>69273</xdr:rowOff>
    </xdr:to>
    <xdr:sp macro="" textlink="">
      <xdr:nvSpPr>
        <xdr:cNvPr id="104" name="TextShape 1" descr="10.4.1.3 Mensajes de estado (Condicional)  Condición: Cuando los documentos se puedan descargar de una página web.  En el contenido implementado utilizando lenguajes de marcado, los mensajes de estado se pueden determinar mediante roles o propiedades, de modo que se puedan presentar al usuario mediante tecnologías de asistencia sin recibir atención.   Nota: Si el elemento de la muestra es un documento descargable, no debe comprobar este criterio.  https://www.w3.org/TR/WCAG/#status-messages">
          <a:extLst>
            <a:ext uri="{FF2B5EF4-FFF2-40B4-BE49-F238E27FC236}">
              <a16:creationId xmlns:a16="http://schemas.microsoft.com/office/drawing/2014/main" id="{3BFE5A55-78A5-492F-B34F-A187C56B3721}"/>
            </a:ext>
          </a:extLst>
        </xdr:cNvPr>
        <xdr:cNvSpPr txBox="1"/>
      </xdr:nvSpPr>
      <xdr:spPr>
        <a:xfrm>
          <a:off x="6976630" y="297312484"/>
          <a:ext cx="5818909" cy="3279198"/>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s-ES" sz="1500" b="1" strike="noStrike" spc="-1">
              <a:solidFill>
                <a:srgbClr val="000000"/>
              </a:solidFill>
              <a:latin typeface="Arial"/>
              <a:ea typeface="Linux Libertine G"/>
            </a:rPr>
            <a:t>10.4.1.3 Mensajes de estado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s-ES" sz="1500" b="1" strike="noStrike" spc="-1">
            <a:solidFill>
              <a:srgbClr val="000000"/>
            </a:solidFill>
            <a:latin typeface="Arial"/>
            <a:ea typeface="Linux Libertine G"/>
          </a:endParaRPr>
        </a:p>
        <a:p>
          <a:endParaRPr lang="es-ES" sz="1500" b="0" strike="noStrike" spc="-1">
            <a:solidFill>
              <a:srgbClr val="000000"/>
            </a:solidFill>
            <a:latin typeface="Arial"/>
            <a:ea typeface="Linux Libertine G"/>
          </a:endParaRPr>
        </a:p>
        <a:p>
          <a:r>
            <a:rPr lang="es-ES" sz="1500" b="0" strike="noStrike" spc="-1">
              <a:solidFill>
                <a:srgbClr val="000000"/>
              </a:solidFill>
              <a:latin typeface="Arial"/>
              <a:ea typeface="Linux Libertine G"/>
            </a:rPr>
            <a:t>En el contenido implementado utilizando lenguajes de marcado, los mensajes de estado se pueden determinar mediante roles o propiedades, de modo que se puedan presentar al usuario mediante tecnologías de asistencia sin recibir atención.</a:t>
          </a:r>
          <a:endParaRPr lang="es-ES" sz="1500" b="0" strike="noStrike" spc="-1">
            <a:latin typeface="Times New Roman"/>
          </a:endParaRPr>
        </a:p>
        <a:p>
          <a:r>
            <a:rPr lang="en-US" sz="1500" b="0" strike="noStrike" spc="-1">
              <a:solidFill>
                <a:srgbClr val="000000"/>
              </a:solidFill>
              <a:latin typeface="Arial"/>
              <a:ea typeface="Linux Libertine G"/>
              <a:cs typeface="+mn-cs"/>
            </a:rPr>
            <a:t> </a:t>
          </a:r>
        </a:p>
        <a:p>
          <a:r>
            <a:rPr lang="en-US" sz="1200" b="0" strike="noStrike" spc="-1">
              <a:solidFill>
                <a:srgbClr val="000000"/>
              </a:solidFill>
              <a:latin typeface="Arial"/>
              <a:ea typeface="Linux Libertine G"/>
              <a:cs typeface="+mn-cs"/>
            </a:rPr>
            <a:t>Nota: Si el elemento de la muestra es un documento descargable, no debe comprobar este criterio.</a:t>
          </a:r>
          <a:endParaRPr lang="es-ES" sz="1200" b="0" strike="noStrike" spc="-1">
            <a:solidFill>
              <a:srgbClr val="000000"/>
            </a:solidFill>
            <a:latin typeface="Arial"/>
            <a:ea typeface="Linux Libertine G"/>
            <a:cs typeface="+mn-cs"/>
          </a:endParaRPr>
        </a:p>
        <a:p>
          <a:endParaRPr lang="es-ES" sz="1500" b="0" strike="noStrike" spc="-1">
            <a:latin typeface="Times New Roman"/>
          </a:endParaRPr>
        </a:p>
        <a:p>
          <a:r>
            <a:rPr lang="es-ES" sz="1500" b="1" strike="noStrike" spc="-1">
              <a:solidFill>
                <a:srgbClr val="3465A4"/>
              </a:solidFill>
              <a:latin typeface="Arial"/>
              <a:ea typeface="Linux Libertine G"/>
              <a:hlinkClick xmlns:r="http://schemas.openxmlformats.org/officeDocument/2006/relationships" r:id="rId43"/>
            </a:rPr>
            <a:t>https://www.w3.org/TR/WCAG/#status-messages</a:t>
          </a:r>
          <a:endParaRPr lang="es-ES" sz="1500" b="0" strike="noStrike" spc="-1">
            <a:latin typeface="Times New Roman"/>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0</xdr:row>
      <xdr:rowOff>0</xdr:rowOff>
    </xdr:from>
    <xdr:to>
      <xdr:col>7</xdr:col>
      <xdr:colOff>723900</xdr:colOff>
      <xdr:row>17</xdr:row>
      <xdr:rowOff>0</xdr:rowOff>
    </xdr:to>
    <xdr:sp macro="" textlink="">
      <xdr:nvSpPr>
        <xdr:cNvPr id="4100" name="_x0000_t202" hidden="1">
          <a:extLst>
            <a:ext uri="{FF2B5EF4-FFF2-40B4-BE49-F238E27FC236}">
              <a16:creationId xmlns:a16="http://schemas.microsoft.com/office/drawing/2014/main" id="{00000000-0008-0000-0800-00000410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723900</xdr:colOff>
      <xdr:row>17</xdr:row>
      <xdr:rowOff>0</xdr:rowOff>
    </xdr:to>
    <xdr:sp macro="" textlink="">
      <xdr:nvSpPr>
        <xdr:cNvPr id="4098" name="_x0000_t202" hidden="1">
          <a:extLst>
            <a:ext uri="{FF2B5EF4-FFF2-40B4-BE49-F238E27FC236}">
              <a16:creationId xmlns:a16="http://schemas.microsoft.com/office/drawing/2014/main" id="{00000000-0008-0000-0800-00000210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523875</xdr:colOff>
      <xdr:row>17</xdr:row>
      <xdr:rowOff>0</xdr:rowOff>
    </xdr:to>
    <xdr:sp macro="" textlink="">
      <xdr:nvSpPr>
        <xdr:cNvPr id="4101" name="_x0000_t202" hidden="1">
          <a:extLst>
            <a:ext uri="{FF2B5EF4-FFF2-40B4-BE49-F238E27FC236}">
              <a16:creationId xmlns:a16="http://schemas.microsoft.com/office/drawing/2014/main" id="{00000000-0008-0000-0800-00000510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523875</xdr:colOff>
      <xdr:row>17</xdr:row>
      <xdr:rowOff>0</xdr:rowOff>
    </xdr:to>
    <xdr:sp macro="" textlink="">
      <xdr:nvSpPr>
        <xdr:cNvPr id="42" name="_x0000_t202" hidden="1">
          <a:extLst>
            <a:ext uri="{FF2B5EF4-FFF2-40B4-BE49-F238E27FC236}">
              <a16:creationId xmlns:a16="http://schemas.microsoft.com/office/drawing/2014/main" id="{00000000-0008-0000-0800-00002A00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editAs="absolute">
    <xdr:from>
      <xdr:col>5</xdr:col>
      <xdr:colOff>14547</xdr:colOff>
      <xdr:row>215</xdr:row>
      <xdr:rowOff>48418</xdr:rowOff>
    </xdr:from>
    <xdr:to>
      <xdr:col>11</xdr:col>
      <xdr:colOff>165099</xdr:colOff>
      <xdr:row>229</xdr:row>
      <xdr:rowOff>124691</xdr:rowOff>
    </xdr:to>
    <xdr:sp macro="" textlink="">
      <xdr:nvSpPr>
        <xdr:cNvPr id="194" name="TextShape 1" descr="11.8.5 Plantillas (Condicional)  Condición: Cuando el contenido web sea una herramienta de autor.  Si una herramienta de autor proporciona plantillas, debe estar disponible e identificada como tal por lo menos una plantilla que sea compatible con la creación de contenido conforme a los requisitos de los capítulos 9 (Web) o 10 (Documentos no web), según proceda. ">
          <a:extLst>
            <a:ext uri="{FF2B5EF4-FFF2-40B4-BE49-F238E27FC236}">
              <a16:creationId xmlns:a16="http://schemas.microsoft.com/office/drawing/2014/main" id="{2F962FF2-AD74-4F96-B22A-A388BE2F96FA}"/>
            </a:ext>
          </a:extLst>
        </xdr:cNvPr>
        <xdr:cNvSpPr txBox="1"/>
      </xdr:nvSpPr>
      <xdr:spPr>
        <a:xfrm>
          <a:off x="7941464" y="34592418"/>
          <a:ext cx="5981968" cy="2150606"/>
        </a:xfrm>
        <a:prstGeom prst="rect">
          <a:avLst/>
        </a:prstGeom>
        <a:solidFill>
          <a:srgbClr val="DDDDDD"/>
        </a:solidFill>
        <a:ln>
          <a:noFill/>
        </a:ln>
      </xdr:spPr>
      <xdr:txBody>
        <a:bodyPr wrap="square" lIns="108000" tIns="108000" rIns="108000" bIns="108000">
          <a:spAutoFit/>
        </a:bodyPr>
        <a:lstStyle/>
        <a:p>
          <a:pPr marL="0" marR="0" indent="0" defTabSz="914400" eaLnBrk="1" fontAlgn="auto" latinLnBrk="0" hangingPunct="1">
            <a:lnSpc>
              <a:spcPct val="100000"/>
            </a:lnSpc>
            <a:spcBef>
              <a:spcPts val="0"/>
            </a:spcBef>
            <a:spcAft>
              <a:spcPts val="0"/>
            </a:spcAft>
            <a:buClrTx/>
            <a:buSzTx/>
            <a:buFontTx/>
            <a:buNone/>
            <a:tabLst/>
            <a:defRPr/>
          </a:pPr>
          <a:r>
            <a:rPr lang="es-ES" sz="1500" b="1" u="none">
              <a:effectLst/>
              <a:latin typeface="Arial" pitchFamily="34" charset="0"/>
              <a:ea typeface="+mn-ea"/>
              <a:cs typeface="Arial" pitchFamily="34" charset="0"/>
            </a:rPr>
            <a:t>11.8.5 Plantillas (Condicional)</a:t>
          </a:r>
        </a:p>
        <a:p>
          <a:pPr marL="0" marR="0" indent="0" defTabSz="914400" eaLnBrk="1" fontAlgn="auto" latinLnBrk="0" hangingPunct="1">
            <a:lnSpc>
              <a:spcPct val="100000"/>
            </a:lnSpc>
            <a:spcBef>
              <a:spcPts val="0"/>
            </a:spcBef>
            <a:spcAft>
              <a:spcPts val="0"/>
            </a:spcAft>
            <a:buClrTx/>
            <a:buSzTx/>
            <a:buFontTx/>
            <a:buNone/>
            <a:tabLst/>
            <a:defRPr/>
          </a:pPr>
          <a:endParaRPr lang="es-E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s-ES" sz="1500" b="0" u="sng">
              <a:effectLst/>
              <a:latin typeface="Arial" pitchFamily="34" charset="0"/>
              <a:ea typeface="+mn-ea"/>
              <a:cs typeface="Arial" pitchFamily="34" charset="0"/>
            </a:rPr>
            <a:t>Condición</a:t>
          </a:r>
          <a:r>
            <a:rPr lang="es-ES" sz="1500" b="0">
              <a:effectLst/>
              <a:latin typeface="Arial" pitchFamily="34" charset="0"/>
              <a:ea typeface="+mn-ea"/>
              <a:cs typeface="Arial" pitchFamily="34" charset="0"/>
            </a:rPr>
            <a:t>: Cuando el contenido</a:t>
          </a:r>
          <a:r>
            <a:rPr lang="es-ES" sz="1500" b="0" baseline="0">
              <a:effectLst/>
              <a:latin typeface="Arial" pitchFamily="34" charset="0"/>
              <a:ea typeface="+mn-ea"/>
              <a:cs typeface="Arial" pitchFamily="34" charset="0"/>
            </a:rPr>
            <a:t> web</a:t>
          </a:r>
          <a:r>
            <a:rPr lang="es-ES" sz="1500" b="0">
              <a:effectLst/>
              <a:latin typeface="Arial" pitchFamily="34" charset="0"/>
              <a:ea typeface="+mn-ea"/>
              <a:cs typeface="Arial" pitchFamily="34" charset="0"/>
            </a:rPr>
            <a:t> sea una herramienta de autor.</a:t>
          </a:r>
          <a:endParaRPr lang="es-ES" sz="1500">
            <a:effectLst/>
            <a:latin typeface="Arial" pitchFamily="34" charset="0"/>
            <a:cs typeface="Arial" pitchFamily="34" charset="0"/>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Si una herramienta de autor proporciona plantillas, debe estar disponible e identificada como tal por lo menos una plantilla que sea compatible con la creación de contenido conforme a los requisitos de los capítulos 9 (Web) o 10 (Documentos no web), según proceda. </a:t>
          </a:r>
          <a:endParaRPr lang="es-ES" sz="1500" b="0" strike="noStrike" spc="-1">
            <a:latin typeface="Times New Roman"/>
          </a:endParaRPr>
        </a:p>
      </xdr:txBody>
    </xdr:sp>
    <xdr:clientData/>
  </xdr:twoCellAnchor>
  <xdr:twoCellAnchor editAs="absolute">
    <xdr:from>
      <xdr:col>5</xdr:col>
      <xdr:colOff>2574</xdr:colOff>
      <xdr:row>176</xdr:row>
      <xdr:rowOff>31305</xdr:rowOff>
    </xdr:from>
    <xdr:to>
      <xdr:col>11</xdr:col>
      <xdr:colOff>161925</xdr:colOff>
      <xdr:row>195</xdr:row>
      <xdr:rowOff>127000</xdr:rowOff>
    </xdr:to>
    <xdr:sp macro="" textlink="">
      <xdr:nvSpPr>
        <xdr:cNvPr id="195" name="TextShape 1" descr="11.8.4 Servicio de reparación (Condicional)  Condición: Cuando el contenido web sea una herramienta de autor.  Si la funcionalidad de verificación de la accesibilidad de una herramienta de autor puede detectar si el contenido no cumple un requisito de los capítulos 9 (Web) o 10 (Documentos no web), según proceda, entonces la herramienta de autor debe proporcionar una(s) sugerencia(s) para su reparación.   NOTA: Esto no excluye una reparación automática o semiautomática, que es posible (y recomendable) para muchos de los tipos de problemas de accesibilidad del contenido.  ">
          <a:extLst>
            <a:ext uri="{FF2B5EF4-FFF2-40B4-BE49-F238E27FC236}">
              <a16:creationId xmlns:a16="http://schemas.microsoft.com/office/drawing/2014/main" id="{730A1C15-E108-478C-9C1B-79AAFAD006C9}"/>
            </a:ext>
          </a:extLst>
        </xdr:cNvPr>
        <xdr:cNvSpPr txBox="1"/>
      </xdr:nvSpPr>
      <xdr:spPr>
        <a:xfrm>
          <a:off x="7929491" y="28574555"/>
          <a:ext cx="5990767" cy="2910862"/>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s-ES" sz="1500" b="1" u="none">
              <a:effectLst/>
              <a:latin typeface="Arial" pitchFamily="34" charset="0"/>
              <a:ea typeface="+mn-ea"/>
              <a:cs typeface="Arial" pitchFamily="34" charset="0"/>
            </a:rPr>
            <a:t>11.8.4 Servicio de reparación (Condicional)</a:t>
          </a:r>
        </a:p>
        <a:p>
          <a:pPr marL="0" marR="0" indent="0" defTabSz="914400" eaLnBrk="1" fontAlgn="auto" latinLnBrk="0" hangingPunct="1">
            <a:lnSpc>
              <a:spcPct val="100000"/>
            </a:lnSpc>
            <a:spcBef>
              <a:spcPts val="0"/>
            </a:spcBef>
            <a:spcAft>
              <a:spcPts val="0"/>
            </a:spcAft>
            <a:buClrTx/>
            <a:buSzTx/>
            <a:buFontTx/>
            <a:buNone/>
            <a:tabLst/>
            <a:defRPr/>
          </a:pPr>
          <a:endParaRPr lang="es-E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s-ES" sz="1500" b="0" u="sng">
              <a:effectLst/>
              <a:latin typeface="Arial" pitchFamily="34" charset="0"/>
              <a:ea typeface="+mn-ea"/>
              <a:cs typeface="Arial" pitchFamily="34" charset="0"/>
            </a:rPr>
            <a:t>Condición</a:t>
          </a:r>
          <a:r>
            <a:rPr lang="es-ES" sz="1500" b="0">
              <a:effectLst/>
              <a:latin typeface="Arial" pitchFamily="34" charset="0"/>
              <a:ea typeface="+mn-ea"/>
              <a:cs typeface="Arial" pitchFamily="34" charset="0"/>
            </a:rPr>
            <a:t>: Cuando el contenido</a:t>
          </a:r>
          <a:r>
            <a:rPr lang="es-ES" sz="1500" b="0" baseline="0">
              <a:effectLst/>
              <a:latin typeface="Arial" pitchFamily="34" charset="0"/>
              <a:ea typeface="+mn-ea"/>
              <a:cs typeface="Arial" pitchFamily="34" charset="0"/>
            </a:rPr>
            <a:t> web</a:t>
          </a:r>
          <a:r>
            <a:rPr lang="es-ES" sz="1500" b="0">
              <a:effectLst/>
              <a:latin typeface="Arial" pitchFamily="34" charset="0"/>
              <a:ea typeface="+mn-ea"/>
              <a:cs typeface="Arial" pitchFamily="34" charset="0"/>
            </a:rPr>
            <a:t> sea una herramienta de autor.</a:t>
          </a:r>
          <a:endParaRPr lang="es-ES" sz="1500">
            <a:effectLst/>
            <a:latin typeface="Arial" pitchFamily="34" charset="0"/>
            <a:cs typeface="Arial" pitchFamily="34" charset="0"/>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Si la funcionalidad de verificación de la accesibilidad de una herramienta de autor puede detectar si el contenido no cumple un requisito de los capítulos 9 (Web) o 10 (Documentos no web), según proceda, entonces la herramienta de autor debe proporcionar una(s) sugerencia(s) para su reparación. </a:t>
          </a:r>
        </a:p>
        <a:p>
          <a:endParaRPr lang="en-US" sz="1500" b="0" strike="noStrike" spc="-1">
            <a:solidFill>
              <a:srgbClr val="000000"/>
            </a:solidFill>
            <a:latin typeface="Arial"/>
            <a:ea typeface="Linux Libertine G"/>
          </a:endParaRPr>
        </a:p>
        <a:p>
          <a:r>
            <a:rPr lang="es-ES" sz="1200" b="0" i="0" u="none" strike="noStrike" baseline="0">
              <a:latin typeface="Arial" panose="020B0604020202020204" pitchFamily="34" charset="0"/>
              <a:ea typeface="+mn-ea"/>
              <a:cs typeface="Arial" panose="020B0604020202020204" pitchFamily="34" charset="0"/>
            </a:rPr>
            <a:t>NOTA: Esto no excluye una reparación automática o semiautomática, que es posible (y recomendable) para muchos de los tipos de problemas de accesibilidad del contenido. </a:t>
          </a:r>
          <a:endParaRPr lang="es-ES" sz="1200" b="0" strike="noStrike" spc="-1">
            <a:latin typeface="Arial" panose="020B0604020202020204" pitchFamily="34" charset="0"/>
            <a:cs typeface="Arial" panose="020B0604020202020204" pitchFamily="34" charset="0"/>
          </a:endParaRPr>
        </a:p>
      </xdr:txBody>
    </xdr:sp>
    <xdr:clientData/>
  </xdr:twoCellAnchor>
  <xdr:twoCellAnchor editAs="absolute">
    <xdr:from>
      <xdr:col>4</xdr:col>
      <xdr:colOff>320104</xdr:colOff>
      <xdr:row>138</xdr:row>
      <xdr:rowOff>99330</xdr:rowOff>
    </xdr:from>
    <xdr:to>
      <xdr:col>11</xdr:col>
      <xdr:colOff>4032</xdr:colOff>
      <xdr:row>164</xdr:row>
      <xdr:rowOff>25696</xdr:rowOff>
    </xdr:to>
    <xdr:sp macro="" textlink="">
      <xdr:nvSpPr>
        <xdr:cNvPr id="196" name="TextShape 1" descr="11.8.3 Preservación de la información de accesibilidad durante las transformaciones (Condicional)  Condición: Cuando el conteido web sea una herramienta de autor.  Si la herramienta de autor proporciona transformaciones de reestructuración o de recodificación y si en la tecnología de gestión de contenidos de la salida existen mecanismos equivalentes, entonces la información de accesibilidad debe preservarse en la salida.   NOTA 1: Las transformaciones de reestructuración son transformaciones en las que la tecnología de gestión de contenidos sigue siendo la misma, mientras que las características estructurales de los contenidos se modifican (por ejemplo, tablas de linealización, división del documento en páginas).  NOTA 2: Las transformaciones de recodificación son transformaciones en las que cambia la tecnología que se utiliza para codificar el contenido.">
          <a:extLst>
            <a:ext uri="{FF2B5EF4-FFF2-40B4-BE49-F238E27FC236}">
              <a16:creationId xmlns:a16="http://schemas.microsoft.com/office/drawing/2014/main" id="{98099CDB-D943-4CD4-A5A1-05461A635FCF}"/>
            </a:ext>
          </a:extLst>
        </xdr:cNvPr>
        <xdr:cNvSpPr txBox="1"/>
      </xdr:nvSpPr>
      <xdr:spPr>
        <a:xfrm>
          <a:off x="7876604" y="22789997"/>
          <a:ext cx="5885761" cy="3778699"/>
        </a:xfrm>
        <a:prstGeom prst="rect">
          <a:avLst/>
        </a:prstGeom>
        <a:solidFill>
          <a:srgbClr val="DDDDDD"/>
        </a:solidFill>
        <a:ln>
          <a:noFill/>
        </a:ln>
      </xdr:spPr>
      <xdr:txBody>
        <a:bodyPr lIns="108000" tIns="108000" rIns="108000" bIns="108000">
          <a:spAutoFit/>
        </a:bodyPr>
        <a:lstStyle/>
        <a:p>
          <a:pPr marL="0" marR="0" indent="0" defTabSz="914400" eaLnBrk="1" fontAlgn="auto" latinLnBrk="0" hangingPunct="1">
            <a:lnSpc>
              <a:spcPct val="100000"/>
            </a:lnSpc>
            <a:spcBef>
              <a:spcPts val="0"/>
            </a:spcBef>
            <a:spcAft>
              <a:spcPts val="0"/>
            </a:spcAft>
            <a:buClrTx/>
            <a:buSzTx/>
            <a:buFontTx/>
            <a:buNone/>
            <a:tabLst/>
            <a:defRPr/>
          </a:pPr>
          <a:r>
            <a:rPr lang="es-ES" sz="1500" b="1" u="none">
              <a:effectLst/>
              <a:latin typeface="Arial" pitchFamily="34" charset="0"/>
              <a:ea typeface="+mn-ea"/>
              <a:cs typeface="Arial" pitchFamily="34" charset="0"/>
            </a:rPr>
            <a:t>11.8.3 Preservación de la información de accesibilidad durante las transformaciones (Condicional)</a:t>
          </a:r>
        </a:p>
        <a:p>
          <a:pPr marL="0" marR="0" indent="0" defTabSz="914400" eaLnBrk="1" fontAlgn="auto" latinLnBrk="0" hangingPunct="1">
            <a:lnSpc>
              <a:spcPct val="100000"/>
            </a:lnSpc>
            <a:spcBef>
              <a:spcPts val="0"/>
            </a:spcBef>
            <a:spcAft>
              <a:spcPts val="0"/>
            </a:spcAft>
            <a:buClrTx/>
            <a:buSzTx/>
            <a:buFontTx/>
            <a:buNone/>
            <a:tabLst/>
            <a:defRPr/>
          </a:pPr>
          <a:endParaRPr lang="es-E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s-ES" sz="1500" b="0" u="sng">
              <a:effectLst/>
              <a:latin typeface="Arial" pitchFamily="34" charset="0"/>
              <a:ea typeface="+mn-ea"/>
              <a:cs typeface="Arial" pitchFamily="34" charset="0"/>
            </a:rPr>
            <a:t>Condición</a:t>
          </a:r>
          <a:r>
            <a:rPr lang="es-ES" sz="1500" b="0">
              <a:effectLst/>
              <a:latin typeface="Arial" pitchFamily="34" charset="0"/>
              <a:ea typeface="+mn-ea"/>
              <a:cs typeface="Arial" pitchFamily="34" charset="0"/>
            </a:rPr>
            <a:t>: Cuando el conteido web sea una herramienta de autor.</a:t>
          </a:r>
          <a:endParaRPr lang="es-ES" sz="1500">
            <a:effectLst/>
            <a:latin typeface="Arial" pitchFamily="34" charset="0"/>
            <a:cs typeface="Arial" pitchFamily="34" charset="0"/>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Si la herramienta de autor proporciona transformaciones de reestructuración o de recodificación y si en la tecnología de gestión de contenidos de la salida existen mecanismos equivalentes, entonces la información de accesibilidad debe preservarse en la salida. </a:t>
          </a:r>
        </a:p>
        <a:p>
          <a:endParaRPr lang="en-US" sz="1500" b="0" strike="noStrike" spc="-1">
            <a:solidFill>
              <a:srgbClr val="000000"/>
            </a:solidFill>
            <a:latin typeface="Arial"/>
            <a:ea typeface="Linux Libertine G"/>
          </a:endParaRPr>
        </a:p>
        <a:p>
          <a:r>
            <a:rPr lang="es-ES" sz="1200" b="0" i="0" u="none" strike="noStrike" baseline="0">
              <a:latin typeface="Arial" panose="020B0604020202020204" pitchFamily="34" charset="0"/>
              <a:ea typeface="+mn-ea"/>
              <a:cs typeface="Arial" panose="020B0604020202020204" pitchFamily="34" charset="0"/>
            </a:rPr>
            <a:t>NOTA 1: Las transformaciones de reestructuración son transformaciones en las que la tecnología de gestión de contenidos sigue siendo la misma, mientras que las características estructurales de los contenidos se modifican (por ejemplo, tablas de linealización, división del documento en páginas). </a:t>
          </a:r>
        </a:p>
        <a:p>
          <a:r>
            <a:rPr lang="es-ES" sz="1200" b="0" i="0" u="none" strike="noStrike" baseline="0">
              <a:latin typeface="Arial" panose="020B0604020202020204" pitchFamily="34" charset="0"/>
              <a:ea typeface="+mn-ea"/>
              <a:cs typeface="Arial" panose="020B0604020202020204" pitchFamily="34" charset="0"/>
            </a:rPr>
            <a:t>NOTA 2: Las transformaciones de recodificación son transformaciones en las que cambia la tecnología que se utiliza para codificar el contenido.</a:t>
          </a:r>
          <a:endParaRPr lang="es-ES" sz="1200" b="0" strike="noStrike" spc="-1">
            <a:latin typeface="Arial" panose="020B0604020202020204" pitchFamily="34" charset="0"/>
            <a:cs typeface="Arial" panose="020B0604020202020204" pitchFamily="34" charset="0"/>
          </a:endParaRPr>
        </a:p>
      </xdr:txBody>
    </xdr:sp>
    <xdr:clientData/>
  </xdr:twoCellAnchor>
  <xdr:twoCellAnchor editAs="absolute">
    <xdr:from>
      <xdr:col>4</xdr:col>
      <xdr:colOff>284994</xdr:colOff>
      <xdr:row>100</xdr:row>
      <xdr:rowOff>38646</xdr:rowOff>
    </xdr:from>
    <xdr:to>
      <xdr:col>11</xdr:col>
      <xdr:colOff>28575</xdr:colOff>
      <xdr:row>120</xdr:row>
      <xdr:rowOff>105833</xdr:rowOff>
    </xdr:to>
    <xdr:sp macro="" textlink="">
      <xdr:nvSpPr>
        <xdr:cNvPr id="197" name="TextShape 1" descr="11.8.2 Creación de contenidos accesibles (Condicional)  Condición: Cuando el contenido web sea una herramienta de autor.  Las herramientas de autor deben permitir y guiar la producción de contenidos conforme a los capítulos 9 (Web) o 10 (Documentos no web), según proceda.   NOTA: Las herramientas de autor pueden depender de otras herramientas adicionales, en cuyo caso es posible que una única herramienta no pueda conseguir cumplir los requisitos específicos. Por ejemplo, una herramienta de edición de vídeo puede permitir la creación de ficheros de vídeo para su distribución a través de la televisión y la web, mientras que otra herramienta distinta puede encargarse de la creación de los ficheros de los subtítulos para múltiples formatos. ">
          <a:extLst>
            <a:ext uri="{FF2B5EF4-FFF2-40B4-BE49-F238E27FC236}">
              <a16:creationId xmlns:a16="http://schemas.microsoft.com/office/drawing/2014/main" id="{2F4AA110-4B13-47A8-8B58-D91F53A3BE85}"/>
            </a:ext>
          </a:extLst>
        </xdr:cNvPr>
        <xdr:cNvSpPr txBox="1"/>
      </xdr:nvSpPr>
      <xdr:spPr>
        <a:xfrm>
          <a:off x="7841494" y="16876729"/>
          <a:ext cx="5945414" cy="3030521"/>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s-ES" sz="1500" b="1" u="none">
              <a:effectLst/>
              <a:latin typeface="Arial" pitchFamily="34" charset="0"/>
              <a:ea typeface="+mn-ea"/>
              <a:cs typeface="Arial" pitchFamily="34" charset="0"/>
            </a:rPr>
            <a:t>11.8.2 Creación de contenidos accesibles (Condicional)</a:t>
          </a:r>
        </a:p>
        <a:p>
          <a:pPr marL="0" marR="0" indent="0" defTabSz="914400" eaLnBrk="1" fontAlgn="auto" latinLnBrk="0" hangingPunct="1">
            <a:lnSpc>
              <a:spcPct val="100000"/>
            </a:lnSpc>
            <a:spcBef>
              <a:spcPts val="0"/>
            </a:spcBef>
            <a:spcAft>
              <a:spcPts val="0"/>
            </a:spcAft>
            <a:buClrTx/>
            <a:buSzTx/>
            <a:buFontTx/>
            <a:buNone/>
            <a:tabLst/>
            <a:defRPr/>
          </a:pPr>
          <a:endParaRPr lang="es-E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s-ES" sz="1500" b="0" u="sng">
              <a:effectLst/>
              <a:latin typeface="Arial" pitchFamily="34" charset="0"/>
              <a:ea typeface="+mn-ea"/>
              <a:cs typeface="Arial" pitchFamily="34" charset="0"/>
            </a:rPr>
            <a:t>Condición</a:t>
          </a:r>
          <a:r>
            <a:rPr lang="es-ES" sz="1500" b="0">
              <a:effectLst/>
              <a:latin typeface="Arial" pitchFamily="34" charset="0"/>
              <a:ea typeface="+mn-ea"/>
              <a:cs typeface="Arial" pitchFamily="34" charset="0"/>
            </a:rPr>
            <a:t>: Cuando el contenido web sea una herramienta de autor.</a:t>
          </a: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pPr marL="0" indent="0"/>
          <a:r>
            <a:rPr lang="es-ES" sz="1500" b="0" strike="noStrike" spc="-1">
              <a:latin typeface="Arial"/>
              <a:ea typeface="+mn-ea"/>
              <a:cs typeface="+mn-cs"/>
            </a:rPr>
            <a:t>Las herramientas de autor deben permitir y guiar la producción de contenidos conforme a los capítulos 9 (Web) o 10 (Documentos no web), según proceda. </a:t>
          </a:r>
        </a:p>
        <a:p>
          <a:pPr marL="0" indent="0"/>
          <a:endParaRPr lang="es-ES" sz="1500" b="0" strike="noStrike" spc="-1">
            <a:latin typeface="Arial"/>
            <a:ea typeface="+mn-ea"/>
            <a:cs typeface="+mn-cs"/>
          </a:endParaRPr>
        </a:p>
        <a:p>
          <a:pPr marL="0" indent="0"/>
          <a:r>
            <a:rPr lang="es-ES" sz="1200" b="0" i="0" u="none" strike="noStrike" baseline="0">
              <a:latin typeface="Arial" panose="020B0604020202020204" pitchFamily="34" charset="0"/>
              <a:ea typeface="+mn-ea"/>
              <a:cs typeface="Arial" panose="020B0604020202020204" pitchFamily="34" charset="0"/>
            </a:rPr>
            <a:t>NOTA: Las herramientas de autor pueden depender de otras herramientas adicionales, en cuyo caso es posible que una única herramienta no pueda conseguir cumplir los requisitos específicos. Por ejemplo, una herramienta de edición de vídeo puede permitir la creación de ficheros de vídeo para su distribución a través de la televisión y la web, mientras que otra herramienta distinta puede encargarse de la creación de los ficheros de los subtítulos para múltiples formatos. </a:t>
          </a:r>
          <a:endParaRPr lang="es-ES" sz="1200" b="0" strike="noStrike" spc="-1">
            <a:latin typeface="Arial" panose="020B0604020202020204" pitchFamily="34" charset="0"/>
            <a:cs typeface="Arial" panose="020B0604020202020204" pitchFamily="34" charset="0"/>
          </a:endParaRPr>
        </a:p>
      </xdr:txBody>
    </xdr:sp>
    <xdr:clientData/>
  </xdr:twoCellAnchor>
  <xdr:twoCellAnchor editAs="absolute">
    <xdr:from>
      <xdr:col>4</xdr:col>
      <xdr:colOff>353483</xdr:colOff>
      <xdr:row>63</xdr:row>
      <xdr:rowOff>9149</xdr:rowOff>
    </xdr:from>
    <xdr:to>
      <xdr:col>11</xdr:col>
      <xdr:colOff>22344</xdr:colOff>
      <xdr:row>77</xdr:row>
      <xdr:rowOff>105833</xdr:rowOff>
    </xdr:to>
    <xdr:sp macro="" textlink="">
      <xdr:nvSpPr>
        <xdr:cNvPr id="198" name="TextShape 1" descr="11.8.1 Tecnología de gestión de contenidos (Condicional)  Condición: Cuando el contenido web sea una herramienta de autor.   En la medida en que la información necesaria para la accesibilidad sea compatible con el formato que se utiliza para la salida de la herramienta de autor, las herramientas de autor deben cumplir los apartados 11.8.2 a 11.8.5. ">
          <a:extLst>
            <a:ext uri="{FF2B5EF4-FFF2-40B4-BE49-F238E27FC236}">
              <a16:creationId xmlns:a16="http://schemas.microsoft.com/office/drawing/2014/main" id="{B2E0B555-0987-4C51-836D-F0DFF60656AC}"/>
            </a:ext>
          </a:extLst>
        </xdr:cNvPr>
        <xdr:cNvSpPr txBox="1"/>
      </xdr:nvSpPr>
      <xdr:spPr>
        <a:xfrm>
          <a:off x="7909983" y="11142816"/>
          <a:ext cx="5870694" cy="2171017"/>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s-ES" sz="1500" b="1" u="none" strike="noStrike" spc="-1">
              <a:latin typeface="Arial"/>
              <a:ea typeface="+mn-ea"/>
              <a:cs typeface="+mn-cs"/>
            </a:rPr>
            <a:t>11.8.1 Tecnología de gestión de contenidos (Condicional)</a:t>
          </a:r>
        </a:p>
        <a:p>
          <a:pPr marL="0" marR="0" indent="0" defTabSz="914400" eaLnBrk="1" fontAlgn="auto" latinLnBrk="0" hangingPunct="1">
            <a:lnSpc>
              <a:spcPct val="100000"/>
            </a:lnSpc>
            <a:spcBef>
              <a:spcPts val="0"/>
            </a:spcBef>
            <a:spcAft>
              <a:spcPts val="0"/>
            </a:spcAft>
            <a:buClrTx/>
            <a:buSzTx/>
            <a:buFontTx/>
            <a:buNone/>
            <a:tabLst/>
            <a:defRPr/>
          </a:pPr>
          <a:endParaRPr lang="es-ES" sz="1500" b="0" u="sng" strike="noStrike" spc="-1">
            <a:latin typeface="Arial"/>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s-ES" sz="1500" b="0" u="sng" strike="noStrike" spc="-1">
              <a:latin typeface="Arial"/>
              <a:ea typeface="+mn-ea"/>
              <a:cs typeface="+mn-cs"/>
            </a:rPr>
            <a:t>Condición</a:t>
          </a:r>
          <a:r>
            <a:rPr lang="es-ES" sz="1500" b="0" strike="noStrike" spc="-1">
              <a:latin typeface="Arial"/>
              <a:ea typeface="+mn-ea"/>
              <a:cs typeface="+mn-cs"/>
            </a:rPr>
            <a:t>: Cuando el contenido web sea una herramienta de autor.</a:t>
          </a:r>
        </a:p>
        <a:p>
          <a:pPr marL="0" marR="0" indent="0" defTabSz="914400" eaLnBrk="1" fontAlgn="auto" latinLnBrk="0" hangingPunct="1">
            <a:lnSpc>
              <a:spcPct val="100000"/>
            </a:lnSpc>
            <a:spcBef>
              <a:spcPts val="0"/>
            </a:spcBef>
            <a:spcAft>
              <a:spcPts val="0"/>
            </a:spcAft>
            <a:buClrTx/>
            <a:buSzTx/>
            <a:buFontTx/>
            <a:buNone/>
            <a:tabLst/>
            <a:defRPr/>
          </a:pPr>
          <a:r>
            <a:rPr lang="es-ES" sz="1500" b="0" strike="noStrike" spc="-1">
              <a:latin typeface="Arial"/>
              <a:ea typeface="+mn-ea"/>
              <a:cs typeface="+mn-cs"/>
            </a:rPr>
            <a:t>	</a:t>
          </a:r>
        </a:p>
        <a:p>
          <a:r>
            <a:rPr lang="es-ES" sz="1500" b="0" strike="noStrike" spc="-1">
              <a:latin typeface="Arial"/>
            </a:rPr>
            <a:t>En la medida en que la información necesaria para la accesibilidad sea compatible con el formato que se utiliza para la salida de la herramienta de autor, las herramientas de autor deben cumplir los apartados 11.8.2 a 11.8.5. </a:t>
          </a:r>
        </a:p>
      </xdr:txBody>
    </xdr:sp>
    <xdr:clientData/>
  </xdr:twoCellAnchor>
  <xdr:twoCellAnchor editAs="absolute">
    <xdr:from>
      <xdr:col>4</xdr:col>
      <xdr:colOff>326424</xdr:colOff>
      <xdr:row>26</xdr:row>
      <xdr:rowOff>2033</xdr:rowOff>
    </xdr:from>
    <xdr:to>
      <xdr:col>11</xdr:col>
      <xdr:colOff>2671</xdr:colOff>
      <xdr:row>49</xdr:row>
      <xdr:rowOff>126999</xdr:rowOff>
    </xdr:to>
    <xdr:sp macro="" textlink="">
      <xdr:nvSpPr>
        <xdr:cNvPr id="199" name="TextShape 1" descr="11.7 Preferencias de usuario  Cuando el software que no esté diseñado para aislarse de su plataforma proporcione una interfaz de usuario, esa interfaz de usuario debe seguir los valores de las preferencias del usuario con respecto a unidades de medida, color, contraste, tipo de letra, cuerpo de letra y cursor del foco de la plataforma, salvo en el caso de que el usuario los anule.   NOTA 1: El software que está aislado de su plataforma subyacente no tiene acceso a la configuración de la plataforma establecida por el usuario y, por lo tanto, no puede atenerse a ella.  NOTA 2: Para los contenidos web, el agente de usuario constituye la plataforma subyacente.  NOTA 3: Esto no excluye la posibilidad de que el software tenga valores de configuración adicionales, siempre que exista un modo que permita a la aplicación respetar la configuración del sistema en el caso de que esta sea más restrictiva. ">
          <a:extLst>
            <a:ext uri="{FF2B5EF4-FFF2-40B4-BE49-F238E27FC236}">
              <a16:creationId xmlns:a16="http://schemas.microsoft.com/office/drawing/2014/main" id="{6494B489-1F61-412D-A74C-F0FF4F716A36}"/>
            </a:ext>
          </a:extLst>
        </xdr:cNvPr>
        <xdr:cNvSpPr txBox="1"/>
      </xdr:nvSpPr>
      <xdr:spPr>
        <a:xfrm>
          <a:off x="7882924" y="5431283"/>
          <a:ext cx="5878080" cy="3532799"/>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11.7 Preferencias de usuario</a:t>
          </a:r>
        </a:p>
        <a:p>
          <a:endParaRPr lang="en-US" sz="1500" b="0" strike="noStrike" spc="-1">
            <a:solidFill>
              <a:srgbClr val="000000"/>
            </a:solidFill>
            <a:latin typeface="Arial"/>
            <a:ea typeface="Linux Libertine G"/>
          </a:endParaRPr>
        </a:p>
        <a:p>
          <a:r>
            <a:rPr lang="es-ES" sz="1500" b="0" i="0" u="none" strike="noStrike" baseline="0">
              <a:latin typeface="Arial" pitchFamily="34" charset="0"/>
              <a:ea typeface="+mn-ea"/>
              <a:cs typeface="Arial" pitchFamily="34" charset="0"/>
            </a:rPr>
            <a:t>Cuando el </a:t>
          </a:r>
          <a:r>
            <a:rPr lang="es-ES" sz="1500" b="0" i="1" u="none" strike="noStrike" baseline="0">
              <a:latin typeface="Arial" pitchFamily="34" charset="0"/>
              <a:ea typeface="+mn-ea"/>
              <a:cs typeface="Arial" pitchFamily="34" charset="0"/>
            </a:rPr>
            <a:t>software </a:t>
          </a:r>
          <a:r>
            <a:rPr lang="es-ES" sz="1500" b="0" i="0" u="none" strike="noStrike" baseline="0">
              <a:latin typeface="Arial" pitchFamily="34" charset="0"/>
              <a:ea typeface="+mn-ea"/>
              <a:cs typeface="Arial" pitchFamily="34" charset="0"/>
            </a:rPr>
            <a:t>que no esté diseñado para aislarse de su plataforma proporcione una interfaz de usuario, esa interfaz de usuario debe seguir los valores de las preferencias del usuario con respecto a unidades de medida, color, contraste, tipo de letra, cuerpo de letra y cursor del foco de la plataforma, salvo en el caso de que el usuario los anule. </a:t>
          </a:r>
        </a:p>
        <a:p>
          <a:endParaRPr lang="es-ES" sz="1100" b="0" i="0" u="none" strike="noStrike" baseline="0">
            <a:latin typeface="+mn-lt"/>
            <a:ea typeface="+mn-ea"/>
            <a:cs typeface="+mn-cs"/>
          </a:endParaRPr>
        </a:p>
        <a:p>
          <a:r>
            <a:rPr lang="es-ES" sz="1200" b="0" i="0" u="none" strike="noStrike" baseline="0">
              <a:latin typeface="Arial" panose="020B0604020202020204" pitchFamily="34" charset="0"/>
              <a:ea typeface="+mn-ea"/>
              <a:cs typeface="Arial" panose="020B0604020202020204" pitchFamily="34" charset="0"/>
            </a:rPr>
            <a:t>NOTA 1: El </a:t>
          </a:r>
          <a:r>
            <a:rPr lang="es-ES" sz="1200" b="0" i="1" u="none" strike="noStrike" baseline="0">
              <a:latin typeface="Arial" panose="020B0604020202020204" pitchFamily="34" charset="0"/>
              <a:ea typeface="+mn-ea"/>
              <a:cs typeface="Arial" panose="020B0604020202020204" pitchFamily="34" charset="0"/>
            </a:rPr>
            <a:t>software </a:t>
          </a:r>
          <a:r>
            <a:rPr lang="es-ES" sz="1200" b="0" i="0" u="none" strike="noStrike" baseline="0">
              <a:latin typeface="Arial" panose="020B0604020202020204" pitchFamily="34" charset="0"/>
              <a:ea typeface="+mn-ea"/>
              <a:cs typeface="Arial" panose="020B0604020202020204" pitchFamily="34" charset="0"/>
            </a:rPr>
            <a:t>que está aislado de su plataforma subyacente no tiene acceso a la configuración de la plataforma establecida por el usuario y, por lo tanto, no puede atenerse a ella. </a:t>
          </a:r>
        </a:p>
        <a:p>
          <a:r>
            <a:rPr lang="es-ES" sz="1200" b="0" i="0" u="none" strike="noStrike" baseline="0">
              <a:latin typeface="Arial" panose="020B0604020202020204" pitchFamily="34" charset="0"/>
              <a:ea typeface="+mn-ea"/>
              <a:cs typeface="Arial" panose="020B0604020202020204" pitchFamily="34" charset="0"/>
            </a:rPr>
            <a:t>NOTA 2: Para los contenidos web, el agente de usuario constituye la plataforma subyacente. </a:t>
          </a:r>
        </a:p>
        <a:p>
          <a:r>
            <a:rPr lang="es-ES" sz="1200" b="0" i="0" u="none" strike="noStrike" baseline="0">
              <a:latin typeface="Arial" panose="020B0604020202020204" pitchFamily="34" charset="0"/>
              <a:ea typeface="+mn-ea"/>
              <a:cs typeface="Arial" panose="020B0604020202020204" pitchFamily="34" charset="0"/>
            </a:rPr>
            <a:t>NOTA 3: Esto no excluye la posibilidad de que el </a:t>
          </a:r>
          <a:r>
            <a:rPr lang="es-ES" sz="1200" b="0" i="1" u="none" strike="noStrike" baseline="0">
              <a:latin typeface="Arial" panose="020B0604020202020204" pitchFamily="34" charset="0"/>
              <a:ea typeface="+mn-ea"/>
              <a:cs typeface="Arial" panose="020B0604020202020204" pitchFamily="34" charset="0"/>
            </a:rPr>
            <a:t>software </a:t>
          </a:r>
          <a:r>
            <a:rPr lang="es-ES" sz="1200" b="0" i="0" u="none" strike="noStrike" baseline="0">
              <a:latin typeface="Arial" panose="020B0604020202020204" pitchFamily="34" charset="0"/>
              <a:ea typeface="+mn-ea"/>
              <a:cs typeface="Arial" panose="020B0604020202020204" pitchFamily="34" charset="0"/>
            </a:rPr>
            <a:t>tenga valores de configuración adicionales, siempre que exista un modo que permita a la aplicación respetar la configuración del sistema en el caso de que esta sea más restrictiva. </a:t>
          </a:r>
          <a:endParaRPr lang="en-US" sz="1200" b="0" strike="noStrike" spc="-1">
            <a:solidFill>
              <a:srgbClr val="000000"/>
            </a:solidFill>
            <a:latin typeface="Arial" panose="020B0604020202020204" pitchFamily="34" charset="0"/>
            <a:ea typeface="Linux Libertine G"/>
            <a:cs typeface="Arial" panose="020B0604020202020204" pitchFamily="34" charset="0"/>
          </a:endParaRPr>
        </a:p>
      </xdr:txBody>
    </xdr:sp>
    <xdr:clientData/>
  </xdr:twoCellAnchor>
  <xdr:twoCellAnchor editAs="absolute">
    <xdr:from>
      <xdr:col>7</xdr:col>
      <xdr:colOff>504740</xdr:colOff>
      <xdr:row>21</xdr:row>
      <xdr:rowOff>44450</xdr:rowOff>
    </xdr:from>
    <xdr:to>
      <xdr:col>8</xdr:col>
      <xdr:colOff>294553</xdr:colOff>
      <xdr:row>25</xdr:row>
      <xdr:rowOff>80559</xdr:rowOff>
    </xdr:to>
    <xdr:pic>
      <xdr:nvPicPr>
        <xdr:cNvPr id="200" name="Image 1">
          <a:extLst>
            <a:ext uri="{FF2B5EF4-FFF2-40B4-BE49-F238E27FC236}">
              <a16:creationId xmlns:a16="http://schemas.microsoft.com/office/drawing/2014/main" id="{3D021F9D-87D8-44F5-A774-717B44A0DF1C}"/>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10505990" y="4759325"/>
          <a:ext cx="628013" cy="645709"/>
        </a:xfrm>
        <a:prstGeom prst="rect">
          <a:avLst/>
        </a:prstGeom>
        <a:ln>
          <a:noFill/>
        </a:ln>
      </xdr:spPr>
    </xdr:pic>
    <xdr:clientData/>
  </xdr:twoCellAnchor>
  <xdr:twoCellAnchor editAs="absolute">
    <xdr:from>
      <xdr:col>7</xdr:col>
      <xdr:colOff>559339</xdr:colOff>
      <xdr:row>58</xdr:row>
      <xdr:rowOff>50987</xdr:rowOff>
    </xdr:from>
    <xdr:to>
      <xdr:col>8</xdr:col>
      <xdr:colOff>286923</xdr:colOff>
      <xdr:row>62</xdr:row>
      <xdr:rowOff>85943</xdr:rowOff>
    </xdr:to>
    <xdr:pic>
      <xdr:nvPicPr>
        <xdr:cNvPr id="201" name="Image 1">
          <a:extLst>
            <a:ext uri="{FF2B5EF4-FFF2-40B4-BE49-F238E27FC236}">
              <a16:creationId xmlns:a16="http://schemas.microsoft.com/office/drawing/2014/main" id="{32344AA2-4029-4671-98D7-E8D39F8FF0EF}"/>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10571172" y="10443820"/>
          <a:ext cx="563668" cy="627623"/>
        </a:xfrm>
        <a:prstGeom prst="rect">
          <a:avLst/>
        </a:prstGeom>
        <a:ln>
          <a:noFill/>
        </a:ln>
      </xdr:spPr>
    </xdr:pic>
    <xdr:clientData/>
  </xdr:twoCellAnchor>
  <xdr:twoCellAnchor editAs="absolute">
    <xdr:from>
      <xdr:col>7</xdr:col>
      <xdr:colOff>509544</xdr:colOff>
      <xdr:row>96</xdr:row>
      <xdr:rowOff>1737</xdr:rowOff>
    </xdr:from>
    <xdr:to>
      <xdr:col>8</xdr:col>
      <xdr:colOff>265703</xdr:colOff>
      <xdr:row>100</xdr:row>
      <xdr:rowOff>33851</xdr:rowOff>
    </xdr:to>
    <xdr:pic>
      <xdr:nvPicPr>
        <xdr:cNvPr id="202" name="Image 1">
          <a:extLst>
            <a:ext uri="{FF2B5EF4-FFF2-40B4-BE49-F238E27FC236}">
              <a16:creationId xmlns:a16="http://schemas.microsoft.com/office/drawing/2014/main" id="{44DF3865-2653-48FE-9400-296F459D8F66}"/>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10521377" y="16247154"/>
          <a:ext cx="592243" cy="624780"/>
        </a:xfrm>
        <a:prstGeom prst="rect">
          <a:avLst/>
        </a:prstGeom>
        <a:ln>
          <a:noFill/>
        </a:ln>
      </xdr:spPr>
    </xdr:pic>
    <xdr:clientData/>
  </xdr:twoCellAnchor>
  <xdr:twoCellAnchor editAs="absolute">
    <xdr:from>
      <xdr:col>7</xdr:col>
      <xdr:colOff>474373</xdr:colOff>
      <xdr:row>134</xdr:row>
      <xdr:rowOff>57755</xdr:rowOff>
    </xdr:from>
    <xdr:to>
      <xdr:col>8</xdr:col>
      <xdr:colOff>256248</xdr:colOff>
      <xdr:row>138</xdr:row>
      <xdr:rowOff>90690</xdr:rowOff>
    </xdr:to>
    <xdr:pic>
      <xdr:nvPicPr>
        <xdr:cNvPr id="203" name="Image 1">
          <a:extLst>
            <a:ext uri="{FF2B5EF4-FFF2-40B4-BE49-F238E27FC236}">
              <a16:creationId xmlns:a16="http://schemas.microsoft.com/office/drawing/2014/main" id="{2ECF5755-994E-4E8A-B90F-7F30786850C2}"/>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10507373" y="23451155"/>
          <a:ext cx="607375" cy="667935"/>
        </a:xfrm>
        <a:prstGeom prst="rect">
          <a:avLst/>
        </a:prstGeom>
        <a:ln>
          <a:noFill/>
        </a:ln>
      </xdr:spPr>
    </xdr:pic>
    <xdr:clientData/>
  </xdr:twoCellAnchor>
  <xdr:twoCellAnchor editAs="absolute">
    <xdr:from>
      <xdr:col>7</xdr:col>
      <xdr:colOff>541205</xdr:colOff>
      <xdr:row>171</xdr:row>
      <xdr:rowOff>94054</xdr:rowOff>
    </xdr:from>
    <xdr:to>
      <xdr:col>8</xdr:col>
      <xdr:colOff>323080</xdr:colOff>
      <xdr:row>175</xdr:row>
      <xdr:rowOff>139292</xdr:rowOff>
    </xdr:to>
    <xdr:pic>
      <xdr:nvPicPr>
        <xdr:cNvPr id="204" name="Image 1">
          <a:extLst>
            <a:ext uri="{FF2B5EF4-FFF2-40B4-BE49-F238E27FC236}">
              <a16:creationId xmlns:a16="http://schemas.microsoft.com/office/drawing/2014/main" id="{97126FCE-CFEE-44F1-A7E4-3F145DE5C0E5}"/>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10542455" y="28545229"/>
          <a:ext cx="620075" cy="654838"/>
        </a:xfrm>
        <a:prstGeom prst="rect">
          <a:avLst/>
        </a:prstGeom>
        <a:ln>
          <a:noFill/>
        </a:ln>
      </xdr:spPr>
    </xdr:pic>
    <xdr:clientData/>
  </xdr:twoCellAnchor>
  <xdr:twoCellAnchor editAs="absolute">
    <xdr:from>
      <xdr:col>7</xdr:col>
      <xdr:colOff>566197</xdr:colOff>
      <xdr:row>210</xdr:row>
      <xdr:rowOff>138470</xdr:rowOff>
    </xdr:from>
    <xdr:to>
      <xdr:col>8</xdr:col>
      <xdr:colOff>293781</xdr:colOff>
      <xdr:row>215</xdr:row>
      <xdr:rowOff>37236</xdr:rowOff>
    </xdr:to>
    <xdr:pic>
      <xdr:nvPicPr>
        <xdr:cNvPr id="205" name="Image 1">
          <a:extLst>
            <a:ext uri="{FF2B5EF4-FFF2-40B4-BE49-F238E27FC236}">
              <a16:creationId xmlns:a16="http://schemas.microsoft.com/office/drawing/2014/main" id="{9C1D0838-7861-4C52-8DAF-34F0462F0EDF}"/>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10578030" y="33941637"/>
          <a:ext cx="563668" cy="639599"/>
        </a:xfrm>
        <a:prstGeom prst="rect">
          <a:avLst/>
        </a:prstGeom>
        <a:ln>
          <a:noFill/>
        </a:ln>
      </xdr:spPr>
    </xdr:pic>
    <xdr:clientData/>
  </xdr:twoCellAnchor>
</xdr:wsDr>
</file>

<file path=xl/externalLinks/_rels/externalLink1.xml.rels><?xml version="1.0" encoding="UTF-8" standalone="yes"?>
<Relationships xmlns="http://schemas.openxmlformats.org/package/2006/relationships"><Relationship Id="rId1" Target="file:///C:/Users/david.lubian/Desktop/Informe%20Revision%20Accesibilidad%20-%20Sitios%20web%20-%20v2.0_desprotegido.xlsx"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Info"/>
      <sheetName val="01.Definición de ámbito"/>
      <sheetName val="02.Tecnologías"/>
      <sheetName val="03.Muestra"/>
      <sheetName val="P1.Perceptible"/>
      <sheetName val="P2.Operable"/>
      <sheetName val="P3.Comprensible"/>
      <sheetName val="P4.Robusto"/>
      <sheetName val="RESULTADOS"/>
      <sheetName val="Para BD+DWH - Oculta"/>
      <sheetName val="Change Log"/>
      <sheetName val="DATA - Oculta"/>
      <sheetName val="DatosBD - Oculta"/>
    </sheetNames>
    <sheetDataSet>
      <sheetData sheetId="0"/>
      <sheetData sheetId="1"/>
      <sheetData sheetId="2"/>
      <sheetData sheetId="3"/>
      <sheetData sheetId="4">
        <row r="19">
          <cell r="D19" t="str">
            <v/>
          </cell>
        </row>
        <row r="20">
          <cell r="D20" t="str">
            <v/>
          </cell>
        </row>
        <row r="21">
          <cell r="D21" t="str">
            <v/>
          </cell>
        </row>
        <row r="22">
          <cell r="D22" t="str">
            <v/>
          </cell>
        </row>
        <row r="23">
          <cell r="D23" t="str">
            <v/>
          </cell>
        </row>
        <row r="24">
          <cell r="D24" t="str">
            <v/>
          </cell>
        </row>
        <row r="25">
          <cell r="D25" t="str">
            <v/>
          </cell>
        </row>
        <row r="26">
          <cell r="D26" t="str">
            <v/>
          </cell>
        </row>
        <row r="27">
          <cell r="D27" t="str">
            <v/>
          </cell>
        </row>
        <row r="28">
          <cell r="D28" t="str">
            <v/>
          </cell>
        </row>
        <row r="29">
          <cell r="D29" t="str">
            <v/>
          </cell>
        </row>
        <row r="30">
          <cell r="D30" t="str">
            <v/>
          </cell>
        </row>
        <row r="31">
          <cell r="D31" t="str">
            <v/>
          </cell>
        </row>
        <row r="32">
          <cell r="D32" t="str">
            <v/>
          </cell>
        </row>
        <row r="33">
          <cell r="D33" t="str">
            <v/>
          </cell>
        </row>
        <row r="34">
          <cell r="D34" t="str">
            <v/>
          </cell>
        </row>
        <row r="35">
          <cell r="D35" t="str">
            <v/>
          </cell>
        </row>
        <row r="36">
          <cell r="D36" t="str">
            <v/>
          </cell>
        </row>
        <row r="37">
          <cell r="D37" t="str">
            <v/>
          </cell>
        </row>
        <row r="38">
          <cell r="D38" t="str">
            <v/>
          </cell>
        </row>
        <row r="39">
          <cell r="D39" t="str">
            <v/>
          </cell>
        </row>
        <row r="40">
          <cell r="D40" t="str">
            <v/>
          </cell>
        </row>
        <row r="41">
          <cell r="D41" t="str">
            <v/>
          </cell>
        </row>
        <row r="42">
          <cell r="D42" t="str">
            <v/>
          </cell>
        </row>
        <row r="43">
          <cell r="D43" t="str">
            <v/>
          </cell>
        </row>
        <row r="44">
          <cell r="D44" t="str">
            <v/>
          </cell>
        </row>
        <row r="45">
          <cell r="D45" t="str">
            <v/>
          </cell>
        </row>
        <row r="46">
          <cell r="D46" t="str">
            <v/>
          </cell>
        </row>
        <row r="47">
          <cell r="D47" t="str">
            <v/>
          </cell>
        </row>
        <row r="48">
          <cell r="D48" t="str">
            <v/>
          </cell>
        </row>
        <row r="49">
          <cell r="D49" t="str">
            <v/>
          </cell>
        </row>
        <row r="50">
          <cell r="D50" t="str">
            <v/>
          </cell>
        </row>
        <row r="51">
          <cell r="D51" t="str">
            <v/>
          </cell>
        </row>
        <row r="52">
          <cell r="D52" t="str">
            <v/>
          </cell>
        </row>
        <row r="53">
          <cell r="D53" t="str">
            <v/>
          </cell>
        </row>
        <row r="57">
          <cell r="D57" t="str">
            <v/>
          </cell>
        </row>
        <row r="58">
          <cell r="D58" t="str">
            <v/>
          </cell>
        </row>
        <row r="59">
          <cell r="D59" t="str">
            <v/>
          </cell>
        </row>
        <row r="60">
          <cell r="D60" t="str">
            <v/>
          </cell>
        </row>
        <row r="61">
          <cell r="D61" t="str">
            <v/>
          </cell>
        </row>
        <row r="62">
          <cell r="D62" t="str">
            <v/>
          </cell>
        </row>
        <row r="63">
          <cell r="D63" t="str">
            <v/>
          </cell>
        </row>
        <row r="64">
          <cell r="D64" t="str">
            <v/>
          </cell>
        </row>
        <row r="65">
          <cell r="D65" t="str">
            <v/>
          </cell>
        </row>
        <row r="66">
          <cell r="D66" t="str">
            <v/>
          </cell>
        </row>
        <row r="67">
          <cell r="D67" t="str">
            <v/>
          </cell>
        </row>
        <row r="68">
          <cell r="D68" t="str">
            <v/>
          </cell>
        </row>
        <row r="69">
          <cell r="D69" t="str">
            <v/>
          </cell>
        </row>
        <row r="70">
          <cell r="D70" t="str">
            <v/>
          </cell>
        </row>
        <row r="71">
          <cell r="D71" t="str">
            <v/>
          </cell>
        </row>
        <row r="72">
          <cell r="D72" t="str">
            <v/>
          </cell>
        </row>
        <row r="73">
          <cell r="D73" t="str">
            <v/>
          </cell>
        </row>
        <row r="74">
          <cell r="D74" t="str">
            <v/>
          </cell>
        </row>
        <row r="75">
          <cell r="D75" t="str">
            <v/>
          </cell>
        </row>
        <row r="76">
          <cell r="D76" t="str">
            <v/>
          </cell>
        </row>
        <row r="77">
          <cell r="D77" t="str">
            <v/>
          </cell>
        </row>
        <row r="78">
          <cell r="D78" t="str">
            <v/>
          </cell>
        </row>
        <row r="79">
          <cell r="D79" t="str">
            <v/>
          </cell>
        </row>
        <row r="80">
          <cell r="D80" t="str">
            <v/>
          </cell>
        </row>
        <row r="81">
          <cell r="D81" t="str">
            <v/>
          </cell>
        </row>
        <row r="82">
          <cell r="D82" t="str">
            <v/>
          </cell>
        </row>
        <row r="83">
          <cell r="D83" t="str">
            <v/>
          </cell>
        </row>
        <row r="84">
          <cell r="D84" t="str">
            <v/>
          </cell>
        </row>
        <row r="85">
          <cell r="D85" t="str">
            <v/>
          </cell>
        </row>
        <row r="86">
          <cell r="D86" t="str">
            <v/>
          </cell>
        </row>
        <row r="87">
          <cell r="D87" t="str">
            <v/>
          </cell>
        </row>
        <row r="88">
          <cell r="D88" t="str">
            <v/>
          </cell>
        </row>
        <row r="89">
          <cell r="D89" t="str">
            <v/>
          </cell>
        </row>
        <row r="90">
          <cell r="D90" t="str">
            <v/>
          </cell>
        </row>
        <row r="91">
          <cell r="D91" t="str">
            <v/>
          </cell>
        </row>
        <row r="95">
          <cell r="D95" t="str">
            <v/>
          </cell>
        </row>
        <row r="96">
          <cell r="D96" t="str">
            <v/>
          </cell>
        </row>
        <row r="97">
          <cell r="D97" t="str">
            <v/>
          </cell>
        </row>
        <row r="98">
          <cell r="D98" t="str">
            <v/>
          </cell>
        </row>
        <row r="99">
          <cell r="D99" t="str">
            <v/>
          </cell>
        </row>
        <row r="100">
          <cell r="D100" t="str">
            <v/>
          </cell>
        </row>
        <row r="101">
          <cell r="D101" t="str">
            <v/>
          </cell>
        </row>
        <row r="102">
          <cell r="D102" t="str">
            <v/>
          </cell>
        </row>
        <row r="103">
          <cell r="D103" t="str">
            <v/>
          </cell>
        </row>
        <row r="104">
          <cell r="D104" t="str">
            <v/>
          </cell>
        </row>
        <row r="105">
          <cell r="D105" t="str">
            <v/>
          </cell>
        </row>
        <row r="106">
          <cell r="D106" t="str">
            <v/>
          </cell>
        </row>
        <row r="107">
          <cell r="D107" t="str">
            <v/>
          </cell>
        </row>
        <row r="108">
          <cell r="D108" t="str">
            <v/>
          </cell>
        </row>
        <row r="109">
          <cell r="D109" t="str">
            <v/>
          </cell>
        </row>
        <row r="110">
          <cell r="D110" t="str">
            <v/>
          </cell>
        </row>
        <row r="111">
          <cell r="D111" t="str">
            <v/>
          </cell>
        </row>
        <row r="112">
          <cell r="D112" t="str">
            <v/>
          </cell>
        </row>
        <row r="113">
          <cell r="D113" t="str">
            <v/>
          </cell>
        </row>
        <row r="114">
          <cell r="D114" t="str">
            <v/>
          </cell>
        </row>
        <row r="115">
          <cell r="D115" t="str">
            <v/>
          </cell>
        </row>
        <row r="116">
          <cell r="D116" t="str">
            <v/>
          </cell>
        </row>
        <row r="117">
          <cell r="D117" t="str">
            <v/>
          </cell>
        </row>
        <row r="118">
          <cell r="D118" t="str">
            <v/>
          </cell>
        </row>
        <row r="119">
          <cell r="D119" t="str">
            <v/>
          </cell>
        </row>
        <row r="120">
          <cell r="D120" t="str">
            <v/>
          </cell>
        </row>
        <row r="121">
          <cell r="D121" t="str">
            <v/>
          </cell>
        </row>
        <row r="122">
          <cell r="D122" t="str">
            <v/>
          </cell>
        </row>
        <row r="123">
          <cell r="D123" t="str">
            <v/>
          </cell>
        </row>
        <row r="124">
          <cell r="D124" t="str">
            <v/>
          </cell>
        </row>
        <row r="125">
          <cell r="D125" t="str">
            <v/>
          </cell>
        </row>
        <row r="126">
          <cell r="D126" t="str">
            <v/>
          </cell>
        </row>
        <row r="127">
          <cell r="D127" t="str">
            <v/>
          </cell>
        </row>
        <row r="128">
          <cell r="D128" t="str">
            <v/>
          </cell>
        </row>
        <row r="129">
          <cell r="D129" t="str">
            <v/>
          </cell>
        </row>
        <row r="133">
          <cell r="D133" t="str">
            <v/>
          </cell>
        </row>
        <row r="134">
          <cell r="D134" t="str">
            <v/>
          </cell>
        </row>
        <row r="135">
          <cell r="D135" t="str">
            <v/>
          </cell>
        </row>
        <row r="136">
          <cell r="D136" t="str">
            <v/>
          </cell>
        </row>
        <row r="137">
          <cell r="D137" t="str">
            <v/>
          </cell>
        </row>
        <row r="138">
          <cell r="D138" t="str">
            <v/>
          </cell>
        </row>
        <row r="139">
          <cell r="D139" t="str">
            <v/>
          </cell>
        </row>
        <row r="140">
          <cell r="D140" t="str">
            <v/>
          </cell>
        </row>
        <row r="141">
          <cell r="D141" t="str">
            <v/>
          </cell>
        </row>
        <row r="142">
          <cell r="D142" t="str">
            <v/>
          </cell>
        </row>
        <row r="143">
          <cell r="D143" t="str">
            <v/>
          </cell>
        </row>
        <row r="144">
          <cell r="D144" t="str">
            <v/>
          </cell>
        </row>
        <row r="145">
          <cell r="D145" t="str">
            <v/>
          </cell>
        </row>
        <row r="146">
          <cell r="D146" t="str">
            <v/>
          </cell>
        </row>
        <row r="147">
          <cell r="D147" t="str">
            <v/>
          </cell>
        </row>
        <row r="148">
          <cell r="D148" t="str">
            <v/>
          </cell>
        </row>
        <row r="149">
          <cell r="D149" t="str">
            <v/>
          </cell>
        </row>
        <row r="150">
          <cell r="D150" t="str">
            <v/>
          </cell>
        </row>
        <row r="151">
          <cell r="D151" t="str">
            <v/>
          </cell>
        </row>
        <row r="152">
          <cell r="D152" t="str">
            <v/>
          </cell>
        </row>
        <row r="153">
          <cell r="D153" t="str">
            <v/>
          </cell>
        </row>
        <row r="154">
          <cell r="D154" t="str">
            <v/>
          </cell>
        </row>
        <row r="155">
          <cell r="D155" t="str">
            <v/>
          </cell>
        </row>
        <row r="156">
          <cell r="D156" t="str">
            <v/>
          </cell>
        </row>
        <row r="157">
          <cell r="D157" t="str">
            <v/>
          </cell>
        </row>
        <row r="158">
          <cell r="D158" t="str">
            <v/>
          </cell>
        </row>
        <row r="159">
          <cell r="D159" t="str">
            <v/>
          </cell>
        </row>
        <row r="160">
          <cell r="D160" t="str">
            <v/>
          </cell>
        </row>
        <row r="161">
          <cell r="D161" t="str">
            <v/>
          </cell>
        </row>
        <row r="162">
          <cell r="D162" t="str">
            <v/>
          </cell>
        </row>
        <row r="163">
          <cell r="D163" t="str">
            <v/>
          </cell>
        </row>
        <row r="164">
          <cell r="D164" t="str">
            <v/>
          </cell>
        </row>
        <row r="165">
          <cell r="D165" t="str">
            <v/>
          </cell>
        </row>
        <row r="166">
          <cell r="D166" t="str">
            <v/>
          </cell>
        </row>
        <row r="167">
          <cell r="D167" t="str">
            <v/>
          </cell>
        </row>
        <row r="171">
          <cell r="D171" t="str">
            <v/>
          </cell>
        </row>
        <row r="172">
          <cell r="D172" t="str">
            <v/>
          </cell>
        </row>
        <row r="173">
          <cell r="D173" t="str">
            <v/>
          </cell>
        </row>
        <row r="174">
          <cell r="D174" t="str">
            <v/>
          </cell>
        </row>
        <row r="175">
          <cell r="D175" t="str">
            <v/>
          </cell>
        </row>
        <row r="176">
          <cell r="D176" t="str">
            <v/>
          </cell>
        </row>
        <row r="177">
          <cell r="D177" t="str">
            <v/>
          </cell>
        </row>
        <row r="178">
          <cell r="D178" t="str">
            <v/>
          </cell>
        </row>
        <row r="179">
          <cell r="D179" t="str">
            <v/>
          </cell>
        </row>
        <row r="180">
          <cell r="D180" t="str">
            <v/>
          </cell>
        </row>
        <row r="181">
          <cell r="D181" t="str">
            <v/>
          </cell>
        </row>
        <row r="182">
          <cell r="D182" t="str">
            <v/>
          </cell>
        </row>
        <row r="183">
          <cell r="D183" t="str">
            <v/>
          </cell>
        </row>
        <row r="184">
          <cell r="D184" t="str">
            <v/>
          </cell>
        </row>
        <row r="185">
          <cell r="D185" t="str">
            <v/>
          </cell>
        </row>
        <row r="186">
          <cell r="D186" t="str">
            <v/>
          </cell>
        </row>
        <row r="187">
          <cell r="D187" t="str">
            <v/>
          </cell>
        </row>
        <row r="188">
          <cell r="D188" t="str">
            <v/>
          </cell>
        </row>
        <row r="189">
          <cell r="D189" t="str">
            <v/>
          </cell>
        </row>
        <row r="190">
          <cell r="D190" t="str">
            <v/>
          </cell>
        </row>
        <row r="191">
          <cell r="D191" t="str">
            <v/>
          </cell>
        </row>
        <row r="192">
          <cell r="D192" t="str">
            <v/>
          </cell>
        </row>
        <row r="193">
          <cell r="D193" t="str">
            <v/>
          </cell>
        </row>
        <row r="194">
          <cell r="D194" t="str">
            <v/>
          </cell>
        </row>
        <row r="195">
          <cell r="D195" t="str">
            <v/>
          </cell>
        </row>
        <row r="196">
          <cell r="D196" t="str">
            <v/>
          </cell>
        </row>
        <row r="197">
          <cell r="D197" t="str">
            <v/>
          </cell>
        </row>
        <row r="198">
          <cell r="D198" t="str">
            <v/>
          </cell>
        </row>
        <row r="199">
          <cell r="D199" t="str">
            <v/>
          </cell>
        </row>
        <row r="200">
          <cell r="D200" t="str">
            <v/>
          </cell>
        </row>
        <row r="201">
          <cell r="D201" t="str">
            <v/>
          </cell>
        </row>
        <row r="202">
          <cell r="D202" t="str">
            <v/>
          </cell>
        </row>
        <row r="203">
          <cell r="D203" t="str">
            <v/>
          </cell>
        </row>
        <row r="204">
          <cell r="D204" t="str">
            <v/>
          </cell>
        </row>
        <row r="205">
          <cell r="D205" t="str">
            <v/>
          </cell>
        </row>
        <row r="209">
          <cell r="D209" t="str">
            <v/>
          </cell>
        </row>
        <row r="210">
          <cell r="D210" t="str">
            <v/>
          </cell>
        </row>
        <row r="211">
          <cell r="D211" t="str">
            <v/>
          </cell>
        </row>
        <row r="212">
          <cell r="D212" t="str">
            <v/>
          </cell>
        </row>
        <row r="213">
          <cell r="D213" t="str">
            <v/>
          </cell>
        </row>
        <row r="214">
          <cell r="D214" t="str">
            <v/>
          </cell>
        </row>
        <row r="215">
          <cell r="D215" t="str">
            <v/>
          </cell>
        </row>
        <row r="216">
          <cell r="D216" t="str">
            <v/>
          </cell>
        </row>
        <row r="217">
          <cell r="D217" t="str">
            <v/>
          </cell>
        </row>
        <row r="218">
          <cell r="D218" t="str">
            <v/>
          </cell>
        </row>
        <row r="219">
          <cell r="D219" t="str">
            <v/>
          </cell>
        </row>
        <row r="220">
          <cell r="D220" t="str">
            <v/>
          </cell>
        </row>
        <row r="221">
          <cell r="D221" t="str">
            <v/>
          </cell>
        </row>
        <row r="222">
          <cell r="D222" t="str">
            <v/>
          </cell>
        </row>
        <row r="223">
          <cell r="D223" t="str">
            <v/>
          </cell>
        </row>
        <row r="224">
          <cell r="D224" t="str">
            <v/>
          </cell>
        </row>
        <row r="225">
          <cell r="D225" t="str">
            <v/>
          </cell>
        </row>
        <row r="226">
          <cell r="D226" t="str">
            <v/>
          </cell>
        </row>
        <row r="227">
          <cell r="D227" t="str">
            <v/>
          </cell>
        </row>
        <row r="228">
          <cell r="D228" t="str">
            <v/>
          </cell>
        </row>
        <row r="229">
          <cell r="D229" t="str">
            <v/>
          </cell>
        </row>
        <row r="230">
          <cell r="D230" t="str">
            <v/>
          </cell>
        </row>
        <row r="231">
          <cell r="D231" t="str">
            <v/>
          </cell>
        </row>
        <row r="232">
          <cell r="D232" t="str">
            <v/>
          </cell>
        </row>
        <row r="233">
          <cell r="D233" t="str">
            <v/>
          </cell>
        </row>
        <row r="234">
          <cell r="D234" t="str">
            <v/>
          </cell>
        </row>
        <row r="235">
          <cell r="D235" t="str">
            <v/>
          </cell>
        </row>
        <row r="236">
          <cell r="D236" t="str">
            <v/>
          </cell>
        </row>
        <row r="237">
          <cell r="D237" t="str">
            <v/>
          </cell>
        </row>
        <row r="238">
          <cell r="D238" t="str">
            <v/>
          </cell>
        </row>
        <row r="239">
          <cell r="D239" t="str">
            <v/>
          </cell>
        </row>
        <row r="240">
          <cell r="D240" t="str">
            <v/>
          </cell>
        </row>
        <row r="241">
          <cell r="D241" t="str">
            <v/>
          </cell>
        </row>
        <row r="242">
          <cell r="D242" t="str">
            <v/>
          </cell>
        </row>
        <row r="243">
          <cell r="D243" t="str">
            <v/>
          </cell>
        </row>
        <row r="247">
          <cell r="D247" t="str">
            <v/>
          </cell>
        </row>
        <row r="248">
          <cell r="D248" t="str">
            <v/>
          </cell>
        </row>
        <row r="249">
          <cell r="D249" t="str">
            <v/>
          </cell>
        </row>
        <row r="250">
          <cell r="D250" t="str">
            <v/>
          </cell>
        </row>
        <row r="251">
          <cell r="D251" t="str">
            <v/>
          </cell>
        </row>
        <row r="252">
          <cell r="D252" t="str">
            <v/>
          </cell>
        </row>
        <row r="253">
          <cell r="D253" t="str">
            <v/>
          </cell>
        </row>
        <row r="254">
          <cell r="D254" t="str">
            <v/>
          </cell>
        </row>
        <row r="255">
          <cell r="D255" t="str">
            <v/>
          </cell>
        </row>
        <row r="256">
          <cell r="D256" t="str">
            <v/>
          </cell>
        </row>
        <row r="257">
          <cell r="D257" t="str">
            <v/>
          </cell>
        </row>
        <row r="258">
          <cell r="D258" t="str">
            <v/>
          </cell>
        </row>
        <row r="259">
          <cell r="D259" t="str">
            <v/>
          </cell>
        </row>
        <row r="260">
          <cell r="D260" t="str">
            <v/>
          </cell>
        </row>
        <row r="261">
          <cell r="D261" t="str">
            <v/>
          </cell>
        </row>
        <row r="262">
          <cell r="D262" t="str">
            <v/>
          </cell>
        </row>
        <row r="263">
          <cell r="D263" t="str">
            <v/>
          </cell>
        </row>
        <row r="264">
          <cell r="D264" t="str">
            <v/>
          </cell>
        </row>
        <row r="265">
          <cell r="D265" t="str">
            <v/>
          </cell>
        </row>
        <row r="266">
          <cell r="D266" t="str">
            <v/>
          </cell>
        </row>
        <row r="267">
          <cell r="D267" t="str">
            <v/>
          </cell>
        </row>
        <row r="268">
          <cell r="D268" t="str">
            <v/>
          </cell>
        </row>
        <row r="269">
          <cell r="D269" t="str">
            <v/>
          </cell>
        </row>
        <row r="270">
          <cell r="D270" t="str">
            <v/>
          </cell>
        </row>
        <row r="271">
          <cell r="D271" t="str">
            <v/>
          </cell>
        </row>
        <row r="272">
          <cell r="D272" t="str">
            <v/>
          </cell>
        </row>
        <row r="273">
          <cell r="D273" t="str">
            <v/>
          </cell>
        </row>
        <row r="274">
          <cell r="D274" t="str">
            <v/>
          </cell>
        </row>
        <row r="275">
          <cell r="D275" t="str">
            <v/>
          </cell>
        </row>
        <row r="276">
          <cell r="D276" t="str">
            <v/>
          </cell>
        </row>
        <row r="277">
          <cell r="D277" t="str">
            <v/>
          </cell>
        </row>
        <row r="278">
          <cell r="D278" t="str">
            <v/>
          </cell>
        </row>
        <row r="279">
          <cell r="D279" t="str">
            <v/>
          </cell>
        </row>
        <row r="280">
          <cell r="D280" t="str">
            <v/>
          </cell>
        </row>
        <row r="281">
          <cell r="D281" t="str">
            <v/>
          </cell>
        </row>
        <row r="285">
          <cell r="D285" t="str">
            <v/>
          </cell>
        </row>
        <row r="286">
          <cell r="D286" t="str">
            <v/>
          </cell>
        </row>
        <row r="287">
          <cell r="D287" t="str">
            <v/>
          </cell>
        </row>
        <row r="288">
          <cell r="D288" t="str">
            <v/>
          </cell>
        </row>
        <row r="289">
          <cell r="D289" t="str">
            <v/>
          </cell>
        </row>
        <row r="290">
          <cell r="D290" t="str">
            <v/>
          </cell>
        </row>
        <row r="291">
          <cell r="D291" t="str">
            <v/>
          </cell>
        </row>
        <row r="292">
          <cell r="D292" t="str">
            <v/>
          </cell>
        </row>
        <row r="293">
          <cell r="D293" t="str">
            <v/>
          </cell>
        </row>
        <row r="294">
          <cell r="D294" t="str">
            <v/>
          </cell>
        </row>
        <row r="295">
          <cell r="D295" t="str">
            <v/>
          </cell>
        </row>
        <row r="296">
          <cell r="D296" t="str">
            <v/>
          </cell>
        </row>
        <row r="297">
          <cell r="D297" t="str">
            <v/>
          </cell>
        </row>
        <row r="298">
          <cell r="D298" t="str">
            <v/>
          </cell>
        </row>
        <row r="299">
          <cell r="D299" t="str">
            <v/>
          </cell>
        </row>
        <row r="300">
          <cell r="D300" t="str">
            <v/>
          </cell>
        </row>
        <row r="301">
          <cell r="D301" t="str">
            <v/>
          </cell>
        </row>
        <row r="302">
          <cell r="D302" t="str">
            <v/>
          </cell>
        </row>
        <row r="303">
          <cell r="D303" t="str">
            <v/>
          </cell>
        </row>
        <row r="304">
          <cell r="D304" t="str">
            <v/>
          </cell>
        </row>
        <row r="305">
          <cell r="D305" t="str">
            <v/>
          </cell>
        </row>
        <row r="306">
          <cell r="D306" t="str">
            <v/>
          </cell>
        </row>
        <row r="307">
          <cell r="D307" t="str">
            <v/>
          </cell>
        </row>
        <row r="308">
          <cell r="D308" t="str">
            <v/>
          </cell>
        </row>
        <row r="309">
          <cell r="D309" t="str">
            <v/>
          </cell>
        </row>
        <row r="310">
          <cell r="D310" t="str">
            <v/>
          </cell>
        </row>
        <row r="311">
          <cell r="D311" t="str">
            <v/>
          </cell>
        </row>
        <row r="312">
          <cell r="D312" t="str">
            <v/>
          </cell>
        </row>
        <row r="313">
          <cell r="D313" t="str">
            <v/>
          </cell>
        </row>
        <row r="314">
          <cell r="D314" t="str">
            <v/>
          </cell>
        </row>
        <row r="315">
          <cell r="D315" t="str">
            <v/>
          </cell>
        </row>
        <row r="316">
          <cell r="D316" t="str">
            <v/>
          </cell>
        </row>
        <row r="317">
          <cell r="D317" t="str">
            <v/>
          </cell>
        </row>
        <row r="318">
          <cell r="D318" t="str">
            <v/>
          </cell>
        </row>
        <row r="319">
          <cell r="D319" t="str">
            <v/>
          </cell>
        </row>
        <row r="323">
          <cell r="D323" t="str">
            <v/>
          </cell>
        </row>
        <row r="324">
          <cell r="D324" t="str">
            <v/>
          </cell>
        </row>
        <row r="325">
          <cell r="D325" t="str">
            <v/>
          </cell>
        </row>
        <row r="326">
          <cell r="D326" t="str">
            <v/>
          </cell>
        </row>
        <row r="327">
          <cell r="D327" t="str">
            <v/>
          </cell>
        </row>
        <row r="328">
          <cell r="D328" t="str">
            <v/>
          </cell>
        </row>
        <row r="329">
          <cell r="D329" t="str">
            <v/>
          </cell>
        </row>
        <row r="330">
          <cell r="D330" t="str">
            <v/>
          </cell>
        </row>
        <row r="331">
          <cell r="D331" t="str">
            <v/>
          </cell>
        </row>
        <row r="332">
          <cell r="D332" t="str">
            <v/>
          </cell>
        </row>
        <row r="333">
          <cell r="D333" t="str">
            <v/>
          </cell>
        </row>
        <row r="334">
          <cell r="D334" t="str">
            <v/>
          </cell>
        </row>
        <row r="335">
          <cell r="D335" t="str">
            <v/>
          </cell>
        </row>
        <row r="336">
          <cell r="D336" t="str">
            <v/>
          </cell>
        </row>
        <row r="337">
          <cell r="D337" t="str">
            <v/>
          </cell>
        </row>
        <row r="338">
          <cell r="D338" t="str">
            <v/>
          </cell>
        </row>
        <row r="339">
          <cell r="D339" t="str">
            <v/>
          </cell>
        </row>
        <row r="340">
          <cell r="D340" t="str">
            <v/>
          </cell>
        </row>
        <row r="341">
          <cell r="D341" t="str">
            <v/>
          </cell>
        </row>
        <row r="342">
          <cell r="D342" t="str">
            <v/>
          </cell>
        </row>
        <row r="343">
          <cell r="D343" t="str">
            <v/>
          </cell>
        </row>
        <row r="344">
          <cell r="D344" t="str">
            <v/>
          </cell>
        </row>
        <row r="345">
          <cell r="D345" t="str">
            <v/>
          </cell>
        </row>
        <row r="346">
          <cell r="D346" t="str">
            <v/>
          </cell>
        </row>
        <row r="347">
          <cell r="D347" t="str">
            <v/>
          </cell>
        </row>
        <row r="348">
          <cell r="D348" t="str">
            <v/>
          </cell>
        </row>
        <row r="349">
          <cell r="D349" t="str">
            <v/>
          </cell>
        </row>
        <row r="350">
          <cell r="D350" t="str">
            <v/>
          </cell>
        </row>
        <row r="351">
          <cell r="D351" t="str">
            <v/>
          </cell>
        </row>
        <row r="352">
          <cell r="D352" t="str">
            <v/>
          </cell>
        </row>
        <row r="353">
          <cell r="D353" t="str">
            <v/>
          </cell>
        </row>
        <row r="354">
          <cell r="D354" t="str">
            <v/>
          </cell>
        </row>
        <row r="355">
          <cell r="D355" t="str">
            <v/>
          </cell>
        </row>
        <row r="356">
          <cell r="D356" t="str">
            <v/>
          </cell>
        </row>
        <row r="357">
          <cell r="D357" t="str">
            <v/>
          </cell>
        </row>
        <row r="361">
          <cell r="D361" t="str">
            <v/>
          </cell>
        </row>
        <row r="362">
          <cell r="D362" t="str">
            <v/>
          </cell>
        </row>
        <row r="363">
          <cell r="D363" t="str">
            <v/>
          </cell>
        </row>
        <row r="364">
          <cell r="D364" t="str">
            <v/>
          </cell>
        </row>
        <row r="365">
          <cell r="D365" t="str">
            <v/>
          </cell>
        </row>
        <row r="366">
          <cell r="D366" t="str">
            <v/>
          </cell>
        </row>
        <row r="367">
          <cell r="D367" t="str">
            <v/>
          </cell>
        </row>
        <row r="368">
          <cell r="D368" t="str">
            <v/>
          </cell>
        </row>
        <row r="369">
          <cell r="D369" t="str">
            <v/>
          </cell>
        </row>
        <row r="370">
          <cell r="D370" t="str">
            <v/>
          </cell>
        </row>
        <row r="371">
          <cell r="D371" t="str">
            <v/>
          </cell>
        </row>
        <row r="372">
          <cell r="D372" t="str">
            <v/>
          </cell>
        </row>
        <row r="373">
          <cell r="D373" t="str">
            <v/>
          </cell>
        </row>
        <row r="374">
          <cell r="D374" t="str">
            <v/>
          </cell>
        </row>
        <row r="375">
          <cell r="D375" t="str">
            <v/>
          </cell>
        </row>
        <row r="376">
          <cell r="D376" t="str">
            <v/>
          </cell>
        </row>
        <row r="377">
          <cell r="D377" t="str">
            <v/>
          </cell>
        </row>
        <row r="378">
          <cell r="D378" t="str">
            <v/>
          </cell>
        </row>
        <row r="379">
          <cell r="D379" t="str">
            <v/>
          </cell>
        </row>
        <row r="380">
          <cell r="D380" t="str">
            <v/>
          </cell>
        </row>
        <row r="381">
          <cell r="D381" t="str">
            <v/>
          </cell>
        </row>
        <row r="382">
          <cell r="D382" t="str">
            <v/>
          </cell>
        </row>
        <row r="383">
          <cell r="D383" t="str">
            <v/>
          </cell>
        </row>
        <row r="384">
          <cell r="D384" t="str">
            <v/>
          </cell>
        </row>
        <row r="385">
          <cell r="D385" t="str">
            <v/>
          </cell>
        </row>
        <row r="386">
          <cell r="D386" t="str">
            <v/>
          </cell>
        </row>
        <row r="387">
          <cell r="D387" t="str">
            <v/>
          </cell>
        </row>
        <row r="388">
          <cell r="D388" t="str">
            <v/>
          </cell>
        </row>
        <row r="389">
          <cell r="D389" t="str">
            <v/>
          </cell>
        </row>
        <row r="390">
          <cell r="D390" t="str">
            <v/>
          </cell>
        </row>
        <row r="391">
          <cell r="D391" t="str">
            <v/>
          </cell>
        </row>
        <row r="392">
          <cell r="D392" t="str">
            <v/>
          </cell>
        </row>
        <row r="393">
          <cell r="D393" t="str">
            <v/>
          </cell>
        </row>
        <row r="394">
          <cell r="D394" t="str">
            <v/>
          </cell>
        </row>
        <row r="395">
          <cell r="D395" t="str">
            <v/>
          </cell>
        </row>
        <row r="399">
          <cell r="D399" t="str">
            <v/>
          </cell>
        </row>
        <row r="400">
          <cell r="D400" t="str">
            <v/>
          </cell>
        </row>
        <row r="401">
          <cell r="D401" t="str">
            <v/>
          </cell>
        </row>
        <row r="402">
          <cell r="D402" t="str">
            <v/>
          </cell>
        </row>
        <row r="403">
          <cell r="D403" t="str">
            <v/>
          </cell>
        </row>
        <row r="404">
          <cell r="D404" t="str">
            <v/>
          </cell>
        </row>
        <row r="405">
          <cell r="D405" t="str">
            <v/>
          </cell>
        </row>
        <row r="406">
          <cell r="D406" t="str">
            <v/>
          </cell>
        </row>
        <row r="407">
          <cell r="D407" t="str">
            <v/>
          </cell>
        </row>
        <row r="408">
          <cell r="D408" t="str">
            <v/>
          </cell>
        </row>
        <row r="409">
          <cell r="D409" t="str">
            <v/>
          </cell>
        </row>
        <row r="410">
          <cell r="D410" t="str">
            <v/>
          </cell>
        </row>
        <row r="411">
          <cell r="D411" t="str">
            <v/>
          </cell>
        </row>
        <row r="412">
          <cell r="D412" t="str">
            <v/>
          </cell>
        </row>
        <row r="413">
          <cell r="D413" t="str">
            <v/>
          </cell>
        </row>
        <row r="414">
          <cell r="D414" t="str">
            <v/>
          </cell>
        </row>
        <row r="415">
          <cell r="D415" t="str">
            <v/>
          </cell>
        </row>
        <row r="416">
          <cell r="D416" t="str">
            <v/>
          </cell>
        </row>
        <row r="417">
          <cell r="D417" t="str">
            <v/>
          </cell>
        </row>
        <row r="418">
          <cell r="D418" t="str">
            <v/>
          </cell>
        </row>
        <row r="419">
          <cell r="D419" t="str">
            <v/>
          </cell>
        </row>
        <row r="420">
          <cell r="D420" t="str">
            <v/>
          </cell>
        </row>
        <row r="421">
          <cell r="D421" t="str">
            <v/>
          </cell>
        </row>
        <row r="422">
          <cell r="D422" t="str">
            <v/>
          </cell>
        </row>
        <row r="423">
          <cell r="D423" t="str">
            <v/>
          </cell>
        </row>
        <row r="424">
          <cell r="D424" t="str">
            <v/>
          </cell>
        </row>
        <row r="425">
          <cell r="D425" t="str">
            <v/>
          </cell>
        </row>
        <row r="426">
          <cell r="D426" t="str">
            <v/>
          </cell>
        </row>
        <row r="427">
          <cell r="D427" t="str">
            <v/>
          </cell>
        </row>
        <row r="428">
          <cell r="D428" t="str">
            <v/>
          </cell>
        </row>
        <row r="429">
          <cell r="D429" t="str">
            <v/>
          </cell>
        </row>
        <row r="430">
          <cell r="D430" t="str">
            <v/>
          </cell>
        </row>
        <row r="431">
          <cell r="D431" t="str">
            <v/>
          </cell>
        </row>
        <row r="432">
          <cell r="D432" t="str">
            <v/>
          </cell>
        </row>
        <row r="433">
          <cell r="D433" t="str">
            <v/>
          </cell>
        </row>
        <row r="437">
          <cell r="D437" t="str">
            <v/>
          </cell>
        </row>
        <row r="438">
          <cell r="D438" t="str">
            <v/>
          </cell>
        </row>
        <row r="439">
          <cell r="D439" t="str">
            <v/>
          </cell>
        </row>
        <row r="440">
          <cell r="D440" t="str">
            <v/>
          </cell>
        </row>
        <row r="441">
          <cell r="D441" t="str">
            <v/>
          </cell>
        </row>
        <row r="442">
          <cell r="D442" t="str">
            <v/>
          </cell>
        </row>
        <row r="443">
          <cell r="D443" t="str">
            <v/>
          </cell>
        </row>
        <row r="444">
          <cell r="D444" t="str">
            <v/>
          </cell>
        </row>
        <row r="445">
          <cell r="D445" t="str">
            <v/>
          </cell>
        </row>
        <row r="446">
          <cell r="D446" t="str">
            <v/>
          </cell>
        </row>
        <row r="447">
          <cell r="D447" t="str">
            <v/>
          </cell>
        </row>
        <row r="448">
          <cell r="D448" t="str">
            <v/>
          </cell>
        </row>
        <row r="449">
          <cell r="D449" t="str">
            <v/>
          </cell>
        </row>
        <row r="450">
          <cell r="D450" t="str">
            <v/>
          </cell>
        </row>
        <row r="451">
          <cell r="D451" t="str">
            <v/>
          </cell>
        </row>
        <row r="452">
          <cell r="D452" t="str">
            <v/>
          </cell>
        </row>
        <row r="453">
          <cell r="D453" t="str">
            <v/>
          </cell>
        </row>
        <row r="454">
          <cell r="D454" t="str">
            <v/>
          </cell>
        </row>
        <row r="455">
          <cell r="D455" t="str">
            <v/>
          </cell>
        </row>
        <row r="456">
          <cell r="D456" t="str">
            <v/>
          </cell>
        </row>
        <row r="457">
          <cell r="D457" t="str">
            <v/>
          </cell>
        </row>
        <row r="458">
          <cell r="D458" t="str">
            <v/>
          </cell>
        </row>
        <row r="459">
          <cell r="D459" t="str">
            <v/>
          </cell>
        </row>
        <row r="460">
          <cell r="D460" t="str">
            <v/>
          </cell>
        </row>
        <row r="461">
          <cell r="D461" t="str">
            <v/>
          </cell>
        </row>
        <row r="462">
          <cell r="D462" t="str">
            <v/>
          </cell>
        </row>
        <row r="463">
          <cell r="D463" t="str">
            <v/>
          </cell>
        </row>
        <row r="464">
          <cell r="D464" t="str">
            <v/>
          </cell>
        </row>
        <row r="465">
          <cell r="D465" t="str">
            <v/>
          </cell>
        </row>
        <row r="466">
          <cell r="D466" t="str">
            <v/>
          </cell>
        </row>
        <row r="467">
          <cell r="D467" t="str">
            <v/>
          </cell>
        </row>
        <row r="468">
          <cell r="D468" t="str">
            <v/>
          </cell>
        </row>
        <row r="469">
          <cell r="D469" t="str">
            <v/>
          </cell>
        </row>
        <row r="470">
          <cell r="D470" t="str">
            <v/>
          </cell>
        </row>
        <row r="471">
          <cell r="D471" t="str">
            <v/>
          </cell>
        </row>
        <row r="475">
          <cell r="D475" t="str">
            <v/>
          </cell>
        </row>
        <row r="476">
          <cell r="D476" t="str">
            <v/>
          </cell>
        </row>
        <row r="477">
          <cell r="D477" t="str">
            <v/>
          </cell>
        </row>
        <row r="478">
          <cell r="D478" t="str">
            <v/>
          </cell>
        </row>
        <row r="479">
          <cell r="D479" t="str">
            <v/>
          </cell>
        </row>
        <row r="480">
          <cell r="D480" t="str">
            <v/>
          </cell>
        </row>
        <row r="481">
          <cell r="D481" t="str">
            <v/>
          </cell>
        </row>
        <row r="482">
          <cell r="D482" t="str">
            <v/>
          </cell>
        </row>
        <row r="483">
          <cell r="D483" t="str">
            <v/>
          </cell>
        </row>
        <row r="484">
          <cell r="D484" t="str">
            <v/>
          </cell>
        </row>
        <row r="485">
          <cell r="D485" t="str">
            <v/>
          </cell>
        </row>
        <row r="486">
          <cell r="D486" t="str">
            <v/>
          </cell>
        </row>
        <row r="487">
          <cell r="D487" t="str">
            <v/>
          </cell>
        </row>
        <row r="488">
          <cell r="D488" t="str">
            <v/>
          </cell>
        </row>
        <row r="489">
          <cell r="D489" t="str">
            <v/>
          </cell>
        </row>
        <row r="490">
          <cell r="D490" t="str">
            <v/>
          </cell>
        </row>
        <row r="491">
          <cell r="D491" t="str">
            <v/>
          </cell>
        </row>
        <row r="492">
          <cell r="D492" t="str">
            <v/>
          </cell>
        </row>
        <row r="493">
          <cell r="D493" t="str">
            <v/>
          </cell>
        </row>
        <row r="494">
          <cell r="D494" t="str">
            <v/>
          </cell>
        </row>
        <row r="495">
          <cell r="D495" t="str">
            <v/>
          </cell>
        </row>
        <row r="496">
          <cell r="D496" t="str">
            <v/>
          </cell>
        </row>
        <row r="497">
          <cell r="D497" t="str">
            <v/>
          </cell>
        </row>
        <row r="498">
          <cell r="D498" t="str">
            <v/>
          </cell>
        </row>
        <row r="499">
          <cell r="D499" t="str">
            <v/>
          </cell>
        </row>
        <row r="500">
          <cell r="D500" t="str">
            <v/>
          </cell>
        </row>
        <row r="501">
          <cell r="D501" t="str">
            <v/>
          </cell>
        </row>
        <row r="502">
          <cell r="D502" t="str">
            <v/>
          </cell>
        </row>
        <row r="503">
          <cell r="D503" t="str">
            <v/>
          </cell>
        </row>
        <row r="504">
          <cell r="D504" t="str">
            <v/>
          </cell>
        </row>
        <row r="505">
          <cell r="D505" t="str">
            <v/>
          </cell>
        </row>
        <row r="506">
          <cell r="D506" t="str">
            <v/>
          </cell>
        </row>
        <row r="507">
          <cell r="D507" t="str">
            <v/>
          </cell>
        </row>
        <row r="508">
          <cell r="D508" t="str">
            <v/>
          </cell>
        </row>
        <row r="509">
          <cell r="D509" t="str">
            <v/>
          </cell>
        </row>
        <row r="513">
          <cell r="D513" t="str">
            <v/>
          </cell>
        </row>
        <row r="514">
          <cell r="D514" t="str">
            <v/>
          </cell>
        </row>
        <row r="515">
          <cell r="D515" t="str">
            <v/>
          </cell>
        </row>
        <row r="516">
          <cell r="D516" t="str">
            <v/>
          </cell>
        </row>
        <row r="517">
          <cell r="D517" t="str">
            <v/>
          </cell>
        </row>
        <row r="518">
          <cell r="D518" t="str">
            <v/>
          </cell>
        </row>
        <row r="519">
          <cell r="D519" t="str">
            <v/>
          </cell>
        </row>
        <row r="520">
          <cell r="D520" t="str">
            <v/>
          </cell>
        </row>
        <row r="521">
          <cell r="D521" t="str">
            <v/>
          </cell>
        </row>
        <row r="522">
          <cell r="D522" t="str">
            <v/>
          </cell>
        </row>
        <row r="523">
          <cell r="D523" t="str">
            <v/>
          </cell>
        </row>
        <row r="524">
          <cell r="D524" t="str">
            <v/>
          </cell>
        </row>
        <row r="525">
          <cell r="D525" t="str">
            <v/>
          </cell>
        </row>
        <row r="526">
          <cell r="D526" t="str">
            <v/>
          </cell>
        </row>
        <row r="527">
          <cell r="D527" t="str">
            <v/>
          </cell>
        </row>
        <row r="528">
          <cell r="D528" t="str">
            <v/>
          </cell>
        </row>
        <row r="529">
          <cell r="D529" t="str">
            <v/>
          </cell>
        </row>
        <row r="530">
          <cell r="D530" t="str">
            <v/>
          </cell>
        </row>
        <row r="531">
          <cell r="D531" t="str">
            <v/>
          </cell>
        </row>
        <row r="532">
          <cell r="D532" t="str">
            <v/>
          </cell>
        </row>
        <row r="533">
          <cell r="D533" t="str">
            <v/>
          </cell>
        </row>
        <row r="534">
          <cell r="D534" t="str">
            <v/>
          </cell>
        </row>
        <row r="535">
          <cell r="D535" t="str">
            <v/>
          </cell>
        </row>
        <row r="536">
          <cell r="D536" t="str">
            <v/>
          </cell>
        </row>
        <row r="537">
          <cell r="D537" t="str">
            <v/>
          </cell>
        </row>
        <row r="538">
          <cell r="D538" t="str">
            <v/>
          </cell>
        </row>
        <row r="539">
          <cell r="D539" t="str">
            <v/>
          </cell>
        </row>
        <row r="540">
          <cell r="D540" t="str">
            <v/>
          </cell>
        </row>
        <row r="541">
          <cell r="D541" t="str">
            <v/>
          </cell>
        </row>
        <row r="542">
          <cell r="D542" t="str">
            <v/>
          </cell>
        </row>
        <row r="543">
          <cell r="D543" t="str">
            <v/>
          </cell>
        </row>
        <row r="544">
          <cell r="D544" t="str">
            <v/>
          </cell>
        </row>
        <row r="545">
          <cell r="D545" t="str">
            <v/>
          </cell>
        </row>
        <row r="546">
          <cell r="D546" t="str">
            <v/>
          </cell>
        </row>
        <row r="547">
          <cell r="D547" t="str">
            <v/>
          </cell>
        </row>
        <row r="551">
          <cell r="D551" t="str">
            <v/>
          </cell>
        </row>
        <row r="552">
          <cell r="D552" t="str">
            <v/>
          </cell>
        </row>
        <row r="553">
          <cell r="D553" t="str">
            <v/>
          </cell>
        </row>
        <row r="554">
          <cell r="D554" t="str">
            <v/>
          </cell>
        </row>
        <row r="555">
          <cell r="D555" t="str">
            <v/>
          </cell>
        </row>
        <row r="556">
          <cell r="D556" t="str">
            <v/>
          </cell>
        </row>
        <row r="557">
          <cell r="D557" t="str">
            <v/>
          </cell>
        </row>
        <row r="558">
          <cell r="D558" t="str">
            <v/>
          </cell>
        </row>
        <row r="559">
          <cell r="D559" t="str">
            <v/>
          </cell>
        </row>
        <row r="560">
          <cell r="D560" t="str">
            <v/>
          </cell>
        </row>
        <row r="561">
          <cell r="D561" t="str">
            <v/>
          </cell>
        </row>
        <row r="562">
          <cell r="D562" t="str">
            <v/>
          </cell>
        </row>
        <row r="563">
          <cell r="D563" t="str">
            <v/>
          </cell>
        </row>
        <row r="564">
          <cell r="D564" t="str">
            <v/>
          </cell>
        </row>
        <row r="565">
          <cell r="D565" t="str">
            <v/>
          </cell>
        </row>
        <row r="566">
          <cell r="D566" t="str">
            <v/>
          </cell>
        </row>
        <row r="567">
          <cell r="D567" t="str">
            <v/>
          </cell>
        </row>
        <row r="568">
          <cell r="D568" t="str">
            <v/>
          </cell>
        </row>
        <row r="569">
          <cell r="D569" t="str">
            <v/>
          </cell>
        </row>
        <row r="570">
          <cell r="D570" t="str">
            <v/>
          </cell>
        </row>
        <row r="571">
          <cell r="D571" t="str">
            <v/>
          </cell>
        </row>
        <row r="572">
          <cell r="D572" t="str">
            <v/>
          </cell>
        </row>
        <row r="573">
          <cell r="D573" t="str">
            <v/>
          </cell>
        </row>
        <row r="574">
          <cell r="D574" t="str">
            <v/>
          </cell>
        </row>
        <row r="575">
          <cell r="D575" t="str">
            <v/>
          </cell>
        </row>
        <row r="576">
          <cell r="D576" t="str">
            <v/>
          </cell>
        </row>
        <row r="577">
          <cell r="D577" t="str">
            <v/>
          </cell>
        </row>
        <row r="578">
          <cell r="D578" t="str">
            <v/>
          </cell>
        </row>
        <row r="579">
          <cell r="D579" t="str">
            <v/>
          </cell>
        </row>
        <row r="580">
          <cell r="D580" t="str">
            <v/>
          </cell>
        </row>
        <row r="581">
          <cell r="D581" t="str">
            <v/>
          </cell>
        </row>
        <row r="582">
          <cell r="D582" t="str">
            <v/>
          </cell>
        </row>
        <row r="583">
          <cell r="D583" t="str">
            <v/>
          </cell>
        </row>
        <row r="584">
          <cell r="D584" t="str">
            <v/>
          </cell>
        </row>
        <row r="585">
          <cell r="D585" t="str">
            <v/>
          </cell>
        </row>
        <row r="589">
          <cell r="D589" t="str">
            <v/>
          </cell>
        </row>
        <row r="590">
          <cell r="D590" t="str">
            <v/>
          </cell>
        </row>
        <row r="591">
          <cell r="D591" t="str">
            <v/>
          </cell>
        </row>
        <row r="592">
          <cell r="D592" t="str">
            <v/>
          </cell>
        </row>
        <row r="593">
          <cell r="D593" t="str">
            <v/>
          </cell>
        </row>
        <row r="594">
          <cell r="D594" t="str">
            <v/>
          </cell>
        </row>
        <row r="595">
          <cell r="D595" t="str">
            <v/>
          </cell>
        </row>
        <row r="596">
          <cell r="D596" t="str">
            <v/>
          </cell>
        </row>
        <row r="597">
          <cell r="D597" t="str">
            <v/>
          </cell>
        </row>
        <row r="598">
          <cell r="D598" t="str">
            <v/>
          </cell>
        </row>
        <row r="599">
          <cell r="D599" t="str">
            <v/>
          </cell>
        </row>
        <row r="600">
          <cell r="D600" t="str">
            <v/>
          </cell>
        </row>
        <row r="601">
          <cell r="D601" t="str">
            <v/>
          </cell>
        </row>
        <row r="602">
          <cell r="D602" t="str">
            <v/>
          </cell>
        </row>
        <row r="603">
          <cell r="D603" t="str">
            <v/>
          </cell>
        </row>
        <row r="604">
          <cell r="D604" t="str">
            <v/>
          </cell>
        </row>
        <row r="605">
          <cell r="D605" t="str">
            <v/>
          </cell>
        </row>
        <row r="606">
          <cell r="D606" t="str">
            <v/>
          </cell>
        </row>
        <row r="607">
          <cell r="D607" t="str">
            <v/>
          </cell>
        </row>
        <row r="608">
          <cell r="D608" t="str">
            <v/>
          </cell>
        </row>
        <row r="609">
          <cell r="D609" t="str">
            <v/>
          </cell>
        </row>
        <row r="610">
          <cell r="D610" t="str">
            <v/>
          </cell>
        </row>
        <row r="611">
          <cell r="D611" t="str">
            <v/>
          </cell>
        </row>
        <row r="612">
          <cell r="D612" t="str">
            <v/>
          </cell>
        </row>
        <row r="613">
          <cell r="D613" t="str">
            <v/>
          </cell>
        </row>
        <row r="614">
          <cell r="D614" t="str">
            <v/>
          </cell>
        </row>
        <row r="615">
          <cell r="D615" t="str">
            <v/>
          </cell>
        </row>
        <row r="616">
          <cell r="D616" t="str">
            <v/>
          </cell>
        </row>
        <row r="617">
          <cell r="D617" t="str">
            <v/>
          </cell>
        </row>
        <row r="618">
          <cell r="D618" t="str">
            <v/>
          </cell>
        </row>
        <row r="619">
          <cell r="D619" t="str">
            <v/>
          </cell>
        </row>
        <row r="620">
          <cell r="D620" t="str">
            <v/>
          </cell>
        </row>
        <row r="621">
          <cell r="D621" t="str">
            <v/>
          </cell>
        </row>
        <row r="622">
          <cell r="D622" t="str">
            <v/>
          </cell>
        </row>
        <row r="623">
          <cell r="D623" t="str">
            <v/>
          </cell>
        </row>
        <row r="627">
          <cell r="D627" t="str">
            <v/>
          </cell>
        </row>
        <row r="628">
          <cell r="D628" t="str">
            <v/>
          </cell>
        </row>
        <row r="629">
          <cell r="D629" t="str">
            <v/>
          </cell>
        </row>
        <row r="630">
          <cell r="D630" t="str">
            <v/>
          </cell>
        </row>
        <row r="631">
          <cell r="D631" t="str">
            <v/>
          </cell>
        </row>
        <row r="632">
          <cell r="D632" t="str">
            <v/>
          </cell>
        </row>
        <row r="633">
          <cell r="D633" t="str">
            <v/>
          </cell>
        </row>
        <row r="634">
          <cell r="D634" t="str">
            <v/>
          </cell>
        </row>
        <row r="635">
          <cell r="D635" t="str">
            <v/>
          </cell>
        </row>
        <row r="636">
          <cell r="D636" t="str">
            <v/>
          </cell>
        </row>
        <row r="637">
          <cell r="D637" t="str">
            <v/>
          </cell>
        </row>
        <row r="638">
          <cell r="D638" t="str">
            <v/>
          </cell>
        </row>
        <row r="639">
          <cell r="D639" t="str">
            <v/>
          </cell>
        </row>
        <row r="640">
          <cell r="D640" t="str">
            <v/>
          </cell>
        </row>
        <row r="641">
          <cell r="D641" t="str">
            <v/>
          </cell>
        </row>
        <row r="642">
          <cell r="D642" t="str">
            <v/>
          </cell>
        </row>
        <row r="643">
          <cell r="D643" t="str">
            <v/>
          </cell>
        </row>
        <row r="644">
          <cell r="D644" t="str">
            <v/>
          </cell>
        </row>
        <row r="645">
          <cell r="D645" t="str">
            <v/>
          </cell>
        </row>
        <row r="646">
          <cell r="D646" t="str">
            <v/>
          </cell>
        </row>
        <row r="647">
          <cell r="D647" t="str">
            <v/>
          </cell>
        </row>
        <row r="648">
          <cell r="D648" t="str">
            <v/>
          </cell>
        </row>
        <row r="649">
          <cell r="D649" t="str">
            <v/>
          </cell>
        </row>
        <row r="650">
          <cell r="D650" t="str">
            <v/>
          </cell>
        </row>
        <row r="651">
          <cell r="D651" t="str">
            <v/>
          </cell>
        </row>
        <row r="652">
          <cell r="D652" t="str">
            <v/>
          </cell>
        </row>
        <row r="653">
          <cell r="D653" t="str">
            <v/>
          </cell>
        </row>
        <row r="654">
          <cell r="D654" t="str">
            <v/>
          </cell>
        </row>
        <row r="655">
          <cell r="D655" t="str">
            <v/>
          </cell>
        </row>
        <row r="656">
          <cell r="D656" t="str">
            <v/>
          </cell>
        </row>
        <row r="657">
          <cell r="D657" t="str">
            <v/>
          </cell>
        </row>
        <row r="658">
          <cell r="D658" t="str">
            <v/>
          </cell>
        </row>
        <row r="659">
          <cell r="D659" t="str">
            <v/>
          </cell>
        </row>
        <row r="660">
          <cell r="D660" t="str">
            <v/>
          </cell>
        </row>
        <row r="661">
          <cell r="D661" t="str">
            <v/>
          </cell>
        </row>
        <row r="665">
          <cell r="D665" t="str">
            <v/>
          </cell>
        </row>
        <row r="666">
          <cell r="D666" t="str">
            <v/>
          </cell>
        </row>
        <row r="667">
          <cell r="D667" t="str">
            <v/>
          </cell>
        </row>
        <row r="668">
          <cell r="D668" t="str">
            <v/>
          </cell>
        </row>
        <row r="669">
          <cell r="D669" t="str">
            <v/>
          </cell>
        </row>
        <row r="670">
          <cell r="D670" t="str">
            <v/>
          </cell>
        </row>
        <row r="671">
          <cell r="D671" t="str">
            <v/>
          </cell>
        </row>
        <row r="672">
          <cell r="D672" t="str">
            <v/>
          </cell>
        </row>
        <row r="673">
          <cell r="D673" t="str">
            <v/>
          </cell>
        </row>
        <row r="674">
          <cell r="D674" t="str">
            <v/>
          </cell>
        </row>
        <row r="675">
          <cell r="D675" t="str">
            <v/>
          </cell>
        </row>
        <row r="676">
          <cell r="D676" t="str">
            <v/>
          </cell>
        </row>
        <row r="677">
          <cell r="D677" t="str">
            <v/>
          </cell>
        </row>
        <row r="678">
          <cell r="D678" t="str">
            <v/>
          </cell>
        </row>
        <row r="679">
          <cell r="D679" t="str">
            <v/>
          </cell>
        </row>
        <row r="680">
          <cell r="D680" t="str">
            <v/>
          </cell>
        </row>
        <row r="681">
          <cell r="D681" t="str">
            <v/>
          </cell>
        </row>
        <row r="682">
          <cell r="D682" t="str">
            <v/>
          </cell>
        </row>
        <row r="683">
          <cell r="D683" t="str">
            <v/>
          </cell>
        </row>
        <row r="684">
          <cell r="D684" t="str">
            <v/>
          </cell>
        </row>
        <row r="685">
          <cell r="D685" t="str">
            <v/>
          </cell>
        </row>
        <row r="686">
          <cell r="D686" t="str">
            <v/>
          </cell>
        </row>
        <row r="687">
          <cell r="D687" t="str">
            <v/>
          </cell>
        </row>
        <row r="688">
          <cell r="D688" t="str">
            <v/>
          </cell>
        </row>
        <row r="689">
          <cell r="D689" t="str">
            <v/>
          </cell>
        </row>
        <row r="690">
          <cell r="D690" t="str">
            <v/>
          </cell>
        </row>
        <row r="691">
          <cell r="D691" t="str">
            <v/>
          </cell>
        </row>
        <row r="692">
          <cell r="D692" t="str">
            <v/>
          </cell>
        </row>
        <row r="693">
          <cell r="D693" t="str">
            <v/>
          </cell>
        </row>
        <row r="694">
          <cell r="D694" t="str">
            <v/>
          </cell>
        </row>
        <row r="695">
          <cell r="D695" t="str">
            <v/>
          </cell>
        </row>
        <row r="696">
          <cell r="D696" t="str">
            <v/>
          </cell>
        </row>
        <row r="697">
          <cell r="D697" t="str">
            <v/>
          </cell>
        </row>
        <row r="698">
          <cell r="D698" t="str">
            <v/>
          </cell>
        </row>
        <row r="699">
          <cell r="D699" t="str">
            <v/>
          </cell>
        </row>
        <row r="703">
          <cell r="D703" t="str">
            <v/>
          </cell>
        </row>
        <row r="704">
          <cell r="D704" t="str">
            <v/>
          </cell>
        </row>
        <row r="705">
          <cell r="D705" t="str">
            <v/>
          </cell>
        </row>
        <row r="706">
          <cell r="D706" t="str">
            <v/>
          </cell>
        </row>
        <row r="707">
          <cell r="D707" t="str">
            <v/>
          </cell>
        </row>
        <row r="708">
          <cell r="D708" t="str">
            <v/>
          </cell>
        </row>
        <row r="709">
          <cell r="D709" t="str">
            <v/>
          </cell>
        </row>
        <row r="710">
          <cell r="D710" t="str">
            <v/>
          </cell>
        </row>
        <row r="711">
          <cell r="D711" t="str">
            <v/>
          </cell>
        </row>
        <row r="712">
          <cell r="D712" t="str">
            <v/>
          </cell>
        </row>
        <row r="713">
          <cell r="D713" t="str">
            <v/>
          </cell>
        </row>
        <row r="714">
          <cell r="D714" t="str">
            <v/>
          </cell>
        </row>
        <row r="715">
          <cell r="D715" t="str">
            <v/>
          </cell>
        </row>
        <row r="716">
          <cell r="D716" t="str">
            <v/>
          </cell>
        </row>
        <row r="717">
          <cell r="D717" t="str">
            <v/>
          </cell>
        </row>
        <row r="718">
          <cell r="D718" t="str">
            <v/>
          </cell>
        </row>
        <row r="719">
          <cell r="D719" t="str">
            <v/>
          </cell>
        </row>
        <row r="720">
          <cell r="D720" t="str">
            <v/>
          </cell>
        </row>
        <row r="721">
          <cell r="D721" t="str">
            <v/>
          </cell>
        </row>
        <row r="722">
          <cell r="D722" t="str">
            <v/>
          </cell>
        </row>
        <row r="723">
          <cell r="D723" t="str">
            <v/>
          </cell>
        </row>
        <row r="724">
          <cell r="D724" t="str">
            <v/>
          </cell>
        </row>
        <row r="725">
          <cell r="D725" t="str">
            <v/>
          </cell>
        </row>
        <row r="726">
          <cell r="D726" t="str">
            <v/>
          </cell>
        </row>
        <row r="727">
          <cell r="D727" t="str">
            <v/>
          </cell>
        </row>
        <row r="728">
          <cell r="D728" t="str">
            <v/>
          </cell>
        </row>
        <row r="729">
          <cell r="D729" t="str">
            <v/>
          </cell>
        </row>
        <row r="730">
          <cell r="D730" t="str">
            <v/>
          </cell>
        </row>
        <row r="731">
          <cell r="D731" t="str">
            <v/>
          </cell>
        </row>
        <row r="732">
          <cell r="D732" t="str">
            <v/>
          </cell>
        </row>
        <row r="733">
          <cell r="D733" t="str">
            <v/>
          </cell>
        </row>
        <row r="734">
          <cell r="D734" t="str">
            <v/>
          </cell>
        </row>
        <row r="735">
          <cell r="D735" t="str">
            <v/>
          </cell>
        </row>
        <row r="736">
          <cell r="D736" t="str">
            <v/>
          </cell>
        </row>
        <row r="737">
          <cell r="D737" t="str">
            <v/>
          </cell>
        </row>
        <row r="741">
          <cell r="D741" t="str">
            <v/>
          </cell>
        </row>
        <row r="742">
          <cell r="D742" t="str">
            <v/>
          </cell>
        </row>
        <row r="743">
          <cell r="D743" t="str">
            <v/>
          </cell>
        </row>
        <row r="744">
          <cell r="D744" t="str">
            <v/>
          </cell>
        </row>
        <row r="745">
          <cell r="D745" t="str">
            <v/>
          </cell>
        </row>
        <row r="746">
          <cell r="D746" t="str">
            <v/>
          </cell>
        </row>
        <row r="747">
          <cell r="D747" t="str">
            <v/>
          </cell>
        </row>
        <row r="748">
          <cell r="D748" t="str">
            <v/>
          </cell>
        </row>
        <row r="749">
          <cell r="D749" t="str">
            <v/>
          </cell>
        </row>
        <row r="750">
          <cell r="D750" t="str">
            <v/>
          </cell>
        </row>
        <row r="751">
          <cell r="D751" t="str">
            <v/>
          </cell>
        </row>
        <row r="752">
          <cell r="D752" t="str">
            <v/>
          </cell>
        </row>
        <row r="753">
          <cell r="D753" t="str">
            <v/>
          </cell>
        </row>
        <row r="754">
          <cell r="D754" t="str">
            <v/>
          </cell>
        </row>
        <row r="755">
          <cell r="D755" t="str">
            <v/>
          </cell>
        </row>
        <row r="756">
          <cell r="D756" t="str">
            <v/>
          </cell>
        </row>
        <row r="757">
          <cell r="D757" t="str">
            <v/>
          </cell>
        </row>
        <row r="758">
          <cell r="D758" t="str">
            <v/>
          </cell>
        </row>
        <row r="759">
          <cell r="D759" t="str">
            <v/>
          </cell>
        </row>
        <row r="760">
          <cell r="D760" t="str">
            <v/>
          </cell>
        </row>
        <row r="761">
          <cell r="D761" t="str">
            <v/>
          </cell>
        </row>
        <row r="762">
          <cell r="D762" t="str">
            <v/>
          </cell>
        </row>
        <row r="763">
          <cell r="D763" t="str">
            <v/>
          </cell>
        </row>
        <row r="764">
          <cell r="D764" t="str">
            <v/>
          </cell>
        </row>
        <row r="765">
          <cell r="D765" t="str">
            <v/>
          </cell>
        </row>
        <row r="766">
          <cell r="D766" t="str">
            <v/>
          </cell>
        </row>
        <row r="767">
          <cell r="D767" t="str">
            <v/>
          </cell>
        </row>
        <row r="768">
          <cell r="D768" t="str">
            <v/>
          </cell>
        </row>
        <row r="769">
          <cell r="D769" t="str">
            <v/>
          </cell>
        </row>
        <row r="770">
          <cell r="D770" t="str">
            <v/>
          </cell>
        </row>
        <row r="771">
          <cell r="D771" t="str">
            <v/>
          </cell>
        </row>
        <row r="772">
          <cell r="D772" t="str">
            <v/>
          </cell>
        </row>
        <row r="773">
          <cell r="D773" t="str">
            <v/>
          </cell>
        </row>
        <row r="774">
          <cell r="D774" t="str">
            <v/>
          </cell>
        </row>
        <row r="775">
          <cell r="D775" t="str">
            <v/>
          </cell>
        </row>
      </sheetData>
      <sheetData sheetId="5">
        <row r="19">
          <cell r="D19" t="str">
            <v/>
          </cell>
        </row>
        <row r="20">
          <cell r="D20" t="str">
            <v/>
          </cell>
        </row>
        <row r="21">
          <cell r="D21" t="str">
            <v/>
          </cell>
        </row>
        <row r="22">
          <cell r="D22" t="str">
            <v/>
          </cell>
        </row>
        <row r="23">
          <cell r="D23" t="str">
            <v/>
          </cell>
        </row>
        <row r="24">
          <cell r="D24" t="str">
            <v/>
          </cell>
        </row>
        <row r="25">
          <cell r="D25" t="str">
            <v/>
          </cell>
        </row>
        <row r="26">
          <cell r="D26" t="str">
            <v/>
          </cell>
        </row>
        <row r="27">
          <cell r="D27" t="str">
            <v/>
          </cell>
        </row>
        <row r="28">
          <cell r="D28" t="str">
            <v/>
          </cell>
        </row>
        <row r="29">
          <cell r="D29" t="str">
            <v/>
          </cell>
        </row>
        <row r="30">
          <cell r="D30" t="str">
            <v/>
          </cell>
        </row>
        <row r="31">
          <cell r="D31" t="str">
            <v/>
          </cell>
        </row>
        <row r="32">
          <cell r="D32" t="str">
            <v/>
          </cell>
        </row>
        <row r="33">
          <cell r="D33" t="str">
            <v/>
          </cell>
        </row>
        <row r="34">
          <cell r="D34" t="str">
            <v/>
          </cell>
        </row>
        <row r="35">
          <cell r="D35" t="str">
            <v/>
          </cell>
        </row>
        <row r="36">
          <cell r="D36" t="str">
            <v/>
          </cell>
        </row>
        <row r="37">
          <cell r="D37" t="str">
            <v/>
          </cell>
        </row>
        <row r="38">
          <cell r="D38" t="str">
            <v/>
          </cell>
        </row>
        <row r="39">
          <cell r="D39" t="str">
            <v/>
          </cell>
        </row>
        <row r="40">
          <cell r="D40" t="str">
            <v/>
          </cell>
        </row>
        <row r="41">
          <cell r="D41" t="str">
            <v/>
          </cell>
        </row>
        <row r="42">
          <cell r="D42" t="str">
            <v/>
          </cell>
        </row>
        <row r="43">
          <cell r="D43" t="str">
            <v/>
          </cell>
        </row>
        <row r="44">
          <cell r="D44" t="str">
            <v/>
          </cell>
        </row>
        <row r="45">
          <cell r="D45" t="str">
            <v/>
          </cell>
        </row>
        <row r="46">
          <cell r="D46" t="str">
            <v/>
          </cell>
        </row>
        <row r="47">
          <cell r="D47" t="str">
            <v/>
          </cell>
        </row>
        <row r="48">
          <cell r="D48" t="str">
            <v/>
          </cell>
        </row>
        <row r="49">
          <cell r="D49" t="str">
            <v/>
          </cell>
        </row>
        <row r="50">
          <cell r="D50" t="str">
            <v/>
          </cell>
        </row>
        <row r="51">
          <cell r="D51" t="str">
            <v/>
          </cell>
        </row>
        <row r="52">
          <cell r="D52" t="str">
            <v/>
          </cell>
        </row>
        <row r="53">
          <cell r="D53" t="str">
            <v/>
          </cell>
        </row>
        <row r="57">
          <cell r="D57" t="str">
            <v/>
          </cell>
        </row>
        <row r="58">
          <cell r="D58" t="str">
            <v/>
          </cell>
        </row>
        <row r="59">
          <cell r="D59" t="str">
            <v/>
          </cell>
        </row>
        <row r="60">
          <cell r="D60" t="str">
            <v/>
          </cell>
        </row>
        <row r="61">
          <cell r="D61" t="str">
            <v/>
          </cell>
        </row>
        <row r="62">
          <cell r="D62" t="str">
            <v/>
          </cell>
        </row>
        <row r="63">
          <cell r="D63" t="str">
            <v/>
          </cell>
        </row>
        <row r="64">
          <cell r="D64" t="str">
            <v/>
          </cell>
        </row>
        <row r="65">
          <cell r="D65" t="str">
            <v/>
          </cell>
        </row>
        <row r="66">
          <cell r="D66" t="str">
            <v/>
          </cell>
        </row>
        <row r="67">
          <cell r="D67" t="str">
            <v/>
          </cell>
        </row>
        <row r="68">
          <cell r="D68" t="str">
            <v/>
          </cell>
        </row>
        <row r="69">
          <cell r="D69" t="str">
            <v/>
          </cell>
        </row>
        <row r="70">
          <cell r="D70" t="str">
            <v/>
          </cell>
        </row>
        <row r="71">
          <cell r="D71" t="str">
            <v/>
          </cell>
        </row>
        <row r="72">
          <cell r="D72" t="str">
            <v/>
          </cell>
        </row>
        <row r="73">
          <cell r="D73" t="str">
            <v/>
          </cell>
        </row>
        <row r="74">
          <cell r="D74" t="str">
            <v/>
          </cell>
        </row>
        <row r="75">
          <cell r="D75" t="str">
            <v/>
          </cell>
        </row>
        <row r="76">
          <cell r="D76" t="str">
            <v/>
          </cell>
        </row>
        <row r="77">
          <cell r="D77" t="str">
            <v/>
          </cell>
        </row>
        <row r="78">
          <cell r="D78" t="str">
            <v/>
          </cell>
        </row>
        <row r="79">
          <cell r="D79" t="str">
            <v/>
          </cell>
        </row>
        <row r="80">
          <cell r="D80" t="str">
            <v/>
          </cell>
        </row>
        <row r="81">
          <cell r="D81" t="str">
            <v/>
          </cell>
        </row>
        <row r="82">
          <cell r="D82" t="str">
            <v/>
          </cell>
        </row>
        <row r="83">
          <cell r="D83" t="str">
            <v/>
          </cell>
        </row>
        <row r="84">
          <cell r="D84" t="str">
            <v/>
          </cell>
        </row>
        <row r="85">
          <cell r="D85" t="str">
            <v/>
          </cell>
        </row>
        <row r="86">
          <cell r="D86" t="str">
            <v/>
          </cell>
        </row>
        <row r="87">
          <cell r="D87" t="str">
            <v/>
          </cell>
        </row>
        <row r="88">
          <cell r="D88" t="str">
            <v/>
          </cell>
        </row>
        <row r="89">
          <cell r="D89" t="str">
            <v/>
          </cell>
        </row>
        <row r="90">
          <cell r="D90" t="str">
            <v/>
          </cell>
        </row>
        <row r="91">
          <cell r="D91" t="str">
            <v/>
          </cell>
        </row>
        <row r="95">
          <cell r="D95" t="str">
            <v/>
          </cell>
        </row>
        <row r="96">
          <cell r="D96" t="str">
            <v/>
          </cell>
        </row>
        <row r="97">
          <cell r="D97" t="str">
            <v/>
          </cell>
        </row>
        <row r="98">
          <cell r="D98" t="str">
            <v/>
          </cell>
        </row>
        <row r="99">
          <cell r="D99" t="str">
            <v/>
          </cell>
        </row>
        <row r="100">
          <cell r="D100" t="str">
            <v/>
          </cell>
        </row>
        <row r="101">
          <cell r="D101" t="str">
            <v/>
          </cell>
        </row>
        <row r="102">
          <cell r="D102" t="str">
            <v/>
          </cell>
        </row>
        <row r="103">
          <cell r="D103" t="str">
            <v/>
          </cell>
        </row>
        <row r="104">
          <cell r="D104" t="str">
            <v/>
          </cell>
        </row>
        <row r="105">
          <cell r="D105" t="str">
            <v/>
          </cell>
        </row>
        <row r="106">
          <cell r="D106" t="str">
            <v/>
          </cell>
        </row>
        <row r="107">
          <cell r="D107" t="str">
            <v/>
          </cell>
        </row>
        <row r="108">
          <cell r="D108" t="str">
            <v/>
          </cell>
        </row>
        <row r="109">
          <cell r="D109" t="str">
            <v/>
          </cell>
        </row>
        <row r="110">
          <cell r="D110" t="str">
            <v/>
          </cell>
        </row>
        <row r="111">
          <cell r="D111" t="str">
            <v/>
          </cell>
        </row>
        <row r="112">
          <cell r="D112" t="str">
            <v/>
          </cell>
        </row>
        <row r="113">
          <cell r="D113" t="str">
            <v/>
          </cell>
        </row>
        <row r="114">
          <cell r="D114" t="str">
            <v/>
          </cell>
        </row>
        <row r="115">
          <cell r="D115" t="str">
            <v/>
          </cell>
        </row>
        <row r="116">
          <cell r="D116" t="str">
            <v/>
          </cell>
        </row>
        <row r="117">
          <cell r="D117" t="str">
            <v/>
          </cell>
        </row>
        <row r="118">
          <cell r="D118" t="str">
            <v/>
          </cell>
        </row>
        <row r="119">
          <cell r="D119" t="str">
            <v/>
          </cell>
        </row>
        <row r="120">
          <cell r="D120" t="str">
            <v/>
          </cell>
        </row>
        <row r="121">
          <cell r="D121" t="str">
            <v/>
          </cell>
        </row>
        <row r="122">
          <cell r="D122" t="str">
            <v/>
          </cell>
        </row>
        <row r="123">
          <cell r="D123" t="str">
            <v/>
          </cell>
        </row>
        <row r="124">
          <cell r="D124" t="str">
            <v/>
          </cell>
        </row>
        <row r="125">
          <cell r="D125" t="str">
            <v/>
          </cell>
        </row>
        <row r="126">
          <cell r="D126" t="str">
            <v/>
          </cell>
        </row>
        <row r="127">
          <cell r="D127" t="str">
            <v/>
          </cell>
        </row>
        <row r="128">
          <cell r="D128" t="str">
            <v/>
          </cell>
        </row>
        <row r="129">
          <cell r="D129" t="str">
            <v/>
          </cell>
        </row>
        <row r="133">
          <cell r="D133" t="str">
            <v/>
          </cell>
        </row>
        <row r="134">
          <cell r="D134" t="str">
            <v/>
          </cell>
        </row>
        <row r="135">
          <cell r="D135" t="str">
            <v/>
          </cell>
        </row>
        <row r="136">
          <cell r="D136" t="str">
            <v/>
          </cell>
        </row>
        <row r="137">
          <cell r="D137" t="str">
            <v/>
          </cell>
        </row>
        <row r="138">
          <cell r="D138" t="str">
            <v/>
          </cell>
        </row>
        <row r="139">
          <cell r="D139" t="str">
            <v/>
          </cell>
        </row>
        <row r="140">
          <cell r="D140" t="str">
            <v/>
          </cell>
        </row>
        <row r="141">
          <cell r="D141" t="str">
            <v/>
          </cell>
        </row>
        <row r="142">
          <cell r="D142" t="str">
            <v/>
          </cell>
        </row>
        <row r="143">
          <cell r="D143" t="str">
            <v/>
          </cell>
        </row>
        <row r="144">
          <cell r="D144" t="str">
            <v/>
          </cell>
        </row>
        <row r="145">
          <cell r="D145" t="str">
            <v/>
          </cell>
        </row>
        <row r="146">
          <cell r="D146" t="str">
            <v/>
          </cell>
        </row>
        <row r="147">
          <cell r="D147" t="str">
            <v/>
          </cell>
        </row>
        <row r="148">
          <cell r="D148" t="str">
            <v/>
          </cell>
        </row>
        <row r="149">
          <cell r="D149" t="str">
            <v/>
          </cell>
        </row>
        <row r="150">
          <cell r="D150" t="str">
            <v/>
          </cell>
        </row>
        <row r="151">
          <cell r="D151" t="str">
            <v/>
          </cell>
        </row>
        <row r="152">
          <cell r="D152" t="str">
            <v/>
          </cell>
        </row>
        <row r="153">
          <cell r="D153" t="str">
            <v/>
          </cell>
        </row>
        <row r="154">
          <cell r="D154" t="str">
            <v/>
          </cell>
        </row>
        <row r="155">
          <cell r="D155" t="str">
            <v/>
          </cell>
        </row>
        <row r="156">
          <cell r="D156" t="str">
            <v/>
          </cell>
        </row>
        <row r="157">
          <cell r="D157" t="str">
            <v/>
          </cell>
        </row>
        <row r="158">
          <cell r="D158" t="str">
            <v/>
          </cell>
        </row>
        <row r="159">
          <cell r="D159" t="str">
            <v/>
          </cell>
        </row>
        <row r="160">
          <cell r="D160" t="str">
            <v/>
          </cell>
        </row>
        <row r="161">
          <cell r="D161" t="str">
            <v/>
          </cell>
        </row>
        <row r="162">
          <cell r="D162" t="str">
            <v/>
          </cell>
        </row>
        <row r="163">
          <cell r="D163" t="str">
            <v/>
          </cell>
        </row>
        <row r="164">
          <cell r="D164" t="str">
            <v/>
          </cell>
        </row>
        <row r="165">
          <cell r="D165" t="str">
            <v/>
          </cell>
        </row>
        <row r="166">
          <cell r="D166" t="str">
            <v/>
          </cell>
        </row>
        <row r="167">
          <cell r="D167" t="str">
            <v/>
          </cell>
        </row>
        <row r="171">
          <cell r="D171" t="str">
            <v/>
          </cell>
        </row>
        <row r="172">
          <cell r="D172" t="str">
            <v/>
          </cell>
        </row>
        <row r="173">
          <cell r="D173" t="str">
            <v/>
          </cell>
        </row>
        <row r="174">
          <cell r="D174" t="str">
            <v/>
          </cell>
        </row>
        <row r="175">
          <cell r="D175" t="str">
            <v/>
          </cell>
        </row>
        <row r="176">
          <cell r="D176" t="str">
            <v/>
          </cell>
        </row>
        <row r="177">
          <cell r="D177" t="str">
            <v/>
          </cell>
        </row>
        <row r="178">
          <cell r="D178" t="str">
            <v/>
          </cell>
        </row>
        <row r="179">
          <cell r="D179" t="str">
            <v/>
          </cell>
        </row>
        <row r="180">
          <cell r="D180" t="str">
            <v/>
          </cell>
        </row>
        <row r="181">
          <cell r="D181" t="str">
            <v/>
          </cell>
        </row>
        <row r="182">
          <cell r="D182" t="str">
            <v/>
          </cell>
        </row>
        <row r="183">
          <cell r="D183" t="str">
            <v/>
          </cell>
        </row>
        <row r="184">
          <cell r="D184" t="str">
            <v/>
          </cell>
        </row>
        <row r="185">
          <cell r="D185" t="str">
            <v/>
          </cell>
        </row>
        <row r="186">
          <cell r="D186" t="str">
            <v/>
          </cell>
        </row>
        <row r="187">
          <cell r="D187" t="str">
            <v/>
          </cell>
        </row>
        <row r="188">
          <cell r="D188" t="str">
            <v/>
          </cell>
        </row>
        <row r="189">
          <cell r="D189" t="str">
            <v/>
          </cell>
        </row>
        <row r="190">
          <cell r="D190" t="str">
            <v/>
          </cell>
        </row>
        <row r="191">
          <cell r="D191" t="str">
            <v/>
          </cell>
        </row>
        <row r="192">
          <cell r="D192" t="str">
            <v/>
          </cell>
        </row>
        <row r="193">
          <cell r="D193" t="str">
            <v/>
          </cell>
        </row>
        <row r="194">
          <cell r="D194" t="str">
            <v/>
          </cell>
        </row>
        <row r="195">
          <cell r="D195" t="str">
            <v/>
          </cell>
        </row>
        <row r="196">
          <cell r="D196" t="str">
            <v/>
          </cell>
        </row>
        <row r="197">
          <cell r="D197" t="str">
            <v/>
          </cell>
        </row>
        <row r="198">
          <cell r="D198" t="str">
            <v/>
          </cell>
        </row>
        <row r="199">
          <cell r="D199" t="str">
            <v/>
          </cell>
        </row>
        <row r="200">
          <cell r="D200" t="str">
            <v/>
          </cell>
        </row>
        <row r="201">
          <cell r="D201" t="str">
            <v/>
          </cell>
        </row>
        <row r="202">
          <cell r="D202" t="str">
            <v/>
          </cell>
        </row>
        <row r="203">
          <cell r="D203" t="str">
            <v/>
          </cell>
        </row>
        <row r="204">
          <cell r="D204" t="str">
            <v/>
          </cell>
        </row>
        <row r="205">
          <cell r="D205" t="str">
            <v/>
          </cell>
        </row>
        <row r="209">
          <cell r="D209" t="str">
            <v/>
          </cell>
        </row>
        <row r="210">
          <cell r="D210" t="str">
            <v/>
          </cell>
        </row>
        <row r="211">
          <cell r="D211" t="str">
            <v/>
          </cell>
        </row>
        <row r="212">
          <cell r="D212" t="str">
            <v/>
          </cell>
        </row>
        <row r="213">
          <cell r="D213" t="str">
            <v/>
          </cell>
        </row>
        <row r="214">
          <cell r="D214" t="str">
            <v/>
          </cell>
        </row>
        <row r="215">
          <cell r="D215" t="str">
            <v/>
          </cell>
        </row>
        <row r="216">
          <cell r="D216" t="str">
            <v/>
          </cell>
        </row>
        <row r="217">
          <cell r="D217" t="str">
            <v/>
          </cell>
        </row>
        <row r="218">
          <cell r="D218" t="str">
            <v/>
          </cell>
        </row>
        <row r="219">
          <cell r="D219" t="str">
            <v/>
          </cell>
        </row>
        <row r="220">
          <cell r="D220" t="str">
            <v/>
          </cell>
        </row>
        <row r="221">
          <cell r="D221" t="str">
            <v/>
          </cell>
        </row>
        <row r="222">
          <cell r="D222" t="str">
            <v/>
          </cell>
        </row>
        <row r="223">
          <cell r="D223" t="str">
            <v/>
          </cell>
        </row>
        <row r="224">
          <cell r="D224" t="str">
            <v/>
          </cell>
        </row>
        <row r="225">
          <cell r="D225" t="str">
            <v/>
          </cell>
        </row>
        <row r="226">
          <cell r="D226" t="str">
            <v/>
          </cell>
        </row>
        <row r="227">
          <cell r="D227" t="str">
            <v/>
          </cell>
        </row>
        <row r="228">
          <cell r="D228" t="str">
            <v/>
          </cell>
        </row>
        <row r="229">
          <cell r="D229" t="str">
            <v/>
          </cell>
        </row>
        <row r="230">
          <cell r="D230" t="str">
            <v/>
          </cell>
        </row>
        <row r="231">
          <cell r="D231" t="str">
            <v/>
          </cell>
        </row>
        <row r="232">
          <cell r="D232" t="str">
            <v/>
          </cell>
        </row>
        <row r="233">
          <cell r="D233" t="str">
            <v/>
          </cell>
        </row>
        <row r="234">
          <cell r="D234" t="str">
            <v/>
          </cell>
        </row>
        <row r="235">
          <cell r="D235" t="str">
            <v/>
          </cell>
        </row>
        <row r="236">
          <cell r="D236" t="str">
            <v/>
          </cell>
        </row>
        <row r="237">
          <cell r="D237" t="str">
            <v/>
          </cell>
        </row>
        <row r="238">
          <cell r="D238" t="str">
            <v/>
          </cell>
        </row>
        <row r="239">
          <cell r="D239" t="str">
            <v/>
          </cell>
        </row>
        <row r="240">
          <cell r="D240" t="str">
            <v/>
          </cell>
        </row>
        <row r="241">
          <cell r="D241" t="str">
            <v/>
          </cell>
        </row>
        <row r="242">
          <cell r="D242" t="str">
            <v/>
          </cell>
        </row>
        <row r="243">
          <cell r="D243" t="str">
            <v/>
          </cell>
        </row>
        <row r="247">
          <cell r="D247" t="str">
            <v/>
          </cell>
        </row>
        <row r="248">
          <cell r="D248" t="str">
            <v/>
          </cell>
        </row>
        <row r="249">
          <cell r="D249" t="str">
            <v/>
          </cell>
        </row>
        <row r="250">
          <cell r="D250" t="str">
            <v/>
          </cell>
        </row>
        <row r="251">
          <cell r="D251" t="str">
            <v/>
          </cell>
        </row>
        <row r="252">
          <cell r="D252" t="str">
            <v/>
          </cell>
        </row>
        <row r="253">
          <cell r="D253" t="str">
            <v/>
          </cell>
        </row>
        <row r="254">
          <cell r="D254" t="str">
            <v/>
          </cell>
        </row>
        <row r="255">
          <cell r="D255" t="str">
            <v/>
          </cell>
        </row>
        <row r="256">
          <cell r="D256" t="str">
            <v/>
          </cell>
        </row>
        <row r="257">
          <cell r="D257" t="str">
            <v/>
          </cell>
        </row>
        <row r="258">
          <cell r="D258" t="str">
            <v/>
          </cell>
        </row>
        <row r="259">
          <cell r="D259" t="str">
            <v/>
          </cell>
        </row>
        <row r="260">
          <cell r="D260" t="str">
            <v/>
          </cell>
        </row>
        <row r="261">
          <cell r="D261" t="str">
            <v/>
          </cell>
        </row>
        <row r="262">
          <cell r="D262" t="str">
            <v/>
          </cell>
        </row>
        <row r="263">
          <cell r="D263" t="str">
            <v/>
          </cell>
        </row>
        <row r="264">
          <cell r="D264" t="str">
            <v/>
          </cell>
        </row>
        <row r="265">
          <cell r="D265" t="str">
            <v/>
          </cell>
        </row>
        <row r="266">
          <cell r="D266" t="str">
            <v/>
          </cell>
        </row>
        <row r="267">
          <cell r="D267" t="str">
            <v/>
          </cell>
        </row>
        <row r="268">
          <cell r="D268" t="str">
            <v/>
          </cell>
        </row>
        <row r="269">
          <cell r="D269" t="str">
            <v/>
          </cell>
        </row>
        <row r="270">
          <cell r="D270" t="str">
            <v/>
          </cell>
        </row>
        <row r="271">
          <cell r="D271" t="str">
            <v/>
          </cell>
        </row>
        <row r="272">
          <cell r="D272" t="str">
            <v/>
          </cell>
        </row>
        <row r="273">
          <cell r="D273" t="str">
            <v/>
          </cell>
        </row>
        <row r="274">
          <cell r="D274" t="str">
            <v/>
          </cell>
        </row>
        <row r="275">
          <cell r="D275" t="str">
            <v/>
          </cell>
        </row>
        <row r="276">
          <cell r="D276" t="str">
            <v/>
          </cell>
        </row>
        <row r="277">
          <cell r="D277" t="str">
            <v/>
          </cell>
        </row>
        <row r="278">
          <cell r="D278" t="str">
            <v/>
          </cell>
        </row>
        <row r="279">
          <cell r="D279" t="str">
            <v/>
          </cell>
        </row>
        <row r="280">
          <cell r="D280" t="str">
            <v/>
          </cell>
        </row>
        <row r="281">
          <cell r="D281" t="str">
            <v/>
          </cell>
        </row>
        <row r="285">
          <cell r="D285" t="str">
            <v/>
          </cell>
        </row>
        <row r="286">
          <cell r="D286" t="str">
            <v/>
          </cell>
        </row>
        <row r="287">
          <cell r="D287" t="str">
            <v/>
          </cell>
        </row>
        <row r="288">
          <cell r="D288" t="str">
            <v/>
          </cell>
        </row>
        <row r="289">
          <cell r="D289" t="str">
            <v/>
          </cell>
        </row>
        <row r="290">
          <cell r="D290" t="str">
            <v/>
          </cell>
        </row>
        <row r="291">
          <cell r="D291" t="str">
            <v/>
          </cell>
        </row>
        <row r="292">
          <cell r="D292" t="str">
            <v/>
          </cell>
        </row>
        <row r="293">
          <cell r="D293" t="str">
            <v/>
          </cell>
        </row>
        <row r="294">
          <cell r="D294" t="str">
            <v/>
          </cell>
        </row>
        <row r="295">
          <cell r="D295" t="str">
            <v/>
          </cell>
        </row>
        <row r="296">
          <cell r="D296" t="str">
            <v/>
          </cell>
        </row>
        <row r="297">
          <cell r="D297" t="str">
            <v/>
          </cell>
        </row>
        <row r="298">
          <cell r="D298" t="str">
            <v/>
          </cell>
        </row>
        <row r="299">
          <cell r="D299" t="str">
            <v/>
          </cell>
        </row>
        <row r="300">
          <cell r="D300" t="str">
            <v/>
          </cell>
        </row>
        <row r="301">
          <cell r="D301" t="str">
            <v/>
          </cell>
        </row>
        <row r="302">
          <cell r="D302" t="str">
            <v/>
          </cell>
        </row>
        <row r="303">
          <cell r="D303" t="str">
            <v/>
          </cell>
        </row>
        <row r="304">
          <cell r="D304" t="str">
            <v/>
          </cell>
        </row>
        <row r="305">
          <cell r="D305" t="str">
            <v/>
          </cell>
        </row>
        <row r="306">
          <cell r="D306" t="str">
            <v/>
          </cell>
        </row>
        <row r="307">
          <cell r="D307" t="str">
            <v/>
          </cell>
        </row>
        <row r="308">
          <cell r="D308" t="str">
            <v/>
          </cell>
        </row>
        <row r="309">
          <cell r="D309" t="str">
            <v/>
          </cell>
        </row>
        <row r="310">
          <cell r="D310" t="str">
            <v/>
          </cell>
        </row>
        <row r="311">
          <cell r="D311" t="str">
            <v/>
          </cell>
        </row>
        <row r="312">
          <cell r="D312" t="str">
            <v/>
          </cell>
        </row>
        <row r="313">
          <cell r="D313" t="str">
            <v/>
          </cell>
        </row>
        <row r="314">
          <cell r="D314" t="str">
            <v/>
          </cell>
        </row>
        <row r="315">
          <cell r="D315" t="str">
            <v/>
          </cell>
        </row>
        <row r="316">
          <cell r="D316" t="str">
            <v/>
          </cell>
        </row>
        <row r="317">
          <cell r="D317" t="str">
            <v/>
          </cell>
        </row>
        <row r="318">
          <cell r="D318" t="str">
            <v/>
          </cell>
        </row>
        <row r="319">
          <cell r="D319" t="str">
            <v/>
          </cell>
        </row>
        <row r="323">
          <cell r="D323" t="str">
            <v/>
          </cell>
        </row>
        <row r="324">
          <cell r="D324" t="str">
            <v/>
          </cell>
        </row>
        <row r="325">
          <cell r="D325" t="str">
            <v/>
          </cell>
        </row>
        <row r="326">
          <cell r="D326" t="str">
            <v/>
          </cell>
        </row>
        <row r="327">
          <cell r="D327" t="str">
            <v/>
          </cell>
        </row>
        <row r="328">
          <cell r="D328" t="str">
            <v/>
          </cell>
        </row>
        <row r="329">
          <cell r="D329" t="str">
            <v/>
          </cell>
        </row>
        <row r="330">
          <cell r="D330" t="str">
            <v/>
          </cell>
        </row>
        <row r="331">
          <cell r="D331" t="str">
            <v/>
          </cell>
        </row>
        <row r="332">
          <cell r="D332" t="str">
            <v/>
          </cell>
        </row>
        <row r="333">
          <cell r="D333" t="str">
            <v/>
          </cell>
        </row>
        <row r="334">
          <cell r="D334" t="str">
            <v/>
          </cell>
        </row>
        <row r="335">
          <cell r="D335" t="str">
            <v/>
          </cell>
        </row>
        <row r="336">
          <cell r="D336" t="str">
            <v/>
          </cell>
        </row>
        <row r="337">
          <cell r="D337" t="str">
            <v/>
          </cell>
        </row>
        <row r="338">
          <cell r="D338" t="str">
            <v/>
          </cell>
        </row>
        <row r="339">
          <cell r="D339" t="str">
            <v/>
          </cell>
        </row>
        <row r="340">
          <cell r="D340" t="str">
            <v/>
          </cell>
        </row>
        <row r="341">
          <cell r="D341" t="str">
            <v/>
          </cell>
        </row>
        <row r="342">
          <cell r="D342" t="str">
            <v/>
          </cell>
        </row>
        <row r="343">
          <cell r="D343" t="str">
            <v/>
          </cell>
        </row>
        <row r="344">
          <cell r="D344" t="str">
            <v/>
          </cell>
        </row>
        <row r="345">
          <cell r="D345" t="str">
            <v/>
          </cell>
        </row>
        <row r="346">
          <cell r="D346" t="str">
            <v/>
          </cell>
        </row>
        <row r="347">
          <cell r="D347" t="str">
            <v/>
          </cell>
        </row>
        <row r="348">
          <cell r="D348" t="str">
            <v/>
          </cell>
        </row>
        <row r="349">
          <cell r="D349" t="str">
            <v/>
          </cell>
        </row>
        <row r="350">
          <cell r="D350" t="str">
            <v/>
          </cell>
        </row>
        <row r="351">
          <cell r="D351" t="str">
            <v/>
          </cell>
        </row>
        <row r="352">
          <cell r="D352" t="str">
            <v/>
          </cell>
        </row>
        <row r="353">
          <cell r="D353" t="str">
            <v/>
          </cell>
        </row>
        <row r="354">
          <cell r="D354" t="str">
            <v/>
          </cell>
        </row>
        <row r="355">
          <cell r="D355" t="str">
            <v/>
          </cell>
        </row>
        <row r="356">
          <cell r="D356" t="str">
            <v/>
          </cell>
        </row>
        <row r="357">
          <cell r="D357" t="str">
            <v/>
          </cell>
        </row>
        <row r="361">
          <cell r="D361" t="str">
            <v/>
          </cell>
        </row>
        <row r="362">
          <cell r="D362" t="str">
            <v/>
          </cell>
        </row>
        <row r="363">
          <cell r="D363" t="str">
            <v/>
          </cell>
        </row>
        <row r="364">
          <cell r="D364" t="str">
            <v/>
          </cell>
        </row>
        <row r="365">
          <cell r="D365" t="str">
            <v/>
          </cell>
        </row>
        <row r="366">
          <cell r="D366" t="str">
            <v/>
          </cell>
        </row>
        <row r="367">
          <cell r="D367" t="str">
            <v/>
          </cell>
        </row>
        <row r="368">
          <cell r="D368" t="str">
            <v/>
          </cell>
        </row>
        <row r="369">
          <cell r="D369" t="str">
            <v/>
          </cell>
        </row>
        <row r="370">
          <cell r="D370" t="str">
            <v/>
          </cell>
        </row>
        <row r="371">
          <cell r="D371" t="str">
            <v/>
          </cell>
        </row>
        <row r="372">
          <cell r="D372" t="str">
            <v/>
          </cell>
        </row>
        <row r="373">
          <cell r="D373" t="str">
            <v/>
          </cell>
        </row>
        <row r="374">
          <cell r="D374" t="str">
            <v/>
          </cell>
        </row>
        <row r="375">
          <cell r="D375" t="str">
            <v/>
          </cell>
        </row>
        <row r="376">
          <cell r="D376" t="str">
            <v/>
          </cell>
        </row>
        <row r="377">
          <cell r="D377" t="str">
            <v/>
          </cell>
        </row>
        <row r="378">
          <cell r="D378" t="str">
            <v/>
          </cell>
        </row>
        <row r="379">
          <cell r="D379" t="str">
            <v/>
          </cell>
        </row>
        <row r="380">
          <cell r="D380" t="str">
            <v/>
          </cell>
        </row>
        <row r="381">
          <cell r="D381" t="str">
            <v/>
          </cell>
        </row>
        <row r="382">
          <cell r="D382" t="str">
            <v/>
          </cell>
        </row>
        <row r="383">
          <cell r="D383" t="str">
            <v/>
          </cell>
        </row>
        <row r="384">
          <cell r="D384" t="str">
            <v/>
          </cell>
        </row>
        <row r="385">
          <cell r="D385" t="str">
            <v/>
          </cell>
        </row>
        <row r="386">
          <cell r="D386" t="str">
            <v/>
          </cell>
        </row>
        <row r="387">
          <cell r="D387" t="str">
            <v/>
          </cell>
        </row>
        <row r="388">
          <cell r="D388" t="str">
            <v/>
          </cell>
        </row>
        <row r="389">
          <cell r="D389" t="str">
            <v/>
          </cell>
        </row>
        <row r="390">
          <cell r="D390" t="str">
            <v/>
          </cell>
        </row>
        <row r="391">
          <cell r="D391" t="str">
            <v/>
          </cell>
        </row>
        <row r="392">
          <cell r="D392" t="str">
            <v/>
          </cell>
        </row>
        <row r="393">
          <cell r="D393" t="str">
            <v/>
          </cell>
        </row>
        <row r="394">
          <cell r="D394" t="str">
            <v/>
          </cell>
        </row>
        <row r="395">
          <cell r="D395" t="str">
            <v/>
          </cell>
        </row>
        <row r="399">
          <cell r="D399" t="str">
            <v/>
          </cell>
        </row>
        <row r="400">
          <cell r="D400" t="str">
            <v/>
          </cell>
        </row>
        <row r="401">
          <cell r="D401" t="str">
            <v/>
          </cell>
        </row>
        <row r="402">
          <cell r="D402" t="str">
            <v/>
          </cell>
        </row>
        <row r="403">
          <cell r="D403" t="str">
            <v/>
          </cell>
        </row>
        <row r="404">
          <cell r="D404" t="str">
            <v/>
          </cell>
        </row>
        <row r="405">
          <cell r="D405" t="str">
            <v/>
          </cell>
        </row>
        <row r="406">
          <cell r="D406" t="str">
            <v/>
          </cell>
        </row>
        <row r="407">
          <cell r="D407" t="str">
            <v/>
          </cell>
        </row>
        <row r="408">
          <cell r="D408" t="str">
            <v/>
          </cell>
        </row>
        <row r="409">
          <cell r="D409" t="str">
            <v/>
          </cell>
        </row>
        <row r="410">
          <cell r="D410" t="str">
            <v/>
          </cell>
        </row>
        <row r="411">
          <cell r="D411" t="str">
            <v/>
          </cell>
        </row>
        <row r="412">
          <cell r="D412" t="str">
            <v/>
          </cell>
        </row>
        <row r="413">
          <cell r="D413" t="str">
            <v/>
          </cell>
        </row>
        <row r="414">
          <cell r="D414" t="str">
            <v/>
          </cell>
        </row>
        <row r="415">
          <cell r="D415" t="str">
            <v/>
          </cell>
        </row>
        <row r="416">
          <cell r="D416" t="str">
            <v/>
          </cell>
        </row>
        <row r="417">
          <cell r="D417" t="str">
            <v/>
          </cell>
        </row>
        <row r="418">
          <cell r="D418" t="str">
            <v/>
          </cell>
        </row>
        <row r="419">
          <cell r="D419" t="str">
            <v/>
          </cell>
        </row>
        <row r="420">
          <cell r="D420" t="str">
            <v/>
          </cell>
        </row>
        <row r="421">
          <cell r="D421" t="str">
            <v/>
          </cell>
        </row>
        <row r="422">
          <cell r="D422" t="str">
            <v/>
          </cell>
        </row>
        <row r="423">
          <cell r="D423" t="str">
            <v/>
          </cell>
        </row>
        <row r="424">
          <cell r="D424" t="str">
            <v/>
          </cell>
        </row>
        <row r="425">
          <cell r="D425" t="str">
            <v/>
          </cell>
        </row>
        <row r="426">
          <cell r="D426" t="str">
            <v/>
          </cell>
        </row>
        <row r="427">
          <cell r="D427" t="str">
            <v/>
          </cell>
        </row>
        <row r="428">
          <cell r="D428" t="str">
            <v/>
          </cell>
        </row>
        <row r="429">
          <cell r="D429" t="str">
            <v/>
          </cell>
        </row>
        <row r="430">
          <cell r="D430" t="str">
            <v/>
          </cell>
        </row>
        <row r="431">
          <cell r="D431" t="str">
            <v/>
          </cell>
        </row>
        <row r="432">
          <cell r="D432" t="str">
            <v/>
          </cell>
        </row>
        <row r="433">
          <cell r="D433" t="str">
            <v/>
          </cell>
        </row>
        <row r="437">
          <cell r="D437" t="str">
            <v/>
          </cell>
        </row>
        <row r="438">
          <cell r="D438" t="str">
            <v/>
          </cell>
        </row>
        <row r="439">
          <cell r="D439" t="str">
            <v/>
          </cell>
        </row>
        <row r="440">
          <cell r="D440" t="str">
            <v/>
          </cell>
        </row>
        <row r="441">
          <cell r="D441" t="str">
            <v/>
          </cell>
        </row>
        <row r="442">
          <cell r="D442" t="str">
            <v/>
          </cell>
        </row>
        <row r="443">
          <cell r="D443" t="str">
            <v/>
          </cell>
        </row>
        <row r="444">
          <cell r="D444" t="str">
            <v/>
          </cell>
        </row>
        <row r="445">
          <cell r="D445" t="str">
            <v/>
          </cell>
        </row>
        <row r="446">
          <cell r="D446" t="str">
            <v/>
          </cell>
        </row>
        <row r="447">
          <cell r="D447" t="str">
            <v/>
          </cell>
        </row>
        <row r="448">
          <cell r="D448" t="str">
            <v/>
          </cell>
        </row>
        <row r="449">
          <cell r="D449" t="str">
            <v/>
          </cell>
        </row>
        <row r="450">
          <cell r="D450" t="str">
            <v/>
          </cell>
        </row>
        <row r="451">
          <cell r="D451" t="str">
            <v/>
          </cell>
        </row>
        <row r="452">
          <cell r="D452" t="str">
            <v/>
          </cell>
        </row>
        <row r="453">
          <cell r="D453" t="str">
            <v/>
          </cell>
        </row>
        <row r="454">
          <cell r="D454" t="str">
            <v/>
          </cell>
        </row>
        <row r="455">
          <cell r="D455" t="str">
            <v/>
          </cell>
        </row>
        <row r="456">
          <cell r="D456" t="str">
            <v/>
          </cell>
        </row>
        <row r="457">
          <cell r="D457" t="str">
            <v/>
          </cell>
        </row>
        <row r="458">
          <cell r="D458" t="str">
            <v/>
          </cell>
        </row>
        <row r="459">
          <cell r="D459" t="str">
            <v/>
          </cell>
        </row>
        <row r="460">
          <cell r="D460" t="str">
            <v/>
          </cell>
        </row>
        <row r="461">
          <cell r="D461" t="str">
            <v/>
          </cell>
        </row>
        <row r="462">
          <cell r="D462" t="str">
            <v/>
          </cell>
        </row>
        <row r="463">
          <cell r="D463" t="str">
            <v/>
          </cell>
        </row>
        <row r="464">
          <cell r="D464" t="str">
            <v/>
          </cell>
        </row>
        <row r="465">
          <cell r="D465" t="str">
            <v/>
          </cell>
        </row>
        <row r="466">
          <cell r="D466" t="str">
            <v/>
          </cell>
        </row>
        <row r="467">
          <cell r="D467" t="str">
            <v/>
          </cell>
        </row>
        <row r="468">
          <cell r="D468" t="str">
            <v/>
          </cell>
        </row>
        <row r="469">
          <cell r="D469" t="str">
            <v/>
          </cell>
        </row>
        <row r="470">
          <cell r="D470" t="str">
            <v/>
          </cell>
        </row>
        <row r="471">
          <cell r="D471" t="str">
            <v/>
          </cell>
        </row>
        <row r="475">
          <cell r="D475" t="str">
            <v/>
          </cell>
        </row>
        <row r="476">
          <cell r="D476" t="str">
            <v/>
          </cell>
        </row>
        <row r="477">
          <cell r="D477" t="str">
            <v/>
          </cell>
        </row>
        <row r="478">
          <cell r="D478" t="str">
            <v/>
          </cell>
        </row>
        <row r="479">
          <cell r="D479" t="str">
            <v/>
          </cell>
        </row>
        <row r="480">
          <cell r="D480" t="str">
            <v/>
          </cell>
        </row>
        <row r="481">
          <cell r="D481" t="str">
            <v/>
          </cell>
        </row>
        <row r="482">
          <cell r="D482" t="str">
            <v/>
          </cell>
        </row>
        <row r="483">
          <cell r="D483" t="str">
            <v/>
          </cell>
        </row>
        <row r="484">
          <cell r="D484" t="str">
            <v/>
          </cell>
        </row>
        <row r="485">
          <cell r="D485" t="str">
            <v/>
          </cell>
        </row>
        <row r="486">
          <cell r="D486" t="str">
            <v/>
          </cell>
        </row>
        <row r="487">
          <cell r="D487" t="str">
            <v/>
          </cell>
        </row>
        <row r="488">
          <cell r="D488" t="str">
            <v/>
          </cell>
        </row>
        <row r="489">
          <cell r="D489" t="str">
            <v/>
          </cell>
        </row>
        <row r="490">
          <cell r="D490" t="str">
            <v/>
          </cell>
        </row>
        <row r="491">
          <cell r="D491" t="str">
            <v/>
          </cell>
        </row>
        <row r="492">
          <cell r="D492" t="str">
            <v/>
          </cell>
        </row>
        <row r="493">
          <cell r="D493" t="str">
            <v/>
          </cell>
        </row>
        <row r="494">
          <cell r="D494" t="str">
            <v/>
          </cell>
        </row>
        <row r="495">
          <cell r="D495" t="str">
            <v/>
          </cell>
        </row>
        <row r="496">
          <cell r="D496" t="str">
            <v/>
          </cell>
        </row>
        <row r="497">
          <cell r="D497" t="str">
            <v/>
          </cell>
        </row>
        <row r="498">
          <cell r="D498" t="str">
            <v/>
          </cell>
        </row>
        <row r="499">
          <cell r="D499" t="str">
            <v/>
          </cell>
        </row>
        <row r="500">
          <cell r="D500" t="str">
            <v/>
          </cell>
        </row>
        <row r="501">
          <cell r="D501" t="str">
            <v/>
          </cell>
        </row>
        <row r="502">
          <cell r="D502" t="str">
            <v/>
          </cell>
        </row>
        <row r="503">
          <cell r="D503" t="str">
            <v/>
          </cell>
        </row>
        <row r="504">
          <cell r="D504" t="str">
            <v/>
          </cell>
        </row>
        <row r="505">
          <cell r="D505" t="str">
            <v/>
          </cell>
        </row>
        <row r="506">
          <cell r="D506" t="str">
            <v/>
          </cell>
        </row>
        <row r="507">
          <cell r="D507" t="str">
            <v/>
          </cell>
        </row>
        <row r="508">
          <cell r="D508" t="str">
            <v/>
          </cell>
        </row>
        <row r="509">
          <cell r="D509" t="str">
            <v/>
          </cell>
        </row>
        <row r="513">
          <cell r="D513" t="str">
            <v/>
          </cell>
        </row>
        <row r="514">
          <cell r="D514" t="str">
            <v/>
          </cell>
        </row>
        <row r="515">
          <cell r="D515" t="str">
            <v/>
          </cell>
        </row>
        <row r="516">
          <cell r="D516" t="str">
            <v/>
          </cell>
        </row>
        <row r="517">
          <cell r="D517" t="str">
            <v/>
          </cell>
        </row>
        <row r="518">
          <cell r="D518" t="str">
            <v/>
          </cell>
        </row>
        <row r="519">
          <cell r="D519" t="str">
            <v/>
          </cell>
        </row>
        <row r="520">
          <cell r="D520" t="str">
            <v/>
          </cell>
        </row>
        <row r="521">
          <cell r="D521" t="str">
            <v/>
          </cell>
        </row>
        <row r="522">
          <cell r="D522" t="str">
            <v/>
          </cell>
        </row>
        <row r="523">
          <cell r="D523" t="str">
            <v/>
          </cell>
        </row>
        <row r="524">
          <cell r="D524" t="str">
            <v/>
          </cell>
        </row>
        <row r="525">
          <cell r="D525" t="str">
            <v/>
          </cell>
        </row>
        <row r="526">
          <cell r="D526" t="str">
            <v/>
          </cell>
        </row>
        <row r="527">
          <cell r="D527" t="str">
            <v/>
          </cell>
        </row>
        <row r="528">
          <cell r="D528" t="str">
            <v/>
          </cell>
        </row>
        <row r="529">
          <cell r="D529" t="str">
            <v/>
          </cell>
        </row>
        <row r="530">
          <cell r="D530" t="str">
            <v/>
          </cell>
        </row>
        <row r="531">
          <cell r="D531" t="str">
            <v/>
          </cell>
        </row>
        <row r="532">
          <cell r="D532" t="str">
            <v/>
          </cell>
        </row>
        <row r="533">
          <cell r="D533" t="str">
            <v/>
          </cell>
        </row>
        <row r="534">
          <cell r="D534" t="str">
            <v/>
          </cell>
        </row>
        <row r="535">
          <cell r="D535" t="str">
            <v/>
          </cell>
        </row>
        <row r="536">
          <cell r="D536" t="str">
            <v/>
          </cell>
        </row>
        <row r="537">
          <cell r="D537" t="str">
            <v/>
          </cell>
        </row>
        <row r="538">
          <cell r="D538" t="str">
            <v/>
          </cell>
        </row>
        <row r="539">
          <cell r="D539" t="str">
            <v/>
          </cell>
        </row>
        <row r="540">
          <cell r="D540" t="str">
            <v/>
          </cell>
        </row>
        <row r="541">
          <cell r="D541" t="str">
            <v/>
          </cell>
        </row>
        <row r="542">
          <cell r="D542" t="str">
            <v/>
          </cell>
        </row>
        <row r="543">
          <cell r="D543" t="str">
            <v/>
          </cell>
        </row>
        <row r="544">
          <cell r="D544" t="str">
            <v/>
          </cell>
        </row>
        <row r="545">
          <cell r="D545" t="str">
            <v/>
          </cell>
        </row>
        <row r="546">
          <cell r="D546" t="str">
            <v/>
          </cell>
        </row>
        <row r="547">
          <cell r="D547" t="str">
            <v/>
          </cell>
        </row>
        <row r="551">
          <cell r="D551" t="str">
            <v/>
          </cell>
        </row>
        <row r="552">
          <cell r="D552" t="str">
            <v/>
          </cell>
        </row>
        <row r="553">
          <cell r="D553" t="str">
            <v/>
          </cell>
        </row>
        <row r="554">
          <cell r="D554" t="str">
            <v/>
          </cell>
        </row>
        <row r="555">
          <cell r="D555" t="str">
            <v/>
          </cell>
        </row>
        <row r="556">
          <cell r="D556" t="str">
            <v/>
          </cell>
        </row>
        <row r="557">
          <cell r="D557" t="str">
            <v/>
          </cell>
        </row>
        <row r="558">
          <cell r="D558" t="str">
            <v/>
          </cell>
        </row>
        <row r="559">
          <cell r="D559" t="str">
            <v/>
          </cell>
        </row>
        <row r="560">
          <cell r="D560" t="str">
            <v/>
          </cell>
        </row>
        <row r="561">
          <cell r="D561" t="str">
            <v/>
          </cell>
        </row>
        <row r="562">
          <cell r="D562" t="str">
            <v/>
          </cell>
        </row>
        <row r="563">
          <cell r="D563" t="str">
            <v/>
          </cell>
        </row>
        <row r="564">
          <cell r="D564" t="str">
            <v/>
          </cell>
        </row>
        <row r="565">
          <cell r="D565" t="str">
            <v/>
          </cell>
        </row>
        <row r="566">
          <cell r="D566" t="str">
            <v/>
          </cell>
        </row>
        <row r="567">
          <cell r="D567" t="str">
            <v/>
          </cell>
        </row>
        <row r="568">
          <cell r="D568" t="str">
            <v/>
          </cell>
        </row>
        <row r="569">
          <cell r="D569" t="str">
            <v/>
          </cell>
        </row>
        <row r="570">
          <cell r="D570" t="str">
            <v/>
          </cell>
        </row>
        <row r="571">
          <cell r="D571" t="str">
            <v/>
          </cell>
        </row>
        <row r="572">
          <cell r="D572" t="str">
            <v/>
          </cell>
        </row>
        <row r="573">
          <cell r="D573" t="str">
            <v/>
          </cell>
        </row>
        <row r="574">
          <cell r="D574" t="str">
            <v/>
          </cell>
        </row>
        <row r="575">
          <cell r="D575" t="str">
            <v/>
          </cell>
        </row>
        <row r="576">
          <cell r="D576" t="str">
            <v/>
          </cell>
        </row>
        <row r="577">
          <cell r="D577" t="str">
            <v/>
          </cell>
        </row>
        <row r="578">
          <cell r="D578" t="str">
            <v/>
          </cell>
        </row>
        <row r="579">
          <cell r="D579" t="str">
            <v/>
          </cell>
        </row>
        <row r="580">
          <cell r="D580" t="str">
            <v/>
          </cell>
        </row>
        <row r="581">
          <cell r="D581" t="str">
            <v/>
          </cell>
        </row>
        <row r="582">
          <cell r="D582" t="str">
            <v/>
          </cell>
        </row>
        <row r="583">
          <cell r="D583" t="str">
            <v/>
          </cell>
        </row>
        <row r="584">
          <cell r="D584" t="str">
            <v/>
          </cell>
        </row>
        <row r="585">
          <cell r="D585" t="str">
            <v/>
          </cell>
        </row>
        <row r="589">
          <cell r="D589" t="str">
            <v/>
          </cell>
        </row>
        <row r="590">
          <cell r="D590" t="str">
            <v/>
          </cell>
        </row>
        <row r="591">
          <cell r="D591" t="str">
            <v/>
          </cell>
        </row>
        <row r="592">
          <cell r="D592" t="str">
            <v/>
          </cell>
        </row>
        <row r="593">
          <cell r="D593" t="str">
            <v/>
          </cell>
        </row>
        <row r="594">
          <cell r="D594" t="str">
            <v/>
          </cell>
        </row>
        <row r="595">
          <cell r="D595" t="str">
            <v/>
          </cell>
        </row>
        <row r="596">
          <cell r="D596" t="str">
            <v/>
          </cell>
        </row>
        <row r="597">
          <cell r="D597" t="str">
            <v/>
          </cell>
        </row>
        <row r="598">
          <cell r="D598" t="str">
            <v/>
          </cell>
        </row>
        <row r="599">
          <cell r="D599" t="str">
            <v/>
          </cell>
        </row>
        <row r="600">
          <cell r="D600" t="str">
            <v/>
          </cell>
        </row>
        <row r="601">
          <cell r="D601" t="str">
            <v/>
          </cell>
        </row>
        <row r="602">
          <cell r="D602" t="str">
            <v/>
          </cell>
        </row>
        <row r="603">
          <cell r="D603" t="str">
            <v/>
          </cell>
        </row>
        <row r="604">
          <cell r="D604" t="str">
            <v/>
          </cell>
        </row>
        <row r="605">
          <cell r="D605" t="str">
            <v/>
          </cell>
        </row>
        <row r="606">
          <cell r="D606" t="str">
            <v/>
          </cell>
        </row>
        <row r="607">
          <cell r="D607" t="str">
            <v/>
          </cell>
        </row>
        <row r="608">
          <cell r="D608" t="str">
            <v/>
          </cell>
        </row>
        <row r="609">
          <cell r="D609" t="str">
            <v/>
          </cell>
        </row>
        <row r="610">
          <cell r="D610" t="str">
            <v/>
          </cell>
        </row>
        <row r="611">
          <cell r="D611" t="str">
            <v/>
          </cell>
        </row>
        <row r="612">
          <cell r="D612" t="str">
            <v/>
          </cell>
        </row>
        <row r="613">
          <cell r="D613" t="str">
            <v/>
          </cell>
        </row>
        <row r="614">
          <cell r="D614" t="str">
            <v/>
          </cell>
        </row>
        <row r="615">
          <cell r="D615" t="str">
            <v/>
          </cell>
        </row>
        <row r="616">
          <cell r="D616" t="str">
            <v/>
          </cell>
        </row>
        <row r="617">
          <cell r="D617" t="str">
            <v/>
          </cell>
        </row>
        <row r="618">
          <cell r="D618" t="str">
            <v/>
          </cell>
        </row>
        <row r="619">
          <cell r="D619" t="str">
            <v/>
          </cell>
        </row>
        <row r="620">
          <cell r="D620" t="str">
            <v/>
          </cell>
        </row>
        <row r="621">
          <cell r="D621" t="str">
            <v/>
          </cell>
        </row>
        <row r="622">
          <cell r="D622" t="str">
            <v/>
          </cell>
        </row>
        <row r="623">
          <cell r="D623" t="str">
            <v/>
          </cell>
        </row>
        <row r="627">
          <cell r="D627" t="str">
            <v/>
          </cell>
        </row>
        <row r="628">
          <cell r="D628" t="str">
            <v/>
          </cell>
        </row>
        <row r="629">
          <cell r="D629" t="str">
            <v/>
          </cell>
        </row>
        <row r="630">
          <cell r="D630" t="str">
            <v/>
          </cell>
        </row>
        <row r="631">
          <cell r="D631" t="str">
            <v/>
          </cell>
        </row>
        <row r="632">
          <cell r="D632" t="str">
            <v/>
          </cell>
        </row>
        <row r="633">
          <cell r="D633" t="str">
            <v/>
          </cell>
        </row>
        <row r="634">
          <cell r="D634" t="str">
            <v/>
          </cell>
        </row>
        <row r="635">
          <cell r="D635" t="str">
            <v/>
          </cell>
        </row>
        <row r="636">
          <cell r="D636" t="str">
            <v/>
          </cell>
        </row>
        <row r="637">
          <cell r="D637" t="str">
            <v/>
          </cell>
        </row>
        <row r="638">
          <cell r="D638" t="str">
            <v/>
          </cell>
        </row>
        <row r="639">
          <cell r="D639" t="str">
            <v/>
          </cell>
        </row>
        <row r="640">
          <cell r="D640" t="str">
            <v/>
          </cell>
        </row>
        <row r="641">
          <cell r="D641" t="str">
            <v/>
          </cell>
        </row>
        <row r="642">
          <cell r="D642" t="str">
            <v/>
          </cell>
        </row>
        <row r="643">
          <cell r="D643" t="str">
            <v/>
          </cell>
        </row>
        <row r="644">
          <cell r="D644" t="str">
            <v/>
          </cell>
        </row>
        <row r="645">
          <cell r="D645" t="str">
            <v/>
          </cell>
        </row>
        <row r="646">
          <cell r="D646" t="str">
            <v/>
          </cell>
        </row>
        <row r="647">
          <cell r="D647" t="str">
            <v/>
          </cell>
        </row>
        <row r="648">
          <cell r="D648" t="str">
            <v/>
          </cell>
        </row>
        <row r="649">
          <cell r="D649" t="str">
            <v/>
          </cell>
        </row>
        <row r="650">
          <cell r="D650" t="str">
            <v/>
          </cell>
        </row>
        <row r="651">
          <cell r="D651" t="str">
            <v/>
          </cell>
        </row>
        <row r="652">
          <cell r="D652" t="str">
            <v/>
          </cell>
        </row>
        <row r="653">
          <cell r="D653" t="str">
            <v/>
          </cell>
        </row>
        <row r="654">
          <cell r="D654" t="str">
            <v/>
          </cell>
        </row>
        <row r="655">
          <cell r="D655" t="str">
            <v/>
          </cell>
        </row>
        <row r="656">
          <cell r="D656" t="str">
            <v/>
          </cell>
        </row>
        <row r="657">
          <cell r="D657" t="str">
            <v/>
          </cell>
        </row>
        <row r="658">
          <cell r="D658" t="str">
            <v/>
          </cell>
        </row>
        <row r="659">
          <cell r="D659" t="str">
            <v/>
          </cell>
        </row>
        <row r="660">
          <cell r="D660" t="str">
            <v/>
          </cell>
        </row>
        <row r="661">
          <cell r="D661" t="str">
            <v/>
          </cell>
        </row>
      </sheetData>
      <sheetData sheetId="6">
        <row r="19">
          <cell r="D19" t="str">
            <v/>
          </cell>
        </row>
        <row r="20">
          <cell r="D20" t="str">
            <v/>
          </cell>
        </row>
        <row r="21">
          <cell r="D21" t="str">
            <v/>
          </cell>
        </row>
        <row r="22">
          <cell r="D22" t="str">
            <v/>
          </cell>
        </row>
        <row r="23">
          <cell r="D23" t="str">
            <v/>
          </cell>
        </row>
        <row r="24">
          <cell r="D24" t="str">
            <v/>
          </cell>
        </row>
        <row r="25">
          <cell r="D25" t="str">
            <v/>
          </cell>
        </row>
        <row r="26">
          <cell r="D26" t="str">
            <v/>
          </cell>
        </row>
        <row r="27">
          <cell r="D27" t="str">
            <v/>
          </cell>
        </row>
        <row r="28">
          <cell r="D28" t="str">
            <v/>
          </cell>
        </row>
        <row r="29">
          <cell r="D29" t="str">
            <v/>
          </cell>
        </row>
        <row r="30">
          <cell r="D30" t="str">
            <v/>
          </cell>
        </row>
        <row r="31">
          <cell r="D31" t="str">
            <v/>
          </cell>
        </row>
        <row r="32">
          <cell r="D32" t="str">
            <v/>
          </cell>
        </row>
        <row r="33">
          <cell r="D33" t="str">
            <v/>
          </cell>
        </row>
        <row r="34">
          <cell r="D34" t="str">
            <v/>
          </cell>
        </row>
        <row r="35">
          <cell r="D35" t="str">
            <v/>
          </cell>
        </row>
        <row r="36">
          <cell r="D36" t="str">
            <v/>
          </cell>
        </row>
        <row r="37">
          <cell r="D37" t="str">
            <v/>
          </cell>
        </row>
        <row r="38">
          <cell r="D38" t="str">
            <v/>
          </cell>
        </row>
        <row r="39">
          <cell r="D39" t="str">
            <v/>
          </cell>
        </row>
        <row r="40">
          <cell r="D40" t="str">
            <v/>
          </cell>
        </row>
        <row r="41">
          <cell r="D41" t="str">
            <v/>
          </cell>
        </row>
        <row r="42">
          <cell r="D42" t="str">
            <v/>
          </cell>
        </row>
        <row r="43">
          <cell r="D43" t="str">
            <v/>
          </cell>
        </row>
        <row r="44">
          <cell r="D44" t="str">
            <v/>
          </cell>
        </row>
        <row r="45">
          <cell r="D45" t="str">
            <v/>
          </cell>
        </row>
        <row r="46">
          <cell r="D46" t="str">
            <v/>
          </cell>
        </row>
        <row r="47">
          <cell r="D47" t="str">
            <v/>
          </cell>
        </row>
        <row r="48">
          <cell r="D48" t="str">
            <v/>
          </cell>
        </row>
        <row r="49">
          <cell r="D49" t="str">
            <v/>
          </cell>
        </row>
        <row r="50">
          <cell r="D50" t="str">
            <v/>
          </cell>
        </row>
        <row r="51">
          <cell r="D51" t="str">
            <v/>
          </cell>
        </row>
        <row r="52">
          <cell r="D52" t="str">
            <v/>
          </cell>
        </row>
        <row r="53">
          <cell r="D53" t="str">
            <v/>
          </cell>
        </row>
        <row r="57">
          <cell r="D57" t="str">
            <v/>
          </cell>
        </row>
        <row r="58">
          <cell r="D58" t="str">
            <v/>
          </cell>
        </row>
        <row r="59">
          <cell r="D59" t="str">
            <v/>
          </cell>
        </row>
        <row r="60">
          <cell r="D60" t="str">
            <v/>
          </cell>
        </row>
        <row r="61">
          <cell r="D61" t="str">
            <v/>
          </cell>
        </row>
        <row r="62">
          <cell r="D62" t="str">
            <v/>
          </cell>
        </row>
        <row r="63">
          <cell r="D63" t="str">
            <v/>
          </cell>
        </row>
        <row r="64">
          <cell r="D64" t="str">
            <v/>
          </cell>
        </row>
        <row r="65">
          <cell r="D65" t="str">
            <v/>
          </cell>
        </row>
        <row r="66">
          <cell r="D66" t="str">
            <v/>
          </cell>
        </row>
        <row r="67">
          <cell r="D67" t="str">
            <v/>
          </cell>
        </row>
        <row r="68">
          <cell r="D68" t="str">
            <v/>
          </cell>
        </row>
        <row r="69">
          <cell r="D69" t="str">
            <v/>
          </cell>
        </row>
        <row r="70">
          <cell r="D70" t="str">
            <v/>
          </cell>
        </row>
        <row r="71">
          <cell r="D71" t="str">
            <v/>
          </cell>
        </row>
        <row r="72">
          <cell r="D72" t="str">
            <v/>
          </cell>
        </row>
        <row r="73">
          <cell r="D73" t="str">
            <v/>
          </cell>
        </row>
        <row r="74">
          <cell r="D74" t="str">
            <v/>
          </cell>
        </row>
        <row r="75">
          <cell r="D75" t="str">
            <v/>
          </cell>
        </row>
        <row r="76">
          <cell r="D76" t="str">
            <v/>
          </cell>
        </row>
        <row r="77">
          <cell r="D77" t="str">
            <v/>
          </cell>
        </row>
        <row r="78">
          <cell r="D78" t="str">
            <v/>
          </cell>
        </row>
        <row r="79">
          <cell r="D79" t="str">
            <v/>
          </cell>
        </row>
        <row r="80">
          <cell r="D80" t="str">
            <v/>
          </cell>
        </row>
        <row r="81">
          <cell r="D81" t="str">
            <v/>
          </cell>
        </row>
        <row r="82">
          <cell r="D82" t="str">
            <v/>
          </cell>
        </row>
        <row r="83">
          <cell r="D83" t="str">
            <v/>
          </cell>
        </row>
        <row r="84">
          <cell r="D84" t="str">
            <v/>
          </cell>
        </row>
        <row r="85">
          <cell r="D85" t="str">
            <v/>
          </cell>
        </row>
        <row r="86">
          <cell r="D86" t="str">
            <v/>
          </cell>
        </row>
        <row r="87">
          <cell r="D87" t="str">
            <v/>
          </cell>
        </row>
        <row r="88">
          <cell r="D88" t="str">
            <v/>
          </cell>
        </row>
        <row r="89">
          <cell r="D89" t="str">
            <v/>
          </cell>
        </row>
        <row r="90">
          <cell r="D90" t="str">
            <v/>
          </cell>
        </row>
        <row r="91">
          <cell r="D91" t="str">
            <v/>
          </cell>
        </row>
        <row r="95">
          <cell r="D95" t="str">
            <v/>
          </cell>
        </row>
        <row r="96">
          <cell r="D96" t="str">
            <v/>
          </cell>
        </row>
        <row r="97">
          <cell r="D97" t="str">
            <v/>
          </cell>
        </row>
        <row r="98">
          <cell r="D98" t="str">
            <v/>
          </cell>
        </row>
        <row r="99">
          <cell r="D99" t="str">
            <v/>
          </cell>
        </row>
        <row r="100">
          <cell r="D100" t="str">
            <v/>
          </cell>
        </row>
        <row r="101">
          <cell r="D101" t="str">
            <v/>
          </cell>
        </row>
        <row r="102">
          <cell r="D102" t="str">
            <v/>
          </cell>
        </row>
        <row r="103">
          <cell r="D103" t="str">
            <v/>
          </cell>
        </row>
        <row r="104">
          <cell r="D104" t="str">
            <v/>
          </cell>
        </row>
        <row r="105">
          <cell r="D105" t="str">
            <v/>
          </cell>
        </row>
        <row r="106">
          <cell r="D106" t="str">
            <v/>
          </cell>
        </row>
        <row r="107">
          <cell r="D107" t="str">
            <v/>
          </cell>
        </row>
        <row r="108">
          <cell r="D108" t="str">
            <v/>
          </cell>
        </row>
        <row r="109">
          <cell r="D109" t="str">
            <v/>
          </cell>
        </row>
        <row r="110">
          <cell r="D110" t="str">
            <v/>
          </cell>
        </row>
        <row r="111">
          <cell r="D111" t="str">
            <v/>
          </cell>
        </row>
        <row r="112">
          <cell r="D112" t="str">
            <v/>
          </cell>
        </row>
        <row r="113">
          <cell r="D113" t="str">
            <v/>
          </cell>
        </row>
        <row r="114">
          <cell r="D114" t="str">
            <v/>
          </cell>
        </row>
        <row r="115">
          <cell r="D115" t="str">
            <v/>
          </cell>
        </row>
        <row r="116">
          <cell r="D116" t="str">
            <v/>
          </cell>
        </row>
        <row r="117">
          <cell r="D117" t="str">
            <v/>
          </cell>
        </row>
        <row r="118">
          <cell r="D118" t="str">
            <v/>
          </cell>
        </row>
        <row r="119">
          <cell r="D119" t="str">
            <v/>
          </cell>
        </row>
        <row r="120">
          <cell r="D120" t="str">
            <v/>
          </cell>
        </row>
        <row r="121">
          <cell r="D121" t="str">
            <v/>
          </cell>
        </row>
        <row r="122">
          <cell r="D122" t="str">
            <v/>
          </cell>
        </row>
        <row r="123">
          <cell r="D123" t="str">
            <v/>
          </cell>
        </row>
        <row r="124">
          <cell r="D124" t="str">
            <v/>
          </cell>
        </row>
        <row r="125">
          <cell r="D125" t="str">
            <v/>
          </cell>
        </row>
        <row r="126">
          <cell r="D126" t="str">
            <v/>
          </cell>
        </row>
        <row r="127">
          <cell r="D127" t="str">
            <v/>
          </cell>
        </row>
        <row r="128">
          <cell r="D128" t="str">
            <v/>
          </cell>
        </row>
        <row r="129">
          <cell r="D129" t="str">
            <v/>
          </cell>
        </row>
        <row r="133">
          <cell r="D133" t="str">
            <v/>
          </cell>
        </row>
        <row r="134">
          <cell r="D134" t="str">
            <v/>
          </cell>
        </row>
        <row r="135">
          <cell r="D135" t="str">
            <v/>
          </cell>
        </row>
        <row r="136">
          <cell r="D136" t="str">
            <v/>
          </cell>
        </row>
        <row r="137">
          <cell r="D137" t="str">
            <v/>
          </cell>
        </row>
        <row r="138">
          <cell r="D138" t="str">
            <v/>
          </cell>
        </row>
        <row r="139">
          <cell r="D139" t="str">
            <v/>
          </cell>
        </row>
        <row r="140">
          <cell r="D140" t="str">
            <v/>
          </cell>
        </row>
        <row r="141">
          <cell r="D141" t="str">
            <v/>
          </cell>
        </row>
        <row r="142">
          <cell r="D142" t="str">
            <v/>
          </cell>
        </row>
        <row r="143">
          <cell r="D143" t="str">
            <v/>
          </cell>
        </row>
        <row r="144">
          <cell r="D144" t="str">
            <v/>
          </cell>
        </row>
        <row r="145">
          <cell r="D145" t="str">
            <v/>
          </cell>
        </row>
        <row r="146">
          <cell r="D146" t="str">
            <v/>
          </cell>
        </row>
        <row r="147">
          <cell r="D147" t="str">
            <v/>
          </cell>
        </row>
        <row r="148">
          <cell r="D148" t="str">
            <v/>
          </cell>
        </row>
        <row r="149">
          <cell r="D149" t="str">
            <v/>
          </cell>
        </row>
        <row r="150">
          <cell r="D150" t="str">
            <v/>
          </cell>
        </row>
        <row r="151">
          <cell r="D151" t="str">
            <v/>
          </cell>
        </row>
        <row r="152">
          <cell r="D152" t="str">
            <v/>
          </cell>
        </row>
        <row r="153">
          <cell r="D153" t="str">
            <v/>
          </cell>
        </row>
        <row r="154">
          <cell r="D154" t="str">
            <v/>
          </cell>
        </row>
        <row r="155">
          <cell r="D155" t="str">
            <v/>
          </cell>
        </row>
        <row r="156">
          <cell r="D156" t="str">
            <v/>
          </cell>
        </row>
        <row r="157">
          <cell r="D157" t="str">
            <v/>
          </cell>
        </row>
        <row r="158">
          <cell r="D158" t="str">
            <v/>
          </cell>
        </row>
        <row r="159">
          <cell r="D159" t="str">
            <v/>
          </cell>
        </row>
        <row r="160">
          <cell r="D160" t="str">
            <v/>
          </cell>
        </row>
        <row r="161">
          <cell r="D161" t="str">
            <v/>
          </cell>
        </row>
        <row r="162">
          <cell r="D162" t="str">
            <v/>
          </cell>
        </row>
        <row r="163">
          <cell r="D163" t="str">
            <v/>
          </cell>
        </row>
        <row r="164">
          <cell r="D164" t="str">
            <v/>
          </cell>
        </row>
        <row r="165">
          <cell r="D165" t="str">
            <v/>
          </cell>
        </row>
        <row r="166">
          <cell r="D166" t="str">
            <v/>
          </cell>
        </row>
        <row r="167">
          <cell r="D167" t="str">
            <v/>
          </cell>
        </row>
        <row r="171">
          <cell r="D171" t="str">
            <v/>
          </cell>
        </row>
        <row r="172">
          <cell r="D172" t="str">
            <v/>
          </cell>
        </row>
        <row r="173">
          <cell r="D173" t="str">
            <v/>
          </cell>
        </row>
        <row r="174">
          <cell r="D174" t="str">
            <v/>
          </cell>
        </row>
        <row r="175">
          <cell r="D175" t="str">
            <v/>
          </cell>
        </row>
        <row r="176">
          <cell r="D176" t="str">
            <v/>
          </cell>
        </row>
        <row r="177">
          <cell r="D177" t="str">
            <v/>
          </cell>
        </row>
        <row r="178">
          <cell r="D178" t="str">
            <v/>
          </cell>
        </row>
        <row r="179">
          <cell r="D179" t="str">
            <v/>
          </cell>
        </row>
        <row r="180">
          <cell r="D180" t="str">
            <v/>
          </cell>
        </row>
        <row r="181">
          <cell r="D181" t="str">
            <v/>
          </cell>
        </row>
        <row r="182">
          <cell r="D182" t="str">
            <v/>
          </cell>
        </row>
        <row r="183">
          <cell r="D183" t="str">
            <v/>
          </cell>
        </row>
        <row r="184">
          <cell r="D184" t="str">
            <v/>
          </cell>
        </row>
        <row r="185">
          <cell r="D185" t="str">
            <v/>
          </cell>
        </row>
        <row r="186">
          <cell r="D186" t="str">
            <v/>
          </cell>
        </row>
        <row r="187">
          <cell r="D187" t="str">
            <v/>
          </cell>
        </row>
        <row r="188">
          <cell r="D188" t="str">
            <v/>
          </cell>
        </row>
        <row r="189">
          <cell r="D189" t="str">
            <v/>
          </cell>
        </row>
        <row r="190">
          <cell r="D190" t="str">
            <v/>
          </cell>
        </row>
        <row r="191">
          <cell r="D191" t="str">
            <v/>
          </cell>
        </row>
        <row r="192">
          <cell r="D192" t="str">
            <v/>
          </cell>
        </row>
        <row r="193">
          <cell r="D193" t="str">
            <v/>
          </cell>
        </row>
        <row r="194">
          <cell r="D194" t="str">
            <v/>
          </cell>
        </row>
        <row r="195">
          <cell r="D195" t="str">
            <v/>
          </cell>
        </row>
        <row r="196">
          <cell r="D196" t="str">
            <v/>
          </cell>
        </row>
        <row r="197">
          <cell r="D197" t="str">
            <v/>
          </cell>
        </row>
        <row r="198">
          <cell r="D198" t="str">
            <v/>
          </cell>
        </row>
        <row r="199">
          <cell r="D199" t="str">
            <v/>
          </cell>
        </row>
        <row r="200">
          <cell r="D200" t="str">
            <v/>
          </cell>
        </row>
        <row r="201">
          <cell r="D201" t="str">
            <v/>
          </cell>
        </row>
        <row r="202">
          <cell r="D202" t="str">
            <v/>
          </cell>
        </row>
        <row r="203">
          <cell r="D203" t="str">
            <v/>
          </cell>
        </row>
        <row r="204">
          <cell r="D204" t="str">
            <v/>
          </cell>
        </row>
        <row r="205">
          <cell r="D205" t="str">
            <v/>
          </cell>
        </row>
        <row r="209">
          <cell r="D209" t="str">
            <v/>
          </cell>
        </row>
        <row r="210">
          <cell r="D210" t="str">
            <v/>
          </cell>
        </row>
        <row r="211">
          <cell r="D211" t="str">
            <v/>
          </cell>
        </row>
        <row r="212">
          <cell r="D212" t="str">
            <v/>
          </cell>
        </row>
        <row r="213">
          <cell r="D213" t="str">
            <v/>
          </cell>
        </row>
        <row r="214">
          <cell r="D214" t="str">
            <v/>
          </cell>
        </row>
        <row r="215">
          <cell r="D215" t="str">
            <v/>
          </cell>
        </row>
        <row r="216">
          <cell r="D216" t="str">
            <v/>
          </cell>
        </row>
        <row r="217">
          <cell r="D217" t="str">
            <v/>
          </cell>
        </row>
        <row r="218">
          <cell r="D218" t="str">
            <v/>
          </cell>
        </row>
        <row r="219">
          <cell r="D219" t="str">
            <v/>
          </cell>
        </row>
        <row r="220">
          <cell r="D220" t="str">
            <v/>
          </cell>
        </row>
        <row r="221">
          <cell r="D221" t="str">
            <v/>
          </cell>
        </row>
        <row r="222">
          <cell r="D222" t="str">
            <v/>
          </cell>
        </row>
        <row r="223">
          <cell r="D223" t="str">
            <v/>
          </cell>
        </row>
        <row r="224">
          <cell r="D224" t="str">
            <v/>
          </cell>
        </row>
        <row r="225">
          <cell r="D225" t="str">
            <v/>
          </cell>
        </row>
        <row r="226">
          <cell r="D226" t="str">
            <v/>
          </cell>
        </row>
        <row r="227">
          <cell r="D227" t="str">
            <v/>
          </cell>
        </row>
        <row r="228">
          <cell r="D228" t="str">
            <v/>
          </cell>
        </row>
        <row r="229">
          <cell r="D229" t="str">
            <v/>
          </cell>
        </row>
        <row r="230">
          <cell r="D230" t="str">
            <v/>
          </cell>
        </row>
        <row r="231">
          <cell r="D231" t="str">
            <v/>
          </cell>
        </row>
        <row r="232">
          <cell r="D232" t="str">
            <v/>
          </cell>
        </row>
        <row r="233">
          <cell r="D233" t="str">
            <v/>
          </cell>
        </row>
        <row r="234">
          <cell r="D234" t="str">
            <v/>
          </cell>
        </row>
        <row r="235">
          <cell r="D235" t="str">
            <v/>
          </cell>
        </row>
        <row r="236">
          <cell r="D236" t="str">
            <v/>
          </cell>
        </row>
        <row r="237">
          <cell r="D237" t="str">
            <v/>
          </cell>
        </row>
        <row r="238">
          <cell r="D238" t="str">
            <v/>
          </cell>
        </row>
        <row r="239">
          <cell r="D239" t="str">
            <v/>
          </cell>
        </row>
        <row r="240">
          <cell r="D240" t="str">
            <v/>
          </cell>
        </row>
        <row r="241">
          <cell r="D241" t="str">
            <v/>
          </cell>
        </row>
        <row r="242">
          <cell r="D242" t="str">
            <v/>
          </cell>
        </row>
        <row r="243">
          <cell r="D243" t="str">
            <v/>
          </cell>
        </row>
        <row r="247">
          <cell r="D247" t="str">
            <v/>
          </cell>
        </row>
        <row r="248">
          <cell r="D248" t="str">
            <v/>
          </cell>
        </row>
        <row r="249">
          <cell r="D249" t="str">
            <v/>
          </cell>
        </row>
        <row r="250">
          <cell r="D250" t="str">
            <v/>
          </cell>
        </row>
        <row r="251">
          <cell r="D251" t="str">
            <v/>
          </cell>
        </row>
        <row r="252">
          <cell r="D252" t="str">
            <v/>
          </cell>
        </row>
        <row r="253">
          <cell r="D253" t="str">
            <v/>
          </cell>
        </row>
        <row r="254">
          <cell r="D254" t="str">
            <v/>
          </cell>
        </row>
        <row r="255">
          <cell r="D255" t="str">
            <v/>
          </cell>
        </row>
        <row r="256">
          <cell r="D256" t="str">
            <v/>
          </cell>
        </row>
        <row r="257">
          <cell r="D257" t="str">
            <v/>
          </cell>
        </row>
        <row r="258">
          <cell r="D258" t="str">
            <v/>
          </cell>
        </row>
        <row r="259">
          <cell r="D259" t="str">
            <v/>
          </cell>
        </row>
        <row r="260">
          <cell r="D260" t="str">
            <v/>
          </cell>
        </row>
        <row r="261">
          <cell r="D261" t="str">
            <v/>
          </cell>
        </row>
        <row r="262">
          <cell r="D262" t="str">
            <v/>
          </cell>
        </row>
        <row r="263">
          <cell r="D263" t="str">
            <v/>
          </cell>
        </row>
        <row r="264">
          <cell r="D264" t="str">
            <v/>
          </cell>
        </row>
        <row r="265">
          <cell r="D265" t="str">
            <v/>
          </cell>
        </row>
        <row r="266">
          <cell r="D266" t="str">
            <v/>
          </cell>
        </row>
        <row r="267">
          <cell r="D267" t="str">
            <v/>
          </cell>
        </row>
        <row r="268">
          <cell r="D268" t="str">
            <v/>
          </cell>
        </row>
        <row r="269">
          <cell r="D269" t="str">
            <v/>
          </cell>
        </row>
        <row r="270">
          <cell r="D270" t="str">
            <v/>
          </cell>
        </row>
        <row r="271">
          <cell r="D271" t="str">
            <v/>
          </cell>
        </row>
        <row r="272">
          <cell r="D272" t="str">
            <v/>
          </cell>
        </row>
        <row r="273">
          <cell r="D273" t="str">
            <v/>
          </cell>
        </row>
        <row r="274">
          <cell r="D274" t="str">
            <v/>
          </cell>
        </row>
        <row r="275">
          <cell r="D275" t="str">
            <v/>
          </cell>
        </row>
        <row r="276">
          <cell r="D276" t="str">
            <v/>
          </cell>
        </row>
        <row r="277">
          <cell r="D277" t="str">
            <v/>
          </cell>
        </row>
        <row r="278">
          <cell r="D278" t="str">
            <v/>
          </cell>
        </row>
        <row r="279">
          <cell r="D279" t="str">
            <v/>
          </cell>
        </row>
        <row r="280">
          <cell r="D280" t="str">
            <v/>
          </cell>
        </row>
        <row r="281">
          <cell r="D281" t="str">
            <v/>
          </cell>
        </row>
        <row r="285">
          <cell r="D285" t="str">
            <v/>
          </cell>
        </row>
        <row r="286">
          <cell r="D286" t="str">
            <v/>
          </cell>
        </row>
        <row r="287">
          <cell r="D287" t="str">
            <v/>
          </cell>
        </row>
        <row r="288">
          <cell r="D288" t="str">
            <v/>
          </cell>
        </row>
        <row r="289">
          <cell r="D289" t="str">
            <v/>
          </cell>
        </row>
        <row r="290">
          <cell r="D290" t="str">
            <v/>
          </cell>
        </row>
        <row r="291">
          <cell r="D291" t="str">
            <v/>
          </cell>
        </row>
        <row r="292">
          <cell r="D292" t="str">
            <v/>
          </cell>
        </row>
        <row r="293">
          <cell r="D293" t="str">
            <v/>
          </cell>
        </row>
        <row r="294">
          <cell r="D294" t="str">
            <v/>
          </cell>
        </row>
        <row r="295">
          <cell r="D295" t="str">
            <v/>
          </cell>
        </row>
        <row r="296">
          <cell r="D296" t="str">
            <v/>
          </cell>
        </row>
        <row r="297">
          <cell r="D297" t="str">
            <v/>
          </cell>
        </row>
        <row r="298">
          <cell r="D298" t="str">
            <v/>
          </cell>
        </row>
        <row r="299">
          <cell r="D299" t="str">
            <v/>
          </cell>
        </row>
        <row r="300">
          <cell r="D300" t="str">
            <v/>
          </cell>
        </row>
        <row r="301">
          <cell r="D301" t="str">
            <v/>
          </cell>
        </row>
        <row r="302">
          <cell r="D302" t="str">
            <v/>
          </cell>
        </row>
        <row r="303">
          <cell r="D303" t="str">
            <v/>
          </cell>
        </row>
        <row r="304">
          <cell r="D304" t="str">
            <v/>
          </cell>
        </row>
        <row r="305">
          <cell r="D305" t="str">
            <v/>
          </cell>
        </row>
        <row r="306">
          <cell r="D306" t="str">
            <v/>
          </cell>
        </row>
        <row r="307">
          <cell r="D307" t="str">
            <v/>
          </cell>
        </row>
        <row r="308">
          <cell r="D308" t="str">
            <v/>
          </cell>
        </row>
        <row r="309">
          <cell r="D309" t="str">
            <v/>
          </cell>
        </row>
        <row r="310">
          <cell r="D310" t="str">
            <v/>
          </cell>
        </row>
        <row r="311">
          <cell r="D311" t="str">
            <v/>
          </cell>
        </row>
        <row r="312">
          <cell r="D312" t="str">
            <v/>
          </cell>
        </row>
        <row r="313">
          <cell r="D313" t="str">
            <v/>
          </cell>
        </row>
        <row r="314">
          <cell r="D314" t="str">
            <v/>
          </cell>
        </row>
        <row r="315">
          <cell r="D315" t="str">
            <v/>
          </cell>
        </row>
        <row r="316">
          <cell r="D316" t="str">
            <v/>
          </cell>
        </row>
        <row r="317">
          <cell r="D317" t="str">
            <v/>
          </cell>
        </row>
        <row r="318">
          <cell r="D318" t="str">
            <v/>
          </cell>
        </row>
        <row r="319">
          <cell r="D319" t="str">
            <v/>
          </cell>
        </row>
        <row r="323">
          <cell r="D323" t="str">
            <v/>
          </cell>
        </row>
        <row r="324">
          <cell r="D324" t="str">
            <v/>
          </cell>
        </row>
        <row r="325">
          <cell r="D325" t="str">
            <v/>
          </cell>
        </row>
        <row r="326">
          <cell r="D326" t="str">
            <v/>
          </cell>
        </row>
        <row r="327">
          <cell r="D327" t="str">
            <v/>
          </cell>
        </row>
        <row r="328">
          <cell r="D328" t="str">
            <v/>
          </cell>
        </row>
        <row r="329">
          <cell r="D329" t="str">
            <v/>
          </cell>
        </row>
        <row r="330">
          <cell r="D330" t="str">
            <v/>
          </cell>
        </row>
        <row r="331">
          <cell r="D331" t="str">
            <v/>
          </cell>
        </row>
        <row r="332">
          <cell r="D332" t="str">
            <v/>
          </cell>
        </row>
        <row r="333">
          <cell r="D333" t="str">
            <v/>
          </cell>
        </row>
        <row r="334">
          <cell r="D334" t="str">
            <v/>
          </cell>
        </row>
        <row r="335">
          <cell r="D335" t="str">
            <v/>
          </cell>
        </row>
        <row r="336">
          <cell r="D336" t="str">
            <v/>
          </cell>
        </row>
        <row r="337">
          <cell r="D337" t="str">
            <v/>
          </cell>
        </row>
        <row r="338">
          <cell r="D338" t="str">
            <v/>
          </cell>
        </row>
        <row r="339">
          <cell r="D339" t="str">
            <v/>
          </cell>
        </row>
        <row r="340">
          <cell r="D340" t="str">
            <v/>
          </cell>
        </row>
        <row r="341">
          <cell r="D341" t="str">
            <v/>
          </cell>
        </row>
        <row r="342">
          <cell r="D342" t="str">
            <v/>
          </cell>
        </row>
        <row r="343">
          <cell r="D343" t="str">
            <v/>
          </cell>
        </row>
        <row r="344">
          <cell r="D344" t="str">
            <v/>
          </cell>
        </row>
        <row r="345">
          <cell r="D345" t="str">
            <v/>
          </cell>
        </row>
        <row r="346">
          <cell r="D346" t="str">
            <v/>
          </cell>
        </row>
        <row r="347">
          <cell r="D347" t="str">
            <v/>
          </cell>
        </row>
        <row r="348">
          <cell r="D348" t="str">
            <v/>
          </cell>
        </row>
        <row r="349">
          <cell r="D349" t="str">
            <v/>
          </cell>
        </row>
        <row r="350">
          <cell r="D350" t="str">
            <v/>
          </cell>
        </row>
        <row r="351">
          <cell r="D351" t="str">
            <v/>
          </cell>
        </row>
        <row r="352">
          <cell r="D352" t="str">
            <v/>
          </cell>
        </row>
        <row r="353">
          <cell r="D353" t="str">
            <v/>
          </cell>
        </row>
        <row r="354">
          <cell r="D354" t="str">
            <v/>
          </cell>
        </row>
        <row r="355">
          <cell r="D355" t="str">
            <v/>
          </cell>
        </row>
        <row r="356">
          <cell r="D356" t="str">
            <v/>
          </cell>
        </row>
        <row r="357">
          <cell r="D357" t="str">
            <v/>
          </cell>
        </row>
        <row r="361">
          <cell r="D361" t="str">
            <v/>
          </cell>
        </row>
        <row r="362">
          <cell r="D362" t="str">
            <v/>
          </cell>
        </row>
        <row r="363">
          <cell r="D363" t="str">
            <v/>
          </cell>
        </row>
        <row r="364">
          <cell r="D364" t="str">
            <v/>
          </cell>
        </row>
        <row r="365">
          <cell r="D365" t="str">
            <v/>
          </cell>
        </row>
        <row r="366">
          <cell r="D366" t="str">
            <v/>
          </cell>
        </row>
        <row r="367">
          <cell r="D367" t="str">
            <v/>
          </cell>
        </row>
        <row r="368">
          <cell r="D368" t="str">
            <v/>
          </cell>
        </row>
        <row r="369">
          <cell r="D369" t="str">
            <v/>
          </cell>
        </row>
        <row r="370">
          <cell r="D370" t="str">
            <v/>
          </cell>
        </row>
        <row r="371">
          <cell r="D371" t="str">
            <v/>
          </cell>
        </row>
        <row r="372">
          <cell r="D372" t="str">
            <v/>
          </cell>
        </row>
        <row r="373">
          <cell r="D373" t="str">
            <v/>
          </cell>
        </row>
        <row r="374">
          <cell r="D374" t="str">
            <v/>
          </cell>
        </row>
        <row r="375">
          <cell r="D375" t="str">
            <v/>
          </cell>
        </row>
        <row r="376">
          <cell r="D376" t="str">
            <v/>
          </cell>
        </row>
        <row r="377">
          <cell r="D377" t="str">
            <v/>
          </cell>
        </row>
        <row r="378">
          <cell r="D378" t="str">
            <v/>
          </cell>
        </row>
        <row r="379">
          <cell r="D379" t="str">
            <v/>
          </cell>
        </row>
        <row r="380">
          <cell r="D380" t="str">
            <v/>
          </cell>
        </row>
        <row r="381">
          <cell r="D381" t="str">
            <v/>
          </cell>
        </row>
        <row r="382">
          <cell r="D382" t="str">
            <v/>
          </cell>
        </row>
        <row r="383">
          <cell r="D383" t="str">
            <v/>
          </cell>
        </row>
        <row r="384">
          <cell r="D384" t="str">
            <v/>
          </cell>
        </row>
        <row r="385">
          <cell r="D385" t="str">
            <v/>
          </cell>
        </row>
        <row r="386">
          <cell r="D386" t="str">
            <v/>
          </cell>
        </row>
        <row r="387">
          <cell r="D387" t="str">
            <v/>
          </cell>
        </row>
        <row r="388">
          <cell r="D388" t="str">
            <v/>
          </cell>
        </row>
        <row r="389">
          <cell r="D389" t="str">
            <v/>
          </cell>
        </row>
        <row r="390">
          <cell r="D390" t="str">
            <v/>
          </cell>
        </row>
        <row r="391">
          <cell r="D391" t="str">
            <v/>
          </cell>
        </row>
        <row r="392">
          <cell r="D392" t="str">
            <v/>
          </cell>
        </row>
        <row r="393">
          <cell r="D393" t="str">
            <v/>
          </cell>
        </row>
        <row r="394">
          <cell r="D394" t="str">
            <v/>
          </cell>
        </row>
        <row r="395">
          <cell r="D395" t="str">
            <v/>
          </cell>
        </row>
      </sheetData>
      <sheetData sheetId="7">
        <row r="19">
          <cell r="D19" t="str">
            <v/>
          </cell>
        </row>
        <row r="20">
          <cell r="D20" t="str">
            <v/>
          </cell>
        </row>
        <row r="21">
          <cell r="D21" t="str">
            <v/>
          </cell>
        </row>
        <row r="22">
          <cell r="D22" t="str">
            <v/>
          </cell>
        </row>
        <row r="23">
          <cell r="D23" t="str">
            <v/>
          </cell>
        </row>
        <row r="24">
          <cell r="D24" t="str">
            <v/>
          </cell>
        </row>
        <row r="25">
          <cell r="D25" t="str">
            <v/>
          </cell>
        </row>
        <row r="26">
          <cell r="D26" t="str">
            <v/>
          </cell>
        </row>
        <row r="27">
          <cell r="D27" t="str">
            <v/>
          </cell>
        </row>
        <row r="28">
          <cell r="D28" t="str">
            <v/>
          </cell>
        </row>
        <row r="29">
          <cell r="D29" t="str">
            <v/>
          </cell>
        </row>
        <row r="30">
          <cell r="D30" t="str">
            <v/>
          </cell>
        </row>
        <row r="31">
          <cell r="D31" t="str">
            <v/>
          </cell>
        </row>
        <row r="32">
          <cell r="D32" t="str">
            <v/>
          </cell>
        </row>
        <row r="33">
          <cell r="D33" t="str">
            <v/>
          </cell>
        </row>
        <row r="34">
          <cell r="D34" t="str">
            <v/>
          </cell>
        </row>
        <row r="35">
          <cell r="D35" t="str">
            <v/>
          </cell>
        </row>
        <row r="36">
          <cell r="D36" t="str">
            <v/>
          </cell>
        </row>
        <row r="37">
          <cell r="D37" t="str">
            <v/>
          </cell>
        </row>
        <row r="38">
          <cell r="D38" t="str">
            <v/>
          </cell>
        </row>
        <row r="39">
          <cell r="D39" t="str">
            <v/>
          </cell>
        </row>
        <row r="40">
          <cell r="D40" t="str">
            <v/>
          </cell>
        </row>
        <row r="41">
          <cell r="D41" t="str">
            <v/>
          </cell>
        </row>
        <row r="42">
          <cell r="D42" t="str">
            <v/>
          </cell>
        </row>
        <row r="43">
          <cell r="D43" t="str">
            <v/>
          </cell>
        </row>
        <row r="44">
          <cell r="D44" t="str">
            <v/>
          </cell>
        </row>
        <row r="45">
          <cell r="D45" t="str">
            <v/>
          </cell>
        </row>
        <row r="46">
          <cell r="D46" t="str">
            <v/>
          </cell>
        </row>
        <row r="47">
          <cell r="D47" t="str">
            <v/>
          </cell>
        </row>
        <row r="48">
          <cell r="D48" t="str">
            <v/>
          </cell>
        </row>
        <row r="49">
          <cell r="D49" t="str">
            <v/>
          </cell>
        </row>
        <row r="50">
          <cell r="D50" t="str">
            <v/>
          </cell>
        </row>
        <row r="51">
          <cell r="D51" t="str">
            <v/>
          </cell>
        </row>
        <row r="52">
          <cell r="D52" t="str">
            <v/>
          </cell>
        </row>
        <row r="53">
          <cell r="D53" t="str">
            <v/>
          </cell>
        </row>
        <row r="57">
          <cell r="D57" t="str">
            <v/>
          </cell>
        </row>
        <row r="58">
          <cell r="D58" t="str">
            <v/>
          </cell>
        </row>
        <row r="59">
          <cell r="D59" t="str">
            <v/>
          </cell>
        </row>
        <row r="60">
          <cell r="D60" t="str">
            <v/>
          </cell>
        </row>
        <row r="61">
          <cell r="D61" t="str">
            <v/>
          </cell>
        </row>
        <row r="62">
          <cell r="D62" t="str">
            <v/>
          </cell>
        </row>
        <row r="63">
          <cell r="D63" t="str">
            <v/>
          </cell>
        </row>
        <row r="64">
          <cell r="D64" t="str">
            <v/>
          </cell>
        </row>
        <row r="65">
          <cell r="D65" t="str">
            <v/>
          </cell>
        </row>
        <row r="66">
          <cell r="D66" t="str">
            <v/>
          </cell>
        </row>
        <row r="67">
          <cell r="D67" t="str">
            <v/>
          </cell>
        </row>
        <row r="68">
          <cell r="D68" t="str">
            <v/>
          </cell>
        </row>
        <row r="69">
          <cell r="D69" t="str">
            <v/>
          </cell>
        </row>
        <row r="70">
          <cell r="D70" t="str">
            <v/>
          </cell>
        </row>
        <row r="71">
          <cell r="D71" t="str">
            <v/>
          </cell>
        </row>
        <row r="72">
          <cell r="D72" t="str">
            <v/>
          </cell>
        </row>
        <row r="73">
          <cell r="D73" t="str">
            <v/>
          </cell>
        </row>
        <row r="74">
          <cell r="D74" t="str">
            <v/>
          </cell>
        </row>
        <row r="75">
          <cell r="D75" t="str">
            <v/>
          </cell>
        </row>
        <row r="76">
          <cell r="D76" t="str">
            <v/>
          </cell>
        </row>
        <row r="77">
          <cell r="D77" t="str">
            <v/>
          </cell>
        </row>
        <row r="78">
          <cell r="D78" t="str">
            <v/>
          </cell>
        </row>
        <row r="79">
          <cell r="D79" t="str">
            <v/>
          </cell>
        </row>
        <row r="80">
          <cell r="D80" t="str">
            <v/>
          </cell>
        </row>
        <row r="81">
          <cell r="D81" t="str">
            <v/>
          </cell>
        </row>
        <row r="82">
          <cell r="D82" t="str">
            <v/>
          </cell>
        </row>
        <row r="83">
          <cell r="D83" t="str">
            <v/>
          </cell>
        </row>
        <row r="84">
          <cell r="D84" t="str">
            <v/>
          </cell>
        </row>
        <row r="85">
          <cell r="D85" t="str">
            <v/>
          </cell>
        </row>
        <row r="86">
          <cell r="D86" t="str">
            <v/>
          </cell>
        </row>
        <row r="87">
          <cell r="D87" t="str">
            <v/>
          </cell>
        </row>
        <row r="88">
          <cell r="D88" t="str">
            <v/>
          </cell>
        </row>
        <row r="89">
          <cell r="D89" t="str">
            <v/>
          </cell>
        </row>
        <row r="90">
          <cell r="D90" t="str">
            <v/>
          </cell>
        </row>
        <row r="91">
          <cell r="D91" t="str">
            <v/>
          </cell>
        </row>
        <row r="95">
          <cell r="D95" t="str">
            <v/>
          </cell>
        </row>
        <row r="96">
          <cell r="D96" t="str">
            <v/>
          </cell>
        </row>
        <row r="97">
          <cell r="D97" t="str">
            <v/>
          </cell>
        </row>
        <row r="98">
          <cell r="D98" t="str">
            <v/>
          </cell>
        </row>
        <row r="99">
          <cell r="D99" t="str">
            <v/>
          </cell>
        </row>
        <row r="100">
          <cell r="D100" t="str">
            <v/>
          </cell>
        </row>
        <row r="101">
          <cell r="D101" t="str">
            <v/>
          </cell>
        </row>
        <row r="102">
          <cell r="D102" t="str">
            <v/>
          </cell>
        </row>
        <row r="103">
          <cell r="D103" t="str">
            <v/>
          </cell>
        </row>
        <row r="104">
          <cell r="D104" t="str">
            <v/>
          </cell>
        </row>
        <row r="105">
          <cell r="D105" t="str">
            <v/>
          </cell>
        </row>
        <row r="106">
          <cell r="D106" t="str">
            <v/>
          </cell>
        </row>
        <row r="107">
          <cell r="D107" t="str">
            <v/>
          </cell>
        </row>
        <row r="108">
          <cell r="D108" t="str">
            <v/>
          </cell>
        </row>
        <row r="109">
          <cell r="D109" t="str">
            <v/>
          </cell>
        </row>
        <row r="110">
          <cell r="D110" t="str">
            <v/>
          </cell>
        </row>
        <row r="111">
          <cell r="D111" t="str">
            <v/>
          </cell>
        </row>
        <row r="112">
          <cell r="D112" t="str">
            <v/>
          </cell>
        </row>
        <row r="113">
          <cell r="D113" t="str">
            <v/>
          </cell>
        </row>
        <row r="114">
          <cell r="D114" t="str">
            <v/>
          </cell>
        </row>
        <row r="115">
          <cell r="D115" t="str">
            <v/>
          </cell>
        </row>
        <row r="116">
          <cell r="D116" t="str">
            <v/>
          </cell>
        </row>
        <row r="117">
          <cell r="D117" t="str">
            <v/>
          </cell>
        </row>
        <row r="118">
          <cell r="D118" t="str">
            <v/>
          </cell>
        </row>
        <row r="119">
          <cell r="D119" t="str">
            <v/>
          </cell>
        </row>
        <row r="120">
          <cell r="D120" t="str">
            <v/>
          </cell>
        </row>
        <row r="121">
          <cell r="D121" t="str">
            <v/>
          </cell>
        </row>
        <row r="122">
          <cell r="D122" t="str">
            <v/>
          </cell>
        </row>
        <row r="123">
          <cell r="D123" t="str">
            <v/>
          </cell>
        </row>
        <row r="124">
          <cell r="D124" t="str">
            <v/>
          </cell>
        </row>
        <row r="125">
          <cell r="D125" t="str">
            <v/>
          </cell>
        </row>
        <row r="126">
          <cell r="D126" t="str">
            <v/>
          </cell>
        </row>
        <row r="127">
          <cell r="D127" t="str">
            <v/>
          </cell>
        </row>
        <row r="128">
          <cell r="D128" t="str">
            <v/>
          </cell>
        </row>
        <row r="129">
          <cell r="D129" t="str">
            <v/>
          </cell>
        </row>
      </sheetData>
      <sheetData sheetId="8"/>
      <sheetData sheetId="9"/>
      <sheetData sheetId="10"/>
      <sheetData sheetId="11"/>
      <sheetData sheetId="12"/>
    </sheetDataSet>
  </externalBook>
</externalLink>
</file>

<file path=xl/tables/table1.xml><?xml version="1.0" encoding="utf-8"?>
<table xmlns="http://schemas.openxmlformats.org/spreadsheetml/2006/main" id="1" name="Ambito_tematico" displayName="Ambito_tematico" ref="E9:E17" totalsRowShown="0">
  <tableColumns count="1">
    <tableColumn id="1" name="Educación"/>
  </tableColumns>
  <tableStyleInfo showFirstColumn="0" showLastColumn="0" showRowStripes="1" showColumnStripes="0"/>
</table>
</file>

<file path=xl/tables/table2.xml><?xml version="1.0" encoding="utf-8"?>
<table xmlns="http://schemas.openxmlformats.org/spreadsheetml/2006/main" id="3" name="Tipo_de_evaluación" displayName="Tipo_de_evaluación" ref="G9:G11" totalsRowShown="0">
  <tableColumns count="1">
    <tableColumn id="1" name="Autoevaluacion con recursos propios"/>
  </tableColumns>
  <tableStyleInfo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arget="http://administracionelectronica.gob.es/PAe/accesibilidad/documentacion/guia_validacion_accesibilidad" TargetMode="External" Type="http://schemas.openxmlformats.org/officeDocument/2006/relationships/hyperlink"/><Relationship Id="rId2" Target="http://www.etsi.org/deliver/etsi_en/301500_301599/301549/03.02.01_60/en_301549v030201p.pdf" TargetMode="External" Type="http://schemas.openxmlformats.org/officeDocument/2006/relationships/hyperlink"/><Relationship Id="rId3" Target="../printerSettings/printerSettings1.bin" Type="http://schemas.openxmlformats.org/officeDocument/2006/relationships/printerSettings"/></Relationships>
</file>

<file path=xl/worksheets/_rels/sheet10.xml.rels><?xml version="1.0" encoding="UTF-8" standalone="yes"?>
<Relationships xmlns="http://schemas.openxmlformats.org/package/2006/relationships"><Relationship Id="rId1" Target="../printerSettings/printerSettings10.bin" Type="http://schemas.openxmlformats.org/officeDocument/2006/relationships/printerSettings"/><Relationship Id="rId2" Target="../drawings/drawing9.xml" Type="http://schemas.openxmlformats.org/officeDocument/2006/relationships/drawing"/><Relationship Id="rId3" Target="../drawings/vmlDrawing9.vml" Type="http://schemas.openxmlformats.org/officeDocument/2006/relationships/vmlDrawing"/><Relationship Id="rId4" Target="../comments9.xml" Type="http://schemas.openxmlformats.org/officeDocument/2006/relationships/comments"/></Relationships>
</file>

<file path=xl/worksheets/_rels/sheet11.xml.rels><?xml version="1.0" encoding="UTF-8" standalone="yes"?>
<Relationships xmlns="http://schemas.openxmlformats.org/package/2006/relationships"><Relationship Id="rId1" Target="../printerSettings/printerSettings11.bin" Type="http://schemas.openxmlformats.org/officeDocument/2006/relationships/printerSettings"/><Relationship Id="rId2" Target="../drawings/drawing10.xml" Type="http://schemas.openxmlformats.org/officeDocument/2006/relationships/drawing"/><Relationship Id="rId3" Target="../drawings/vmlDrawing10.vml" Type="http://schemas.openxmlformats.org/officeDocument/2006/relationships/vmlDrawing"/><Relationship Id="rId4" Target="../comments10.xml" Type="http://schemas.openxmlformats.org/officeDocument/2006/relationships/comments"/></Relationships>
</file>

<file path=xl/worksheets/_rels/sheet12.xml.rels><?xml version="1.0" encoding="UTF-8" standalone="yes"?>
<Relationships xmlns="http://schemas.openxmlformats.org/package/2006/relationships"><Relationship Id="rId1" Target="../printerSettings/printerSettings12.bin" Type="http://schemas.openxmlformats.org/officeDocument/2006/relationships/printerSettings"/><Relationship Id="rId2" Target="../drawings/vmlDrawing11.vml" Type="http://schemas.openxmlformats.org/officeDocument/2006/relationships/vmlDrawing"/><Relationship Id="rId3" Target="../comments11.xml" Type="http://schemas.openxmlformats.org/officeDocument/2006/relationships/comments"/></Relationships>
</file>

<file path=xl/worksheets/_rels/sheet13.xml.rels><?xml version="1.0" encoding="UTF-8" standalone="yes"?>
<Relationships xmlns="http://schemas.openxmlformats.org/package/2006/relationships"><Relationship Id="rId1" Target="../printerSettings/printerSettings13.bin" Type="http://schemas.openxmlformats.org/officeDocument/2006/relationships/printerSettings"/></Relationships>
</file>

<file path=xl/worksheets/_rels/sheet14.xml.rels><?xml version="1.0" encoding="UTF-8" standalone="yes"?>
<Relationships xmlns="http://schemas.openxmlformats.org/package/2006/relationships"><Relationship Id="rId1" Target="../tables/table1.xml" Type="http://schemas.openxmlformats.org/officeDocument/2006/relationships/table"/><Relationship Id="rId2" Target="../tables/table2.xml" Type="http://schemas.openxmlformats.org/officeDocument/2006/relationships/table"/></Relationships>
</file>

<file path=xl/worksheets/_rels/sheet15.xml.rels><?xml version="1.0" encoding="UTF-8" standalone="yes"?>
<Relationships xmlns="http://schemas.openxmlformats.org/package/2006/relationships"><Relationship Id="rId1" Target="../printerSettings/printerSettings14.bin" Type="http://schemas.openxmlformats.org/officeDocument/2006/relationships/printerSettings"/></Relationships>
</file>

<file path=xl/worksheets/_rels/sheet2.xml.rels><?xml version="1.0" encoding="UTF-8" standalone="yes"?>
<Relationships xmlns="http://schemas.openxmlformats.org/package/2006/relationships"><Relationship Id="rId1" Target="../printerSettings/printerSettings2.bin" Type="http://schemas.openxmlformats.org/officeDocument/2006/relationships/printerSettings"/><Relationship Id="rId2" Target="../drawings/drawing1.xml" Type="http://schemas.openxmlformats.org/officeDocument/2006/relationships/drawing"/><Relationship Id="rId3" Target="../drawings/vmlDrawing1.vml" Type="http://schemas.openxmlformats.org/officeDocument/2006/relationships/vmlDrawing"/><Relationship Id="rId4" Target="../comments1.xml" Type="http://schemas.openxmlformats.org/officeDocument/2006/relationships/comments"/></Relationships>
</file>

<file path=xl/worksheets/_rels/sheet3.xml.rels><?xml version="1.0" encoding="UTF-8" standalone="yes"?>
<Relationships xmlns="http://schemas.openxmlformats.org/package/2006/relationships"><Relationship Id="rId1" Target="../printerSettings/printerSettings3.bin" Type="http://schemas.openxmlformats.org/officeDocument/2006/relationships/printerSettings"/><Relationship Id="rId2" Target="../drawings/drawing2.xml" Type="http://schemas.openxmlformats.org/officeDocument/2006/relationships/drawing"/><Relationship Id="rId3" Target="../drawings/vmlDrawing2.vml" Type="http://schemas.openxmlformats.org/officeDocument/2006/relationships/vmlDrawing"/><Relationship Id="rId4" Target="../comments2.xml" Type="http://schemas.openxmlformats.org/officeDocument/2006/relationships/comments"/></Relationships>
</file>

<file path=xl/worksheets/_rels/sheet4.xml.rels><?xml version="1.0" encoding="UTF-8" standalone="yes"?>
<Relationships xmlns="http://schemas.openxmlformats.org/package/2006/relationships"><Relationship Id="rId1" Target="../printerSettings/printerSettings4.bin" Type="http://schemas.openxmlformats.org/officeDocument/2006/relationships/printerSettings"/><Relationship Id="rId2" Target="../drawings/drawing3.xml" Type="http://schemas.openxmlformats.org/officeDocument/2006/relationships/drawing"/><Relationship Id="rId3" Target="../drawings/vmlDrawing3.vml" Type="http://schemas.openxmlformats.org/officeDocument/2006/relationships/vmlDrawing"/><Relationship Id="rId4" Target="../comments3.xml" Type="http://schemas.openxmlformats.org/officeDocument/2006/relationships/comments"/></Relationships>
</file>

<file path=xl/worksheets/_rels/sheet5.xml.rels><?xml version="1.0" encoding="UTF-8" standalone="yes"?>
<Relationships xmlns="http://schemas.openxmlformats.org/package/2006/relationships"><Relationship Id="rId1" Target="../printerSettings/printerSettings5.bin" Type="http://schemas.openxmlformats.org/officeDocument/2006/relationships/printerSettings"/><Relationship Id="rId2" Target="../drawings/drawing4.xml" Type="http://schemas.openxmlformats.org/officeDocument/2006/relationships/drawing"/><Relationship Id="rId3" Target="../drawings/vmlDrawing4.vml" Type="http://schemas.openxmlformats.org/officeDocument/2006/relationships/vmlDrawing"/><Relationship Id="rId4" Target="../comments4.xml" Type="http://schemas.openxmlformats.org/officeDocument/2006/relationships/comments"/></Relationships>
</file>

<file path=xl/worksheets/_rels/sheet6.xml.rels><?xml version="1.0" encoding="UTF-8" standalone="yes"?>
<Relationships xmlns="http://schemas.openxmlformats.org/package/2006/relationships"><Relationship Id="rId1" Target="../printerSettings/printerSettings6.bin" Type="http://schemas.openxmlformats.org/officeDocument/2006/relationships/printerSettings"/><Relationship Id="rId2" Target="../drawings/drawing5.xml" Type="http://schemas.openxmlformats.org/officeDocument/2006/relationships/drawing"/><Relationship Id="rId3" Target="../drawings/vmlDrawing5.vml" Type="http://schemas.openxmlformats.org/officeDocument/2006/relationships/vmlDrawing"/><Relationship Id="rId4" Target="../comments5.xml" Type="http://schemas.openxmlformats.org/officeDocument/2006/relationships/comments"/></Relationships>
</file>

<file path=xl/worksheets/_rels/sheet7.xml.rels><?xml version="1.0" encoding="UTF-8" standalone="yes"?>
<Relationships xmlns="http://schemas.openxmlformats.org/package/2006/relationships"><Relationship Id="rId1" Target="../printerSettings/printerSettings7.bin" Type="http://schemas.openxmlformats.org/officeDocument/2006/relationships/printerSettings"/><Relationship Id="rId2" Target="../drawings/drawing6.xml" Type="http://schemas.openxmlformats.org/officeDocument/2006/relationships/drawing"/><Relationship Id="rId3" Target="../drawings/vmlDrawing6.vml" Type="http://schemas.openxmlformats.org/officeDocument/2006/relationships/vmlDrawing"/><Relationship Id="rId4" Target="../comments6.xml" Type="http://schemas.openxmlformats.org/officeDocument/2006/relationships/comments"/></Relationships>
</file>

<file path=xl/worksheets/_rels/sheet8.xml.rels><?xml version="1.0" encoding="UTF-8" standalone="yes"?>
<Relationships xmlns="http://schemas.openxmlformats.org/package/2006/relationships"><Relationship Id="rId1" Target="../printerSettings/printerSettings8.bin" Type="http://schemas.openxmlformats.org/officeDocument/2006/relationships/printerSettings"/><Relationship Id="rId2" Target="../drawings/drawing7.xml" Type="http://schemas.openxmlformats.org/officeDocument/2006/relationships/drawing"/><Relationship Id="rId3" Target="../drawings/vmlDrawing7.vml" Type="http://schemas.openxmlformats.org/officeDocument/2006/relationships/vmlDrawing"/><Relationship Id="rId4" Target="../comments7.xml" Type="http://schemas.openxmlformats.org/officeDocument/2006/relationships/comments"/></Relationships>
</file>

<file path=xl/worksheets/_rels/sheet9.xml.rels><?xml version="1.0" encoding="UTF-8" standalone="yes"?>
<Relationships xmlns="http://schemas.openxmlformats.org/package/2006/relationships"><Relationship Id="rId1" Target="../printerSettings/printerSettings9.bin" Type="http://schemas.openxmlformats.org/officeDocument/2006/relationships/printerSettings"/><Relationship Id="rId2" Target="../drawings/drawing8.xml" Type="http://schemas.openxmlformats.org/officeDocument/2006/relationships/drawing"/><Relationship Id="rId3" Target="../drawings/vmlDrawing8.vml" Type="http://schemas.openxmlformats.org/officeDocument/2006/relationships/vmlDrawing"/><Relationship Id="rId4" Target="../comments8.xml" Type="http://schemas.openxmlformats.org/officeDocument/2006/relationships/comment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1:BL22"/>
  <sheetViews>
    <sheetView tabSelected="1" zoomScale="90" zoomScaleNormal="90" workbookViewId="0">
      <selection activeCell="N2" sqref="N2"/>
    </sheetView>
  </sheetViews>
  <sheetFormatPr baseColWidth="10" defaultColWidth="11.5703125" defaultRowHeight="12.75"/>
  <cols>
    <col min="1" max="1" customWidth="true" width="11.7109375" collapsed="false"/>
    <col min="14" max="14" customWidth="true" width="18.28515625" collapsed="false"/>
  </cols>
  <sheetData>
    <row r="1" spans="1:64" ht="12.75" customHeight="1" thickBot="1">
      <c r="A1" s="1"/>
      <c r="B1" s="2"/>
      <c r="C1" s="3"/>
      <c r="D1" s="3"/>
      <c r="E1" s="3"/>
      <c r="F1" s="3"/>
      <c r="G1" s="3"/>
      <c r="H1" s="3"/>
      <c r="I1" s="3"/>
      <c r="J1" s="3"/>
      <c r="K1" s="3"/>
      <c r="L1" s="3"/>
      <c r="M1" s="3"/>
      <c r="N1" s="3"/>
      <c r="O1" s="3"/>
      <c r="P1" s="3"/>
      <c r="Q1" s="3"/>
      <c r="R1" s="3"/>
      <c r="S1" s="3"/>
      <c r="T1" s="3"/>
      <c r="U1" s="3"/>
      <c r="V1" s="3"/>
      <c r="W1" s="3"/>
      <c r="X1" s="3"/>
      <c r="Y1" s="3"/>
      <c r="Z1" s="3"/>
    </row>
    <row r="2" spans="1:64" ht="25.35" customHeight="1" thickTop="1" thickBot="1">
      <c r="A2" s="1"/>
      <c r="B2" s="4" t="s">
        <v>0</v>
      </c>
      <c r="C2" s="3"/>
      <c r="D2" s="3"/>
      <c r="E2" s="3"/>
      <c r="F2" s="3"/>
      <c r="G2" s="3"/>
      <c r="H2" s="3"/>
      <c r="I2" s="3"/>
      <c r="J2" s="3"/>
      <c r="K2" s="3"/>
      <c r="L2" s="3"/>
      <c r="M2" s="3"/>
      <c r="N2" s="41" t="s">
        <v>478</v>
      </c>
      <c r="O2" s="3"/>
      <c r="P2" s="3"/>
      <c r="Q2" s="3"/>
      <c r="R2" s="3"/>
      <c r="S2" s="3"/>
      <c r="T2" s="3"/>
      <c r="U2" s="3"/>
      <c r="V2" s="3"/>
      <c r="W2" s="3"/>
      <c r="X2" s="3"/>
      <c r="Y2" s="3"/>
      <c r="Z2" s="3"/>
    </row>
    <row r="3" spans="1:64" ht="23.65" customHeight="1" thickTop="1">
      <c r="A3" s="1"/>
      <c r="B3" s="5" t="s">
        <v>278</v>
      </c>
      <c r="C3" s="3"/>
      <c r="D3" s="3"/>
      <c r="E3" s="3"/>
      <c r="F3" s="3"/>
      <c r="G3" s="3"/>
      <c r="H3" s="3"/>
      <c r="I3" s="3"/>
      <c r="J3" s="3"/>
      <c r="K3" s="3"/>
      <c r="L3" s="3"/>
      <c r="M3" s="3"/>
      <c r="N3" s="3"/>
      <c r="O3" s="3"/>
      <c r="P3" s="3"/>
      <c r="Q3" s="3"/>
      <c r="R3" s="3"/>
      <c r="S3" s="3"/>
      <c r="T3" s="3"/>
      <c r="U3" s="3"/>
      <c r="V3" s="3"/>
      <c r="W3" s="3"/>
      <c r="X3" s="3"/>
      <c r="Y3" s="3"/>
      <c r="Z3" s="3"/>
    </row>
    <row r="4" spans="1:64" ht="16.7" customHeight="1">
      <c r="A4" s="1"/>
      <c r="B4" s="6"/>
      <c r="C4" s="3"/>
      <c r="D4" s="3"/>
      <c r="E4" s="3"/>
      <c r="F4" s="3"/>
      <c r="G4" s="3"/>
      <c r="H4" s="3"/>
      <c r="I4" s="3"/>
      <c r="J4" s="3"/>
      <c r="K4" s="3"/>
      <c r="L4" s="3"/>
      <c r="M4" s="3"/>
      <c r="N4" s="3"/>
      <c r="O4" s="3"/>
      <c r="P4" s="3"/>
      <c r="Q4" s="3"/>
      <c r="R4" s="3"/>
      <c r="S4" s="3"/>
      <c r="T4" s="3"/>
      <c r="U4" s="3"/>
      <c r="V4" s="3"/>
      <c r="W4" s="3"/>
      <c r="X4" s="3"/>
      <c r="Y4" s="3"/>
      <c r="Z4" s="3"/>
    </row>
    <row r="5" spans="1:64" ht="28.35" customHeight="1">
      <c r="B5" s="7" t="s">
        <v>1</v>
      </c>
      <c r="C5" s="7"/>
      <c r="D5" s="8"/>
      <c r="E5" s="8"/>
      <c r="F5" s="8"/>
      <c r="G5" s="8"/>
      <c r="H5" s="8"/>
      <c r="I5" s="8"/>
      <c r="J5" s="8"/>
      <c r="K5" s="8"/>
      <c r="L5" s="8"/>
      <c r="M5" s="8"/>
      <c r="N5" s="8"/>
      <c r="O5" s="9"/>
      <c r="P5" s="9"/>
      <c r="Q5" s="9"/>
      <c r="R5" s="9"/>
      <c r="S5" s="9"/>
      <c r="T5" s="9"/>
      <c r="U5" s="9"/>
      <c r="V5" s="9"/>
      <c r="W5" s="9"/>
      <c r="X5" s="9"/>
      <c r="Y5" s="9"/>
      <c r="Z5" s="9"/>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row>
    <row r="7" spans="1:64" ht="15.75">
      <c r="B7" s="11" t="s">
        <v>2</v>
      </c>
    </row>
    <row r="9" spans="1:64" ht="216" customHeight="1">
      <c r="B9" s="245" t="s">
        <v>470</v>
      </c>
      <c r="C9" s="245"/>
      <c r="D9" s="245"/>
      <c r="E9" s="245"/>
      <c r="F9" s="245"/>
      <c r="G9" s="245"/>
      <c r="H9" s="245"/>
      <c r="I9" s="245"/>
      <c r="J9" s="245"/>
      <c r="K9" s="245"/>
      <c r="L9" s="245"/>
      <c r="M9" s="245"/>
      <c r="N9" s="245"/>
    </row>
    <row r="10" spans="1:64" ht="13.5" customHeight="1"/>
    <row r="11" spans="1:64" ht="86.25" customHeight="1">
      <c r="B11" s="245" t="s">
        <v>279</v>
      </c>
      <c r="C11" s="245"/>
      <c r="D11" s="245"/>
      <c r="E11" s="245"/>
      <c r="F11" s="245"/>
      <c r="G11" s="245"/>
      <c r="H11" s="245"/>
      <c r="I11" s="245"/>
      <c r="J11" s="245"/>
      <c r="K11" s="245"/>
      <c r="L11" s="245"/>
      <c r="M11" s="245"/>
      <c r="N11" s="245"/>
    </row>
    <row r="12" spans="1:64" ht="13.5" customHeight="1"/>
    <row r="13" spans="1:64" ht="319.5" customHeight="1">
      <c r="B13" s="245" t="s">
        <v>469</v>
      </c>
      <c r="C13" s="245"/>
      <c r="D13" s="245"/>
      <c r="E13" s="245"/>
      <c r="F13" s="245"/>
      <c r="G13" s="245"/>
      <c r="H13" s="245"/>
      <c r="I13" s="245"/>
      <c r="J13" s="245"/>
      <c r="K13" s="245"/>
      <c r="L13" s="245"/>
      <c r="M13" s="245"/>
      <c r="N13" s="245"/>
    </row>
    <row r="15" spans="1:64" ht="274.5" customHeight="1">
      <c r="B15" s="246" t="s">
        <v>473</v>
      </c>
      <c r="C15" s="246"/>
      <c r="D15" s="246"/>
      <c r="E15" s="246"/>
      <c r="F15" s="246"/>
      <c r="G15" s="246"/>
      <c r="H15" s="246"/>
      <c r="I15" s="246"/>
      <c r="J15" s="246"/>
      <c r="K15" s="246"/>
      <c r="L15" s="246"/>
      <c r="M15" s="246"/>
      <c r="N15" s="246"/>
    </row>
    <row r="17" spans="2:14" ht="29.25" customHeight="1">
      <c r="B17" s="247" t="s">
        <v>272</v>
      </c>
      <c r="C17" s="247"/>
      <c r="D17" s="247"/>
      <c r="E17" s="247"/>
      <c r="F17" s="247"/>
      <c r="G17" s="247"/>
      <c r="H17" s="247"/>
      <c r="I17" s="247"/>
      <c r="J17" s="247"/>
      <c r="K17" s="247"/>
      <c r="L17" s="247"/>
      <c r="M17" s="247"/>
      <c r="N17" s="247"/>
    </row>
    <row r="19" spans="2:14" ht="18.75">
      <c r="B19" s="213" t="s">
        <v>357</v>
      </c>
      <c r="C19" s="212"/>
      <c r="D19" s="212"/>
      <c r="E19" s="212"/>
      <c r="F19" s="212"/>
      <c r="G19" s="212"/>
      <c r="H19" s="212"/>
      <c r="I19" s="212"/>
      <c r="J19" s="212"/>
      <c r="K19" s="212"/>
      <c r="L19" s="212"/>
      <c r="M19" s="212"/>
      <c r="N19" s="212"/>
    </row>
    <row r="20" spans="2:14" ht="18.75">
      <c r="B20" s="210" t="s">
        <v>280</v>
      </c>
      <c r="C20" s="211"/>
      <c r="D20" s="211"/>
      <c r="E20" s="211"/>
      <c r="F20" s="211"/>
      <c r="G20" s="211"/>
      <c r="H20" s="211"/>
      <c r="I20" s="211"/>
      <c r="J20" s="211"/>
      <c r="K20" s="211"/>
      <c r="L20" s="211"/>
      <c r="M20" s="211"/>
      <c r="N20" s="211"/>
    </row>
    <row r="22" spans="2:14" ht="15">
      <c r="B22" s="12"/>
    </row>
  </sheetData>
  <sheetCalcPr fullCalcOnLoad="true"/>
  <sheetProtection password="DC4E" sheet="true" scenarios="true" objects="true"/>
  <mergeCells count="5">
    <mergeCell ref="B9:N9"/>
    <mergeCell ref="B11:N11"/>
    <mergeCell ref="B13:N13"/>
    <mergeCell ref="B15:N15"/>
    <mergeCell ref="B17:N17"/>
  </mergeCells>
  <hyperlinks>
    <hyperlink ref="B20" r:id="rId1" display="http://administracionelectronica.gob.es/PAe/accesibilidad/documentacion/guia_validacion_accesibilidad"/>
    <hyperlink ref="B19:N19" r:id="rId2" display="1 http://www.etsi.org/deliver/etsi_en/301500_301599/301549/03.02.01_60/en_301549v030201p.pdf"/>
  </hyperlinks>
  <pageMargins left="0.78749999999999998" right="0.78749999999999998" top="1.0249999999999999" bottom="1.0249999999999999" header="0.78749999999999998" footer="0.78749999999999998"/>
  <pageSetup paperSize="9" firstPageNumber="0" orientation="portrait" horizontalDpi="300" verticalDpi="300" r:id="rId3"/>
  <headerFooter>
    <oddHeader>&amp;C&amp;A</oddHeader>
    <oddFooter>&amp;CPage &amp;P</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4"/>
  <dimension ref="A1:BL244"/>
  <sheetViews>
    <sheetView topLeftCell="E100" zoomScale="70" zoomScaleNormal="70" workbookViewId="0">
      <selection activeCell="D19" sqref="D19"/>
    </sheetView>
  </sheetViews>
  <sheetFormatPr baseColWidth="10" defaultColWidth="11.5703125" defaultRowHeight="12.75"/>
  <cols>
    <col min="1" max="1" customWidth="true" style="14" width="7.85546875" collapsed="false"/>
    <col min="2" max="2" customWidth="true" style="14" width="16.140625" collapsed="false"/>
    <col min="3" max="3" customWidth="true" style="14" width="71.0" collapsed="false"/>
    <col min="4" max="4" customWidth="true" style="113" width="18.28515625" collapsed="false"/>
    <col min="5" max="5" customWidth="true" style="113" width="5.5703125" collapsed="false"/>
    <col min="6" max="6" bestFit="true" customWidth="true" style="14" width="16.42578125" collapsed="false"/>
    <col min="7" max="7" customWidth="true" style="14" width="14.7109375" collapsed="false"/>
    <col min="8" max="8" customWidth="true" style="14" width="12.5703125" collapsed="false"/>
    <col min="9" max="9" customWidth="true" style="14" width="11.7109375" collapsed="false"/>
    <col min="10" max="10" bestFit="true" customWidth="true" style="14" width="17.28515625" collapsed="false"/>
    <col min="11" max="11" customWidth="true" style="14" width="14.5703125" collapsed="false"/>
    <col min="12" max="12" customWidth="true" style="14" width="12.5703125" collapsed="false"/>
    <col min="13" max="13" customWidth="true" style="14" width="15.5703125" collapsed="false"/>
    <col min="14" max="15" customWidth="true" style="14" width="12.5703125" collapsed="false"/>
    <col min="16" max="16" customWidth="true" style="14" width="19.5703125" collapsed="false"/>
    <col min="17" max="17" customWidth="true" style="14" width="6.85546875" collapsed="false"/>
    <col min="18" max="18" customWidth="true" style="14" width="4.7109375" collapsed="false"/>
    <col min="19" max="19" customWidth="true" style="14" width="12.85546875" collapsed="false"/>
    <col min="20" max="20" customWidth="true" style="14" width="12.140625" collapsed="false"/>
    <col min="21" max="21" customWidth="true" style="14" width="6.7109375" collapsed="false"/>
    <col min="22" max="22" customWidth="true" style="14" width="5.5703125" collapsed="false"/>
    <col min="23" max="23" customWidth="true" style="14" width="12.0" collapsed="false"/>
    <col min="24" max="24" customWidth="true" style="14" width="11.85546875" collapsed="false"/>
    <col min="25" max="25" customWidth="true" style="14" width="7.28515625" collapsed="false"/>
    <col min="26" max="64" customWidth="true" style="14" width="14.42578125" collapsed="false"/>
    <col min="65" max="16384" style="14" width="11.5703125" collapsed="false"/>
  </cols>
  <sheetData>
    <row r="1" spans="1:64" ht="14.1" customHeight="1">
      <c r="A1" s="28"/>
      <c r="B1" s="21"/>
      <c r="C1" s="21"/>
      <c r="D1" s="106"/>
      <c r="E1" s="107"/>
      <c r="F1" s="19"/>
      <c r="G1" s="19"/>
      <c r="H1" s="19"/>
      <c r="I1" s="19"/>
      <c r="J1" s="19"/>
      <c r="K1" s="19"/>
      <c r="L1" s="19"/>
      <c r="M1" s="19"/>
      <c r="N1" s="19"/>
      <c r="O1" s="19"/>
      <c r="P1" s="19"/>
      <c r="Q1" s="19"/>
      <c r="R1" s="19"/>
      <c r="S1" s="19"/>
      <c r="T1" s="19"/>
      <c r="U1" s="19"/>
      <c r="V1" s="19"/>
      <c r="W1" s="19"/>
      <c r="X1" s="19"/>
      <c r="Y1" s="19"/>
      <c r="Z1" s="19"/>
    </row>
    <row r="2" spans="1:64" ht="27" customHeight="1">
      <c r="A2" s="28"/>
      <c r="B2" s="64" t="s">
        <v>0</v>
      </c>
      <c r="C2" s="28"/>
      <c r="D2" s="106"/>
      <c r="E2" s="107"/>
      <c r="P2" s="19"/>
      <c r="Q2" s="19"/>
      <c r="R2" s="19"/>
      <c r="S2" s="19"/>
      <c r="T2" s="19"/>
      <c r="U2" s="19"/>
      <c r="V2" s="19"/>
      <c r="W2" s="19"/>
      <c r="X2" s="19"/>
      <c r="Y2" s="19"/>
      <c r="Z2" s="19"/>
    </row>
    <row r="3" spans="1:64" ht="26.1" customHeight="1">
      <c r="A3" s="28"/>
      <c r="B3" s="65" t="s">
        <v>278</v>
      </c>
      <c r="C3" s="28"/>
      <c r="D3" s="106"/>
      <c r="E3" s="107"/>
    </row>
    <row r="4" spans="1:64" ht="26.1" customHeight="1">
      <c r="B4" s="27"/>
      <c r="C4" s="66"/>
      <c r="D4" s="14"/>
      <c r="E4" s="14"/>
      <c r="K4" s="19"/>
      <c r="N4" s="19"/>
      <c r="O4" s="19"/>
    </row>
    <row r="5" spans="1:64" ht="27.95" customHeight="1">
      <c r="B5" s="103" t="s">
        <v>22</v>
      </c>
      <c r="C5" s="103"/>
      <c r="D5" s="78"/>
      <c r="E5" s="108"/>
      <c r="F5" s="78"/>
      <c r="G5" s="78"/>
      <c r="H5" s="78"/>
      <c r="I5" s="78"/>
      <c r="J5" s="78"/>
      <c r="K5" s="78"/>
      <c r="L5" s="78"/>
      <c r="M5" s="78"/>
      <c r="N5" s="67"/>
      <c r="O5" s="67"/>
      <c r="AA5" s="68"/>
      <c r="AB5" s="68"/>
      <c r="AC5" s="68"/>
      <c r="AD5" s="68"/>
      <c r="AE5" s="68"/>
      <c r="AF5" s="68"/>
      <c r="AG5" s="68"/>
      <c r="AH5" s="68"/>
      <c r="AI5" s="68"/>
      <c r="AJ5" s="68"/>
      <c r="AK5" s="68"/>
      <c r="AL5" s="68"/>
      <c r="AM5" s="68"/>
      <c r="AN5" s="68"/>
      <c r="AO5" s="68"/>
      <c r="AP5" s="68"/>
      <c r="AQ5" s="68"/>
      <c r="AR5" s="68"/>
      <c r="AS5" s="68"/>
      <c r="AT5" s="68"/>
      <c r="AU5" s="68"/>
      <c r="AV5" s="68"/>
      <c r="AW5" s="68"/>
      <c r="AX5" s="68"/>
      <c r="AY5" s="68"/>
      <c r="AZ5" s="68"/>
      <c r="BA5" s="68"/>
      <c r="BB5" s="68"/>
      <c r="BC5" s="68"/>
      <c r="BD5" s="68"/>
      <c r="BE5" s="68"/>
      <c r="BF5" s="68"/>
      <c r="BG5" s="68"/>
      <c r="BH5" s="68"/>
      <c r="BI5" s="68"/>
      <c r="BJ5" s="68"/>
      <c r="BK5" s="68"/>
      <c r="BL5" s="68"/>
    </row>
    <row r="6" spans="1:64" ht="11.65" customHeight="1">
      <c r="B6" s="109"/>
      <c r="C6" s="109"/>
      <c r="D6" s="109"/>
      <c r="E6" s="110"/>
      <c r="F6" s="109"/>
      <c r="G6" s="109"/>
      <c r="H6" s="109"/>
      <c r="I6" s="109"/>
      <c r="J6" s="109"/>
      <c r="K6" s="109"/>
      <c r="L6" s="109"/>
      <c r="M6" s="109"/>
      <c r="N6" s="19"/>
      <c r="O6" s="19"/>
    </row>
    <row r="7" spans="1:64" ht="12.6" customHeight="1">
      <c r="B7" s="19"/>
      <c r="C7" s="19"/>
      <c r="D7" s="19"/>
      <c r="E7" s="107"/>
      <c r="F7" s="19"/>
      <c r="G7" s="19"/>
      <c r="H7" s="19"/>
      <c r="I7" s="19"/>
      <c r="J7" s="19"/>
      <c r="K7" s="19"/>
      <c r="L7" s="19"/>
      <c r="M7" s="19"/>
      <c r="N7" s="19"/>
      <c r="O7" s="19"/>
    </row>
    <row r="8" spans="1:64" ht="18.95" customHeight="1">
      <c r="B8" s="265" t="s">
        <v>322</v>
      </c>
      <c r="C8" s="265"/>
      <c r="D8" s="265"/>
      <c r="E8" s="265"/>
      <c r="F8" s="265"/>
      <c r="G8" s="265"/>
      <c r="H8" s="265"/>
      <c r="I8" s="265"/>
      <c r="J8" s="265"/>
      <c r="K8" s="265"/>
      <c r="L8" s="265"/>
      <c r="M8" s="265"/>
      <c r="N8" s="19"/>
      <c r="O8" s="19"/>
    </row>
    <row r="9" spans="1:64" ht="30" customHeight="1">
      <c r="B9" s="264" t="s">
        <v>471</v>
      </c>
      <c r="C9" s="264"/>
      <c r="D9" s="264"/>
      <c r="E9" s="264"/>
      <c r="F9" s="264"/>
      <c r="G9" s="264"/>
      <c r="H9" s="264"/>
      <c r="I9" s="264"/>
      <c r="J9" s="264"/>
      <c r="K9" s="264"/>
      <c r="L9" s="264"/>
      <c r="M9" s="264"/>
      <c r="N9" s="19"/>
      <c r="O9" s="19"/>
    </row>
    <row r="10" spans="1:64" ht="17.100000000000001" customHeight="1" thickBot="1">
      <c r="B10" s="204"/>
      <c r="C10" s="204"/>
      <c r="D10" s="204"/>
      <c r="E10" s="204"/>
      <c r="F10" s="204"/>
      <c r="G10" s="204"/>
      <c r="H10" s="204"/>
      <c r="I10" s="204"/>
      <c r="J10" s="204"/>
      <c r="K10" s="204"/>
      <c r="L10" s="204"/>
      <c r="M10" s="204"/>
      <c r="N10" s="19"/>
      <c r="O10" s="19"/>
      <c r="P10" s="19"/>
      <c r="Q10" s="19"/>
      <c r="R10" s="19"/>
      <c r="U10" s="19"/>
      <c r="V10" s="19"/>
      <c r="W10" s="19"/>
      <c r="X10" s="19"/>
      <c r="Y10" s="19"/>
    </row>
    <row r="11" spans="1:64" ht="25.35" customHeight="1">
      <c r="B11" s="262" t="s">
        <v>152</v>
      </c>
      <c r="C11" s="263"/>
      <c r="D11" s="28"/>
      <c r="E11" s="14"/>
      <c r="F11" s="104" t="s">
        <v>23</v>
      </c>
      <c r="G11" s="136" t="s">
        <v>359</v>
      </c>
      <c r="H11" s="105" t="s">
        <v>24</v>
      </c>
      <c r="I11" s="23"/>
      <c r="J11" s="104" t="s">
        <v>25</v>
      </c>
      <c r="K11" s="136" t="s">
        <v>359</v>
      </c>
      <c r="L11" s="105" t="s">
        <v>24</v>
      </c>
      <c r="M11" s="19"/>
      <c r="N11" s="19"/>
      <c r="O11" s="19"/>
      <c r="P11" s="19"/>
      <c r="Q11" s="19"/>
      <c r="R11" s="19"/>
      <c r="U11" s="19"/>
      <c r="V11" s="19"/>
      <c r="W11" s="19"/>
      <c r="X11" s="19"/>
      <c r="Y11" s="19"/>
    </row>
    <row r="12" spans="1:64" ht="12" customHeight="1">
      <c r="B12" s="143" t="s">
        <v>90</v>
      </c>
      <c r="C12" s="57" t="n">
        <f>COUNTIF($B$18:$B$243,B12)</f>
        <v>6.0</v>
      </c>
      <c r="D12" s="28"/>
      <c r="E12" s="14"/>
      <c r="F12" s="62" t="s">
        <v>26</v>
      </c>
      <c r="G12" s="61" t="n">
        <f ca="1">J20+J58+J96+J134+J172+J210</f>
        <v>0.0</v>
      </c>
      <c r="H12" s="53" t="n">
        <f ca="1">IF(($G$15+$K$15)=0,0,G12/($G$15+$K$15))</f>
        <v>0.0</v>
      </c>
      <c r="I12" s="28"/>
      <c r="J12" s="60" t="s">
        <v>27</v>
      </c>
      <c r="K12" s="61" t="n">
        <f ca="1">G20+G58+G96+G134+G172+G210</f>
        <v>0.0</v>
      </c>
      <c r="L12" s="53" t="n">
        <f ca="1">IF(($G$15+$K$15)=0,0,K12/($G$15+$K$15))</f>
        <v>0.0</v>
      </c>
      <c r="M12" s="19"/>
      <c r="N12" s="19"/>
      <c r="O12" s="19"/>
      <c r="P12" s="19"/>
      <c r="Q12" s="19"/>
      <c r="R12" s="19"/>
      <c r="U12" s="19"/>
      <c r="V12" s="19"/>
      <c r="W12" s="19"/>
      <c r="X12" s="19"/>
      <c r="Y12" s="19"/>
    </row>
    <row r="13" spans="1:64" ht="12" customHeight="1">
      <c r="B13" s="56"/>
      <c r="C13" s="57"/>
      <c r="D13" s="28"/>
      <c r="E13" s="14"/>
      <c r="F13" s="62" t="s">
        <v>28</v>
      </c>
      <c r="G13" s="61" t="n">
        <f ca="1">I20+I58+I96+I134+I172+I210</f>
        <v>0.0</v>
      </c>
      <c r="H13" s="53" t="n">
        <f ca="1">IF(($G$15+$K$15)=0,0,G13/($G$15+$K$15))</f>
        <v>0.0</v>
      </c>
      <c r="I13" s="28"/>
      <c r="J13" s="60" t="s">
        <v>29</v>
      </c>
      <c r="K13" s="61" t="n">
        <f ca="1">F20+F58+F96+F134+F172+F210</f>
        <v>198.0</v>
      </c>
      <c r="L13" s="53" t="n">
        <f ca="1">IF(($G$15+$K$15)=0,0,K13/($G$15+$K$15))</f>
        <v>1.0</v>
      </c>
      <c r="M13" s="19"/>
      <c r="N13" s="19"/>
      <c r="O13" s="19"/>
      <c r="P13" s="19"/>
      <c r="Q13" s="19"/>
      <c r="R13" s="19"/>
      <c r="U13" s="19"/>
      <c r="V13" s="19"/>
      <c r="W13" s="19"/>
      <c r="X13" s="19"/>
      <c r="Y13" s="19"/>
    </row>
    <row r="14" spans="1:64" ht="12" customHeight="1" thickBot="1">
      <c r="B14" s="58" t="s">
        <v>30</v>
      </c>
      <c r="C14" s="59" t="n">
        <f>C12+C13</f>
        <v>6.0</v>
      </c>
      <c r="D14" s="28"/>
      <c r="E14" s="14"/>
      <c r="F14" s="62" t="s">
        <v>31</v>
      </c>
      <c r="G14" s="61" t="n">
        <f ca="1">H20+H58+H96+H134+H172+H210</f>
        <v>0.0</v>
      </c>
      <c r="H14" s="53" t="n">
        <f ca="1">IF(($G$15+$K$15)=0,0,G14/($G$15+$K$15))</f>
        <v>0.0</v>
      </c>
      <c r="I14" s="28"/>
      <c r="J14" s="231" t="s">
        <v>474</v>
      </c>
      <c r="K14" s="232" t="n">
        <f ca="1">K20+K58+K96+K134+K172+K210</f>
        <v>0.0</v>
      </c>
      <c r="L14" s="53" t="n">
        <f ca="1">IF(($G$15+$K$15)=0,0,K14/($G$15+$K$15))</f>
        <v>0.0</v>
      </c>
      <c r="M14" s="19"/>
      <c r="N14" s="19"/>
      <c r="O14" s="19"/>
      <c r="P14" s="19"/>
      <c r="Q14" s="19"/>
      <c r="R14" s="19"/>
      <c r="U14" s="19"/>
      <c r="V14" s="19"/>
      <c r="W14" s="19"/>
      <c r="X14" s="19"/>
      <c r="Y14" s="19"/>
    </row>
    <row r="15" spans="1:64" ht="12" customHeight="1" thickBot="1">
      <c r="B15" s="23"/>
      <c r="C15" s="28"/>
      <c r="D15" s="28"/>
      <c r="E15" s="14"/>
      <c r="F15" s="58" t="s">
        <v>30</v>
      </c>
      <c r="G15" s="49" t="n">
        <f ca="1">SUM(G12:G14)</f>
        <v>0.0</v>
      </c>
      <c r="H15" s="55" t="n">
        <f ca="1">SUM(H12:H14)</f>
        <v>0.0</v>
      </c>
      <c r="I15" s="28"/>
      <c r="J15" s="58" t="s">
        <v>30</v>
      </c>
      <c r="K15" s="49" t="n">
        <f ca="1">SUM(K12:K13)</f>
        <v>198.0</v>
      </c>
      <c r="L15" s="55" t="n">
        <f ca="1">SUM(L12:L13)</f>
        <v>1.0</v>
      </c>
      <c r="M15" s="19"/>
      <c r="N15" s="19"/>
      <c r="O15" s="19"/>
      <c r="P15" s="19"/>
      <c r="Q15" s="19"/>
      <c r="R15" s="19"/>
      <c r="U15" s="19"/>
      <c r="V15" s="19"/>
      <c r="W15" s="19"/>
      <c r="X15" s="19"/>
      <c r="Y15" s="19"/>
    </row>
    <row r="16" spans="1:64" ht="12" customHeight="1">
      <c r="B16" s="19"/>
      <c r="C16" s="19"/>
      <c r="D16" s="28"/>
      <c r="E16" s="28"/>
      <c r="F16" s="28"/>
      <c r="G16" s="28"/>
      <c r="H16" s="28"/>
      <c r="I16" s="28"/>
      <c r="J16" s="28"/>
      <c r="K16" s="28"/>
      <c r="L16" s="19"/>
      <c r="M16" s="19"/>
      <c r="N16" s="19"/>
      <c r="O16" s="19"/>
      <c r="P16" s="19"/>
      <c r="Q16" s="19"/>
      <c r="R16" s="19"/>
      <c r="U16" s="19"/>
      <c r="V16" s="19"/>
      <c r="W16" s="19"/>
      <c r="X16" s="19"/>
      <c r="Y16" s="19"/>
    </row>
    <row r="17" spans="1:13" ht="13.5" customHeight="1">
      <c r="B17" s="19"/>
      <c r="C17" s="19"/>
      <c r="D17" s="107"/>
      <c r="E17" s="112"/>
      <c r="K17" s="19"/>
      <c r="L17" s="19"/>
      <c r="M17" s="19"/>
    </row>
    <row r="18" spans="1:13" ht="29.25" customHeight="1">
      <c r="A18" s="218" t="s">
        <v>268</v>
      </c>
      <c r="B18" s="24" t="s">
        <v>90</v>
      </c>
      <c r="C18" s="25" t="s">
        <v>91</v>
      </c>
      <c r="D18" s="26" t="s">
        <v>32</v>
      </c>
      <c r="E18" s="123"/>
      <c r="K18" s="19"/>
    </row>
    <row r="19" spans="1:13" ht="12" customHeight="1">
      <c r="A19" s="219" t="n" cm="1">
        <f t="array" ref="A19">IFERROR(INDEX('03.Muestra'!$B$8:$B$42,SMALL(IF("Página Web"='03.Muestra'!$D$8:$D$42,ROW('03.Muestra'!$B$8:$B$42)-MIN(ROW('03.Muestra'!$D$8:$D$42))+1,""),ROW()-18)),"")</f>
        <v>1.0</v>
      </c>
      <c r="B19" s="114" t="str" cm="1">
        <f t="array" ref="B19">IFERROR(INDEX('03.Muestra'!$C$8:$C$42,SMALL(IF("Página Web"='03.Muestra'!$D$8:$D$42,ROW('03.Muestra'!$C$8:$C$42)-MIN(ROW('03.Muestra'!$D$8:$D$42))+1,""),ROW()-18)),"")</f>
        <v>Home - PortCastelló</v>
      </c>
      <c r="C19" s="114" t="str" cm="1">
        <f t="array" ref="C19">IFERROR(INDEX('03.Muestra'!$F$8:$F$42,SMALL(IF("Página Web"='03.Muestra'!$D$8:$D$42,ROW('03.Muestra'!$F$8:$F$42)-MIN(ROW('03.Muestra'!$D$8:$D$42))+1,""),ROW()-18)),"")</f>
        <v>https://www.portcastello.com/</v>
      </c>
      <c r="D19" s="130" t="s">
        <v>33</v>
      </c>
      <c r="E19" s="107" t="str">
        <f t="shared" ref="E19:E53" si="0">IF(D19&lt;&gt;"",IF(AND(B19&lt;&gt;"",C19&lt;&gt;""),"","ERR"),"")</f>
        <v/>
      </c>
      <c r="F19" s="115" t="s">
        <v>33</v>
      </c>
      <c r="G19" s="116" t="s">
        <v>37</v>
      </c>
      <c r="H19" s="117" t="s">
        <v>35</v>
      </c>
      <c r="I19" s="118" t="s">
        <v>28</v>
      </c>
      <c r="J19" s="119" t="s">
        <v>26</v>
      </c>
      <c r="K19" s="226" t="s">
        <v>474</v>
      </c>
    </row>
    <row r="20" spans="1:13" ht="12" customHeight="1">
      <c r="A20" s="219" t="n" cm="1">
        <f t="array" ref="A20">IFERROR(INDEX('03.Muestra'!$B$8:$B$42,SMALL(IF("Página Web"='03.Muestra'!$D$8:$D$42,ROW('03.Muestra'!$B$8:$B$42)-MIN(ROW('03.Muestra'!$D$8:$D$42))+1,""),ROW()-18)),"")</f>
        <v>1.0</v>
      </c>
      <c r="B20" s="114" t="str" cm="1">
        <f t="array" ref="B20">IFERROR(INDEX('03.Muestra'!$C$8:$C$42,SMALL(IF("Página Web"='03.Muestra'!$D$8:$D$42,ROW('03.Muestra'!$C$8:$C$42)-MIN(ROW('03.Muestra'!$D$8:$D$42))+1,""),ROW()-18)),"")</f>
        <v>Home - PortCastelló</v>
      </c>
      <c r="C20" s="114" t="str" cm="1">
        <f t="array" ref="C20">IFERROR(INDEX('03.Muestra'!$F$8:$F$42,SMALL(IF("Página Web"='03.Muestra'!$D$8:$D$42,ROW('03.Muestra'!$F$8:$F$42)-MIN(ROW('03.Muestra'!$D$8:$D$42))+1,""),ROW()-18)),"")</f>
        <v>https://www.portcastello.com/</v>
      </c>
      <c r="D20" s="130" t="s">
        <v>33</v>
      </c>
      <c r="E20" s="107" t="str">
        <f t="shared" si="0"/>
        <v/>
      </c>
      <c r="F20" s="120" t="n">
        <f ca="1">COUNTIF($D19:INDIRECT("$D" &amp;  SUM(ROW()-1,'03.Muestra'!$D$45)-1),F19)</f>
        <v>33.0</v>
      </c>
      <c r="G20" s="120" t="n">
        <f ca="1">COUNTIF($D19:INDIRECT("$D" &amp;  SUM(ROW()-1,'03.Muestra'!$D$45)-1),G19)</f>
        <v>0.0</v>
      </c>
      <c r="H20" s="120" t="n">
        <f ca="1">COUNTIF($D19:INDIRECT("$D" &amp;  SUM(ROW()-1,'03.Muestra'!$D$45)-1),H19)</f>
        <v>0.0</v>
      </c>
      <c r="I20" s="120" t="n">
        <f ca="1">COUNTIF($D19:INDIRECT("$D" &amp;  SUM(ROW()-1,'03.Muestra'!$D$45)-1),I19)</f>
        <v>0.0</v>
      </c>
      <c r="J20" s="120" t="n">
        <f ca="1">COUNTIF($D19:INDIRECT("$D" &amp;  SUM(ROW()-1,'03.Muestra'!$D$45)-1),J19)</f>
        <v>0.0</v>
      </c>
      <c r="K20" s="227" t="n">
        <f ca="1">IF(COUNTIF('03.Muestra'!$D$8:$D$42,"Página Web")=0,0,COUNTBLANK($D19:INDIRECT("$D" &amp;  SUM(ROW()-1,COUNTIF('03.Muestra'!$D$8:$D$42,"Página Web"))-1)))</f>
        <v>0.0</v>
      </c>
    </row>
    <row r="21" spans="1:13" ht="12" customHeight="1">
      <c r="A21" s="219" t="n" cm="1">
        <f t="array" ref="A21">IFERROR(INDEX('03.Muestra'!$B$8:$B$42,SMALL(IF("Página Web"='03.Muestra'!$D$8:$D$42,ROW('03.Muestra'!$B$8:$B$42)-MIN(ROW('03.Muestra'!$D$8:$D$42))+1,""),ROW()-18)),"")</f>
        <v>1.0</v>
      </c>
      <c r="B21" s="114" t="str" cm="1">
        <f t="array" ref="B21">IFERROR(INDEX('03.Muestra'!$C$8:$C$42,SMALL(IF("Página Web"='03.Muestra'!$D$8:$D$42,ROW('03.Muestra'!$C$8:$C$42)-MIN(ROW('03.Muestra'!$D$8:$D$42))+1,""),ROW()-18)),"")</f>
        <v>Home - PortCastelló</v>
      </c>
      <c r="C21" s="114" t="str" cm="1">
        <f t="array" ref="C21">IFERROR(INDEX('03.Muestra'!$F$8:$F$42,SMALL(IF("Página Web"='03.Muestra'!$D$8:$D$42,ROW('03.Muestra'!$F$8:$F$42)-MIN(ROW('03.Muestra'!$D$8:$D$42))+1,""),ROW()-18)),"")</f>
        <v>https://www.portcastello.com/</v>
      </c>
      <c r="D21" s="130" t="s">
        <v>33</v>
      </c>
      <c r="E21" s="107" t="str">
        <f t="shared" si="0"/>
        <v/>
      </c>
      <c r="G21" s="19"/>
      <c r="H21" s="19"/>
      <c r="I21" s="19"/>
      <c r="J21" s="19"/>
      <c r="K21" s="19"/>
    </row>
    <row r="22" spans="1:13" ht="12" customHeight="1">
      <c r="A22" s="219" t="n" cm="1">
        <f t="array" ref="A22">IFERROR(INDEX('03.Muestra'!$B$8:$B$42,SMALL(IF("Página Web"='03.Muestra'!$D$8:$D$42,ROW('03.Muestra'!$B$8:$B$42)-MIN(ROW('03.Muestra'!$D$8:$D$42))+1,""),ROW()-18)),"")</f>
        <v>1.0</v>
      </c>
      <c r="B22" s="114" t="str" cm="1">
        <f t="array" ref="B22">IFERROR(INDEX('03.Muestra'!$C$8:$C$42,SMALL(IF("Página Web"='03.Muestra'!$D$8:$D$42,ROW('03.Muestra'!$C$8:$C$42)-MIN(ROW('03.Muestra'!$D$8:$D$42))+1,""),ROW()-18)),"")</f>
        <v>Home - PortCastelló</v>
      </c>
      <c r="C22" s="114" t="str" cm="1">
        <f t="array" ref="C22">IFERROR(INDEX('03.Muestra'!$F$8:$F$42,SMALL(IF("Página Web"='03.Muestra'!$D$8:$D$42,ROW('03.Muestra'!$F$8:$F$42)-MIN(ROW('03.Muestra'!$D$8:$D$42))+1,""),ROW()-18)),"")</f>
        <v>https://www.portcastello.com/</v>
      </c>
      <c r="D22" s="130" t="s">
        <v>33</v>
      </c>
      <c r="E22" s="107" t="str">
        <f t="shared" si="0"/>
        <v/>
      </c>
      <c r="G22" s="19"/>
      <c r="H22" s="19"/>
      <c r="I22" s="19"/>
      <c r="J22" s="19"/>
      <c r="K22" s="214" t="s">
        <v>33</v>
      </c>
      <c r="L22" s="121" t="s">
        <v>34</v>
      </c>
    </row>
    <row r="23" spans="1:13" ht="12" customHeight="1">
      <c r="A23" s="219" t="n" cm="1">
        <f t="array" ref="A23">IFERROR(INDEX('03.Muestra'!$B$8:$B$42,SMALL(IF("Página Web"='03.Muestra'!$D$8:$D$42,ROW('03.Muestra'!$B$8:$B$42)-MIN(ROW('03.Muestra'!$D$8:$D$42))+1,""),ROW()-18)),"")</f>
        <v>1.0</v>
      </c>
      <c r="B23" s="114" t="str" cm="1">
        <f t="array" ref="B23">IFERROR(INDEX('03.Muestra'!$C$8:$C$42,SMALL(IF("Página Web"='03.Muestra'!$D$8:$D$42,ROW('03.Muestra'!$C$8:$C$42)-MIN(ROW('03.Muestra'!$D$8:$D$42))+1,""),ROW()-18)),"")</f>
        <v>Home - PortCastelló</v>
      </c>
      <c r="C23" s="114" t="str" cm="1">
        <f t="array" ref="C23">IFERROR(INDEX('03.Muestra'!$F$8:$F$42,SMALL(IF("Página Web"='03.Muestra'!$D$8:$D$42,ROW('03.Muestra'!$F$8:$F$42)-MIN(ROW('03.Muestra'!$D$8:$D$42))+1,""),ROW()-18)),"")</f>
        <v>https://www.portcastello.com/</v>
      </c>
      <c r="D23" s="130" t="s">
        <v>33</v>
      </c>
      <c r="E23" s="107" t="str">
        <f t="shared" si="0"/>
        <v/>
      </c>
      <c r="G23" s="19"/>
      <c r="H23" s="19"/>
      <c r="I23" s="19"/>
      <c r="J23" s="19"/>
      <c r="K23" s="117" t="s">
        <v>35</v>
      </c>
      <c r="L23" s="121" t="s">
        <v>36</v>
      </c>
    </row>
    <row r="24" spans="1:13" ht="12" customHeight="1">
      <c r="A24" s="219" t="n" cm="1">
        <f t="array" ref="A24">IFERROR(INDEX('03.Muestra'!$B$8:$B$42,SMALL(IF("Página Web"='03.Muestra'!$D$8:$D$42,ROW('03.Muestra'!$B$8:$B$42)-MIN(ROW('03.Muestra'!$D$8:$D$42))+1,""),ROW()-18)),"")</f>
        <v>1.0</v>
      </c>
      <c r="B24" s="114" t="str" cm="1">
        <f t="array" ref="B24">IFERROR(INDEX('03.Muestra'!$C$8:$C$42,SMALL(IF("Página Web"='03.Muestra'!$D$8:$D$42,ROW('03.Muestra'!$C$8:$C$42)-MIN(ROW('03.Muestra'!$D$8:$D$42))+1,""),ROW()-18)),"")</f>
        <v>Home - PortCastelló</v>
      </c>
      <c r="C24" s="114" t="str" cm="1">
        <f t="array" ref="C24">IFERROR(INDEX('03.Muestra'!$F$8:$F$42,SMALL(IF("Página Web"='03.Muestra'!$D$8:$D$42,ROW('03.Muestra'!$F$8:$F$42)-MIN(ROW('03.Muestra'!$D$8:$D$42))+1,""),ROW()-18)),"")</f>
        <v>https://www.portcastello.com/</v>
      </c>
      <c r="D24" s="130" t="s">
        <v>33</v>
      </c>
      <c r="E24" s="107" t="str">
        <f t="shared" si="0"/>
        <v/>
      </c>
      <c r="G24" s="19"/>
      <c r="H24" s="19"/>
      <c r="I24" s="19"/>
      <c r="J24" s="19"/>
      <c r="K24" s="116" t="s">
        <v>37</v>
      </c>
      <c r="L24" s="121" t="s">
        <v>38</v>
      </c>
    </row>
    <row r="25" spans="1:13" ht="12" customHeight="1">
      <c r="A25" s="219" t="n" cm="1">
        <f t="array" ref="A25">IFERROR(INDEX('03.Muestra'!$B$8:$B$42,SMALL(IF("Página Web"='03.Muestra'!$D$8:$D$42,ROW('03.Muestra'!$B$8:$B$42)-MIN(ROW('03.Muestra'!$D$8:$D$42))+1,""),ROW()-18)),"")</f>
        <v>1.0</v>
      </c>
      <c r="B25" s="114" t="str" cm="1">
        <f t="array" ref="B25">IFERROR(INDEX('03.Muestra'!$C$8:$C$42,SMALL(IF("Página Web"='03.Muestra'!$D$8:$D$42,ROW('03.Muestra'!$C$8:$C$42)-MIN(ROW('03.Muestra'!$D$8:$D$42))+1,""),ROW()-18)),"")</f>
        <v>Home - PortCastelló</v>
      </c>
      <c r="C25" s="114" t="str" cm="1">
        <f t="array" ref="C25">IFERROR(INDEX('03.Muestra'!$F$8:$F$42,SMALL(IF("Página Web"='03.Muestra'!$D$8:$D$42,ROW('03.Muestra'!$F$8:$F$42)-MIN(ROW('03.Muestra'!$D$8:$D$42))+1,""),ROW()-18)),"")</f>
        <v>https://www.portcastello.com/</v>
      </c>
      <c r="D25" s="130" t="s">
        <v>33</v>
      </c>
      <c r="E25" s="107" t="str">
        <f t="shared" si="0"/>
        <v/>
      </c>
      <c r="F25" s="19"/>
      <c r="G25" s="19"/>
      <c r="H25" s="19"/>
      <c r="I25" s="19"/>
      <c r="J25" s="19"/>
      <c r="L25" s="121"/>
    </row>
    <row r="26" spans="1:13" ht="12" customHeight="1">
      <c r="A26" s="219" t="n" cm="1">
        <f t="array" ref="A26">IFERROR(INDEX('03.Muestra'!$B$8:$B$42,SMALL(IF("Página Web"='03.Muestra'!$D$8:$D$42,ROW('03.Muestra'!$B$8:$B$42)-MIN(ROW('03.Muestra'!$D$8:$D$42))+1,""),ROW()-18)),"")</f>
        <v>1.0</v>
      </c>
      <c r="B26" s="114" t="str" cm="1">
        <f t="array" ref="B26">IFERROR(INDEX('03.Muestra'!$C$8:$C$42,SMALL(IF("Página Web"='03.Muestra'!$D$8:$D$42,ROW('03.Muestra'!$C$8:$C$42)-MIN(ROW('03.Muestra'!$D$8:$D$42))+1,""),ROW()-18)),"")</f>
        <v>Home - PortCastelló</v>
      </c>
      <c r="C26" s="114" t="str" cm="1">
        <f t="array" ref="C26">IFERROR(INDEX('03.Muestra'!$F$8:$F$42,SMALL(IF("Página Web"='03.Muestra'!$D$8:$D$42,ROW('03.Muestra'!$F$8:$F$42)-MIN(ROW('03.Muestra'!$D$8:$D$42))+1,""),ROW()-18)),"")</f>
        <v>https://www.portcastello.com/</v>
      </c>
      <c r="D26" s="130" t="s">
        <v>33</v>
      </c>
      <c r="E26" s="107" t="str">
        <f t="shared" si="0"/>
        <v/>
      </c>
      <c r="F26" s="19"/>
      <c r="G26" s="19"/>
      <c r="H26" s="19"/>
      <c r="I26" s="19"/>
      <c r="J26" s="19"/>
      <c r="K26" s="19"/>
    </row>
    <row r="27" spans="1:13" ht="12" customHeight="1">
      <c r="A27" s="219" t="n" cm="1">
        <f t="array" ref="A27">IFERROR(INDEX('03.Muestra'!$B$8:$B$42,SMALL(IF("Página Web"='03.Muestra'!$D$8:$D$42,ROW('03.Muestra'!$B$8:$B$42)-MIN(ROW('03.Muestra'!$D$8:$D$42))+1,""),ROW()-18)),"")</f>
        <v>1.0</v>
      </c>
      <c r="B27" s="114" t="str" cm="1">
        <f t="array" ref="B27">IFERROR(INDEX('03.Muestra'!$C$8:$C$42,SMALL(IF("Página Web"='03.Muestra'!$D$8:$D$42,ROW('03.Muestra'!$C$8:$C$42)-MIN(ROW('03.Muestra'!$D$8:$D$42))+1,""),ROW()-18)),"")</f>
        <v>Home - PortCastelló</v>
      </c>
      <c r="C27" s="114" t="str" cm="1">
        <f t="array" ref="C27">IFERROR(INDEX('03.Muestra'!$F$8:$F$42,SMALL(IF("Página Web"='03.Muestra'!$D$8:$D$42,ROW('03.Muestra'!$F$8:$F$42)-MIN(ROW('03.Muestra'!$D$8:$D$42))+1,""),ROW()-18)),"")</f>
        <v>https://www.portcastello.com/</v>
      </c>
      <c r="D27" s="130" t="s">
        <v>33</v>
      </c>
      <c r="E27" s="107" t="str">
        <f t="shared" si="0"/>
        <v/>
      </c>
      <c r="F27" s="19"/>
      <c r="G27" s="19"/>
      <c r="H27" s="19"/>
      <c r="I27" s="19"/>
      <c r="J27" s="19"/>
      <c r="K27" s="19"/>
    </row>
    <row r="28" spans="1:13" ht="12" customHeight="1">
      <c r="A28" s="219" t="n" cm="1">
        <f t="array" ref="A28">IFERROR(INDEX('03.Muestra'!$B$8:$B$42,SMALL(IF("Página Web"='03.Muestra'!$D$8:$D$42,ROW('03.Muestra'!$B$8:$B$42)-MIN(ROW('03.Muestra'!$D$8:$D$42))+1,""),ROW()-18)),"")</f>
        <v>1.0</v>
      </c>
      <c r="B28" s="114" t="str" cm="1">
        <f t="array" ref="B28">IFERROR(INDEX('03.Muestra'!$C$8:$C$42,SMALL(IF("Página Web"='03.Muestra'!$D$8:$D$42,ROW('03.Muestra'!$C$8:$C$42)-MIN(ROW('03.Muestra'!$D$8:$D$42))+1,""),ROW()-18)),"")</f>
        <v>Home - PortCastelló</v>
      </c>
      <c r="C28" s="114" t="str" cm="1">
        <f t="array" ref="C28">IFERROR(INDEX('03.Muestra'!$F$8:$F$42,SMALL(IF("Página Web"='03.Muestra'!$D$8:$D$42,ROW('03.Muestra'!$F$8:$F$42)-MIN(ROW('03.Muestra'!$D$8:$D$42))+1,""),ROW()-18)),"")</f>
        <v>https://www.portcastello.com/</v>
      </c>
      <c r="D28" s="130" t="s">
        <v>33</v>
      </c>
      <c r="E28" s="107" t="str">
        <f t="shared" si="0"/>
        <v/>
      </c>
      <c r="F28" s="19"/>
      <c r="G28" s="19"/>
      <c r="H28" s="19"/>
      <c r="I28" s="19"/>
      <c r="J28" s="19"/>
      <c r="K28" s="19"/>
    </row>
    <row r="29" spans="1:13" ht="12" customHeight="1">
      <c r="A29" s="219" t="n" cm="1">
        <f t="array" ref="A29">IFERROR(INDEX('03.Muestra'!$B$8:$B$42,SMALL(IF("Página Web"='03.Muestra'!$D$8:$D$42,ROW('03.Muestra'!$B$8:$B$42)-MIN(ROW('03.Muestra'!$D$8:$D$42))+1,""),ROW()-18)),"")</f>
        <v>1.0</v>
      </c>
      <c r="B29" s="114" t="str" cm="1">
        <f t="array" ref="B29">IFERROR(INDEX('03.Muestra'!$C$8:$C$42,SMALL(IF("Página Web"='03.Muestra'!$D$8:$D$42,ROW('03.Muestra'!$C$8:$C$42)-MIN(ROW('03.Muestra'!$D$8:$D$42))+1,""),ROW()-18)),"")</f>
        <v>Home - PortCastelló</v>
      </c>
      <c r="C29" s="114" t="str" cm="1">
        <f t="array" ref="C29">IFERROR(INDEX('03.Muestra'!$F$8:$F$42,SMALL(IF("Página Web"='03.Muestra'!$D$8:$D$42,ROW('03.Muestra'!$F$8:$F$42)-MIN(ROW('03.Muestra'!$D$8:$D$42))+1,""),ROW()-18)),"")</f>
        <v>https://www.portcastello.com/</v>
      </c>
      <c r="D29" s="130" t="s">
        <v>33</v>
      </c>
      <c r="E29" s="107" t="str">
        <f t="shared" si="0"/>
        <v/>
      </c>
      <c r="F29" s="19"/>
      <c r="G29" s="19"/>
      <c r="H29" s="19"/>
      <c r="I29" s="19"/>
      <c r="J29" s="19"/>
      <c r="K29" s="19"/>
    </row>
    <row r="30" spans="1:13" ht="12" customHeight="1">
      <c r="A30" s="219" t="n" cm="1">
        <f t="array" ref="A30">IFERROR(INDEX('03.Muestra'!$B$8:$B$42,SMALL(IF("Página Web"='03.Muestra'!$D$8:$D$42,ROW('03.Muestra'!$B$8:$B$42)-MIN(ROW('03.Muestra'!$D$8:$D$42))+1,""),ROW()-18)),"")</f>
        <v>1.0</v>
      </c>
      <c r="B30" s="114" t="str" cm="1">
        <f t="array" ref="B30">IFERROR(INDEX('03.Muestra'!$C$8:$C$42,SMALL(IF("Página Web"='03.Muestra'!$D$8:$D$42,ROW('03.Muestra'!$C$8:$C$42)-MIN(ROW('03.Muestra'!$D$8:$D$42))+1,""),ROW()-18)),"")</f>
        <v>Home - PortCastelló</v>
      </c>
      <c r="C30" s="114" t="str" cm="1">
        <f t="array" ref="C30">IFERROR(INDEX('03.Muestra'!$F$8:$F$42,SMALL(IF("Página Web"='03.Muestra'!$D$8:$D$42,ROW('03.Muestra'!$F$8:$F$42)-MIN(ROW('03.Muestra'!$D$8:$D$42))+1,""),ROW()-18)),"")</f>
        <v>https://www.portcastello.com/</v>
      </c>
      <c r="D30" s="130" t="s">
        <v>33</v>
      </c>
      <c r="E30" s="107" t="str">
        <f t="shared" si="0"/>
        <v/>
      </c>
      <c r="F30" s="19"/>
      <c r="G30" s="19"/>
      <c r="H30" s="19"/>
      <c r="I30" s="19"/>
      <c r="J30" s="19"/>
      <c r="K30" s="19"/>
    </row>
    <row r="31" spans="1:13" ht="12" customHeight="1">
      <c r="A31" s="219" t="n" cm="1">
        <f t="array" ref="A31">IFERROR(INDEX('03.Muestra'!$B$8:$B$42,SMALL(IF("Página Web"='03.Muestra'!$D$8:$D$42,ROW('03.Muestra'!$B$8:$B$42)-MIN(ROW('03.Muestra'!$D$8:$D$42))+1,""),ROW()-18)),"")</f>
        <v>1.0</v>
      </c>
      <c r="B31" s="114" t="str" cm="1">
        <f t="array" ref="B31">IFERROR(INDEX('03.Muestra'!$C$8:$C$42,SMALL(IF("Página Web"='03.Muestra'!$D$8:$D$42,ROW('03.Muestra'!$C$8:$C$42)-MIN(ROW('03.Muestra'!$D$8:$D$42))+1,""),ROW()-18)),"")</f>
        <v>Home - PortCastelló</v>
      </c>
      <c r="C31" s="114" t="str" cm="1">
        <f t="array" ref="C31">IFERROR(INDEX('03.Muestra'!$F$8:$F$42,SMALL(IF("Página Web"='03.Muestra'!$D$8:$D$42,ROW('03.Muestra'!$F$8:$F$42)-MIN(ROW('03.Muestra'!$D$8:$D$42))+1,""),ROW()-18)),"")</f>
        <v>https://www.portcastello.com/</v>
      </c>
      <c r="D31" s="130" t="s">
        <v>33</v>
      </c>
      <c r="E31" s="107" t="str">
        <f t="shared" si="0"/>
        <v/>
      </c>
      <c r="F31" s="19"/>
      <c r="G31" s="19"/>
      <c r="H31" s="19"/>
      <c r="I31" s="19"/>
      <c r="J31" s="19"/>
      <c r="K31" s="19"/>
    </row>
    <row r="32" spans="1:13" ht="12" customHeight="1">
      <c r="A32" s="219" t="n" cm="1">
        <f t="array" ref="A32">IFERROR(INDEX('03.Muestra'!$B$8:$B$42,SMALL(IF("Página Web"='03.Muestra'!$D$8:$D$42,ROW('03.Muestra'!$B$8:$B$42)-MIN(ROW('03.Muestra'!$D$8:$D$42))+1,""),ROW()-18)),"")</f>
        <v>1.0</v>
      </c>
      <c r="B32" s="114" t="str" cm="1">
        <f t="array" ref="B32">IFERROR(INDEX('03.Muestra'!$C$8:$C$42,SMALL(IF("Página Web"='03.Muestra'!$D$8:$D$42,ROW('03.Muestra'!$C$8:$C$42)-MIN(ROW('03.Muestra'!$D$8:$D$42))+1,""),ROW()-18)),"")</f>
        <v>Home - PortCastelló</v>
      </c>
      <c r="C32" s="114" t="str" cm="1">
        <f t="array" ref="C32">IFERROR(INDEX('03.Muestra'!$F$8:$F$42,SMALL(IF("Página Web"='03.Muestra'!$D$8:$D$42,ROW('03.Muestra'!$F$8:$F$42)-MIN(ROW('03.Muestra'!$D$8:$D$42))+1,""),ROW()-18)),"")</f>
        <v>https://www.portcastello.com/</v>
      </c>
      <c r="D32" s="130" t="s">
        <v>33</v>
      </c>
      <c r="E32" s="107" t="str">
        <f t="shared" si="0"/>
        <v/>
      </c>
      <c r="F32" s="19"/>
      <c r="G32" s="19"/>
      <c r="H32" s="19"/>
      <c r="I32" s="19"/>
      <c r="J32" s="19"/>
      <c r="K32" s="19"/>
    </row>
    <row r="33" spans="1:11" ht="12" customHeight="1">
      <c r="A33" s="219" t="n" cm="1">
        <f t="array" ref="A33">IFERROR(INDEX('03.Muestra'!$B$8:$B$42,SMALL(IF("Página Web"='03.Muestra'!$D$8:$D$42,ROW('03.Muestra'!$B$8:$B$42)-MIN(ROW('03.Muestra'!$D$8:$D$42))+1,""),ROW()-18)),"")</f>
        <v>1.0</v>
      </c>
      <c r="B33" s="114" t="str" cm="1">
        <f t="array" ref="B33">IFERROR(INDEX('03.Muestra'!$C$8:$C$42,SMALL(IF("Página Web"='03.Muestra'!$D$8:$D$42,ROW('03.Muestra'!$C$8:$C$42)-MIN(ROW('03.Muestra'!$D$8:$D$42))+1,""),ROW()-18)),"")</f>
        <v>Home - PortCastelló</v>
      </c>
      <c r="C33" s="114" t="str" cm="1">
        <f t="array" ref="C33">IFERROR(INDEX('03.Muestra'!$F$8:$F$42,SMALL(IF("Página Web"='03.Muestra'!$D$8:$D$42,ROW('03.Muestra'!$F$8:$F$42)-MIN(ROW('03.Muestra'!$D$8:$D$42))+1,""),ROW()-18)),"")</f>
        <v>https://www.portcastello.com/</v>
      </c>
      <c r="D33" s="130" t="s">
        <v>33</v>
      </c>
      <c r="E33" s="107" t="str">
        <f t="shared" si="0"/>
        <v/>
      </c>
      <c r="F33" s="19"/>
      <c r="G33" s="19"/>
      <c r="H33" s="19"/>
      <c r="I33" s="19"/>
      <c r="J33" s="19"/>
      <c r="K33" s="19"/>
    </row>
    <row r="34" spans="1:11" ht="12" customHeight="1">
      <c r="A34" s="219" t="n" cm="1">
        <f t="array" ref="A34">IFERROR(INDEX('03.Muestra'!$B$8:$B$42,SMALL(IF("Página Web"='03.Muestra'!$D$8:$D$42,ROW('03.Muestra'!$B$8:$B$42)-MIN(ROW('03.Muestra'!$D$8:$D$42))+1,""),ROW()-18)),"")</f>
        <v>1.0</v>
      </c>
      <c r="B34" s="114" t="str" cm="1">
        <f t="array" ref="B34">IFERROR(INDEX('03.Muestra'!$C$8:$C$42,SMALL(IF("Página Web"='03.Muestra'!$D$8:$D$42,ROW('03.Muestra'!$C$8:$C$42)-MIN(ROW('03.Muestra'!$D$8:$D$42))+1,""),ROW()-18)),"")</f>
        <v>Home - PortCastelló</v>
      </c>
      <c r="C34" s="114" t="str" cm="1">
        <f t="array" ref="C34">IFERROR(INDEX('03.Muestra'!$F$8:$F$42,SMALL(IF("Página Web"='03.Muestra'!$D$8:$D$42,ROW('03.Muestra'!$F$8:$F$42)-MIN(ROW('03.Muestra'!$D$8:$D$42))+1,""),ROW()-18)),"")</f>
        <v>https://www.portcastello.com/</v>
      </c>
      <c r="D34" s="130" t="s">
        <v>33</v>
      </c>
      <c r="E34" s="107" t="str">
        <f t="shared" si="0"/>
        <v/>
      </c>
      <c r="F34" s="19"/>
      <c r="G34" s="19"/>
      <c r="H34" s="19"/>
      <c r="I34" s="19"/>
      <c r="J34" s="19"/>
      <c r="K34" s="19"/>
    </row>
    <row r="35" spans="1:11" ht="12" customHeight="1">
      <c r="A35" s="219" t="n" cm="1">
        <f t="array" ref="A35">IFERROR(INDEX('03.Muestra'!$B$8:$B$42,SMALL(IF("Página Web"='03.Muestra'!$D$8:$D$42,ROW('03.Muestra'!$B$8:$B$42)-MIN(ROW('03.Muestra'!$D$8:$D$42))+1,""),ROW()-18)),"")</f>
        <v>1.0</v>
      </c>
      <c r="B35" s="114" t="str" cm="1">
        <f t="array" ref="B35">IFERROR(INDEX('03.Muestra'!$C$8:$C$42,SMALL(IF("Página Web"='03.Muestra'!$D$8:$D$42,ROW('03.Muestra'!$C$8:$C$42)-MIN(ROW('03.Muestra'!$D$8:$D$42))+1,""),ROW()-18)),"")</f>
        <v>Home - PortCastelló</v>
      </c>
      <c r="C35" s="114" t="str" cm="1">
        <f t="array" ref="C35">IFERROR(INDEX('03.Muestra'!$F$8:$F$42,SMALL(IF("Página Web"='03.Muestra'!$D$8:$D$42,ROW('03.Muestra'!$F$8:$F$42)-MIN(ROW('03.Muestra'!$D$8:$D$42))+1,""),ROW()-18)),"")</f>
        <v>https://www.portcastello.com/</v>
      </c>
      <c r="D35" s="130" t="s">
        <v>33</v>
      </c>
      <c r="E35" s="107" t="str">
        <f t="shared" si="0"/>
        <v/>
      </c>
      <c r="F35" s="19"/>
      <c r="G35" s="19"/>
      <c r="H35" s="19"/>
      <c r="I35" s="19"/>
      <c r="J35" s="19"/>
      <c r="K35" s="19"/>
    </row>
    <row r="36" spans="1:11" ht="12" customHeight="1">
      <c r="A36" s="219" t="n" cm="1">
        <f t="array" ref="A36">IFERROR(INDEX('03.Muestra'!$B$8:$B$42,SMALL(IF("Página Web"='03.Muestra'!$D$8:$D$42,ROW('03.Muestra'!$B$8:$B$42)-MIN(ROW('03.Muestra'!$D$8:$D$42))+1,""),ROW()-18)),"")</f>
        <v>1.0</v>
      </c>
      <c r="B36" s="114" t="str" cm="1">
        <f t="array" ref="B36">IFERROR(INDEX('03.Muestra'!$C$8:$C$42,SMALL(IF("Página Web"='03.Muestra'!$D$8:$D$42,ROW('03.Muestra'!$C$8:$C$42)-MIN(ROW('03.Muestra'!$D$8:$D$42))+1,""),ROW()-18)),"")</f>
        <v>Home - PortCastelló</v>
      </c>
      <c r="C36" s="114" t="str" cm="1">
        <f t="array" ref="C36">IFERROR(INDEX('03.Muestra'!$F$8:$F$42,SMALL(IF("Página Web"='03.Muestra'!$D$8:$D$42,ROW('03.Muestra'!$F$8:$F$42)-MIN(ROW('03.Muestra'!$D$8:$D$42))+1,""),ROW()-18)),"")</f>
        <v>https://www.portcastello.com/</v>
      </c>
      <c r="D36" s="130" t="s">
        <v>33</v>
      </c>
      <c r="E36" s="107" t="str">
        <f t="shared" si="0"/>
        <v/>
      </c>
      <c r="F36" s="19"/>
      <c r="G36" s="19"/>
      <c r="H36" s="19"/>
      <c r="I36" s="19"/>
      <c r="J36" s="19"/>
      <c r="K36" s="19"/>
    </row>
    <row r="37" spans="1:11" ht="12" customHeight="1">
      <c r="A37" s="219" t="n" cm="1">
        <f t="array" ref="A37">IFERROR(INDEX('03.Muestra'!$B$8:$B$42,SMALL(IF("Página Web"='03.Muestra'!$D$8:$D$42,ROW('03.Muestra'!$B$8:$B$42)-MIN(ROW('03.Muestra'!$D$8:$D$42))+1,""),ROW()-18)),"")</f>
        <v>1.0</v>
      </c>
      <c r="B37" s="114" t="str" cm="1">
        <f t="array" ref="B37">IFERROR(INDEX('03.Muestra'!$C$8:$C$42,SMALL(IF("Página Web"='03.Muestra'!$D$8:$D$42,ROW('03.Muestra'!$C$8:$C$42)-MIN(ROW('03.Muestra'!$D$8:$D$42))+1,""),ROW()-18)),"")</f>
        <v>Home - PortCastelló</v>
      </c>
      <c r="C37" s="114" t="str" cm="1">
        <f t="array" ref="C37">IFERROR(INDEX('03.Muestra'!$F$8:$F$42,SMALL(IF("Página Web"='03.Muestra'!$D$8:$D$42,ROW('03.Muestra'!$F$8:$F$42)-MIN(ROW('03.Muestra'!$D$8:$D$42))+1,""),ROW()-18)),"")</f>
        <v>https://www.portcastello.com/</v>
      </c>
      <c r="D37" s="130" t="s">
        <v>33</v>
      </c>
      <c r="E37" s="107" t="str">
        <f t="shared" si="0"/>
        <v/>
      </c>
      <c r="F37" s="19"/>
      <c r="G37" s="19"/>
      <c r="H37" s="19"/>
      <c r="I37" s="19"/>
      <c r="J37" s="19"/>
      <c r="K37" s="19"/>
    </row>
    <row r="38" spans="1:11" ht="12" customHeight="1">
      <c r="A38" s="219" t="n" cm="1">
        <f t="array" ref="A38">IFERROR(INDEX('03.Muestra'!$B$8:$B$42,SMALL(IF("Página Web"='03.Muestra'!$D$8:$D$42,ROW('03.Muestra'!$B$8:$B$42)-MIN(ROW('03.Muestra'!$D$8:$D$42))+1,""),ROW()-18)),"")</f>
        <v>1.0</v>
      </c>
      <c r="B38" s="114" t="str" cm="1">
        <f t="array" ref="B38">IFERROR(INDEX('03.Muestra'!$C$8:$C$42,SMALL(IF("Página Web"='03.Muestra'!$D$8:$D$42,ROW('03.Muestra'!$C$8:$C$42)-MIN(ROW('03.Muestra'!$D$8:$D$42))+1,""),ROW()-18)),"")</f>
        <v>Home - PortCastelló</v>
      </c>
      <c r="C38" s="114" t="str" cm="1">
        <f t="array" ref="C38">IFERROR(INDEX('03.Muestra'!$F$8:$F$42,SMALL(IF("Página Web"='03.Muestra'!$D$8:$D$42,ROW('03.Muestra'!$F$8:$F$42)-MIN(ROW('03.Muestra'!$D$8:$D$42))+1,""),ROW()-18)),"")</f>
        <v>https://www.portcastello.com/</v>
      </c>
      <c r="D38" s="130" t="s">
        <v>33</v>
      </c>
      <c r="E38" s="107" t="str">
        <f t="shared" si="0"/>
        <v/>
      </c>
      <c r="F38" s="19"/>
      <c r="G38" s="19"/>
      <c r="H38" s="19"/>
      <c r="I38" s="19"/>
      <c r="J38" s="19"/>
      <c r="K38" s="19"/>
    </row>
    <row r="39" spans="1:11" ht="12" customHeight="1">
      <c r="A39" s="219" t="n" cm="1">
        <f t="array" ref="A39">IFERROR(INDEX('03.Muestra'!$B$8:$B$42,SMALL(IF("Página Web"='03.Muestra'!$D$8:$D$42,ROW('03.Muestra'!$B$8:$B$42)-MIN(ROW('03.Muestra'!$D$8:$D$42))+1,""),ROW()-18)),"")</f>
        <v>1.0</v>
      </c>
      <c r="B39" s="114" t="str" cm="1">
        <f t="array" ref="B39">IFERROR(INDEX('03.Muestra'!$C$8:$C$42,SMALL(IF("Página Web"='03.Muestra'!$D$8:$D$42,ROW('03.Muestra'!$C$8:$C$42)-MIN(ROW('03.Muestra'!$D$8:$D$42))+1,""),ROW()-18)),"")</f>
        <v>Home - PortCastelló</v>
      </c>
      <c r="C39" s="114" t="str" cm="1">
        <f t="array" ref="C39">IFERROR(INDEX('03.Muestra'!$F$8:$F$42,SMALL(IF("Página Web"='03.Muestra'!$D$8:$D$42,ROW('03.Muestra'!$F$8:$F$42)-MIN(ROW('03.Muestra'!$D$8:$D$42))+1,""),ROW()-18)),"")</f>
        <v>https://www.portcastello.com/</v>
      </c>
      <c r="D39" s="130" t="s">
        <v>33</v>
      </c>
      <c r="E39" s="107" t="str">
        <f t="shared" si="0"/>
        <v/>
      </c>
      <c r="F39" s="19"/>
      <c r="G39" s="19"/>
      <c r="H39" s="19"/>
      <c r="I39" s="19"/>
      <c r="J39" s="19"/>
      <c r="K39" s="19"/>
    </row>
    <row r="40" spans="1:11" ht="12" customHeight="1">
      <c r="A40" s="219" t="n" cm="1">
        <f t="array" ref="A40">IFERROR(INDEX('03.Muestra'!$B$8:$B$42,SMALL(IF("Página Web"='03.Muestra'!$D$8:$D$42,ROW('03.Muestra'!$B$8:$B$42)-MIN(ROW('03.Muestra'!$D$8:$D$42))+1,""),ROW()-18)),"")</f>
        <v>1.0</v>
      </c>
      <c r="B40" s="114" t="str" cm="1">
        <f t="array" ref="B40">IFERROR(INDEX('03.Muestra'!$C$8:$C$42,SMALL(IF("Página Web"='03.Muestra'!$D$8:$D$42,ROW('03.Muestra'!$C$8:$C$42)-MIN(ROW('03.Muestra'!$D$8:$D$42))+1,""),ROW()-18)),"")</f>
        <v>Home - PortCastelló</v>
      </c>
      <c r="C40" s="114" t="str" cm="1">
        <f t="array" ref="C40">IFERROR(INDEX('03.Muestra'!$F$8:$F$42,SMALL(IF("Página Web"='03.Muestra'!$D$8:$D$42,ROW('03.Muestra'!$F$8:$F$42)-MIN(ROW('03.Muestra'!$D$8:$D$42))+1,""),ROW()-18)),"")</f>
        <v>https://www.portcastello.com/</v>
      </c>
      <c r="D40" s="130" t="s">
        <v>33</v>
      </c>
      <c r="E40" s="107" t="str">
        <f t="shared" si="0"/>
        <v/>
      </c>
      <c r="F40" s="19"/>
      <c r="G40" s="19"/>
      <c r="H40" s="19"/>
      <c r="I40" s="19"/>
      <c r="J40" s="19"/>
      <c r="K40" s="19"/>
    </row>
    <row r="41" spans="1:11" ht="12" customHeight="1">
      <c r="A41" s="219" t="n" cm="1">
        <f t="array" ref="A41">IFERROR(INDEX('03.Muestra'!$B$8:$B$42,SMALL(IF("Página Web"='03.Muestra'!$D$8:$D$42,ROW('03.Muestra'!$B$8:$B$42)-MIN(ROW('03.Muestra'!$D$8:$D$42))+1,""),ROW()-18)),"")</f>
        <v>1.0</v>
      </c>
      <c r="B41" s="114" t="str" cm="1">
        <f t="array" ref="B41">IFERROR(INDEX('03.Muestra'!$C$8:$C$42,SMALL(IF("Página Web"='03.Muestra'!$D$8:$D$42,ROW('03.Muestra'!$C$8:$C$42)-MIN(ROW('03.Muestra'!$D$8:$D$42))+1,""),ROW()-18)),"")</f>
        <v>Home - PortCastelló</v>
      </c>
      <c r="C41" s="114" t="str" cm="1">
        <f t="array" ref="C41">IFERROR(INDEX('03.Muestra'!$F$8:$F$42,SMALL(IF("Página Web"='03.Muestra'!$D$8:$D$42,ROW('03.Muestra'!$F$8:$F$42)-MIN(ROW('03.Muestra'!$D$8:$D$42))+1,""),ROW()-18)),"")</f>
        <v>https://www.portcastello.com/</v>
      </c>
      <c r="D41" s="130" t="s">
        <v>33</v>
      </c>
      <c r="E41" s="107" t="str">
        <f t="shared" si="0"/>
        <v/>
      </c>
      <c r="F41" s="19"/>
      <c r="G41" s="19"/>
      <c r="H41" s="19"/>
      <c r="I41" s="19"/>
      <c r="J41" s="19"/>
      <c r="K41" s="19"/>
    </row>
    <row r="42" spans="1:11" ht="12" customHeight="1">
      <c r="A42" s="219" t="n" cm="1">
        <f t="array" ref="A42">IFERROR(INDEX('03.Muestra'!$B$8:$B$42,SMALL(IF("Página Web"='03.Muestra'!$D$8:$D$42,ROW('03.Muestra'!$B$8:$B$42)-MIN(ROW('03.Muestra'!$D$8:$D$42))+1,""),ROW()-18)),"")</f>
        <v>1.0</v>
      </c>
      <c r="B42" s="114" t="str" cm="1">
        <f t="array" ref="B42">IFERROR(INDEX('03.Muestra'!$C$8:$C$42,SMALL(IF("Página Web"='03.Muestra'!$D$8:$D$42,ROW('03.Muestra'!$C$8:$C$42)-MIN(ROW('03.Muestra'!$D$8:$D$42))+1,""),ROW()-18)),"")</f>
        <v>Home - PortCastelló</v>
      </c>
      <c r="C42" s="114" t="str" cm="1">
        <f t="array" ref="C42">IFERROR(INDEX('03.Muestra'!$F$8:$F$42,SMALL(IF("Página Web"='03.Muestra'!$D$8:$D$42,ROW('03.Muestra'!$F$8:$F$42)-MIN(ROW('03.Muestra'!$D$8:$D$42))+1,""),ROW()-18)),"")</f>
        <v>https://www.portcastello.com/</v>
      </c>
      <c r="D42" s="130" t="s">
        <v>33</v>
      </c>
      <c r="E42" s="107" t="str">
        <f t="shared" si="0"/>
        <v/>
      </c>
      <c r="F42" s="19"/>
      <c r="G42" s="19"/>
      <c r="H42" s="19"/>
      <c r="I42" s="19"/>
      <c r="J42" s="19"/>
      <c r="K42" s="19"/>
    </row>
    <row r="43" spans="1:11" ht="12" customHeight="1">
      <c r="A43" s="219" t="n" cm="1">
        <f t="array" ref="A43">IFERROR(INDEX('03.Muestra'!$B$8:$B$42,SMALL(IF("Página Web"='03.Muestra'!$D$8:$D$42,ROW('03.Muestra'!$B$8:$B$42)-MIN(ROW('03.Muestra'!$D$8:$D$42))+1,""),ROW()-18)),"")</f>
        <v>1.0</v>
      </c>
      <c r="B43" s="114" t="str" cm="1">
        <f t="array" ref="B43">IFERROR(INDEX('03.Muestra'!$C$8:$C$42,SMALL(IF("Página Web"='03.Muestra'!$D$8:$D$42,ROW('03.Muestra'!$C$8:$C$42)-MIN(ROW('03.Muestra'!$D$8:$D$42))+1,""),ROW()-18)),"")</f>
        <v>Home - PortCastelló</v>
      </c>
      <c r="C43" s="114" t="str" cm="1">
        <f t="array" ref="C43">IFERROR(INDEX('03.Muestra'!$F$8:$F$42,SMALL(IF("Página Web"='03.Muestra'!$D$8:$D$42,ROW('03.Muestra'!$F$8:$F$42)-MIN(ROW('03.Muestra'!$D$8:$D$42))+1,""),ROW()-18)),"")</f>
        <v>https://www.portcastello.com/</v>
      </c>
      <c r="D43" s="130" t="s">
        <v>33</v>
      </c>
      <c r="E43" s="107" t="str">
        <f t="shared" si="0"/>
        <v/>
      </c>
      <c r="F43" s="19"/>
      <c r="G43" s="19"/>
      <c r="H43" s="19"/>
      <c r="I43" s="19"/>
      <c r="J43" s="19"/>
      <c r="K43" s="19"/>
    </row>
    <row r="44" spans="1:11" ht="12" customHeight="1">
      <c r="A44" s="219" t="n" cm="1">
        <f t="array" ref="A44">IFERROR(INDEX('03.Muestra'!$B$8:$B$42,SMALL(IF("Página Web"='03.Muestra'!$D$8:$D$42,ROW('03.Muestra'!$B$8:$B$42)-MIN(ROW('03.Muestra'!$D$8:$D$42))+1,""),ROW()-18)),"")</f>
        <v>1.0</v>
      </c>
      <c r="B44" s="114" t="str" cm="1">
        <f t="array" ref="B44">IFERROR(INDEX('03.Muestra'!$C$8:$C$42,SMALL(IF("Página Web"='03.Muestra'!$D$8:$D$42,ROW('03.Muestra'!$C$8:$C$42)-MIN(ROW('03.Muestra'!$D$8:$D$42))+1,""),ROW()-18)),"")</f>
        <v>Home - PortCastelló</v>
      </c>
      <c r="C44" s="114" t="str" cm="1">
        <f t="array" ref="C44">IFERROR(INDEX('03.Muestra'!$F$8:$F$42,SMALL(IF("Página Web"='03.Muestra'!$D$8:$D$42,ROW('03.Muestra'!$F$8:$F$42)-MIN(ROW('03.Muestra'!$D$8:$D$42))+1,""),ROW()-18)),"")</f>
        <v>https://www.portcastello.com/</v>
      </c>
      <c r="D44" s="130" t="s">
        <v>33</v>
      </c>
      <c r="E44" s="107" t="str">
        <f t="shared" si="0"/>
        <v/>
      </c>
      <c r="F44" s="19"/>
      <c r="G44" s="19"/>
      <c r="H44" s="19"/>
      <c r="I44" s="19"/>
      <c r="J44" s="19"/>
      <c r="K44" s="19"/>
    </row>
    <row r="45" spans="1:11" ht="12" customHeight="1">
      <c r="A45" s="219" t="n" cm="1">
        <f t="array" ref="A45">IFERROR(INDEX('03.Muestra'!$B$8:$B$42,SMALL(IF("Página Web"='03.Muestra'!$D$8:$D$42,ROW('03.Muestra'!$B$8:$B$42)-MIN(ROW('03.Muestra'!$D$8:$D$42))+1,""),ROW()-18)),"")</f>
        <v>1.0</v>
      </c>
      <c r="B45" s="114" t="str" cm="1">
        <f t="array" ref="B45">IFERROR(INDEX('03.Muestra'!$C$8:$C$42,SMALL(IF("Página Web"='03.Muestra'!$D$8:$D$42,ROW('03.Muestra'!$C$8:$C$42)-MIN(ROW('03.Muestra'!$D$8:$D$42))+1,""),ROW()-18)),"")</f>
        <v>Home - PortCastelló</v>
      </c>
      <c r="C45" s="114" t="str" cm="1">
        <f t="array" ref="C45">IFERROR(INDEX('03.Muestra'!$F$8:$F$42,SMALL(IF("Página Web"='03.Muestra'!$D$8:$D$42,ROW('03.Muestra'!$F$8:$F$42)-MIN(ROW('03.Muestra'!$D$8:$D$42))+1,""),ROW()-18)),"")</f>
        <v>https://www.portcastello.com/</v>
      </c>
      <c r="D45" s="130" t="s">
        <v>33</v>
      </c>
      <c r="E45" s="107" t="str">
        <f t="shared" si="0"/>
        <v/>
      </c>
      <c r="F45" s="19"/>
      <c r="G45" s="19"/>
      <c r="H45" s="19"/>
      <c r="I45" s="19"/>
      <c r="J45" s="19"/>
      <c r="K45" s="19"/>
    </row>
    <row r="46" spans="1:11" ht="12" customHeight="1">
      <c r="A46" s="219" t="n" cm="1">
        <f t="array" ref="A46">IFERROR(INDEX('03.Muestra'!$B$8:$B$42,SMALL(IF("Página Web"='03.Muestra'!$D$8:$D$42,ROW('03.Muestra'!$B$8:$B$42)-MIN(ROW('03.Muestra'!$D$8:$D$42))+1,""),ROW()-18)),"")</f>
        <v>1.0</v>
      </c>
      <c r="B46" s="114" t="str" cm="1">
        <f t="array" ref="B46">IFERROR(INDEX('03.Muestra'!$C$8:$C$42,SMALL(IF("Página Web"='03.Muestra'!$D$8:$D$42,ROW('03.Muestra'!$C$8:$C$42)-MIN(ROW('03.Muestra'!$D$8:$D$42))+1,""),ROW()-18)),"")</f>
        <v>Home - PortCastelló</v>
      </c>
      <c r="C46" s="114" t="str" cm="1">
        <f t="array" ref="C46">IFERROR(INDEX('03.Muestra'!$F$8:$F$42,SMALL(IF("Página Web"='03.Muestra'!$D$8:$D$42,ROW('03.Muestra'!$F$8:$F$42)-MIN(ROW('03.Muestra'!$D$8:$D$42))+1,""),ROW()-18)),"")</f>
        <v>https://www.portcastello.com/</v>
      </c>
      <c r="D46" s="130" t="s">
        <v>33</v>
      </c>
      <c r="E46" s="107" t="str">
        <f t="shared" si="0"/>
        <v/>
      </c>
      <c r="G46" s="19"/>
      <c r="H46" s="19"/>
      <c r="I46" s="19"/>
      <c r="J46" s="19"/>
      <c r="K46" s="19"/>
    </row>
    <row r="47" spans="1:11" ht="12" customHeight="1">
      <c r="A47" s="219" t="n" cm="1">
        <f t="array" ref="A47">IFERROR(INDEX('03.Muestra'!$B$8:$B$42,SMALL(IF("Página Web"='03.Muestra'!$D$8:$D$42,ROW('03.Muestra'!$B$8:$B$42)-MIN(ROW('03.Muestra'!$D$8:$D$42))+1,""),ROW()-18)),"")</f>
        <v>1.0</v>
      </c>
      <c r="B47" s="114" t="str" cm="1">
        <f t="array" ref="B47">IFERROR(INDEX('03.Muestra'!$C$8:$C$42,SMALL(IF("Página Web"='03.Muestra'!$D$8:$D$42,ROW('03.Muestra'!$C$8:$C$42)-MIN(ROW('03.Muestra'!$D$8:$D$42))+1,""),ROW()-18)),"")</f>
        <v>Home - PortCastelló</v>
      </c>
      <c r="C47" s="114" t="str" cm="1">
        <f t="array" ref="C47">IFERROR(INDEX('03.Muestra'!$F$8:$F$42,SMALL(IF("Página Web"='03.Muestra'!$D$8:$D$42,ROW('03.Muestra'!$F$8:$F$42)-MIN(ROW('03.Muestra'!$D$8:$D$42))+1,""),ROW()-18)),"")</f>
        <v>https://www.portcastello.com/</v>
      </c>
      <c r="D47" s="130" t="s">
        <v>33</v>
      </c>
      <c r="E47" s="107" t="str">
        <f t="shared" si="0"/>
        <v/>
      </c>
      <c r="G47" s="19"/>
      <c r="H47" s="19"/>
      <c r="I47" s="19"/>
      <c r="J47" s="19"/>
      <c r="K47" s="19"/>
    </row>
    <row r="48" spans="1:11" ht="12" customHeight="1">
      <c r="A48" s="219" t="n" cm="1">
        <f t="array" ref="A48">IFERROR(INDEX('03.Muestra'!$B$8:$B$42,SMALL(IF("Página Web"='03.Muestra'!$D$8:$D$42,ROW('03.Muestra'!$B$8:$B$42)-MIN(ROW('03.Muestra'!$D$8:$D$42))+1,""),ROW()-18)),"")</f>
        <v>1.0</v>
      </c>
      <c r="B48" s="114" t="str" cm="1">
        <f t="array" ref="B48">IFERROR(INDEX('03.Muestra'!$C$8:$C$42,SMALL(IF("Página Web"='03.Muestra'!$D$8:$D$42,ROW('03.Muestra'!$C$8:$C$42)-MIN(ROW('03.Muestra'!$D$8:$D$42))+1,""),ROW()-18)),"")</f>
        <v>Home - PortCastelló</v>
      </c>
      <c r="C48" s="114" t="str" cm="1">
        <f t="array" ref="C48">IFERROR(INDEX('03.Muestra'!$F$8:$F$42,SMALL(IF("Página Web"='03.Muestra'!$D$8:$D$42,ROW('03.Muestra'!$F$8:$F$42)-MIN(ROW('03.Muestra'!$D$8:$D$42))+1,""),ROW()-18)),"")</f>
        <v>https://www.portcastello.com/</v>
      </c>
      <c r="D48" s="130" t="s">
        <v>33</v>
      </c>
      <c r="E48" s="107" t="str">
        <f t="shared" si="0"/>
        <v/>
      </c>
      <c r="G48" s="19"/>
      <c r="H48" s="19"/>
      <c r="I48" s="19"/>
      <c r="J48" s="19"/>
      <c r="K48" s="19"/>
    </row>
    <row r="49" spans="1:11" ht="12" customHeight="1">
      <c r="A49" s="219" t="n" cm="1">
        <f t="array" ref="A49">IFERROR(INDEX('03.Muestra'!$B$8:$B$42,SMALL(IF("Página Web"='03.Muestra'!$D$8:$D$42,ROW('03.Muestra'!$B$8:$B$42)-MIN(ROW('03.Muestra'!$D$8:$D$42))+1,""),ROW()-18)),"")</f>
        <v>1.0</v>
      </c>
      <c r="B49" s="114" t="str" cm="1">
        <f t="array" ref="B49">IFERROR(INDEX('03.Muestra'!$C$8:$C$42,SMALL(IF("Página Web"='03.Muestra'!$D$8:$D$42,ROW('03.Muestra'!$C$8:$C$42)-MIN(ROW('03.Muestra'!$D$8:$D$42))+1,""),ROW()-18)),"")</f>
        <v>Home - PortCastelló</v>
      </c>
      <c r="C49" s="114" t="str" cm="1">
        <f t="array" ref="C49">IFERROR(INDEX('03.Muestra'!$F$8:$F$42,SMALL(IF("Página Web"='03.Muestra'!$D$8:$D$42,ROW('03.Muestra'!$F$8:$F$42)-MIN(ROW('03.Muestra'!$D$8:$D$42))+1,""),ROW()-18)),"")</f>
        <v>https://www.portcastello.com/</v>
      </c>
      <c r="D49" s="130" t="s">
        <v>33</v>
      </c>
      <c r="E49" s="107" t="str">
        <f t="shared" si="0"/>
        <v/>
      </c>
      <c r="G49" s="19"/>
      <c r="H49" s="19"/>
      <c r="I49" s="19"/>
      <c r="J49" s="19"/>
      <c r="K49" s="19"/>
    </row>
    <row r="50" spans="1:11" ht="12" customHeight="1">
      <c r="A50" s="219" t="n" cm="1">
        <f t="array" ref="A50">IFERROR(INDEX('03.Muestra'!$B$8:$B$42,SMALL(IF("Página Web"='03.Muestra'!$D$8:$D$42,ROW('03.Muestra'!$B$8:$B$42)-MIN(ROW('03.Muestra'!$D$8:$D$42))+1,""),ROW()-18)),"")</f>
        <v>1.0</v>
      </c>
      <c r="B50" s="114" t="str" cm="1">
        <f t="array" ref="B50">IFERROR(INDEX('03.Muestra'!$C$8:$C$42,SMALL(IF("Página Web"='03.Muestra'!$D$8:$D$42,ROW('03.Muestra'!$C$8:$C$42)-MIN(ROW('03.Muestra'!$D$8:$D$42))+1,""),ROW()-18)),"")</f>
        <v>Home - PortCastelló</v>
      </c>
      <c r="C50" s="114" t="str" cm="1">
        <f t="array" ref="C50">IFERROR(INDEX('03.Muestra'!$F$8:$F$42,SMALL(IF("Página Web"='03.Muestra'!$D$8:$D$42,ROW('03.Muestra'!$F$8:$F$42)-MIN(ROW('03.Muestra'!$D$8:$D$42))+1,""),ROW()-18)),"")</f>
        <v>https://www.portcastello.com/</v>
      </c>
      <c r="D50" s="130" t="s">
        <v>33</v>
      </c>
      <c r="E50" s="107" t="str">
        <f t="shared" si="0"/>
        <v/>
      </c>
      <c r="G50" s="19"/>
      <c r="H50" s="19"/>
      <c r="I50" s="19"/>
      <c r="J50" s="19"/>
      <c r="K50" s="19"/>
    </row>
    <row r="51" spans="1:11" ht="12" customHeight="1">
      <c r="A51" s="219" t="n" cm="1">
        <f t="array" ref="A51">IFERROR(INDEX('03.Muestra'!$B$8:$B$42,SMALL(IF("Página Web"='03.Muestra'!$D$8:$D$42,ROW('03.Muestra'!$B$8:$B$42)-MIN(ROW('03.Muestra'!$D$8:$D$42))+1,""),ROW()-18)),"")</f>
        <v>1.0</v>
      </c>
      <c r="B51" s="114" t="str" cm="1">
        <f t="array" ref="B51">IFERROR(INDEX('03.Muestra'!$C$8:$C$42,SMALL(IF("Página Web"='03.Muestra'!$D$8:$D$42,ROW('03.Muestra'!$C$8:$C$42)-MIN(ROW('03.Muestra'!$D$8:$D$42))+1,""),ROW()-18)),"")</f>
        <v>Home - PortCastelló</v>
      </c>
      <c r="C51" s="114" t="str" cm="1">
        <f t="array" ref="C51">IFERROR(INDEX('03.Muestra'!$F$8:$F$42,SMALL(IF("Página Web"='03.Muestra'!$D$8:$D$42,ROW('03.Muestra'!$F$8:$F$42)-MIN(ROW('03.Muestra'!$D$8:$D$42))+1,""),ROW()-18)),"")</f>
        <v>https://www.portcastello.com/</v>
      </c>
      <c r="D51" s="130" t="s">
        <v>33</v>
      </c>
      <c r="E51" s="107" t="str">
        <f t="shared" si="0"/>
        <v/>
      </c>
      <c r="G51" s="19"/>
      <c r="H51" s="19"/>
      <c r="I51" s="19"/>
      <c r="J51" s="19"/>
      <c r="K51" s="19"/>
    </row>
    <row r="52" spans="1:11" ht="12" customHeight="1">
      <c r="A52" s="219" t="str" cm="1">
        <f t="array" ref="A52">IFERROR(INDEX('03.Muestra'!$B$8:$B$42,SMALL(IF("Página Web"='03.Muestra'!$D$8:$D$42,ROW('03.Muestra'!$B$8:$B$42)-MIN(ROW('03.Muestra'!$D$8:$D$42))+1,""),ROW()-18)),"")</f>
        <v/>
      </c>
      <c r="B52" s="114" t="str" cm="1">
        <f t="array" ref="B52">IFERROR(INDEX('03.Muestra'!$C$8:$C$42,SMALL(IF("Página Web"='03.Muestra'!$D$8:$D$42,ROW('03.Muestra'!$C$8:$C$42)-MIN(ROW('03.Muestra'!$D$8:$D$42))+1,""),ROW()-18)),"")</f>
        <v/>
      </c>
      <c r="C52" s="114" t="str" cm="1">
        <f t="array" ref="C52">IFERROR(INDEX('03.Muestra'!$F$8:$F$42,SMALL(IF("Página Web"='03.Muestra'!$D$8:$D$42,ROW('03.Muestra'!$F$8:$F$42)-MIN(ROW('03.Muestra'!$D$8:$D$42))+1,""),ROW()-18)),"")</f>
        <v/>
      </c>
      <c r="D52" s="130" t="str">
        <f t="shared" si="1" ref="D52:D53">IF(AND(B52&lt;&gt;"",C52&lt;&gt;""),"N/T","")</f>
        <v/>
      </c>
      <c r="E52" s="107" t="str">
        <f t="shared" si="0"/>
        <v/>
      </c>
      <c r="F52" s="124"/>
      <c r="G52" s="19"/>
      <c r="H52" s="19"/>
      <c r="I52" s="19"/>
      <c r="J52" s="19"/>
      <c r="K52" s="19"/>
    </row>
    <row r="53" spans="1:11" ht="12" customHeight="1">
      <c r="A53" s="219" t="str" cm="1">
        <f t="array" ref="A53">IFERROR(INDEX('03.Muestra'!$B$8:$B$42,SMALL(IF("Página Web"='03.Muestra'!$D$8:$D$42,ROW('03.Muestra'!$B$8:$B$42)-MIN(ROW('03.Muestra'!$D$8:$D$42))+1,""),ROW()-18)),"")</f>
        <v/>
      </c>
      <c r="B53" s="114" t="str" cm="1">
        <f t="array" ref="B53">IFERROR(INDEX('03.Muestra'!$C$8:$C$42,SMALL(IF("Página Web"='03.Muestra'!$D$8:$D$42,ROW('03.Muestra'!$C$8:$C$42)-MIN(ROW('03.Muestra'!$D$8:$D$42))+1,""),ROW()-18)),"")</f>
        <v/>
      </c>
      <c r="C53" s="114" t="str" cm="1">
        <f t="array" ref="C53">IFERROR(INDEX('03.Muestra'!$F$8:$F$42,SMALL(IF("Página Web"='03.Muestra'!$D$8:$D$42,ROW('03.Muestra'!$F$8:$F$42)-MIN(ROW('03.Muestra'!$D$8:$D$42))+1,""),ROW()-18)),"")</f>
        <v/>
      </c>
      <c r="D53" s="130" t="str">
        <f t="shared" si="1"/>
        <v/>
      </c>
      <c r="E53" s="107" t="str">
        <f t="shared" si="0"/>
        <v/>
      </c>
      <c r="F53" s="19"/>
      <c r="G53" s="19"/>
      <c r="H53" s="19"/>
      <c r="I53" s="19"/>
      <c r="J53" s="19"/>
      <c r="K53" s="19"/>
    </row>
    <row r="54" spans="1:11" ht="12" customHeight="1">
      <c r="B54" s="19"/>
      <c r="C54" s="19"/>
      <c r="D54" s="107"/>
      <c r="E54" s="107"/>
      <c r="F54" s="19"/>
      <c r="G54" s="19"/>
      <c r="H54" s="19"/>
      <c r="I54" s="19"/>
      <c r="J54" s="19"/>
    </row>
    <row r="55" spans="1:11" ht="12" customHeight="1">
      <c r="B55" s="19"/>
      <c r="C55" s="19"/>
      <c r="D55" s="107"/>
      <c r="E55" s="112"/>
      <c r="F55" s="19"/>
      <c r="G55" s="19"/>
      <c r="H55" s="19"/>
      <c r="I55" s="19"/>
      <c r="J55" s="19"/>
    </row>
    <row r="56" spans="1:11" ht="29.25" customHeight="1">
      <c r="A56" s="218" t="s">
        <v>268</v>
      </c>
      <c r="B56" s="24" t="s">
        <v>90</v>
      </c>
      <c r="C56" s="25" t="s">
        <v>262</v>
      </c>
      <c r="D56" s="26" t="s">
        <v>32</v>
      </c>
      <c r="E56" s="123"/>
    </row>
    <row r="57" spans="1:11" ht="12" customHeight="1">
      <c r="A57" s="219" t="n" cm="1">
        <f t="array" ref="A57">IFERROR(INDEX('03.Muestra'!$B$8:$B$42,SMALL(IF("Página Web"='03.Muestra'!$D$8:$D$42,ROW('03.Muestra'!$B$8:$B$42)-MIN(ROW('03.Muestra'!$D$8:$D$42))+1,""),ROW()-56)),"")</f>
        <v>1.0</v>
      </c>
      <c r="B57" s="114" t="str" cm="1">
        <f t="array" ref="B57">IFERROR(INDEX('03.Muestra'!$C$8:$C$42,SMALL(IF("Página Web"='03.Muestra'!$D$8:$D$42,ROW('03.Muestra'!$C$8:$C$42)-MIN(ROW('03.Muestra'!$D$8:$D$42))+1,""),ROW()-56)),"")</f>
        <v>Home - PortCastelló</v>
      </c>
      <c r="C57" s="114" t="str" cm="1">
        <f t="array" ref="C57">IFERROR(INDEX('03.Muestra'!$F$8:$F$42,SMALL(IF("Página Web"='03.Muestra'!$D$8:$D$42,ROW('03.Muestra'!$F$8:$F$42)-MIN(ROW('03.Muestra'!$D$8:$D$42))+1,""),ROW()-56)),"")</f>
        <v>https://www.portcastello.com/</v>
      </c>
      <c r="D57" s="130" t="s">
        <v>33</v>
      </c>
      <c r="E57" s="107" t="str">
        <f t="shared" ref="E57:E91" si="2">IF(D57&lt;&gt;"",IF(AND(B57&lt;&gt;"",C57&lt;&gt;""),"","ERR"),"")</f>
        <v/>
      </c>
      <c r="F57" s="115" t="s">
        <v>33</v>
      </c>
      <c r="G57" s="116" t="s">
        <v>37</v>
      </c>
      <c r="H57" s="117" t="s">
        <v>35</v>
      </c>
      <c r="I57" s="118" t="s">
        <v>28</v>
      </c>
      <c r="J57" s="119" t="s">
        <v>26</v>
      </c>
      <c r="K57" s="226" t="s">
        <v>474</v>
      </c>
    </row>
    <row r="58" spans="1:11" ht="12" customHeight="1">
      <c r="A58" s="219" t="n" cm="1">
        <f t="array" ref="A58">IFERROR(INDEX('03.Muestra'!$B$8:$B$42,SMALL(IF("Página Web"='03.Muestra'!$D$8:$D$42,ROW('03.Muestra'!$B$8:$B$42)-MIN(ROW('03.Muestra'!$D$8:$D$42))+1,""),ROW()-56)),"")</f>
        <v>1.0</v>
      </c>
      <c r="B58" s="114" t="str" cm="1">
        <f t="array" ref="B58">IFERROR(INDEX('03.Muestra'!$C$8:$C$42,SMALL(IF("Página Web"='03.Muestra'!$D$8:$D$42,ROW('03.Muestra'!$C$8:$C$42)-MIN(ROW('03.Muestra'!$D$8:$D$42))+1,""),ROW()-56)),"")</f>
        <v>Home - PortCastelló</v>
      </c>
      <c r="C58" s="114" t="str" cm="1">
        <f t="array" ref="C58">IFERROR(INDEX('03.Muestra'!$F$8:$F$42,SMALL(IF("Página Web"='03.Muestra'!$D$8:$D$42,ROW('03.Muestra'!$F$8:$F$42)-MIN(ROW('03.Muestra'!$D$8:$D$42))+1,""),ROW()-56)),"")</f>
        <v>https://www.portcastello.com/</v>
      </c>
      <c r="D58" s="130" t="s">
        <v>33</v>
      </c>
      <c r="E58" s="107" t="str">
        <f t="shared" si="2"/>
        <v/>
      </c>
      <c r="F58" s="120" t="n">
        <f ca="1">COUNTIF($D57:INDIRECT("$D" &amp;  SUM(ROW()-1,'03.Muestra'!$D$45)-1),F57)</f>
        <v>33.0</v>
      </c>
      <c r="G58" s="120" t="n">
        <f ca="1">COUNTIF($D57:INDIRECT("$D" &amp;  SUM(ROW()-1,'03.Muestra'!$D$45)-1),G57)</f>
        <v>0.0</v>
      </c>
      <c r="H58" s="120" t="n">
        <f ca="1">COUNTIF($D57:INDIRECT("$D" &amp;  SUM(ROW()-1,'03.Muestra'!$D$45)-1),H57)</f>
        <v>0.0</v>
      </c>
      <c r="I58" s="120" t="n">
        <f ca="1">COUNTIF($D57:INDIRECT("$D" &amp;  SUM(ROW()-1,'03.Muestra'!$D$45)-1),I57)</f>
        <v>0.0</v>
      </c>
      <c r="J58" s="120" t="n">
        <f ca="1">COUNTIF($D57:INDIRECT("$D" &amp;  SUM(ROW()-1,'03.Muestra'!$D$45)-1),J57)</f>
        <v>0.0</v>
      </c>
      <c r="K58" s="227" t="n">
        <f ca="1">IF(COUNTIF('03.Muestra'!$D$8:$D$42,"Página Web")=0,0,COUNTBLANK($D57:INDIRECT("$D" &amp;  SUM(ROW()-1,COUNTIF('03.Muestra'!$D$8:$D$42,"Página Web"))-1)))</f>
        <v>0.0</v>
      </c>
    </row>
    <row r="59" spans="1:11" ht="12" customHeight="1">
      <c r="A59" s="219" t="n" cm="1">
        <f t="array" ref="A59">IFERROR(INDEX('03.Muestra'!$B$8:$B$42,SMALL(IF("Página Web"='03.Muestra'!$D$8:$D$42,ROW('03.Muestra'!$B$8:$B$42)-MIN(ROW('03.Muestra'!$D$8:$D$42))+1,""),ROW()-56)),"")</f>
        <v>1.0</v>
      </c>
      <c r="B59" s="114" t="str" cm="1">
        <f t="array" ref="B59">IFERROR(INDEX('03.Muestra'!$C$8:$C$42,SMALL(IF("Página Web"='03.Muestra'!$D$8:$D$42,ROW('03.Muestra'!$C$8:$C$42)-MIN(ROW('03.Muestra'!$D$8:$D$42))+1,""),ROW()-56)),"")</f>
        <v>Home - PortCastelló</v>
      </c>
      <c r="C59" s="114" t="str" cm="1">
        <f t="array" ref="C59">IFERROR(INDEX('03.Muestra'!$F$8:$F$42,SMALL(IF("Página Web"='03.Muestra'!$D$8:$D$42,ROW('03.Muestra'!$F$8:$F$42)-MIN(ROW('03.Muestra'!$D$8:$D$42))+1,""),ROW()-56)),"")</f>
        <v>https://www.portcastello.com/</v>
      </c>
      <c r="D59" s="130" t="s">
        <v>33</v>
      </c>
      <c r="E59" s="107" t="str">
        <f t="shared" si="2"/>
        <v/>
      </c>
      <c r="G59" s="19"/>
      <c r="H59" s="19"/>
      <c r="I59" s="19"/>
      <c r="J59" s="19"/>
      <c r="K59" s="233"/>
    </row>
    <row r="60" spans="1:11" ht="12" customHeight="1">
      <c r="A60" s="219" t="n" cm="1">
        <f t="array" ref="A60">IFERROR(INDEX('03.Muestra'!$B$8:$B$42,SMALL(IF("Página Web"='03.Muestra'!$D$8:$D$42,ROW('03.Muestra'!$B$8:$B$42)-MIN(ROW('03.Muestra'!$D$8:$D$42))+1,""),ROW()-56)),"")</f>
        <v>1.0</v>
      </c>
      <c r="B60" s="114" t="str" cm="1">
        <f t="array" ref="B60">IFERROR(INDEX('03.Muestra'!$C$8:$C$42,SMALL(IF("Página Web"='03.Muestra'!$D$8:$D$42,ROW('03.Muestra'!$C$8:$C$42)-MIN(ROW('03.Muestra'!$D$8:$D$42))+1,""),ROW()-56)),"")</f>
        <v>Home - PortCastelló</v>
      </c>
      <c r="C60" s="114" t="str" cm="1">
        <f t="array" ref="C60">IFERROR(INDEX('03.Muestra'!$F$8:$F$42,SMALL(IF("Página Web"='03.Muestra'!$D$8:$D$42,ROW('03.Muestra'!$F$8:$F$42)-MIN(ROW('03.Muestra'!$D$8:$D$42))+1,""),ROW()-56)),"")</f>
        <v>https://www.portcastello.com/</v>
      </c>
      <c r="D60" s="130" t="s">
        <v>33</v>
      </c>
      <c r="E60" s="107" t="str">
        <f t="shared" si="2"/>
        <v/>
      </c>
      <c r="G60" s="19"/>
      <c r="H60" s="19"/>
      <c r="I60" s="19"/>
      <c r="J60" s="19"/>
      <c r="K60" s="233"/>
    </row>
    <row r="61" spans="1:11" ht="12" customHeight="1">
      <c r="A61" s="219" t="n" cm="1">
        <f t="array" ref="A61">IFERROR(INDEX('03.Muestra'!$B$8:$B$42,SMALL(IF("Página Web"='03.Muestra'!$D$8:$D$42,ROW('03.Muestra'!$B$8:$B$42)-MIN(ROW('03.Muestra'!$D$8:$D$42))+1,""),ROW()-56)),"")</f>
        <v>1.0</v>
      </c>
      <c r="B61" s="114" t="str" cm="1">
        <f t="array" ref="B61">IFERROR(INDEX('03.Muestra'!$C$8:$C$42,SMALL(IF("Página Web"='03.Muestra'!$D$8:$D$42,ROW('03.Muestra'!$C$8:$C$42)-MIN(ROW('03.Muestra'!$D$8:$D$42))+1,""),ROW()-56)),"")</f>
        <v>Home - PortCastelló</v>
      </c>
      <c r="C61" s="114" t="str" cm="1">
        <f t="array" ref="C61">IFERROR(INDEX('03.Muestra'!$F$8:$F$42,SMALL(IF("Página Web"='03.Muestra'!$D$8:$D$42,ROW('03.Muestra'!$F$8:$F$42)-MIN(ROW('03.Muestra'!$D$8:$D$42))+1,""),ROW()-56)),"")</f>
        <v>https://www.portcastello.com/</v>
      </c>
      <c r="D61" s="130" t="s">
        <v>33</v>
      </c>
      <c r="E61" s="107" t="str">
        <f t="shared" si="2"/>
        <v/>
      </c>
      <c r="G61" s="19"/>
      <c r="H61" s="19"/>
      <c r="I61" s="19"/>
      <c r="J61" s="19"/>
      <c r="K61" s="233"/>
    </row>
    <row r="62" spans="1:11" ht="12" customHeight="1">
      <c r="A62" s="219" t="n" cm="1">
        <f t="array" ref="A62">IFERROR(INDEX('03.Muestra'!$B$8:$B$42,SMALL(IF("Página Web"='03.Muestra'!$D$8:$D$42,ROW('03.Muestra'!$B$8:$B$42)-MIN(ROW('03.Muestra'!$D$8:$D$42))+1,""),ROW()-56)),"")</f>
        <v>1.0</v>
      </c>
      <c r="B62" s="114" t="str" cm="1">
        <f t="array" ref="B62">IFERROR(INDEX('03.Muestra'!$C$8:$C$42,SMALL(IF("Página Web"='03.Muestra'!$D$8:$D$42,ROW('03.Muestra'!$C$8:$C$42)-MIN(ROW('03.Muestra'!$D$8:$D$42))+1,""),ROW()-56)),"")</f>
        <v>Home - PortCastelló</v>
      </c>
      <c r="C62" s="114" t="str" cm="1">
        <f t="array" ref="C62">IFERROR(INDEX('03.Muestra'!$F$8:$F$42,SMALL(IF("Página Web"='03.Muestra'!$D$8:$D$42,ROW('03.Muestra'!$F$8:$F$42)-MIN(ROW('03.Muestra'!$D$8:$D$42))+1,""),ROW()-56)),"")</f>
        <v>https://www.portcastello.com/</v>
      </c>
      <c r="D62" s="130" t="s">
        <v>33</v>
      </c>
      <c r="E62" s="107" t="str">
        <f t="shared" si="2"/>
        <v/>
      </c>
      <c r="G62" s="19"/>
      <c r="H62" s="19"/>
      <c r="I62" s="19"/>
      <c r="J62" s="19"/>
      <c r="K62" s="233"/>
    </row>
    <row r="63" spans="1:11" ht="12" customHeight="1">
      <c r="A63" s="219" t="n" cm="1">
        <f t="array" ref="A63">IFERROR(INDEX('03.Muestra'!$B$8:$B$42,SMALL(IF("Página Web"='03.Muestra'!$D$8:$D$42,ROW('03.Muestra'!$B$8:$B$42)-MIN(ROW('03.Muestra'!$D$8:$D$42))+1,""),ROW()-56)),"")</f>
        <v>1.0</v>
      </c>
      <c r="B63" s="114" t="str" cm="1">
        <f t="array" ref="B63">IFERROR(INDEX('03.Muestra'!$C$8:$C$42,SMALL(IF("Página Web"='03.Muestra'!$D$8:$D$42,ROW('03.Muestra'!$C$8:$C$42)-MIN(ROW('03.Muestra'!$D$8:$D$42))+1,""),ROW()-56)),"")</f>
        <v>Home - PortCastelló</v>
      </c>
      <c r="C63" s="114" t="str" cm="1">
        <f t="array" ref="C63">IFERROR(INDEX('03.Muestra'!$F$8:$F$42,SMALL(IF("Página Web"='03.Muestra'!$D$8:$D$42,ROW('03.Muestra'!$F$8:$F$42)-MIN(ROW('03.Muestra'!$D$8:$D$42))+1,""),ROW()-56)),"")</f>
        <v>https://www.portcastello.com/</v>
      </c>
      <c r="D63" s="130" t="s">
        <v>33</v>
      </c>
      <c r="E63" s="107" t="str">
        <f t="shared" si="2"/>
        <v/>
      </c>
      <c r="F63" s="19"/>
      <c r="G63" s="19"/>
      <c r="H63" s="19"/>
      <c r="I63" s="19"/>
      <c r="J63" s="19"/>
      <c r="K63" s="233"/>
    </row>
    <row r="64" spans="1:11" ht="12" customHeight="1">
      <c r="A64" s="219" t="n" cm="1">
        <f t="array" ref="A64">IFERROR(INDEX('03.Muestra'!$B$8:$B$42,SMALL(IF("Página Web"='03.Muestra'!$D$8:$D$42,ROW('03.Muestra'!$B$8:$B$42)-MIN(ROW('03.Muestra'!$D$8:$D$42))+1,""),ROW()-56)),"")</f>
        <v>1.0</v>
      </c>
      <c r="B64" s="114" t="str" cm="1">
        <f t="array" ref="B64">IFERROR(INDEX('03.Muestra'!$C$8:$C$42,SMALL(IF("Página Web"='03.Muestra'!$D$8:$D$42,ROW('03.Muestra'!$C$8:$C$42)-MIN(ROW('03.Muestra'!$D$8:$D$42))+1,""),ROW()-56)),"")</f>
        <v>Home - PortCastelló</v>
      </c>
      <c r="C64" s="114" t="str" cm="1">
        <f t="array" ref="C64">IFERROR(INDEX('03.Muestra'!$F$8:$F$42,SMALL(IF("Página Web"='03.Muestra'!$D$8:$D$42,ROW('03.Muestra'!$F$8:$F$42)-MIN(ROW('03.Muestra'!$D$8:$D$42))+1,""),ROW()-56)),"")</f>
        <v>https://www.portcastello.com/</v>
      </c>
      <c r="D64" s="130" t="s">
        <v>33</v>
      </c>
      <c r="E64" s="107" t="str">
        <f t="shared" si="2"/>
        <v/>
      </c>
      <c r="F64" s="19"/>
      <c r="G64" s="19"/>
      <c r="H64" s="19"/>
      <c r="I64" s="19"/>
      <c r="J64" s="19"/>
      <c r="K64" s="233"/>
    </row>
    <row r="65" spans="1:11" ht="12" customHeight="1">
      <c r="A65" s="219" t="n" cm="1">
        <f t="array" ref="A65">IFERROR(INDEX('03.Muestra'!$B$8:$B$42,SMALL(IF("Página Web"='03.Muestra'!$D$8:$D$42,ROW('03.Muestra'!$B$8:$B$42)-MIN(ROW('03.Muestra'!$D$8:$D$42))+1,""),ROW()-56)),"")</f>
        <v>1.0</v>
      </c>
      <c r="B65" s="114" t="str" cm="1">
        <f t="array" ref="B65">IFERROR(INDEX('03.Muestra'!$C$8:$C$42,SMALL(IF("Página Web"='03.Muestra'!$D$8:$D$42,ROW('03.Muestra'!$C$8:$C$42)-MIN(ROW('03.Muestra'!$D$8:$D$42))+1,""),ROW()-56)),"")</f>
        <v>Home - PortCastelló</v>
      </c>
      <c r="C65" s="114" t="str" cm="1">
        <f t="array" ref="C65">IFERROR(INDEX('03.Muestra'!$F$8:$F$42,SMALL(IF("Página Web"='03.Muestra'!$D$8:$D$42,ROW('03.Muestra'!$F$8:$F$42)-MIN(ROW('03.Muestra'!$D$8:$D$42))+1,""),ROW()-56)),"")</f>
        <v>https://www.portcastello.com/</v>
      </c>
      <c r="D65" s="130" t="s">
        <v>33</v>
      </c>
      <c r="E65" s="107" t="str">
        <f t="shared" si="2"/>
        <v/>
      </c>
      <c r="F65" s="19"/>
      <c r="G65" s="19"/>
      <c r="H65" s="19"/>
      <c r="I65" s="19"/>
      <c r="J65" s="19"/>
      <c r="K65" s="233"/>
    </row>
    <row r="66" spans="1:11" ht="12" customHeight="1">
      <c r="A66" s="219" t="n" cm="1">
        <f t="array" ref="A66">IFERROR(INDEX('03.Muestra'!$B$8:$B$42,SMALL(IF("Página Web"='03.Muestra'!$D$8:$D$42,ROW('03.Muestra'!$B$8:$B$42)-MIN(ROW('03.Muestra'!$D$8:$D$42))+1,""),ROW()-56)),"")</f>
        <v>1.0</v>
      </c>
      <c r="B66" s="114" t="str" cm="1">
        <f t="array" ref="B66">IFERROR(INDEX('03.Muestra'!$C$8:$C$42,SMALL(IF("Página Web"='03.Muestra'!$D$8:$D$42,ROW('03.Muestra'!$C$8:$C$42)-MIN(ROW('03.Muestra'!$D$8:$D$42))+1,""),ROW()-56)),"")</f>
        <v>Home - PortCastelló</v>
      </c>
      <c r="C66" s="114" t="str" cm="1">
        <f t="array" ref="C66">IFERROR(INDEX('03.Muestra'!$F$8:$F$42,SMALL(IF("Página Web"='03.Muestra'!$D$8:$D$42,ROW('03.Muestra'!$F$8:$F$42)-MIN(ROW('03.Muestra'!$D$8:$D$42))+1,""),ROW()-56)),"")</f>
        <v>https://www.portcastello.com/</v>
      </c>
      <c r="D66" s="130" t="s">
        <v>33</v>
      </c>
      <c r="E66" s="107" t="str">
        <f t="shared" si="2"/>
        <v/>
      </c>
      <c r="F66" s="19"/>
      <c r="G66" s="19"/>
      <c r="H66" s="19"/>
      <c r="I66" s="19"/>
      <c r="J66" s="19"/>
      <c r="K66" s="233"/>
    </row>
    <row r="67" spans="1:11" ht="12" customHeight="1">
      <c r="A67" s="219" t="n" cm="1">
        <f t="array" ref="A67">IFERROR(INDEX('03.Muestra'!$B$8:$B$42,SMALL(IF("Página Web"='03.Muestra'!$D$8:$D$42,ROW('03.Muestra'!$B$8:$B$42)-MIN(ROW('03.Muestra'!$D$8:$D$42))+1,""),ROW()-56)),"")</f>
        <v>1.0</v>
      </c>
      <c r="B67" s="114" t="str" cm="1">
        <f t="array" ref="B67">IFERROR(INDEX('03.Muestra'!$C$8:$C$42,SMALL(IF("Página Web"='03.Muestra'!$D$8:$D$42,ROW('03.Muestra'!$C$8:$C$42)-MIN(ROW('03.Muestra'!$D$8:$D$42))+1,""),ROW()-56)),"")</f>
        <v>Home - PortCastelló</v>
      </c>
      <c r="C67" s="114" t="str" cm="1">
        <f t="array" ref="C67">IFERROR(INDEX('03.Muestra'!$F$8:$F$42,SMALL(IF("Página Web"='03.Muestra'!$D$8:$D$42,ROW('03.Muestra'!$F$8:$F$42)-MIN(ROW('03.Muestra'!$D$8:$D$42))+1,""),ROW()-56)),"")</f>
        <v>https://www.portcastello.com/</v>
      </c>
      <c r="D67" s="130" t="s">
        <v>33</v>
      </c>
      <c r="E67" s="107" t="str">
        <f t="shared" si="2"/>
        <v/>
      </c>
      <c r="F67" s="19"/>
      <c r="G67" s="19"/>
      <c r="H67" s="19"/>
      <c r="I67" s="19"/>
      <c r="J67" s="19"/>
      <c r="K67" s="233"/>
    </row>
    <row r="68" spans="1:11" ht="12" customHeight="1">
      <c r="A68" s="219" t="n" cm="1">
        <f t="array" ref="A68">IFERROR(INDEX('03.Muestra'!$B$8:$B$42,SMALL(IF("Página Web"='03.Muestra'!$D$8:$D$42,ROW('03.Muestra'!$B$8:$B$42)-MIN(ROW('03.Muestra'!$D$8:$D$42))+1,""),ROW()-56)),"")</f>
        <v>1.0</v>
      </c>
      <c r="B68" s="114" t="str" cm="1">
        <f t="array" ref="B68">IFERROR(INDEX('03.Muestra'!$C$8:$C$42,SMALL(IF("Página Web"='03.Muestra'!$D$8:$D$42,ROW('03.Muestra'!$C$8:$C$42)-MIN(ROW('03.Muestra'!$D$8:$D$42))+1,""),ROW()-56)),"")</f>
        <v>Home - PortCastelló</v>
      </c>
      <c r="C68" s="114" t="str" cm="1">
        <f t="array" ref="C68">IFERROR(INDEX('03.Muestra'!$F$8:$F$42,SMALL(IF("Página Web"='03.Muestra'!$D$8:$D$42,ROW('03.Muestra'!$F$8:$F$42)-MIN(ROW('03.Muestra'!$D$8:$D$42))+1,""),ROW()-56)),"")</f>
        <v>https://www.portcastello.com/</v>
      </c>
      <c r="D68" s="130" t="s">
        <v>33</v>
      </c>
      <c r="E68" s="107" t="str">
        <f t="shared" si="2"/>
        <v/>
      </c>
      <c r="F68" s="19"/>
      <c r="G68" s="19"/>
      <c r="H68" s="19"/>
      <c r="I68" s="19"/>
      <c r="J68" s="19"/>
      <c r="K68" s="233"/>
    </row>
    <row r="69" spans="1:11" ht="12" customHeight="1">
      <c r="A69" s="219" t="n" cm="1">
        <f t="array" ref="A69">IFERROR(INDEX('03.Muestra'!$B$8:$B$42,SMALL(IF("Página Web"='03.Muestra'!$D$8:$D$42,ROW('03.Muestra'!$B$8:$B$42)-MIN(ROW('03.Muestra'!$D$8:$D$42))+1,""),ROW()-56)),"")</f>
        <v>1.0</v>
      </c>
      <c r="B69" s="114" t="str" cm="1">
        <f t="array" ref="B69">IFERROR(INDEX('03.Muestra'!$C$8:$C$42,SMALL(IF("Página Web"='03.Muestra'!$D$8:$D$42,ROW('03.Muestra'!$C$8:$C$42)-MIN(ROW('03.Muestra'!$D$8:$D$42))+1,""),ROW()-56)),"")</f>
        <v>Home - PortCastelló</v>
      </c>
      <c r="C69" s="114" t="str" cm="1">
        <f t="array" ref="C69">IFERROR(INDEX('03.Muestra'!$F$8:$F$42,SMALL(IF("Página Web"='03.Muestra'!$D$8:$D$42,ROW('03.Muestra'!$F$8:$F$42)-MIN(ROW('03.Muestra'!$D$8:$D$42))+1,""),ROW()-56)),"")</f>
        <v>https://www.portcastello.com/</v>
      </c>
      <c r="D69" s="130" t="s">
        <v>33</v>
      </c>
      <c r="E69" s="107" t="str">
        <f t="shared" si="2"/>
        <v/>
      </c>
      <c r="F69" s="19"/>
      <c r="G69" s="19"/>
      <c r="H69" s="19"/>
      <c r="I69" s="19"/>
      <c r="J69" s="19"/>
      <c r="K69" s="233"/>
    </row>
    <row r="70" spans="1:11" ht="12" customHeight="1">
      <c r="A70" s="219" t="n" cm="1">
        <f t="array" ref="A70">IFERROR(INDEX('03.Muestra'!$B$8:$B$42,SMALL(IF("Página Web"='03.Muestra'!$D$8:$D$42,ROW('03.Muestra'!$B$8:$B$42)-MIN(ROW('03.Muestra'!$D$8:$D$42))+1,""),ROW()-56)),"")</f>
        <v>1.0</v>
      </c>
      <c r="B70" s="114" t="str" cm="1">
        <f t="array" ref="B70">IFERROR(INDEX('03.Muestra'!$C$8:$C$42,SMALL(IF("Página Web"='03.Muestra'!$D$8:$D$42,ROW('03.Muestra'!$C$8:$C$42)-MIN(ROW('03.Muestra'!$D$8:$D$42))+1,""),ROW()-56)),"")</f>
        <v>Home - PortCastelló</v>
      </c>
      <c r="C70" s="114" t="str" cm="1">
        <f t="array" ref="C70">IFERROR(INDEX('03.Muestra'!$F$8:$F$42,SMALL(IF("Página Web"='03.Muestra'!$D$8:$D$42,ROW('03.Muestra'!$F$8:$F$42)-MIN(ROW('03.Muestra'!$D$8:$D$42))+1,""),ROW()-56)),"")</f>
        <v>https://www.portcastello.com/</v>
      </c>
      <c r="D70" s="130" t="s">
        <v>33</v>
      </c>
      <c r="E70" s="107" t="str">
        <f t="shared" si="2"/>
        <v/>
      </c>
      <c r="F70" s="19"/>
      <c r="G70" s="19"/>
      <c r="H70" s="19"/>
      <c r="I70" s="19"/>
      <c r="J70" s="19"/>
      <c r="K70" s="233"/>
    </row>
    <row r="71" spans="1:11" ht="12" customHeight="1">
      <c r="A71" s="219" t="n" cm="1">
        <f t="array" ref="A71">IFERROR(INDEX('03.Muestra'!$B$8:$B$42,SMALL(IF("Página Web"='03.Muestra'!$D$8:$D$42,ROW('03.Muestra'!$B$8:$B$42)-MIN(ROW('03.Muestra'!$D$8:$D$42))+1,""),ROW()-56)),"")</f>
        <v>1.0</v>
      </c>
      <c r="B71" s="114" t="str" cm="1">
        <f t="array" ref="B71">IFERROR(INDEX('03.Muestra'!$C$8:$C$42,SMALL(IF("Página Web"='03.Muestra'!$D$8:$D$42,ROW('03.Muestra'!$C$8:$C$42)-MIN(ROW('03.Muestra'!$D$8:$D$42))+1,""),ROW()-56)),"")</f>
        <v>Home - PortCastelló</v>
      </c>
      <c r="C71" s="114" t="str" cm="1">
        <f t="array" ref="C71">IFERROR(INDEX('03.Muestra'!$F$8:$F$42,SMALL(IF("Página Web"='03.Muestra'!$D$8:$D$42,ROW('03.Muestra'!$F$8:$F$42)-MIN(ROW('03.Muestra'!$D$8:$D$42))+1,""),ROW()-56)),"")</f>
        <v>https://www.portcastello.com/</v>
      </c>
      <c r="D71" s="130" t="s">
        <v>33</v>
      </c>
      <c r="E71" s="107" t="str">
        <f t="shared" si="2"/>
        <v/>
      </c>
      <c r="F71" s="19"/>
      <c r="G71" s="19"/>
      <c r="H71" s="19"/>
      <c r="I71" s="19"/>
      <c r="J71" s="19"/>
      <c r="K71" s="233"/>
    </row>
    <row r="72" spans="1:11" ht="12" customHeight="1">
      <c r="A72" s="219" t="n" cm="1">
        <f t="array" ref="A72">IFERROR(INDEX('03.Muestra'!$B$8:$B$42,SMALL(IF("Página Web"='03.Muestra'!$D$8:$D$42,ROW('03.Muestra'!$B$8:$B$42)-MIN(ROW('03.Muestra'!$D$8:$D$42))+1,""),ROW()-56)),"")</f>
        <v>1.0</v>
      </c>
      <c r="B72" s="114" t="str" cm="1">
        <f t="array" ref="B72">IFERROR(INDEX('03.Muestra'!$C$8:$C$42,SMALL(IF("Página Web"='03.Muestra'!$D$8:$D$42,ROW('03.Muestra'!$C$8:$C$42)-MIN(ROW('03.Muestra'!$D$8:$D$42))+1,""),ROW()-56)),"")</f>
        <v>Home - PortCastelló</v>
      </c>
      <c r="C72" s="114" t="str" cm="1">
        <f t="array" ref="C72">IFERROR(INDEX('03.Muestra'!$F$8:$F$42,SMALL(IF("Página Web"='03.Muestra'!$D$8:$D$42,ROW('03.Muestra'!$F$8:$F$42)-MIN(ROW('03.Muestra'!$D$8:$D$42))+1,""),ROW()-56)),"")</f>
        <v>https://www.portcastello.com/</v>
      </c>
      <c r="D72" s="130" t="s">
        <v>33</v>
      </c>
      <c r="E72" s="107" t="str">
        <f t="shared" si="2"/>
        <v/>
      </c>
      <c r="F72" s="19"/>
      <c r="G72" s="19"/>
      <c r="H72" s="19"/>
      <c r="I72" s="19"/>
      <c r="J72" s="19"/>
      <c r="K72" s="233"/>
    </row>
    <row r="73" spans="1:11" ht="12" customHeight="1">
      <c r="A73" s="219" t="n" cm="1">
        <f t="array" ref="A73">IFERROR(INDEX('03.Muestra'!$B$8:$B$42,SMALL(IF("Página Web"='03.Muestra'!$D$8:$D$42,ROW('03.Muestra'!$B$8:$B$42)-MIN(ROW('03.Muestra'!$D$8:$D$42))+1,""),ROW()-56)),"")</f>
        <v>1.0</v>
      </c>
      <c r="B73" s="114" t="str" cm="1">
        <f t="array" ref="B73">IFERROR(INDEX('03.Muestra'!$C$8:$C$42,SMALL(IF("Página Web"='03.Muestra'!$D$8:$D$42,ROW('03.Muestra'!$C$8:$C$42)-MIN(ROW('03.Muestra'!$D$8:$D$42))+1,""),ROW()-56)),"")</f>
        <v>Home - PortCastelló</v>
      </c>
      <c r="C73" s="114" t="str" cm="1">
        <f t="array" ref="C73">IFERROR(INDEX('03.Muestra'!$F$8:$F$42,SMALL(IF("Página Web"='03.Muestra'!$D$8:$D$42,ROW('03.Muestra'!$F$8:$F$42)-MIN(ROW('03.Muestra'!$D$8:$D$42))+1,""),ROW()-56)),"")</f>
        <v>https://www.portcastello.com/</v>
      </c>
      <c r="D73" s="130" t="s">
        <v>33</v>
      </c>
      <c r="E73" s="107" t="str">
        <f t="shared" si="2"/>
        <v/>
      </c>
      <c r="F73" s="19"/>
      <c r="G73" s="19"/>
      <c r="H73" s="19"/>
      <c r="I73" s="19"/>
      <c r="J73" s="19"/>
      <c r="K73" s="233"/>
    </row>
    <row r="74" spans="1:11" ht="12" customHeight="1">
      <c r="A74" s="219" t="n" cm="1">
        <f t="array" ref="A74">IFERROR(INDEX('03.Muestra'!$B$8:$B$42,SMALL(IF("Página Web"='03.Muestra'!$D$8:$D$42,ROW('03.Muestra'!$B$8:$B$42)-MIN(ROW('03.Muestra'!$D$8:$D$42))+1,""),ROW()-56)),"")</f>
        <v>1.0</v>
      </c>
      <c r="B74" s="114" t="str" cm="1">
        <f t="array" ref="B74">IFERROR(INDEX('03.Muestra'!$C$8:$C$42,SMALL(IF("Página Web"='03.Muestra'!$D$8:$D$42,ROW('03.Muestra'!$C$8:$C$42)-MIN(ROW('03.Muestra'!$D$8:$D$42))+1,""),ROW()-56)),"")</f>
        <v>Home - PortCastelló</v>
      </c>
      <c r="C74" s="114" t="str" cm="1">
        <f t="array" ref="C74">IFERROR(INDEX('03.Muestra'!$F$8:$F$42,SMALL(IF("Página Web"='03.Muestra'!$D$8:$D$42,ROW('03.Muestra'!$F$8:$F$42)-MIN(ROW('03.Muestra'!$D$8:$D$42))+1,""),ROW()-56)),"")</f>
        <v>https://www.portcastello.com/</v>
      </c>
      <c r="D74" s="130" t="s">
        <v>33</v>
      </c>
      <c r="E74" s="107" t="str">
        <f t="shared" si="2"/>
        <v/>
      </c>
      <c r="F74" s="19"/>
      <c r="G74" s="19"/>
      <c r="H74" s="19"/>
      <c r="I74" s="19"/>
      <c r="J74" s="19"/>
      <c r="K74" s="233"/>
    </row>
    <row r="75" spans="1:11" ht="12" customHeight="1">
      <c r="A75" s="219" t="n" cm="1">
        <f t="array" ref="A75">IFERROR(INDEX('03.Muestra'!$B$8:$B$42,SMALL(IF("Página Web"='03.Muestra'!$D$8:$D$42,ROW('03.Muestra'!$B$8:$B$42)-MIN(ROW('03.Muestra'!$D$8:$D$42))+1,""),ROW()-56)),"")</f>
        <v>1.0</v>
      </c>
      <c r="B75" s="114" t="str" cm="1">
        <f t="array" ref="B75">IFERROR(INDEX('03.Muestra'!$C$8:$C$42,SMALL(IF("Página Web"='03.Muestra'!$D$8:$D$42,ROW('03.Muestra'!$C$8:$C$42)-MIN(ROW('03.Muestra'!$D$8:$D$42))+1,""),ROW()-56)),"")</f>
        <v>Home - PortCastelló</v>
      </c>
      <c r="C75" s="114" t="str" cm="1">
        <f t="array" ref="C75">IFERROR(INDEX('03.Muestra'!$F$8:$F$42,SMALL(IF("Página Web"='03.Muestra'!$D$8:$D$42,ROW('03.Muestra'!$F$8:$F$42)-MIN(ROW('03.Muestra'!$D$8:$D$42))+1,""),ROW()-56)),"")</f>
        <v>https://www.portcastello.com/</v>
      </c>
      <c r="D75" s="130" t="s">
        <v>33</v>
      </c>
      <c r="E75" s="107" t="str">
        <f t="shared" si="2"/>
        <v/>
      </c>
      <c r="F75" s="19"/>
      <c r="G75" s="19"/>
      <c r="H75" s="19"/>
      <c r="I75" s="19"/>
      <c r="J75" s="19"/>
      <c r="K75" s="233"/>
    </row>
    <row r="76" spans="1:11" ht="12" customHeight="1">
      <c r="A76" s="219" t="n" cm="1">
        <f t="array" ref="A76">IFERROR(INDEX('03.Muestra'!$B$8:$B$42,SMALL(IF("Página Web"='03.Muestra'!$D$8:$D$42,ROW('03.Muestra'!$B$8:$B$42)-MIN(ROW('03.Muestra'!$D$8:$D$42))+1,""),ROW()-56)),"")</f>
        <v>1.0</v>
      </c>
      <c r="B76" s="114" t="str" cm="1">
        <f t="array" ref="B76">IFERROR(INDEX('03.Muestra'!$C$8:$C$42,SMALL(IF("Página Web"='03.Muestra'!$D$8:$D$42,ROW('03.Muestra'!$C$8:$C$42)-MIN(ROW('03.Muestra'!$D$8:$D$42))+1,""),ROW()-56)),"")</f>
        <v>Home - PortCastelló</v>
      </c>
      <c r="C76" s="114" t="str" cm="1">
        <f t="array" ref="C76">IFERROR(INDEX('03.Muestra'!$F$8:$F$42,SMALL(IF("Página Web"='03.Muestra'!$D$8:$D$42,ROW('03.Muestra'!$F$8:$F$42)-MIN(ROW('03.Muestra'!$D$8:$D$42))+1,""),ROW()-56)),"")</f>
        <v>https://www.portcastello.com/</v>
      </c>
      <c r="D76" s="130" t="s">
        <v>33</v>
      </c>
      <c r="E76" s="107" t="str">
        <f t="shared" si="2"/>
        <v/>
      </c>
      <c r="F76" s="19"/>
      <c r="G76" s="19"/>
      <c r="H76" s="19"/>
      <c r="I76" s="19"/>
      <c r="J76" s="19"/>
      <c r="K76" s="233"/>
    </row>
    <row r="77" spans="1:11" ht="12" customHeight="1">
      <c r="A77" s="219" t="n" cm="1">
        <f t="array" ref="A77">IFERROR(INDEX('03.Muestra'!$B$8:$B$42,SMALL(IF("Página Web"='03.Muestra'!$D$8:$D$42,ROW('03.Muestra'!$B$8:$B$42)-MIN(ROW('03.Muestra'!$D$8:$D$42))+1,""),ROW()-56)),"")</f>
        <v>1.0</v>
      </c>
      <c r="B77" s="114" t="str" cm="1">
        <f t="array" ref="B77">IFERROR(INDEX('03.Muestra'!$C$8:$C$42,SMALL(IF("Página Web"='03.Muestra'!$D$8:$D$42,ROW('03.Muestra'!$C$8:$C$42)-MIN(ROW('03.Muestra'!$D$8:$D$42))+1,""),ROW()-56)),"")</f>
        <v>Home - PortCastelló</v>
      </c>
      <c r="C77" s="114" t="str" cm="1">
        <f t="array" ref="C77">IFERROR(INDEX('03.Muestra'!$F$8:$F$42,SMALL(IF("Página Web"='03.Muestra'!$D$8:$D$42,ROW('03.Muestra'!$F$8:$F$42)-MIN(ROW('03.Muestra'!$D$8:$D$42))+1,""),ROW()-56)),"")</f>
        <v>https://www.portcastello.com/</v>
      </c>
      <c r="D77" s="130" t="s">
        <v>33</v>
      </c>
      <c r="E77" s="107" t="str">
        <f t="shared" si="2"/>
        <v/>
      </c>
      <c r="F77" s="19"/>
      <c r="G77" s="19"/>
      <c r="H77" s="19"/>
      <c r="I77" s="19"/>
      <c r="J77" s="19"/>
      <c r="K77" s="233"/>
    </row>
    <row r="78" spans="1:11" ht="12" customHeight="1">
      <c r="A78" s="219" t="n" cm="1">
        <f t="array" ref="A78">IFERROR(INDEX('03.Muestra'!$B$8:$B$42,SMALL(IF("Página Web"='03.Muestra'!$D$8:$D$42,ROW('03.Muestra'!$B$8:$B$42)-MIN(ROW('03.Muestra'!$D$8:$D$42))+1,""),ROW()-56)),"")</f>
        <v>1.0</v>
      </c>
      <c r="B78" s="114" t="str" cm="1">
        <f t="array" ref="B78">IFERROR(INDEX('03.Muestra'!$C$8:$C$42,SMALL(IF("Página Web"='03.Muestra'!$D$8:$D$42,ROW('03.Muestra'!$C$8:$C$42)-MIN(ROW('03.Muestra'!$D$8:$D$42))+1,""),ROW()-56)),"")</f>
        <v>Home - PortCastelló</v>
      </c>
      <c r="C78" s="114" t="str" cm="1">
        <f t="array" ref="C78">IFERROR(INDEX('03.Muestra'!$F$8:$F$42,SMALL(IF("Página Web"='03.Muestra'!$D$8:$D$42,ROW('03.Muestra'!$F$8:$F$42)-MIN(ROW('03.Muestra'!$D$8:$D$42))+1,""),ROW()-56)),"")</f>
        <v>https://www.portcastello.com/</v>
      </c>
      <c r="D78" s="130" t="s">
        <v>33</v>
      </c>
      <c r="E78" s="107" t="str">
        <f t="shared" si="2"/>
        <v/>
      </c>
      <c r="F78" s="19"/>
      <c r="G78" s="19"/>
      <c r="H78" s="19"/>
      <c r="I78" s="19"/>
      <c r="J78" s="19"/>
      <c r="K78" s="233"/>
    </row>
    <row r="79" spans="1:11" ht="12" customHeight="1">
      <c r="A79" s="219" t="n" cm="1">
        <f t="array" ref="A79">IFERROR(INDEX('03.Muestra'!$B$8:$B$42,SMALL(IF("Página Web"='03.Muestra'!$D$8:$D$42,ROW('03.Muestra'!$B$8:$B$42)-MIN(ROW('03.Muestra'!$D$8:$D$42))+1,""),ROW()-56)),"")</f>
        <v>1.0</v>
      </c>
      <c r="B79" s="114" t="str" cm="1">
        <f t="array" ref="B79">IFERROR(INDEX('03.Muestra'!$C$8:$C$42,SMALL(IF("Página Web"='03.Muestra'!$D$8:$D$42,ROW('03.Muestra'!$C$8:$C$42)-MIN(ROW('03.Muestra'!$D$8:$D$42))+1,""),ROW()-56)),"")</f>
        <v>Home - PortCastelló</v>
      </c>
      <c r="C79" s="114" t="str" cm="1">
        <f t="array" ref="C79">IFERROR(INDEX('03.Muestra'!$F$8:$F$42,SMALL(IF("Página Web"='03.Muestra'!$D$8:$D$42,ROW('03.Muestra'!$F$8:$F$42)-MIN(ROW('03.Muestra'!$D$8:$D$42))+1,""),ROW()-56)),"")</f>
        <v>https://www.portcastello.com/</v>
      </c>
      <c r="D79" s="130" t="s">
        <v>33</v>
      </c>
      <c r="E79" s="107" t="str">
        <f t="shared" si="2"/>
        <v/>
      </c>
      <c r="F79" s="19"/>
      <c r="G79" s="19"/>
      <c r="H79" s="19"/>
      <c r="I79" s="19"/>
      <c r="J79" s="19"/>
      <c r="K79" s="233"/>
    </row>
    <row r="80" spans="1:11" ht="12" customHeight="1">
      <c r="A80" s="219" t="n" cm="1">
        <f t="array" ref="A80">IFERROR(INDEX('03.Muestra'!$B$8:$B$42,SMALL(IF("Página Web"='03.Muestra'!$D$8:$D$42,ROW('03.Muestra'!$B$8:$B$42)-MIN(ROW('03.Muestra'!$D$8:$D$42))+1,""),ROW()-56)),"")</f>
        <v>1.0</v>
      </c>
      <c r="B80" s="114" t="str" cm="1">
        <f t="array" ref="B80">IFERROR(INDEX('03.Muestra'!$C$8:$C$42,SMALL(IF("Página Web"='03.Muestra'!$D$8:$D$42,ROW('03.Muestra'!$C$8:$C$42)-MIN(ROW('03.Muestra'!$D$8:$D$42))+1,""),ROW()-56)),"")</f>
        <v>Home - PortCastelló</v>
      </c>
      <c r="C80" s="114" t="str" cm="1">
        <f t="array" ref="C80">IFERROR(INDEX('03.Muestra'!$F$8:$F$42,SMALL(IF("Página Web"='03.Muestra'!$D$8:$D$42,ROW('03.Muestra'!$F$8:$F$42)-MIN(ROW('03.Muestra'!$D$8:$D$42))+1,""),ROW()-56)),"")</f>
        <v>https://www.portcastello.com/</v>
      </c>
      <c r="D80" s="130" t="s">
        <v>33</v>
      </c>
      <c r="E80" s="107" t="str">
        <f t="shared" si="2"/>
        <v/>
      </c>
      <c r="F80" s="19"/>
      <c r="G80" s="19"/>
      <c r="H80" s="19"/>
      <c r="I80" s="19"/>
      <c r="J80" s="19"/>
      <c r="K80" s="233"/>
    </row>
    <row r="81" spans="1:11" ht="12" customHeight="1">
      <c r="A81" s="219" t="n" cm="1">
        <f t="array" ref="A81">IFERROR(INDEX('03.Muestra'!$B$8:$B$42,SMALL(IF("Página Web"='03.Muestra'!$D$8:$D$42,ROW('03.Muestra'!$B$8:$B$42)-MIN(ROW('03.Muestra'!$D$8:$D$42))+1,""),ROW()-56)),"")</f>
        <v>1.0</v>
      </c>
      <c r="B81" s="114" t="str" cm="1">
        <f t="array" ref="B81">IFERROR(INDEX('03.Muestra'!$C$8:$C$42,SMALL(IF("Página Web"='03.Muestra'!$D$8:$D$42,ROW('03.Muestra'!$C$8:$C$42)-MIN(ROW('03.Muestra'!$D$8:$D$42))+1,""),ROW()-56)),"")</f>
        <v>Home - PortCastelló</v>
      </c>
      <c r="C81" s="114" t="str" cm="1">
        <f t="array" ref="C81">IFERROR(INDEX('03.Muestra'!$F$8:$F$42,SMALL(IF("Página Web"='03.Muestra'!$D$8:$D$42,ROW('03.Muestra'!$F$8:$F$42)-MIN(ROW('03.Muestra'!$D$8:$D$42))+1,""),ROW()-56)),"")</f>
        <v>https://www.portcastello.com/</v>
      </c>
      <c r="D81" s="130" t="s">
        <v>33</v>
      </c>
      <c r="E81" s="107" t="str">
        <f t="shared" si="2"/>
        <v/>
      </c>
      <c r="F81" s="19"/>
      <c r="G81" s="19"/>
      <c r="H81" s="19"/>
      <c r="I81" s="19"/>
      <c r="J81" s="19"/>
      <c r="K81" s="233"/>
    </row>
    <row r="82" spans="1:11" ht="12" customHeight="1">
      <c r="A82" s="219" t="n" cm="1">
        <f t="array" ref="A82">IFERROR(INDEX('03.Muestra'!$B$8:$B$42,SMALL(IF("Página Web"='03.Muestra'!$D$8:$D$42,ROW('03.Muestra'!$B$8:$B$42)-MIN(ROW('03.Muestra'!$D$8:$D$42))+1,""),ROW()-56)),"")</f>
        <v>1.0</v>
      </c>
      <c r="B82" s="114" t="str" cm="1">
        <f t="array" ref="B82">IFERROR(INDEX('03.Muestra'!$C$8:$C$42,SMALL(IF("Página Web"='03.Muestra'!$D$8:$D$42,ROW('03.Muestra'!$C$8:$C$42)-MIN(ROW('03.Muestra'!$D$8:$D$42))+1,""),ROW()-56)),"")</f>
        <v>Home - PortCastelló</v>
      </c>
      <c r="C82" s="114" t="str" cm="1">
        <f t="array" ref="C82">IFERROR(INDEX('03.Muestra'!$F$8:$F$42,SMALL(IF("Página Web"='03.Muestra'!$D$8:$D$42,ROW('03.Muestra'!$F$8:$F$42)-MIN(ROW('03.Muestra'!$D$8:$D$42))+1,""),ROW()-56)),"")</f>
        <v>https://www.portcastello.com/</v>
      </c>
      <c r="D82" s="130" t="s">
        <v>33</v>
      </c>
      <c r="E82" s="107" t="str">
        <f t="shared" si="2"/>
        <v/>
      </c>
      <c r="F82" s="19"/>
      <c r="G82" s="19"/>
      <c r="H82" s="19"/>
      <c r="I82" s="19"/>
      <c r="J82" s="19"/>
      <c r="K82" s="233"/>
    </row>
    <row r="83" spans="1:11" ht="12" customHeight="1">
      <c r="A83" s="219" t="n" cm="1">
        <f t="array" ref="A83">IFERROR(INDEX('03.Muestra'!$B$8:$B$42,SMALL(IF("Página Web"='03.Muestra'!$D$8:$D$42,ROW('03.Muestra'!$B$8:$B$42)-MIN(ROW('03.Muestra'!$D$8:$D$42))+1,""),ROW()-56)),"")</f>
        <v>1.0</v>
      </c>
      <c r="B83" s="114" t="str" cm="1">
        <f t="array" ref="B83">IFERROR(INDEX('03.Muestra'!$C$8:$C$42,SMALL(IF("Página Web"='03.Muestra'!$D$8:$D$42,ROW('03.Muestra'!$C$8:$C$42)-MIN(ROW('03.Muestra'!$D$8:$D$42))+1,""),ROW()-56)),"")</f>
        <v>Home - PortCastelló</v>
      </c>
      <c r="C83" s="114" t="str" cm="1">
        <f t="array" ref="C83">IFERROR(INDEX('03.Muestra'!$F$8:$F$42,SMALL(IF("Página Web"='03.Muestra'!$D$8:$D$42,ROW('03.Muestra'!$F$8:$F$42)-MIN(ROW('03.Muestra'!$D$8:$D$42))+1,""),ROW()-56)),"")</f>
        <v>https://www.portcastello.com/</v>
      </c>
      <c r="D83" s="130" t="s">
        <v>33</v>
      </c>
      <c r="E83" s="107" t="str">
        <f t="shared" si="2"/>
        <v/>
      </c>
      <c r="F83" s="19"/>
      <c r="G83" s="19"/>
      <c r="H83" s="19"/>
      <c r="I83" s="19"/>
      <c r="J83" s="19"/>
      <c r="K83" s="233"/>
    </row>
    <row r="84" spans="1:11" ht="12" customHeight="1">
      <c r="A84" s="219" t="n" cm="1">
        <f t="array" ref="A84">IFERROR(INDEX('03.Muestra'!$B$8:$B$42,SMALL(IF("Página Web"='03.Muestra'!$D$8:$D$42,ROW('03.Muestra'!$B$8:$B$42)-MIN(ROW('03.Muestra'!$D$8:$D$42))+1,""),ROW()-56)),"")</f>
        <v>1.0</v>
      </c>
      <c r="B84" s="114" t="str" cm="1">
        <f t="array" ref="B84">IFERROR(INDEX('03.Muestra'!$C$8:$C$42,SMALL(IF("Página Web"='03.Muestra'!$D$8:$D$42,ROW('03.Muestra'!$C$8:$C$42)-MIN(ROW('03.Muestra'!$D$8:$D$42))+1,""),ROW()-56)),"")</f>
        <v>Home - PortCastelló</v>
      </c>
      <c r="C84" s="114" t="str" cm="1">
        <f t="array" ref="C84">IFERROR(INDEX('03.Muestra'!$F$8:$F$42,SMALL(IF("Página Web"='03.Muestra'!$D$8:$D$42,ROW('03.Muestra'!$F$8:$F$42)-MIN(ROW('03.Muestra'!$D$8:$D$42))+1,""),ROW()-56)),"")</f>
        <v>https://www.portcastello.com/</v>
      </c>
      <c r="D84" s="130" t="s">
        <v>33</v>
      </c>
      <c r="E84" s="107" t="str">
        <f t="shared" si="2"/>
        <v/>
      </c>
      <c r="G84" s="19"/>
      <c r="H84" s="19"/>
      <c r="I84" s="19"/>
      <c r="J84" s="19"/>
      <c r="K84" s="233"/>
    </row>
    <row r="85" spans="1:11" ht="12" customHeight="1">
      <c r="A85" s="219" t="n" cm="1">
        <f t="array" ref="A85">IFERROR(INDEX('03.Muestra'!$B$8:$B$42,SMALL(IF("Página Web"='03.Muestra'!$D$8:$D$42,ROW('03.Muestra'!$B$8:$B$42)-MIN(ROW('03.Muestra'!$D$8:$D$42))+1,""),ROW()-56)),"")</f>
        <v>1.0</v>
      </c>
      <c r="B85" s="114" t="str" cm="1">
        <f t="array" ref="B85">IFERROR(INDEX('03.Muestra'!$C$8:$C$42,SMALL(IF("Página Web"='03.Muestra'!$D$8:$D$42,ROW('03.Muestra'!$C$8:$C$42)-MIN(ROW('03.Muestra'!$D$8:$D$42))+1,""),ROW()-56)),"")</f>
        <v>Home - PortCastelló</v>
      </c>
      <c r="C85" s="114" t="str" cm="1">
        <f t="array" ref="C85">IFERROR(INDEX('03.Muestra'!$F$8:$F$42,SMALL(IF("Página Web"='03.Muestra'!$D$8:$D$42,ROW('03.Muestra'!$F$8:$F$42)-MIN(ROW('03.Muestra'!$D$8:$D$42))+1,""),ROW()-56)),"")</f>
        <v>https://www.portcastello.com/</v>
      </c>
      <c r="D85" s="130" t="s">
        <v>33</v>
      </c>
      <c r="E85" s="107" t="str">
        <f t="shared" si="2"/>
        <v/>
      </c>
      <c r="F85" s="124"/>
      <c r="G85" s="19"/>
      <c r="H85" s="19"/>
      <c r="I85" s="19"/>
      <c r="J85" s="19"/>
      <c r="K85" s="233"/>
    </row>
    <row r="86" spans="1:11" ht="12" customHeight="1">
      <c r="A86" s="219" t="n" cm="1">
        <f t="array" ref="A86">IFERROR(INDEX('03.Muestra'!$B$8:$B$42,SMALL(IF("Página Web"='03.Muestra'!$D$8:$D$42,ROW('03.Muestra'!$B$8:$B$42)-MIN(ROW('03.Muestra'!$D$8:$D$42))+1,""),ROW()-56)),"")</f>
        <v>1.0</v>
      </c>
      <c r="B86" s="114" t="str" cm="1">
        <f t="array" ref="B86">IFERROR(INDEX('03.Muestra'!$C$8:$C$42,SMALL(IF("Página Web"='03.Muestra'!$D$8:$D$42,ROW('03.Muestra'!$C$8:$C$42)-MIN(ROW('03.Muestra'!$D$8:$D$42))+1,""),ROW()-56)),"")</f>
        <v>Home - PortCastelló</v>
      </c>
      <c r="C86" s="114" t="str" cm="1">
        <f t="array" ref="C86">IFERROR(INDEX('03.Muestra'!$F$8:$F$42,SMALL(IF("Página Web"='03.Muestra'!$D$8:$D$42,ROW('03.Muestra'!$F$8:$F$42)-MIN(ROW('03.Muestra'!$D$8:$D$42))+1,""),ROW()-56)),"")</f>
        <v>https://www.portcastello.com/</v>
      </c>
      <c r="D86" s="130" t="s">
        <v>33</v>
      </c>
      <c r="E86" s="107" t="str">
        <f t="shared" si="2"/>
        <v/>
      </c>
      <c r="F86" s="124"/>
      <c r="G86" s="19"/>
      <c r="H86" s="19"/>
      <c r="I86" s="19"/>
      <c r="J86" s="19"/>
      <c r="K86" s="233"/>
    </row>
    <row r="87" spans="1:11" ht="12" customHeight="1">
      <c r="A87" s="219" t="n" cm="1">
        <f t="array" ref="A87">IFERROR(INDEX('03.Muestra'!$B$8:$B$42,SMALL(IF("Página Web"='03.Muestra'!$D$8:$D$42,ROW('03.Muestra'!$B$8:$B$42)-MIN(ROW('03.Muestra'!$D$8:$D$42))+1,""),ROW()-56)),"")</f>
        <v>1.0</v>
      </c>
      <c r="B87" s="114" t="str" cm="1">
        <f t="array" ref="B87">IFERROR(INDEX('03.Muestra'!$C$8:$C$42,SMALL(IF("Página Web"='03.Muestra'!$D$8:$D$42,ROW('03.Muestra'!$C$8:$C$42)-MIN(ROW('03.Muestra'!$D$8:$D$42))+1,""),ROW()-56)),"")</f>
        <v>Home - PortCastelló</v>
      </c>
      <c r="C87" s="114" t="str" cm="1">
        <f t="array" ref="C87">IFERROR(INDEX('03.Muestra'!$F$8:$F$42,SMALL(IF("Página Web"='03.Muestra'!$D$8:$D$42,ROW('03.Muestra'!$F$8:$F$42)-MIN(ROW('03.Muestra'!$D$8:$D$42))+1,""),ROW()-56)),"")</f>
        <v>https://www.portcastello.com/</v>
      </c>
      <c r="D87" s="130" t="s">
        <v>33</v>
      </c>
      <c r="E87" s="107" t="str">
        <f t="shared" si="2"/>
        <v/>
      </c>
      <c r="F87" s="124"/>
      <c r="G87" s="19"/>
      <c r="H87" s="19"/>
      <c r="I87" s="19"/>
      <c r="J87" s="19"/>
      <c r="K87" s="233"/>
    </row>
    <row r="88" spans="1:11" ht="12" customHeight="1">
      <c r="A88" s="219" t="n" cm="1">
        <f t="array" ref="A88">IFERROR(INDEX('03.Muestra'!$B$8:$B$42,SMALL(IF("Página Web"='03.Muestra'!$D$8:$D$42,ROW('03.Muestra'!$B$8:$B$42)-MIN(ROW('03.Muestra'!$D$8:$D$42))+1,""),ROW()-56)),"")</f>
        <v>1.0</v>
      </c>
      <c r="B88" s="114" t="str" cm="1">
        <f t="array" ref="B88">IFERROR(INDEX('03.Muestra'!$C$8:$C$42,SMALL(IF("Página Web"='03.Muestra'!$D$8:$D$42,ROW('03.Muestra'!$C$8:$C$42)-MIN(ROW('03.Muestra'!$D$8:$D$42))+1,""),ROW()-56)),"")</f>
        <v>Home - PortCastelló</v>
      </c>
      <c r="C88" s="114" t="str" cm="1">
        <f t="array" ref="C88">IFERROR(INDEX('03.Muestra'!$F$8:$F$42,SMALL(IF("Página Web"='03.Muestra'!$D$8:$D$42,ROW('03.Muestra'!$F$8:$F$42)-MIN(ROW('03.Muestra'!$D$8:$D$42))+1,""),ROW()-56)),"")</f>
        <v>https://www.portcastello.com/</v>
      </c>
      <c r="D88" s="130" t="s">
        <v>33</v>
      </c>
      <c r="E88" s="107" t="str">
        <f t="shared" si="2"/>
        <v/>
      </c>
      <c r="F88" s="124"/>
      <c r="G88" s="19"/>
      <c r="H88" s="19"/>
      <c r="I88" s="19"/>
      <c r="J88" s="19"/>
      <c r="K88" s="233"/>
    </row>
    <row r="89" spans="1:11" ht="12" customHeight="1">
      <c r="A89" s="219" t="n" cm="1">
        <f t="array" ref="A89">IFERROR(INDEX('03.Muestra'!$B$8:$B$42,SMALL(IF("Página Web"='03.Muestra'!$D$8:$D$42,ROW('03.Muestra'!$B$8:$B$42)-MIN(ROW('03.Muestra'!$D$8:$D$42))+1,""),ROW()-56)),"")</f>
        <v>1.0</v>
      </c>
      <c r="B89" s="114" t="str" cm="1">
        <f t="array" ref="B89">IFERROR(INDEX('03.Muestra'!$C$8:$C$42,SMALL(IF("Página Web"='03.Muestra'!$D$8:$D$42,ROW('03.Muestra'!$C$8:$C$42)-MIN(ROW('03.Muestra'!$D$8:$D$42))+1,""),ROW()-56)),"")</f>
        <v>Home - PortCastelló</v>
      </c>
      <c r="C89" s="114" t="str" cm="1">
        <f t="array" ref="C89">IFERROR(INDEX('03.Muestra'!$F$8:$F$42,SMALL(IF("Página Web"='03.Muestra'!$D$8:$D$42,ROW('03.Muestra'!$F$8:$F$42)-MIN(ROW('03.Muestra'!$D$8:$D$42))+1,""),ROW()-56)),"")</f>
        <v>https://www.portcastello.com/</v>
      </c>
      <c r="D89" s="130" t="s">
        <v>33</v>
      </c>
      <c r="E89" s="107" t="str">
        <f t="shared" si="2"/>
        <v/>
      </c>
      <c r="F89" s="124"/>
      <c r="G89" s="19"/>
      <c r="H89" s="19"/>
      <c r="I89" s="19"/>
      <c r="J89" s="19"/>
      <c r="K89" s="233"/>
    </row>
    <row r="90" spans="1:11" ht="12" customHeight="1">
      <c r="A90" s="219" t="str" cm="1">
        <f t="array" ref="A90">IFERROR(INDEX('03.Muestra'!$B$8:$B$42,SMALL(IF("Página Web"='03.Muestra'!$D$8:$D$42,ROW('03.Muestra'!$B$8:$B$42)-MIN(ROW('03.Muestra'!$D$8:$D$42))+1,""),ROW()-56)),"")</f>
        <v/>
      </c>
      <c r="B90" s="114" t="str" cm="1">
        <f t="array" ref="B90">IFERROR(INDEX('03.Muestra'!$C$8:$C$42,SMALL(IF("Página Web"='03.Muestra'!$D$8:$D$42,ROW('03.Muestra'!$C$8:$C$42)-MIN(ROW('03.Muestra'!$D$8:$D$42))+1,""),ROW()-56)),"")</f>
        <v/>
      </c>
      <c r="C90" s="114" t="str" cm="1">
        <f t="array" ref="C90">IFERROR(INDEX('03.Muestra'!$F$8:$F$42,SMALL(IF("Página Web"='03.Muestra'!$D$8:$D$42,ROW('03.Muestra'!$F$8:$F$42)-MIN(ROW('03.Muestra'!$D$8:$D$42))+1,""),ROW()-56)),"")</f>
        <v/>
      </c>
      <c r="D90" s="130" t="str">
        <f t="shared" si="3" ref="D90:D91">IF(AND(B90&lt;&gt;"",C90&lt;&gt;""),"N/T","")</f>
        <v/>
      </c>
      <c r="E90" s="107" t="str">
        <f t="shared" si="2"/>
        <v/>
      </c>
      <c r="F90" s="124"/>
      <c r="G90" s="19"/>
      <c r="H90" s="19"/>
      <c r="I90" s="19"/>
      <c r="J90" s="19"/>
      <c r="K90" s="233"/>
    </row>
    <row r="91" spans="1:11" ht="12" customHeight="1">
      <c r="A91" s="219" t="str" cm="1">
        <f t="array" ref="A91">IFERROR(INDEX('03.Muestra'!$B$8:$B$42,SMALL(IF("Página Web"='03.Muestra'!$D$8:$D$42,ROW('03.Muestra'!$B$8:$B$42)-MIN(ROW('03.Muestra'!$D$8:$D$42))+1,""),ROW()-56)),"")</f>
        <v/>
      </c>
      <c r="B91" s="114" t="str" cm="1">
        <f t="array" ref="B91">IFERROR(INDEX('03.Muestra'!$C$8:$C$42,SMALL(IF("Página Web"='03.Muestra'!$D$8:$D$42,ROW('03.Muestra'!$C$8:$C$42)-MIN(ROW('03.Muestra'!$D$8:$D$42))+1,""),ROW()-56)),"")</f>
        <v/>
      </c>
      <c r="C91" s="114" t="str" cm="1">
        <f t="array" ref="C91">IFERROR(INDEX('03.Muestra'!$F$8:$F$42,SMALL(IF("Página Web"='03.Muestra'!$D$8:$D$42,ROW('03.Muestra'!$F$8:$F$42)-MIN(ROW('03.Muestra'!$D$8:$D$42))+1,""),ROW()-56)),"")</f>
        <v/>
      </c>
      <c r="D91" s="130" t="str">
        <f t="shared" si="3"/>
        <v/>
      </c>
      <c r="E91" s="107" t="str">
        <f t="shared" si="2"/>
        <v/>
      </c>
      <c r="F91" s="19"/>
      <c r="G91" s="19"/>
      <c r="H91" s="19"/>
      <c r="I91" s="19"/>
      <c r="J91" s="19"/>
      <c r="K91" s="233"/>
    </row>
    <row r="92" spans="1:11" ht="12" customHeight="1">
      <c r="B92" s="19"/>
      <c r="C92" s="19"/>
      <c r="D92" s="107"/>
      <c r="E92" s="107"/>
      <c r="F92" s="19"/>
      <c r="G92" s="19"/>
      <c r="H92" s="19"/>
      <c r="I92" s="19"/>
      <c r="J92" s="19"/>
      <c r="K92" s="233"/>
    </row>
    <row r="93" spans="1:11" ht="12" customHeight="1">
      <c r="B93" s="19"/>
      <c r="C93" s="19"/>
      <c r="D93" s="107"/>
      <c r="E93" s="112"/>
      <c r="F93" s="19"/>
      <c r="G93" s="19"/>
      <c r="H93" s="19"/>
      <c r="I93" s="19"/>
      <c r="J93" s="19"/>
      <c r="K93" s="233"/>
    </row>
    <row r="94" spans="1:11" ht="29.25" customHeight="1">
      <c r="A94" s="218" t="s">
        <v>268</v>
      </c>
      <c r="B94" s="24" t="s">
        <v>90</v>
      </c>
      <c r="C94" s="25" t="s">
        <v>263</v>
      </c>
      <c r="D94" s="26" t="s">
        <v>32</v>
      </c>
      <c r="E94" s="123"/>
      <c r="K94" s="233"/>
    </row>
    <row r="95" spans="1:11" ht="12" customHeight="1">
      <c r="A95" s="219" t="n" cm="1">
        <f t="array" ref="A95">IFERROR(INDEX('03.Muestra'!$B$8:$B$42,SMALL(IF("Página Web"='03.Muestra'!$D$8:$D$42,ROW('03.Muestra'!$B$8:$B$42)-MIN(ROW('03.Muestra'!$D$8:$D$42))+1,""),ROW()-94)),"")</f>
        <v>1.0</v>
      </c>
      <c r="B95" s="114" t="str" cm="1">
        <f t="array" ref="B95">IFERROR(INDEX('03.Muestra'!$C$8:$C$42,SMALL(IF("Página Web"='03.Muestra'!$D$8:$D$42,ROW('03.Muestra'!$C$8:$C$42)-MIN(ROW('03.Muestra'!$D$8:$D$42))+1,""),ROW()-94)),"")</f>
        <v>Home - PortCastelló</v>
      </c>
      <c r="C95" s="114" t="str" cm="1">
        <f t="array" ref="C95">IFERROR(INDEX('03.Muestra'!$F$8:$F$42,SMALL(IF("Página Web"='03.Muestra'!$D$8:$D$42,ROW('03.Muestra'!$F$8:$F$42)-MIN(ROW('03.Muestra'!$D$8:$D$42))+1,""),ROW()-94)),"")</f>
        <v>https://www.portcastello.com/</v>
      </c>
      <c r="D95" s="130" t="s">
        <v>33</v>
      </c>
      <c r="E95" s="107" t="str">
        <f t="shared" ref="E95:E129" si="4">IF(D95&lt;&gt;"",IF(AND(B95&lt;&gt;"",C95&lt;&gt;""),"","ERR"),"")</f>
        <v/>
      </c>
      <c r="F95" s="115" t="s">
        <v>33</v>
      </c>
      <c r="G95" s="116" t="s">
        <v>37</v>
      </c>
      <c r="H95" s="117" t="s">
        <v>35</v>
      </c>
      <c r="I95" s="118" t="s">
        <v>28</v>
      </c>
      <c r="J95" s="119" t="s">
        <v>26</v>
      </c>
      <c r="K95" s="226" t="s">
        <v>474</v>
      </c>
    </row>
    <row r="96" spans="1:11" ht="12" customHeight="1">
      <c r="A96" s="219" t="n" cm="1">
        <f t="array" ref="A96">IFERROR(INDEX('03.Muestra'!$B$8:$B$42,SMALL(IF("Página Web"='03.Muestra'!$D$8:$D$42,ROW('03.Muestra'!$B$8:$B$42)-MIN(ROW('03.Muestra'!$D$8:$D$42))+1,""),ROW()-94)),"")</f>
        <v>1.0</v>
      </c>
      <c r="B96" s="114" t="str" cm="1">
        <f t="array" ref="B96">IFERROR(INDEX('03.Muestra'!$C$8:$C$42,SMALL(IF("Página Web"='03.Muestra'!$D$8:$D$42,ROW('03.Muestra'!$C$8:$C$42)-MIN(ROW('03.Muestra'!$D$8:$D$42))+1,""),ROW()-94)),"")</f>
        <v>Home - PortCastelló</v>
      </c>
      <c r="C96" s="114" t="str" cm="1">
        <f t="array" ref="C96">IFERROR(INDEX('03.Muestra'!$F$8:$F$42,SMALL(IF("Página Web"='03.Muestra'!$D$8:$D$42,ROW('03.Muestra'!$F$8:$F$42)-MIN(ROW('03.Muestra'!$D$8:$D$42))+1,""),ROW()-94)),"")</f>
        <v>https://www.portcastello.com/</v>
      </c>
      <c r="D96" s="130" t="s">
        <v>33</v>
      </c>
      <c r="E96" s="107" t="str">
        <f t="shared" si="4"/>
        <v/>
      </c>
      <c r="F96" s="120" t="n">
        <f ca="1">COUNTIF($D95:INDIRECT("$D" &amp;  SUM(ROW()-1,'03.Muestra'!$D$45)-1),F95)</f>
        <v>33.0</v>
      </c>
      <c r="G96" s="120" t="n">
        <f ca="1">COUNTIF($D95:INDIRECT("$D" &amp;  SUM(ROW()-1,'03.Muestra'!$D$45)-1),G95)</f>
        <v>0.0</v>
      </c>
      <c r="H96" s="120" t="n">
        <f ca="1">COUNTIF($D95:INDIRECT("$D" &amp;  SUM(ROW()-1,'03.Muestra'!$D$45)-1),H95)</f>
        <v>0.0</v>
      </c>
      <c r="I96" s="120" t="n">
        <f ca="1">COUNTIF($D95:INDIRECT("$D" &amp;  SUM(ROW()-1,'03.Muestra'!$D$45)-1),I95)</f>
        <v>0.0</v>
      </c>
      <c r="J96" s="120" t="n">
        <f ca="1">COUNTIF($D95:INDIRECT("$D" &amp;  SUM(ROW()-1,'03.Muestra'!$D$45)-1),J95)</f>
        <v>0.0</v>
      </c>
      <c r="K96" s="227" t="n">
        <f ca="1">IF(COUNTIF('03.Muestra'!$D$8:$D$42,"Página Web")=0,0,COUNTBLANK($D95:INDIRECT("$D" &amp;  SUM(ROW()-1,COUNTIF('03.Muestra'!$D$8:$D$42,"Página Web"))-1)))</f>
        <v>0.0</v>
      </c>
    </row>
    <row r="97" spans="1:11" ht="12" customHeight="1">
      <c r="A97" s="219" t="n" cm="1">
        <f t="array" ref="A97">IFERROR(INDEX('03.Muestra'!$B$8:$B$42,SMALL(IF("Página Web"='03.Muestra'!$D$8:$D$42,ROW('03.Muestra'!$B$8:$B$42)-MIN(ROW('03.Muestra'!$D$8:$D$42))+1,""),ROW()-94)),"")</f>
        <v>1.0</v>
      </c>
      <c r="B97" s="114" t="str" cm="1">
        <f t="array" ref="B97">IFERROR(INDEX('03.Muestra'!$C$8:$C$42,SMALL(IF("Página Web"='03.Muestra'!$D$8:$D$42,ROW('03.Muestra'!$C$8:$C$42)-MIN(ROW('03.Muestra'!$D$8:$D$42))+1,""),ROW()-94)),"")</f>
        <v>Home - PortCastelló</v>
      </c>
      <c r="C97" s="114" t="str" cm="1">
        <f t="array" ref="C97">IFERROR(INDEX('03.Muestra'!$F$8:$F$42,SMALL(IF("Página Web"='03.Muestra'!$D$8:$D$42,ROW('03.Muestra'!$F$8:$F$42)-MIN(ROW('03.Muestra'!$D$8:$D$42))+1,""),ROW()-94)),"")</f>
        <v>https://www.portcastello.com/</v>
      </c>
      <c r="D97" s="130" t="s">
        <v>33</v>
      </c>
      <c r="E97" s="107" t="str">
        <f t="shared" si="4"/>
        <v/>
      </c>
      <c r="G97" s="19"/>
      <c r="H97" s="19"/>
      <c r="I97" s="19"/>
      <c r="J97" s="19"/>
      <c r="K97" s="233"/>
    </row>
    <row r="98" spans="1:11" ht="12" customHeight="1">
      <c r="A98" s="219" t="n" cm="1">
        <f t="array" ref="A98">IFERROR(INDEX('03.Muestra'!$B$8:$B$42,SMALL(IF("Página Web"='03.Muestra'!$D$8:$D$42,ROW('03.Muestra'!$B$8:$B$42)-MIN(ROW('03.Muestra'!$D$8:$D$42))+1,""),ROW()-94)),"")</f>
        <v>1.0</v>
      </c>
      <c r="B98" s="114" t="str" cm="1">
        <f t="array" ref="B98">IFERROR(INDEX('03.Muestra'!$C$8:$C$42,SMALL(IF("Página Web"='03.Muestra'!$D$8:$D$42,ROW('03.Muestra'!$C$8:$C$42)-MIN(ROW('03.Muestra'!$D$8:$D$42))+1,""),ROW()-94)),"")</f>
        <v>Home - PortCastelló</v>
      </c>
      <c r="C98" s="114" t="str" cm="1">
        <f t="array" ref="C98">IFERROR(INDEX('03.Muestra'!$F$8:$F$42,SMALL(IF("Página Web"='03.Muestra'!$D$8:$D$42,ROW('03.Muestra'!$F$8:$F$42)-MIN(ROW('03.Muestra'!$D$8:$D$42))+1,""),ROW()-94)),"")</f>
        <v>https://www.portcastello.com/</v>
      </c>
      <c r="D98" s="130" t="s">
        <v>33</v>
      </c>
      <c r="E98" s="107" t="str">
        <f t="shared" si="4"/>
        <v/>
      </c>
      <c r="G98" s="19"/>
      <c r="H98" s="19"/>
      <c r="I98" s="19"/>
      <c r="J98" s="19"/>
      <c r="K98" s="233"/>
    </row>
    <row r="99" spans="1:11" ht="12" customHeight="1">
      <c r="A99" s="219" t="n" cm="1">
        <f t="array" ref="A99">IFERROR(INDEX('03.Muestra'!$B$8:$B$42,SMALL(IF("Página Web"='03.Muestra'!$D$8:$D$42,ROW('03.Muestra'!$B$8:$B$42)-MIN(ROW('03.Muestra'!$D$8:$D$42))+1,""),ROW()-94)),"")</f>
        <v>1.0</v>
      </c>
      <c r="B99" s="114" t="str" cm="1">
        <f t="array" ref="B99">IFERROR(INDEX('03.Muestra'!$C$8:$C$42,SMALL(IF("Página Web"='03.Muestra'!$D$8:$D$42,ROW('03.Muestra'!$C$8:$C$42)-MIN(ROW('03.Muestra'!$D$8:$D$42))+1,""),ROW()-94)),"")</f>
        <v>Home - PortCastelló</v>
      </c>
      <c r="C99" s="114" t="str" cm="1">
        <f t="array" ref="C99">IFERROR(INDEX('03.Muestra'!$F$8:$F$42,SMALL(IF("Página Web"='03.Muestra'!$D$8:$D$42,ROW('03.Muestra'!$F$8:$F$42)-MIN(ROW('03.Muestra'!$D$8:$D$42))+1,""),ROW()-94)),"")</f>
        <v>https://www.portcastello.com/</v>
      </c>
      <c r="D99" s="130" t="s">
        <v>33</v>
      </c>
      <c r="E99" s="107" t="str">
        <f t="shared" si="4"/>
        <v/>
      </c>
      <c r="G99" s="19"/>
      <c r="H99" s="19"/>
      <c r="I99" s="19"/>
      <c r="J99" s="19"/>
      <c r="K99" s="233"/>
    </row>
    <row r="100" spans="1:11" ht="12" customHeight="1">
      <c r="A100" s="219" t="n" cm="1">
        <f t="array" ref="A100">IFERROR(INDEX('03.Muestra'!$B$8:$B$42,SMALL(IF("Página Web"='03.Muestra'!$D$8:$D$42,ROW('03.Muestra'!$B$8:$B$42)-MIN(ROW('03.Muestra'!$D$8:$D$42))+1,""),ROW()-94)),"")</f>
        <v>1.0</v>
      </c>
      <c r="B100" s="114" t="str" cm="1">
        <f t="array" ref="B100">IFERROR(INDEX('03.Muestra'!$C$8:$C$42,SMALL(IF("Página Web"='03.Muestra'!$D$8:$D$42,ROW('03.Muestra'!$C$8:$C$42)-MIN(ROW('03.Muestra'!$D$8:$D$42))+1,""),ROW()-94)),"")</f>
        <v>Home - PortCastelló</v>
      </c>
      <c r="C100" s="114" t="str" cm="1">
        <f t="array" ref="C100">IFERROR(INDEX('03.Muestra'!$F$8:$F$42,SMALL(IF("Página Web"='03.Muestra'!$D$8:$D$42,ROW('03.Muestra'!$F$8:$F$42)-MIN(ROW('03.Muestra'!$D$8:$D$42))+1,""),ROW()-94)),"")</f>
        <v>https://www.portcastello.com/</v>
      </c>
      <c r="D100" s="130" t="s">
        <v>33</v>
      </c>
      <c r="E100" s="107" t="str">
        <f t="shared" si="4"/>
        <v/>
      </c>
      <c r="G100" s="19"/>
      <c r="H100" s="19"/>
      <c r="I100" s="19"/>
      <c r="J100" s="19"/>
      <c r="K100" s="233"/>
    </row>
    <row r="101" spans="1:11" ht="12" customHeight="1">
      <c r="A101" s="219" t="n" cm="1">
        <f t="array" ref="A101">IFERROR(INDEX('03.Muestra'!$B$8:$B$42,SMALL(IF("Página Web"='03.Muestra'!$D$8:$D$42,ROW('03.Muestra'!$B$8:$B$42)-MIN(ROW('03.Muestra'!$D$8:$D$42))+1,""),ROW()-94)),"")</f>
        <v>1.0</v>
      </c>
      <c r="B101" s="114" t="str" cm="1">
        <f t="array" ref="B101">IFERROR(INDEX('03.Muestra'!$C$8:$C$42,SMALL(IF("Página Web"='03.Muestra'!$D$8:$D$42,ROW('03.Muestra'!$C$8:$C$42)-MIN(ROW('03.Muestra'!$D$8:$D$42))+1,""),ROW()-94)),"")</f>
        <v>Home - PortCastelló</v>
      </c>
      <c r="C101" s="114" t="str" cm="1">
        <f t="array" ref="C101">IFERROR(INDEX('03.Muestra'!$F$8:$F$42,SMALL(IF("Página Web"='03.Muestra'!$D$8:$D$42,ROW('03.Muestra'!$F$8:$F$42)-MIN(ROW('03.Muestra'!$D$8:$D$42))+1,""),ROW()-94)),"")</f>
        <v>https://www.portcastello.com/</v>
      </c>
      <c r="D101" s="130" t="s">
        <v>33</v>
      </c>
      <c r="E101" s="107" t="str">
        <f t="shared" si="4"/>
        <v/>
      </c>
      <c r="F101" s="19"/>
      <c r="G101" s="19"/>
      <c r="H101" s="19"/>
      <c r="I101" s="19"/>
      <c r="J101" s="19"/>
      <c r="K101" s="233"/>
    </row>
    <row r="102" spans="1:11" ht="12" customHeight="1">
      <c r="A102" s="219" t="n" cm="1">
        <f t="array" ref="A102">IFERROR(INDEX('03.Muestra'!$B$8:$B$42,SMALL(IF("Página Web"='03.Muestra'!$D$8:$D$42,ROW('03.Muestra'!$B$8:$B$42)-MIN(ROW('03.Muestra'!$D$8:$D$42))+1,""),ROW()-94)),"")</f>
        <v>1.0</v>
      </c>
      <c r="B102" s="114" t="str" cm="1">
        <f t="array" ref="B102">IFERROR(INDEX('03.Muestra'!$C$8:$C$42,SMALL(IF("Página Web"='03.Muestra'!$D$8:$D$42,ROW('03.Muestra'!$C$8:$C$42)-MIN(ROW('03.Muestra'!$D$8:$D$42))+1,""),ROW()-94)),"")</f>
        <v>Home - PortCastelló</v>
      </c>
      <c r="C102" s="114" t="str" cm="1">
        <f t="array" ref="C102">IFERROR(INDEX('03.Muestra'!$F$8:$F$42,SMALL(IF("Página Web"='03.Muestra'!$D$8:$D$42,ROW('03.Muestra'!$F$8:$F$42)-MIN(ROW('03.Muestra'!$D$8:$D$42))+1,""),ROW()-94)),"")</f>
        <v>https://www.portcastello.com/</v>
      </c>
      <c r="D102" s="130" t="s">
        <v>33</v>
      </c>
      <c r="E102" s="107" t="str">
        <f t="shared" si="4"/>
        <v/>
      </c>
      <c r="F102" s="19"/>
      <c r="G102" s="19"/>
      <c r="H102" s="19"/>
      <c r="I102" s="19"/>
      <c r="J102" s="19"/>
      <c r="K102" s="233"/>
    </row>
    <row r="103" spans="1:11" ht="12" customHeight="1">
      <c r="A103" s="219" t="n" cm="1">
        <f t="array" ref="A103">IFERROR(INDEX('03.Muestra'!$B$8:$B$42,SMALL(IF("Página Web"='03.Muestra'!$D$8:$D$42,ROW('03.Muestra'!$B$8:$B$42)-MIN(ROW('03.Muestra'!$D$8:$D$42))+1,""),ROW()-94)),"")</f>
        <v>1.0</v>
      </c>
      <c r="B103" s="114" t="str" cm="1">
        <f t="array" ref="B103">IFERROR(INDEX('03.Muestra'!$C$8:$C$42,SMALL(IF("Página Web"='03.Muestra'!$D$8:$D$42,ROW('03.Muestra'!$C$8:$C$42)-MIN(ROW('03.Muestra'!$D$8:$D$42))+1,""),ROW()-94)),"")</f>
        <v>Home - PortCastelló</v>
      </c>
      <c r="C103" s="114" t="str" cm="1">
        <f t="array" ref="C103">IFERROR(INDEX('03.Muestra'!$F$8:$F$42,SMALL(IF("Página Web"='03.Muestra'!$D$8:$D$42,ROW('03.Muestra'!$F$8:$F$42)-MIN(ROW('03.Muestra'!$D$8:$D$42))+1,""),ROW()-94)),"")</f>
        <v>https://www.portcastello.com/</v>
      </c>
      <c r="D103" s="130" t="s">
        <v>33</v>
      </c>
      <c r="E103" s="107" t="str">
        <f t="shared" si="4"/>
        <v/>
      </c>
      <c r="F103" s="19"/>
      <c r="G103" s="19"/>
      <c r="H103" s="19"/>
      <c r="I103" s="19"/>
      <c r="J103" s="19"/>
      <c r="K103" s="233"/>
    </row>
    <row r="104" spans="1:11" ht="12" customHeight="1">
      <c r="A104" s="219" t="n" cm="1">
        <f t="array" ref="A104">IFERROR(INDEX('03.Muestra'!$B$8:$B$42,SMALL(IF("Página Web"='03.Muestra'!$D$8:$D$42,ROW('03.Muestra'!$B$8:$B$42)-MIN(ROW('03.Muestra'!$D$8:$D$42))+1,""),ROW()-94)),"")</f>
        <v>1.0</v>
      </c>
      <c r="B104" s="114" t="str" cm="1">
        <f t="array" ref="B104">IFERROR(INDEX('03.Muestra'!$C$8:$C$42,SMALL(IF("Página Web"='03.Muestra'!$D$8:$D$42,ROW('03.Muestra'!$C$8:$C$42)-MIN(ROW('03.Muestra'!$D$8:$D$42))+1,""),ROW()-94)),"")</f>
        <v>Home - PortCastelló</v>
      </c>
      <c r="C104" s="114" t="str" cm="1">
        <f t="array" ref="C104">IFERROR(INDEX('03.Muestra'!$F$8:$F$42,SMALL(IF("Página Web"='03.Muestra'!$D$8:$D$42,ROW('03.Muestra'!$F$8:$F$42)-MIN(ROW('03.Muestra'!$D$8:$D$42))+1,""),ROW()-94)),"")</f>
        <v>https://www.portcastello.com/</v>
      </c>
      <c r="D104" s="130" t="s">
        <v>33</v>
      </c>
      <c r="E104" s="107" t="str">
        <f t="shared" si="4"/>
        <v/>
      </c>
      <c r="F104" s="19"/>
      <c r="G104" s="19"/>
      <c r="H104" s="19"/>
      <c r="I104" s="19"/>
      <c r="J104" s="19"/>
      <c r="K104" s="233"/>
    </row>
    <row r="105" spans="1:11" ht="12" customHeight="1">
      <c r="A105" s="219" t="n" cm="1">
        <f t="array" ref="A105">IFERROR(INDEX('03.Muestra'!$B$8:$B$42,SMALL(IF("Página Web"='03.Muestra'!$D$8:$D$42,ROW('03.Muestra'!$B$8:$B$42)-MIN(ROW('03.Muestra'!$D$8:$D$42))+1,""),ROW()-94)),"")</f>
        <v>1.0</v>
      </c>
      <c r="B105" s="114" t="str" cm="1">
        <f t="array" ref="B105">IFERROR(INDEX('03.Muestra'!$C$8:$C$42,SMALL(IF("Página Web"='03.Muestra'!$D$8:$D$42,ROW('03.Muestra'!$C$8:$C$42)-MIN(ROW('03.Muestra'!$D$8:$D$42))+1,""),ROW()-94)),"")</f>
        <v>Home - PortCastelló</v>
      </c>
      <c r="C105" s="114" t="str" cm="1">
        <f t="array" ref="C105">IFERROR(INDEX('03.Muestra'!$F$8:$F$42,SMALL(IF("Página Web"='03.Muestra'!$D$8:$D$42,ROW('03.Muestra'!$F$8:$F$42)-MIN(ROW('03.Muestra'!$D$8:$D$42))+1,""),ROW()-94)),"")</f>
        <v>https://www.portcastello.com/</v>
      </c>
      <c r="D105" s="130" t="s">
        <v>33</v>
      </c>
      <c r="E105" s="107" t="str">
        <f t="shared" si="4"/>
        <v/>
      </c>
      <c r="F105" s="19"/>
      <c r="G105" s="19"/>
      <c r="H105" s="19"/>
      <c r="I105" s="19"/>
      <c r="J105" s="19"/>
      <c r="K105" s="233"/>
    </row>
    <row r="106" spans="1:11" ht="12" customHeight="1">
      <c r="A106" s="219" t="n" cm="1">
        <f t="array" ref="A106">IFERROR(INDEX('03.Muestra'!$B$8:$B$42,SMALL(IF("Página Web"='03.Muestra'!$D$8:$D$42,ROW('03.Muestra'!$B$8:$B$42)-MIN(ROW('03.Muestra'!$D$8:$D$42))+1,""),ROW()-94)),"")</f>
        <v>1.0</v>
      </c>
      <c r="B106" s="114" t="str" cm="1">
        <f t="array" ref="B106">IFERROR(INDEX('03.Muestra'!$C$8:$C$42,SMALL(IF("Página Web"='03.Muestra'!$D$8:$D$42,ROW('03.Muestra'!$C$8:$C$42)-MIN(ROW('03.Muestra'!$D$8:$D$42))+1,""),ROW()-94)),"")</f>
        <v>Home - PortCastelló</v>
      </c>
      <c r="C106" s="114" t="str" cm="1">
        <f t="array" ref="C106">IFERROR(INDEX('03.Muestra'!$F$8:$F$42,SMALL(IF("Página Web"='03.Muestra'!$D$8:$D$42,ROW('03.Muestra'!$F$8:$F$42)-MIN(ROW('03.Muestra'!$D$8:$D$42))+1,""),ROW()-94)),"")</f>
        <v>https://www.portcastello.com/</v>
      </c>
      <c r="D106" s="130" t="s">
        <v>33</v>
      </c>
      <c r="E106" s="107" t="str">
        <f t="shared" si="4"/>
        <v/>
      </c>
      <c r="F106" s="19"/>
      <c r="G106" s="19"/>
      <c r="H106" s="19"/>
      <c r="I106" s="19"/>
      <c r="J106" s="19"/>
      <c r="K106" s="233"/>
    </row>
    <row r="107" spans="1:11" ht="12" customHeight="1">
      <c r="A107" s="219" t="n" cm="1">
        <f t="array" ref="A107">IFERROR(INDEX('03.Muestra'!$B$8:$B$42,SMALL(IF("Página Web"='03.Muestra'!$D$8:$D$42,ROW('03.Muestra'!$B$8:$B$42)-MIN(ROW('03.Muestra'!$D$8:$D$42))+1,""),ROW()-94)),"")</f>
        <v>1.0</v>
      </c>
      <c r="B107" s="114" t="str" cm="1">
        <f t="array" ref="B107">IFERROR(INDEX('03.Muestra'!$C$8:$C$42,SMALL(IF("Página Web"='03.Muestra'!$D$8:$D$42,ROW('03.Muestra'!$C$8:$C$42)-MIN(ROW('03.Muestra'!$D$8:$D$42))+1,""),ROW()-94)),"")</f>
        <v>Home - PortCastelló</v>
      </c>
      <c r="C107" s="114" t="str" cm="1">
        <f t="array" ref="C107">IFERROR(INDEX('03.Muestra'!$F$8:$F$42,SMALL(IF("Página Web"='03.Muestra'!$D$8:$D$42,ROW('03.Muestra'!$F$8:$F$42)-MIN(ROW('03.Muestra'!$D$8:$D$42))+1,""),ROW()-94)),"")</f>
        <v>https://www.portcastello.com/</v>
      </c>
      <c r="D107" s="130" t="s">
        <v>33</v>
      </c>
      <c r="E107" s="107" t="str">
        <f t="shared" si="4"/>
        <v/>
      </c>
      <c r="F107" s="19"/>
      <c r="G107" s="19"/>
      <c r="H107" s="19"/>
      <c r="I107" s="19"/>
      <c r="J107" s="19"/>
      <c r="K107" s="233"/>
    </row>
    <row r="108" spans="1:11" ht="12" customHeight="1">
      <c r="A108" s="219" t="n" cm="1">
        <f t="array" ref="A108">IFERROR(INDEX('03.Muestra'!$B$8:$B$42,SMALL(IF("Página Web"='03.Muestra'!$D$8:$D$42,ROW('03.Muestra'!$B$8:$B$42)-MIN(ROW('03.Muestra'!$D$8:$D$42))+1,""),ROW()-94)),"")</f>
        <v>1.0</v>
      </c>
      <c r="B108" s="114" t="str" cm="1">
        <f t="array" ref="B108">IFERROR(INDEX('03.Muestra'!$C$8:$C$42,SMALL(IF("Página Web"='03.Muestra'!$D$8:$D$42,ROW('03.Muestra'!$C$8:$C$42)-MIN(ROW('03.Muestra'!$D$8:$D$42))+1,""),ROW()-94)),"")</f>
        <v>Home - PortCastelló</v>
      </c>
      <c r="C108" s="114" t="str" cm="1">
        <f t="array" ref="C108">IFERROR(INDEX('03.Muestra'!$F$8:$F$42,SMALL(IF("Página Web"='03.Muestra'!$D$8:$D$42,ROW('03.Muestra'!$F$8:$F$42)-MIN(ROW('03.Muestra'!$D$8:$D$42))+1,""),ROW()-94)),"")</f>
        <v>https://www.portcastello.com/</v>
      </c>
      <c r="D108" s="130" t="s">
        <v>33</v>
      </c>
      <c r="E108" s="107" t="str">
        <f t="shared" si="4"/>
        <v/>
      </c>
      <c r="F108" s="19"/>
      <c r="G108" s="19"/>
      <c r="H108" s="19"/>
      <c r="I108" s="19"/>
      <c r="J108" s="19"/>
      <c r="K108" s="233"/>
    </row>
    <row r="109" spans="1:11" ht="12" customHeight="1">
      <c r="A109" s="219" t="n" cm="1">
        <f t="array" ref="A109">IFERROR(INDEX('03.Muestra'!$B$8:$B$42,SMALL(IF("Página Web"='03.Muestra'!$D$8:$D$42,ROW('03.Muestra'!$B$8:$B$42)-MIN(ROW('03.Muestra'!$D$8:$D$42))+1,""),ROW()-94)),"")</f>
        <v>1.0</v>
      </c>
      <c r="B109" s="114" t="str" cm="1">
        <f t="array" ref="B109">IFERROR(INDEX('03.Muestra'!$C$8:$C$42,SMALL(IF("Página Web"='03.Muestra'!$D$8:$D$42,ROW('03.Muestra'!$C$8:$C$42)-MIN(ROW('03.Muestra'!$D$8:$D$42))+1,""),ROW()-94)),"")</f>
        <v>Home - PortCastelló</v>
      </c>
      <c r="C109" s="114" t="str" cm="1">
        <f t="array" ref="C109">IFERROR(INDEX('03.Muestra'!$F$8:$F$42,SMALL(IF("Página Web"='03.Muestra'!$D$8:$D$42,ROW('03.Muestra'!$F$8:$F$42)-MIN(ROW('03.Muestra'!$D$8:$D$42))+1,""),ROW()-94)),"")</f>
        <v>https://www.portcastello.com/</v>
      </c>
      <c r="D109" s="130" t="s">
        <v>33</v>
      </c>
      <c r="E109" s="107" t="str">
        <f t="shared" si="4"/>
        <v/>
      </c>
      <c r="F109" s="19"/>
      <c r="G109" s="19"/>
      <c r="H109" s="19"/>
      <c r="I109" s="19"/>
      <c r="J109" s="19"/>
      <c r="K109" s="233"/>
    </row>
    <row r="110" spans="1:11" ht="12" customHeight="1">
      <c r="A110" s="219" t="n" cm="1">
        <f t="array" ref="A110">IFERROR(INDEX('03.Muestra'!$B$8:$B$42,SMALL(IF("Página Web"='03.Muestra'!$D$8:$D$42,ROW('03.Muestra'!$B$8:$B$42)-MIN(ROW('03.Muestra'!$D$8:$D$42))+1,""),ROW()-94)),"")</f>
        <v>1.0</v>
      </c>
      <c r="B110" s="114" t="str" cm="1">
        <f t="array" ref="B110">IFERROR(INDEX('03.Muestra'!$C$8:$C$42,SMALL(IF("Página Web"='03.Muestra'!$D$8:$D$42,ROW('03.Muestra'!$C$8:$C$42)-MIN(ROW('03.Muestra'!$D$8:$D$42))+1,""),ROW()-94)),"")</f>
        <v>Home - PortCastelló</v>
      </c>
      <c r="C110" s="114" t="str" cm="1">
        <f t="array" ref="C110">IFERROR(INDEX('03.Muestra'!$F$8:$F$42,SMALL(IF("Página Web"='03.Muestra'!$D$8:$D$42,ROW('03.Muestra'!$F$8:$F$42)-MIN(ROW('03.Muestra'!$D$8:$D$42))+1,""),ROW()-94)),"")</f>
        <v>https://www.portcastello.com/</v>
      </c>
      <c r="D110" s="130" t="s">
        <v>33</v>
      </c>
      <c r="E110" s="107" t="str">
        <f t="shared" si="4"/>
        <v/>
      </c>
      <c r="F110" s="19"/>
      <c r="G110" s="19"/>
      <c r="H110" s="19"/>
      <c r="I110" s="19"/>
      <c r="J110" s="19"/>
      <c r="K110" s="233"/>
    </row>
    <row r="111" spans="1:11" ht="12" customHeight="1">
      <c r="A111" s="219" t="n" cm="1">
        <f t="array" ref="A111">IFERROR(INDEX('03.Muestra'!$B$8:$B$42,SMALL(IF("Página Web"='03.Muestra'!$D$8:$D$42,ROW('03.Muestra'!$B$8:$B$42)-MIN(ROW('03.Muestra'!$D$8:$D$42))+1,""),ROW()-94)),"")</f>
        <v>1.0</v>
      </c>
      <c r="B111" s="114" t="str" cm="1">
        <f t="array" ref="B111">IFERROR(INDEX('03.Muestra'!$C$8:$C$42,SMALL(IF("Página Web"='03.Muestra'!$D$8:$D$42,ROW('03.Muestra'!$C$8:$C$42)-MIN(ROW('03.Muestra'!$D$8:$D$42))+1,""),ROW()-94)),"")</f>
        <v>Home - PortCastelló</v>
      </c>
      <c r="C111" s="114" t="str" cm="1">
        <f t="array" ref="C111">IFERROR(INDEX('03.Muestra'!$F$8:$F$42,SMALL(IF("Página Web"='03.Muestra'!$D$8:$D$42,ROW('03.Muestra'!$F$8:$F$42)-MIN(ROW('03.Muestra'!$D$8:$D$42))+1,""),ROW()-94)),"")</f>
        <v>https://www.portcastello.com/</v>
      </c>
      <c r="D111" s="130" t="s">
        <v>33</v>
      </c>
      <c r="E111" s="107" t="str">
        <f t="shared" si="4"/>
        <v/>
      </c>
      <c r="F111" s="19"/>
      <c r="G111" s="19"/>
      <c r="H111" s="19"/>
      <c r="I111" s="19"/>
      <c r="J111" s="19"/>
      <c r="K111" s="233"/>
    </row>
    <row r="112" spans="1:11" ht="12" customHeight="1">
      <c r="A112" s="219" t="n" cm="1">
        <f t="array" ref="A112">IFERROR(INDEX('03.Muestra'!$B$8:$B$42,SMALL(IF("Página Web"='03.Muestra'!$D$8:$D$42,ROW('03.Muestra'!$B$8:$B$42)-MIN(ROW('03.Muestra'!$D$8:$D$42))+1,""),ROW()-94)),"")</f>
        <v>1.0</v>
      </c>
      <c r="B112" s="114" t="str" cm="1">
        <f t="array" ref="B112">IFERROR(INDEX('03.Muestra'!$C$8:$C$42,SMALL(IF("Página Web"='03.Muestra'!$D$8:$D$42,ROW('03.Muestra'!$C$8:$C$42)-MIN(ROW('03.Muestra'!$D$8:$D$42))+1,""),ROW()-94)),"")</f>
        <v>Home - PortCastelló</v>
      </c>
      <c r="C112" s="114" t="str" cm="1">
        <f t="array" ref="C112">IFERROR(INDEX('03.Muestra'!$F$8:$F$42,SMALL(IF("Página Web"='03.Muestra'!$D$8:$D$42,ROW('03.Muestra'!$F$8:$F$42)-MIN(ROW('03.Muestra'!$D$8:$D$42))+1,""),ROW()-94)),"")</f>
        <v>https://www.portcastello.com/</v>
      </c>
      <c r="D112" s="130" t="s">
        <v>33</v>
      </c>
      <c r="E112" s="107" t="str">
        <f t="shared" si="4"/>
        <v/>
      </c>
      <c r="F112" s="19"/>
      <c r="G112" s="19"/>
      <c r="H112" s="19"/>
      <c r="I112" s="19"/>
      <c r="J112" s="19"/>
      <c r="K112" s="233"/>
    </row>
    <row r="113" spans="1:11" ht="12" customHeight="1">
      <c r="A113" s="219" t="n" cm="1">
        <f t="array" ref="A113">IFERROR(INDEX('03.Muestra'!$B$8:$B$42,SMALL(IF("Página Web"='03.Muestra'!$D$8:$D$42,ROW('03.Muestra'!$B$8:$B$42)-MIN(ROW('03.Muestra'!$D$8:$D$42))+1,""),ROW()-94)),"")</f>
        <v>1.0</v>
      </c>
      <c r="B113" s="114" t="str" cm="1">
        <f t="array" ref="B113">IFERROR(INDEX('03.Muestra'!$C$8:$C$42,SMALL(IF("Página Web"='03.Muestra'!$D$8:$D$42,ROW('03.Muestra'!$C$8:$C$42)-MIN(ROW('03.Muestra'!$D$8:$D$42))+1,""),ROW()-94)),"")</f>
        <v>Home - PortCastelló</v>
      </c>
      <c r="C113" s="114" t="str" cm="1">
        <f t="array" ref="C113">IFERROR(INDEX('03.Muestra'!$F$8:$F$42,SMALL(IF("Página Web"='03.Muestra'!$D$8:$D$42,ROW('03.Muestra'!$F$8:$F$42)-MIN(ROW('03.Muestra'!$D$8:$D$42))+1,""),ROW()-94)),"")</f>
        <v>https://www.portcastello.com/</v>
      </c>
      <c r="D113" s="130" t="s">
        <v>33</v>
      </c>
      <c r="E113" s="107" t="str">
        <f t="shared" si="4"/>
        <v/>
      </c>
      <c r="F113" s="19"/>
      <c r="G113" s="19"/>
      <c r="H113" s="19"/>
      <c r="I113" s="19"/>
      <c r="J113" s="19"/>
      <c r="K113" s="233"/>
    </row>
    <row r="114" spans="1:11" ht="12" customHeight="1">
      <c r="A114" s="219" t="n" cm="1">
        <f t="array" ref="A114">IFERROR(INDEX('03.Muestra'!$B$8:$B$42,SMALL(IF("Página Web"='03.Muestra'!$D$8:$D$42,ROW('03.Muestra'!$B$8:$B$42)-MIN(ROW('03.Muestra'!$D$8:$D$42))+1,""),ROW()-94)),"")</f>
        <v>1.0</v>
      </c>
      <c r="B114" s="114" t="str" cm="1">
        <f t="array" ref="B114">IFERROR(INDEX('03.Muestra'!$C$8:$C$42,SMALL(IF("Página Web"='03.Muestra'!$D$8:$D$42,ROW('03.Muestra'!$C$8:$C$42)-MIN(ROW('03.Muestra'!$D$8:$D$42))+1,""),ROW()-94)),"")</f>
        <v>Home - PortCastelló</v>
      </c>
      <c r="C114" s="114" t="str" cm="1">
        <f t="array" ref="C114">IFERROR(INDEX('03.Muestra'!$F$8:$F$42,SMALL(IF("Página Web"='03.Muestra'!$D$8:$D$42,ROW('03.Muestra'!$F$8:$F$42)-MIN(ROW('03.Muestra'!$D$8:$D$42))+1,""),ROW()-94)),"")</f>
        <v>https://www.portcastello.com/</v>
      </c>
      <c r="D114" s="130" t="s">
        <v>33</v>
      </c>
      <c r="E114" s="107" t="str">
        <f t="shared" si="4"/>
        <v/>
      </c>
      <c r="F114" s="19"/>
      <c r="G114" s="19"/>
      <c r="H114" s="19"/>
      <c r="I114" s="19"/>
      <c r="J114" s="19"/>
      <c r="K114" s="233"/>
    </row>
    <row r="115" spans="1:11" ht="12" customHeight="1">
      <c r="A115" s="219" t="n" cm="1">
        <f t="array" ref="A115">IFERROR(INDEX('03.Muestra'!$B$8:$B$42,SMALL(IF("Página Web"='03.Muestra'!$D$8:$D$42,ROW('03.Muestra'!$B$8:$B$42)-MIN(ROW('03.Muestra'!$D$8:$D$42))+1,""),ROW()-94)),"")</f>
        <v>1.0</v>
      </c>
      <c r="B115" s="114" t="str" cm="1">
        <f t="array" ref="B115">IFERROR(INDEX('03.Muestra'!$C$8:$C$42,SMALL(IF("Página Web"='03.Muestra'!$D$8:$D$42,ROW('03.Muestra'!$C$8:$C$42)-MIN(ROW('03.Muestra'!$D$8:$D$42))+1,""),ROW()-94)),"")</f>
        <v>Home - PortCastelló</v>
      </c>
      <c r="C115" s="114" t="str" cm="1">
        <f t="array" ref="C115">IFERROR(INDEX('03.Muestra'!$F$8:$F$42,SMALL(IF("Página Web"='03.Muestra'!$D$8:$D$42,ROW('03.Muestra'!$F$8:$F$42)-MIN(ROW('03.Muestra'!$D$8:$D$42))+1,""),ROW()-94)),"")</f>
        <v>https://www.portcastello.com/</v>
      </c>
      <c r="D115" s="130" t="s">
        <v>33</v>
      </c>
      <c r="E115" s="107" t="str">
        <f t="shared" si="4"/>
        <v/>
      </c>
      <c r="F115" s="19"/>
      <c r="G115" s="19"/>
      <c r="H115" s="19"/>
      <c r="I115" s="19"/>
      <c r="J115" s="19"/>
      <c r="K115" s="233"/>
    </row>
    <row r="116" spans="1:11" ht="12" customHeight="1">
      <c r="A116" s="219" t="n" cm="1">
        <f t="array" ref="A116">IFERROR(INDEX('03.Muestra'!$B$8:$B$42,SMALL(IF("Página Web"='03.Muestra'!$D$8:$D$42,ROW('03.Muestra'!$B$8:$B$42)-MIN(ROW('03.Muestra'!$D$8:$D$42))+1,""),ROW()-94)),"")</f>
        <v>1.0</v>
      </c>
      <c r="B116" s="114" t="str" cm="1">
        <f t="array" ref="B116">IFERROR(INDEX('03.Muestra'!$C$8:$C$42,SMALL(IF("Página Web"='03.Muestra'!$D$8:$D$42,ROW('03.Muestra'!$C$8:$C$42)-MIN(ROW('03.Muestra'!$D$8:$D$42))+1,""),ROW()-94)),"")</f>
        <v>Home - PortCastelló</v>
      </c>
      <c r="C116" s="114" t="str" cm="1">
        <f t="array" ref="C116">IFERROR(INDEX('03.Muestra'!$F$8:$F$42,SMALL(IF("Página Web"='03.Muestra'!$D$8:$D$42,ROW('03.Muestra'!$F$8:$F$42)-MIN(ROW('03.Muestra'!$D$8:$D$42))+1,""),ROW()-94)),"")</f>
        <v>https://www.portcastello.com/</v>
      </c>
      <c r="D116" s="130" t="s">
        <v>33</v>
      </c>
      <c r="E116" s="107" t="str">
        <f t="shared" si="4"/>
        <v/>
      </c>
      <c r="F116" s="19"/>
      <c r="G116" s="19"/>
      <c r="H116" s="19"/>
      <c r="I116" s="19"/>
      <c r="J116" s="19"/>
      <c r="K116" s="233"/>
    </row>
    <row r="117" spans="1:11" ht="12" customHeight="1">
      <c r="A117" s="219" t="n" cm="1">
        <f t="array" ref="A117">IFERROR(INDEX('03.Muestra'!$B$8:$B$42,SMALL(IF("Página Web"='03.Muestra'!$D$8:$D$42,ROW('03.Muestra'!$B$8:$B$42)-MIN(ROW('03.Muestra'!$D$8:$D$42))+1,""),ROW()-94)),"")</f>
        <v>1.0</v>
      </c>
      <c r="B117" s="114" t="str" cm="1">
        <f t="array" ref="B117">IFERROR(INDEX('03.Muestra'!$C$8:$C$42,SMALL(IF("Página Web"='03.Muestra'!$D$8:$D$42,ROW('03.Muestra'!$C$8:$C$42)-MIN(ROW('03.Muestra'!$D$8:$D$42))+1,""),ROW()-94)),"")</f>
        <v>Home - PortCastelló</v>
      </c>
      <c r="C117" s="114" t="str" cm="1">
        <f t="array" ref="C117">IFERROR(INDEX('03.Muestra'!$F$8:$F$42,SMALL(IF("Página Web"='03.Muestra'!$D$8:$D$42,ROW('03.Muestra'!$F$8:$F$42)-MIN(ROW('03.Muestra'!$D$8:$D$42))+1,""),ROW()-94)),"")</f>
        <v>https://www.portcastello.com/</v>
      </c>
      <c r="D117" s="130" t="s">
        <v>33</v>
      </c>
      <c r="E117" s="107" t="str">
        <f t="shared" si="4"/>
        <v/>
      </c>
      <c r="F117" s="19"/>
      <c r="G117" s="19"/>
      <c r="H117" s="19"/>
      <c r="I117" s="19"/>
      <c r="J117" s="19"/>
      <c r="K117" s="233"/>
    </row>
    <row r="118" spans="1:11" ht="12" customHeight="1">
      <c r="A118" s="219" t="n" cm="1">
        <f t="array" ref="A118">IFERROR(INDEX('03.Muestra'!$B$8:$B$42,SMALL(IF("Página Web"='03.Muestra'!$D$8:$D$42,ROW('03.Muestra'!$B$8:$B$42)-MIN(ROW('03.Muestra'!$D$8:$D$42))+1,""),ROW()-94)),"")</f>
        <v>1.0</v>
      </c>
      <c r="B118" s="114" t="str" cm="1">
        <f t="array" ref="B118">IFERROR(INDEX('03.Muestra'!$C$8:$C$42,SMALL(IF("Página Web"='03.Muestra'!$D$8:$D$42,ROW('03.Muestra'!$C$8:$C$42)-MIN(ROW('03.Muestra'!$D$8:$D$42))+1,""),ROW()-94)),"")</f>
        <v>Home - PortCastelló</v>
      </c>
      <c r="C118" s="114" t="str" cm="1">
        <f t="array" ref="C118">IFERROR(INDEX('03.Muestra'!$F$8:$F$42,SMALL(IF("Página Web"='03.Muestra'!$D$8:$D$42,ROW('03.Muestra'!$F$8:$F$42)-MIN(ROW('03.Muestra'!$D$8:$D$42))+1,""),ROW()-94)),"")</f>
        <v>https://www.portcastello.com/</v>
      </c>
      <c r="D118" s="130" t="s">
        <v>33</v>
      </c>
      <c r="E118" s="107" t="str">
        <f t="shared" si="4"/>
        <v/>
      </c>
      <c r="F118" s="19"/>
      <c r="G118" s="19"/>
      <c r="H118" s="19"/>
      <c r="I118" s="19"/>
      <c r="J118" s="19"/>
      <c r="K118" s="233"/>
    </row>
    <row r="119" spans="1:11" ht="12" customHeight="1">
      <c r="A119" s="219" t="n" cm="1">
        <f t="array" ref="A119">IFERROR(INDEX('03.Muestra'!$B$8:$B$42,SMALL(IF("Página Web"='03.Muestra'!$D$8:$D$42,ROW('03.Muestra'!$B$8:$B$42)-MIN(ROW('03.Muestra'!$D$8:$D$42))+1,""),ROW()-94)),"")</f>
        <v>1.0</v>
      </c>
      <c r="B119" s="114" t="str" cm="1">
        <f t="array" ref="B119">IFERROR(INDEX('03.Muestra'!$C$8:$C$42,SMALL(IF("Página Web"='03.Muestra'!$D$8:$D$42,ROW('03.Muestra'!$C$8:$C$42)-MIN(ROW('03.Muestra'!$D$8:$D$42))+1,""),ROW()-94)),"")</f>
        <v>Home - PortCastelló</v>
      </c>
      <c r="C119" s="114" t="str" cm="1">
        <f t="array" ref="C119">IFERROR(INDEX('03.Muestra'!$F$8:$F$42,SMALL(IF("Página Web"='03.Muestra'!$D$8:$D$42,ROW('03.Muestra'!$F$8:$F$42)-MIN(ROW('03.Muestra'!$D$8:$D$42))+1,""),ROW()-94)),"")</f>
        <v>https://www.portcastello.com/</v>
      </c>
      <c r="D119" s="130" t="s">
        <v>33</v>
      </c>
      <c r="E119" s="107" t="str">
        <f t="shared" si="4"/>
        <v/>
      </c>
      <c r="F119" s="19"/>
      <c r="G119" s="19"/>
      <c r="H119" s="19"/>
      <c r="I119" s="19"/>
      <c r="J119" s="19"/>
      <c r="K119" s="233"/>
    </row>
    <row r="120" spans="1:11" ht="12" customHeight="1">
      <c r="A120" s="219" t="n" cm="1">
        <f t="array" ref="A120">IFERROR(INDEX('03.Muestra'!$B$8:$B$42,SMALL(IF("Página Web"='03.Muestra'!$D$8:$D$42,ROW('03.Muestra'!$B$8:$B$42)-MIN(ROW('03.Muestra'!$D$8:$D$42))+1,""),ROW()-94)),"")</f>
        <v>1.0</v>
      </c>
      <c r="B120" s="114" t="str" cm="1">
        <f t="array" ref="B120">IFERROR(INDEX('03.Muestra'!$C$8:$C$42,SMALL(IF("Página Web"='03.Muestra'!$D$8:$D$42,ROW('03.Muestra'!$C$8:$C$42)-MIN(ROW('03.Muestra'!$D$8:$D$42))+1,""),ROW()-94)),"")</f>
        <v>Home - PortCastelló</v>
      </c>
      <c r="C120" s="114" t="str" cm="1">
        <f t="array" ref="C120">IFERROR(INDEX('03.Muestra'!$F$8:$F$42,SMALL(IF("Página Web"='03.Muestra'!$D$8:$D$42,ROW('03.Muestra'!$F$8:$F$42)-MIN(ROW('03.Muestra'!$D$8:$D$42))+1,""),ROW()-94)),"")</f>
        <v>https://www.portcastello.com/</v>
      </c>
      <c r="D120" s="130" t="s">
        <v>33</v>
      </c>
      <c r="E120" s="107" t="str">
        <f t="shared" si="4"/>
        <v/>
      </c>
      <c r="F120" s="19"/>
      <c r="G120" s="19"/>
      <c r="H120" s="19"/>
      <c r="I120" s="19"/>
      <c r="J120" s="19"/>
      <c r="K120" s="233"/>
    </row>
    <row r="121" spans="1:11" ht="12" customHeight="1">
      <c r="A121" s="219" t="n" cm="1">
        <f t="array" ref="A121">IFERROR(INDEX('03.Muestra'!$B$8:$B$42,SMALL(IF("Página Web"='03.Muestra'!$D$8:$D$42,ROW('03.Muestra'!$B$8:$B$42)-MIN(ROW('03.Muestra'!$D$8:$D$42))+1,""),ROW()-94)),"")</f>
        <v>1.0</v>
      </c>
      <c r="B121" s="114" t="str" cm="1">
        <f t="array" ref="B121">IFERROR(INDEX('03.Muestra'!$C$8:$C$42,SMALL(IF("Página Web"='03.Muestra'!$D$8:$D$42,ROW('03.Muestra'!$C$8:$C$42)-MIN(ROW('03.Muestra'!$D$8:$D$42))+1,""),ROW()-94)),"")</f>
        <v>Home - PortCastelló</v>
      </c>
      <c r="C121" s="114" t="str" cm="1">
        <f t="array" ref="C121">IFERROR(INDEX('03.Muestra'!$F$8:$F$42,SMALL(IF("Página Web"='03.Muestra'!$D$8:$D$42,ROW('03.Muestra'!$F$8:$F$42)-MIN(ROW('03.Muestra'!$D$8:$D$42))+1,""),ROW()-94)),"")</f>
        <v>https://www.portcastello.com/</v>
      </c>
      <c r="D121" s="130" t="s">
        <v>33</v>
      </c>
      <c r="E121" s="107" t="str">
        <f t="shared" si="4"/>
        <v/>
      </c>
      <c r="F121" s="19"/>
      <c r="G121" s="19"/>
      <c r="H121" s="19"/>
      <c r="I121" s="19"/>
      <c r="J121" s="19"/>
      <c r="K121" s="233"/>
    </row>
    <row r="122" spans="1:11" ht="12" customHeight="1">
      <c r="A122" s="219" t="n" cm="1">
        <f t="array" ref="A122">IFERROR(INDEX('03.Muestra'!$B$8:$B$42,SMALL(IF("Página Web"='03.Muestra'!$D$8:$D$42,ROW('03.Muestra'!$B$8:$B$42)-MIN(ROW('03.Muestra'!$D$8:$D$42))+1,""),ROW()-94)),"")</f>
        <v>1.0</v>
      </c>
      <c r="B122" s="114" t="str" cm="1">
        <f t="array" ref="B122">IFERROR(INDEX('03.Muestra'!$C$8:$C$42,SMALL(IF("Página Web"='03.Muestra'!$D$8:$D$42,ROW('03.Muestra'!$C$8:$C$42)-MIN(ROW('03.Muestra'!$D$8:$D$42))+1,""),ROW()-94)),"")</f>
        <v>Home - PortCastelló</v>
      </c>
      <c r="C122" s="114" t="str" cm="1">
        <f t="array" ref="C122">IFERROR(INDEX('03.Muestra'!$F$8:$F$42,SMALL(IF("Página Web"='03.Muestra'!$D$8:$D$42,ROW('03.Muestra'!$F$8:$F$42)-MIN(ROW('03.Muestra'!$D$8:$D$42))+1,""),ROW()-94)),"")</f>
        <v>https://www.portcastello.com/</v>
      </c>
      <c r="D122" s="130" t="s">
        <v>33</v>
      </c>
      <c r="E122" s="107" t="str">
        <f t="shared" si="4"/>
        <v/>
      </c>
      <c r="G122" s="19"/>
      <c r="H122" s="19"/>
      <c r="I122" s="19"/>
      <c r="J122" s="19"/>
      <c r="K122" s="233"/>
    </row>
    <row r="123" spans="1:11" ht="12" customHeight="1">
      <c r="A123" s="219" t="n" cm="1">
        <f t="array" ref="A123">IFERROR(INDEX('03.Muestra'!$B$8:$B$42,SMALL(IF("Página Web"='03.Muestra'!$D$8:$D$42,ROW('03.Muestra'!$B$8:$B$42)-MIN(ROW('03.Muestra'!$D$8:$D$42))+1,""),ROW()-94)),"")</f>
        <v>1.0</v>
      </c>
      <c r="B123" s="114" t="str" cm="1">
        <f t="array" ref="B123">IFERROR(INDEX('03.Muestra'!$C$8:$C$42,SMALL(IF("Página Web"='03.Muestra'!$D$8:$D$42,ROW('03.Muestra'!$C$8:$C$42)-MIN(ROW('03.Muestra'!$D$8:$D$42))+1,""),ROW()-94)),"")</f>
        <v>Home - PortCastelló</v>
      </c>
      <c r="C123" s="114" t="str" cm="1">
        <f t="array" ref="C123">IFERROR(INDEX('03.Muestra'!$F$8:$F$42,SMALL(IF("Página Web"='03.Muestra'!$D$8:$D$42,ROW('03.Muestra'!$F$8:$F$42)-MIN(ROW('03.Muestra'!$D$8:$D$42))+1,""),ROW()-94)),"")</f>
        <v>https://www.portcastello.com/</v>
      </c>
      <c r="D123" s="130" t="s">
        <v>33</v>
      </c>
      <c r="E123" s="107" t="str">
        <f t="shared" si="4"/>
        <v/>
      </c>
      <c r="F123" s="124"/>
      <c r="G123" s="19"/>
      <c r="H123" s="19"/>
      <c r="I123" s="19"/>
      <c r="J123" s="19"/>
      <c r="K123" s="233"/>
    </row>
    <row r="124" spans="1:11" ht="12" customHeight="1">
      <c r="A124" s="219" t="n" cm="1">
        <f t="array" ref="A124">IFERROR(INDEX('03.Muestra'!$B$8:$B$42,SMALL(IF("Página Web"='03.Muestra'!$D$8:$D$42,ROW('03.Muestra'!$B$8:$B$42)-MIN(ROW('03.Muestra'!$D$8:$D$42))+1,""),ROW()-94)),"")</f>
        <v>1.0</v>
      </c>
      <c r="B124" s="114" t="str" cm="1">
        <f t="array" ref="B124">IFERROR(INDEX('03.Muestra'!$C$8:$C$42,SMALL(IF("Página Web"='03.Muestra'!$D$8:$D$42,ROW('03.Muestra'!$C$8:$C$42)-MIN(ROW('03.Muestra'!$D$8:$D$42))+1,""),ROW()-94)),"")</f>
        <v>Home - PortCastelló</v>
      </c>
      <c r="C124" s="114" t="str" cm="1">
        <f t="array" ref="C124">IFERROR(INDEX('03.Muestra'!$F$8:$F$42,SMALL(IF("Página Web"='03.Muestra'!$D$8:$D$42,ROW('03.Muestra'!$F$8:$F$42)-MIN(ROW('03.Muestra'!$D$8:$D$42))+1,""),ROW()-94)),"")</f>
        <v>https://www.portcastello.com/</v>
      </c>
      <c r="D124" s="130" t="s">
        <v>33</v>
      </c>
      <c r="E124" s="107" t="str">
        <f t="shared" si="4"/>
        <v/>
      </c>
      <c r="F124" s="124"/>
      <c r="G124" s="19"/>
      <c r="H124" s="19"/>
      <c r="I124" s="19"/>
      <c r="J124" s="19"/>
      <c r="K124" s="233"/>
    </row>
    <row r="125" spans="1:11" ht="12" customHeight="1">
      <c r="A125" s="219" t="n" cm="1">
        <f t="array" ref="A125">IFERROR(INDEX('03.Muestra'!$B$8:$B$42,SMALL(IF("Página Web"='03.Muestra'!$D$8:$D$42,ROW('03.Muestra'!$B$8:$B$42)-MIN(ROW('03.Muestra'!$D$8:$D$42))+1,""),ROW()-94)),"")</f>
        <v>1.0</v>
      </c>
      <c r="B125" s="114" t="str" cm="1">
        <f t="array" ref="B125">IFERROR(INDEX('03.Muestra'!$C$8:$C$42,SMALL(IF("Página Web"='03.Muestra'!$D$8:$D$42,ROW('03.Muestra'!$C$8:$C$42)-MIN(ROW('03.Muestra'!$D$8:$D$42))+1,""),ROW()-94)),"")</f>
        <v>Home - PortCastelló</v>
      </c>
      <c r="C125" s="114" t="str" cm="1">
        <f t="array" ref="C125">IFERROR(INDEX('03.Muestra'!$F$8:$F$42,SMALL(IF("Página Web"='03.Muestra'!$D$8:$D$42,ROW('03.Muestra'!$F$8:$F$42)-MIN(ROW('03.Muestra'!$D$8:$D$42))+1,""),ROW()-94)),"")</f>
        <v>https://www.portcastello.com/</v>
      </c>
      <c r="D125" s="130" t="s">
        <v>33</v>
      </c>
      <c r="E125" s="107" t="str">
        <f t="shared" si="4"/>
        <v/>
      </c>
      <c r="F125" s="124"/>
      <c r="G125" s="19"/>
      <c r="H125" s="19"/>
      <c r="I125" s="19"/>
      <c r="J125" s="19"/>
      <c r="K125" s="233"/>
    </row>
    <row r="126" spans="1:11" ht="12" customHeight="1">
      <c r="A126" s="219" t="n" cm="1">
        <f t="array" ref="A126">IFERROR(INDEX('03.Muestra'!$B$8:$B$42,SMALL(IF("Página Web"='03.Muestra'!$D$8:$D$42,ROW('03.Muestra'!$B$8:$B$42)-MIN(ROW('03.Muestra'!$D$8:$D$42))+1,""),ROW()-94)),"")</f>
        <v>1.0</v>
      </c>
      <c r="B126" s="114" t="str" cm="1">
        <f t="array" ref="B126">IFERROR(INDEX('03.Muestra'!$C$8:$C$42,SMALL(IF("Página Web"='03.Muestra'!$D$8:$D$42,ROW('03.Muestra'!$C$8:$C$42)-MIN(ROW('03.Muestra'!$D$8:$D$42))+1,""),ROW()-94)),"")</f>
        <v>Home - PortCastelló</v>
      </c>
      <c r="C126" s="114" t="str" cm="1">
        <f t="array" ref="C126">IFERROR(INDEX('03.Muestra'!$F$8:$F$42,SMALL(IF("Página Web"='03.Muestra'!$D$8:$D$42,ROW('03.Muestra'!$F$8:$F$42)-MIN(ROW('03.Muestra'!$D$8:$D$42))+1,""),ROW()-94)),"")</f>
        <v>https://www.portcastello.com/</v>
      </c>
      <c r="D126" s="130" t="s">
        <v>33</v>
      </c>
      <c r="E126" s="107" t="str">
        <f t="shared" si="4"/>
        <v/>
      </c>
      <c r="F126" s="124"/>
      <c r="G126" s="19"/>
      <c r="H126" s="19"/>
      <c r="I126" s="19"/>
      <c r="J126" s="19"/>
      <c r="K126" s="233"/>
    </row>
    <row r="127" spans="1:11" ht="12" customHeight="1">
      <c r="A127" s="219" t="n" cm="1">
        <f t="array" ref="A127">IFERROR(INDEX('03.Muestra'!$B$8:$B$42,SMALL(IF("Página Web"='03.Muestra'!$D$8:$D$42,ROW('03.Muestra'!$B$8:$B$42)-MIN(ROW('03.Muestra'!$D$8:$D$42))+1,""),ROW()-94)),"")</f>
        <v>1.0</v>
      </c>
      <c r="B127" s="114" t="str" cm="1">
        <f t="array" ref="B127">IFERROR(INDEX('03.Muestra'!$C$8:$C$42,SMALL(IF("Página Web"='03.Muestra'!$D$8:$D$42,ROW('03.Muestra'!$C$8:$C$42)-MIN(ROW('03.Muestra'!$D$8:$D$42))+1,""),ROW()-94)),"")</f>
        <v>Home - PortCastelló</v>
      </c>
      <c r="C127" s="114" t="str" cm="1">
        <f t="array" ref="C127">IFERROR(INDEX('03.Muestra'!$F$8:$F$42,SMALL(IF("Página Web"='03.Muestra'!$D$8:$D$42,ROW('03.Muestra'!$F$8:$F$42)-MIN(ROW('03.Muestra'!$D$8:$D$42))+1,""),ROW()-94)),"")</f>
        <v>https://www.portcastello.com/</v>
      </c>
      <c r="D127" s="130" t="s">
        <v>33</v>
      </c>
      <c r="E127" s="107" t="str">
        <f t="shared" si="4"/>
        <v/>
      </c>
      <c r="F127" s="124"/>
      <c r="G127" s="19"/>
      <c r="H127" s="19"/>
      <c r="I127" s="19"/>
      <c r="J127" s="19"/>
      <c r="K127" s="233"/>
    </row>
    <row r="128" spans="1:11" ht="12" customHeight="1">
      <c r="A128" s="219" t="str" cm="1">
        <f t="array" ref="A128">IFERROR(INDEX('03.Muestra'!$B$8:$B$42,SMALL(IF("Página Web"='03.Muestra'!$D$8:$D$42,ROW('03.Muestra'!$B$8:$B$42)-MIN(ROW('03.Muestra'!$D$8:$D$42))+1,""),ROW()-94)),"")</f>
        <v/>
      </c>
      <c r="B128" s="114" t="str" cm="1">
        <f t="array" ref="B128">IFERROR(INDEX('03.Muestra'!$C$8:$C$42,SMALL(IF("Página Web"='03.Muestra'!$D$8:$D$42,ROW('03.Muestra'!$C$8:$C$42)-MIN(ROW('03.Muestra'!$D$8:$D$42))+1,""),ROW()-94)),"")</f>
        <v/>
      </c>
      <c r="C128" s="114" t="str" cm="1">
        <f t="array" ref="C128">IFERROR(INDEX('03.Muestra'!$F$8:$F$42,SMALL(IF("Página Web"='03.Muestra'!$D$8:$D$42,ROW('03.Muestra'!$F$8:$F$42)-MIN(ROW('03.Muestra'!$D$8:$D$42))+1,""),ROW()-94)),"")</f>
        <v/>
      </c>
      <c r="D128" s="130" t="str">
        <f t="shared" si="5" ref="D128:D129">IF(AND(B128&lt;&gt;"",C128&lt;&gt;""),"N/T","")</f>
        <v/>
      </c>
      <c r="E128" s="107" t="str">
        <f t="shared" si="4"/>
        <v/>
      </c>
      <c r="F128" s="124"/>
      <c r="G128" s="19"/>
      <c r="H128" s="19"/>
      <c r="I128" s="19"/>
      <c r="J128" s="19"/>
      <c r="K128" s="233"/>
    </row>
    <row r="129" spans="1:11" ht="12" customHeight="1">
      <c r="A129" s="219" t="str" cm="1">
        <f t="array" ref="A129">IFERROR(INDEX('03.Muestra'!$B$8:$B$42,SMALL(IF("Página Web"='03.Muestra'!$D$8:$D$42,ROW('03.Muestra'!$B$8:$B$42)-MIN(ROW('03.Muestra'!$D$8:$D$42))+1,""),ROW()-94)),"")</f>
        <v/>
      </c>
      <c r="B129" s="114" t="str" cm="1">
        <f t="array" ref="B129">IFERROR(INDEX('03.Muestra'!$C$8:$C$42,SMALL(IF("Página Web"='03.Muestra'!$D$8:$D$42,ROW('03.Muestra'!$C$8:$C$42)-MIN(ROW('03.Muestra'!$D$8:$D$42))+1,""),ROW()-94)),"")</f>
        <v/>
      </c>
      <c r="C129" s="114" t="str" cm="1">
        <f t="array" ref="C129">IFERROR(INDEX('03.Muestra'!$F$8:$F$42,SMALL(IF("Página Web"='03.Muestra'!$D$8:$D$42,ROW('03.Muestra'!$F$8:$F$42)-MIN(ROW('03.Muestra'!$D$8:$D$42))+1,""),ROW()-94)),"")</f>
        <v/>
      </c>
      <c r="D129" s="130" t="str">
        <f t="shared" si="5"/>
        <v/>
      </c>
      <c r="E129" s="107" t="str">
        <f t="shared" si="4"/>
        <v/>
      </c>
      <c r="F129" s="19"/>
      <c r="G129" s="19"/>
      <c r="H129" s="19"/>
      <c r="I129" s="19"/>
      <c r="J129" s="19"/>
      <c r="K129" s="233"/>
    </row>
    <row r="130" spans="1:11" ht="12" customHeight="1">
      <c r="B130" s="19"/>
      <c r="C130" s="19"/>
      <c r="D130" s="107"/>
      <c r="E130" s="107"/>
      <c r="F130" s="19"/>
      <c r="G130" s="19"/>
      <c r="H130" s="19"/>
      <c r="I130" s="19"/>
      <c r="J130" s="19"/>
      <c r="K130" s="233"/>
    </row>
    <row r="131" spans="1:11" ht="12" customHeight="1">
      <c r="B131" s="19"/>
      <c r="C131" s="19"/>
      <c r="D131" s="107"/>
      <c r="E131" s="112"/>
      <c r="F131" s="19"/>
      <c r="G131" s="19"/>
      <c r="H131" s="19"/>
      <c r="I131" s="19"/>
      <c r="J131" s="19"/>
      <c r="K131" s="233"/>
    </row>
    <row r="132" spans="1:11" ht="29.25" customHeight="1">
      <c r="A132" s="218" t="s">
        <v>268</v>
      </c>
      <c r="B132" s="24" t="s">
        <v>90</v>
      </c>
      <c r="C132" s="25" t="s">
        <v>264</v>
      </c>
      <c r="D132" s="26" t="s">
        <v>32</v>
      </c>
      <c r="E132" s="123"/>
      <c r="K132" s="233"/>
    </row>
    <row r="133" spans="1:11" ht="12" customHeight="1">
      <c r="A133" s="219" t="n" cm="1">
        <f t="array" ref="A133">IFERROR(INDEX('03.Muestra'!$B$8:$B$42,SMALL(IF("Página Web"='03.Muestra'!$D$8:$D$42,ROW('03.Muestra'!$B$8:$B$42)-MIN(ROW('03.Muestra'!$D$8:$D$42))+1,""),ROW()-132)),"")</f>
        <v>1.0</v>
      </c>
      <c r="B133" s="114" t="str" cm="1">
        <f t="array" ref="B133">IFERROR(INDEX('03.Muestra'!$C$8:$C$42,SMALL(IF("Página Web"='03.Muestra'!$D$8:$D$42,ROW('03.Muestra'!$C$8:$C$42)-MIN(ROW('03.Muestra'!$D$8:$D$42))+1,""),ROW()-132)),"")</f>
        <v>Home - PortCastelló</v>
      </c>
      <c r="C133" s="114" t="str" cm="1">
        <f t="array" ref="C133">IFERROR(INDEX('03.Muestra'!$F$8:$F$42,SMALL(IF("Página Web"='03.Muestra'!$D$8:$D$42,ROW('03.Muestra'!$F$8:$F$42)-MIN(ROW('03.Muestra'!$D$8:$D$42))+1,""),ROW()-132)),"")</f>
        <v>https://www.portcastello.com/</v>
      </c>
      <c r="D133" s="130" t="s">
        <v>33</v>
      </c>
      <c r="E133" s="107" t="str">
        <f t="shared" ref="E133:E167" si="6">IF(D133&lt;&gt;"",IF(AND(B133&lt;&gt;"",C133&lt;&gt;""),"","ERR"),"")</f>
        <v/>
      </c>
      <c r="F133" s="115" t="s">
        <v>33</v>
      </c>
      <c r="G133" s="116" t="s">
        <v>37</v>
      </c>
      <c r="H133" s="117" t="s">
        <v>35</v>
      </c>
      <c r="I133" s="118" t="s">
        <v>28</v>
      </c>
      <c r="J133" s="119" t="s">
        <v>26</v>
      </c>
      <c r="K133" s="226" t="s">
        <v>474</v>
      </c>
    </row>
    <row r="134" spans="1:11" ht="12" customHeight="1">
      <c r="A134" s="219" t="n" cm="1">
        <f t="array" ref="A134">IFERROR(INDEX('03.Muestra'!$B$8:$B$42,SMALL(IF("Página Web"='03.Muestra'!$D$8:$D$42,ROW('03.Muestra'!$B$8:$B$42)-MIN(ROW('03.Muestra'!$D$8:$D$42))+1,""),ROW()-132)),"")</f>
        <v>1.0</v>
      </c>
      <c r="B134" s="114" t="str" cm="1">
        <f t="array" ref="B134">IFERROR(INDEX('03.Muestra'!$C$8:$C$42,SMALL(IF("Página Web"='03.Muestra'!$D$8:$D$42,ROW('03.Muestra'!$C$8:$C$42)-MIN(ROW('03.Muestra'!$D$8:$D$42))+1,""),ROW()-132)),"")</f>
        <v>Home - PortCastelló</v>
      </c>
      <c r="C134" s="114" t="str" cm="1">
        <f t="array" ref="C134">IFERROR(INDEX('03.Muestra'!$F$8:$F$42,SMALL(IF("Página Web"='03.Muestra'!$D$8:$D$42,ROW('03.Muestra'!$F$8:$F$42)-MIN(ROW('03.Muestra'!$D$8:$D$42))+1,""),ROW()-132)),"")</f>
        <v>https://www.portcastello.com/</v>
      </c>
      <c r="D134" s="130" t="s">
        <v>33</v>
      </c>
      <c r="E134" s="107" t="str">
        <f t="shared" si="6"/>
        <v/>
      </c>
      <c r="F134" s="120" t="n">
        <f ca="1">COUNTIF($D133:INDIRECT("$D" &amp;  SUM(ROW()-1,'03.Muestra'!$D$45)-1),F133)</f>
        <v>33.0</v>
      </c>
      <c r="G134" s="120" t="n">
        <f ca="1">COUNTIF($D133:INDIRECT("$D" &amp;  SUM(ROW()-1,'03.Muestra'!$D$45)-1),G133)</f>
        <v>0.0</v>
      </c>
      <c r="H134" s="120" t="n">
        <f ca="1">COUNTIF($D133:INDIRECT("$D" &amp;  SUM(ROW()-1,'03.Muestra'!$D$45)-1),H133)</f>
        <v>0.0</v>
      </c>
      <c r="I134" s="120" t="n">
        <f ca="1">COUNTIF($D133:INDIRECT("$D" &amp;  SUM(ROW()-1,'03.Muestra'!$D$45)-1),I133)</f>
        <v>0.0</v>
      </c>
      <c r="J134" s="120" t="n">
        <f ca="1">COUNTIF($D133:INDIRECT("$D" &amp;  SUM(ROW()-1,'03.Muestra'!$D$45)-1),J133)</f>
        <v>0.0</v>
      </c>
      <c r="K134" s="227" t="n">
        <f ca="1">IF(COUNTIF('03.Muestra'!$D$8:$D$42,"Página Web")=0,0,COUNTBLANK($D133:INDIRECT("$D" &amp;  SUM(ROW()-1,COUNTIF('03.Muestra'!$D$8:$D$42,"Página Web"))-1)))</f>
        <v>0.0</v>
      </c>
    </row>
    <row r="135" spans="1:11" ht="12" customHeight="1">
      <c r="A135" s="219" t="n" cm="1">
        <f t="array" ref="A135">IFERROR(INDEX('03.Muestra'!$B$8:$B$42,SMALL(IF("Página Web"='03.Muestra'!$D$8:$D$42,ROW('03.Muestra'!$B$8:$B$42)-MIN(ROW('03.Muestra'!$D$8:$D$42))+1,""),ROW()-132)),"")</f>
        <v>1.0</v>
      </c>
      <c r="B135" s="114" t="str" cm="1">
        <f t="array" ref="B135">IFERROR(INDEX('03.Muestra'!$C$8:$C$42,SMALL(IF("Página Web"='03.Muestra'!$D$8:$D$42,ROW('03.Muestra'!$C$8:$C$42)-MIN(ROW('03.Muestra'!$D$8:$D$42))+1,""),ROW()-132)),"")</f>
        <v>Home - PortCastelló</v>
      </c>
      <c r="C135" s="114" t="str" cm="1">
        <f t="array" ref="C135">IFERROR(INDEX('03.Muestra'!$F$8:$F$42,SMALL(IF("Página Web"='03.Muestra'!$D$8:$D$42,ROW('03.Muestra'!$F$8:$F$42)-MIN(ROW('03.Muestra'!$D$8:$D$42))+1,""),ROW()-132)),"")</f>
        <v>https://www.portcastello.com/</v>
      </c>
      <c r="D135" s="130" t="s">
        <v>33</v>
      </c>
      <c r="E135" s="107" t="str">
        <f t="shared" si="6"/>
        <v/>
      </c>
      <c r="G135" s="19"/>
      <c r="H135" s="19"/>
      <c r="I135" s="19"/>
      <c r="J135" s="19"/>
      <c r="K135" s="233"/>
    </row>
    <row r="136" spans="1:11" ht="12" customHeight="1">
      <c r="A136" s="219" t="n" cm="1">
        <f t="array" ref="A136">IFERROR(INDEX('03.Muestra'!$B$8:$B$42,SMALL(IF("Página Web"='03.Muestra'!$D$8:$D$42,ROW('03.Muestra'!$B$8:$B$42)-MIN(ROW('03.Muestra'!$D$8:$D$42))+1,""),ROW()-132)),"")</f>
        <v>1.0</v>
      </c>
      <c r="B136" s="114" t="str" cm="1">
        <f t="array" ref="B136">IFERROR(INDEX('03.Muestra'!$C$8:$C$42,SMALL(IF("Página Web"='03.Muestra'!$D$8:$D$42,ROW('03.Muestra'!$C$8:$C$42)-MIN(ROW('03.Muestra'!$D$8:$D$42))+1,""),ROW()-132)),"")</f>
        <v>Home - PortCastelló</v>
      </c>
      <c r="C136" s="114" t="str" cm="1">
        <f t="array" ref="C136">IFERROR(INDEX('03.Muestra'!$F$8:$F$42,SMALL(IF("Página Web"='03.Muestra'!$D$8:$D$42,ROW('03.Muestra'!$F$8:$F$42)-MIN(ROW('03.Muestra'!$D$8:$D$42))+1,""),ROW()-132)),"")</f>
        <v>https://www.portcastello.com/</v>
      </c>
      <c r="D136" s="130" t="s">
        <v>33</v>
      </c>
      <c r="E136" s="107" t="str">
        <f t="shared" si="6"/>
        <v/>
      </c>
      <c r="G136" s="19"/>
      <c r="H136" s="19"/>
      <c r="I136" s="19"/>
      <c r="J136" s="19"/>
      <c r="K136" s="233"/>
    </row>
    <row r="137" spans="1:11" ht="12" customHeight="1">
      <c r="A137" s="219" t="n" cm="1">
        <f t="array" ref="A137">IFERROR(INDEX('03.Muestra'!$B$8:$B$42,SMALL(IF("Página Web"='03.Muestra'!$D$8:$D$42,ROW('03.Muestra'!$B$8:$B$42)-MIN(ROW('03.Muestra'!$D$8:$D$42))+1,""),ROW()-132)),"")</f>
        <v>1.0</v>
      </c>
      <c r="B137" s="114" t="str" cm="1">
        <f t="array" ref="B137">IFERROR(INDEX('03.Muestra'!$C$8:$C$42,SMALL(IF("Página Web"='03.Muestra'!$D$8:$D$42,ROW('03.Muestra'!$C$8:$C$42)-MIN(ROW('03.Muestra'!$D$8:$D$42))+1,""),ROW()-132)),"")</f>
        <v>Home - PortCastelló</v>
      </c>
      <c r="C137" s="114" t="str" cm="1">
        <f t="array" ref="C137">IFERROR(INDEX('03.Muestra'!$F$8:$F$42,SMALL(IF("Página Web"='03.Muestra'!$D$8:$D$42,ROW('03.Muestra'!$F$8:$F$42)-MIN(ROW('03.Muestra'!$D$8:$D$42))+1,""),ROW()-132)),"")</f>
        <v>https://www.portcastello.com/</v>
      </c>
      <c r="D137" s="130" t="s">
        <v>33</v>
      </c>
      <c r="E137" s="107" t="str">
        <f t="shared" si="6"/>
        <v/>
      </c>
      <c r="G137" s="19"/>
      <c r="H137" s="19"/>
      <c r="I137" s="19"/>
      <c r="J137" s="19"/>
      <c r="K137" s="233"/>
    </row>
    <row r="138" spans="1:11" ht="12" customHeight="1">
      <c r="A138" s="219" t="n" cm="1">
        <f t="array" ref="A138">IFERROR(INDEX('03.Muestra'!$B$8:$B$42,SMALL(IF("Página Web"='03.Muestra'!$D$8:$D$42,ROW('03.Muestra'!$B$8:$B$42)-MIN(ROW('03.Muestra'!$D$8:$D$42))+1,""),ROW()-132)),"")</f>
        <v>1.0</v>
      </c>
      <c r="B138" s="114" t="str" cm="1">
        <f t="array" ref="B138">IFERROR(INDEX('03.Muestra'!$C$8:$C$42,SMALL(IF("Página Web"='03.Muestra'!$D$8:$D$42,ROW('03.Muestra'!$C$8:$C$42)-MIN(ROW('03.Muestra'!$D$8:$D$42))+1,""),ROW()-132)),"")</f>
        <v>Home - PortCastelló</v>
      </c>
      <c r="C138" s="114" t="str" cm="1">
        <f t="array" ref="C138">IFERROR(INDEX('03.Muestra'!$F$8:$F$42,SMALL(IF("Página Web"='03.Muestra'!$D$8:$D$42,ROW('03.Muestra'!$F$8:$F$42)-MIN(ROW('03.Muestra'!$D$8:$D$42))+1,""),ROW()-132)),"")</f>
        <v>https://www.portcastello.com/</v>
      </c>
      <c r="D138" s="130" t="s">
        <v>33</v>
      </c>
      <c r="E138" s="107" t="str">
        <f t="shared" si="6"/>
        <v/>
      </c>
      <c r="G138" s="19"/>
      <c r="H138" s="19"/>
      <c r="I138" s="19"/>
      <c r="J138" s="19"/>
      <c r="K138" s="233"/>
    </row>
    <row r="139" spans="1:11" ht="12" customHeight="1">
      <c r="A139" s="219" t="n" cm="1">
        <f t="array" ref="A139">IFERROR(INDEX('03.Muestra'!$B$8:$B$42,SMALL(IF("Página Web"='03.Muestra'!$D$8:$D$42,ROW('03.Muestra'!$B$8:$B$42)-MIN(ROW('03.Muestra'!$D$8:$D$42))+1,""),ROW()-132)),"")</f>
        <v>1.0</v>
      </c>
      <c r="B139" s="114" t="str" cm="1">
        <f t="array" ref="B139">IFERROR(INDEX('03.Muestra'!$C$8:$C$42,SMALL(IF("Página Web"='03.Muestra'!$D$8:$D$42,ROW('03.Muestra'!$C$8:$C$42)-MIN(ROW('03.Muestra'!$D$8:$D$42))+1,""),ROW()-132)),"")</f>
        <v>Home - PortCastelló</v>
      </c>
      <c r="C139" s="114" t="str" cm="1">
        <f t="array" ref="C139">IFERROR(INDEX('03.Muestra'!$F$8:$F$42,SMALL(IF("Página Web"='03.Muestra'!$D$8:$D$42,ROW('03.Muestra'!$F$8:$F$42)-MIN(ROW('03.Muestra'!$D$8:$D$42))+1,""),ROW()-132)),"")</f>
        <v>https://www.portcastello.com/</v>
      </c>
      <c r="D139" s="130" t="s">
        <v>33</v>
      </c>
      <c r="E139" s="107" t="str">
        <f t="shared" si="6"/>
        <v/>
      </c>
      <c r="F139" s="19"/>
      <c r="G139" s="19"/>
      <c r="H139" s="19"/>
      <c r="I139" s="19"/>
      <c r="J139" s="19"/>
      <c r="K139" s="233"/>
    </row>
    <row r="140" spans="1:11" ht="12" customHeight="1">
      <c r="A140" s="219" t="n" cm="1">
        <f t="array" ref="A140">IFERROR(INDEX('03.Muestra'!$B$8:$B$42,SMALL(IF("Página Web"='03.Muestra'!$D$8:$D$42,ROW('03.Muestra'!$B$8:$B$42)-MIN(ROW('03.Muestra'!$D$8:$D$42))+1,""),ROW()-132)),"")</f>
        <v>1.0</v>
      </c>
      <c r="B140" s="114" t="str" cm="1">
        <f t="array" ref="B140">IFERROR(INDEX('03.Muestra'!$C$8:$C$42,SMALL(IF("Página Web"='03.Muestra'!$D$8:$D$42,ROW('03.Muestra'!$C$8:$C$42)-MIN(ROW('03.Muestra'!$D$8:$D$42))+1,""),ROW()-132)),"")</f>
        <v>Home - PortCastelló</v>
      </c>
      <c r="C140" s="114" t="str" cm="1">
        <f t="array" ref="C140">IFERROR(INDEX('03.Muestra'!$F$8:$F$42,SMALL(IF("Página Web"='03.Muestra'!$D$8:$D$42,ROW('03.Muestra'!$F$8:$F$42)-MIN(ROW('03.Muestra'!$D$8:$D$42))+1,""),ROW()-132)),"")</f>
        <v>https://www.portcastello.com/</v>
      </c>
      <c r="D140" s="130" t="s">
        <v>33</v>
      </c>
      <c r="E140" s="107" t="str">
        <f t="shared" si="6"/>
        <v/>
      </c>
      <c r="F140" s="19"/>
      <c r="G140" s="19"/>
      <c r="H140" s="19"/>
      <c r="I140" s="19"/>
      <c r="J140" s="19"/>
      <c r="K140" s="233"/>
    </row>
    <row r="141" spans="1:11" ht="12" customHeight="1">
      <c r="A141" s="219" t="n" cm="1">
        <f t="array" ref="A141">IFERROR(INDEX('03.Muestra'!$B$8:$B$42,SMALL(IF("Página Web"='03.Muestra'!$D$8:$D$42,ROW('03.Muestra'!$B$8:$B$42)-MIN(ROW('03.Muestra'!$D$8:$D$42))+1,""),ROW()-132)),"")</f>
        <v>1.0</v>
      </c>
      <c r="B141" s="114" t="str" cm="1">
        <f t="array" ref="B141">IFERROR(INDEX('03.Muestra'!$C$8:$C$42,SMALL(IF("Página Web"='03.Muestra'!$D$8:$D$42,ROW('03.Muestra'!$C$8:$C$42)-MIN(ROW('03.Muestra'!$D$8:$D$42))+1,""),ROW()-132)),"")</f>
        <v>Home - PortCastelló</v>
      </c>
      <c r="C141" s="114" t="str" cm="1">
        <f t="array" ref="C141">IFERROR(INDEX('03.Muestra'!$F$8:$F$42,SMALL(IF("Página Web"='03.Muestra'!$D$8:$D$42,ROW('03.Muestra'!$F$8:$F$42)-MIN(ROW('03.Muestra'!$D$8:$D$42))+1,""),ROW()-132)),"")</f>
        <v>https://www.portcastello.com/</v>
      </c>
      <c r="D141" s="130" t="s">
        <v>33</v>
      </c>
      <c r="E141" s="107" t="str">
        <f t="shared" si="6"/>
        <v/>
      </c>
      <c r="F141" s="19"/>
      <c r="G141" s="19"/>
      <c r="H141" s="19"/>
      <c r="I141" s="19"/>
      <c r="J141" s="19"/>
      <c r="K141" s="233"/>
    </row>
    <row r="142" spans="1:11" ht="12" customHeight="1">
      <c r="A142" s="219" t="n" cm="1">
        <f t="array" ref="A142">IFERROR(INDEX('03.Muestra'!$B$8:$B$42,SMALL(IF("Página Web"='03.Muestra'!$D$8:$D$42,ROW('03.Muestra'!$B$8:$B$42)-MIN(ROW('03.Muestra'!$D$8:$D$42))+1,""),ROW()-132)),"")</f>
        <v>1.0</v>
      </c>
      <c r="B142" s="114" t="str" cm="1">
        <f t="array" ref="B142">IFERROR(INDEX('03.Muestra'!$C$8:$C$42,SMALL(IF("Página Web"='03.Muestra'!$D$8:$D$42,ROW('03.Muestra'!$C$8:$C$42)-MIN(ROW('03.Muestra'!$D$8:$D$42))+1,""),ROW()-132)),"")</f>
        <v>Home - PortCastelló</v>
      </c>
      <c r="C142" s="114" t="str" cm="1">
        <f t="array" ref="C142">IFERROR(INDEX('03.Muestra'!$F$8:$F$42,SMALL(IF("Página Web"='03.Muestra'!$D$8:$D$42,ROW('03.Muestra'!$F$8:$F$42)-MIN(ROW('03.Muestra'!$D$8:$D$42))+1,""),ROW()-132)),"")</f>
        <v>https://www.portcastello.com/</v>
      </c>
      <c r="D142" s="130" t="s">
        <v>33</v>
      </c>
      <c r="E142" s="107" t="str">
        <f t="shared" si="6"/>
        <v/>
      </c>
      <c r="F142" s="19"/>
      <c r="G142" s="19"/>
      <c r="H142" s="19"/>
      <c r="I142" s="19"/>
      <c r="J142" s="19"/>
      <c r="K142" s="233"/>
    </row>
    <row r="143" spans="1:11" ht="12" customHeight="1">
      <c r="A143" s="219" t="n" cm="1">
        <f t="array" ref="A143">IFERROR(INDEX('03.Muestra'!$B$8:$B$42,SMALL(IF("Página Web"='03.Muestra'!$D$8:$D$42,ROW('03.Muestra'!$B$8:$B$42)-MIN(ROW('03.Muestra'!$D$8:$D$42))+1,""),ROW()-132)),"")</f>
        <v>1.0</v>
      </c>
      <c r="B143" s="114" t="str" cm="1">
        <f t="array" ref="B143">IFERROR(INDEX('03.Muestra'!$C$8:$C$42,SMALL(IF("Página Web"='03.Muestra'!$D$8:$D$42,ROW('03.Muestra'!$C$8:$C$42)-MIN(ROW('03.Muestra'!$D$8:$D$42))+1,""),ROW()-132)),"")</f>
        <v>Home - PortCastelló</v>
      </c>
      <c r="C143" s="114" t="str" cm="1">
        <f t="array" ref="C143">IFERROR(INDEX('03.Muestra'!$F$8:$F$42,SMALL(IF("Página Web"='03.Muestra'!$D$8:$D$42,ROW('03.Muestra'!$F$8:$F$42)-MIN(ROW('03.Muestra'!$D$8:$D$42))+1,""),ROW()-132)),"")</f>
        <v>https://www.portcastello.com/</v>
      </c>
      <c r="D143" s="130" t="s">
        <v>33</v>
      </c>
      <c r="E143" s="107" t="str">
        <f t="shared" si="6"/>
        <v/>
      </c>
      <c r="F143" s="19"/>
      <c r="G143" s="19"/>
      <c r="H143" s="19"/>
      <c r="I143" s="19"/>
      <c r="J143" s="19"/>
      <c r="K143" s="233"/>
    </row>
    <row r="144" spans="1:11" ht="12" customHeight="1">
      <c r="A144" s="219" t="n" cm="1">
        <f t="array" ref="A144">IFERROR(INDEX('03.Muestra'!$B$8:$B$42,SMALL(IF("Página Web"='03.Muestra'!$D$8:$D$42,ROW('03.Muestra'!$B$8:$B$42)-MIN(ROW('03.Muestra'!$D$8:$D$42))+1,""),ROW()-132)),"")</f>
        <v>1.0</v>
      </c>
      <c r="B144" s="114" t="str" cm="1">
        <f t="array" ref="B144">IFERROR(INDEX('03.Muestra'!$C$8:$C$42,SMALL(IF("Página Web"='03.Muestra'!$D$8:$D$42,ROW('03.Muestra'!$C$8:$C$42)-MIN(ROW('03.Muestra'!$D$8:$D$42))+1,""),ROW()-132)),"")</f>
        <v>Home - PortCastelló</v>
      </c>
      <c r="C144" s="114" t="str" cm="1">
        <f t="array" ref="C144">IFERROR(INDEX('03.Muestra'!$F$8:$F$42,SMALL(IF("Página Web"='03.Muestra'!$D$8:$D$42,ROW('03.Muestra'!$F$8:$F$42)-MIN(ROW('03.Muestra'!$D$8:$D$42))+1,""),ROW()-132)),"")</f>
        <v>https://www.portcastello.com/</v>
      </c>
      <c r="D144" s="130" t="s">
        <v>33</v>
      </c>
      <c r="E144" s="107" t="str">
        <f t="shared" si="6"/>
        <v/>
      </c>
      <c r="F144" s="19"/>
      <c r="G144" s="19"/>
      <c r="H144" s="19"/>
      <c r="I144" s="19"/>
      <c r="J144" s="19"/>
      <c r="K144" s="233"/>
    </row>
    <row r="145" spans="1:11" ht="12" customHeight="1">
      <c r="A145" s="219" t="n" cm="1">
        <f t="array" ref="A145">IFERROR(INDEX('03.Muestra'!$B$8:$B$42,SMALL(IF("Página Web"='03.Muestra'!$D$8:$D$42,ROW('03.Muestra'!$B$8:$B$42)-MIN(ROW('03.Muestra'!$D$8:$D$42))+1,""),ROW()-132)),"")</f>
        <v>1.0</v>
      </c>
      <c r="B145" s="114" t="str" cm="1">
        <f t="array" ref="B145">IFERROR(INDEX('03.Muestra'!$C$8:$C$42,SMALL(IF("Página Web"='03.Muestra'!$D$8:$D$42,ROW('03.Muestra'!$C$8:$C$42)-MIN(ROW('03.Muestra'!$D$8:$D$42))+1,""),ROW()-132)),"")</f>
        <v>Home - PortCastelló</v>
      </c>
      <c r="C145" s="114" t="str" cm="1">
        <f t="array" ref="C145">IFERROR(INDEX('03.Muestra'!$F$8:$F$42,SMALL(IF("Página Web"='03.Muestra'!$D$8:$D$42,ROW('03.Muestra'!$F$8:$F$42)-MIN(ROW('03.Muestra'!$D$8:$D$42))+1,""),ROW()-132)),"")</f>
        <v>https://www.portcastello.com/</v>
      </c>
      <c r="D145" s="130" t="s">
        <v>33</v>
      </c>
      <c r="E145" s="107" t="str">
        <f t="shared" si="6"/>
        <v/>
      </c>
      <c r="F145" s="19"/>
      <c r="G145" s="19"/>
      <c r="H145" s="19"/>
      <c r="I145" s="19"/>
      <c r="J145" s="19"/>
      <c r="K145" s="233"/>
    </row>
    <row r="146" spans="1:11" ht="12" customHeight="1">
      <c r="A146" s="219" t="n" cm="1">
        <f t="array" ref="A146">IFERROR(INDEX('03.Muestra'!$B$8:$B$42,SMALL(IF("Página Web"='03.Muestra'!$D$8:$D$42,ROW('03.Muestra'!$B$8:$B$42)-MIN(ROW('03.Muestra'!$D$8:$D$42))+1,""),ROW()-132)),"")</f>
        <v>1.0</v>
      </c>
      <c r="B146" s="114" t="str" cm="1">
        <f t="array" ref="B146">IFERROR(INDEX('03.Muestra'!$C$8:$C$42,SMALL(IF("Página Web"='03.Muestra'!$D$8:$D$42,ROW('03.Muestra'!$C$8:$C$42)-MIN(ROW('03.Muestra'!$D$8:$D$42))+1,""),ROW()-132)),"")</f>
        <v>Home - PortCastelló</v>
      </c>
      <c r="C146" s="114" t="str" cm="1">
        <f t="array" ref="C146">IFERROR(INDEX('03.Muestra'!$F$8:$F$42,SMALL(IF("Página Web"='03.Muestra'!$D$8:$D$42,ROW('03.Muestra'!$F$8:$F$42)-MIN(ROW('03.Muestra'!$D$8:$D$42))+1,""),ROW()-132)),"")</f>
        <v>https://www.portcastello.com/</v>
      </c>
      <c r="D146" s="130" t="s">
        <v>33</v>
      </c>
      <c r="E146" s="107" t="str">
        <f t="shared" si="6"/>
        <v/>
      </c>
      <c r="F146" s="19"/>
      <c r="G146" s="19"/>
      <c r="H146" s="19"/>
      <c r="I146" s="19"/>
      <c r="J146" s="19"/>
      <c r="K146" s="233"/>
    </row>
    <row r="147" spans="1:11" ht="12" customHeight="1">
      <c r="A147" s="219" t="n" cm="1">
        <f t="array" ref="A147">IFERROR(INDEX('03.Muestra'!$B$8:$B$42,SMALL(IF("Página Web"='03.Muestra'!$D$8:$D$42,ROW('03.Muestra'!$B$8:$B$42)-MIN(ROW('03.Muestra'!$D$8:$D$42))+1,""),ROW()-132)),"")</f>
        <v>1.0</v>
      </c>
      <c r="B147" s="114" t="str" cm="1">
        <f t="array" ref="B147">IFERROR(INDEX('03.Muestra'!$C$8:$C$42,SMALL(IF("Página Web"='03.Muestra'!$D$8:$D$42,ROW('03.Muestra'!$C$8:$C$42)-MIN(ROW('03.Muestra'!$D$8:$D$42))+1,""),ROW()-132)),"")</f>
        <v>Home - PortCastelló</v>
      </c>
      <c r="C147" s="114" t="str" cm="1">
        <f t="array" ref="C147">IFERROR(INDEX('03.Muestra'!$F$8:$F$42,SMALL(IF("Página Web"='03.Muestra'!$D$8:$D$42,ROW('03.Muestra'!$F$8:$F$42)-MIN(ROW('03.Muestra'!$D$8:$D$42))+1,""),ROW()-132)),"")</f>
        <v>https://www.portcastello.com/</v>
      </c>
      <c r="D147" s="130" t="s">
        <v>33</v>
      </c>
      <c r="E147" s="107" t="str">
        <f t="shared" si="6"/>
        <v/>
      </c>
      <c r="F147" s="19"/>
      <c r="G147" s="19"/>
      <c r="H147" s="19"/>
      <c r="I147" s="19"/>
      <c r="J147" s="19"/>
      <c r="K147" s="233"/>
    </row>
    <row r="148" spans="1:11" ht="12" customHeight="1">
      <c r="A148" s="219" t="n" cm="1">
        <f t="array" ref="A148">IFERROR(INDEX('03.Muestra'!$B$8:$B$42,SMALL(IF("Página Web"='03.Muestra'!$D$8:$D$42,ROW('03.Muestra'!$B$8:$B$42)-MIN(ROW('03.Muestra'!$D$8:$D$42))+1,""),ROW()-132)),"")</f>
        <v>1.0</v>
      </c>
      <c r="B148" s="114" t="str" cm="1">
        <f t="array" ref="B148">IFERROR(INDEX('03.Muestra'!$C$8:$C$42,SMALL(IF("Página Web"='03.Muestra'!$D$8:$D$42,ROW('03.Muestra'!$C$8:$C$42)-MIN(ROW('03.Muestra'!$D$8:$D$42))+1,""),ROW()-132)),"")</f>
        <v>Home - PortCastelló</v>
      </c>
      <c r="C148" s="114" t="str" cm="1">
        <f t="array" ref="C148">IFERROR(INDEX('03.Muestra'!$F$8:$F$42,SMALL(IF("Página Web"='03.Muestra'!$D$8:$D$42,ROW('03.Muestra'!$F$8:$F$42)-MIN(ROW('03.Muestra'!$D$8:$D$42))+1,""),ROW()-132)),"")</f>
        <v>https://www.portcastello.com/</v>
      </c>
      <c r="D148" s="130" t="s">
        <v>33</v>
      </c>
      <c r="E148" s="107" t="str">
        <f t="shared" si="6"/>
        <v/>
      </c>
      <c r="F148" s="19"/>
      <c r="G148" s="19"/>
      <c r="H148" s="19"/>
      <c r="I148" s="19"/>
      <c r="J148" s="19"/>
      <c r="K148" s="233"/>
    </row>
    <row r="149" spans="1:11" ht="12" customHeight="1">
      <c r="A149" s="219" t="n" cm="1">
        <f t="array" ref="A149">IFERROR(INDEX('03.Muestra'!$B$8:$B$42,SMALL(IF("Página Web"='03.Muestra'!$D$8:$D$42,ROW('03.Muestra'!$B$8:$B$42)-MIN(ROW('03.Muestra'!$D$8:$D$42))+1,""),ROW()-132)),"")</f>
        <v>1.0</v>
      </c>
      <c r="B149" s="114" t="str" cm="1">
        <f t="array" ref="B149">IFERROR(INDEX('03.Muestra'!$C$8:$C$42,SMALL(IF("Página Web"='03.Muestra'!$D$8:$D$42,ROW('03.Muestra'!$C$8:$C$42)-MIN(ROW('03.Muestra'!$D$8:$D$42))+1,""),ROW()-132)),"")</f>
        <v>Home - PortCastelló</v>
      </c>
      <c r="C149" s="114" t="str" cm="1">
        <f t="array" ref="C149">IFERROR(INDEX('03.Muestra'!$F$8:$F$42,SMALL(IF("Página Web"='03.Muestra'!$D$8:$D$42,ROW('03.Muestra'!$F$8:$F$42)-MIN(ROW('03.Muestra'!$D$8:$D$42))+1,""),ROW()-132)),"")</f>
        <v>https://www.portcastello.com/</v>
      </c>
      <c r="D149" s="130" t="s">
        <v>33</v>
      </c>
      <c r="E149" s="107" t="str">
        <f t="shared" si="6"/>
        <v/>
      </c>
      <c r="F149" s="19"/>
      <c r="G149" s="19"/>
      <c r="H149" s="19"/>
      <c r="I149" s="19"/>
      <c r="J149" s="19"/>
      <c r="K149" s="233"/>
    </row>
    <row r="150" spans="1:11" ht="12" customHeight="1">
      <c r="A150" s="219" t="n" cm="1">
        <f t="array" ref="A150">IFERROR(INDEX('03.Muestra'!$B$8:$B$42,SMALL(IF("Página Web"='03.Muestra'!$D$8:$D$42,ROW('03.Muestra'!$B$8:$B$42)-MIN(ROW('03.Muestra'!$D$8:$D$42))+1,""),ROW()-132)),"")</f>
        <v>1.0</v>
      </c>
      <c r="B150" s="114" t="str" cm="1">
        <f t="array" ref="B150">IFERROR(INDEX('03.Muestra'!$C$8:$C$42,SMALL(IF("Página Web"='03.Muestra'!$D$8:$D$42,ROW('03.Muestra'!$C$8:$C$42)-MIN(ROW('03.Muestra'!$D$8:$D$42))+1,""),ROW()-132)),"")</f>
        <v>Home - PortCastelló</v>
      </c>
      <c r="C150" s="114" t="str" cm="1">
        <f t="array" ref="C150">IFERROR(INDEX('03.Muestra'!$F$8:$F$42,SMALL(IF("Página Web"='03.Muestra'!$D$8:$D$42,ROW('03.Muestra'!$F$8:$F$42)-MIN(ROW('03.Muestra'!$D$8:$D$42))+1,""),ROW()-132)),"")</f>
        <v>https://www.portcastello.com/</v>
      </c>
      <c r="D150" s="130" t="s">
        <v>33</v>
      </c>
      <c r="E150" s="107" t="str">
        <f t="shared" si="6"/>
        <v/>
      </c>
      <c r="F150" s="19"/>
      <c r="G150" s="19"/>
      <c r="H150" s="19"/>
      <c r="I150" s="19"/>
      <c r="J150" s="19"/>
      <c r="K150" s="233"/>
    </row>
    <row r="151" spans="1:11" ht="12" customHeight="1">
      <c r="A151" s="219" t="n" cm="1">
        <f t="array" ref="A151">IFERROR(INDEX('03.Muestra'!$B$8:$B$42,SMALL(IF("Página Web"='03.Muestra'!$D$8:$D$42,ROW('03.Muestra'!$B$8:$B$42)-MIN(ROW('03.Muestra'!$D$8:$D$42))+1,""),ROW()-132)),"")</f>
        <v>1.0</v>
      </c>
      <c r="B151" s="114" t="str" cm="1">
        <f t="array" ref="B151">IFERROR(INDEX('03.Muestra'!$C$8:$C$42,SMALL(IF("Página Web"='03.Muestra'!$D$8:$D$42,ROW('03.Muestra'!$C$8:$C$42)-MIN(ROW('03.Muestra'!$D$8:$D$42))+1,""),ROW()-132)),"")</f>
        <v>Home - PortCastelló</v>
      </c>
      <c r="C151" s="114" t="str" cm="1">
        <f t="array" ref="C151">IFERROR(INDEX('03.Muestra'!$F$8:$F$42,SMALL(IF("Página Web"='03.Muestra'!$D$8:$D$42,ROW('03.Muestra'!$F$8:$F$42)-MIN(ROW('03.Muestra'!$D$8:$D$42))+1,""),ROW()-132)),"")</f>
        <v>https://www.portcastello.com/</v>
      </c>
      <c r="D151" s="130" t="s">
        <v>33</v>
      </c>
      <c r="E151" s="107" t="str">
        <f t="shared" si="6"/>
        <v/>
      </c>
      <c r="F151" s="19"/>
      <c r="G151" s="19"/>
      <c r="H151" s="19"/>
      <c r="I151" s="19"/>
      <c r="J151" s="19"/>
      <c r="K151" s="233"/>
    </row>
    <row r="152" spans="1:11" ht="12" customHeight="1">
      <c r="A152" s="219" t="n" cm="1">
        <f t="array" ref="A152">IFERROR(INDEX('03.Muestra'!$B$8:$B$42,SMALL(IF("Página Web"='03.Muestra'!$D$8:$D$42,ROW('03.Muestra'!$B$8:$B$42)-MIN(ROW('03.Muestra'!$D$8:$D$42))+1,""),ROW()-132)),"")</f>
        <v>1.0</v>
      </c>
      <c r="B152" s="114" t="str" cm="1">
        <f t="array" ref="B152">IFERROR(INDEX('03.Muestra'!$C$8:$C$42,SMALL(IF("Página Web"='03.Muestra'!$D$8:$D$42,ROW('03.Muestra'!$C$8:$C$42)-MIN(ROW('03.Muestra'!$D$8:$D$42))+1,""),ROW()-132)),"")</f>
        <v>Home - PortCastelló</v>
      </c>
      <c r="C152" s="114" t="str" cm="1">
        <f t="array" ref="C152">IFERROR(INDEX('03.Muestra'!$F$8:$F$42,SMALL(IF("Página Web"='03.Muestra'!$D$8:$D$42,ROW('03.Muestra'!$F$8:$F$42)-MIN(ROW('03.Muestra'!$D$8:$D$42))+1,""),ROW()-132)),"")</f>
        <v>https://www.portcastello.com/</v>
      </c>
      <c r="D152" s="130" t="s">
        <v>33</v>
      </c>
      <c r="E152" s="107" t="str">
        <f t="shared" si="6"/>
        <v/>
      </c>
      <c r="F152" s="19"/>
      <c r="G152" s="19"/>
      <c r="H152" s="19"/>
      <c r="I152" s="19"/>
      <c r="J152" s="19"/>
      <c r="K152" s="233"/>
    </row>
    <row r="153" spans="1:11" ht="12" customHeight="1">
      <c r="A153" s="219" t="n" cm="1">
        <f t="array" ref="A153">IFERROR(INDEX('03.Muestra'!$B$8:$B$42,SMALL(IF("Página Web"='03.Muestra'!$D$8:$D$42,ROW('03.Muestra'!$B$8:$B$42)-MIN(ROW('03.Muestra'!$D$8:$D$42))+1,""),ROW()-132)),"")</f>
        <v>1.0</v>
      </c>
      <c r="B153" s="114" t="str" cm="1">
        <f t="array" ref="B153">IFERROR(INDEX('03.Muestra'!$C$8:$C$42,SMALL(IF("Página Web"='03.Muestra'!$D$8:$D$42,ROW('03.Muestra'!$C$8:$C$42)-MIN(ROW('03.Muestra'!$D$8:$D$42))+1,""),ROW()-132)),"")</f>
        <v>Home - PortCastelló</v>
      </c>
      <c r="C153" s="114" t="str" cm="1">
        <f t="array" ref="C153">IFERROR(INDEX('03.Muestra'!$F$8:$F$42,SMALL(IF("Página Web"='03.Muestra'!$D$8:$D$42,ROW('03.Muestra'!$F$8:$F$42)-MIN(ROW('03.Muestra'!$D$8:$D$42))+1,""),ROW()-132)),"")</f>
        <v>https://www.portcastello.com/</v>
      </c>
      <c r="D153" s="130" t="s">
        <v>33</v>
      </c>
      <c r="E153" s="107" t="str">
        <f t="shared" si="6"/>
        <v/>
      </c>
      <c r="F153" s="19"/>
      <c r="G153" s="19"/>
      <c r="H153" s="19"/>
      <c r="I153" s="19"/>
      <c r="J153" s="19"/>
      <c r="K153" s="233"/>
    </row>
    <row r="154" spans="1:11" ht="12" customHeight="1">
      <c r="A154" s="219" t="n" cm="1">
        <f t="array" ref="A154">IFERROR(INDEX('03.Muestra'!$B$8:$B$42,SMALL(IF("Página Web"='03.Muestra'!$D$8:$D$42,ROW('03.Muestra'!$B$8:$B$42)-MIN(ROW('03.Muestra'!$D$8:$D$42))+1,""),ROW()-132)),"")</f>
        <v>1.0</v>
      </c>
      <c r="B154" s="114" t="str" cm="1">
        <f t="array" ref="B154">IFERROR(INDEX('03.Muestra'!$C$8:$C$42,SMALL(IF("Página Web"='03.Muestra'!$D$8:$D$42,ROW('03.Muestra'!$C$8:$C$42)-MIN(ROW('03.Muestra'!$D$8:$D$42))+1,""),ROW()-132)),"")</f>
        <v>Home - PortCastelló</v>
      </c>
      <c r="C154" s="114" t="str" cm="1">
        <f t="array" ref="C154">IFERROR(INDEX('03.Muestra'!$F$8:$F$42,SMALL(IF("Página Web"='03.Muestra'!$D$8:$D$42,ROW('03.Muestra'!$F$8:$F$42)-MIN(ROW('03.Muestra'!$D$8:$D$42))+1,""),ROW()-132)),"")</f>
        <v>https://www.portcastello.com/</v>
      </c>
      <c r="D154" s="130" t="s">
        <v>33</v>
      </c>
      <c r="E154" s="107" t="str">
        <f t="shared" si="6"/>
        <v/>
      </c>
      <c r="F154" s="19"/>
      <c r="G154" s="19"/>
      <c r="H154" s="19"/>
      <c r="I154" s="19"/>
      <c r="J154" s="19"/>
      <c r="K154" s="233"/>
    </row>
    <row r="155" spans="1:11" ht="12" customHeight="1">
      <c r="A155" s="219" t="n" cm="1">
        <f t="array" ref="A155">IFERROR(INDEX('03.Muestra'!$B$8:$B$42,SMALL(IF("Página Web"='03.Muestra'!$D$8:$D$42,ROW('03.Muestra'!$B$8:$B$42)-MIN(ROW('03.Muestra'!$D$8:$D$42))+1,""),ROW()-132)),"")</f>
        <v>1.0</v>
      </c>
      <c r="B155" s="114" t="str" cm="1">
        <f t="array" ref="B155">IFERROR(INDEX('03.Muestra'!$C$8:$C$42,SMALL(IF("Página Web"='03.Muestra'!$D$8:$D$42,ROW('03.Muestra'!$C$8:$C$42)-MIN(ROW('03.Muestra'!$D$8:$D$42))+1,""),ROW()-132)),"")</f>
        <v>Home - PortCastelló</v>
      </c>
      <c r="C155" s="114" t="str" cm="1">
        <f t="array" ref="C155">IFERROR(INDEX('03.Muestra'!$F$8:$F$42,SMALL(IF("Página Web"='03.Muestra'!$D$8:$D$42,ROW('03.Muestra'!$F$8:$F$42)-MIN(ROW('03.Muestra'!$D$8:$D$42))+1,""),ROW()-132)),"")</f>
        <v>https://www.portcastello.com/</v>
      </c>
      <c r="D155" s="130" t="s">
        <v>33</v>
      </c>
      <c r="E155" s="107" t="str">
        <f t="shared" si="6"/>
        <v/>
      </c>
      <c r="F155" s="19"/>
      <c r="G155" s="19"/>
      <c r="H155" s="19"/>
      <c r="I155" s="19"/>
      <c r="J155" s="19"/>
      <c r="K155" s="233"/>
    </row>
    <row r="156" spans="1:11" ht="12" customHeight="1">
      <c r="A156" s="219" t="n" cm="1">
        <f t="array" ref="A156">IFERROR(INDEX('03.Muestra'!$B$8:$B$42,SMALL(IF("Página Web"='03.Muestra'!$D$8:$D$42,ROW('03.Muestra'!$B$8:$B$42)-MIN(ROW('03.Muestra'!$D$8:$D$42))+1,""),ROW()-132)),"")</f>
        <v>1.0</v>
      </c>
      <c r="B156" s="114" t="str" cm="1">
        <f t="array" ref="B156">IFERROR(INDEX('03.Muestra'!$C$8:$C$42,SMALL(IF("Página Web"='03.Muestra'!$D$8:$D$42,ROW('03.Muestra'!$C$8:$C$42)-MIN(ROW('03.Muestra'!$D$8:$D$42))+1,""),ROW()-132)),"")</f>
        <v>Home - PortCastelló</v>
      </c>
      <c r="C156" s="114" t="str" cm="1">
        <f t="array" ref="C156">IFERROR(INDEX('03.Muestra'!$F$8:$F$42,SMALL(IF("Página Web"='03.Muestra'!$D$8:$D$42,ROW('03.Muestra'!$F$8:$F$42)-MIN(ROW('03.Muestra'!$D$8:$D$42))+1,""),ROW()-132)),"")</f>
        <v>https://www.portcastello.com/</v>
      </c>
      <c r="D156" s="130" t="s">
        <v>33</v>
      </c>
      <c r="E156" s="107" t="str">
        <f t="shared" si="6"/>
        <v/>
      </c>
      <c r="F156" s="19"/>
      <c r="G156" s="19"/>
      <c r="H156" s="19"/>
      <c r="I156" s="19"/>
      <c r="J156" s="19"/>
      <c r="K156" s="233"/>
    </row>
    <row r="157" spans="1:11" ht="12" customHeight="1">
      <c r="A157" s="219" t="n" cm="1">
        <f t="array" ref="A157">IFERROR(INDEX('03.Muestra'!$B$8:$B$42,SMALL(IF("Página Web"='03.Muestra'!$D$8:$D$42,ROW('03.Muestra'!$B$8:$B$42)-MIN(ROW('03.Muestra'!$D$8:$D$42))+1,""),ROW()-132)),"")</f>
        <v>1.0</v>
      </c>
      <c r="B157" s="114" t="str" cm="1">
        <f t="array" ref="B157">IFERROR(INDEX('03.Muestra'!$C$8:$C$42,SMALL(IF("Página Web"='03.Muestra'!$D$8:$D$42,ROW('03.Muestra'!$C$8:$C$42)-MIN(ROW('03.Muestra'!$D$8:$D$42))+1,""),ROW()-132)),"")</f>
        <v>Home - PortCastelló</v>
      </c>
      <c r="C157" s="114" t="str" cm="1">
        <f t="array" ref="C157">IFERROR(INDEX('03.Muestra'!$F$8:$F$42,SMALL(IF("Página Web"='03.Muestra'!$D$8:$D$42,ROW('03.Muestra'!$F$8:$F$42)-MIN(ROW('03.Muestra'!$D$8:$D$42))+1,""),ROW()-132)),"")</f>
        <v>https://www.portcastello.com/</v>
      </c>
      <c r="D157" s="130" t="s">
        <v>33</v>
      </c>
      <c r="E157" s="107" t="str">
        <f t="shared" si="6"/>
        <v/>
      </c>
      <c r="F157" s="19"/>
      <c r="G157" s="19"/>
      <c r="H157" s="19"/>
      <c r="I157" s="19"/>
      <c r="J157" s="19"/>
      <c r="K157" s="233"/>
    </row>
    <row r="158" spans="1:11" ht="12" customHeight="1">
      <c r="A158" s="219" t="n" cm="1">
        <f t="array" ref="A158">IFERROR(INDEX('03.Muestra'!$B$8:$B$42,SMALL(IF("Página Web"='03.Muestra'!$D$8:$D$42,ROW('03.Muestra'!$B$8:$B$42)-MIN(ROW('03.Muestra'!$D$8:$D$42))+1,""),ROW()-132)),"")</f>
        <v>1.0</v>
      </c>
      <c r="B158" s="114" t="str" cm="1">
        <f t="array" ref="B158">IFERROR(INDEX('03.Muestra'!$C$8:$C$42,SMALL(IF("Página Web"='03.Muestra'!$D$8:$D$42,ROW('03.Muestra'!$C$8:$C$42)-MIN(ROW('03.Muestra'!$D$8:$D$42))+1,""),ROW()-132)),"")</f>
        <v>Home - PortCastelló</v>
      </c>
      <c r="C158" s="114" t="str" cm="1">
        <f t="array" ref="C158">IFERROR(INDEX('03.Muestra'!$F$8:$F$42,SMALL(IF("Página Web"='03.Muestra'!$D$8:$D$42,ROW('03.Muestra'!$F$8:$F$42)-MIN(ROW('03.Muestra'!$D$8:$D$42))+1,""),ROW()-132)),"")</f>
        <v>https://www.portcastello.com/</v>
      </c>
      <c r="D158" s="130" t="s">
        <v>33</v>
      </c>
      <c r="E158" s="107" t="str">
        <f t="shared" si="6"/>
        <v/>
      </c>
      <c r="F158" s="19"/>
      <c r="G158" s="19"/>
      <c r="H158" s="19"/>
      <c r="I158" s="19"/>
      <c r="J158" s="19"/>
      <c r="K158" s="233"/>
    </row>
    <row r="159" spans="1:11" ht="12" customHeight="1">
      <c r="A159" s="219" t="n" cm="1">
        <f t="array" ref="A159">IFERROR(INDEX('03.Muestra'!$B$8:$B$42,SMALL(IF("Página Web"='03.Muestra'!$D$8:$D$42,ROW('03.Muestra'!$B$8:$B$42)-MIN(ROW('03.Muestra'!$D$8:$D$42))+1,""),ROW()-132)),"")</f>
        <v>1.0</v>
      </c>
      <c r="B159" s="114" t="str" cm="1">
        <f t="array" ref="B159">IFERROR(INDEX('03.Muestra'!$C$8:$C$42,SMALL(IF("Página Web"='03.Muestra'!$D$8:$D$42,ROW('03.Muestra'!$C$8:$C$42)-MIN(ROW('03.Muestra'!$D$8:$D$42))+1,""),ROW()-132)),"")</f>
        <v>Home - PortCastelló</v>
      </c>
      <c r="C159" s="114" t="str" cm="1">
        <f t="array" ref="C159">IFERROR(INDEX('03.Muestra'!$F$8:$F$42,SMALL(IF("Página Web"='03.Muestra'!$D$8:$D$42,ROW('03.Muestra'!$F$8:$F$42)-MIN(ROW('03.Muestra'!$D$8:$D$42))+1,""),ROW()-132)),"")</f>
        <v>https://www.portcastello.com/</v>
      </c>
      <c r="D159" s="130" t="s">
        <v>33</v>
      </c>
      <c r="E159" s="107" t="str">
        <f t="shared" si="6"/>
        <v/>
      </c>
      <c r="F159" s="19"/>
      <c r="G159" s="19"/>
      <c r="H159" s="19"/>
      <c r="I159" s="19"/>
      <c r="J159" s="19"/>
      <c r="K159" s="233"/>
    </row>
    <row r="160" spans="1:11" ht="12" customHeight="1">
      <c r="A160" s="219" t="n" cm="1">
        <f t="array" ref="A160">IFERROR(INDEX('03.Muestra'!$B$8:$B$42,SMALL(IF("Página Web"='03.Muestra'!$D$8:$D$42,ROW('03.Muestra'!$B$8:$B$42)-MIN(ROW('03.Muestra'!$D$8:$D$42))+1,""),ROW()-132)),"")</f>
        <v>1.0</v>
      </c>
      <c r="B160" s="114" t="str" cm="1">
        <f t="array" ref="B160">IFERROR(INDEX('03.Muestra'!$C$8:$C$42,SMALL(IF("Página Web"='03.Muestra'!$D$8:$D$42,ROW('03.Muestra'!$C$8:$C$42)-MIN(ROW('03.Muestra'!$D$8:$D$42))+1,""),ROW()-132)),"")</f>
        <v>Home - PortCastelló</v>
      </c>
      <c r="C160" s="114" t="str" cm="1">
        <f t="array" ref="C160">IFERROR(INDEX('03.Muestra'!$F$8:$F$42,SMALL(IF("Página Web"='03.Muestra'!$D$8:$D$42,ROW('03.Muestra'!$F$8:$F$42)-MIN(ROW('03.Muestra'!$D$8:$D$42))+1,""),ROW()-132)),"")</f>
        <v>https://www.portcastello.com/</v>
      </c>
      <c r="D160" s="130" t="s">
        <v>33</v>
      </c>
      <c r="E160" s="107" t="str">
        <f t="shared" si="6"/>
        <v/>
      </c>
      <c r="G160" s="19"/>
      <c r="H160" s="19"/>
      <c r="I160" s="19"/>
      <c r="J160" s="19"/>
      <c r="K160" s="233"/>
    </row>
    <row r="161" spans="1:11" ht="12" customHeight="1">
      <c r="A161" s="219" t="n" cm="1">
        <f t="array" ref="A161">IFERROR(INDEX('03.Muestra'!$B$8:$B$42,SMALL(IF("Página Web"='03.Muestra'!$D$8:$D$42,ROW('03.Muestra'!$B$8:$B$42)-MIN(ROW('03.Muestra'!$D$8:$D$42))+1,""),ROW()-132)),"")</f>
        <v>1.0</v>
      </c>
      <c r="B161" s="114" t="str" cm="1">
        <f t="array" ref="B161">IFERROR(INDEX('03.Muestra'!$C$8:$C$42,SMALL(IF("Página Web"='03.Muestra'!$D$8:$D$42,ROW('03.Muestra'!$C$8:$C$42)-MIN(ROW('03.Muestra'!$D$8:$D$42))+1,""),ROW()-132)),"")</f>
        <v>Home - PortCastelló</v>
      </c>
      <c r="C161" s="114" t="str" cm="1">
        <f t="array" ref="C161">IFERROR(INDEX('03.Muestra'!$F$8:$F$42,SMALL(IF("Página Web"='03.Muestra'!$D$8:$D$42,ROW('03.Muestra'!$F$8:$F$42)-MIN(ROW('03.Muestra'!$D$8:$D$42))+1,""),ROW()-132)),"")</f>
        <v>https://www.portcastello.com/</v>
      </c>
      <c r="D161" s="130" t="s">
        <v>33</v>
      </c>
      <c r="E161" s="107" t="str">
        <f t="shared" si="6"/>
        <v/>
      </c>
      <c r="F161" s="124"/>
      <c r="G161" s="19"/>
      <c r="H161" s="19"/>
      <c r="I161" s="19"/>
      <c r="J161" s="19"/>
      <c r="K161" s="233"/>
    </row>
    <row r="162" spans="1:11" ht="12" customHeight="1">
      <c r="A162" s="219" t="n" cm="1">
        <f t="array" ref="A162">IFERROR(INDEX('03.Muestra'!$B$8:$B$42,SMALL(IF("Página Web"='03.Muestra'!$D$8:$D$42,ROW('03.Muestra'!$B$8:$B$42)-MIN(ROW('03.Muestra'!$D$8:$D$42))+1,""),ROW()-132)),"")</f>
        <v>1.0</v>
      </c>
      <c r="B162" s="114" t="str" cm="1">
        <f t="array" ref="B162">IFERROR(INDEX('03.Muestra'!$C$8:$C$42,SMALL(IF("Página Web"='03.Muestra'!$D$8:$D$42,ROW('03.Muestra'!$C$8:$C$42)-MIN(ROW('03.Muestra'!$D$8:$D$42))+1,""),ROW()-132)),"")</f>
        <v>Home - PortCastelló</v>
      </c>
      <c r="C162" s="114" t="str" cm="1">
        <f t="array" ref="C162">IFERROR(INDEX('03.Muestra'!$F$8:$F$42,SMALL(IF("Página Web"='03.Muestra'!$D$8:$D$42,ROW('03.Muestra'!$F$8:$F$42)-MIN(ROW('03.Muestra'!$D$8:$D$42))+1,""),ROW()-132)),"")</f>
        <v>https://www.portcastello.com/</v>
      </c>
      <c r="D162" s="130" t="s">
        <v>33</v>
      </c>
      <c r="E162" s="107" t="str">
        <f t="shared" si="6"/>
        <v/>
      </c>
      <c r="F162" s="124"/>
      <c r="G162" s="19"/>
      <c r="H162" s="19"/>
      <c r="I162" s="19"/>
      <c r="J162" s="19"/>
      <c r="K162" s="233"/>
    </row>
    <row r="163" spans="1:11" ht="12" customHeight="1">
      <c r="A163" s="219" t="n" cm="1">
        <f t="array" ref="A163">IFERROR(INDEX('03.Muestra'!$B$8:$B$42,SMALL(IF("Página Web"='03.Muestra'!$D$8:$D$42,ROW('03.Muestra'!$B$8:$B$42)-MIN(ROW('03.Muestra'!$D$8:$D$42))+1,""),ROW()-132)),"")</f>
        <v>1.0</v>
      </c>
      <c r="B163" s="114" t="str" cm="1">
        <f t="array" ref="B163">IFERROR(INDEX('03.Muestra'!$C$8:$C$42,SMALL(IF("Página Web"='03.Muestra'!$D$8:$D$42,ROW('03.Muestra'!$C$8:$C$42)-MIN(ROW('03.Muestra'!$D$8:$D$42))+1,""),ROW()-132)),"")</f>
        <v>Home - PortCastelló</v>
      </c>
      <c r="C163" s="114" t="str" cm="1">
        <f t="array" ref="C163">IFERROR(INDEX('03.Muestra'!$F$8:$F$42,SMALL(IF("Página Web"='03.Muestra'!$D$8:$D$42,ROW('03.Muestra'!$F$8:$F$42)-MIN(ROW('03.Muestra'!$D$8:$D$42))+1,""),ROW()-132)),"")</f>
        <v>https://www.portcastello.com/</v>
      </c>
      <c r="D163" s="130" t="s">
        <v>33</v>
      </c>
      <c r="E163" s="107" t="str">
        <f t="shared" si="6"/>
        <v/>
      </c>
      <c r="F163" s="124"/>
      <c r="G163" s="19"/>
      <c r="H163" s="19"/>
      <c r="I163" s="19"/>
      <c r="J163" s="19"/>
      <c r="K163" s="233"/>
    </row>
    <row r="164" spans="1:11" ht="12" customHeight="1">
      <c r="A164" s="219" t="n" cm="1">
        <f t="array" ref="A164">IFERROR(INDEX('03.Muestra'!$B$8:$B$42,SMALL(IF("Página Web"='03.Muestra'!$D$8:$D$42,ROW('03.Muestra'!$B$8:$B$42)-MIN(ROW('03.Muestra'!$D$8:$D$42))+1,""),ROW()-132)),"")</f>
        <v>1.0</v>
      </c>
      <c r="B164" s="114" t="str" cm="1">
        <f t="array" ref="B164">IFERROR(INDEX('03.Muestra'!$C$8:$C$42,SMALL(IF("Página Web"='03.Muestra'!$D$8:$D$42,ROW('03.Muestra'!$C$8:$C$42)-MIN(ROW('03.Muestra'!$D$8:$D$42))+1,""),ROW()-132)),"")</f>
        <v>Home - PortCastelló</v>
      </c>
      <c r="C164" s="114" t="str" cm="1">
        <f t="array" ref="C164">IFERROR(INDEX('03.Muestra'!$F$8:$F$42,SMALL(IF("Página Web"='03.Muestra'!$D$8:$D$42,ROW('03.Muestra'!$F$8:$F$42)-MIN(ROW('03.Muestra'!$D$8:$D$42))+1,""),ROW()-132)),"")</f>
        <v>https://www.portcastello.com/</v>
      </c>
      <c r="D164" s="130" t="s">
        <v>33</v>
      </c>
      <c r="E164" s="107" t="str">
        <f t="shared" si="6"/>
        <v/>
      </c>
      <c r="F164" s="124"/>
      <c r="G164" s="19"/>
      <c r="H164" s="19"/>
      <c r="I164" s="19"/>
      <c r="J164" s="19"/>
      <c r="K164" s="233"/>
    </row>
    <row r="165" spans="1:11" ht="12" customHeight="1">
      <c r="A165" s="219" t="n" cm="1">
        <f t="array" ref="A165">IFERROR(INDEX('03.Muestra'!$B$8:$B$42,SMALL(IF("Página Web"='03.Muestra'!$D$8:$D$42,ROW('03.Muestra'!$B$8:$B$42)-MIN(ROW('03.Muestra'!$D$8:$D$42))+1,""),ROW()-132)),"")</f>
        <v>1.0</v>
      </c>
      <c r="B165" s="114" t="str" cm="1">
        <f t="array" ref="B165">IFERROR(INDEX('03.Muestra'!$C$8:$C$42,SMALL(IF("Página Web"='03.Muestra'!$D$8:$D$42,ROW('03.Muestra'!$C$8:$C$42)-MIN(ROW('03.Muestra'!$D$8:$D$42))+1,""),ROW()-132)),"")</f>
        <v>Home - PortCastelló</v>
      </c>
      <c r="C165" s="114" t="str" cm="1">
        <f t="array" ref="C165">IFERROR(INDEX('03.Muestra'!$F$8:$F$42,SMALL(IF("Página Web"='03.Muestra'!$D$8:$D$42,ROW('03.Muestra'!$F$8:$F$42)-MIN(ROW('03.Muestra'!$D$8:$D$42))+1,""),ROW()-132)),"")</f>
        <v>https://www.portcastello.com/</v>
      </c>
      <c r="D165" s="130" t="s">
        <v>33</v>
      </c>
      <c r="E165" s="107" t="str">
        <f t="shared" si="6"/>
        <v/>
      </c>
      <c r="F165" s="124"/>
      <c r="G165" s="19"/>
      <c r="H165" s="19"/>
      <c r="I165" s="19"/>
      <c r="J165" s="19"/>
      <c r="K165" s="233"/>
    </row>
    <row r="166" spans="1:11" ht="12" customHeight="1">
      <c r="A166" s="219" t="str" cm="1">
        <f t="array" ref="A166">IFERROR(INDEX('03.Muestra'!$B$8:$B$42,SMALL(IF("Página Web"='03.Muestra'!$D$8:$D$42,ROW('03.Muestra'!$B$8:$B$42)-MIN(ROW('03.Muestra'!$D$8:$D$42))+1,""),ROW()-132)),"")</f>
        <v/>
      </c>
      <c r="B166" s="114" t="str" cm="1">
        <f t="array" ref="B166">IFERROR(INDEX('03.Muestra'!$C$8:$C$42,SMALL(IF("Página Web"='03.Muestra'!$D$8:$D$42,ROW('03.Muestra'!$C$8:$C$42)-MIN(ROW('03.Muestra'!$D$8:$D$42))+1,""),ROW()-132)),"")</f>
        <v/>
      </c>
      <c r="C166" s="114" t="str" cm="1">
        <f t="array" ref="C166">IFERROR(INDEX('03.Muestra'!$F$8:$F$42,SMALL(IF("Página Web"='03.Muestra'!$D$8:$D$42,ROW('03.Muestra'!$F$8:$F$42)-MIN(ROW('03.Muestra'!$D$8:$D$42))+1,""),ROW()-132)),"")</f>
        <v/>
      </c>
      <c r="D166" s="130" t="str">
        <f t="shared" si="7" ref="D166:D167">IF(AND(B166&lt;&gt;"",C166&lt;&gt;""),"N/T","")</f>
        <v/>
      </c>
      <c r="E166" s="107" t="str">
        <f t="shared" si="6"/>
        <v/>
      </c>
      <c r="F166" s="124"/>
      <c r="G166" s="19"/>
      <c r="H166" s="19"/>
      <c r="I166" s="19"/>
      <c r="J166" s="19"/>
      <c r="K166" s="233"/>
    </row>
    <row r="167" spans="1:11" ht="12" customHeight="1">
      <c r="A167" s="219" t="str" cm="1">
        <f t="array" ref="A167">IFERROR(INDEX('03.Muestra'!$B$8:$B$42,SMALL(IF("Página Web"='03.Muestra'!$D$8:$D$42,ROW('03.Muestra'!$B$8:$B$42)-MIN(ROW('03.Muestra'!$D$8:$D$42))+1,""),ROW()-132)),"")</f>
        <v/>
      </c>
      <c r="B167" s="114" t="str" cm="1">
        <f t="array" ref="B167">IFERROR(INDEX('03.Muestra'!$C$8:$C$42,SMALL(IF("Página Web"='03.Muestra'!$D$8:$D$42,ROW('03.Muestra'!$C$8:$C$42)-MIN(ROW('03.Muestra'!$D$8:$D$42))+1,""),ROW()-132)),"")</f>
        <v/>
      </c>
      <c r="C167" s="114" t="str" cm="1">
        <f t="array" ref="C167">IFERROR(INDEX('03.Muestra'!$F$8:$F$42,SMALL(IF("Página Web"='03.Muestra'!$D$8:$D$42,ROW('03.Muestra'!$F$8:$F$42)-MIN(ROW('03.Muestra'!$D$8:$D$42))+1,""),ROW()-132)),"")</f>
        <v/>
      </c>
      <c r="D167" s="130" t="str">
        <f t="shared" si="7"/>
        <v/>
      </c>
      <c r="E167" s="107" t="str">
        <f t="shared" si="6"/>
        <v/>
      </c>
      <c r="F167" s="19"/>
      <c r="G167" s="19"/>
      <c r="H167" s="19"/>
      <c r="I167" s="19"/>
      <c r="J167" s="19"/>
      <c r="K167" s="233"/>
    </row>
    <row r="168" spans="1:11" ht="12" customHeight="1">
      <c r="B168" s="19"/>
      <c r="C168" s="19"/>
      <c r="D168" s="107"/>
      <c r="E168" s="107"/>
      <c r="F168" s="19"/>
      <c r="G168" s="19"/>
      <c r="H168" s="19"/>
      <c r="I168" s="19"/>
      <c r="J168" s="19"/>
      <c r="K168" s="233"/>
    </row>
    <row r="169" spans="1:11" ht="12" customHeight="1">
      <c r="B169" s="19"/>
      <c r="C169" s="19"/>
      <c r="D169" s="107"/>
      <c r="E169" s="112"/>
      <c r="F169" s="19"/>
      <c r="G169" s="19"/>
      <c r="H169" s="19"/>
      <c r="I169" s="19"/>
      <c r="J169" s="19"/>
      <c r="K169" s="233"/>
    </row>
    <row r="170" spans="1:11" ht="29.25" customHeight="1">
      <c r="A170" s="218" t="s">
        <v>268</v>
      </c>
      <c r="B170" s="24" t="s">
        <v>90</v>
      </c>
      <c r="C170" s="25" t="s">
        <v>265</v>
      </c>
      <c r="D170" s="26" t="s">
        <v>32</v>
      </c>
      <c r="E170" s="123"/>
      <c r="K170" s="233"/>
    </row>
    <row r="171" spans="1:11" ht="12" customHeight="1">
      <c r="A171" s="219" t="n" cm="1">
        <f t="array" ref="A171">IFERROR(INDEX('03.Muestra'!$B$8:$B$42,SMALL(IF("Página Web"='03.Muestra'!$D$8:$D$42,ROW('03.Muestra'!$B$8:$B$42)-MIN(ROW('03.Muestra'!$D$8:$D$42))+1,""),ROW()-170)),"")</f>
        <v>1.0</v>
      </c>
      <c r="B171" s="114" t="str" cm="1">
        <f t="array" ref="B171">IFERROR(INDEX('03.Muestra'!$C$8:$C$42,SMALL(IF("Página Web"='03.Muestra'!$D$8:$D$42,ROW('03.Muestra'!$C$8:$C$42)-MIN(ROW('03.Muestra'!$D$8:$D$42))+1,""),ROW()-170)),"")</f>
        <v>Home - PortCastelló</v>
      </c>
      <c r="C171" s="114" t="str" cm="1">
        <f t="array" ref="C171">IFERROR(INDEX('03.Muestra'!$F$8:$F$42,SMALL(IF("Página Web"='03.Muestra'!$D$8:$D$42,ROW('03.Muestra'!$F$8:$F$42)-MIN(ROW('03.Muestra'!$D$8:$D$42))+1,""),ROW()-170)),"")</f>
        <v>https://www.portcastello.com/</v>
      </c>
      <c r="D171" s="130" t="s">
        <v>33</v>
      </c>
      <c r="E171" s="107" t="str">
        <f t="shared" ref="E171:E205" si="8">IF(D171&lt;&gt;"",IF(AND(B171&lt;&gt;"",C171&lt;&gt;""),"","ERR"),"")</f>
        <v/>
      </c>
      <c r="F171" s="115" t="s">
        <v>33</v>
      </c>
      <c r="G171" s="116" t="s">
        <v>37</v>
      </c>
      <c r="H171" s="117" t="s">
        <v>35</v>
      </c>
      <c r="I171" s="118" t="s">
        <v>28</v>
      </c>
      <c r="J171" s="119" t="s">
        <v>26</v>
      </c>
      <c r="K171" s="226" t="s">
        <v>474</v>
      </c>
    </row>
    <row r="172" spans="1:11" ht="12" customHeight="1">
      <c r="A172" s="219" t="n" cm="1">
        <f t="array" ref="A172">IFERROR(INDEX('03.Muestra'!$B$8:$B$42,SMALL(IF("Página Web"='03.Muestra'!$D$8:$D$42,ROW('03.Muestra'!$B$8:$B$42)-MIN(ROW('03.Muestra'!$D$8:$D$42))+1,""),ROW()-170)),"")</f>
        <v>1.0</v>
      </c>
      <c r="B172" s="114" t="str" cm="1">
        <f t="array" ref="B172">IFERROR(INDEX('03.Muestra'!$C$8:$C$42,SMALL(IF("Página Web"='03.Muestra'!$D$8:$D$42,ROW('03.Muestra'!$C$8:$C$42)-MIN(ROW('03.Muestra'!$D$8:$D$42))+1,""),ROW()-170)),"")</f>
        <v>Home - PortCastelló</v>
      </c>
      <c r="C172" s="114" t="str" cm="1">
        <f t="array" ref="C172">IFERROR(INDEX('03.Muestra'!$F$8:$F$42,SMALL(IF("Página Web"='03.Muestra'!$D$8:$D$42,ROW('03.Muestra'!$F$8:$F$42)-MIN(ROW('03.Muestra'!$D$8:$D$42))+1,""),ROW()-170)),"")</f>
        <v>https://www.portcastello.com/</v>
      </c>
      <c r="D172" s="130" t="s">
        <v>33</v>
      </c>
      <c r="E172" s="107" t="str">
        <f t="shared" si="8"/>
        <v/>
      </c>
      <c r="F172" s="120" t="n">
        <f ca="1">COUNTIF($D171:INDIRECT("$D" &amp;  SUM(ROW()-1,'03.Muestra'!$D$45)-1),F171)</f>
        <v>33.0</v>
      </c>
      <c r="G172" s="120" t="n">
        <f ca="1">COUNTIF($D171:INDIRECT("$D" &amp;  SUM(ROW()-1,'03.Muestra'!$D$45)-1),G171)</f>
        <v>0.0</v>
      </c>
      <c r="H172" s="120" t="n">
        <f ca="1">COUNTIF($D171:INDIRECT("$D" &amp;  SUM(ROW()-1,'03.Muestra'!$D$45)-1),H171)</f>
        <v>0.0</v>
      </c>
      <c r="I172" s="120" t="n">
        <f ca="1">COUNTIF($D171:INDIRECT("$D" &amp;  SUM(ROW()-1,'03.Muestra'!$D$45)-1),I171)</f>
        <v>0.0</v>
      </c>
      <c r="J172" s="120" t="n">
        <f ca="1">COUNTIF($D171:INDIRECT("$D" &amp;  SUM(ROW()-1,'03.Muestra'!$D$45)-1),J171)</f>
        <v>0.0</v>
      </c>
      <c r="K172" s="227" t="n">
        <f ca="1">IF(COUNTIF('03.Muestra'!$D$8:$D$42,"Página Web")=0,0,COUNTBLANK($D171:INDIRECT("$D" &amp;  SUM(ROW()-1,COUNTIF('03.Muestra'!$D$8:$D$42,"Página Web"))-1)))</f>
        <v>0.0</v>
      </c>
    </row>
    <row r="173" spans="1:11" ht="12" customHeight="1">
      <c r="A173" s="219" t="n" cm="1">
        <f t="array" ref="A173">IFERROR(INDEX('03.Muestra'!$B$8:$B$42,SMALL(IF("Página Web"='03.Muestra'!$D$8:$D$42,ROW('03.Muestra'!$B$8:$B$42)-MIN(ROW('03.Muestra'!$D$8:$D$42))+1,""),ROW()-170)),"")</f>
        <v>1.0</v>
      </c>
      <c r="B173" s="114" t="str" cm="1">
        <f t="array" ref="B173">IFERROR(INDEX('03.Muestra'!$C$8:$C$42,SMALL(IF("Página Web"='03.Muestra'!$D$8:$D$42,ROW('03.Muestra'!$C$8:$C$42)-MIN(ROW('03.Muestra'!$D$8:$D$42))+1,""),ROW()-170)),"")</f>
        <v>Home - PortCastelló</v>
      </c>
      <c r="C173" s="114" t="str" cm="1">
        <f t="array" ref="C173">IFERROR(INDEX('03.Muestra'!$F$8:$F$42,SMALL(IF("Página Web"='03.Muestra'!$D$8:$D$42,ROW('03.Muestra'!$F$8:$F$42)-MIN(ROW('03.Muestra'!$D$8:$D$42))+1,""),ROW()-170)),"")</f>
        <v>https://www.portcastello.com/</v>
      </c>
      <c r="D173" s="130" t="s">
        <v>33</v>
      </c>
      <c r="E173" s="107" t="str">
        <f t="shared" si="8"/>
        <v/>
      </c>
      <c r="K173" s="233"/>
    </row>
    <row r="174" spans="1:11" ht="12" customHeight="1">
      <c r="A174" s="219" t="n" cm="1">
        <f t="array" ref="A174">IFERROR(INDEX('03.Muestra'!$B$8:$B$42,SMALL(IF("Página Web"='03.Muestra'!$D$8:$D$42,ROW('03.Muestra'!$B$8:$B$42)-MIN(ROW('03.Muestra'!$D$8:$D$42))+1,""),ROW()-170)),"")</f>
        <v>1.0</v>
      </c>
      <c r="B174" s="114" t="str" cm="1">
        <f t="array" ref="B174">IFERROR(INDEX('03.Muestra'!$C$8:$C$42,SMALL(IF("Página Web"='03.Muestra'!$D$8:$D$42,ROW('03.Muestra'!$C$8:$C$42)-MIN(ROW('03.Muestra'!$D$8:$D$42))+1,""),ROW()-170)),"")</f>
        <v>Home - PortCastelló</v>
      </c>
      <c r="C174" s="114" t="str" cm="1">
        <f t="array" ref="C174">IFERROR(INDEX('03.Muestra'!$F$8:$F$42,SMALL(IF("Página Web"='03.Muestra'!$D$8:$D$42,ROW('03.Muestra'!$F$8:$F$42)-MIN(ROW('03.Muestra'!$D$8:$D$42))+1,""),ROW()-170)),"")</f>
        <v>https://www.portcastello.com/</v>
      </c>
      <c r="D174" s="130" t="s">
        <v>33</v>
      </c>
      <c r="E174" s="107" t="str">
        <f t="shared" si="8"/>
        <v/>
      </c>
      <c r="G174" s="19"/>
      <c r="H174" s="19"/>
      <c r="I174" s="19"/>
      <c r="J174" s="19"/>
      <c r="K174" s="233"/>
    </row>
    <row r="175" spans="1:11" ht="12" customHeight="1">
      <c r="A175" s="219" t="n" cm="1">
        <f t="array" ref="A175">IFERROR(INDEX('03.Muestra'!$B$8:$B$42,SMALL(IF("Página Web"='03.Muestra'!$D$8:$D$42,ROW('03.Muestra'!$B$8:$B$42)-MIN(ROW('03.Muestra'!$D$8:$D$42))+1,""),ROW()-170)),"")</f>
        <v>1.0</v>
      </c>
      <c r="B175" s="114" t="str" cm="1">
        <f t="array" ref="B175">IFERROR(INDEX('03.Muestra'!$C$8:$C$42,SMALL(IF("Página Web"='03.Muestra'!$D$8:$D$42,ROW('03.Muestra'!$C$8:$C$42)-MIN(ROW('03.Muestra'!$D$8:$D$42))+1,""),ROW()-170)),"")</f>
        <v>Home - PortCastelló</v>
      </c>
      <c r="C175" s="114" t="str" cm="1">
        <f t="array" ref="C175">IFERROR(INDEX('03.Muestra'!$F$8:$F$42,SMALL(IF("Página Web"='03.Muestra'!$D$8:$D$42,ROW('03.Muestra'!$F$8:$F$42)-MIN(ROW('03.Muestra'!$D$8:$D$42))+1,""),ROW()-170)),"")</f>
        <v>https://www.portcastello.com/</v>
      </c>
      <c r="D175" s="130" t="s">
        <v>33</v>
      </c>
      <c r="E175" s="107" t="str">
        <f t="shared" si="8"/>
        <v/>
      </c>
      <c r="G175" s="19"/>
      <c r="H175" s="19"/>
      <c r="I175" s="19"/>
      <c r="J175" s="19"/>
      <c r="K175" s="233"/>
    </row>
    <row r="176" spans="1:11" ht="12" customHeight="1">
      <c r="A176" s="219" t="n" cm="1">
        <f t="array" ref="A176">IFERROR(INDEX('03.Muestra'!$B$8:$B$42,SMALL(IF("Página Web"='03.Muestra'!$D$8:$D$42,ROW('03.Muestra'!$B$8:$B$42)-MIN(ROW('03.Muestra'!$D$8:$D$42))+1,""),ROW()-170)),"")</f>
        <v>1.0</v>
      </c>
      <c r="B176" s="114" t="str" cm="1">
        <f t="array" ref="B176">IFERROR(INDEX('03.Muestra'!$C$8:$C$42,SMALL(IF("Página Web"='03.Muestra'!$D$8:$D$42,ROW('03.Muestra'!$C$8:$C$42)-MIN(ROW('03.Muestra'!$D$8:$D$42))+1,""),ROW()-170)),"")</f>
        <v>Home - PortCastelló</v>
      </c>
      <c r="C176" s="114" t="str" cm="1">
        <f t="array" ref="C176">IFERROR(INDEX('03.Muestra'!$F$8:$F$42,SMALL(IF("Página Web"='03.Muestra'!$D$8:$D$42,ROW('03.Muestra'!$F$8:$F$42)-MIN(ROW('03.Muestra'!$D$8:$D$42))+1,""),ROW()-170)),"")</f>
        <v>https://www.portcastello.com/</v>
      </c>
      <c r="D176" s="130" t="s">
        <v>33</v>
      </c>
      <c r="E176" s="107" t="str">
        <f t="shared" si="8"/>
        <v/>
      </c>
      <c r="G176" s="19"/>
      <c r="H176" s="19"/>
      <c r="I176" s="19"/>
      <c r="J176" s="19"/>
      <c r="K176" s="233"/>
    </row>
    <row r="177" spans="1:11" ht="12" customHeight="1">
      <c r="A177" s="219" t="n" cm="1">
        <f t="array" ref="A177">IFERROR(INDEX('03.Muestra'!$B$8:$B$42,SMALL(IF("Página Web"='03.Muestra'!$D$8:$D$42,ROW('03.Muestra'!$B$8:$B$42)-MIN(ROW('03.Muestra'!$D$8:$D$42))+1,""),ROW()-170)),"")</f>
        <v>1.0</v>
      </c>
      <c r="B177" s="114" t="str" cm="1">
        <f t="array" ref="B177">IFERROR(INDEX('03.Muestra'!$C$8:$C$42,SMALL(IF("Página Web"='03.Muestra'!$D$8:$D$42,ROW('03.Muestra'!$C$8:$C$42)-MIN(ROW('03.Muestra'!$D$8:$D$42))+1,""),ROW()-170)),"")</f>
        <v>Home - PortCastelló</v>
      </c>
      <c r="C177" s="114" t="str" cm="1">
        <f t="array" ref="C177">IFERROR(INDEX('03.Muestra'!$F$8:$F$42,SMALL(IF("Página Web"='03.Muestra'!$D$8:$D$42,ROW('03.Muestra'!$F$8:$F$42)-MIN(ROW('03.Muestra'!$D$8:$D$42))+1,""),ROW()-170)),"")</f>
        <v>https://www.portcastello.com/</v>
      </c>
      <c r="D177" s="130" t="s">
        <v>33</v>
      </c>
      <c r="E177" s="107" t="str">
        <f t="shared" si="8"/>
        <v/>
      </c>
      <c r="F177" s="19"/>
      <c r="G177" s="19"/>
      <c r="H177" s="19"/>
      <c r="I177" s="19"/>
      <c r="J177" s="19"/>
      <c r="K177" s="233"/>
    </row>
    <row r="178" spans="1:11" ht="12" customHeight="1">
      <c r="A178" s="219" t="n" cm="1">
        <f t="array" ref="A178">IFERROR(INDEX('03.Muestra'!$B$8:$B$42,SMALL(IF("Página Web"='03.Muestra'!$D$8:$D$42,ROW('03.Muestra'!$B$8:$B$42)-MIN(ROW('03.Muestra'!$D$8:$D$42))+1,""),ROW()-170)),"")</f>
        <v>1.0</v>
      </c>
      <c r="B178" s="114" t="str" cm="1">
        <f t="array" ref="B178">IFERROR(INDEX('03.Muestra'!$C$8:$C$42,SMALL(IF("Página Web"='03.Muestra'!$D$8:$D$42,ROW('03.Muestra'!$C$8:$C$42)-MIN(ROW('03.Muestra'!$D$8:$D$42))+1,""),ROW()-170)),"")</f>
        <v>Home - PortCastelló</v>
      </c>
      <c r="C178" s="114" t="str" cm="1">
        <f t="array" ref="C178">IFERROR(INDEX('03.Muestra'!$F$8:$F$42,SMALL(IF("Página Web"='03.Muestra'!$D$8:$D$42,ROW('03.Muestra'!$F$8:$F$42)-MIN(ROW('03.Muestra'!$D$8:$D$42))+1,""),ROW()-170)),"")</f>
        <v>https://www.portcastello.com/</v>
      </c>
      <c r="D178" s="130" t="s">
        <v>33</v>
      </c>
      <c r="E178" s="107" t="str">
        <f t="shared" si="8"/>
        <v/>
      </c>
      <c r="F178" s="19"/>
      <c r="G178" s="19"/>
      <c r="H178" s="19"/>
      <c r="I178" s="19"/>
      <c r="J178" s="19"/>
      <c r="K178" s="233"/>
    </row>
    <row r="179" spans="1:11" ht="12" customHeight="1">
      <c r="A179" s="219" t="n" cm="1">
        <f t="array" ref="A179">IFERROR(INDEX('03.Muestra'!$B$8:$B$42,SMALL(IF("Página Web"='03.Muestra'!$D$8:$D$42,ROW('03.Muestra'!$B$8:$B$42)-MIN(ROW('03.Muestra'!$D$8:$D$42))+1,""),ROW()-170)),"")</f>
        <v>1.0</v>
      </c>
      <c r="B179" s="114" t="str" cm="1">
        <f t="array" ref="B179">IFERROR(INDEX('03.Muestra'!$C$8:$C$42,SMALL(IF("Página Web"='03.Muestra'!$D$8:$D$42,ROW('03.Muestra'!$C$8:$C$42)-MIN(ROW('03.Muestra'!$D$8:$D$42))+1,""),ROW()-170)),"")</f>
        <v>Home - PortCastelló</v>
      </c>
      <c r="C179" s="114" t="str" cm="1">
        <f t="array" ref="C179">IFERROR(INDEX('03.Muestra'!$F$8:$F$42,SMALL(IF("Página Web"='03.Muestra'!$D$8:$D$42,ROW('03.Muestra'!$F$8:$F$42)-MIN(ROW('03.Muestra'!$D$8:$D$42))+1,""),ROW()-170)),"")</f>
        <v>https://www.portcastello.com/</v>
      </c>
      <c r="D179" s="130" t="s">
        <v>33</v>
      </c>
      <c r="E179" s="107" t="str">
        <f t="shared" si="8"/>
        <v/>
      </c>
      <c r="F179" s="19"/>
      <c r="G179" s="19"/>
      <c r="H179" s="19"/>
      <c r="I179" s="19"/>
      <c r="J179" s="19"/>
      <c r="K179" s="233"/>
    </row>
    <row r="180" spans="1:11" ht="12" customHeight="1">
      <c r="A180" s="219" t="n" cm="1">
        <f t="array" ref="A180">IFERROR(INDEX('03.Muestra'!$B$8:$B$42,SMALL(IF("Página Web"='03.Muestra'!$D$8:$D$42,ROW('03.Muestra'!$B$8:$B$42)-MIN(ROW('03.Muestra'!$D$8:$D$42))+1,""),ROW()-170)),"")</f>
        <v>1.0</v>
      </c>
      <c r="B180" s="114" t="str" cm="1">
        <f t="array" ref="B180">IFERROR(INDEX('03.Muestra'!$C$8:$C$42,SMALL(IF("Página Web"='03.Muestra'!$D$8:$D$42,ROW('03.Muestra'!$C$8:$C$42)-MIN(ROW('03.Muestra'!$D$8:$D$42))+1,""),ROW()-170)),"")</f>
        <v>Home - PortCastelló</v>
      </c>
      <c r="C180" s="114" t="str" cm="1">
        <f t="array" ref="C180">IFERROR(INDEX('03.Muestra'!$F$8:$F$42,SMALL(IF("Página Web"='03.Muestra'!$D$8:$D$42,ROW('03.Muestra'!$F$8:$F$42)-MIN(ROW('03.Muestra'!$D$8:$D$42))+1,""),ROW()-170)),"")</f>
        <v>https://www.portcastello.com/</v>
      </c>
      <c r="D180" s="130" t="s">
        <v>33</v>
      </c>
      <c r="E180" s="107" t="str">
        <f t="shared" si="8"/>
        <v/>
      </c>
      <c r="F180" s="19"/>
      <c r="G180" s="19"/>
      <c r="H180" s="19"/>
      <c r="I180" s="19"/>
      <c r="J180" s="19"/>
      <c r="K180" s="233"/>
    </row>
    <row r="181" spans="1:11" ht="12" customHeight="1">
      <c r="A181" s="219" t="n" cm="1">
        <f t="array" ref="A181">IFERROR(INDEX('03.Muestra'!$B$8:$B$42,SMALL(IF("Página Web"='03.Muestra'!$D$8:$D$42,ROW('03.Muestra'!$B$8:$B$42)-MIN(ROW('03.Muestra'!$D$8:$D$42))+1,""),ROW()-170)),"")</f>
        <v>1.0</v>
      </c>
      <c r="B181" s="114" t="str" cm="1">
        <f t="array" ref="B181">IFERROR(INDEX('03.Muestra'!$C$8:$C$42,SMALL(IF("Página Web"='03.Muestra'!$D$8:$D$42,ROW('03.Muestra'!$C$8:$C$42)-MIN(ROW('03.Muestra'!$D$8:$D$42))+1,""),ROW()-170)),"")</f>
        <v>Home - PortCastelló</v>
      </c>
      <c r="C181" s="114" t="str" cm="1">
        <f t="array" ref="C181">IFERROR(INDEX('03.Muestra'!$F$8:$F$42,SMALL(IF("Página Web"='03.Muestra'!$D$8:$D$42,ROW('03.Muestra'!$F$8:$F$42)-MIN(ROW('03.Muestra'!$D$8:$D$42))+1,""),ROW()-170)),"")</f>
        <v>https://www.portcastello.com/</v>
      </c>
      <c r="D181" s="130" t="s">
        <v>33</v>
      </c>
      <c r="E181" s="107" t="str">
        <f t="shared" si="8"/>
        <v/>
      </c>
      <c r="F181" s="19"/>
      <c r="G181" s="19"/>
      <c r="H181" s="19"/>
      <c r="I181" s="19"/>
      <c r="J181" s="19"/>
      <c r="K181" s="233"/>
    </row>
    <row r="182" spans="1:11" ht="12" customHeight="1">
      <c r="A182" s="219" t="n" cm="1">
        <f t="array" ref="A182">IFERROR(INDEX('03.Muestra'!$B$8:$B$42,SMALL(IF("Página Web"='03.Muestra'!$D$8:$D$42,ROW('03.Muestra'!$B$8:$B$42)-MIN(ROW('03.Muestra'!$D$8:$D$42))+1,""),ROW()-170)),"")</f>
        <v>1.0</v>
      </c>
      <c r="B182" s="114" t="str" cm="1">
        <f t="array" ref="B182">IFERROR(INDEX('03.Muestra'!$C$8:$C$42,SMALL(IF("Página Web"='03.Muestra'!$D$8:$D$42,ROW('03.Muestra'!$C$8:$C$42)-MIN(ROW('03.Muestra'!$D$8:$D$42))+1,""),ROW()-170)),"")</f>
        <v>Home - PortCastelló</v>
      </c>
      <c r="C182" s="114" t="str" cm="1">
        <f t="array" ref="C182">IFERROR(INDEX('03.Muestra'!$F$8:$F$42,SMALL(IF("Página Web"='03.Muestra'!$D$8:$D$42,ROW('03.Muestra'!$F$8:$F$42)-MIN(ROW('03.Muestra'!$D$8:$D$42))+1,""),ROW()-170)),"")</f>
        <v>https://www.portcastello.com/</v>
      </c>
      <c r="D182" s="130" t="s">
        <v>33</v>
      </c>
      <c r="E182" s="107" t="str">
        <f t="shared" si="8"/>
        <v/>
      </c>
      <c r="F182" s="19"/>
      <c r="G182" s="19"/>
      <c r="H182" s="19"/>
      <c r="I182" s="19"/>
      <c r="J182" s="19"/>
      <c r="K182" s="233"/>
    </row>
    <row r="183" spans="1:11" ht="12" customHeight="1">
      <c r="A183" s="219" t="n" cm="1">
        <f t="array" ref="A183">IFERROR(INDEX('03.Muestra'!$B$8:$B$42,SMALL(IF("Página Web"='03.Muestra'!$D$8:$D$42,ROW('03.Muestra'!$B$8:$B$42)-MIN(ROW('03.Muestra'!$D$8:$D$42))+1,""),ROW()-170)),"")</f>
        <v>1.0</v>
      </c>
      <c r="B183" s="114" t="str" cm="1">
        <f t="array" ref="B183">IFERROR(INDEX('03.Muestra'!$C$8:$C$42,SMALL(IF("Página Web"='03.Muestra'!$D$8:$D$42,ROW('03.Muestra'!$C$8:$C$42)-MIN(ROW('03.Muestra'!$D$8:$D$42))+1,""),ROW()-170)),"")</f>
        <v>Home - PortCastelló</v>
      </c>
      <c r="C183" s="114" t="str" cm="1">
        <f t="array" ref="C183">IFERROR(INDEX('03.Muestra'!$F$8:$F$42,SMALL(IF("Página Web"='03.Muestra'!$D$8:$D$42,ROW('03.Muestra'!$F$8:$F$42)-MIN(ROW('03.Muestra'!$D$8:$D$42))+1,""),ROW()-170)),"")</f>
        <v>https://www.portcastello.com/</v>
      </c>
      <c r="D183" s="130" t="s">
        <v>33</v>
      </c>
      <c r="E183" s="107" t="str">
        <f t="shared" si="8"/>
        <v/>
      </c>
      <c r="F183" s="19"/>
      <c r="G183" s="19"/>
      <c r="H183" s="19"/>
      <c r="I183" s="19"/>
      <c r="J183" s="19"/>
      <c r="K183" s="233"/>
    </row>
    <row r="184" spans="1:11" ht="12" customHeight="1">
      <c r="A184" s="219" t="n" cm="1">
        <f t="array" ref="A184">IFERROR(INDEX('03.Muestra'!$B$8:$B$42,SMALL(IF("Página Web"='03.Muestra'!$D$8:$D$42,ROW('03.Muestra'!$B$8:$B$42)-MIN(ROW('03.Muestra'!$D$8:$D$42))+1,""),ROW()-170)),"")</f>
        <v>1.0</v>
      </c>
      <c r="B184" s="114" t="str" cm="1">
        <f t="array" ref="B184">IFERROR(INDEX('03.Muestra'!$C$8:$C$42,SMALL(IF("Página Web"='03.Muestra'!$D$8:$D$42,ROW('03.Muestra'!$C$8:$C$42)-MIN(ROW('03.Muestra'!$D$8:$D$42))+1,""),ROW()-170)),"")</f>
        <v>Home - PortCastelló</v>
      </c>
      <c r="C184" s="114" t="str" cm="1">
        <f t="array" ref="C184">IFERROR(INDEX('03.Muestra'!$F$8:$F$42,SMALL(IF("Página Web"='03.Muestra'!$D$8:$D$42,ROW('03.Muestra'!$F$8:$F$42)-MIN(ROW('03.Muestra'!$D$8:$D$42))+1,""),ROW()-170)),"")</f>
        <v>https://www.portcastello.com/</v>
      </c>
      <c r="D184" s="130" t="s">
        <v>33</v>
      </c>
      <c r="E184" s="107" t="str">
        <f t="shared" si="8"/>
        <v/>
      </c>
      <c r="F184" s="19"/>
      <c r="G184" s="19"/>
      <c r="H184" s="19"/>
      <c r="I184" s="19"/>
      <c r="J184" s="19"/>
      <c r="K184" s="233"/>
    </row>
    <row r="185" spans="1:11" ht="12" customHeight="1">
      <c r="A185" s="219" t="n" cm="1">
        <f t="array" ref="A185">IFERROR(INDEX('03.Muestra'!$B$8:$B$42,SMALL(IF("Página Web"='03.Muestra'!$D$8:$D$42,ROW('03.Muestra'!$B$8:$B$42)-MIN(ROW('03.Muestra'!$D$8:$D$42))+1,""),ROW()-170)),"")</f>
        <v>1.0</v>
      </c>
      <c r="B185" s="114" t="str" cm="1">
        <f t="array" ref="B185">IFERROR(INDEX('03.Muestra'!$C$8:$C$42,SMALL(IF("Página Web"='03.Muestra'!$D$8:$D$42,ROW('03.Muestra'!$C$8:$C$42)-MIN(ROW('03.Muestra'!$D$8:$D$42))+1,""),ROW()-170)),"")</f>
        <v>Home - PortCastelló</v>
      </c>
      <c r="C185" s="114" t="str" cm="1">
        <f t="array" ref="C185">IFERROR(INDEX('03.Muestra'!$F$8:$F$42,SMALL(IF("Página Web"='03.Muestra'!$D$8:$D$42,ROW('03.Muestra'!$F$8:$F$42)-MIN(ROW('03.Muestra'!$D$8:$D$42))+1,""),ROW()-170)),"")</f>
        <v>https://www.portcastello.com/</v>
      </c>
      <c r="D185" s="130" t="s">
        <v>33</v>
      </c>
      <c r="E185" s="107" t="str">
        <f t="shared" si="8"/>
        <v/>
      </c>
      <c r="F185" s="19"/>
      <c r="G185" s="19"/>
      <c r="H185" s="19"/>
      <c r="I185" s="19"/>
      <c r="J185" s="19"/>
      <c r="K185" s="233"/>
    </row>
    <row r="186" spans="1:11" ht="12" customHeight="1">
      <c r="A186" s="219" t="n" cm="1">
        <f t="array" ref="A186">IFERROR(INDEX('03.Muestra'!$B$8:$B$42,SMALL(IF("Página Web"='03.Muestra'!$D$8:$D$42,ROW('03.Muestra'!$B$8:$B$42)-MIN(ROW('03.Muestra'!$D$8:$D$42))+1,""),ROW()-170)),"")</f>
        <v>1.0</v>
      </c>
      <c r="B186" s="114" t="str" cm="1">
        <f t="array" ref="B186">IFERROR(INDEX('03.Muestra'!$C$8:$C$42,SMALL(IF("Página Web"='03.Muestra'!$D$8:$D$42,ROW('03.Muestra'!$C$8:$C$42)-MIN(ROW('03.Muestra'!$D$8:$D$42))+1,""),ROW()-170)),"")</f>
        <v>Home - PortCastelló</v>
      </c>
      <c r="C186" s="114" t="str" cm="1">
        <f t="array" ref="C186">IFERROR(INDEX('03.Muestra'!$F$8:$F$42,SMALL(IF("Página Web"='03.Muestra'!$D$8:$D$42,ROW('03.Muestra'!$F$8:$F$42)-MIN(ROW('03.Muestra'!$D$8:$D$42))+1,""),ROW()-170)),"")</f>
        <v>https://www.portcastello.com/</v>
      </c>
      <c r="D186" s="130" t="s">
        <v>33</v>
      </c>
      <c r="E186" s="107" t="str">
        <f t="shared" si="8"/>
        <v/>
      </c>
      <c r="F186" s="19"/>
      <c r="G186" s="19"/>
      <c r="H186" s="19"/>
      <c r="I186" s="19"/>
      <c r="J186" s="19"/>
      <c r="K186" s="233"/>
    </row>
    <row r="187" spans="1:11" ht="12" customHeight="1">
      <c r="A187" s="219" t="n" cm="1">
        <f t="array" ref="A187">IFERROR(INDEX('03.Muestra'!$B$8:$B$42,SMALL(IF("Página Web"='03.Muestra'!$D$8:$D$42,ROW('03.Muestra'!$B$8:$B$42)-MIN(ROW('03.Muestra'!$D$8:$D$42))+1,""),ROW()-170)),"")</f>
        <v>1.0</v>
      </c>
      <c r="B187" s="114" t="str" cm="1">
        <f t="array" ref="B187">IFERROR(INDEX('03.Muestra'!$C$8:$C$42,SMALL(IF("Página Web"='03.Muestra'!$D$8:$D$42,ROW('03.Muestra'!$C$8:$C$42)-MIN(ROW('03.Muestra'!$D$8:$D$42))+1,""),ROW()-170)),"")</f>
        <v>Home - PortCastelló</v>
      </c>
      <c r="C187" s="114" t="str" cm="1">
        <f t="array" ref="C187">IFERROR(INDEX('03.Muestra'!$F$8:$F$42,SMALL(IF("Página Web"='03.Muestra'!$D$8:$D$42,ROW('03.Muestra'!$F$8:$F$42)-MIN(ROW('03.Muestra'!$D$8:$D$42))+1,""),ROW()-170)),"")</f>
        <v>https://www.portcastello.com/</v>
      </c>
      <c r="D187" s="130" t="s">
        <v>33</v>
      </c>
      <c r="E187" s="107" t="str">
        <f t="shared" si="8"/>
        <v/>
      </c>
      <c r="F187" s="19"/>
      <c r="G187" s="19"/>
      <c r="H187" s="19"/>
      <c r="I187" s="19"/>
      <c r="J187" s="19"/>
      <c r="K187" s="233"/>
    </row>
    <row r="188" spans="1:11" ht="12" customHeight="1">
      <c r="A188" s="219" t="n" cm="1">
        <f t="array" ref="A188">IFERROR(INDEX('03.Muestra'!$B$8:$B$42,SMALL(IF("Página Web"='03.Muestra'!$D$8:$D$42,ROW('03.Muestra'!$B$8:$B$42)-MIN(ROW('03.Muestra'!$D$8:$D$42))+1,""),ROW()-170)),"")</f>
        <v>1.0</v>
      </c>
      <c r="B188" s="114" t="str" cm="1">
        <f t="array" ref="B188">IFERROR(INDEX('03.Muestra'!$C$8:$C$42,SMALL(IF("Página Web"='03.Muestra'!$D$8:$D$42,ROW('03.Muestra'!$C$8:$C$42)-MIN(ROW('03.Muestra'!$D$8:$D$42))+1,""),ROW()-170)),"")</f>
        <v>Home - PortCastelló</v>
      </c>
      <c r="C188" s="114" t="str" cm="1">
        <f t="array" ref="C188">IFERROR(INDEX('03.Muestra'!$F$8:$F$42,SMALL(IF("Página Web"='03.Muestra'!$D$8:$D$42,ROW('03.Muestra'!$F$8:$F$42)-MIN(ROW('03.Muestra'!$D$8:$D$42))+1,""),ROW()-170)),"")</f>
        <v>https://www.portcastello.com/</v>
      </c>
      <c r="D188" s="130" t="s">
        <v>33</v>
      </c>
      <c r="E188" s="107" t="str">
        <f t="shared" si="8"/>
        <v/>
      </c>
      <c r="F188" s="19"/>
      <c r="G188" s="19"/>
      <c r="H188" s="19"/>
      <c r="I188" s="19"/>
      <c r="J188" s="19"/>
      <c r="K188" s="233"/>
    </row>
    <row r="189" spans="1:11" ht="12" customHeight="1">
      <c r="A189" s="219" t="n" cm="1">
        <f t="array" ref="A189">IFERROR(INDEX('03.Muestra'!$B$8:$B$42,SMALL(IF("Página Web"='03.Muestra'!$D$8:$D$42,ROW('03.Muestra'!$B$8:$B$42)-MIN(ROW('03.Muestra'!$D$8:$D$42))+1,""),ROW()-170)),"")</f>
        <v>1.0</v>
      </c>
      <c r="B189" s="114" t="str" cm="1">
        <f t="array" ref="B189">IFERROR(INDEX('03.Muestra'!$C$8:$C$42,SMALL(IF("Página Web"='03.Muestra'!$D$8:$D$42,ROW('03.Muestra'!$C$8:$C$42)-MIN(ROW('03.Muestra'!$D$8:$D$42))+1,""),ROW()-170)),"")</f>
        <v>Home - PortCastelló</v>
      </c>
      <c r="C189" s="114" t="str" cm="1">
        <f t="array" ref="C189">IFERROR(INDEX('03.Muestra'!$F$8:$F$42,SMALL(IF("Página Web"='03.Muestra'!$D$8:$D$42,ROW('03.Muestra'!$F$8:$F$42)-MIN(ROW('03.Muestra'!$D$8:$D$42))+1,""),ROW()-170)),"")</f>
        <v>https://www.portcastello.com/</v>
      </c>
      <c r="D189" s="130" t="s">
        <v>33</v>
      </c>
      <c r="E189" s="107" t="str">
        <f t="shared" si="8"/>
        <v/>
      </c>
      <c r="F189" s="19"/>
      <c r="G189" s="19"/>
      <c r="H189" s="19"/>
      <c r="I189" s="19"/>
      <c r="J189" s="19"/>
      <c r="K189" s="233"/>
    </row>
    <row r="190" spans="1:11" ht="12" customHeight="1">
      <c r="A190" s="219" t="n" cm="1">
        <f t="array" ref="A190">IFERROR(INDEX('03.Muestra'!$B$8:$B$42,SMALL(IF("Página Web"='03.Muestra'!$D$8:$D$42,ROW('03.Muestra'!$B$8:$B$42)-MIN(ROW('03.Muestra'!$D$8:$D$42))+1,""),ROW()-170)),"")</f>
        <v>1.0</v>
      </c>
      <c r="B190" s="114" t="str" cm="1">
        <f t="array" ref="B190">IFERROR(INDEX('03.Muestra'!$C$8:$C$42,SMALL(IF("Página Web"='03.Muestra'!$D$8:$D$42,ROW('03.Muestra'!$C$8:$C$42)-MIN(ROW('03.Muestra'!$D$8:$D$42))+1,""),ROW()-170)),"")</f>
        <v>Home - PortCastelló</v>
      </c>
      <c r="C190" s="114" t="str" cm="1">
        <f t="array" ref="C190">IFERROR(INDEX('03.Muestra'!$F$8:$F$42,SMALL(IF("Página Web"='03.Muestra'!$D$8:$D$42,ROW('03.Muestra'!$F$8:$F$42)-MIN(ROW('03.Muestra'!$D$8:$D$42))+1,""),ROW()-170)),"")</f>
        <v>https://www.portcastello.com/</v>
      </c>
      <c r="D190" s="130" t="s">
        <v>33</v>
      </c>
      <c r="E190" s="107" t="str">
        <f t="shared" si="8"/>
        <v/>
      </c>
      <c r="F190" s="19"/>
      <c r="G190" s="19"/>
      <c r="H190" s="19"/>
      <c r="I190" s="19"/>
      <c r="J190" s="19"/>
      <c r="K190" s="233"/>
    </row>
    <row r="191" spans="1:11" ht="12" customHeight="1">
      <c r="A191" s="219" t="n" cm="1">
        <f t="array" ref="A191">IFERROR(INDEX('03.Muestra'!$B$8:$B$42,SMALL(IF("Página Web"='03.Muestra'!$D$8:$D$42,ROW('03.Muestra'!$B$8:$B$42)-MIN(ROW('03.Muestra'!$D$8:$D$42))+1,""),ROW()-170)),"")</f>
        <v>1.0</v>
      </c>
      <c r="B191" s="114" t="str" cm="1">
        <f t="array" ref="B191">IFERROR(INDEX('03.Muestra'!$C$8:$C$42,SMALL(IF("Página Web"='03.Muestra'!$D$8:$D$42,ROW('03.Muestra'!$C$8:$C$42)-MIN(ROW('03.Muestra'!$D$8:$D$42))+1,""),ROW()-170)),"")</f>
        <v>Home - PortCastelló</v>
      </c>
      <c r="C191" s="114" t="str" cm="1">
        <f t="array" ref="C191">IFERROR(INDEX('03.Muestra'!$F$8:$F$42,SMALL(IF("Página Web"='03.Muestra'!$D$8:$D$42,ROW('03.Muestra'!$F$8:$F$42)-MIN(ROW('03.Muestra'!$D$8:$D$42))+1,""),ROW()-170)),"")</f>
        <v>https://www.portcastello.com/</v>
      </c>
      <c r="D191" s="130" t="s">
        <v>33</v>
      </c>
      <c r="E191" s="107" t="str">
        <f t="shared" si="8"/>
        <v/>
      </c>
      <c r="F191" s="19"/>
      <c r="G191" s="19"/>
      <c r="H191" s="19"/>
      <c r="I191" s="19"/>
      <c r="J191" s="19"/>
      <c r="K191" s="233"/>
    </row>
    <row r="192" spans="1:11" ht="12" customHeight="1">
      <c r="A192" s="219" t="n" cm="1">
        <f t="array" ref="A192">IFERROR(INDEX('03.Muestra'!$B$8:$B$42,SMALL(IF("Página Web"='03.Muestra'!$D$8:$D$42,ROW('03.Muestra'!$B$8:$B$42)-MIN(ROW('03.Muestra'!$D$8:$D$42))+1,""),ROW()-170)),"")</f>
        <v>1.0</v>
      </c>
      <c r="B192" s="114" t="str" cm="1">
        <f t="array" ref="B192">IFERROR(INDEX('03.Muestra'!$C$8:$C$42,SMALL(IF("Página Web"='03.Muestra'!$D$8:$D$42,ROW('03.Muestra'!$C$8:$C$42)-MIN(ROW('03.Muestra'!$D$8:$D$42))+1,""),ROW()-170)),"")</f>
        <v>Home - PortCastelló</v>
      </c>
      <c r="C192" s="114" t="str" cm="1">
        <f t="array" ref="C192">IFERROR(INDEX('03.Muestra'!$F$8:$F$42,SMALL(IF("Página Web"='03.Muestra'!$D$8:$D$42,ROW('03.Muestra'!$F$8:$F$42)-MIN(ROW('03.Muestra'!$D$8:$D$42))+1,""),ROW()-170)),"")</f>
        <v>https://www.portcastello.com/</v>
      </c>
      <c r="D192" s="130" t="s">
        <v>33</v>
      </c>
      <c r="E192" s="107" t="str">
        <f t="shared" si="8"/>
        <v/>
      </c>
      <c r="F192" s="19"/>
      <c r="G192" s="19"/>
      <c r="H192" s="19"/>
      <c r="I192" s="19"/>
      <c r="J192" s="19"/>
      <c r="K192" s="233"/>
    </row>
    <row r="193" spans="1:11" ht="12" customHeight="1">
      <c r="A193" s="219" t="n" cm="1">
        <f t="array" ref="A193">IFERROR(INDEX('03.Muestra'!$B$8:$B$42,SMALL(IF("Página Web"='03.Muestra'!$D$8:$D$42,ROW('03.Muestra'!$B$8:$B$42)-MIN(ROW('03.Muestra'!$D$8:$D$42))+1,""),ROW()-170)),"")</f>
        <v>1.0</v>
      </c>
      <c r="B193" s="114" t="str" cm="1">
        <f t="array" ref="B193">IFERROR(INDEX('03.Muestra'!$C$8:$C$42,SMALL(IF("Página Web"='03.Muestra'!$D$8:$D$42,ROW('03.Muestra'!$C$8:$C$42)-MIN(ROW('03.Muestra'!$D$8:$D$42))+1,""),ROW()-170)),"")</f>
        <v>Home - PortCastelló</v>
      </c>
      <c r="C193" s="114" t="str" cm="1">
        <f t="array" ref="C193">IFERROR(INDEX('03.Muestra'!$F$8:$F$42,SMALL(IF("Página Web"='03.Muestra'!$D$8:$D$42,ROW('03.Muestra'!$F$8:$F$42)-MIN(ROW('03.Muestra'!$D$8:$D$42))+1,""),ROW()-170)),"")</f>
        <v>https://www.portcastello.com/</v>
      </c>
      <c r="D193" s="130" t="s">
        <v>33</v>
      </c>
      <c r="E193" s="107" t="str">
        <f t="shared" si="8"/>
        <v/>
      </c>
      <c r="F193" s="19"/>
      <c r="G193" s="19"/>
      <c r="H193" s="19"/>
      <c r="I193" s="19"/>
      <c r="J193" s="19"/>
      <c r="K193" s="233"/>
    </row>
    <row r="194" spans="1:11" ht="12" customHeight="1">
      <c r="A194" s="219" t="n" cm="1">
        <f t="array" ref="A194">IFERROR(INDEX('03.Muestra'!$B$8:$B$42,SMALL(IF("Página Web"='03.Muestra'!$D$8:$D$42,ROW('03.Muestra'!$B$8:$B$42)-MIN(ROW('03.Muestra'!$D$8:$D$42))+1,""),ROW()-170)),"")</f>
        <v>1.0</v>
      </c>
      <c r="B194" s="114" t="str" cm="1">
        <f t="array" ref="B194">IFERROR(INDEX('03.Muestra'!$C$8:$C$42,SMALL(IF("Página Web"='03.Muestra'!$D$8:$D$42,ROW('03.Muestra'!$C$8:$C$42)-MIN(ROW('03.Muestra'!$D$8:$D$42))+1,""),ROW()-170)),"")</f>
        <v>Home - PortCastelló</v>
      </c>
      <c r="C194" s="114" t="str" cm="1">
        <f t="array" ref="C194">IFERROR(INDEX('03.Muestra'!$F$8:$F$42,SMALL(IF("Página Web"='03.Muestra'!$D$8:$D$42,ROW('03.Muestra'!$F$8:$F$42)-MIN(ROW('03.Muestra'!$D$8:$D$42))+1,""),ROW()-170)),"")</f>
        <v>https://www.portcastello.com/</v>
      </c>
      <c r="D194" s="130" t="s">
        <v>33</v>
      </c>
      <c r="E194" s="107" t="str">
        <f t="shared" si="8"/>
        <v/>
      </c>
      <c r="F194" s="19"/>
      <c r="G194" s="19"/>
      <c r="H194" s="19"/>
      <c r="I194" s="19"/>
      <c r="J194" s="19"/>
      <c r="K194" s="233"/>
    </row>
    <row r="195" spans="1:11" ht="12" customHeight="1">
      <c r="A195" s="219" t="n" cm="1">
        <f t="array" ref="A195">IFERROR(INDEX('03.Muestra'!$B$8:$B$42,SMALL(IF("Página Web"='03.Muestra'!$D$8:$D$42,ROW('03.Muestra'!$B$8:$B$42)-MIN(ROW('03.Muestra'!$D$8:$D$42))+1,""),ROW()-170)),"")</f>
        <v>1.0</v>
      </c>
      <c r="B195" s="114" t="str" cm="1">
        <f t="array" ref="B195">IFERROR(INDEX('03.Muestra'!$C$8:$C$42,SMALL(IF("Página Web"='03.Muestra'!$D$8:$D$42,ROW('03.Muestra'!$C$8:$C$42)-MIN(ROW('03.Muestra'!$D$8:$D$42))+1,""),ROW()-170)),"")</f>
        <v>Home - PortCastelló</v>
      </c>
      <c r="C195" s="114" t="str" cm="1">
        <f t="array" ref="C195">IFERROR(INDEX('03.Muestra'!$F$8:$F$42,SMALL(IF("Página Web"='03.Muestra'!$D$8:$D$42,ROW('03.Muestra'!$F$8:$F$42)-MIN(ROW('03.Muestra'!$D$8:$D$42))+1,""),ROW()-170)),"")</f>
        <v>https://www.portcastello.com/</v>
      </c>
      <c r="D195" s="130" t="s">
        <v>33</v>
      </c>
      <c r="E195" s="107" t="str">
        <f t="shared" si="8"/>
        <v/>
      </c>
      <c r="F195" s="19"/>
      <c r="G195" s="19"/>
      <c r="H195" s="19"/>
      <c r="I195" s="19"/>
      <c r="J195" s="19"/>
      <c r="K195" s="233"/>
    </row>
    <row r="196" spans="1:11" ht="12" customHeight="1">
      <c r="A196" s="219" t="n" cm="1">
        <f t="array" ref="A196">IFERROR(INDEX('03.Muestra'!$B$8:$B$42,SMALL(IF("Página Web"='03.Muestra'!$D$8:$D$42,ROW('03.Muestra'!$B$8:$B$42)-MIN(ROW('03.Muestra'!$D$8:$D$42))+1,""),ROW()-170)),"")</f>
        <v>1.0</v>
      </c>
      <c r="B196" s="114" t="str" cm="1">
        <f t="array" ref="B196">IFERROR(INDEX('03.Muestra'!$C$8:$C$42,SMALL(IF("Página Web"='03.Muestra'!$D$8:$D$42,ROW('03.Muestra'!$C$8:$C$42)-MIN(ROW('03.Muestra'!$D$8:$D$42))+1,""),ROW()-170)),"")</f>
        <v>Home - PortCastelló</v>
      </c>
      <c r="C196" s="114" t="str" cm="1">
        <f t="array" ref="C196">IFERROR(INDEX('03.Muestra'!$F$8:$F$42,SMALL(IF("Página Web"='03.Muestra'!$D$8:$D$42,ROW('03.Muestra'!$F$8:$F$42)-MIN(ROW('03.Muestra'!$D$8:$D$42))+1,""),ROW()-170)),"")</f>
        <v>https://www.portcastello.com/</v>
      </c>
      <c r="D196" s="130" t="s">
        <v>33</v>
      </c>
      <c r="E196" s="107" t="str">
        <f t="shared" si="8"/>
        <v/>
      </c>
      <c r="F196" s="19"/>
      <c r="G196" s="19"/>
      <c r="H196" s="19"/>
      <c r="I196" s="19"/>
      <c r="J196" s="19"/>
      <c r="K196" s="233"/>
    </row>
    <row r="197" spans="1:11" ht="12" customHeight="1">
      <c r="A197" s="219" t="n" cm="1">
        <f t="array" ref="A197">IFERROR(INDEX('03.Muestra'!$B$8:$B$42,SMALL(IF("Página Web"='03.Muestra'!$D$8:$D$42,ROW('03.Muestra'!$B$8:$B$42)-MIN(ROW('03.Muestra'!$D$8:$D$42))+1,""),ROW()-170)),"")</f>
        <v>1.0</v>
      </c>
      <c r="B197" s="114" t="str" cm="1">
        <f t="array" ref="B197">IFERROR(INDEX('03.Muestra'!$C$8:$C$42,SMALL(IF("Página Web"='03.Muestra'!$D$8:$D$42,ROW('03.Muestra'!$C$8:$C$42)-MIN(ROW('03.Muestra'!$D$8:$D$42))+1,""),ROW()-170)),"")</f>
        <v>Home - PortCastelló</v>
      </c>
      <c r="C197" s="114" t="str" cm="1">
        <f t="array" ref="C197">IFERROR(INDEX('03.Muestra'!$F$8:$F$42,SMALL(IF("Página Web"='03.Muestra'!$D$8:$D$42,ROW('03.Muestra'!$F$8:$F$42)-MIN(ROW('03.Muestra'!$D$8:$D$42))+1,""),ROW()-170)),"")</f>
        <v>https://www.portcastello.com/</v>
      </c>
      <c r="D197" s="130" t="s">
        <v>33</v>
      </c>
      <c r="E197" s="107" t="str">
        <f t="shared" si="8"/>
        <v/>
      </c>
      <c r="F197" s="19"/>
      <c r="G197" s="19"/>
      <c r="H197" s="19"/>
      <c r="I197" s="19"/>
      <c r="J197" s="19"/>
      <c r="K197" s="233"/>
    </row>
    <row r="198" spans="1:11" ht="12" customHeight="1">
      <c r="A198" s="219" t="n" cm="1">
        <f t="array" ref="A198">IFERROR(INDEX('03.Muestra'!$B$8:$B$42,SMALL(IF("Página Web"='03.Muestra'!$D$8:$D$42,ROW('03.Muestra'!$B$8:$B$42)-MIN(ROW('03.Muestra'!$D$8:$D$42))+1,""),ROW()-170)),"")</f>
        <v>1.0</v>
      </c>
      <c r="B198" s="114" t="str" cm="1">
        <f t="array" ref="B198">IFERROR(INDEX('03.Muestra'!$C$8:$C$42,SMALL(IF("Página Web"='03.Muestra'!$D$8:$D$42,ROW('03.Muestra'!$C$8:$C$42)-MIN(ROW('03.Muestra'!$D$8:$D$42))+1,""),ROW()-170)),"")</f>
        <v>Home - PortCastelló</v>
      </c>
      <c r="C198" s="114" t="str" cm="1">
        <f t="array" ref="C198">IFERROR(INDEX('03.Muestra'!$F$8:$F$42,SMALL(IF("Página Web"='03.Muestra'!$D$8:$D$42,ROW('03.Muestra'!$F$8:$F$42)-MIN(ROW('03.Muestra'!$D$8:$D$42))+1,""),ROW()-170)),"")</f>
        <v>https://www.portcastello.com/</v>
      </c>
      <c r="D198" s="130" t="s">
        <v>33</v>
      </c>
      <c r="E198" s="107" t="str">
        <f t="shared" si="8"/>
        <v/>
      </c>
      <c r="G198" s="19"/>
      <c r="H198" s="19"/>
      <c r="I198" s="19"/>
      <c r="J198" s="19"/>
      <c r="K198" s="233"/>
    </row>
    <row r="199" spans="1:11" ht="12" customHeight="1">
      <c r="A199" s="219" t="n" cm="1">
        <f t="array" ref="A199">IFERROR(INDEX('03.Muestra'!$B$8:$B$42,SMALL(IF("Página Web"='03.Muestra'!$D$8:$D$42,ROW('03.Muestra'!$B$8:$B$42)-MIN(ROW('03.Muestra'!$D$8:$D$42))+1,""),ROW()-170)),"")</f>
        <v>1.0</v>
      </c>
      <c r="B199" s="114" t="str" cm="1">
        <f t="array" ref="B199">IFERROR(INDEX('03.Muestra'!$C$8:$C$42,SMALL(IF("Página Web"='03.Muestra'!$D$8:$D$42,ROW('03.Muestra'!$C$8:$C$42)-MIN(ROW('03.Muestra'!$D$8:$D$42))+1,""),ROW()-170)),"")</f>
        <v>Home - PortCastelló</v>
      </c>
      <c r="C199" s="114" t="str" cm="1">
        <f t="array" ref="C199">IFERROR(INDEX('03.Muestra'!$F$8:$F$42,SMALL(IF("Página Web"='03.Muestra'!$D$8:$D$42,ROW('03.Muestra'!$F$8:$F$42)-MIN(ROW('03.Muestra'!$D$8:$D$42))+1,""),ROW()-170)),"")</f>
        <v>https://www.portcastello.com/</v>
      </c>
      <c r="D199" s="130" t="s">
        <v>33</v>
      </c>
      <c r="E199" s="107" t="str">
        <f t="shared" si="8"/>
        <v/>
      </c>
      <c r="F199" s="124"/>
      <c r="G199" s="19"/>
      <c r="H199" s="19"/>
      <c r="I199" s="19"/>
      <c r="J199" s="19"/>
      <c r="K199" s="233"/>
    </row>
    <row r="200" spans="1:11" ht="12" customHeight="1">
      <c r="A200" s="219" t="n" cm="1">
        <f t="array" ref="A200">IFERROR(INDEX('03.Muestra'!$B$8:$B$42,SMALL(IF("Página Web"='03.Muestra'!$D$8:$D$42,ROW('03.Muestra'!$B$8:$B$42)-MIN(ROW('03.Muestra'!$D$8:$D$42))+1,""),ROW()-170)),"")</f>
        <v>1.0</v>
      </c>
      <c r="B200" s="114" t="str" cm="1">
        <f t="array" ref="B200">IFERROR(INDEX('03.Muestra'!$C$8:$C$42,SMALL(IF("Página Web"='03.Muestra'!$D$8:$D$42,ROW('03.Muestra'!$C$8:$C$42)-MIN(ROW('03.Muestra'!$D$8:$D$42))+1,""),ROW()-170)),"")</f>
        <v>Home - PortCastelló</v>
      </c>
      <c r="C200" s="114" t="str" cm="1">
        <f t="array" ref="C200">IFERROR(INDEX('03.Muestra'!$F$8:$F$42,SMALL(IF("Página Web"='03.Muestra'!$D$8:$D$42,ROW('03.Muestra'!$F$8:$F$42)-MIN(ROW('03.Muestra'!$D$8:$D$42))+1,""),ROW()-170)),"")</f>
        <v>https://www.portcastello.com/</v>
      </c>
      <c r="D200" s="130" t="s">
        <v>33</v>
      </c>
      <c r="E200" s="107" t="str">
        <f t="shared" si="8"/>
        <v/>
      </c>
      <c r="F200" s="124"/>
      <c r="G200" s="19"/>
      <c r="H200" s="19"/>
      <c r="I200" s="19"/>
      <c r="J200" s="19"/>
      <c r="K200" s="233"/>
    </row>
    <row r="201" spans="1:11" ht="12" customHeight="1">
      <c r="A201" s="219" t="n" cm="1">
        <f t="array" ref="A201">IFERROR(INDEX('03.Muestra'!$B$8:$B$42,SMALL(IF("Página Web"='03.Muestra'!$D$8:$D$42,ROW('03.Muestra'!$B$8:$B$42)-MIN(ROW('03.Muestra'!$D$8:$D$42))+1,""),ROW()-170)),"")</f>
        <v>1.0</v>
      </c>
      <c r="B201" s="114" t="str" cm="1">
        <f t="array" ref="B201">IFERROR(INDEX('03.Muestra'!$C$8:$C$42,SMALL(IF("Página Web"='03.Muestra'!$D$8:$D$42,ROW('03.Muestra'!$C$8:$C$42)-MIN(ROW('03.Muestra'!$D$8:$D$42))+1,""),ROW()-170)),"")</f>
        <v>Home - PortCastelló</v>
      </c>
      <c r="C201" s="114" t="str" cm="1">
        <f t="array" ref="C201">IFERROR(INDEX('03.Muestra'!$F$8:$F$42,SMALL(IF("Página Web"='03.Muestra'!$D$8:$D$42,ROW('03.Muestra'!$F$8:$F$42)-MIN(ROW('03.Muestra'!$D$8:$D$42))+1,""),ROW()-170)),"")</f>
        <v>https://www.portcastello.com/</v>
      </c>
      <c r="D201" s="130" t="s">
        <v>33</v>
      </c>
      <c r="E201" s="107" t="str">
        <f t="shared" si="8"/>
        <v/>
      </c>
      <c r="F201" s="124"/>
      <c r="G201" s="19"/>
      <c r="H201" s="19"/>
      <c r="I201" s="19"/>
      <c r="J201" s="19"/>
      <c r="K201" s="233"/>
    </row>
    <row r="202" spans="1:11" ht="12" customHeight="1">
      <c r="A202" s="219" t="n" cm="1">
        <f t="array" ref="A202">IFERROR(INDEX('03.Muestra'!$B$8:$B$42,SMALL(IF("Página Web"='03.Muestra'!$D$8:$D$42,ROW('03.Muestra'!$B$8:$B$42)-MIN(ROW('03.Muestra'!$D$8:$D$42))+1,""),ROW()-170)),"")</f>
        <v>1.0</v>
      </c>
      <c r="B202" s="114" t="str" cm="1">
        <f t="array" ref="B202">IFERROR(INDEX('03.Muestra'!$C$8:$C$42,SMALL(IF("Página Web"='03.Muestra'!$D$8:$D$42,ROW('03.Muestra'!$C$8:$C$42)-MIN(ROW('03.Muestra'!$D$8:$D$42))+1,""),ROW()-170)),"")</f>
        <v>Home - PortCastelló</v>
      </c>
      <c r="C202" s="114" t="str" cm="1">
        <f t="array" ref="C202">IFERROR(INDEX('03.Muestra'!$F$8:$F$42,SMALL(IF("Página Web"='03.Muestra'!$D$8:$D$42,ROW('03.Muestra'!$F$8:$F$42)-MIN(ROW('03.Muestra'!$D$8:$D$42))+1,""),ROW()-170)),"")</f>
        <v>https://www.portcastello.com/</v>
      </c>
      <c r="D202" s="130" t="s">
        <v>33</v>
      </c>
      <c r="E202" s="107" t="str">
        <f t="shared" si="8"/>
        <v/>
      </c>
      <c r="F202" s="124"/>
      <c r="G202" s="19"/>
      <c r="H202" s="19"/>
      <c r="I202" s="19"/>
      <c r="J202" s="19"/>
      <c r="K202" s="233"/>
    </row>
    <row r="203" spans="1:11" ht="12" customHeight="1">
      <c r="A203" s="219" t="n" cm="1">
        <f t="array" ref="A203">IFERROR(INDEX('03.Muestra'!$B$8:$B$42,SMALL(IF("Página Web"='03.Muestra'!$D$8:$D$42,ROW('03.Muestra'!$B$8:$B$42)-MIN(ROW('03.Muestra'!$D$8:$D$42))+1,""),ROW()-170)),"")</f>
        <v>1.0</v>
      </c>
      <c r="B203" s="114" t="str" cm="1">
        <f t="array" ref="B203">IFERROR(INDEX('03.Muestra'!$C$8:$C$42,SMALL(IF("Página Web"='03.Muestra'!$D$8:$D$42,ROW('03.Muestra'!$C$8:$C$42)-MIN(ROW('03.Muestra'!$D$8:$D$42))+1,""),ROW()-170)),"")</f>
        <v>Home - PortCastelló</v>
      </c>
      <c r="C203" s="114" t="str" cm="1">
        <f t="array" ref="C203">IFERROR(INDEX('03.Muestra'!$F$8:$F$42,SMALL(IF("Página Web"='03.Muestra'!$D$8:$D$42,ROW('03.Muestra'!$F$8:$F$42)-MIN(ROW('03.Muestra'!$D$8:$D$42))+1,""),ROW()-170)),"")</f>
        <v>https://www.portcastello.com/</v>
      </c>
      <c r="D203" s="130" t="s">
        <v>33</v>
      </c>
      <c r="E203" s="107" t="str">
        <f t="shared" si="8"/>
        <v/>
      </c>
      <c r="F203" s="124"/>
      <c r="G203" s="19"/>
      <c r="H203" s="19"/>
      <c r="I203" s="19"/>
      <c r="J203" s="19"/>
      <c r="K203" s="233"/>
    </row>
    <row r="204" spans="1:11" ht="12" customHeight="1">
      <c r="A204" s="219" t="str" cm="1">
        <f t="array" ref="A204">IFERROR(INDEX('03.Muestra'!$B$8:$B$42,SMALL(IF("Página Web"='03.Muestra'!$D$8:$D$42,ROW('03.Muestra'!$B$8:$B$42)-MIN(ROW('03.Muestra'!$D$8:$D$42))+1,""),ROW()-170)),"")</f>
        <v/>
      </c>
      <c r="B204" s="114" t="str" cm="1">
        <f t="array" ref="B204">IFERROR(INDEX('03.Muestra'!$C$8:$C$42,SMALL(IF("Página Web"='03.Muestra'!$D$8:$D$42,ROW('03.Muestra'!$C$8:$C$42)-MIN(ROW('03.Muestra'!$D$8:$D$42))+1,""),ROW()-170)),"")</f>
        <v/>
      </c>
      <c r="C204" s="114" t="str" cm="1">
        <f t="array" ref="C204">IFERROR(INDEX('03.Muestra'!$F$8:$F$42,SMALL(IF("Página Web"='03.Muestra'!$D$8:$D$42,ROW('03.Muestra'!$F$8:$F$42)-MIN(ROW('03.Muestra'!$D$8:$D$42))+1,""),ROW()-170)),"")</f>
        <v/>
      </c>
      <c r="D204" s="130" t="str">
        <f t="shared" si="9" ref="D204:D205">IF(AND(B204&lt;&gt;"",C204&lt;&gt;""),"N/T","")</f>
        <v/>
      </c>
      <c r="E204" s="107" t="str">
        <f t="shared" si="8"/>
        <v/>
      </c>
      <c r="F204" s="124"/>
      <c r="G204" s="19"/>
      <c r="H204" s="19"/>
      <c r="I204" s="19"/>
      <c r="J204" s="19"/>
      <c r="K204" s="233"/>
    </row>
    <row r="205" spans="1:11" ht="12" customHeight="1">
      <c r="A205" s="219" t="str" cm="1">
        <f t="array" ref="A205">IFERROR(INDEX('03.Muestra'!$B$8:$B$42,SMALL(IF("Página Web"='03.Muestra'!$D$8:$D$42,ROW('03.Muestra'!$B$8:$B$42)-MIN(ROW('03.Muestra'!$D$8:$D$42))+1,""),ROW()-170)),"")</f>
        <v/>
      </c>
      <c r="B205" s="114" t="str" cm="1">
        <f t="array" ref="B205">IFERROR(INDEX('03.Muestra'!$C$8:$C$42,SMALL(IF("Página Web"='03.Muestra'!$D$8:$D$42,ROW('03.Muestra'!$C$8:$C$42)-MIN(ROW('03.Muestra'!$D$8:$D$42))+1,""),ROW()-170)),"")</f>
        <v/>
      </c>
      <c r="C205" s="114" t="str" cm="1">
        <f t="array" ref="C205">IFERROR(INDEX('03.Muestra'!$F$8:$F$42,SMALL(IF("Página Web"='03.Muestra'!$D$8:$D$42,ROW('03.Muestra'!$F$8:$F$42)-MIN(ROW('03.Muestra'!$D$8:$D$42))+1,""),ROW()-170)),"")</f>
        <v/>
      </c>
      <c r="D205" s="130" t="str">
        <f t="shared" si="9"/>
        <v/>
      </c>
      <c r="E205" s="107" t="str">
        <f t="shared" si="8"/>
        <v/>
      </c>
      <c r="F205" s="19"/>
      <c r="G205" s="19"/>
      <c r="H205" s="19"/>
      <c r="I205" s="19"/>
      <c r="J205" s="19"/>
      <c r="K205" s="233"/>
    </row>
    <row r="206" spans="1:11" ht="12" customHeight="1">
      <c r="B206" s="19"/>
      <c r="C206" s="19"/>
      <c r="D206" s="107"/>
      <c r="E206" s="107"/>
      <c r="F206" s="19"/>
      <c r="G206" s="19"/>
      <c r="H206" s="19"/>
      <c r="I206" s="19"/>
      <c r="J206" s="19"/>
      <c r="K206" s="233"/>
    </row>
    <row r="207" spans="1:11" ht="12" customHeight="1">
      <c r="B207" s="19"/>
      <c r="C207" s="19"/>
      <c r="D207" s="107"/>
      <c r="E207" s="112"/>
      <c r="F207" s="19"/>
      <c r="G207" s="19"/>
      <c r="H207" s="19"/>
      <c r="I207" s="19"/>
      <c r="J207" s="19"/>
      <c r="K207" s="233"/>
    </row>
    <row r="208" spans="1:11" ht="29.25" customHeight="1">
      <c r="A208" s="218" t="s">
        <v>268</v>
      </c>
      <c r="B208" s="24" t="s">
        <v>90</v>
      </c>
      <c r="C208" s="25" t="s">
        <v>266</v>
      </c>
      <c r="D208" s="26" t="s">
        <v>32</v>
      </c>
      <c r="E208" s="123"/>
      <c r="K208" s="233"/>
    </row>
    <row r="209" spans="1:11" ht="12" customHeight="1">
      <c r="A209" s="219" t="n" cm="1">
        <f t="array" ref="A209">IFERROR(INDEX('03.Muestra'!$B$8:$B$42,SMALL(IF("Página Web"='03.Muestra'!$D$8:$D$42,ROW('03.Muestra'!$B$8:$B$42)-MIN(ROW('03.Muestra'!$D$8:$D$42))+1,""),ROW()-208)),"")</f>
        <v>1.0</v>
      </c>
      <c r="B209" s="114" t="str" cm="1">
        <f t="array" ref="B209">IFERROR(INDEX('03.Muestra'!$C$8:$C$42,SMALL(IF("Página Web"='03.Muestra'!$D$8:$D$42,ROW('03.Muestra'!$C$8:$C$42)-MIN(ROW('03.Muestra'!$D$8:$D$42))+1,""),ROW()-208)),"")</f>
        <v>Home - PortCastelló</v>
      </c>
      <c r="C209" s="114" t="str" cm="1">
        <f t="array" ref="C209">IFERROR(INDEX('03.Muestra'!$F$8:$F$42,SMALL(IF("Página Web"='03.Muestra'!$D$8:$D$42,ROW('03.Muestra'!$F$8:$F$42)-MIN(ROW('03.Muestra'!$D$8:$D$42))+1,""),ROW()-208)),"")</f>
        <v>https://www.portcastello.com/</v>
      </c>
      <c r="D209" s="130" t="s">
        <v>33</v>
      </c>
      <c r="E209" s="107" t="str">
        <f t="shared" ref="E209:E243" si="10">IF(D209&lt;&gt;"",IF(AND(B209&lt;&gt;"",C209&lt;&gt;""),"","ERR"),"")</f>
        <v/>
      </c>
      <c r="F209" s="115" t="s">
        <v>33</v>
      </c>
      <c r="G209" s="116" t="s">
        <v>37</v>
      </c>
      <c r="H209" s="117" t="s">
        <v>35</v>
      </c>
      <c r="I209" s="118" t="s">
        <v>28</v>
      </c>
      <c r="J209" s="119" t="s">
        <v>26</v>
      </c>
      <c r="K209" s="226" t="s">
        <v>474</v>
      </c>
    </row>
    <row r="210" spans="1:11" ht="12" customHeight="1">
      <c r="A210" s="219" t="n" cm="1">
        <f t="array" ref="A210">IFERROR(INDEX('03.Muestra'!$B$8:$B$42,SMALL(IF("Página Web"='03.Muestra'!$D$8:$D$42,ROW('03.Muestra'!$B$8:$B$42)-MIN(ROW('03.Muestra'!$D$8:$D$42))+1,""),ROW()-208)),"")</f>
        <v>1.0</v>
      </c>
      <c r="B210" s="114" t="str" cm="1">
        <f t="array" ref="B210">IFERROR(INDEX('03.Muestra'!$C$8:$C$42,SMALL(IF("Página Web"='03.Muestra'!$D$8:$D$42,ROW('03.Muestra'!$C$8:$C$42)-MIN(ROW('03.Muestra'!$D$8:$D$42))+1,""),ROW()-208)),"")</f>
        <v>Home - PortCastelló</v>
      </c>
      <c r="C210" s="114" t="str" cm="1">
        <f t="array" ref="C210">IFERROR(INDEX('03.Muestra'!$F$8:$F$42,SMALL(IF("Página Web"='03.Muestra'!$D$8:$D$42,ROW('03.Muestra'!$F$8:$F$42)-MIN(ROW('03.Muestra'!$D$8:$D$42))+1,""),ROW()-208)),"")</f>
        <v>https://www.portcastello.com/</v>
      </c>
      <c r="D210" s="130" t="s">
        <v>33</v>
      </c>
      <c r="E210" s="107" t="str">
        <f t="shared" si="10"/>
        <v/>
      </c>
      <c r="F210" s="120" t="n">
        <f ca="1">COUNTIF($D209:INDIRECT("$D" &amp;  SUM(ROW()-1,'03.Muestra'!$D$45)-1),F209)</f>
        <v>33.0</v>
      </c>
      <c r="G210" s="120" t="n">
        <f ca="1">COUNTIF($D209:INDIRECT("$D" &amp;  SUM(ROW()-1,'03.Muestra'!$D$45)-1),G209)</f>
        <v>0.0</v>
      </c>
      <c r="H210" s="120" t="n">
        <f ca="1">COUNTIF($D209:INDIRECT("$D" &amp;  SUM(ROW()-1,'03.Muestra'!$D$45)-1),H209)</f>
        <v>0.0</v>
      </c>
      <c r="I210" s="120" t="n">
        <f ca="1">COUNTIF($D209:INDIRECT("$D" &amp;  SUM(ROW()-1,'03.Muestra'!$D$45)-1),I209)</f>
        <v>0.0</v>
      </c>
      <c r="J210" s="120" t="n">
        <f ca="1">COUNTIF($D209:INDIRECT("$D" &amp;  SUM(ROW()-1,'03.Muestra'!$D$45)-1),J209)</f>
        <v>0.0</v>
      </c>
      <c r="K210" s="227" t="n">
        <f ca="1">IF(COUNTIF('03.Muestra'!$D$8:$D$42,"Página Web")=0,0,COUNTBLANK($D209:INDIRECT("$D" &amp;  SUM(ROW()-1,COUNTIF('03.Muestra'!$D$8:$D$42,"Página Web"))-1)))</f>
        <v>0.0</v>
      </c>
    </row>
    <row r="211" spans="1:11" ht="12" customHeight="1">
      <c r="A211" s="219" t="n" cm="1">
        <f t="array" ref="A211">IFERROR(INDEX('03.Muestra'!$B$8:$B$42,SMALL(IF("Página Web"='03.Muestra'!$D$8:$D$42,ROW('03.Muestra'!$B$8:$B$42)-MIN(ROW('03.Muestra'!$D$8:$D$42))+1,""),ROW()-208)),"")</f>
        <v>1.0</v>
      </c>
      <c r="B211" s="114" t="str" cm="1">
        <f t="array" ref="B211">IFERROR(INDEX('03.Muestra'!$C$8:$C$42,SMALL(IF("Página Web"='03.Muestra'!$D$8:$D$42,ROW('03.Muestra'!$C$8:$C$42)-MIN(ROW('03.Muestra'!$D$8:$D$42))+1,""),ROW()-208)),"")</f>
        <v>Home - PortCastelló</v>
      </c>
      <c r="C211" s="114" t="str" cm="1">
        <f t="array" ref="C211">IFERROR(INDEX('03.Muestra'!$F$8:$F$42,SMALL(IF("Página Web"='03.Muestra'!$D$8:$D$42,ROW('03.Muestra'!$F$8:$F$42)-MIN(ROW('03.Muestra'!$D$8:$D$42))+1,""),ROW()-208)),"")</f>
        <v>https://www.portcastello.com/</v>
      </c>
      <c r="D211" s="130" t="s">
        <v>33</v>
      </c>
      <c r="E211" s="107" t="str">
        <f t="shared" si="10"/>
        <v/>
      </c>
      <c r="G211" s="19"/>
      <c r="H211" s="19"/>
      <c r="I211" s="19"/>
      <c r="J211" s="19"/>
      <c r="K211" s="233"/>
    </row>
    <row r="212" spans="1:11" ht="12" customHeight="1">
      <c r="A212" s="219" t="n" cm="1">
        <f t="array" ref="A212">IFERROR(INDEX('03.Muestra'!$B$8:$B$42,SMALL(IF("Página Web"='03.Muestra'!$D$8:$D$42,ROW('03.Muestra'!$B$8:$B$42)-MIN(ROW('03.Muestra'!$D$8:$D$42))+1,""),ROW()-208)),"")</f>
        <v>1.0</v>
      </c>
      <c r="B212" s="114" t="str" cm="1">
        <f t="array" ref="B212">IFERROR(INDEX('03.Muestra'!$C$8:$C$42,SMALL(IF("Página Web"='03.Muestra'!$D$8:$D$42,ROW('03.Muestra'!$C$8:$C$42)-MIN(ROW('03.Muestra'!$D$8:$D$42))+1,""),ROW()-208)),"")</f>
        <v>Home - PortCastelló</v>
      </c>
      <c r="C212" s="114" t="str" cm="1">
        <f t="array" ref="C212">IFERROR(INDEX('03.Muestra'!$F$8:$F$42,SMALL(IF("Página Web"='03.Muestra'!$D$8:$D$42,ROW('03.Muestra'!$F$8:$F$42)-MIN(ROW('03.Muestra'!$D$8:$D$42))+1,""),ROW()-208)),"")</f>
        <v>https://www.portcastello.com/</v>
      </c>
      <c r="D212" s="130" t="s">
        <v>33</v>
      </c>
      <c r="E212" s="107" t="str">
        <f t="shared" si="10"/>
        <v/>
      </c>
      <c r="G212" s="19"/>
      <c r="H212" s="19"/>
      <c r="I212" s="19"/>
      <c r="J212" s="19"/>
      <c r="K212" s="233"/>
    </row>
    <row r="213" spans="1:11" ht="12" customHeight="1">
      <c r="A213" s="219" t="n" cm="1">
        <f t="array" ref="A213">IFERROR(INDEX('03.Muestra'!$B$8:$B$42,SMALL(IF("Página Web"='03.Muestra'!$D$8:$D$42,ROW('03.Muestra'!$B$8:$B$42)-MIN(ROW('03.Muestra'!$D$8:$D$42))+1,""),ROW()-208)),"")</f>
        <v>1.0</v>
      </c>
      <c r="B213" s="114" t="str" cm="1">
        <f t="array" ref="B213">IFERROR(INDEX('03.Muestra'!$C$8:$C$42,SMALL(IF("Página Web"='03.Muestra'!$D$8:$D$42,ROW('03.Muestra'!$C$8:$C$42)-MIN(ROW('03.Muestra'!$D$8:$D$42))+1,""),ROW()-208)),"")</f>
        <v>Home - PortCastelló</v>
      </c>
      <c r="C213" s="114" t="str" cm="1">
        <f t="array" ref="C213">IFERROR(INDEX('03.Muestra'!$F$8:$F$42,SMALL(IF("Página Web"='03.Muestra'!$D$8:$D$42,ROW('03.Muestra'!$F$8:$F$42)-MIN(ROW('03.Muestra'!$D$8:$D$42))+1,""),ROW()-208)),"")</f>
        <v>https://www.portcastello.com/</v>
      </c>
      <c r="D213" s="130" t="s">
        <v>33</v>
      </c>
      <c r="E213" s="107" t="str">
        <f t="shared" si="10"/>
        <v/>
      </c>
      <c r="G213" s="19"/>
      <c r="H213" s="19"/>
      <c r="I213" s="19"/>
      <c r="J213" s="19"/>
      <c r="K213" s="233"/>
    </row>
    <row r="214" spans="1:11" ht="12" customHeight="1">
      <c r="A214" s="219" t="n" cm="1">
        <f t="array" ref="A214">IFERROR(INDEX('03.Muestra'!$B$8:$B$42,SMALL(IF("Página Web"='03.Muestra'!$D$8:$D$42,ROW('03.Muestra'!$B$8:$B$42)-MIN(ROW('03.Muestra'!$D$8:$D$42))+1,""),ROW()-208)),"")</f>
        <v>1.0</v>
      </c>
      <c r="B214" s="114" t="str" cm="1">
        <f t="array" ref="B214">IFERROR(INDEX('03.Muestra'!$C$8:$C$42,SMALL(IF("Página Web"='03.Muestra'!$D$8:$D$42,ROW('03.Muestra'!$C$8:$C$42)-MIN(ROW('03.Muestra'!$D$8:$D$42))+1,""),ROW()-208)),"")</f>
        <v>Home - PortCastelló</v>
      </c>
      <c r="C214" s="114" t="str" cm="1">
        <f t="array" ref="C214">IFERROR(INDEX('03.Muestra'!$F$8:$F$42,SMALL(IF("Página Web"='03.Muestra'!$D$8:$D$42,ROW('03.Muestra'!$F$8:$F$42)-MIN(ROW('03.Muestra'!$D$8:$D$42))+1,""),ROW()-208)),"")</f>
        <v>https://www.portcastello.com/</v>
      </c>
      <c r="D214" s="130" t="s">
        <v>33</v>
      </c>
      <c r="E214" s="107" t="str">
        <f t="shared" si="10"/>
        <v/>
      </c>
      <c r="G214" s="19"/>
      <c r="H214" s="19"/>
      <c r="I214" s="19"/>
      <c r="J214" s="19"/>
      <c r="K214" s="233"/>
    </row>
    <row r="215" spans="1:11" ht="12" customHeight="1">
      <c r="A215" s="219" t="n" cm="1">
        <f t="array" ref="A215">IFERROR(INDEX('03.Muestra'!$B$8:$B$42,SMALL(IF("Página Web"='03.Muestra'!$D$8:$D$42,ROW('03.Muestra'!$B$8:$B$42)-MIN(ROW('03.Muestra'!$D$8:$D$42))+1,""),ROW()-208)),"")</f>
        <v>1.0</v>
      </c>
      <c r="B215" s="114" t="str" cm="1">
        <f t="array" ref="B215">IFERROR(INDEX('03.Muestra'!$C$8:$C$42,SMALL(IF("Página Web"='03.Muestra'!$D$8:$D$42,ROW('03.Muestra'!$C$8:$C$42)-MIN(ROW('03.Muestra'!$D$8:$D$42))+1,""),ROW()-208)),"")</f>
        <v>Home - PortCastelló</v>
      </c>
      <c r="C215" s="114" t="str" cm="1">
        <f t="array" ref="C215">IFERROR(INDEX('03.Muestra'!$F$8:$F$42,SMALL(IF("Página Web"='03.Muestra'!$D$8:$D$42,ROW('03.Muestra'!$F$8:$F$42)-MIN(ROW('03.Muestra'!$D$8:$D$42))+1,""),ROW()-208)),"")</f>
        <v>https://www.portcastello.com/</v>
      </c>
      <c r="D215" s="130" t="s">
        <v>33</v>
      </c>
      <c r="E215" s="107" t="str">
        <f t="shared" si="10"/>
        <v/>
      </c>
      <c r="F215" s="19"/>
      <c r="G215" s="19"/>
      <c r="H215" s="19"/>
      <c r="I215" s="19"/>
      <c r="J215" s="19"/>
      <c r="K215" s="233"/>
    </row>
    <row r="216" spans="1:11" ht="12" customHeight="1">
      <c r="A216" s="219" t="n" cm="1">
        <f t="array" ref="A216">IFERROR(INDEX('03.Muestra'!$B$8:$B$42,SMALL(IF("Página Web"='03.Muestra'!$D$8:$D$42,ROW('03.Muestra'!$B$8:$B$42)-MIN(ROW('03.Muestra'!$D$8:$D$42))+1,""),ROW()-208)),"")</f>
        <v>1.0</v>
      </c>
      <c r="B216" s="114" t="str" cm="1">
        <f t="array" ref="B216">IFERROR(INDEX('03.Muestra'!$C$8:$C$42,SMALL(IF("Página Web"='03.Muestra'!$D$8:$D$42,ROW('03.Muestra'!$C$8:$C$42)-MIN(ROW('03.Muestra'!$D$8:$D$42))+1,""),ROW()-208)),"")</f>
        <v>Home - PortCastelló</v>
      </c>
      <c r="C216" s="114" t="str" cm="1">
        <f t="array" ref="C216">IFERROR(INDEX('03.Muestra'!$F$8:$F$42,SMALL(IF("Página Web"='03.Muestra'!$D$8:$D$42,ROW('03.Muestra'!$F$8:$F$42)-MIN(ROW('03.Muestra'!$D$8:$D$42))+1,""),ROW()-208)),"")</f>
        <v>https://www.portcastello.com/</v>
      </c>
      <c r="D216" s="130" t="s">
        <v>33</v>
      </c>
      <c r="E216" s="107" t="str">
        <f t="shared" si="10"/>
        <v/>
      </c>
      <c r="F216" s="19"/>
      <c r="G216" s="19"/>
      <c r="H216" s="19"/>
      <c r="I216" s="19"/>
      <c r="J216" s="19"/>
      <c r="K216" s="233"/>
    </row>
    <row r="217" spans="1:11" ht="12" customHeight="1">
      <c r="A217" s="219" t="n" cm="1">
        <f t="array" ref="A217">IFERROR(INDEX('03.Muestra'!$B$8:$B$42,SMALL(IF("Página Web"='03.Muestra'!$D$8:$D$42,ROW('03.Muestra'!$B$8:$B$42)-MIN(ROW('03.Muestra'!$D$8:$D$42))+1,""),ROW()-208)),"")</f>
        <v>1.0</v>
      </c>
      <c r="B217" s="114" t="str" cm="1">
        <f t="array" ref="B217">IFERROR(INDEX('03.Muestra'!$C$8:$C$42,SMALL(IF("Página Web"='03.Muestra'!$D$8:$D$42,ROW('03.Muestra'!$C$8:$C$42)-MIN(ROW('03.Muestra'!$D$8:$D$42))+1,""),ROW()-208)),"")</f>
        <v>Home - PortCastelló</v>
      </c>
      <c r="C217" s="114" t="str" cm="1">
        <f t="array" ref="C217">IFERROR(INDEX('03.Muestra'!$F$8:$F$42,SMALL(IF("Página Web"='03.Muestra'!$D$8:$D$42,ROW('03.Muestra'!$F$8:$F$42)-MIN(ROW('03.Muestra'!$D$8:$D$42))+1,""),ROW()-208)),"")</f>
        <v>https://www.portcastello.com/</v>
      </c>
      <c r="D217" s="130" t="s">
        <v>33</v>
      </c>
      <c r="E217" s="107" t="str">
        <f t="shared" si="10"/>
        <v/>
      </c>
      <c r="F217" s="19"/>
      <c r="G217" s="19"/>
      <c r="H217" s="19"/>
      <c r="I217" s="19"/>
      <c r="J217" s="19"/>
      <c r="K217" s="233"/>
    </row>
    <row r="218" spans="1:11" ht="12" customHeight="1">
      <c r="A218" s="219" t="n" cm="1">
        <f t="array" ref="A218">IFERROR(INDEX('03.Muestra'!$B$8:$B$42,SMALL(IF("Página Web"='03.Muestra'!$D$8:$D$42,ROW('03.Muestra'!$B$8:$B$42)-MIN(ROW('03.Muestra'!$D$8:$D$42))+1,""),ROW()-208)),"")</f>
        <v>1.0</v>
      </c>
      <c r="B218" s="114" t="str" cm="1">
        <f t="array" ref="B218">IFERROR(INDEX('03.Muestra'!$C$8:$C$42,SMALL(IF("Página Web"='03.Muestra'!$D$8:$D$42,ROW('03.Muestra'!$C$8:$C$42)-MIN(ROW('03.Muestra'!$D$8:$D$42))+1,""),ROW()-208)),"")</f>
        <v>Home - PortCastelló</v>
      </c>
      <c r="C218" s="114" t="str" cm="1">
        <f t="array" ref="C218">IFERROR(INDEX('03.Muestra'!$F$8:$F$42,SMALL(IF("Página Web"='03.Muestra'!$D$8:$D$42,ROW('03.Muestra'!$F$8:$F$42)-MIN(ROW('03.Muestra'!$D$8:$D$42))+1,""),ROW()-208)),"")</f>
        <v>https://www.portcastello.com/</v>
      </c>
      <c r="D218" s="130" t="s">
        <v>33</v>
      </c>
      <c r="E218" s="107" t="str">
        <f t="shared" si="10"/>
        <v/>
      </c>
      <c r="F218" s="19"/>
      <c r="G218" s="19"/>
      <c r="H218" s="19"/>
      <c r="I218" s="19"/>
      <c r="J218" s="19"/>
      <c r="K218" s="233"/>
    </row>
    <row r="219" spans="1:11" ht="12" customHeight="1">
      <c r="A219" s="219" t="n" cm="1">
        <f t="array" ref="A219">IFERROR(INDEX('03.Muestra'!$B$8:$B$42,SMALL(IF("Página Web"='03.Muestra'!$D$8:$D$42,ROW('03.Muestra'!$B$8:$B$42)-MIN(ROW('03.Muestra'!$D$8:$D$42))+1,""),ROW()-208)),"")</f>
        <v>1.0</v>
      </c>
      <c r="B219" s="114" t="str" cm="1">
        <f t="array" ref="B219">IFERROR(INDEX('03.Muestra'!$C$8:$C$42,SMALL(IF("Página Web"='03.Muestra'!$D$8:$D$42,ROW('03.Muestra'!$C$8:$C$42)-MIN(ROW('03.Muestra'!$D$8:$D$42))+1,""),ROW()-208)),"")</f>
        <v>Home - PortCastelló</v>
      </c>
      <c r="C219" s="114" t="str" cm="1">
        <f t="array" ref="C219">IFERROR(INDEX('03.Muestra'!$F$8:$F$42,SMALL(IF("Página Web"='03.Muestra'!$D$8:$D$42,ROW('03.Muestra'!$F$8:$F$42)-MIN(ROW('03.Muestra'!$D$8:$D$42))+1,""),ROW()-208)),"")</f>
        <v>https://www.portcastello.com/</v>
      </c>
      <c r="D219" s="130" t="s">
        <v>33</v>
      </c>
      <c r="E219" s="107" t="str">
        <f t="shared" si="10"/>
        <v/>
      </c>
      <c r="F219" s="19"/>
      <c r="G219" s="19"/>
      <c r="H219" s="19"/>
      <c r="I219" s="19"/>
      <c r="J219" s="19"/>
      <c r="K219" s="233"/>
    </row>
    <row r="220" spans="1:11" ht="12" customHeight="1">
      <c r="A220" s="219" t="n" cm="1">
        <f t="array" ref="A220">IFERROR(INDEX('03.Muestra'!$B$8:$B$42,SMALL(IF("Página Web"='03.Muestra'!$D$8:$D$42,ROW('03.Muestra'!$B$8:$B$42)-MIN(ROW('03.Muestra'!$D$8:$D$42))+1,""),ROW()-208)),"")</f>
        <v>1.0</v>
      </c>
      <c r="B220" s="114" t="str" cm="1">
        <f t="array" ref="B220">IFERROR(INDEX('03.Muestra'!$C$8:$C$42,SMALL(IF("Página Web"='03.Muestra'!$D$8:$D$42,ROW('03.Muestra'!$C$8:$C$42)-MIN(ROW('03.Muestra'!$D$8:$D$42))+1,""),ROW()-208)),"")</f>
        <v>Home - PortCastelló</v>
      </c>
      <c r="C220" s="114" t="str" cm="1">
        <f t="array" ref="C220">IFERROR(INDEX('03.Muestra'!$F$8:$F$42,SMALL(IF("Página Web"='03.Muestra'!$D$8:$D$42,ROW('03.Muestra'!$F$8:$F$42)-MIN(ROW('03.Muestra'!$D$8:$D$42))+1,""),ROW()-208)),"")</f>
        <v>https://www.portcastello.com/</v>
      </c>
      <c r="D220" s="130" t="s">
        <v>33</v>
      </c>
      <c r="E220" s="107" t="str">
        <f t="shared" si="10"/>
        <v/>
      </c>
      <c r="F220" s="19"/>
      <c r="G220" s="19"/>
      <c r="H220" s="19"/>
      <c r="I220" s="19"/>
      <c r="J220" s="19"/>
      <c r="K220" s="233"/>
    </row>
    <row r="221" spans="1:11" ht="12" customHeight="1">
      <c r="A221" s="219" t="n" cm="1">
        <f t="array" ref="A221">IFERROR(INDEX('03.Muestra'!$B$8:$B$42,SMALL(IF("Página Web"='03.Muestra'!$D$8:$D$42,ROW('03.Muestra'!$B$8:$B$42)-MIN(ROW('03.Muestra'!$D$8:$D$42))+1,""),ROW()-208)),"")</f>
        <v>1.0</v>
      </c>
      <c r="B221" s="114" t="str" cm="1">
        <f t="array" ref="B221">IFERROR(INDEX('03.Muestra'!$C$8:$C$42,SMALL(IF("Página Web"='03.Muestra'!$D$8:$D$42,ROW('03.Muestra'!$C$8:$C$42)-MIN(ROW('03.Muestra'!$D$8:$D$42))+1,""),ROW()-208)),"")</f>
        <v>Home - PortCastelló</v>
      </c>
      <c r="C221" s="114" t="str" cm="1">
        <f t="array" ref="C221">IFERROR(INDEX('03.Muestra'!$F$8:$F$42,SMALL(IF("Página Web"='03.Muestra'!$D$8:$D$42,ROW('03.Muestra'!$F$8:$F$42)-MIN(ROW('03.Muestra'!$D$8:$D$42))+1,""),ROW()-208)),"")</f>
        <v>https://www.portcastello.com/</v>
      </c>
      <c r="D221" s="130" t="s">
        <v>33</v>
      </c>
      <c r="E221" s="107" t="str">
        <f t="shared" si="10"/>
        <v/>
      </c>
      <c r="F221" s="19"/>
      <c r="G221" s="19"/>
      <c r="H221" s="19"/>
      <c r="I221" s="19"/>
      <c r="J221" s="19"/>
      <c r="K221" s="233"/>
    </row>
    <row r="222" spans="1:11" ht="12" customHeight="1">
      <c r="A222" s="219" t="n" cm="1">
        <f t="array" ref="A222">IFERROR(INDEX('03.Muestra'!$B$8:$B$42,SMALL(IF("Página Web"='03.Muestra'!$D$8:$D$42,ROW('03.Muestra'!$B$8:$B$42)-MIN(ROW('03.Muestra'!$D$8:$D$42))+1,""),ROW()-208)),"")</f>
        <v>1.0</v>
      </c>
      <c r="B222" s="114" t="str" cm="1">
        <f t="array" ref="B222">IFERROR(INDEX('03.Muestra'!$C$8:$C$42,SMALL(IF("Página Web"='03.Muestra'!$D$8:$D$42,ROW('03.Muestra'!$C$8:$C$42)-MIN(ROW('03.Muestra'!$D$8:$D$42))+1,""),ROW()-208)),"")</f>
        <v>Home - PortCastelló</v>
      </c>
      <c r="C222" s="114" t="str" cm="1">
        <f t="array" ref="C222">IFERROR(INDEX('03.Muestra'!$F$8:$F$42,SMALL(IF("Página Web"='03.Muestra'!$D$8:$D$42,ROW('03.Muestra'!$F$8:$F$42)-MIN(ROW('03.Muestra'!$D$8:$D$42))+1,""),ROW()-208)),"")</f>
        <v>https://www.portcastello.com/</v>
      </c>
      <c r="D222" s="130" t="s">
        <v>33</v>
      </c>
      <c r="E222" s="107" t="str">
        <f t="shared" si="10"/>
        <v/>
      </c>
      <c r="F222" s="19"/>
      <c r="G222" s="19"/>
      <c r="H222" s="19"/>
      <c r="I222" s="19"/>
      <c r="J222" s="19"/>
      <c r="K222" s="233"/>
    </row>
    <row r="223" spans="1:11" ht="12" customHeight="1">
      <c r="A223" s="219" t="n" cm="1">
        <f t="array" ref="A223">IFERROR(INDEX('03.Muestra'!$B$8:$B$42,SMALL(IF("Página Web"='03.Muestra'!$D$8:$D$42,ROW('03.Muestra'!$B$8:$B$42)-MIN(ROW('03.Muestra'!$D$8:$D$42))+1,""),ROW()-208)),"")</f>
        <v>1.0</v>
      </c>
      <c r="B223" s="114" t="str" cm="1">
        <f t="array" ref="B223">IFERROR(INDEX('03.Muestra'!$C$8:$C$42,SMALL(IF("Página Web"='03.Muestra'!$D$8:$D$42,ROW('03.Muestra'!$C$8:$C$42)-MIN(ROW('03.Muestra'!$D$8:$D$42))+1,""),ROW()-208)),"")</f>
        <v>Home - PortCastelló</v>
      </c>
      <c r="C223" s="114" t="str" cm="1">
        <f t="array" ref="C223">IFERROR(INDEX('03.Muestra'!$F$8:$F$42,SMALL(IF("Página Web"='03.Muestra'!$D$8:$D$42,ROW('03.Muestra'!$F$8:$F$42)-MIN(ROW('03.Muestra'!$D$8:$D$42))+1,""),ROW()-208)),"")</f>
        <v>https://www.portcastello.com/</v>
      </c>
      <c r="D223" s="130" t="s">
        <v>33</v>
      </c>
      <c r="E223" s="107" t="str">
        <f t="shared" si="10"/>
        <v/>
      </c>
      <c r="F223" s="19"/>
      <c r="G223" s="19"/>
      <c r="H223" s="19"/>
      <c r="I223" s="19"/>
      <c r="J223" s="19"/>
      <c r="K223" s="233"/>
    </row>
    <row r="224" spans="1:11" ht="12" customHeight="1">
      <c r="A224" s="219" t="n" cm="1">
        <f t="array" ref="A224">IFERROR(INDEX('03.Muestra'!$B$8:$B$42,SMALL(IF("Página Web"='03.Muestra'!$D$8:$D$42,ROW('03.Muestra'!$B$8:$B$42)-MIN(ROW('03.Muestra'!$D$8:$D$42))+1,""),ROW()-208)),"")</f>
        <v>1.0</v>
      </c>
      <c r="B224" s="114" t="str" cm="1">
        <f t="array" ref="B224">IFERROR(INDEX('03.Muestra'!$C$8:$C$42,SMALL(IF("Página Web"='03.Muestra'!$D$8:$D$42,ROW('03.Muestra'!$C$8:$C$42)-MIN(ROW('03.Muestra'!$D$8:$D$42))+1,""),ROW()-208)),"")</f>
        <v>Home - PortCastelló</v>
      </c>
      <c r="C224" s="114" t="str" cm="1">
        <f t="array" ref="C224">IFERROR(INDEX('03.Muestra'!$F$8:$F$42,SMALL(IF("Página Web"='03.Muestra'!$D$8:$D$42,ROW('03.Muestra'!$F$8:$F$42)-MIN(ROW('03.Muestra'!$D$8:$D$42))+1,""),ROW()-208)),"")</f>
        <v>https://www.portcastello.com/</v>
      </c>
      <c r="D224" s="130" t="s">
        <v>33</v>
      </c>
      <c r="E224" s="107" t="str">
        <f t="shared" si="10"/>
        <v/>
      </c>
      <c r="F224" s="19"/>
      <c r="G224" s="19"/>
      <c r="H224" s="19"/>
      <c r="I224" s="19"/>
      <c r="J224" s="19"/>
      <c r="K224" s="233"/>
    </row>
    <row r="225" spans="1:11" ht="12" customHeight="1">
      <c r="A225" s="219" t="n" cm="1">
        <f t="array" ref="A225">IFERROR(INDEX('03.Muestra'!$B$8:$B$42,SMALL(IF("Página Web"='03.Muestra'!$D$8:$D$42,ROW('03.Muestra'!$B$8:$B$42)-MIN(ROW('03.Muestra'!$D$8:$D$42))+1,""),ROW()-208)),"")</f>
        <v>1.0</v>
      </c>
      <c r="B225" s="114" t="str" cm="1">
        <f t="array" ref="B225">IFERROR(INDEX('03.Muestra'!$C$8:$C$42,SMALL(IF("Página Web"='03.Muestra'!$D$8:$D$42,ROW('03.Muestra'!$C$8:$C$42)-MIN(ROW('03.Muestra'!$D$8:$D$42))+1,""),ROW()-208)),"")</f>
        <v>Home - PortCastelló</v>
      </c>
      <c r="C225" s="114" t="str" cm="1">
        <f t="array" ref="C225">IFERROR(INDEX('03.Muestra'!$F$8:$F$42,SMALL(IF("Página Web"='03.Muestra'!$D$8:$D$42,ROW('03.Muestra'!$F$8:$F$42)-MIN(ROW('03.Muestra'!$D$8:$D$42))+1,""),ROW()-208)),"")</f>
        <v>https://www.portcastello.com/</v>
      </c>
      <c r="D225" s="130" t="s">
        <v>33</v>
      </c>
      <c r="E225" s="107" t="str">
        <f t="shared" si="10"/>
        <v/>
      </c>
      <c r="F225" s="19"/>
      <c r="G225" s="19"/>
      <c r="H225" s="19"/>
      <c r="I225" s="19"/>
      <c r="J225" s="19"/>
      <c r="K225" s="233"/>
    </row>
    <row r="226" spans="1:11" ht="12" customHeight="1">
      <c r="A226" s="219" t="n" cm="1">
        <f t="array" ref="A226">IFERROR(INDEX('03.Muestra'!$B$8:$B$42,SMALL(IF("Página Web"='03.Muestra'!$D$8:$D$42,ROW('03.Muestra'!$B$8:$B$42)-MIN(ROW('03.Muestra'!$D$8:$D$42))+1,""),ROW()-208)),"")</f>
        <v>1.0</v>
      </c>
      <c r="B226" s="114" t="str" cm="1">
        <f t="array" ref="B226">IFERROR(INDEX('03.Muestra'!$C$8:$C$42,SMALL(IF("Página Web"='03.Muestra'!$D$8:$D$42,ROW('03.Muestra'!$C$8:$C$42)-MIN(ROW('03.Muestra'!$D$8:$D$42))+1,""),ROW()-208)),"")</f>
        <v>Home - PortCastelló</v>
      </c>
      <c r="C226" s="114" t="str" cm="1">
        <f t="array" ref="C226">IFERROR(INDEX('03.Muestra'!$F$8:$F$42,SMALL(IF("Página Web"='03.Muestra'!$D$8:$D$42,ROW('03.Muestra'!$F$8:$F$42)-MIN(ROW('03.Muestra'!$D$8:$D$42))+1,""),ROW()-208)),"")</f>
        <v>https://www.portcastello.com/</v>
      </c>
      <c r="D226" s="130" t="s">
        <v>33</v>
      </c>
      <c r="E226" s="107" t="str">
        <f t="shared" si="10"/>
        <v/>
      </c>
      <c r="F226" s="19"/>
      <c r="G226" s="19"/>
      <c r="H226" s="19"/>
      <c r="I226" s="19"/>
      <c r="J226" s="19"/>
      <c r="K226" s="233"/>
    </row>
    <row r="227" spans="1:11" ht="12" customHeight="1">
      <c r="A227" s="219" t="n" cm="1">
        <f t="array" ref="A227">IFERROR(INDEX('03.Muestra'!$B$8:$B$42,SMALL(IF("Página Web"='03.Muestra'!$D$8:$D$42,ROW('03.Muestra'!$B$8:$B$42)-MIN(ROW('03.Muestra'!$D$8:$D$42))+1,""),ROW()-208)),"")</f>
        <v>1.0</v>
      </c>
      <c r="B227" s="114" t="str" cm="1">
        <f t="array" ref="B227">IFERROR(INDEX('03.Muestra'!$C$8:$C$42,SMALL(IF("Página Web"='03.Muestra'!$D$8:$D$42,ROW('03.Muestra'!$C$8:$C$42)-MIN(ROW('03.Muestra'!$D$8:$D$42))+1,""),ROW()-208)),"")</f>
        <v>Home - PortCastelló</v>
      </c>
      <c r="C227" s="114" t="str" cm="1">
        <f t="array" ref="C227">IFERROR(INDEX('03.Muestra'!$F$8:$F$42,SMALL(IF("Página Web"='03.Muestra'!$D$8:$D$42,ROW('03.Muestra'!$F$8:$F$42)-MIN(ROW('03.Muestra'!$D$8:$D$42))+1,""),ROW()-208)),"")</f>
        <v>https://www.portcastello.com/</v>
      </c>
      <c r="D227" s="130" t="s">
        <v>33</v>
      </c>
      <c r="E227" s="107" t="str">
        <f t="shared" si="10"/>
        <v/>
      </c>
      <c r="F227" s="19"/>
      <c r="G227" s="19"/>
      <c r="H227" s="19"/>
      <c r="I227" s="19"/>
      <c r="J227" s="19"/>
      <c r="K227" s="233"/>
    </row>
    <row r="228" spans="1:11" ht="12" customHeight="1">
      <c r="A228" s="219" t="n" cm="1">
        <f t="array" ref="A228">IFERROR(INDEX('03.Muestra'!$B$8:$B$42,SMALL(IF("Página Web"='03.Muestra'!$D$8:$D$42,ROW('03.Muestra'!$B$8:$B$42)-MIN(ROW('03.Muestra'!$D$8:$D$42))+1,""),ROW()-208)),"")</f>
        <v>1.0</v>
      </c>
      <c r="B228" s="114" t="str" cm="1">
        <f t="array" ref="B228">IFERROR(INDEX('03.Muestra'!$C$8:$C$42,SMALL(IF("Página Web"='03.Muestra'!$D$8:$D$42,ROW('03.Muestra'!$C$8:$C$42)-MIN(ROW('03.Muestra'!$D$8:$D$42))+1,""),ROW()-208)),"")</f>
        <v>Home - PortCastelló</v>
      </c>
      <c r="C228" s="114" t="str" cm="1">
        <f t="array" ref="C228">IFERROR(INDEX('03.Muestra'!$F$8:$F$42,SMALL(IF("Página Web"='03.Muestra'!$D$8:$D$42,ROW('03.Muestra'!$F$8:$F$42)-MIN(ROW('03.Muestra'!$D$8:$D$42))+1,""),ROW()-208)),"")</f>
        <v>https://www.portcastello.com/</v>
      </c>
      <c r="D228" s="130" t="s">
        <v>33</v>
      </c>
      <c r="E228" s="107" t="str">
        <f t="shared" si="10"/>
        <v/>
      </c>
      <c r="F228" s="19"/>
      <c r="G228" s="19"/>
      <c r="H228" s="19"/>
      <c r="I228" s="19"/>
      <c r="J228" s="19"/>
      <c r="K228" s="233"/>
    </row>
    <row r="229" spans="1:11" ht="12" customHeight="1">
      <c r="A229" s="219" t="n" cm="1">
        <f t="array" ref="A229">IFERROR(INDEX('03.Muestra'!$B$8:$B$42,SMALL(IF("Página Web"='03.Muestra'!$D$8:$D$42,ROW('03.Muestra'!$B$8:$B$42)-MIN(ROW('03.Muestra'!$D$8:$D$42))+1,""),ROW()-208)),"")</f>
        <v>1.0</v>
      </c>
      <c r="B229" s="114" t="str" cm="1">
        <f t="array" ref="B229">IFERROR(INDEX('03.Muestra'!$C$8:$C$42,SMALL(IF("Página Web"='03.Muestra'!$D$8:$D$42,ROW('03.Muestra'!$C$8:$C$42)-MIN(ROW('03.Muestra'!$D$8:$D$42))+1,""),ROW()-208)),"")</f>
        <v>Home - PortCastelló</v>
      </c>
      <c r="C229" s="114" t="str" cm="1">
        <f t="array" ref="C229">IFERROR(INDEX('03.Muestra'!$F$8:$F$42,SMALL(IF("Página Web"='03.Muestra'!$D$8:$D$42,ROW('03.Muestra'!$F$8:$F$42)-MIN(ROW('03.Muestra'!$D$8:$D$42))+1,""),ROW()-208)),"")</f>
        <v>https://www.portcastello.com/</v>
      </c>
      <c r="D229" s="130" t="s">
        <v>33</v>
      </c>
      <c r="E229" s="107" t="str">
        <f t="shared" si="10"/>
        <v/>
      </c>
      <c r="F229" s="19"/>
      <c r="G229" s="19"/>
      <c r="H229" s="19"/>
      <c r="I229" s="19"/>
      <c r="J229" s="19"/>
      <c r="K229" s="233"/>
    </row>
    <row r="230" spans="1:11" ht="12" customHeight="1">
      <c r="A230" s="219" t="n" cm="1">
        <f t="array" ref="A230">IFERROR(INDEX('03.Muestra'!$B$8:$B$42,SMALL(IF("Página Web"='03.Muestra'!$D$8:$D$42,ROW('03.Muestra'!$B$8:$B$42)-MIN(ROW('03.Muestra'!$D$8:$D$42))+1,""),ROW()-208)),"")</f>
        <v>1.0</v>
      </c>
      <c r="B230" s="114" t="str" cm="1">
        <f t="array" ref="B230">IFERROR(INDEX('03.Muestra'!$C$8:$C$42,SMALL(IF("Página Web"='03.Muestra'!$D$8:$D$42,ROW('03.Muestra'!$C$8:$C$42)-MIN(ROW('03.Muestra'!$D$8:$D$42))+1,""),ROW()-208)),"")</f>
        <v>Home - PortCastelló</v>
      </c>
      <c r="C230" s="114" t="str" cm="1">
        <f t="array" ref="C230">IFERROR(INDEX('03.Muestra'!$F$8:$F$42,SMALL(IF("Página Web"='03.Muestra'!$D$8:$D$42,ROW('03.Muestra'!$F$8:$F$42)-MIN(ROW('03.Muestra'!$D$8:$D$42))+1,""),ROW()-208)),"")</f>
        <v>https://www.portcastello.com/</v>
      </c>
      <c r="D230" s="130" t="s">
        <v>33</v>
      </c>
      <c r="E230" s="107" t="str">
        <f t="shared" si="10"/>
        <v/>
      </c>
      <c r="F230" s="19"/>
      <c r="G230" s="19"/>
      <c r="H230" s="19"/>
      <c r="I230" s="19"/>
      <c r="J230" s="19"/>
      <c r="K230" s="233"/>
    </row>
    <row r="231" spans="1:11" ht="12" customHeight="1">
      <c r="A231" s="219" t="n" cm="1">
        <f t="array" ref="A231">IFERROR(INDEX('03.Muestra'!$B$8:$B$42,SMALL(IF("Página Web"='03.Muestra'!$D$8:$D$42,ROW('03.Muestra'!$B$8:$B$42)-MIN(ROW('03.Muestra'!$D$8:$D$42))+1,""),ROW()-208)),"")</f>
        <v>1.0</v>
      </c>
      <c r="B231" s="114" t="str" cm="1">
        <f t="array" ref="B231">IFERROR(INDEX('03.Muestra'!$C$8:$C$42,SMALL(IF("Página Web"='03.Muestra'!$D$8:$D$42,ROW('03.Muestra'!$C$8:$C$42)-MIN(ROW('03.Muestra'!$D$8:$D$42))+1,""),ROW()-208)),"")</f>
        <v>Home - PortCastelló</v>
      </c>
      <c r="C231" s="114" t="str" cm="1">
        <f t="array" ref="C231">IFERROR(INDEX('03.Muestra'!$F$8:$F$42,SMALL(IF("Página Web"='03.Muestra'!$D$8:$D$42,ROW('03.Muestra'!$F$8:$F$42)-MIN(ROW('03.Muestra'!$D$8:$D$42))+1,""),ROW()-208)),"")</f>
        <v>https://www.portcastello.com/</v>
      </c>
      <c r="D231" s="130" t="s">
        <v>33</v>
      </c>
      <c r="E231" s="107" t="str">
        <f t="shared" si="10"/>
        <v/>
      </c>
      <c r="F231" s="19"/>
      <c r="G231" s="19"/>
      <c r="H231" s="19"/>
      <c r="I231" s="19"/>
      <c r="J231" s="19"/>
      <c r="K231" s="233"/>
    </row>
    <row r="232" spans="1:11" ht="12" customHeight="1">
      <c r="A232" s="219" t="n" cm="1">
        <f t="array" ref="A232">IFERROR(INDEX('03.Muestra'!$B$8:$B$42,SMALL(IF("Página Web"='03.Muestra'!$D$8:$D$42,ROW('03.Muestra'!$B$8:$B$42)-MIN(ROW('03.Muestra'!$D$8:$D$42))+1,""),ROW()-208)),"")</f>
        <v>1.0</v>
      </c>
      <c r="B232" s="114" t="str" cm="1">
        <f t="array" ref="B232">IFERROR(INDEX('03.Muestra'!$C$8:$C$42,SMALL(IF("Página Web"='03.Muestra'!$D$8:$D$42,ROW('03.Muestra'!$C$8:$C$42)-MIN(ROW('03.Muestra'!$D$8:$D$42))+1,""),ROW()-208)),"")</f>
        <v>Home - PortCastelló</v>
      </c>
      <c r="C232" s="114" t="str" cm="1">
        <f t="array" ref="C232">IFERROR(INDEX('03.Muestra'!$F$8:$F$42,SMALL(IF("Página Web"='03.Muestra'!$D$8:$D$42,ROW('03.Muestra'!$F$8:$F$42)-MIN(ROW('03.Muestra'!$D$8:$D$42))+1,""),ROW()-208)),"")</f>
        <v>https://www.portcastello.com/</v>
      </c>
      <c r="D232" s="130" t="s">
        <v>33</v>
      </c>
      <c r="E232" s="107" t="str">
        <f t="shared" si="10"/>
        <v/>
      </c>
      <c r="F232" s="19"/>
      <c r="G232" s="19"/>
      <c r="H232" s="19"/>
      <c r="I232" s="19"/>
      <c r="J232" s="19"/>
      <c r="K232" s="233"/>
    </row>
    <row r="233" spans="1:11" ht="12" customHeight="1">
      <c r="A233" s="219" t="n" cm="1">
        <f t="array" ref="A233">IFERROR(INDEX('03.Muestra'!$B$8:$B$42,SMALL(IF("Página Web"='03.Muestra'!$D$8:$D$42,ROW('03.Muestra'!$B$8:$B$42)-MIN(ROW('03.Muestra'!$D$8:$D$42))+1,""),ROW()-208)),"")</f>
        <v>1.0</v>
      </c>
      <c r="B233" s="114" t="str" cm="1">
        <f t="array" ref="B233">IFERROR(INDEX('03.Muestra'!$C$8:$C$42,SMALL(IF("Página Web"='03.Muestra'!$D$8:$D$42,ROW('03.Muestra'!$C$8:$C$42)-MIN(ROW('03.Muestra'!$D$8:$D$42))+1,""),ROW()-208)),"")</f>
        <v>Home - PortCastelló</v>
      </c>
      <c r="C233" s="114" t="str" cm="1">
        <f t="array" ref="C233">IFERROR(INDEX('03.Muestra'!$F$8:$F$42,SMALL(IF("Página Web"='03.Muestra'!$D$8:$D$42,ROW('03.Muestra'!$F$8:$F$42)-MIN(ROW('03.Muestra'!$D$8:$D$42))+1,""),ROW()-208)),"")</f>
        <v>https://www.portcastello.com/</v>
      </c>
      <c r="D233" s="130" t="s">
        <v>33</v>
      </c>
      <c r="E233" s="107" t="str">
        <f t="shared" si="10"/>
        <v/>
      </c>
      <c r="F233" s="19"/>
      <c r="G233" s="19"/>
      <c r="H233" s="19"/>
      <c r="I233" s="19"/>
      <c r="J233" s="19"/>
      <c r="K233" s="233"/>
    </row>
    <row r="234" spans="1:11" ht="12" customHeight="1">
      <c r="A234" s="219" t="n" cm="1">
        <f t="array" ref="A234">IFERROR(INDEX('03.Muestra'!$B$8:$B$42,SMALL(IF("Página Web"='03.Muestra'!$D$8:$D$42,ROW('03.Muestra'!$B$8:$B$42)-MIN(ROW('03.Muestra'!$D$8:$D$42))+1,""),ROW()-208)),"")</f>
        <v>1.0</v>
      </c>
      <c r="B234" s="114" t="str" cm="1">
        <f t="array" ref="B234">IFERROR(INDEX('03.Muestra'!$C$8:$C$42,SMALL(IF("Página Web"='03.Muestra'!$D$8:$D$42,ROW('03.Muestra'!$C$8:$C$42)-MIN(ROW('03.Muestra'!$D$8:$D$42))+1,""),ROW()-208)),"")</f>
        <v>Home - PortCastelló</v>
      </c>
      <c r="C234" s="114" t="str" cm="1">
        <f t="array" ref="C234">IFERROR(INDEX('03.Muestra'!$F$8:$F$42,SMALL(IF("Página Web"='03.Muestra'!$D$8:$D$42,ROW('03.Muestra'!$F$8:$F$42)-MIN(ROW('03.Muestra'!$D$8:$D$42))+1,""),ROW()-208)),"")</f>
        <v>https://www.portcastello.com/</v>
      </c>
      <c r="D234" s="130" t="s">
        <v>33</v>
      </c>
      <c r="E234" s="107" t="str">
        <f t="shared" si="10"/>
        <v/>
      </c>
      <c r="F234" s="19"/>
      <c r="G234" s="19"/>
      <c r="H234" s="19"/>
      <c r="I234" s="19"/>
      <c r="J234" s="19"/>
      <c r="K234" s="233"/>
    </row>
    <row r="235" spans="1:11" ht="12" customHeight="1">
      <c r="A235" s="219" t="n" cm="1">
        <f t="array" ref="A235">IFERROR(INDEX('03.Muestra'!$B$8:$B$42,SMALL(IF("Página Web"='03.Muestra'!$D$8:$D$42,ROW('03.Muestra'!$B$8:$B$42)-MIN(ROW('03.Muestra'!$D$8:$D$42))+1,""),ROW()-208)),"")</f>
        <v>1.0</v>
      </c>
      <c r="B235" s="114" t="str" cm="1">
        <f t="array" ref="B235">IFERROR(INDEX('03.Muestra'!$C$8:$C$42,SMALL(IF("Página Web"='03.Muestra'!$D$8:$D$42,ROW('03.Muestra'!$C$8:$C$42)-MIN(ROW('03.Muestra'!$D$8:$D$42))+1,""),ROW()-208)),"")</f>
        <v>Home - PortCastelló</v>
      </c>
      <c r="C235" s="114" t="str" cm="1">
        <f t="array" ref="C235">IFERROR(INDEX('03.Muestra'!$F$8:$F$42,SMALL(IF("Página Web"='03.Muestra'!$D$8:$D$42,ROW('03.Muestra'!$F$8:$F$42)-MIN(ROW('03.Muestra'!$D$8:$D$42))+1,""),ROW()-208)),"")</f>
        <v>https://www.portcastello.com/</v>
      </c>
      <c r="D235" s="130" t="s">
        <v>33</v>
      </c>
      <c r="E235" s="107" t="str">
        <f t="shared" si="10"/>
        <v/>
      </c>
      <c r="F235" s="19"/>
      <c r="G235" s="19"/>
      <c r="H235" s="19"/>
      <c r="I235" s="19"/>
      <c r="J235" s="19"/>
      <c r="K235" s="233"/>
    </row>
    <row r="236" spans="1:11" ht="12" customHeight="1">
      <c r="A236" s="219" t="n" cm="1">
        <f t="array" ref="A236">IFERROR(INDEX('03.Muestra'!$B$8:$B$42,SMALL(IF("Página Web"='03.Muestra'!$D$8:$D$42,ROW('03.Muestra'!$B$8:$B$42)-MIN(ROW('03.Muestra'!$D$8:$D$42))+1,""),ROW()-208)),"")</f>
        <v>1.0</v>
      </c>
      <c r="B236" s="114" t="str" cm="1">
        <f t="array" ref="B236">IFERROR(INDEX('03.Muestra'!$C$8:$C$42,SMALL(IF("Página Web"='03.Muestra'!$D$8:$D$42,ROW('03.Muestra'!$C$8:$C$42)-MIN(ROW('03.Muestra'!$D$8:$D$42))+1,""),ROW()-208)),"")</f>
        <v>Home - PortCastelló</v>
      </c>
      <c r="C236" s="114" t="str" cm="1">
        <f t="array" ref="C236">IFERROR(INDEX('03.Muestra'!$F$8:$F$42,SMALL(IF("Página Web"='03.Muestra'!$D$8:$D$42,ROW('03.Muestra'!$F$8:$F$42)-MIN(ROW('03.Muestra'!$D$8:$D$42))+1,""),ROW()-208)),"")</f>
        <v>https://www.portcastello.com/</v>
      </c>
      <c r="D236" s="130" t="s">
        <v>33</v>
      </c>
      <c r="E236" s="107" t="str">
        <f t="shared" si="10"/>
        <v/>
      </c>
      <c r="G236" s="19"/>
      <c r="H236" s="19"/>
      <c r="I236" s="19"/>
      <c r="J236" s="19"/>
      <c r="K236" s="233"/>
    </row>
    <row r="237" spans="1:11" ht="12" customHeight="1">
      <c r="A237" s="219" t="n" cm="1">
        <f t="array" ref="A237">IFERROR(INDEX('03.Muestra'!$B$8:$B$42,SMALL(IF("Página Web"='03.Muestra'!$D$8:$D$42,ROW('03.Muestra'!$B$8:$B$42)-MIN(ROW('03.Muestra'!$D$8:$D$42))+1,""),ROW()-208)),"")</f>
        <v>1.0</v>
      </c>
      <c r="B237" s="114" t="str" cm="1">
        <f t="array" ref="B237">IFERROR(INDEX('03.Muestra'!$C$8:$C$42,SMALL(IF("Página Web"='03.Muestra'!$D$8:$D$42,ROW('03.Muestra'!$C$8:$C$42)-MIN(ROW('03.Muestra'!$D$8:$D$42))+1,""),ROW()-208)),"")</f>
        <v>Home - PortCastelló</v>
      </c>
      <c r="C237" s="114" t="str" cm="1">
        <f t="array" ref="C237">IFERROR(INDEX('03.Muestra'!$F$8:$F$42,SMALL(IF("Página Web"='03.Muestra'!$D$8:$D$42,ROW('03.Muestra'!$F$8:$F$42)-MIN(ROW('03.Muestra'!$D$8:$D$42))+1,""),ROW()-208)),"")</f>
        <v>https://www.portcastello.com/</v>
      </c>
      <c r="D237" s="130" t="s">
        <v>33</v>
      </c>
      <c r="E237" s="107" t="str">
        <f t="shared" si="10"/>
        <v/>
      </c>
      <c r="F237" s="124"/>
      <c r="G237" s="19"/>
      <c r="H237" s="19"/>
      <c r="I237" s="19"/>
      <c r="J237" s="19"/>
      <c r="K237" s="233"/>
    </row>
    <row r="238" spans="1:11" ht="12" customHeight="1">
      <c r="A238" s="219" t="n" cm="1">
        <f t="array" ref="A238">IFERROR(INDEX('03.Muestra'!$B$8:$B$42,SMALL(IF("Página Web"='03.Muestra'!$D$8:$D$42,ROW('03.Muestra'!$B$8:$B$42)-MIN(ROW('03.Muestra'!$D$8:$D$42))+1,""),ROW()-208)),"")</f>
        <v>1.0</v>
      </c>
      <c r="B238" s="114" t="str" cm="1">
        <f t="array" ref="B238">IFERROR(INDEX('03.Muestra'!$C$8:$C$42,SMALL(IF("Página Web"='03.Muestra'!$D$8:$D$42,ROW('03.Muestra'!$C$8:$C$42)-MIN(ROW('03.Muestra'!$D$8:$D$42))+1,""),ROW()-208)),"")</f>
        <v>Home - PortCastelló</v>
      </c>
      <c r="C238" s="114" t="str" cm="1">
        <f t="array" ref="C238">IFERROR(INDEX('03.Muestra'!$F$8:$F$42,SMALL(IF("Página Web"='03.Muestra'!$D$8:$D$42,ROW('03.Muestra'!$F$8:$F$42)-MIN(ROW('03.Muestra'!$D$8:$D$42))+1,""),ROW()-208)),"")</f>
        <v>https://www.portcastello.com/</v>
      </c>
      <c r="D238" s="130" t="s">
        <v>33</v>
      </c>
      <c r="E238" s="107" t="str">
        <f t="shared" si="10"/>
        <v/>
      </c>
      <c r="F238" s="124"/>
      <c r="G238" s="19"/>
      <c r="H238" s="19"/>
      <c r="I238" s="19"/>
      <c r="J238" s="19"/>
      <c r="K238" s="233"/>
    </row>
    <row r="239" spans="1:11" ht="12" customHeight="1">
      <c r="A239" s="219" t="n" cm="1">
        <f t="array" ref="A239">IFERROR(INDEX('03.Muestra'!$B$8:$B$42,SMALL(IF("Página Web"='03.Muestra'!$D$8:$D$42,ROW('03.Muestra'!$B$8:$B$42)-MIN(ROW('03.Muestra'!$D$8:$D$42))+1,""),ROW()-208)),"")</f>
        <v>1.0</v>
      </c>
      <c r="B239" s="114" t="str" cm="1">
        <f t="array" ref="B239">IFERROR(INDEX('03.Muestra'!$C$8:$C$42,SMALL(IF("Página Web"='03.Muestra'!$D$8:$D$42,ROW('03.Muestra'!$C$8:$C$42)-MIN(ROW('03.Muestra'!$D$8:$D$42))+1,""),ROW()-208)),"")</f>
        <v>Home - PortCastelló</v>
      </c>
      <c r="C239" s="114" t="str" cm="1">
        <f t="array" ref="C239">IFERROR(INDEX('03.Muestra'!$F$8:$F$42,SMALL(IF("Página Web"='03.Muestra'!$D$8:$D$42,ROW('03.Muestra'!$F$8:$F$42)-MIN(ROW('03.Muestra'!$D$8:$D$42))+1,""),ROW()-208)),"")</f>
        <v>https://www.portcastello.com/</v>
      </c>
      <c r="D239" s="130" t="s">
        <v>33</v>
      </c>
      <c r="E239" s="107" t="str">
        <f t="shared" si="10"/>
        <v/>
      </c>
      <c r="F239" s="124"/>
      <c r="G239" s="19"/>
      <c r="H239" s="19"/>
      <c r="I239" s="19"/>
      <c r="J239" s="19"/>
      <c r="K239" s="233"/>
    </row>
    <row r="240" spans="1:11" ht="12" customHeight="1">
      <c r="A240" s="219" t="n" cm="1">
        <f t="array" ref="A240">IFERROR(INDEX('03.Muestra'!$B$8:$B$42,SMALL(IF("Página Web"='03.Muestra'!$D$8:$D$42,ROW('03.Muestra'!$B$8:$B$42)-MIN(ROW('03.Muestra'!$D$8:$D$42))+1,""),ROW()-208)),"")</f>
        <v>1.0</v>
      </c>
      <c r="B240" s="114" t="str" cm="1">
        <f t="array" ref="B240">IFERROR(INDEX('03.Muestra'!$C$8:$C$42,SMALL(IF("Página Web"='03.Muestra'!$D$8:$D$42,ROW('03.Muestra'!$C$8:$C$42)-MIN(ROW('03.Muestra'!$D$8:$D$42))+1,""),ROW()-208)),"")</f>
        <v>Home - PortCastelló</v>
      </c>
      <c r="C240" s="114" t="str" cm="1">
        <f t="array" ref="C240">IFERROR(INDEX('03.Muestra'!$F$8:$F$42,SMALL(IF("Página Web"='03.Muestra'!$D$8:$D$42,ROW('03.Muestra'!$F$8:$F$42)-MIN(ROW('03.Muestra'!$D$8:$D$42))+1,""),ROW()-208)),"")</f>
        <v>https://www.portcastello.com/</v>
      </c>
      <c r="D240" s="130" t="s">
        <v>33</v>
      </c>
      <c r="E240" s="107" t="str">
        <f t="shared" si="10"/>
        <v/>
      </c>
      <c r="F240" s="124"/>
      <c r="G240" s="19"/>
      <c r="H240" s="19"/>
      <c r="I240" s="19"/>
      <c r="J240" s="19"/>
      <c r="K240" s="233"/>
    </row>
    <row r="241" spans="1:11" ht="12" customHeight="1">
      <c r="A241" s="219" t="n" cm="1">
        <f t="array" ref="A241">IFERROR(INDEX('03.Muestra'!$B$8:$B$42,SMALL(IF("Página Web"='03.Muestra'!$D$8:$D$42,ROW('03.Muestra'!$B$8:$B$42)-MIN(ROW('03.Muestra'!$D$8:$D$42))+1,""),ROW()-208)),"")</f>
        <v>1.0</v>
      </c>
      <c r="B241" s="114" t="str" cm="1">
        <f t="array" ref="B241">IFERROR(INDEX('03.Muestra'!$C$8:$C$42,SMALL(IF("Página Web"='03.Muestra'!$D$8:$D$42,ROW('03.Muestra'!$C$8:$C$42)-MIN(ROW('03.Muestra'!$D$8:$D$42))+1,""),ROW()-208)),"")</f>
        <v>Home - PortCastelló</v>
      </c>
      <c r="C241" s="114" t="str" cm="1">
        <f t="array" ref="C241">IFERROR(INDEX('03.Muestra'!$F$8:$F$42,SMALL(IF("Página Web"='03.Muestra'!$D$8:$D$42,ROW('03.Muestra'!$F$8:$F$42)-MIN(ROW('03.Muestra'!$D$8:$D$42))+1,""),ROW()-208)),"")</f>
        <v>https://www.portcastello.com/</v>
      </c>
      <c r="D241" s="130" t="s">
        <v>33</v>
      </c>
      <c r="E241" s="107" t="str">
        <f t="shared" si="10"/>
        <v/>
      </c>
      <c r="F241" s="124"/>
      <c r="G241" s="19"/>
      <c r="H241" s="19"/>
      <c r="I241" s="19"/>
      <c r="J241" s="19"/>
      <c r="K241" s="233"/>
    </row>
    <row r="242" spans="1:11" ht="12" customHeight="1">
      <c r="A242" s="219" t="str" cm="1">
        <f t="array" ref="A242">IFERROR(INDEX('03.Muestra'!$B$8:$B$42,SMALL(IF("Página Web"='03.Muestra'!$D$8:$D$42,ROW('03.Muestra'!$B$8:$B$42)-MIN(ROW('03.Muestra'!$D$8:$D$42))+1,""),ROW()-208)),"")</f>
        <v/>
      </c>
      <c r="B242" s="114" t="str" cm="1">
        <f t="array" ref="B242">IFERROR(INDEX('03.Muestra'!$C$8:$C$42,SMALL(IF("Página Web"='03.Muestra'!$D$8:$D$42,ROW('03.Muestra'!$C$8:$C$42)-MIN(ROW('03.Muestra'!$D$8:$D$42))+1,""),ROW()-208)),"")</f>
        <v/>
      </c>
      <c r="C242" s="114" t="str" cm="1">
        <f t="array" ref="C242">IFERROR(INDEX('03.Muestra'!$F$8:$F$42,SMALL(IF("Página Web"='03.Muestra'!$D$8:$D$42,ROW('03.Muestra'!$F$8:$F$42)-MIN(ROW('03.Muestra'!$D$8:$D$42))+1,""),ROW()-208)),"")</f>
        <v/>
      </c>
      <c r="D242" s="130" t="str">
        <f t="shared" si="11" ref="D242:D243">IF(AND(B242&lt;&gt;"",C242&lt;&gt;""),"N/T","")</f>
        <v/>
      </c>
      <c r="E242" s="107" t="str">
        <f t="shared" si="10"/>
        <v/>
      </c>
      <c r="F242" s="124"/>
      <c r="G242" s="19"/>
      <c r="H242" s="19"/>
      <c r="I242" s="19"/>
      <c r="J242" s="19"/>
      <c r="K242" s="233"/>
    </row>
    <row r="243" spans="1:11" ht="12" customHeight="1">
      <c r="A243" s="219" t="str" cm="1">
        <f t="array" ref="A243">IFERROR(INDEX('03.Muestra'!$B$8:$B$42,SMALL(IF("Página Web"='03.Muestra'!$D$8:$D$42,ROW('03.Muestra'!$B$8:$B$42)-MIN(ROW('03.Muestra'!$D$8:$D$42))+1,""),ROW()-208)),"")</f>
        <v/>
      </c>
      <c r="B243" s="114" t="str" cm="1">
        <f t="array" ref="B243">IFERROR(INDEX('03.Muestra'!$C$8:$C$42,SMALL(IF("Página Web"='03.Muestra'!$D$8:$D$42,ROW('03.Muestra'!$C$8:$C$42)-MIN(ROW('03.Muestra'!$D$8:$D$42))+1,""),ROW()-208)),"")</f>
        <v/>
      </c>
      <c r="C243" s="114" t="str" cm="1">
        <f t="array" ref="C243">IFERROR(INDEX('03.Muestra'!$F$8:$F$42,SMALL(IF("Página Web"='03.Muestra'!$D$8:$D$42,ROW('03.Muestra'!$F$8:$F$42)-MIN(ROW('03.Muestra'!$D$8:$D$42))+1,""),ROW()-208)),"")</f>
        <v/>
      </c>
      <c r="D243" s="130" t="str">
        <f t="shared" si="11"/>
        <v/>
      </c>
      <c r="E243" s="107" t="str">
        <f t="shared" si="10"/>
        <v/>
      </c>
      <c r="F243" s="19"/>
      <c r="G243" s="19"/>
      <c r="H243" s="19"/>
      <c r="I243" s="19"/>
      <c r="J243" s="19"/>
      <c r="K243" s="19"/>
    </row>
    <row r="244" spans="1:11" ht="15">
      <c r="B244" s="19"/>
      <c r="C244" s="19"/>
      <c r="D244" s="107"/>
      <c r="E244" s="107"/>
      <c r="F244" s="19"/>
      <c r="G244" s="19"/>
      <c r="H244" s="19"/>
      <c r="I244" s="19"/>
      <c r="J244" s="19"/>
      <c r="K244" s="19"/>
    </row>
  </sheetData>
  <sheetCalcPr fullCalcOnLoad="true"/>
  <sheetProtection password="DC4E" sheet="true" scenarios="true" objects="true"/>
  <mergeCells count="3">
    <mergeCell ref="B11:C11"/>
    <mergeCell ref="B8:M8"/>
    <mergeCell ref="B9:M9"/>
  </mergeCells>
  <conditionalFormatting sqref="E19:E53 E57:E91 E95:E129 E133:E167 E171:E205 E209:E243">
    <cfRule type="cellIs" dxfId="229" priority="1232" stopIfTrue="1" operator="equal">
      <formula>"ERR"</formula>
    </cfRule>
  </conditionalFormatting>
  <conditionalFormatting sqref="D19:D53 D57:D91 D95:D129 D133:D167 D171:D205 D209:D243 F19:J19 F57:J57 F95:J95 F133:J133 F171:J171 F209:J209">
    <cfRule type="expression" dxfId="228" priority="1226" stopIfTrue="1">
      <formula>ISBLANK(D19)</formula>
    </cfRule>
    <cfRule type="cellIs" dxfId="227" priority="1227" stopIfTrue="1" operator="equal">
      <formula>"Pasa"</formula>
    </cfRule>
    <cfRule type="cellIs" dxfId="226" priority="1228" stopIfTrue="1" operator="equal">
      <formula>"Falla"</formula>
    </cfRule>
    <cfRule type="cellIs" dxfId="225" priority="1229" stopIfTrue="1" operator="equal">
      <formula>"N/A"</formula>
    </cfRule>
    <cfRule type="cellIs" dxfId="224" priority="1230" stopIfTrue="1" operator="equal">
      <formula>"N/T"</formula>
    </cfRule>
    <cfRule type="cellIs" dxfId="223" priority="1231" stopIfTrue="1" operator="equal">
      <formula>"N/D"</formula>
    </cfRule>
  </conditionalFormatting>
  <conditionalFormatting sqref="D1:D7 D11:D1048576">
    <cfRule type="cellIs" dxfId="222" priority="979" stopIfTrue="1" operator="equal">
      <formula>"-"</formula>
    </cfRule>
  </conditionalFormatting>
  <conditionalFormatting sqref="D19:D53">
    <cfRule type="expression" dxfId="221" priority="469" stopIfTrue="1">
      <formula>ISBLANK(D19)</formula>
    </cfRule>
    <cfRule type="cellIs" dxfId="220" priority="470" stopIfTrue="1" operator="equal">
      <formula>"Pasa"</formula>
    </cfRule>
    <cfRule type="cellIs" dxfId="219" priority="471" stopIfTrue="1" operator="equal">
      <formula>"Falla"</formula>
    </cfRule>
    <cfRule type="cellIs" dxfId="218" priority="472" stopIfTrue="1" operator="equal">
      <formula>"N/A"</formula>
    </cfRule>
    <cfRule type="cellIs" dxfId="217" priority="473" stopIfTrue="1" operator="equal">
      <formula>"N/T"</formula>
    </cfRule>
    <cfRule type="cellIs" dxfId="216" priority="474" stopIfTrue="1" operator="equal">
      <formula>"N/D"</formula>
    </cfRule>
  </conditionalFormatting>
  <conditionalFormatting sqref="D19:D53">
    <cfRule type="expression" dxfId="215" priority="463" stopIfTrue="1">
      <formula>ISBLANK(D19)</formula>
    </cfRule>
    <cfRule type="cellIs" dxfId="214" priority="464" stopIfTrue="1" operator="equal">
      <formula>"Pasa"</formula>
    </cfRule>
    <cfRule type="cellIs" dxfId="213" priority="465" stopIfTrue="1" operator="equal">
      <formula>"Falla"</formula>
    </cfRule>
    <cfRule type="cellIs" dxfId="212" priority="466" stopIfTrue="1" operator="equal">
      <formula>"N/A"</formula>
    </cfRule>
    <cfRule type="cellIs" dxfId="211" priority="467" stopIfTrue="1" operator="equal">
      <formula>"N/T"</formula>
    </cfRule>
    <cfRule type="cellIs" dxfId="210" priority="468" stopIfTrue="1" operator="equal">
      <formula>"N/D"</formula>
    </cfRule>
  </conditionalFormatting>
  <conditionalFormatting sqref="D57:D91">
    <cfRule type="expression" dxfId="209" priority="457" stopIfTrue="1">
      <formula>ISBLANK(D57)</formula>
    </cfRule>
    <cfRule type="cellIs" dxfId="208" priority="458" stopIfTrue="1" operator="equal">
      <formula>"Pasa"</formula>
    </cfRule>
    <cfRule type="cellIs" dxfId="207" priority="459" stopIfTrue="1" operator="equal">
      <formula>"Falla"</formula>
    </cfRule>
    <cfRule type="cellIs" dxfId="206" priority="460" stopIfTrue="1" operator="equal">
      <formula>"N/A"</formula>
    </cfRule>
    <cfRule type="cellIs" dxfId="205" priority="461" stopIfTrue="1" operator="equal">
      <formula>"N/T"</formula>
    </cfRule>
    <cfRule type="cellIs" dxfId="204" priority="462" stopIfTrue="1" operator="equal">
      <formula>"N/D"</formula>
    </cfRule>
  </conditionalFormatting>
  <conditionalFormatting sqref="D57:D91">
    <cfRule type="expression" dxfId="203" priority="451" stopIfTrue="1">
      <formula>ISBLANK(D57)</formula>
    </cfRule>
    <cfRule type="cellIs" dxfId="202" priority="452" stopIfTrue="1" operator="equal">
      <formula>"Pasa"</formula>
    </cfRule>
    <cfRule type="cellIs" dxfId="201" priority="453" stopIfTrue="1" operator="equal">
      <formula>"Falla"</formula>
    </cfRule>
    <cfRule type="cellIs" dxfId="200" priority="454" stopIfTrue="1" operator="equal">
      <formula>"N/A"</formula>
    </cfRule>
    <cfRule type="cellIs" dxfId="199" priority="455" stopIfTrue="1" operator="equal">
      <formula>"N/T"</formula>
    </cfRule>
    <cfRule type="cellIs" dxfId="198" priority="456" stopIfTrue="1" operator="equal">
      <formula>"N/D"</formula>
    </cfRule>
  </conditionalFormatting>
  <conditionalFormatting sqref="D95:D129">
    <cfRule type="expression" dxfId="197" priority="445" stopIfTrue="1">
      <formula>ISBLANK(D95)</formula>
    </cfRule>
    <cfRule type="cellIs" dxfId="196" priority="446" stopIfTrue="1" operator="equal">
      <formula>"Pasa"</formula>
    </cfRule>
    <cfRule type="cellIs" dxfId="195" priority="447" stopIfTrue="1" operator="equal">
      <formula>"Falla"</formula>
    </cfRule>
    <cfRule type="cellIs" dxfId="194" priority="448" stopIfTrue="1" operator="equal">
      <formula>"N/A"</formula>
    </cfRule>
    <cfRule type="cellIs" dxfId="193" priority="449" stopIfTrue="1" operator="equal">
      <formula>"N/T"</formula>
    </cfRule>
    <cfRule type="cellIs" dxfId="192" priority="450" stopIfTrue="1" operator="equal">
      <formula>"N/D"</formula>
    </cfRule>
  </conditionalFormatting>
  <conditionalFormatting sqref="D95:D129">
    <cfRule type="expression" dxfId="191" priority="439" stopIfTrue="1">
      <formula>ISBLANK(D95)</formula>
    </cfRule>
    <cfRule type="cellIs" dxfId="190" priority="440" stopIfTrue="1" operator="equal">
      <formula>"Pasa"</formula>
    </cfRule>
    <cfRule type="cellIs" dxfId="189" priority="441" stopIfTrue="1" operator="equal">
      <formula>"Falla"</formula>
    </cfRule>
    <cfRule type="cellIs" dxfId="188" priority="442" stopIfTrue="1" operator="equal">
      <formula>"N/A"</formula>
    </cfRule>
    <cfRule type="cellIs" dxfId="187" priority="443" stopIfTrue="1" operator="equal">
      <formula>"N/T"</formula>
    </cfRule>
    <cfRule type="cellIs" dxfId="186" priority="444" stopIfTrue="1" operator="equal">
      <formula>"N/D"</formula>
    </cfRule>
  </conditionalFormatting>
  <conditionalFormatting sqref="D133:D167">
    <cfRule type="expression" dxfId="185" priority="433" stopIfTrue="1">
      <formula>ISBLANK(D133)</formula>
    </cfRule>
    <cfRule type="cellIs" dxfId="184" priority="434" stopIfTrue="1" operator="equal">
      <formula>"Pasa"</formula>
    </cfRule>
    <cfRule type="cellIs" dxfId="183" priority="435" stopIfTrue="1" operator="equal">
      <formula>"Falla"</formula>
    </cfRule>
    <cfRule type="cellIs" dxfId="182" priority="436" stopIfTrue="1" operator="equal">
      <formula>"N/A"</formula>
    </cfRule>
    <cfRule type="cellIs" dxfId="181" priority="437" stopIfTrue="1" operator="equal">
      <formula>"N/T"</formula>
    </cfRule>
    <cfRule type="cellIs" dxfId="180" priority="438" stopIfTrue="1" operator="equal">
      <formula>"N/D"</formula>
    </cfRule>
  </conditionalFormatting>
  <conditionalFormatting sqref="D133:D167">
    <cfRule type="expression" dxfId="179" priority="427" stopIfTrue="1">
      <formula>ISBLANK(D133)</formula>
    </cfRule>
    <cfRule type="cellIs" dxfId="178" priority="428" stopIfTrue="1" operator="equal">
      <formula>"Pasa"</formula>
    </cfRule>
    <cfRule type="cellIs" dxfId="177" priority="429" stopIfTrue="1" operator="equal">
      <formula>"Falla"</formula>
    </cfRule>
    <cfRule type="cellIs" dxfId="176" priority="430" stopIfTrue="1" operator="equal">
      <formula>"N/A"</formula>
    </cfRule>
    <cfRule type="cellIs" dxfId="175" priority="431" stopIfTrue="1" operator="equal">
      <formula>"N/T"</formula>
    </cfRule>
    <cfRule type="cellIs" dxfId="174" priority="432" stopIfTrue="1" operator="equal">
      <formula>"N/D"</formula>
    </cfRule>
  </conditionalFormatting>
  <conditionalFormatting sqref="D171:D205">
    <cfRule type="expression" dxfId="173" priority="421" stopIfTrue="1">
      <formula>ISBLANK(D171)</formula>
    </cfRule>
    <cfRule type="cellIs" dxfId="172" priority="422" stopIfTrue="1" operator="equal">
      <formula>"Pasa"</formula>
    </cfRule>
    <cfRule type="cellIs" dxfId="171" priority="423" stopIfTrue="1" operator="equal">
      <formula>"Falla"</formula>
    </cfRule>
    <cfRule type="cellIs" dxfId="170" priority="424" stopIfTrue="1" operator="equal">
      <formula>"N/A"</formula>
    </cfRule>
    <cfRule type="cellIs" dxfId="169" priority="425" stopIfTrue="1" operator="equal">
      <formula>"N/T"</formula>
    </cfRule>
    <cfRule type="cellIs" dxfId="168" priority="426" stopIfTrue="1" operator="equal">
      <formula>"N/D"</formula>
    </cfRule>
  </conditionalFormatting>
  <conditionalFormatting sqref="D171:D205">
    <cfRule type="expression" dxfId="167" priority="415" stopIfTrue="1">
      <formula>ISBLANK(D171)</formula>
    </cfRule>
    <cfRule type="cellIs" dxfId="166" priority="416" stopIfTrue="1" operator="equal">
      <formula>"Pasa"</formula>
    </cfRule>
    <cfRule type="cellIs" dxfId="165" priority="417" stopIfTrue="1" operator="equal">
      <formula>"Falla"</formula>
    </cfRule>
    <cfRule type="cellIs" dxfId="164" priority="418" stopIfTrue="1" operator="equal">
      <formula>"N/A"</formula>
    </cfRule>
    <cfRule type="cellIs" dxfId="163" priority="419" stopIfTrue="1" operator="equal">
      <formula>"N/T"</formula>
    </cfRule>
    <cfRule type="cellIs" dxfId="162" priority="420" stopIfTrue="1" operator="equal">
      <formula>"N/D"</formula>
    </cfRule>
  </conditionalFormatting>
  <conditionalFormatting sqref="D209:D243">
    <cfRule type="expression" dxfId="161" priority="409" stopIfTrue="1">
      <formula>ISBLANK(D209)</formula>
    </cfRule>
    <cfRule type="cellIs" dxfId="160" priority="410" stopIfTrue="1" operator="equal">
      <formula>"Pasa"</formula>
    </cfRule>
    <cfRule type="cellIs" dxfId="159" priority="411" stopIfTrue="1" operator="equal">
      <formula>"Falla"</formula>
    </cfRule>
    <cfRule type="cellIs" dxfId="158" priority="412" stopIfTrue="1" operator="equal">
      <formula>"N/A"</formula>
    </cfRule>
    <cfRule type="cellIs" dxfId="157" priority="413" stopIfTrue="1" operator="equal">
      <formula>"N/T"</formula>
    </cfRule>
    <cfRule type="cellIs" dxfId="156" priority="414" stopIfTrue="1" operator="equal">
      <formula>"N/D"</formula>
    </cfRule>
  </conditionalFormatting>
  <conditionalFormatting sqref="D209:D243">
    <cfRule type="expression" dxfId="155" priority="403" stopIfTrue="1">
      <formula>ISBLANK(D209)</formula>
    </cfRule>
    <cfRule type="cellIs" dxfId="154" priority="404" stopIfTrue="1" operator="equal">
      <formula>"Pasa"</formula>
    </cfRule>
    <cfRule type="cellIs" dxfId="153" priority="405" stopIfTrue="1" operator="equal">
      <formula>"Falla"</formula>
    </cfRule>
    <cfRule type="cellIs" dxfId="152" priority="406" stopIfTrue="1" operator="equal">
      <formula>"N/A"</formula>
    </cfRule>
    <cfRule type="cellIs" dxfId="151" priority="407" stopIfTrue="1" operator="equal">
      <formula>"N/T"</formula>
    </cfRule>
    <cfRule type="cellIs" dxfId="150" priority="408" stopIfTrue="1" operator="equal">
      <formula>"N/D"</formula>
    </cfRule>
  </conditionalFormatting>
  <conditionalFormatting sqref="K23">
    <cfRule type="expression" dxfId="149" priority="7" stopIfTrue="1">
      <formula>ISBLANK(K23)</formula>
    </cfRule>
    <cfRule type="cellIs" dxfId="148" priority="8" stopIfTrue="1" operator="equal">
      <formula>"Pasa"</formula>
    </cfRule>
    <cfRule type="cellIs" dxfId="147" priority="9" stopIfTrue="1" operator="equal">
      <formula>"Falla"</formula>
    </cfRule>
    <cfRule type="cellIs" dxfId="146" priority="10" stopIfTrue="1" operator="equal">
      <formula>"N/A"</formula>
    </cfRule>
    <cfRule type="cellIs" dxfId="145" priority="11" stopIfTrue="1" operator="equal">
      <formula>"N/T"</formula>
    </cfRule>
    <cfRule type="cellIs" dxfId="144" priority="12" stopIfTrue="1" operator="equal">
      <formula>"N/D"</formula>
    </cfRule>
  </conditionalFormatting>
  <conditionalFormatting sqref="K24">
    <cfRule type="expression" dxfId="143" priority="1" stopIfTrue="1">
      <formula>ISBLANK(K24)</formula>
    </cfRule>
    <cfRule type="cellIs" dxfId="142" priority="2" stopIfTrue="1" operator="equal">
      <formula>"Pasa"</formula>
    </cfRule>
    <cfRule type="cellIs" dxfId="141" priority="3" stopIfTrue="1" operator="equal">
      <formula>"Falla"</formula>
    </cfRule>
    <cfRule type="cellIs" dxfId="140" priority="4" stopIfTrue="1" operator="equal">
      <formula>"N/A"</formula>
    </cfRule>
    <cfRule type="cellIs" dxfId="139" priority="5" stopIfTrue="1" operator="equal">
      <formula>"N/T"</formula>
    </cfRule>
    <cfRule type="cellIs" dxfId="138" priority="6" stopIfTrue="1" operator="equal">
      <formula>"N/D"</formula>
    </cfRule>
  </conditionalFormatting>
  <pageMargins left="0.7" right="0.7" top="0.75" bottom="0.75" header="0.51180555555555496" footer="0.51180555555555496"/>
  <pageSetup firstPageNumber="0" orientation="portrait" horizontalDpi="300" verticalDpi="300" r:id="rId1"/>
  <drawing r:id="rId2"/>
  <legacyDrawing r:id="rId3"/>
  <extLst>
    <ext uri="{CCE6A557-97BC-4b89-ADB6-D9C93CAAB3DF}">
      <x14:dataValidations xmlns:xm="http://schemas.microsoft.com/office/excel/2006/main" count="1">
        <x14:dataValidation type="list" operator="equal" showErrorMessage="1">
          <x14:formula1>
            <xm:f>'DATA - Oculta'!$U$9:$U$13</xm:f>
          </x14:formula1>
          <xm:sqref>D95:D129 D133:D167 D171:D205 D19:D53 D57:D91 D209:D243</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3"/>
  <dimension ref="A1:BL652"/>
  <sheetViews>
    <sheetView topLeftCell="A13" zoomScale="65" zoomScaleNormal="65" workbookViewId="0"/>
  </sheetViews>
  <sheetFormatPr baseColWidth="10" defaultColWidth="11.5703125" defaultRowHeight="12.75"/>
  <cols>
    <col min="1" max="1" customWidth="true" style="14" width="7.85546875" collapsed="false"/>
    <col min="2" max="2" customWidth="true" style="14" width="16.140625" collapsed="false"/>
    <col min="3" max="3" customWidth="true" style="14" width="56.0" collapsed="false"/>
    <col min="4" max="4" customWidth="true" style="113" width="18.28515625" collapsed="false"/>
    <col min="5" max="5" customWidth="true" style="113" width="5.5703125" collapsed="false"/>
    <col min="6" max="6" bestFit="true" customWidth="true" style="14" width="16.42578125" collapsed="false"/>
    <col min="7" max="7" customWidth="true" style="14" width="14.7109375" collapsed="false"/>
    <col min="8" max="8" customWidth="true" style="14" width="12.5703125" collapsed="false"/>
    <col min="9" max="9" customWidth="true" style="14" width="11.7109375" collapsed="false"/>
    <col min="10" max="10" bestFit="true" customWidth="true" style="14" width="17.28515625" collapsed="false"/>
    <col min="11" max="11" customWidth="true" style="14" width="14.5703125" collapsed="false"/>
    <col min="12" max="12" customWidth="true" style="14" width="12.5703125" collapsed="false"/>
    <col min="13" max="13" customWidth="true" style="14" width="18.42578125" collapsed="false"/>
    <col min="14" max="15" customWidth="true" style="14" width="12.5703125" collapsed="false"/>
    <col min="16" max="16" customWidth="true" style="14" width="19.5703125" collapsed="false"/>
    <col min="17" max="17" customWidth="true" style="14" width="6.85546875" collapsed="false"/>
    <col min="18" max="18" customWidth="true" style="14" width="4.7109375" collapsed="false"/>
    <col min="19" max="19" customWidth="true" style="14" width="12.85546875" collapsed="false"/>
    <col min="20" max="20" customWidth="true" style="14" width="12.140625" collapsed="false"/>
    <col min="21" max="21" customWidth="true" style="14" width="6.7109375" collapsed="false"/>
    <col min="22" max="22" customWidth="true" style="14" width="5.5703125" collapsed="false"/>
    <col min="23" max="23" customWidth="true" style="14" width="12.0" collapsed="false"/>
    <col min="24" max="24" customWidth="true" style="14" width="11.85546875" collapsed="false"/>
    <col min="25" max="25" customWidth="true" style="14" width="7.28515625" collapsed="false"/>
    <col min="26" max="64" customWidth="true" style="14" width="14.42578125" collapsed="false"/>
    <col min="65" max="16384" style="14" width="11.5703125" collapsed="false"/>
  </cols>
  <sheetData>
    <row r="1" spans="1:64" ht="14.1" customHeight="1">
      <c r="A1" s="28"/>
      <c r="B1" s="21"/>
      <c r="C1" s="21"/>
      <c r="D1" s="106"/>
      <c r="E1" s="107"/>
      <c r="F1" s="19"/>
      <c r="G1" s="19"/>
      <c r="H1" s="19"/>
      <c r="I1" s="19"/>
      <c r="J1" s="19"/>
      <c r="K1" s="19"/>
      <c r="L1" s="19"/>
      <c r="M1" s="19"/>
      <c r="N1" s="19"/>
      <c r="O1" s="19"/>
      <c r="P1" s="19"/>
      <c r="Q1" s="19"/>
      <c r="R1" s="19"/>
      <c r="S1" s="19"/>
      <c r="T1" s="19"/>
      <c r="U1" s="19"/>
      <c r="V1" s="19"/>
      <c r="W1" s="19"/>
      <c r="X1" s="19"/>
      <c r="Y1" s="19"/>
      <c r="Z1" s="19"/>
    </row>
    <row r="2" spans="1:64" ht="27" customHeight="1">
      <c r="A2" s="28"/>
      <c r="B2" s="64" t="s">
        <v>0</v>
      </c>
      <c r="C2" s="28"/>
      <c r="D2" s="106"/>
      <c r="E2" s="107"/>
      <c r="P2" s="19"/>
      <c r="Q2" s="19"/>
      <c r="R2" s="19"/>
      <c r="S2" s="19"/>
      <c r="T2" s="19"/>
      <c r="U2" s="19"/>
      <c r="V2" s="19"/>
      <c r="W2" s="19"/>
      <c r="X2" s="19"/>
      <c r="Y2" s="19"/>
      <c r="Z2" s="19"/>
    </row>
    <row r="3" spans="1:64" ht="26.1" customHeight="1">
      <c r="A3" s="28"/>
      <c r="B3" s="65" t="s">
        <v>278</v>
      </c>
      <c r="C3" s="28"/>
      <c r="D3" s="106"/>
      <c r="E3" s="107"/>
    </row>
    <row r="4" spans="1:64" ht="26.1" customHeight="1">
      <c r="B4" s="27"/>
      <c r="C4" s="66"/>
      <c r="D4" s="14"/>
      <c r="E4" s="14"/>
      <c r="K4" s="19"/>
      <c r="N4" s="19"/>
      <c r="O4" s="19"/>
    </row>
    <row r="5" spans="1:64" ht="27.95" customHeight="1">
      <c r="B5" s="137" t="s">
        <v>22</v>
      </c>
      <c r="C5" s="137"/>
      <c r="D5" s="78"/>
      <c r="E5" s="108"/>
      <c r="F5" s="78"/>
      <c r="G5" s="78"/>
      <c r="H5" s="78"/>
      <c r="I5" s="78"/>
      <c r="J5" s="78"/>
      <c r="K5" s="78"/>
      <c r="L5" s="78"/>
      <c r="M5" s="78"/>
      <c r="N5" s="67"/>
      <c r="O5" s="67"/>
      <c r="AA5" s="68"/>
      <c r="AB5" s="68"/>
      <c r="AC5" s="68"/>
      <c r="AD5" s="68"/>
      <c r="AE5" s="68"/>
      <c r="AF5" s="68"/>
      <c r="AG5" s="68"/>
      <c r="AH5" s="68"/>
      <c r="AI5" s="68"/>
      <c r="AJ5" s="68"/>
      <c r="AK5" s="68"/>
      <c r="AL5" s="68"/>
      <c r="AM5" s="68"/>
      <c r="AN5" s="68"/>
      <c r="AO5" s="68"/>
      <c r="AP5" s="68"/>
      <c r="AQ5" s="68"/>
      <c r="AR5" s="68"/>
      <c r="AS5" s="68"/>
      <c r="AT5" s="68"/>
      <c r="AU5" s="68"/>
      <c r="AV5" s="68"/>
      <c r="AW5" s="68"/>
      <c r="AX5" s="68"/>
      <c r="AY5" s="68"/>
      <c r="AZ5" s="68"/>
      <c r="BA5" s="68"/>
      <c r="BB5" s="68"/>
      <c r="BC5" s="68"/>
      <c r="BD5" s="68"/>
      <c r="BE5" s="68"/>
      <c r="BF5" s="68"/>
      <c r="BG5" s="68"/>
      <c r="BH5" s="68"/>
      <c r="BI5" s="68"/>
      <c r="BJ5" s="68"/>
      <c r="BK5" s="68"/>
      <c r="BL5" s="68"/>
    </row>
    <row r="6" spans="1:64" ht="11.65" customHeight="1">
      <c r="B6" s="170"/>
      <c r="C6" s="170"/>
      <c r="D6" s="170"/>
      <c r="E6" s="171"/>
      <c r="F6" s="170"/>
      <c r="G6" s="170"/>
      <c r="H6" s="170"/>
      <c r="I6" s="170"/>
      <c r="J6" s="170"/>
      <c r="K6" s="170"/>
      <c r="L6" s="170"/>
      <c r="M6" s="170"/>
      <c r="N6" s="19"/>
      <c r="O6" s="19"/>
    </row>
    <row r="7" spans="1:64" ht="12.6" customHeight="1">
      <c r="B7" s="19"/>
      <c r="C7" s="19"/>
      <c r="D7" s="19"/>
      <c r="E7" s="107"/>
      <c r="F7" s="19"/>
      <c r="G7" s="19"/>
      <c r="H7" s="19"/>
      <c r="I7" s="19"/>
      <c r="J7" s="19"/>
      <c r="K7" s="19"/>
      <c r="L7" s="19"/>
      <c r="M7" s="19"/>
      <c r="N7" s="19"/>
      <c r="O7" s="19"/>
    </row>
    <row r="8" spans="1:64" ht="18.95" customHeight="1">
      <c r="B8" s="111" t="s">
        <v>97</v>
      </c>
      <c r="C8" s="19"/>
      <c r="D8" s="107"/>
      <c r="E8" s="107"/>
      <c r="F8" s="19"/>
      <c r="G8" s="19"/>
      <c r="H8" s="19"/>
      <c r="I8" s="19"/>
      <c r="J8" s="19"/>
      <c r="K8" s="19"/>
      <c r="L8" s="19"/>
      <c r="M8" s="19"/>
      <c r="N8" s="19"/>
      <c r="O8" s="19"/>
    </row>
    <row r="9" spans="1:64" ht="30" customHeight="1">
      <c r="B9" s="264" t="s">
        <v>471</v>
      </c>
      <c r="C9" s="264"/>
      <c r="D9" s="264"/>
      <c r="E9" s="264"/>
      <c r="F9" s="264"/>
      <c r="G9" s="264"/>
      <c r="H9" s="264"/>
      <c r="I9" s="264"/>
      <c r="J9" s="264"/>
      <c r="K9" s="264"/>
      <c r="L9" s="264"/>
      <c r="M9" s="264"/>
      <c r="N9" s="19"/>
      <c r="O9" s="19"/>
    </row>
    <row r="10" spans="1:64" ht="17.100000000000001" customHeight="1" thickBot="1">
      <c r="B10" s="19"/>
      <c r="C10" s="19"/>
      <c r="D10" s="107"/>
      <c r="E10" s="107"/>
      <c r="K10" s="19"/>
      <c r="L10" s="19"/>
      <c r="M10" s="19"/>
      <c r="N10" s="19"/>
      <c r="O10" s="19"/>
      <c r="P10" s="19"/>
      <c r="Q10" s="19"/>
      <c r="R10" s="19"/>
      <c r="U10" s="19"/>
      <c r="V10" s="19"/>
      <c r="W10" s="19"/>
      <c r="X10" s="19"/>
      <c r="Y10" s="19"/>
    </row>
    <row r="11" spans="1:64" ht="25.35" customHeight="1">
      <c r="B11" s="262" t="s">
        <v>152</v>
      </c>
      <c r="C11" s="263"/>
      <c r="D11" s="28"/>
      <c r="E11" s="14"/>
      <c r="F11" s="138" t="s">
        <v>23</v>
      </c>
      <c r="G11" s="136" t="s">
        <v>359</v>
      </c>
      <c r="H11" s="139" t="s">
        <v>24</v>
      </c>
      <c r="I11" s="23"/>
      <c r="J11" s="138" t="s">
        <v>25</v>
      </c>
      <c r="K11" s="136" t="s">
        <v>359</v>
      </c>
      <c r="L11" s="139" t="s">
        <v>24</v>
      </c>
      <c r="M11" s="19"/>
      <c r="N11" s="19"/>
      <c r="O11" s="19"/>
      <c r="P11" s="19"/>
      <c r="Q11" s="19"/>
      <c r="R11" s="19"/>
      <c r="U11" s="19"/>
      <c r="V11" s="19"/>
      <c r="W11" s="19"/>
      <c r="X11" s="19"/>
      <c r="Y11" s="19"/>
    </row>
    <row r="12" spans="1:64" ht="12" customHeight="1">
      <c r="B12" s="143" t="s">
        <v>90</v>
      </c>
      <c r="C12" s="57" t="n">
        <f>COUNTIF($B$18:$B$4000,B12)</f>
        <v>5.0</v>
      </c>
      <c r="D12" s="28"/>
      <c r="E12" s="14"/>
      <c r="F12" s="62" t="s">
        <v>26</v>
      </c>
      <c r="G12" s="61" t="n">
        <f ca="1">J20+J58+J96+J134+J172</f>
        <v>0.0</v>
      </c>
      <c r="H12" s="53" t="n">
        <f ca="1">IF(($G$15+$K$15)=0,0,G12/($G$15+$K$15))</f>
        <v>0.0</v>
      </c>
      <c r="I12" s="28"/>
      <c r="J12" s="60" t="s">
        <v>27</v>
      </c>
      <c r="K12" s="61" t="n">
        <f ca="1">G20+G58+G96+G134+G172</f>
        <v>0.0</v>
      </c>
      <c r="L12" s="53" t="n">
        <f ca="1">IF(($G$15+$K$15)=0,0,K12/($G$15+$K$15))</f>
        <v>0.0</v>
      </c>
      <c r="M12" s="19"/>
      <c r="N12" s="19"/>
      <c r="O12" s="19"/>
      <c r="P12" s="19"/>
      <c r="Q12" s="19"/>
      <c r="R12" s="19"/>
      <c r="U12" s="19"/>
      <c r="V12" s="19"/>
      <c r="W12" s="19"/>
      <c r="X12" s="19"/>
      <c r="Y12" s="19"/>
    </row>
    <row r="13" spans="1:64" ht="12" customHeight="1">
      <c r="B13" s="56"/>
      <c r="C13" s="57"/>
      <c r="D13" s="28"/>
      <c r="E13" s="14"/>
      <c r="F13" s="62" t="s">
        <v>28</v>
      </c>
      <c r="G13" s="61" t="n">
        <f ca="1">I20+I58+I96+I134+I172</f>
        <v>0.0</v>
      </c>
      <c r="H13" s="53" t="n">
        <f ca="1">IF(($G$15+$K$15)=0,0,G13/($G$15+$K$15))</f>
        <v>0.0</v>
      </c>
      <c r="I13" s="28"/>
      <c r="J13" s="60" t="s">
        <v>29</v>
      </c>
      <c r="K13" s="61" t="n">
        <f ca="1">F20+F58+F96+F134+F172</f>
        <v>165.0</v>
      </c>
      <c r="L13" s="53" t="n">
        <f ca="1">IF(($G$15+$K$15)=0,0,K13/($G$15+$K$15))</f>
        <v>1.0</v>
      </c>
      <c r="M13" s="19"/>
      <c r="N13" s="19"/>
      <c r="O13" s="19"/>
      <c r="P13" s="19"/>
      <c r="Q13" s="19"/>
      <c r="R13" s="19"/>
      <c r="U13" s="19"/>
      <c r="V13" s="19"/>
      <c r="W13" s="19"/>
      <c r="X13" s="19"/>
      <c r="Y13" s="19"/>
    </row>
    <row r="14" spans="1:64" ht="12" customHeight="1" thickBot="1">
      <c r="B14" s="58" t="s">
        <v>30</v>
      </c>
      <c r="C14" s="59" t="n">
        <f>C12+C13</f>
        <v>5.0</v>
      </c>
      <c r="D14" s="28"/>
      <c r="E14" s="14"/>
      <c r="F14" s="62" t="s">
        <v>31</v>
      </c>
      <c r="G14" s="61" t="n">
        <f ca="1">H20+H58+H96+H134+H172</f>
        <v>0.0</v>
      </c>
      <c r="H14" s="53" t="n">
        <f ca="1">IF(($G$15+$K$15)=0,0,G14/($G$15+$K$15))</f>
        <v>0.0</v>
      </c>
      <c r="I14" s="28"/>
      <c r="J14" s="231" t="s">
        <v>474</v>
      </c>
      <c r="K14" s="232" t="n">
        <f ca="1">K20+K58+K96+K134+K172</f>
        <v>0.0</v>
      </c>
      <c r="L14" s="53" t="n">
        <f ca="1">IF(($G$15+$K$15)=0,0,K14/($G$15+$K$15))</f>
        <v>0.0</v>
      </c>
      <c r="M14" s="19"/>
      <c r="N14" s="19"/>
      <c r="O14" s="19"/>
      <c r="P14" s="19"/>
      <c r="Q14" s="19"/>
      <c r="R14" s="19"/>
      <c r="U14" s="19"/>
      <c r="V14" s="19"/>
      <c r="W14" s="19"/>
      <c r="X14" s="19"/>
      <c r="Y14" s="19"/>
    </row>
    <row r="15" spans="1:64" ht="12" customHeight="1" thickBot="1">
      <c r="B15" s="23"/>
      <c r="C15" s="28"/>
      <c r="D15" s="28"/>
      <c r="E15" s="14"/>
      <c r="F15" s="58" t="s">
        <v>30</v>
      </c>
      <c r="G15" s="49" t="n">
        <f ca="1">SUM(G12:G14)</f>
        <v>0.0</v>
      </c>
      <c r="H15" s="55" t="n">
        <f ca="1">SUM(H12:H14)</f>
        <v>0.0</v>
      </c>
      <c r="I15" s="28"/>
      <c r="J15" s="58" t="s">
        <v>30</v>
      </c>
      <c r="K15" s="49" t="n">
        <f ca="1">SUM(K12:K13)</f>
        <v>165.0</v>
      </c>
      <c r="L15" s="55" t="n">
        <f ca="1">SUM(L12:L13)</f>
        <v>1.0</v>
      </c>
      <c r="M15" s="19"/>
      <c r="N15" s="19"/>
      <c r="O15" s="19"/>
      <c r="P15" s="19"/>
      <c r="Q15" s="19"/>
      <c r="R15" s="19"/>
      <c r="U15" s="19"/>
      <c r="V15" s="19"/>
      <c r="W15" s="19"/>
      <c r="X15" s="19"/>
      <c r="Y15" s="19"/>
    </row>
    <row r="16" spans="1:64" ht="12" customHeight="1">
      <c r="B16" s="19"/>
      <c r="C16" s="19"/>
      <c r="D16" s="28"/>
      <c r="E16" s="28"/>
      <c r="F16" s="28"/>
      <c r="G16" s="28"/>
      <c r="H16" s="28"/>
      <c r="I16" s="28"/>
      <c r="J16" s="28"/>
      <c r="K16" s="28"/>
      <c r="L16" s="19"/>
      <c r="M16" s="19"/>
      <c r="N16" s="19"/>
      <c r="O16" s="19"/>
      <c r="P16" s="19"/>
      <c r="Q16" s="19"/>
      <c r="R16" s="19"/>
      <c r="U16" s="19"/>
      <c r="V16" s="19"/>
      <c r="W16" s="19"/>
      <c r="X16" s="19"/>
      <c r="Y16" s="19"/>
    </row>
    <row r="17" spans="1:30" ht="12" customHeight="1">
      <c r="B17" s="19"/>
      <c r="C17" s="19"/>
      <c r="D17" s="107"/>
      <c r="E17" s="112"/>
      <c r="K17" s="19"/>
      <c r="L17" s="19"/>
      <c r="M17" s="19"/>
    </row>
    <row r="18" spans="1:30" ht="29.25" customHeight="1">
      <c r="A18" s="218" t="s">
        <v>268</v>
      </c>
      <c r="B18" s="24" t="s">
        <v>90</v>
      </c>
      <c r="C18" s="25" t="s">
        <v>92</v>
      </c>
      <c r="D18" s="26" t="s">
        <v>32</v>
      </c>
      <c r="K18" s="19"/>
      <c r="L18" s="19"/>
    </row>
    <row r="19" spans="1:30" ht="12" customHeight="1">
      <c r="A19" s="219" t="n" cm="1">
        <f t="array" ref="A19">IFERROR(INDEX('03.Muestra'!$B$8:$B$42,SMALL(IF("Página Web"='03.Muestra'!$D$8:$D$42,ROW('03.Muestra'!$B$8:$B$42)-MIN(ROW('03.Muestra'!$D$8:$D$42))+1,""),ROW()-18)),"")</f>
        <v>1.0</v>
      </c>
      <c r="B19" s="114" t="str" cm="1">
        <f t="array" ref="B19">IFERROR(INDEX('03.Muestra'!$C$8:$C$42,SMALL(IF("Página Web"='03.Muestra'!$D$8:$D$42,ROW('03.Muestra'!$C$8:$C$42)-MIN(ROW('03.Muestra'!$D$8:$D$42))+1,""),ROW()-18)),"")</f>
        <v>Home - PortCastelló</v>
      </c>
      <c r="C19" s="114" t="str" cm="1">
        <f t="array" ref="C19">IFERROR(INDEX('03.Muestra'!$F$8:$F$42,SMALL(IF("Página Web"='03.Muestra'!$D$8:$D$42,ROW('03.Muestra'!$F$8:$F$42)-MIN(ROW('03.Muestra'!$D$8:$D$42))+1,""),ROW()-18)),"")</f>
        <v>https://www.portcastello.com/</v>
      </c>
      <c r="D19" s="130" t="s">
        <v>33</v>
      </c>
      <c r="E19" s="107" t="str">
        <f t="shared" ref="E19:E53" si="0">IF(D19&lt;&gt;"",IF(AND(B19&lt;&gt;"",C19&lt;&gt;""),"","ERR"),"")</f>
        <v/>
      </c>
      <c r="F19" s="115" t="s">
        <v>33</v>
      </c>
      <c r="G19" s="116" t="s">
        <v>37</v>
      </c>
      <c r="H19" s="117" t="s">
        <v>35</v>
      </c>
      <c r="I19" s="118" t="s">
        <v>28</v>
      </c>
      <c r="J19" s="119" t="s">
        <v>26</v>
      </c>
      <c r="K19" s="226" t="s">
        <v>474</v>
      </c>
      <c r="L19" s="19"/>
    </row>
    <row r="20" spans="1:30" ht="12" customHeight="1">
      <c r="A20" s="219" t="n" cm="1">
        <f t="array" ref="A20">IFERROR(INDEX('03.Muestra'!$B$8:$B$42,SMALL(IF("Página Web"='03.Muestra'!$D$8:$D$42,ROW('03.Muestra'!$B$8:$B$42)-MIN(ROW('03.Muestra'!$D$8:$D$42))+1,""),ROW()-18)),"")</f>
        <v>1.0</v>
      </c>
      <c r="B20" s="114" t="str" cm="1">
        <f t="array" ref="B20">IFERROR(INDEX('03.Muestra'!$C$8:$C$42,SMALL(IF("Página Web"='03.Muestra'!$D$8:$D$42,ROW('03.Muestra'!$C$8:$C$42)-MIN(ROW('03.Muestra'!$D$8:$D$42))+1,""),ROW()-18)),"")</f>
        <v>Home - PortCastelló</v>
      </c>
      <c r="C20" s="114" t="str" cm="1">
        <f t="array" ref="C20">IFERROR(INDEX('03.Muestra'!$F$8:$F$42,SMALL(IF("Página Web"='03.Muestra'!$D$8:$D$42,ROW('03.Muestra'!$F$8:$F$42)-MIN(ROW('03.Muestra'!$D$8:$D$42))+1,""),ROW()-18)),"")</f>
        <v>https://www.portcastello.com/</v>
      </c>
      <c r="D20" s="130" t="s">
        <v>33</v>
      </c>
      <c r="E20" s="107" t="str">
        <f t="shared" si="0"/>
        <v/>
      </c>
      <c r="F20" s="120" t="n">
        <f ca="1">COUNTIF($D19:INDIRECT("$D" &amp;  SUM(ROW()-1,'03.Muestra'!$D$45)-1),F19)</f>
        <v>33.0</v>
      </c>
      <c r="G20" s="120" t="n">
        <f ca="1">COUNTIF($D19:INDIRECT("$D" &amp;  SUM(ROW()-1,'03.Muestra'!$D$45)-1),G19)</f>
        <v>0.0</v>
      </c>
      <c r="H20" s="120" t="n">
        <f ca="1">COUNTIF($D19:INDIRECT("$D" &amp;  SUM(ROW()-1,'03.Muestra'!$D$45)-1),H19)</f>
        <v>0.0</v>
      </c>
      <c r="I20" s="120" t="n">
        <f ca="1">COUNTIF($D19:INDIRECT("$D" &amp;  SUM(ROW()-1,'03.Muestra'!$D$45)-1),I19)</f>
        <v>0.0</v>
      </c>
      <c r="J20" s="120" t="n">
        <f ca="1">COUNTIF($D19:INDIRECT("$D" &amp;  SUM(ROW()-1,'03.Muestra'!$D$45)-1),J19)</f>
        <v>0.0</v>
      </c>
      <c r="K20" s="227" t="n">
        <f ca="1">IF(COUNTIF('03.Muestra'!$D$8:$D$42,"Página Web")=0,0,COUNTBLANK($D19:INDIRECT("$D" &amp;  SUM(ROW()-1,COUNTIF('03.Muestra'!$D$8:$D$42,"Página Web"))-1)))</f>
        <v>0.0</v>
      </c>
      <c r="L20" s="19"/>
    </row>
    <row r="21" spans="1:30" ht="12" customHeight="1">
      <c r="A21" s="219" t="n" cm="1">
        <f t="array" ref="A21">IFERROR(INDEX('03.Muestra'!$B$8:$B$42,SMALL(IF("Página Web"='03.Muestra'!$D$8:$D$42,ROW('03.Muestra'!$B$8:$B$42)-MIN(ROW('03.Muestra'!$D$8:$D$42))+1,""),ROW()-18)),"")</f>
        <v>1.0</v>
      </c>
      <c r="B21" s="114" t="str" cm="1">
        <f t="array" ref="B21">IFERROR(INDEX('03.Muestra'!$C$8:$C$42,SMALL(IF("Página Web"='03.Muestra'!$D$8:$D$42,ROW('03.Muestra'!$C$8:$C$42)-MIN(ROW('03.Muestra'!$D$8:$D$42))+1,""),ROW()-18)),"")</f>
        <v>Home - PortCastelló</v>
      </c>
      <c r="C21" s="114" t="str" cm="1">
        <f t="array" ref="C21">IFERROR(INDEX('03.Muestra'!$F$8:$F$42,SMALL(IF("Página Web"='03.Muestra'!$D$8:$D$42,ROW('03.Muestra'!$F$8:$F$42)-MIN(ROW('03.Muestra'!$D$8:$D$42))+1,""),ROW()-18)),"")</f>
        <v>https://www.portcastello.com/</v>
      </c>
      <c r="D21" s="130" t="s">
        <v>33</v>
      </c>
      <c r="E21" s="107" t="str">
        <f t="shared" si="0"/>
        <v/>
      </c>
      <c r="F21" s="19"/>
      <c r="G21" s="19"/>
      <c r="H21" s="19"/>
      <c r="I21" s="19"/>
      <c r="J21" s="19"/>
      <c r="K21" s="19"/>
    </row>
    <row r="22" spans="1:30" ht="12" customHeight="1">
      <c r="A22" s="219" t="n" cm="1">
        <f t="array" ref="A22">IFERROR(INDEX('03.Muestra'!$B$8:$B$42,SMALL(IF("Página Web"='03.Muestra'!$D$8:$D$42,ROW('03.Muestra'!$B$8:$B$42)-MIN(ROW('03.Muestra'!$D$8:$D$42))+1,""),ROW()-18)),"")</f>
        <v>1.0</v>
      </c>
      <c r="B22" s="114" t="str" cm="1">
        <f t="array" ref="B22">IFERROR(INDEX('03.Muestra'!$C$8:$C$42,SMALL(IF("Página Web"='03.Muestra'!$D$8:$D$42,ROW('03.Muestra'!$C$8:$C$42)-MIN(ROW('03.Muestra'!$D$8:$D$42))+1,""),ROW()-18)),"")</f>
        <v>Home - PortCastelló</v>
      </c>
      <c r="C22" s="114" t="str" cm="1">
        <f t="array" ref="C22">IFERROR(INDEX('03.Muestra'!$F$8:$F$42,SMALL(IF("Página Web"='03.Muestra'!$D$8:$D$42,ROW('03.Muestra'!$F$8:$F$42)-MIN(ROW('03.Muestra'!$D$8:$D$42))+1,""),ROW()-18)),"")</f>
        <v>https://www.portcastello.com/</v>
      </c>
      <c r="D22" s="130" t="s">
        <v>33</v>
      </c>
      <c r="E22" s="107" t="str">
        <f t="shared" si="0"/>
        <v/>
      </c>
      <c r="F22" s="19"/>
      <c r="G22" s="19"/>
      <c r="H22" s="19"/>
      <c r="I22" s="19"/>
      <c r="K22" s="214" t="s">
        <v>33</v>
      </c>
      <c r="L22" s="121" t="s">
        <v>34</v>
      </c>
    </row>
    <row r="23" spans="1:30" ht="12" customHeight="1">
      <c r="A23" s="219" t="n" cm="1">
        <f t="array" ref="A23">IFERROR(INDEX('03.Muestra'!$B$8:$B$42,SMALL(IF("Página Web"='03.Muestra'!$D$8:$D$42,ROW('03.Muestra'!$B$8:$B$42)-MIN(ROW('03.Muestra'!$D$8:$D$42))+1,""),ROW()-18)),"")</f>
        <v>1.0</v>
      </c>
      <c r="B23" s="114" t="str" cm="1">
        <f t="array" ref="B23">IFERROR(INDEX('03.Muestra'!$C$8:$C$42,SMALL(IF("Página Web"='03.Muestra'!$D$8:$D$42,ROW('03.Muestra'!$C$8:$C$42)-MIN(ROW('03.Muestra'!$D$8:$D$42))+1,""),ROW()-18)),"")</f>
        <v>Home - PortCastelló</v>
      </c>
      <c r="C23" s="114" t="str" cm="1">
        <f t="array" ref="C23">IFERROR(INDEX('03.Muestra'!$F$8:$F$42,SMALL(IF("Página Web"='03.Muestra'!$D$8:$D$42,ROW('03.Muestra'!$F$8:$F$42)-MIN(ROW('03.Muestra'!$D$8:$D$42))+1,""),ROW()-18)),"")</f>
        <v>https://www.portcastello.com/</v>
      </c>
      <c r="D23" s="130" t="s">
        <v>33</v>
      </c>
      <c r="E23" s="107" t="str">
        <f t="shared" si="0"/>
        <v/>
      </c>
      <c r="F23" s="122"/>
      <c r="G23" s="19"/>
      <c r="H23" s="19"/>
      <c r="I23" s="19"/>
      <c r="K23" s="117" t="s">
        <v>35</v>
      </c>
      <c r="L23" s="121" t="s">
        <v>36</v>
      </c>
    </row>
    <row r="24" spans="1:30" ht="12" customHeight="1">
      <c r="A24" s="219" t="n" cm="1">
        <f t="array" ref="A24">IFERROR(INDEX('03.Muestra'!$B$8:$B$42,SMALL(IF("Página Web"='03.Muestra'!$D$8:$D$42,ROW('03.Muestra'!$B$8:$B$42)-MIN(ROW('03.Muestra'!$D$8:$D$42))+1,""),ROW()-18)),"")</f>
        <v>1.0</v>
      </c>
      <c r="B24" s="114" t="str" cm="1">
        <f t="array" ref="B24">IFERROR(INDEX('03.Muestra'!$C$8:$C$42,SMALL(IF("Página Web"='03.Muestra'!$D$8:$D$42,ROW('03.Muestra'!$C$8:$C$42)-MIN(ROW('03.Muestra'!$D$8:$D$42))+1,""),ROW()-18)),"")</f>
        <v>Home - PortCastelló</v>
      </c>
      <c r="C24" s="114" t="str" cm="1">
        <f t="array" ref="C24">IFERROR(INDEX('03.Muestra'!$F$8:$F$42,SMALL(IF("Página Web"='03.Muestra'!$D$8:$D$42,ROW('03.Muestra'!$F$8:$F$42)-MIN(ROW('03.Muestra'!$D$8:$D$42))+1,""),ROW()-18)),"")</f>
        <v>https://www.portcastello.com/</v>
      </c>
      <c r="D24" s="130" t="s">
        <v>33</v>
      </c>
      <c r="E24" s="107" t="str">
        <f t="shared" si="0"/>
        <v/>
      </c>
      <c r="F24" s="19"/>
      <c r="G24" s="19"/>
      <c r="H24" s="19"/>
      <c r="I24" s="19"/>
      <c r="K24" s="116" t="s">
        <v>37</v>
      </c>
      <c r="L24" s="121" t="s">
        <v>38</v>
      </c>
      <c r="AD24" s="19"/>
    </row>
    <row r="25" spans="1:30" ht="12" customHeight="1">
      <c r="A25" s="219" t="n" cm="1">
        <f t="array" ref="A25">IFERROR(INDEX('03.Muestra'!$B$8:$B$42,SMALL(IF("Página Web"='03.Muestra'!$D$8:$D$42,ROW('03.Muestra'!$B$8:$B$42)-MIN(ROW('03.Muestra'!$D$8:$D$42))+1,""),ROW()-18)),"")</f>
        <v>1.0</v>
      </c>
      <c r="B25" s="114" t="str" cm="1">
        <f t="array" ref="B25">IFERROR(INDEX('03.Muestra'!$C$8:$C$42,SMALL(IF("Página Web"='03.Muestra'!$D$8:$D$42,ROW('03.Muestra'!$C$8:$C$42)-MIN(ROW('03.Muestra'!$D$8:$D$42))+1,""),ROW()-18)),"")</f>
        <v>Home - PortCastelló</v>
      </c>
      <c r="C25" s="114" t="str" cm="1">
        <f t="array" ref="C25">IFERROR(INDEX('03.Muestra'!$F$8:$F$42,SMALL(IF("Página Web"='03.Muestra'!$D$8:$D$42,ROW('03.Muestra'!$F$8:$F$42)-MIN(ROW('03.Muestra'!$D$8:$D$42))+1,""),ROW()-18)),"")</f>
        <v>https://www.portcastello.com/</v>
      </c>
      <c r="D25" s="130" t="s">
        <v>33</v>
      </c>
      <c r="E25" s="107" t="str">
        <f t="shared" si="0"/>
        <v/>
      </c>
      <c r="F25" s="19"/>
      <c r="G25" s="19"/>
      <c r="H25" s="19"/>
      <c r="I25" s="19"/>
      <c r="J25" s="19"/>
      <c r="L25" s="121"/>
      <c r="AD25" s="19"/>
    </row>
    <row r="26" spans="1:30" ht="12" customHeight="1">
      <c r="A26" s="219" t="n" cm="1">
        <f t="array" ref="A26">IFERROR(INDEX('03.Muestra'!$B$8:$B$42,SMALL(IF("Página Web"='03.Muestra'!$D$8:$D$42,ROW('03.Muestra'!$B$8:$B$42)-MIN(ROW('03.Muestra'!$D$8:$D$42))+1,""),ROW()-18)),"")</f>
        <v>1.0</v>
      </c>
      <c r="B26" s="114" t="str" cm="1">
        <f t="array" ref="B26">IFERROR(INDEX('03.Muestra'!$C$8:$C$42,SMALL(IF("Página Web"='03.Muestra'!$D$8:$D$42,ROW('03.Muestra'!$C$8:$C$42)-MIN(ROW('03.Muestra'!$D$8:$D$42))+1,""),ROW()-18)),"")</f>
        <v>Home - PortCastelló</v>
      </c>
      <c r="C26" s="114" t="str" cm="1">
        <f t="array" ref="C26">IFERROR(INDEX('03.Muestra'!$F$8:$F$42,SMALL(IF("Página Web"='03.Muestra'!$D$8:$D$42,ROW('03.Muestra'!$F$8:$F$42)-MIN(ROW('03.Muestra'!$D$8:$D$42))+1,""),ROW()-18)),"")</f>
        <v>https://www.portcastello.com/</v>
      </c>
      <c r="D26" s="130" t="s">
        <v>33</v>
      </c>
      <c r="E26" s="107" t="str">
        <f t="shared" si="0"/>
        <v/>
      </c>
      <c r="F26" s="19"/>
      <c r="G26" s="19"/>
      <c r="H26" s="19"/>
      <c r="I26" s="19"/>
      <c r="J26" s="19"/>
      <c r="K26" s="19"/>
      <c r="L26" s="19"/>
      <c r="AD26" s="19"/>
    </row>
    <row r="27" spans="1:30" ht="12" customHeight="1">
      <c r="A27" s="219" t="n" cm="1">
        <f t="array" ref="A27">IFERROR(INDEX('03.Muestra'!$B$8:$B$42,SMALL(IF("Página Web"='03.Muestra'!$D$8:$D$42,ROW('03.Muestra'!$B$8:$B$42)-MIN(ROW('03.Muestra'!$D$8:$D$42))+1,""),ROW()-18)),"")</f>
        <v>1.0</v>
      </c>
      <c r="B27" s="114" t="str" cm="1">
        <f t="array" ref="B27">IFERROR(INDEX('03.Muestra'!$C$8:$C$42,SMALL(IF("Página Web"='03.Muestra'!$D$8:$D$42,ROW('03.Muestra'!$C$8:$C$42)-MIN(ROW('03.Muestra'!$D$8:$D$42))+1,""),ROW()-18)),"")</f>
        <v>Home - PortCastelló</v>
      </c>
      <c r="C27" s="114" t="str" cm="1">
        <f t="array" ref="C27">IFERROR(INDEX('03.Muestra'!$F$8:$F$42,SMALL(IF("Página Web"='03.Muestra'!$D$8:$D$42,ROW('03.Muestra'!$F$8:$F$42)-MIN(ROW('03.Muestra'!$D$8:$D$42))+1,""),ROW()-18)),"")</f>
        <v>https://www.portcastello.com/</v>
      </c>
      <c r="D27" s="130" t="s">
        <v>33</v>
      </c>
      <c r="E27" s="107" t="str">
        <f t="shared" si="0"/>
        <v/>
      </c>
      <c r="F27" s="19"/>
      <c r="G27" s="19"/>
      <c r="H27" s="19"/>
      <c r="I27" s="19"/>
      <c r="J27" s="19"/>
      <c r="Q27" s="19"/>
      <c r="R27" s="19"/>
      <c r="S27" s="19"/>
      <c r="T27" s="19"/>
      <c r="U27" s="19"/>
      <c r="AD27" s="19"/>
    </row>
    <row r="28" spans="1:30" ht="12" customHeight="1">
      <c r="A28" s="219" t="n" cm="1">
        <f t="array" ref="A28">IFERROR(INDEX('03.Muestra'!$B$8:$B$42,SMALL(IF("Página Web"='03.Muestra'!$D$8:$D$42,ROW('03.Muestra'!$B$8:$B$42)-MIN(ROW('03.Muestra'!$D$8:$D$42))+1,""),ROW()-18)),"")</f>
        <v>1.0</v>
      </c>
      <c r="B28" s="114" t="str" cm="1">
        <f t="array" ref="B28">IFERROR(INDEX('03.Muestra'!$C$8:$C$42,SMALL(IF("Página Web"='03.Muestra'!$D$8:$D$42,ROW('03.Muestra'!$C$8:$C$42)-MIN(ROW('03.Muestra'!$D$8:$D$42))+1,""),ROW()-18)),"")</f>
        <v>Home - PortCastelló</v>
      </c>
      <c r="C28" s="114" t="str" cm="1">
        <f t="array" ref="C28">IFERROR(INDEX('03.Muestra'!$F$8:$F$42,SMALL(IF("Página Web"='03.Muestra'!$D$8:$D$42,ROW('03.Muestra'!$F$8:$F$42)-MIN(ROW('03.Muestra'!$D$8:$D$42))+1,""),ROW()-18)),"")</f>
        <v>https://www.portcastello.com/</v>
      </c>
      <c r="D28" s="130" t="s">
        <v>33</v>
      </c>
      <c r="E28" s="107" t="str">
        <f t="shared" si="0"/>
        <v/>
      </c>
      <c r="F28" s="19"/>
      <c r="G28" s="19"/>
      <c r="H28" s="19"/>
      <c r="I28" s="19"/>
      <c r="J28" s="19"/>
      <c r="N28" s="19"/>
      <c r="O28" s="19"/>
      <c r="P28" s="19"/>
      <c r="Q28" s="19"/>
      <c r="R28" s="19"/>
      <c r="S28" s="19"/>
      <c r="T28" s="19"/>
      <c r="U28" s="19"/>
      <c r="AD28" s="19"/>
    </row>
    <row r="29" spans="1:30" ht="12" customHeight="1">
      <c r="A29" s="219" t="n" cm="1">
        <f t="array" ref="A29">IFERROR(INDEX('03.Muestra'!$B$8:$B$42,SMALL(IF("Página Web"='03.Muestra'!$D$8:$D$42,ROW('03.Muestra'!$B$8:$B$42)-MIN(ROW('03.Muestra'!$D$8:$D$42))+1,""),ROW()-18)),"")</f>
        <v>1.0</v>
      </c>
      <c r="B29" s="114" t="str" cm="1">
        <f t="array" ref="B29">IFERROR(INDEX('03.Muestra'!$C$8:$C$42,SMALL(IF("Página Web"='03.Muestra'!$D$8:$D$42,ROW('03.Muestra'!$C$8:$C$42)-MIN(ROW('03.Muestra'!$D$8:$D$42))+1,""),ROW()-18)),"")</f>
        <v>Home - PortCastelló</v>
      </c>
      <c r="C29" s="114" t="str" cm="1">
        <f t="array" ref="C29">IFERROR(INDEX('03.Muestra'!$F$8:$F$42,SMALL(IF("Página Web"='03.Muestra'!$D$8:$D$42,ROW('03.Muestra'!$F$8:$F$42)-MIN(ROW('03.Muestra'!$D$8:$D$42))+1,""),ROW()-18)),"")</f>
        <v>https://www.portcastello.com/</v>
      </c>
      <c r="D29" s="130" t="s">
        <v>33</v>
      </c>
      <c r="E29" s="107" t="str">
        <f t="shared" si="0"/>
        <v/>
      </c>
      <c r="F29" s="19"/>
      <c r="G29" s="19"/>
      <c r="H29" s="19"/>
      <c r="I29" s="19"/>
      <c r="J29" s="19"/>
      <c r="P29" s="19"/>
      <c r="Q29" s="121"/>
      <c r="R29" s="121"/>
      <c r="S29" s="19"/>
      <c r="T29" s="19"/>
      <c r="U29" s="19"/>
      <c r="V29" s="19"/>
      <c r="W29" s="19"/>
      <c r="X29" s="19"/>
      <c r="Y29" s="19"/>
    </row>
    <row r="30" spans="1:30" ht="12" customHeight="1">
      <c r="A30" s="219" t="n" cm="1">
        <f t="array" ref="A30">IFERROR(INDEX('03.Muestra'!$B$8:$B$42,SMALL(IF("Página Web"='03.Muestra'!$D$8:$D$42,ROW('03.Muestra'!$B$8:$B$42)-MIN(ROW('03.Muestra'!$D$8:$D$42))+1,""),ROW()-18)),"")</f>
        <v>1.0</v>
      </c>
      <c r="B30" s="114" t="str" cm="1">
        <f t="array" ref="B30">IFERROR(INDEX('03.Muestra'!$C$8:$C$42,SMALL(IF("Página Web"='03.Muestra'!$D$8:$D$42,ROW('03.Muestra'!$C$8:$C$42)-MIN(ROW('03.Muestra'!$D$8:$D$42))+1,""),ROW()-18)),"")</f>
        <v>Home - PortCastelló</v>
      </c>
      <c r="C30" s="114" t="str" cm="1">
        <f t="array" ref="C30">IFERROR(INDEX('03.Muestra'!$F$8:$F$42,SMALL(IF("Página Web"='03.Muestra'!$D$8:$D$42,ROW('03.Muestra'!$F$8:$F$42)-MIN(ROW('03.Muestra'!$D$8:$D$42))+1,""),ROW()-18)),"")</f>
        <v>https://www.portcastello.com/</v>
      </c>
      <c r="D30" s="130" t="s">
        <v>33</v>
      </c>
      <c r="E30" s="107" t="str">
        <f t="shared" si="0"/>
        <v/>
      </c>
      <c r="F30" s="19"/>
      <c r="G30" s="19"/>
      <c r="H30" s="19"/>
      <c r="I30" s="19"/>
      <c r="J30" s="19"/>
      <c r="K30" s="19"/>
      <c r="L30" s="19"/>
      <c r="O30" s="19"/>
      <c r="P30" s="19"/>
      <c r="Q30" s="19"/>
      <c r="R30" s="19"/>
      <c r="S30" s="19"/>
      <c r="T30" s="19"/>
      <c r="U30" s="19"/>
      <c r="V30" s="19"/>
      <c r="W30" s="19"/>
      <c r="X30" s="19"/>
      <c r="Y30" s="19"/>
    </row>
    <row r="31" spans="1:30" ht="12" customHeight="1">
      <c r="A31" s="219" t="n" cm="1">
        <f t="array" ref="A31">IFERROR(INDEX('03.Muestra'!$B$8:$B$42,SMALL(IF("Página Web"='03.Muestra'!$D$8:$D$42,ROW('03.Muestra'!$B$8:$B$42)-MIN(ROW('03.Muestra'!$D$8:$D$42))+1,""),ROW()-18)),"")</f>
        <v>1.0</v>
      </c>
      <c r="B31" s="114" t="str" cm="1">
        <f t="array" ref="B31">IFERROR(INDEX('03.Muestra'!$C$8:$C$42,SMALL(IF("Página Web"='03.Muestra'!$D$8:$D$42,ROW('03.Muestra'!$C$8:$C$42)-MIN(ROW('03.Muestra'!$D$8:$D$42))+1,""),ROW()-18)),"")</f>
        <v>Home - PortCastelló</v>
      </c>
      <c r="C31" s="114" t="str" cm="1">
        <f t="array" ref="C31">IFERROR(INDEX('03.Muestra'!$F$8:$F$42,SMALL(IF("Página Web"='03.Muestra'!$D$8:$D$42,ROW('03.Muestra'!$F$8:$F$42)-MIN(ROW('03.Muestra'!$D$8:$D$42))+1,""),ROW()-18)),"")</f>
        <v>https://www.portcastello.com/</v>
      </c>
      <c r="D31" s="130" t="s">
        <v>33</v>
      </c>
      <c r="E31" s="107" t="str">
        <f t="shared" si="0"/>
        <v/>
      </c>
      <c r="F31" s="19"/>
      <c r="G31" s="19"/>
      <c r="H31" s="19"/>
      <c r="I31" s="19"/>
      <c r="J31" s="19"/>
      <c r="K31" s="19"/>
      <c r="L31" s="19"/>
      <c r="O31" s="19"/>
      <c r="P31" s="19"/>
      <c r="Q31" s="19"/>
      <c r="R31" s="19"/>
      <c r="S31" s="19"/>
      <c r="T31" s="19"/>
      <c r="U31" s="19"/>
      <c r="V31" s="19"/>
      <c r="W31" s="19"/>
      <c r="X31" s="19"/>
      <c r="Y31" s="19"/>
    </row>
    <row r="32" spans="1:30" ht="12" customHeight="1">
      <c r="A32" s="219" t="n" cm="1">
        <f t="array" ref="A32">IFERROR(INDEX('03.Muestra'!$B$8:$B$42,SMALL(IF("Página Web"='03.Muestra'!$D$8:$D$42,ROW('03.Muestra'!$B$8:$B$42)-MIN(ROW('03.Muestra'!$D$8:$D$42))+1,""),ROW()-18)),"")</f>
        <v>1.0</v>
      </c>
      <c r="B32" s="114" t="str" cm="1">
        <f t="array" ref="B32">IFERROR(INDEX('03.Muestra'!$C$8:$C$42,SMALL(IF("Página Web"='03.Muestra'!$D$8:$D$42,ROW('03.Muestra'!$C$8:$C$42)-MIN(ROW('03.Muestra'!$D$8:$D$42))+1,""),ROW()-18)),"")</f>
        <v>Home - PortCastelló</v>
      </c>
      <c r="C32" s="114" t="str" cm="1">
        <f t="array" ref="C32">IFERROR(INDEX('03.Muestra'!$F$8:$F$42,SMALL(IF("Página Web"='03.Muestra'!$D$8:$D$42,ROW('03.Muestra'!$F$8:$F$42)-MIN(ROW('03.Muestra'!$D$8:$D$42))+1,""),ROW()-18)),"")</f>
        <v>https://www.portcastello.com/</v>
      </c>
      <c r="D32" s="130" t="s">
        <v>33</v>
      </c>
      <c r="E32" s="107" t="str">
        <f t="shared" si="0"/>
        <v/>
      </c>
      <c r="F32" s="19"/>
      <c r="G32" s="19"/>
      <c r="H32" s="19"/>
      <c r="I32" s="19"/>
      <c r="J32" s="19"/>
      <c r="K32" s="19"/>
      <c r="L32" s="19"/>
      <c r="O32" s="19"/>
      <c r="P32" s="19"/>
      <c r="Q32" s="19"/>
      <c r="R32" s="19"/>
      <c r="S32" s="19"/>
      <c r="T32" s="19"/>
      <c r="U32" s="19"/>
      <c r="V32" s="19"/>
      <c r="W32" s="19"/>
      <c r="X32" s="19"/>
      <c r="Y32" s="19"/>
    </row>
    <row r="33" spans="1:25" ht="12" customHeight="1">
      <c r="A33" s="219" t="n" cm="1">
        <f t="array" ref="A33">IFERROR(INDEX('03.Muestra'!$B$8:$B$42,SMALL(IF("Página Web"='03.Muestra'!$D$8:$D$42,ROW('03.Muestra'!$B$8:$B$42)-MIN(ROW('03.Muestra'!$D$8:$D$42))+1,""),ROW()-18)),"")</f>
        <v>1.0</v>
      </c>
      <c r="B33" s="114" t="str" cm="1">
        <f t="array" ref="B33">IFERROR(INDEX('03.Muestra'!$C$8:$C$42,SMALL(IF("Página Web"='03.Muestra'!$D$8:$D$42,ROW('03.Muestra'!$C$8:$C$42)-MIN(ROW('03.Muestra'!$D$8:$D$42))+1,""),ROW()-18)),"")</f>
        <v>Home - PortCastelló</v>
      </c>
      <c r="C33" s="114" t="str" cm="1">
        <f t="array" ref="C33">IFERROR(INDEX('03.Muestra'!$F$8:$F$42,SMALL(IF("Página Web"='03.Muestra'!$D$8:$D$42,ROW('03.Muestra'!$F$8:$F$42)-MIN(ROW('03.Muestra'!$D$8:$D$42))+1,""),ROW()-18)),"")</f>
        <v>https://www.portcastello.com/</v>
      </c>
      <c r="D33" s="130" t="s">
        <v>33</v>
      </c>
      <c r="E33" s="107" t="str">
        <f t="shared" si="0"/>
        <v/>
      </c>
      <c r="F33" s="19"/>
      <c r="G33" s="19"/>
      <c r="H33" s="19"/>
      <c r="I33" s="19"/>
      <c r="J33" s="19"/>
      <c r="K33" s="19"/>
      <c r="L33" s="19"/>
      <c r="N33" s="19"/>
      <c r="O33" s="19"/>
      <c r="P33" s="19"/>
      <c r="Q33" s="19"/>
      <c r="R33" s="19"/>
      <c r="S33" s="19"/>
      <c r="T33" s="19"/>
      <c r="U33" s="19"/>
      <c r="V33" s="19"/>
      <c r="W33" s="19"/>
      <c r="X33" s="19"/>
      <c r="Y33" s="19"/>
    </row>
    <row r="34" spans="1:25" ht="12" customHeight="1">
      <c r="A34" s="219" t="n" cm="1">
        <f t="array" ref="A34">IFERROR(INDEX('03.Muestra'!$B$8:$B$42,SMALL(IF("Página Web"='03.Muestra'!$D$8:$D$42,ROW('03.Muestra'!$B$8:$B$42)-MIN(ROW('03.Muestra'!$D$8:$D$42))+1,""),ROW()-18)),"")</f>
        <v>1.0</v>
      </c>
      <c r="B34" s="114" t="str" cm="1">
        <f t="array" ref="B34">IFERROR(INDEX('03.Muestra'!$C$8:$C$42,SMALL(IF("Página Web"='03.Muestra'!$D$8:$D$42,ROW('03.Muestra'!$C$8:$C$42)-MIN(ROW('03.Muestra'!$D$8:$D$42))+1,""),ROW()-18)),"")</f>
        <v>Home - PortCastelló</v>
      </c>
      <c r="C34" s="114" t="str" cm="1">
        <f t="array" ref="C34">IFERROR(INDEX('03.Muestra'!$F$8:$F$42,SMALL(IF("Página Web"='03.Muestra'!$D$8:$D$42,ROW('03.Muestra'!$F$8:$F$42)-MIN(ROW('03.Muestra'!$D$8:$D$42))+1,""),ROW()-18)),"")</f>
        <v>https://www.portcastello.com/</v>
      </c>
      <c r="D34" s="130" t="s">
        <v>33</v>
      </c>
      <c r="E34" s="107" t="str">
        <f t="shared" si="0"/>
        <v/>
      </c>
      <c r="F34" s="19"/>
      <c r="G34" s="19"/>
      <c r="H34" s="19"/>
      <c r="I34" s="19"/>
      <c r="J34" s="19"/>
      <c r="K34" s="19"/>
      <c r="W34" s="19"/>
      <c r="X34" s="19"/>
      <c r="Y34" s="19"/>
    </row>
    <row r="35" spans="1:25" ht="12" customHeight="1">
      <c r="A35" s="219" t="n" cm="1">
        <f t="array" ref="A35">IFERROR(INDEX('03.Muestra'!$B$8:$B$42,SMALL(IF("Página Web"='03.Muestra'!$D$8:$D$42,ROW('03.Muestra'!$B$8:$B$42)-MIN(ROW('03.Muestra'!$D$8:$D$42))+1,""),ROW()-18)),"")</f>
        <v>1.0</v>
      </c>
      <c r="B35" s="114" t="str" cm="1">
        <f t="array" ref="B35">IFERROR(INDEX('03.Muestra'!$C$8:$C$42,SMALL(IF("Página Web"='03.Muestra'!$D$8:$D$42,ROW('03.Muestra'!$C$8:$C$42)-MIN(ROW('03.Muestra'!$D$8:$D$42))+1,""),ROW()-18)),"")</f>
        <v>Home - PortCastelló</v>
      </c>
      <c r="C35" s="114" t="str" cm="1">
        <f t="array" ref="C35">IFERROR(INDEX('03.Muestra'!$F$8:$F$42,SMALL(IF("Página Web"='03.Muestra'!$D$8:$D$42,ROW('03.Muestra'!$F$8:$F$42)-MIN(ROW('03.Muestra'!$D$8:$D$42))+1,""),ROW()-18)),"")</f>
        <v>https://www.portcastello.com/</v>
      </c>
      <c r="D35" s="130" t="s">
        <v>33</v>
      </c>
      <c r="E35" s="107" t="str">
        <f t="shared" si="0"/>
        <v/>
      </c>
      <c r="F35" s="19"/>
      <c r="G35" s="19"/>
      <c r="H35" s="19"/>
      <c r="I35" s="19"/>
      <c r="J35" s="19"/>
      <c r="K35" s="19"/>
      <c r="W35" s="19"/>
      <c r="X35" s="19"/>
      <c r="Y35" s="19"/>
    </row>
    <row r="36" spans="1:25" ht="12" customHeight="1">
      <c r="A36" s="219" t="n" cm="1">
        <f t="array" ref="A36">IFERROR(INDEX('03.Muestra'!$B$8:$B$42,SMALL(IF("Página Web"='03.Muestra'!$D$8:$D$42,ROW('03.Muestra'!$B$8:$B$42)-MIN(ROW('03.Muestra'!$D$8:$D$42))+1,""),ROW()-18)),"")</f>
        <v>1.0</v>
      </c>
      <c r="B36" s="114" t="str" cm="1">
        <f t="array" ref="B36">IFERROR(INDEX('03.Muestra'!$C$8:$C$42,SMALL(IF("Página Web"='03.Muestra'!$D$8:$D$42,ROW('03.Muestra'!$C$8:$C$42)-MIN(ROW('03.Muestra'!$D$8:$D$42))+1,""),ROW()-18)),"")</f>
        <v>Home - PortCastelló</v>
      </c>
      <c r="C36" s="114" t="str" cm="1">
        <f t="array" ref="C36">IFERROR(INDEX('03.Muestra'!$F$8:$F$42,SMALL(IF("Página Web"='03.Muestra'!$D$8:$D$42,ROW('03.Muestra'!$F$8:$F$42)-MIN(ROW('03.Muestra'!$D$8:$D$42))+1,""),ROW()-18)),"")</f>
        <v>https://www.portcastello.com/</v>
      </c>
      <c r="D36" s="130" t="s">
        <v>33</v>
      </c>
      <c r="E36" s="107" t="str">
        <f t="shared" si="0"/>
        <v/>
      </c>
      <c r="F36" s="19"/>
      <c r="G36" s="19"/>
      <c r="H36" s="19"/>
      <c r="I36" s="19"/>
      <c r="J36" s="19"/>
      <c r="K36" s="19"/>
      <c r="W36" s="19"/>
      <c r="X36" s="19"/>
      <c r="Y36" s="19"/>
    </row>
    <row r="37" spans="1:25" ht="12" customHeight="1">
      <c r="A37" s="219" t="n" cm="1">
        <f t="array" ref="A37">IFERROR(INDEX('03.Muestra'!$B$8:$B$42,SMALL(IF("Página Web"='03.Muestra'!$D$8:$D$42,ROW('03.Muestra'!$B$8:$B$42)-MIN(ROW('03.Muestra'!$D$8:$D$42))+1,""),ROW()-18)),"")</f>
        <v>1.0</v>
      </c>
      <c r="B37" s="114" t="str" cm="1">
        <f t="array" ref="B37">IFERROR(INDEX('03.Muestra'!$C$8:$C$42,SMALL(IF("Página Web"='03.Muestra'!$D$8:$D$42,ROW('03.Muestra'!$C$8:$C$42)-MIN(ROW('03.Muestra'!$D$8:$D$42))+1,""),ROW()-18)),"")</f>
        <v>Home - PortCastelló</v>
      </c>
      <c r="C37" s="114" t="str" cm="1">
        <f t="array" ref="C37">IFERROR(INDEX('03.Muestra'!$F$8:$F$42,SMALL(IF("Página Web"='03.Muestra'!$D$8:$D$42,ROW('03.Muestra'!$F$8:$F$42)-MIN(ROW('03.Muestra'!$D$8:$D$42))+1,""),ROW()-18)),"")</f>
        <v>https://www.portcastello.com/</v>
      </c>
      <c r="D37" s="130" t="s">
        <v>33</v>
      </c>
      <c r="E37" s="107" t="str">
        <f t="shared" si="0"/>
        <v/>
      </c>
      <c r="F37" s="19"/>
      <c r="G37" s="19"/>
      <c r="H37" s="19"/>
      <c r="I37" s="19"/>
      <c r="J37" s="19"/>
      <c r="K37" s="19"/>
      <c r="L37" s="19"/>
      <c r="Q37" s="19"/>
      <c r="W37" s="19"/>
      <c r="X37" s="19"/>
      <c r="Y37" s="19"/>
    </row>
    <row r="38" spans="1:25" ht="12" customHeight="1">
      <c r="A38" s="219" t="n" cm="1">
        <f t="array" ref="A38">IFERROR(INDEX('03.Muestra'!$B$8:$B$42,SMALL(IF("Página Web"='03.Muestra'!$D$8:$D$42,ROW('03.Muestra'!$B$8:$B$42)-MIN(ROW('03.Muestra'!$D$8:$D$42))+1,""),ROW()-18)),"")</f>
        <v>1.0</v>
      </c>
      <c r="B38" s="114" t="str" cm="1">
        <f t="array" ref="B38">IFERROR(INDEX('03.Muestra'!$C$8:$C$42,SMALL(IF("Página Web"='03.Muestra'!$D$8:$D$42,ROW('03.Muestra'!$C$8:$C$42)-MIN(ROW('03.Muestra'!$D$8:$D$42))+1,""),ROW()-18)),"")</f>
        <v>Home - PortCastelló</v>
      </c>
      <c r="C38" s="114" t="str" cm="1">
        <f t="array" ref="C38">IFERROR(INDEX('03.Muestra'!$F$8:$F$42,SMALL(IF("Página Web"='03.Muestra'!$D$8:$D$42,ROW('03.Muestra'!$F$8:$F$42)-MIN(ROW('03.Muestra'!$D$8:$D$42))+1,""),ROW()-18)),"")</f>
        <v>https://www.portcastello.com/</v>
      </c>
      <c r="D38" s="130" t="s">
        <v>33</v>
      </c>
      <c r="E38" s="107" t="str">
        <f t="shared" si="0"/>
        <v/>
      </c>
      <c r="F38" s="19"/>
      <c r="G38" s="19"/>
      <c r="H38" s="19"/>
      <c r="I38" s="19"/>
      <c r="J38" s="19"/>
      <c r="K38" s="19"/>
      <c r="L38" s="19"/>
      <c r="Q38" s="19"/>
      <c r="W38" s="19"/>
      <c r="X38" s="19"/>
      <c r="Y38" s="19"/>
    </row>
    <row r="39" spans="1:25" ht="12" customHeight="1">
      <c r="A39" s="219" t="n" cm="1">
        <f t="array" ref="A39">IFERROR(INDEX('03.Muestra'!$B$8:$B$42,SMALL(IF("Página Web"='03.Muestra'!$D$8:$D$42,ROW('03.Muestra'!$B$8:$B$42)-MIN(ROW('03.Muestra'!$D$8:$D$42))+1,""),ROW()-18)),"")</f>
        <v>1.0</v>
      </c>
      <c r="B39" s="114" t="str" cm="1">
        <f t="array" ref="B39">IFERROR(INDEX('03.Muestra'!$C$8:$C$42,SMALL(IF("Página Web"='03.Muestra'!$D$8:$D$42,ROW('03.Muestra'!$C$8:$C$42)-MIN(ROW('03.Muestra'!$D$8:$D$42))+1,""),ROW()-18)),"")</f>
        <v>Home - PortCastelló</v>
      </c>
      <c r="C39" s="114" t="str" cm="1">
        <f t="array" ref="C39">IFERROR(INDEX('03.Muestra'!$F$8:$F$42,SMALL(IF("Página Web"='03.Muestra'!$D$8:$D$42,ROW('03.Muestra'!$F$8:$F$42)-MIN(ROW('03.Muestra'!$D$8:$D$42))+1,""),ROW()-18)),"")</f>
        <v>https://www.portcastello.com/</v>
      </c>
      <c r="D39" s="130" t="s">
        <v>33</v>
      </c>
      <c r="E39" s="107" t="str">
        <f t="shared" si="0"/>
        <v/>
      </c>
      <c r="F39" s="19"/>
      <c r="G39" s="19"/>
      <c r="H39" s="19"/>
      <c r="I39" s="19"/>
      <c r="J39" s="19"/>
      <c r="K39" s="19"/>
      <c r="L39" s="19"/>
      <c r="Q39" s="19"/>
      <c r="W39" s="19"/>
      <c r="X39" s="19"/>
      <c r="Y39" s="19"/>
    </row>
    <row r="40" spans="1:25" ht="12" customHeight="1">
      <c r="A40" s="219" t="n" cm="1">
        <f t="array" ref="A40">IFERROR(INDEX('03.Muestra'!$B$8:$B$42,SMALL(IF("Página Web"='03.Muestra'!$D$8:$D$42,ROW('03.Muestra'!$B$8:$B$42)-MIN(ROW('03.Muestra'!$D$8:$D$42))+1,""),ROW()-18)),"")</f>
        <v>1.0</v>
      </c>
      <c r="B40" s="114" t="str" cm="1">
        <f t="array" ref="B40">IFERROR(INDEX('03.Muestra'!$C$8:$C$42,SMALL(IF("Página Web"='03.Muestra'!$D$8:$D$42,ROW('03.Muestra'!$C$8:$C$42)-MIN(ROW('03.Muestra'!$D$8:$D$42))+1,""),ROW()-18)),"")</f>
        <v>Home - PortCastelló</v>
      </c>
      <c r="C40" s="114" t="str" cm="1">
        <f t="array" ref="C40">IFERROR(INDEX('03.Muestra'!$F$8:$F$42,SMALL(IF("Página Web"='03.Muestra'!$D$8:$D$42,ROW('03.Muestra'!$F$8:$F$42)-MIN(ROW('03.Muestra'!$D$8:$D$42))+1,""),ROW()-18)),"")</f>
        <v>https://www.portcastello.com/</v>
      </c>
      <c r="D40" s="130" t="s">
        <v>33</v>
      </c>
      <c r="E40" s="107" t="str">
        <f t="shared" si="0"/>
        <v/>
      </c>
      <c r="F40" s="19"/>
      <c r="G40" s="19"/>
      <c r="H40" s="19"/>
      <c r="I40" s="19"/>
      <c r="J40" s="19"/>
      <c r="K40" s="19"/>
      <c r="L40" s="19"/>
      <c r="Q40" s="19"/>
      <c r="R40" s="19"/>
      <c r="T40" s="19"/>
      <c r="U40" s="19"/>
      <c r="V40" s="19"/>
      <c r="W40" s="19"/>
      <c r="X40" s="19"/>
      <c r="Y40" s="19"/>
    </row>
    <row r="41" spans="1:25" ht="12" customHeight="1">
      <c r="A41" s="219" t="n" cm="1">
        <f t="array" ref="A41">IFERROR(INDEX('03.Muestra'!$B$8:$B$42,SMALL(IF("Página Web"='03.Muestra'!$D$8:$D$42,ROW('03.Muestra'!$B$8:$B$42)-MIN(ROW('03.Muestra'!$D$8:$D$42))+1,""),ROW()-18)),"")</f>
        <v>1.0</v>
      </c>
      <c r="B41" s="114" t="str" cm="1">
        <f t="array" ref="B41">IFERROR(INDEX('03.Muestra'!$C$8:$C$42,SMALL(IF("Página Web"='03.Muestra'!$D$8:$D$42,ROW('03.Muestra'!$C$8:$C$42)-MIN(ROW('03.Muestra'!$D$8:$D$42))+1,""),ROW()-18)),"")</f>
        <v>Home - PortCastelló</v>
      </c>
      <c r="C41" s="114" t="str" cm="1">
        <f t="array" ref="C41">IFERROR(INDEX('03.Muestra'!$F$8:$F$42,SMALL(IF("Página Web"='03.Muestra'!$D$8:$D$42,ROW('03.Muestra'!$F$8:$F$42)-MIN(ROW('03.Muestra'!$D$8:$D$42))+1,""),ROW()-18)),"")</f>
        <v>https://www.portcastello.com/</v>
      </c>
      <c r="D41" s="130" t="s">
        <v>33</v>
      </c>
      <c r="E41" s="107" t="str">
        <f t="shared" si="0"/>
        <v/>
      </c>
      <c r="F41" s="19"/>
      <c r="G41" s="19"/>
      <c r="H41" s="19"/>
      <c r="I41" s="19"/>
      <c r="J41" s="19"/>
      <c r="K41" s="19"/>
      <c r="L41" s="19"/>
      <c r="Y41" s="19"/>
    </row>
    <row r="42" spans="1:25" ht="12" customHeight="1">
      <c r="A42" s="219" t="n" cm="1">
        <f t="array" ref="A42">IFERROR(INDEX('03.Muestra'!$B$8:$B$42,SMALL(IF("Página Web"='03.Muestra'!$D$8:$D$42,ROW('03.Muestra'!$B$8:$B$42)-MIN(ROW('03.Muestra'!$D$8:$D$42))+1,""),ROW()-18)),"")</f>
        <v>1.0</v>
      </c>
      <c r="B42" s="114" t="str" cm="1">
        <f t="array" ref="B42">IFERROR(INDEX('03.Muestra'!$C$8:$C$42,SMALL(IF("Página Web"='03.Muestra'!$D$8:$D$42,ROW('03.Muestra'!$C$8:$C$42)-MIN(ROW('03.Muestra'!$D$8:$D$42))+1,""),ROW()-18)),"")</f>
        <v>Home - PortCastelló</v>
      </c>
      <c r="C42" s="114" t="str" cm="1">
        <f t="array" ref="C42">IFERROR(INDEX('03.Muestra'!$F$8:$F$42,SMALL(IF("Página Web"='03.Muestra'!$D$8:$D$42,ROW('03.Muestra'!$F$8:$F$42)-MIN(ROW('03.Muestra'!$D$8:$D$42))+1,""),ROW()-18)),"")</f>
        <v>https://www.portcastello.com/</v>
      </c>
      <c r="D42" s="130" t="s">
        <v>33</v>
      </c>
      <c r="E42" s="107" t="str">
        <f t="shared" si="0"/>
        <v/>
      </c>
      <c r="F42" s="19"/>
      <c r="G42" s="19"/>
      <c r="H42" s="19"/>
      <c r="I42" s="19"/>
      <c r="J42" s="19"/>
      <c r="K42" s="19"/>
      <c r="L42" s="19"/>
      <c r="Y42" s="19"/>
    </row>
    <row r="43" spans="1:25" ht="12" customHeight="1">
      <c r="A43" s="219" t="n" cm="1">
        <f t="array" ref="A43">IFERROR(INDEX('03.Muestra'!$B$8:$B$42,SMALL(IF("Página Web"='03.Muestra'!$D$8:$D$42,ROW('03.Muestra'!$B$8:$B$42)-MIN(ROW('03.Muestra'!$D$8:$D$42))+1,""),ROW()-18)),"")</f>
        <v>1.0</v>
      </c>
      <c r="B43" s="114" t="str" cm="1">
        <f t="array" ref="B43">IFERROR(INDEX('03.Muestra'!$C$8:$C$42,SMALL(IF("Página Web"='03.Muestra'!$D$8:$D$42,ROW('03.Muestra'!$C$8:$C$42)-MIN(ROW('03.Muestra'!$D$8:$D$42))+1,""),ROW()-18)),"")</f>
        <v>Home - PortCastelló</v>
      </c>
      <c r="C43" s="114" t="str" cm="1">
        <f t="array" ref="C43">IFERROR(INDEX('03.Muestra'!$F$8:$F$42,SMALL(IF("Página Web"='03.Muestra'!$D$8:$D$42,ROW('03.Muestra'!$F$8:$F$42)-MIN(ROW('03.Muestra'!$D$8:$D$42))+1,""),ROW()-18)),"")</f>
        <v>https://www.portcastello.com/</v>
      </c>
      <c r="D43" s="130" t="s">
        <v>33</v>
      </c>
      <c r="E43" s="107" t="str">
        <f t="shared" si="0"/>
        <v/>
      </c>
      <c r="F43" s="19"/>
      <c r="G43" s="19"/>
      <c r="H43" s="19"/>
      <c r="I43" s="19"/>
      <c r="J43" s="19"/>
      <c r="K43" s="19"/>
      <c r="L43" s="19"/>
      <c r="Y43" s="19"/>
    </row>
    <row r="44" spans="1:25" ht="12" customHeight="1">
      <c r="A44" s="219" t="n" cm="1">
        <f t="array" ref="A44">IFERROR(INDEX('03.Muestra'!$B$8:$B$42,SMALL(IF("Página Web"='03.Muestra'!$D$8:$D$42,ROW('03.Muestra'!$B$8:$B$42)-MIN(ROW('03.Muestra'!$D$8:$D$42))+1,""),ROW()-18)),"")</f>
        <v>1.0</v>
      </c>
      <c r="B44" s="114" t="str" cm="1">
        <f t="array" ref="B44">IFERROR(INDEX('03.Muestra'!$C$8:$C$42,SMALL(IF("Página Web"='03.Muestra'!$D$8:$D$42,ROW('03.Muestra'!$C$8:$C$42)-MIN(ROW('03.Muestra'!$D$8:$D$42))+1,""),ROW()-18)),"")</f>
        <v>Home - PortCastelló</v>
      </c>
      <c r="C44" s="114" t="str" cm="1">
        <f t="array" ref="C44">IFERROR(INDEX('03.Muestra'!$F$8:$F$42,SMALL(IF("Página Web"='03.Muestra'!$D$8:$D$42,ROW('03.Muestra'!$F$8:$F$42)-MIN(ROW('03.Muestra'!$D$8:$D$42))+1,""),ROW()-18)),"")</f>
        <v>https://www.portcastello.com/</v>
      </c>
      <c r="D44" s="130" t="s">
        <v>33</v>
      </c>
      <c r="E44" s="107" t="str">
        <f t="shared" si="0"/>
        <v/>
      </c>
      <c r="F44" s="19"/>
      <c r="G44" s="19"/>
      <c r="H44" s="19"/>
      <c r="I44" s="19"/>
      <c r="J44" s="19"/>
      <c r="K44" s="19"/>
      <c r="L44" s="19"/>
      <c r="Q44" s="19"/>
      <c r="R44" s="19"/>
      <c r="T44" s="19"/>
      <c r="U44" s="19"/>
      <c r="V44" s="19"/>
      <c r="W44" s="19"/>
      <c r="X44" s="19"/>
      <c r="Y44" s="19"/>
    </row>
    <row r="45" spans="1:25" ht="12" customHeight="1">
      <c r="A45" s="219" t="n" cm="1">
        <f t="array" ref="A45">IFERROR(INDEX('03.Muestra'!$B$8:$B$42,SMALL(IF("Página Web"='03.Muestra'!$D$8:$D$42,ROW('03.Muestra'!$B$8:$B$42)-MIN(ROW('03.Muestra'!$D$8:$D$42))+1,""),ROW()-18)),"")</f>
        <v>1.0</v>
      </c>
      <c r="B45" s="114" t="str" cm="1">
        <f t="array" ref="B45">IFERROR(INDEX('03.Muestra'!$C$8:$C$42,SMALL(IF("Página Web"='03.Muestra'!$D$8:$D$42,ROW('03.Muestra'!$C$8:$C$42)-MIN(ROW('03.Muestra'!$D$8:$D$42))+1,""),ROW()-18)),"")</f>
        <v>Home - PortCastelló</v>
      </c>
      <c r="C45" s="114" t="str" cm="1">
        <f t="array" ref="C45">IFERROR(INDEX('03.Muestra'!$F$8:$F$42,SMALL(IF("Página Web"='03.Muestra'!$D$8:$D$42,ROW('03.Muestra'!$F$8:$F$42)-MIN(ROW('03.Muestra'!$D$8:$D$42))+1,""),ROW()-18)),"")</f>
        <v>https://www.portcastello.com/</v>
      </c>
      <c r="D45" s="130" t="s">
        <v>33</v>
      </c>
      <c r="E45" s="107" t="str">
        <f t="shared" si="0"/>
        <v/>
      </c>
      <c r="F45" s="19"/>
      <c r="G45" s="19"/>
      <c r="H45" s="19"/>
      <c r="I45" s="19"/>
      <c r="J45" s="19"/>
      <c r="K45" s="19"/>
      <c r="L45" s="19"/>
      <c r="Q45" s="19"/>
      <c r="R45" s="19"/>
      <c r="T45" s="19"/>
      <c r="U45" s="19"/>
      <c r="V45" s="19"/>
      <c r="W45" s="19"/>
      <c r="X45" s="19"/>
      <c r="Y45" s="19"/>
    </row>
    <row r="46" spans="1:25" ht="12" customHeight="1">
      <c r="A46" s="219" t="n" cm="1">
        <f t="array" ref="A46">IFERROR(INDEX('03.Muestra'!$B$8:$B$42,SMALL(IF("Página Web"='03.Muestra'!$D$8:$D$42,ROW('03.Muestra'!$B$8:$B$42)-MIN(ROW('03.Muestra'!$D$8:$D$42))+1,""),ROW()-18)),"")</f>
        <v>1.0</v>
      </c>
      <c r="B46" s="114" t="str" cm="1">
        <f t="array" ref="B46">IFERROR(INDEX('03.Muestra'!$C$8:$C$42,SMALL(IF("Página Web"='03.Muestra'!$D$8:$D$42,ROW('03.Muestra'!$C$8:$C$42)-MIN(ROW('03.Muestra'!$D$8:$D$42))+1,""),ROW()-18)),"")</f>
        <v>Home - PortCastelló</v>
      </c>
      <c r="C46" s="114" t="str" cm="1">
        <f t="array" ref="C46">IFERROR(INDEX('03.Muestra'!$F$8:$F$42,SMALL(IF("Página Web"='03.Muestra'!$D$8:$D$42,ROW('03.Muestra'!$F$8:$F$42)-MIN(ROW('03.Muestra'!$D$8:$D$42))+1,""),ROW()-18)),"")</f>
        <v>https://www.portcastello.com/</v>
      </c>
      <c r="D46" s="130" t="s">
        <v>33</v>
      </c>
      <c r="E46" s="107" t="str">
        <f t="shared" si="0"/>
        <v/>
      </c>
      <c r="I46" s="19"/>
      <c r="J46" s="19"/>
      <c r="K46" s="19"/>
      <c r="L46" s="19"/>
      <c r="Q46" s="19"/>
      <c r="R46" s="19"/>
      <c r="T46" s="19"/>
      <c r="U46" s="19"/>
      <c r="V46" s="19"/>
      <c r="W46" s="19"/>
      <c r="X46" s="19"/>
      <c r="Y46" s="19"/>
    </row>
    <row r="47" spans="1:25" ht="12" customHeight="1">
      <c r="A47" s="219" t="n" cm="1">
        <f t="array" ref="A47">IFERROR(INDEX('03.Muestra'!$B$8:$B$42,SMALL(IF("Página Web"='03.Muestra'!$D$8:$D$42,ROW('03.Muestra'!$B$8:$B$42)-MIN(ROW('03.Muestra'!$D$8:$D$42))+1,""),ROW()-18)),"")</f>
        <v>1.0</v>
      </c>
      <c r="B47" s="114" t="str" cm="1">
        <f t="array" ref="B47">IFERROR(INDEX('03.Muestra'!$C$8:$C$42,SMALL(IF("Página Web"='03.Muestra'!$D$8:$D$42,ROW('03.Muestra'!$C$8:$C$42)-MIN(ROW('03.Muestra'!$D$8:$D$42))+1,""),ROW()-18)),"")</f>
        <v>Home - PortCastelló</v>
      </c>
      <c r="C47" s="114" t="str" cm="1">
        <f t="array" ref="C47">IFERROR(INDEX('03.Muestra'!$F$8:$F$42,SMALL(IF("Página Web"='03.Muestra'!$D$8:$D$42,ROW('03.Muestra'!$F$8:$F$42)-MIN(ROW('03.Muestra'!$D$8:$D$42))+1,""),ROW()-18)),"")</f>
        <v>https://www.portcastello.com/</v>
      </c>
      <c r="D47" s="130" t="s">
        <v>33</v>
      </c>
      <c r="E47" s="107" t="str">
        <f t="shared" si="0"/>
        <v/>
      </c>
      <c r="I47" s="19"/>
      <c r="J47" s="19"/>
      <c r="K47" s="19"/>
      <c r="L47" s="19"/>
      <c r="Q47" s="19"/>
      <c r="R47" s="19"/>
      <c r="T47" s="19"/>
      <c r="U47" s="19"/>
      <c r="V47" s="19"/>
      <c r="W47" s="19"/>
      <c r="X47" s="19"/>
      <c r="Y47" s="19"/>
    </row>
    <row r="48" spans="1:25" ht="12" customHeight="1">
      <c r="A48" s="219" t="n" cm="1">
        <f t="array" ref="A48">IFERROR(INDEX('03.Muestra'!$B$8:$B$42,SMALL(IF("Página Web"='03.Muestra'!$D$8:$D$42,ROW('03.Muestra'!$B$8:$B$42)-MIN(ROW('03.Muestra'!$D$8:$D$42))+1,""),ROW()-18)),"")</f>
        <v>1.0</v>
      </c>
      <c r="B48" s="114" t="str" cm="1">
        <f t="array" ref="B48">IFERROR(INDEX('03.Muestra'!$C$8:$C$42,SMALL(IF("Página Web"='03.Muestra'!$D$8:$D$42,ROW('03.Muestra'!$C$8:$C$42)-MIN(ROW('03.Muestra'!$D$8:$D$42))+1,""),ROW()-18)),"")</f>
        <v>Home - PortCastelló</v>
      </c>
      <c r="C48" s="114" t="str" cm="1">
        <f t="array" ref="C48">IFERROR(INDEX('03.Muestra'!$F$8:$F$42,SMALL(IF("Página Web"='03.Muestra'!$D$8:$D$42,ROW('03.Muestra'!$F$8:$F$42)-MIN(ROW('03.Muestra'!$D$8:$D$42))+1,""),ROW()-18)),"")</f>
        <v>https://www.portcastello.com/</v>
      </c>
      <c r="D48" s="130" t="s">
        <v>33</v>
      </c>
      <c r="E48" s="107" t="str">
        <f t="shared" si="0"/>
        <v/>
      </c>
      <c r="I48" s="19"/>
      <c r="J48" s="19"/>
      <c r="K48" s="19"/>
      <c r="L48" s="19"/>
      <c r="Q48" s="19"/>
      <c r="R48" s="19"/>
      <c r="T48" s="19"/>
      <c r="U48" s="19"/>
      <c r="V48" s="19"/>
      <c r="W48" s="19"/>
      <c r="X48" s="19"/>
      <c r="Y48" s="19"/>
    </row>
    <row r="49" spans="1:25" ht="12" customHeight="1">
      <c r="A49" s="219" t="n" cm="1">
        <f t="array" ref="A49">IFERROR(INDEX('03.Muestra'!$B$8:$B$42,SMALL(IF("Página Web"='03.Muestra'!$D$8:$D$42,ROW('03.Muestra'!$B$8:$B$42)-MIN(ROW('03.Muestra'!$D$8:$D$42))+1,""),ROW()-18)),"")</f>
        <v>1.0</v>
      </c>
      <c r="B49" s="114" t="str" cm="1">
        <f t="array" ref="B49">IFERROR(INDEX('03.Muestra'!$C$8:$C$42,SMALL(IF("Página Web"='03.Muestra'!$D$8:$D$42,ROW('03.Muestra'!$C$8:$C$42)-MIN(ROW('03.Muestra'!$D$8:$D$42))+1,""),ROW()-18)),"")</f>
        <v>Home - PortCastelló</v>
      </c>
      <c r="C49" s="114" t="str" cm="1">
        <f t="array" ref="C49">IFERROR(INDEX('03.Muestra'!$F$8:$F$42,SMALL(IF("Página Web"='03.Muestra'!$D$8:$D$42,ROW('03.Muestra'!$F$8:$F$42)-MIN(ROW('03.Muestra'!$D$8:$D$42))+1,""),ROW()-18)),"")</f>
        <v>https://www.portcastello.com/</v>
      </c>
      <c r="D49" s="130" t="s">
        <v>33</v>
      </c>
      <c r="E49" s="107" t="str">
        <f t="shared" si="0"/>
        <v/>
      </c>
      <c r="I49" s="19"/>
      <c r="J49" s="19"/>
      <c r="K49" s="19"/>
      <c r="L49" s="19"/>
      <c r="Q49" s="19"/>
      <c r="R49" s="19"/>
      <c r="T49" s="19"/>
      <c r="U49" s="19"/>
      <c r="V49" s="19"/>
      <c r="W49" s="19"/>
      <c r="X49" s="19"/>
      <c r="Y49" s="19"/>
    </row>
    <row r="50" spans="1:25" ht="12" customHeight="1">
      <c r="A50" s="219" t="n" cm="1">
        <f t="array" ref="A50">IFERROR(INDEX('03.Muestra'!$B$8:$B$42,SMALL(IF("Página Web"='03.Muestra'!$D$8:$D$42,ROW('03.Muestra'!$B$8:$B$42)-MIN(ROW('03.Muestra'!$D$8:$D$42))+1,""),ROW()-18)),"")</f>
        <v>1.0</v>
      </c>
      <c r="B50" s="114" t="str" cm="1">
        <f t="array" ref="B50">IFERROR(INDEX('03.Muestra'!$C$8:$C$42,SMALL(IF("Página Web"='03.Muestra'!$D$8:$D$42,ROW('03.Muestra'!$C$8:$C$42)-MIN(ROW('03.Muestra'!$D$8:$D$42))+1,""),ROW()-18)),"")</f>
        <v>Home - PortCastelló</v>
      </c>
      <c r="C50" s="114" t="str" cm="1">
        <f t="array" ref="C50">IFERROR(INDEX('03.Muestra'!$F$8:$F$42,SMALL(IF("Página Web"='03.Muestra'!$D$8:$D$42,ROW('03.Muestra'!$F$8:$F$42)-MIN(ROW('03.Muestra'!$D$8:$D$42))+1,""),ROW()-18)),"")</f>
        <v>https://www.portcastello.com/</v>
      </c>
      <c r="D50" s="130" t="s">
        <v>33</v>
      </c>
      <c r="E50" s="107" t="str">
        <f t="shared" si="0"/>
        <v/>
      </c>
      <c r="I50" s="19"/>
      <c r="J50" s="19"/>
      <c r="K50" s="19"/>
      <c r="L50" s="19"/>
      <c r="Q50" s="19"/>
      <c r="R50" s="19"/>
      <c r="T50" s="19"/>
      <c r="U50" s="19"/>
      <c r="V50" s="19"/>
      <c r="W50" s="19"/>
      <c r="X50" s="19"/>
      <c r="Y50" s="19"/>
    </row>
    <row r="51" spans="1:25" ht="12" customHeight="1">
      <c r="A51" s="219" t="n" cm="1">
        <f t="array" ref="A51">IFERROR(INDEX('03.Muestra'!$B$8:$B$42,SMALL(IF("Página Web"='03.Muestra'!$D$8:$D$42,ROW('03.Muestra'!$B$8:$B$42)-MIN(ROW('03.Muestra'!$D$8:$D$42))+1,""),ROW()-18)),"")</f>
        <v>1.0</v>
      </c>
      <c r="B51" s="114" t="str" cm="1">
        <f t="array" ref="B51">IFERROR(INDEX('03.Muestra'!$C$8:$C$42,SMALL(IF("Página Web"='03.Muestra'!$D$8:$D$42,ROW('03.Muestra'!$C$8:$C$42)-MIN(ROW('03.Muestra'!$D$8:$D$42))+1,""),ROW()-18)),"")</f>
        <v>Home - PortCastelló</v>
      </c>
      <c r="C51" s="114" t="str" cm="1">
        <f t="array" ref="C51">IFERROR(INDEX('03.Muestra'!$F$8:$F$42,SMALL(IF("Página Web"='03.Muestra'!$D$8:$D$42,ROW('03.Muestra'!$F$8:$F$42)-MIN(ROW('03.Muestra'!$D$8:$D$42))+1,""),ROW()-18)),"")</f>
        <v>https://www.portcastello.com/</v>
      </c>
      <c r="D51" s="130" t="s">
        <v>33</v>
      </c>
      <c r="E51" s="107" t="str">
        <f t="shared" si="0"/>
        <v/>
      </c>
      <c r="I51" s="19"/>
      <c r="J51" s="19"/>
      <c r="K51" s="19"/>
      <c r="L51" s="19"/>
      <c r="Q51" s="19"/>
      <c r="R51" s="19"/>
      <c r="T51" s="19"/>
      <c r="U51" s="19"/>
      <c r="V51" s="19"/>
      <c r="W51" s="19"/>
      <c r="X51" s="19"/>
      <c r="Y51" s="19"/>
    </row>
    <row r="52" spans="1:25" ht="12" customHeight="1">
      <c r="A52" s="219" t="str" cm="1">
        <f t="array" ref="A52">IFERROR(INDEX('03.Muestra'!$B$8:$B$42,SMALL(IF("Página Web"='03.Muestra'!$D$8:$D$42,ROW('03.Muestra'!$B$8:$B$42)-MIN(ROW('03.Muestra'!$D$8:$D$42))+1,""),ROW()-18)),"")</f>
        <v/>
      </c>
      <c r="B52" s="114" t="str" cm="1">
        <f t="array" ref="B52">IFERROR(INDEX('03.Muestra'!$C$8:$C$42,SMALL(IF("Página Web"='03.Muestra'!$D$8:$D$42,ROW('03.Muestra'!$C$8:$C$42)-MIN(ROW('03.Muestra'!$D$8:$D$42))+1,""),ROW()-18)),"")</f>
        <v/>
      </c>
      <c r="C52" s="114" t="str" cm="1">
        <f t="array" ref="C52">IFERROR(INDEX('03.Muestra'!$F$8:$F$42,SMALL(IF("Página Web"='03.Muestra'!$D$8:$D$42,ROW('03.Muestra'!$F$8:$F$42)-MIN(ROW('03.Muestra'!$D$8:$D$42))+1,""),ROW()-18)),"")</f>
        <v/>
      </c>
      <c r="D52" s="130" t="str">
        <f t="shared" si="1" ref="D52:D53">IF(AND(B52&lt;&gt;"",C52&lt;&gt;""),"N/T","")</f>
        <v/>
      </c>
      <c r="E52" s="107" t="str">
        <f t="shared" si="0"/>
        <v/>
      </c>
      <c r="I52" s="19"/>
      <c r="J52" s="19"/>
      <c r="K52" s="19"/>
      <c r="L52" s="19"/>
      <c r="Q52" s="19"/>
      <c r="R52" s="19"/>
      <c r="T52" s="19"/>
      <c r="U52" s="19"/>
      <c r="V52" s="19"/>
      <c r="W52" s="19"/>
      <c r="X52" s="19"/>
      <c r="Y52" s="19"/>
    </row>
    <row r="53" spans="1:25" ht="12" customHeight="1">
      <c r="A53" s="219" t="str" cm="1">
        <f t="array" ref="A53">IFERROR(INDEX('03.Muestra'!$B$8:$B$42,SMALL(IF("Página Web"='03.Muestra'!$D$8:$D$42,ROW('03.Muestra'!$B$8:$B$42)-MIN(ROW('03.Muestra'!$D$8:$D$42))+1,""),ROW()-18)),"")</f>
        <v/>
      </c>
      <c r="B53" s="114" t="str" cm="1">
        <f t="array" ref="B53">IFERROR(INDEX('03.Muestra'!$C$8:$C$42,SMALL(IF("Página Web"='03.Muestra'!$D$8:$D$42,ROW('03.Muestra'!$C$8:$C$42)-MIN(ROW('03.Muestra'!$D$8:$D$42))+1,""),ROW()-18)),"")</f>
        <v/>
      </c>
      <c r="C53" s="114" t="str" cm="1">
        <f t="array" ref="C53">IFERROR(INDEX('03.Muestra'!$F$8:$F$42,SMALL(IF("Página Web"='03.Muestra'!$D$8:$D$42,ROW('03.Muestra'!$F$8:$F$42)-MIN(ROW('03.Muestra'!$D$8:$D$42))+1,""),ROW()-18)),"")</f>
        <v/>
      </c>
      <c r="D53" s="130" t="str">
        <f t="shared" si="1"/>
        <v/>
      </c>
      <c r="E53" s="107" t="str">
        <f t="shared" si="0"/>
        <v/>
      </c>
      <c r="I53" s="19"/>
      <c r="J53" s="19"/>
      <c r="K53" s="19"/>
      <c r="L53" s="19"/>
      <c r="Q53" s="19"/>
      <c r="R53" s="19"/>
      <c r="T53" s="19"/>
      <c r="U53" s="19"/>
      <c r="V53" s="19"/>
      <c r="W53" s="19"/>
      <c r="X53" s="19"/>
      <c r="Y53" s="19"/>
    </row>
    <row r="54" spans="1:25" ht="12" customHeight="1">
      <c r="B54" s="19"/>
      <c r="C54" s="19"/>
      <c r="D54" s="107"/>
      <c r="E54" s="107"/>
      <c r="F54" s="19"/>
      <c r="G54" s="19"/>
      <c r="H54" s="19"/>
      <c r="I54" s="19"/>
      <c r="J54" s="19"/>
      <c r="K54" s="19"/>
      <c r="L54" s="19"/>
      <c r="Q54" s="19"/>
      <c r="R54" s="19"/>
      <c r="T54" s="19"/>
      <c r="U54" s="19"/>
      <c r="V54" s="19"/>
      <c r="W54" s="19"/>
      <c r="X54" s="19"/>
      <c r="Y54" s="19"/>
    </row>
    <row r="55" spans="1:25" ht="12" customHeight="1">
      <c r="B55" s="19"/>
      <c r="C55" s="19"/>
      <c r="D55" s="107"/>
      <c r="E55" s="112"/>
      <c r="F55" s="19"/>
      <c r="G55" s="19"/>
      <c r="H55" s="19"/>
      <c r="I55" s="19"/>
      <c r="J55" s="19"/>
      <c r="K55" s="19"/>
      <c r="L55" s="19"/>
      <c r="M55" s="19"/>
      <c r="N55" s="19"/>
      <c r="O55" s="19"/>
      <c r="P55" s="19"/>
      <c r="Q55" s="19"/>
      <c r="R55" s="19"/>
      <c r="T55" s="19"/>
      <c r="U55" s="19"/>
      <c r="V55" s="19"/>
      <c r="W55" s="19"/>
      <c r="X55" s="19"/>
      <c r="Y55" s="19"/>
    </row>
    <row r="56" spans="1:25" ht="29.25" customHeight="1">
      <c r="A56" s="218" t="s">
        <v>268</v>
      </c>
      <c r="B56" s="24" t="s">
        <v>90</v>
      </c>
      <c r="C56" s="25" t="s">
        <v>93</v>
      </c>
      <c r="D56" s="26" t="s">
        <v>32</v>
      </c>
      <c r="E56" s="123"/>
      <c r="K56" s="19"/>
      <c r="L56" s="19"/>
      <c r="M56" s="19"/>
      <c r="N56" s="19"/>
      <c r="O56" s="19"/>
      <c r="P56" s="19"/>
      <c r="Q56" s="19"/>
      <c r="R56" s="19"/>
      <c r="T56" s="19"/>
      <c r="U56" s="19"/>
      <c r="V56" s="19"/>
      <c r="W56" s="19"/>
      <c r="X56" s="19"/>
      <c r="Y56" s="19"/>
    </row>
    <row r="57" spans="1:25" ht="12" customHeight="1">
      <c r="A57" s="219" t="n" cm="1">
        <f t="array" ref="A57">IFERROR(INDEX('03.Muestra'!$B$8:$B$42,SMALL(IF("Página Web"='03.Muestra'!$D$8:$D$42,ROW('03.Muestra'!$B$8:$B$42)-MIN(ROW('03.Muestra'!$D$8:$D$42))+1,""),ROW()-56)),"")</f>
        <v>1.0</v>
      </c>
      <c r="B57" s="114" t="str" cm="1">
        <f t="array" ref="B57">IFERROR(INDEX('03.Muestra'!$C$8:$C$42,SMALL(IF("Página Web"='03.Muestra'!$D$8:$D$42,ROW('03.Muestra'!$C$8:$C$42)-MIN(ROW('03.Muestra'!$D$8:$D$42))+1,""),ROW()-56)),"")</f>
        <v>Home - PortCastelló</v>
      </c>
      <c r="C57" s="114" t="str" cm="1">
        <f t="array" ref="C57">IFERROR(INDEX('03.Muestra'!$F$8:$F$42,SMALL(IF("Página Web"='03.Muestra'!$D$8:$D$42,ROW('03.Muestra'!$F$8:$F$42)-MIN(ROW('03.Muestra'!$D$8:$D$42))+1,""),ROW()-56)),"")</f>
        <v>https://www.portcastello.com/</v>
      </c>
      <c r="D57" s="130" t="s">
        <v>33</v>
      </c>
      <c r="E57" s="107" t="str">
        <f t="shared" ref="E57:E91" si="2">IF(D57&lt;&gt;"",IF(AND(B57&lt;&gt;"",C57&lt;&gt;""),"","ERR"),"")</f>
        <v/>
      </c>
      <c r="F57" s="115" t="s">
        <v>33</v>
      </c>
      <c r="G57" s="116" t="s">
        <v>37</v>
      </c>
      <c r="H57" s="117" t="s">
        <v>35</v>
      </c>
      <c r="I57" s="118" t="s">
        <v>28</v>
      </c>
      <c r="J57" s="119" t="s">
        <v>26</v>
      </c>
      <c r="K57" s="226" t="s">
        <v>474</v>
      </c>
      <c r="L57" s="19"/>
      <c r="M57" s="19"/>
      <c r="N57" s="19"/>
      <c r="O57" s="19"/>
      <c r="P57" s="19"/>
      <c r="Q57" s="19"/>
      <c r="R57" s="19"/>
      <c r="T57" s="19"/>
      <c r="U57" s="19"/>
      <c r="V57" s="19"/>
      <c r="W57" s="19"/>
      <c r="X57" s="19"/>
      <c r="Y57" s="19"/>
    </row>
    <row r="58" spans="1:25" ht="12" customHeight="1">
      <c r="A58" s="219" t="n" cm="1">
        <f t="array" ref="A58">IFERROR(INDEX('03.Muestra'!$B$8:$B$42,SMALL(IF("Página Web"='03.Muestra'!$D$8:$D$42,ROW('03.Muestra'!$B$8:$B$42)-MIN(ROW('03.Muestra'!$D$8:$D$42))+1,""),ROW()-56)),"")</f>
        <v>1.0</v>
      </c>
      <c r="B58" s="114" t="str" cm="1">
        <f t="array" ref="B58">IFERROR(INDEX('03.Muestra'!$C$8:$C$42,SMALL(IF("Página Web"='03.Muestra'!$D$8:$D$42,ROW('03.Muestra'!$C$8:$C$42)-MIN(ROW('03.Muestra'!$D$8:$D$42))+1,""),ROW()-56)),"")</f>
        <v>Home - PortCastelló</v>
      </c>
      <c r="C58" s="114" t="str" cm="1">
        <f t="array" ref="C58">IFERROR(INDEX('03.Muestra'!$F$8:$F$42,SMALL(IF("Página Web"='03.Muestra'!$D$8:$D$42,ROW('03.Muestra'!$F$8:$F$42)-MIN(ROW('03.Muestra'!$D$8:$D$42))+1,""),ROW()-56)),"")</f>
        <v>https://www.portcastello.com/</v>
      </c>
      <c r="D58" s="130" t="s">
        <v>33</v>
      </c>
      <c r="E58" s="107" t="str">
        <f t="shared" si="2"/>
        <v/>
      </c>
      <c r="F58" s="120" t="n">
        <f ca="1">COUNTIF($D57:INDIRECT("$D" &amp;  SUM(ROW()-1,'03.Muestra'!$D$45)-1),F57)</f>
        <v>33.0</v>
      </c>
      <c r="G58" s="120" t="n">
        <f ca="1">COUNTIF($D57:INDIRECT("$D" &amp;  SUM(ROW()-1,'03.Muestra'!$D$45)-1),G57)</f>
        <v>0.0</v>
      </c>
      <c r="H58" s="120" t="n">
        <f ca="1">COUNTIF($D57:INDIRECT("$D" &amp;  SUM(ROW()-1,'03.Muestra'!$D$45)-1),H57)</f>
        <v>0.0</v>
      </c>
      <c r="I58" s="120" t="n">
        <f ca="1">COUNTIF($D57:INDIRECT("$D" &amp;  SUM(ROW()-1,'03.Muestra'!$D$45)-1),I57)</f>
        <v>0.0</v>
      </c>
      <c r="J58" s="120" t="n">
        <f ca="1">COUNTIF($D57:INDIRECT("$D" &amp;  SUM(ROW()-1,'03.Muestra'!$D$45)-1),J57)</f>
        <v>0.0</v>
      </c>
      <c r="K58" s="227" t="n">
        <f ca="1">IF(COUNTIF('03.Muestra'!$D$8:$D$42,"Página Web")=0,0,COUNTBLANK($D57:INDIRECT("$D" &amp;  SUM(ROW()-1,COUNTIF('03.Muestra'!$D$8:$D$42,"Página Web"))-1)))</f>
        <v>0.0</v>
      </c>
      <c r="L58" s="19"/>
      <c r="M58" s="19"/>
      <c r="N58" s="19"/>
      <c r="O58" s="19"/>
      <c r="P58" s="19"/>
      <c r="Q58" s="19"/>
      <c r="R58" s="19"/>
      <c r="T58" s="19"/>
      <c r="U58" s="19"/>
      <c r="V58" s="19"/>
      <c r="W58" s="19"/>
      <c r="X58" s="19"/>
      <c r="Y58" s="19"/>
    </row>
    <row r="59" spans="1:25" ht="12" customHeight="1">
      <c r="A59" s="219" t="n" cm="1">
        <f t="array" ref="A59">IFERROR(INDEX('03.Muestra'!$B$8:$B$42,SMALL(IF("Página Web"='03.Muestra'!$D$8:$D$42,ROW('03.Muestra'!$B$8:$B$42)-MIN(ROW('03.Muestra'!$D$8:$D$42))+1,""),ROW()-56)),"")</f>
        <v>1.0</v>
      </c>
      <c r="B59" s="114" t="str" cm="1">
        <f t="array" ref="B59">IFERROR(INDEX('03.Muestra'!$C$8:$C$42,SMALL(IF("Página Web"='03.Muestra'!$D$8:$D$42,ROW('03.Muestra'!$C$8:$C$42)-MIN(ROW('03.Muestra'!$D$8:$D$42))+1,""),ROW()-56)),"")</f>
        <v>Home - PortCastelló</v>
      </c>
      <c r="C59" s="114" t="str" cm="1">
        <f t="array" ref="C59">IFERROR(INDEX('03.Muestra'!$F$8:$F$42,SMALL(IF("Página Web"='03.Muestra'!$D$8:$D$42,ROW('03.Muestra'!$F$8:$F$42)-MIN(ROW('03.Muestra'!$D$8:$D$42))+1,""),ROW()-56)),"")</f>
        <v>https://www.portcastello.com/</v>
      </c>
      <c r="D59" s="130" t="s">
        <v>33</v>
      </c>
      <c r="E59" s="107" t="str">
        <f t="shared" si="2"/>
        <v/>
      </c>
      <c r="G59" s="19"/>
      <c r="H59" s="19"/>
      <c r="I59" s="19"/>
      <c r="J59" s="19"/>
      <c r="K59" s="233"/>
      <c r="L59" s="19"/>
      <c r="M59" s="19"/>
      <c r="N59" s="19"/>
      <c r="O59" s="19"/>
      <c r="P59" s="19"/>
      <c r="Q59" s="19"/>
      <c r="R59" s="19"/>
      <c r="S59" s="19"/>
      <c r="T59" s="19"/>
      <c r="U59" s="19"/>
      <c r="V59" s="19"/>
      <c r="W59" s="19"/>
      <c r="X59" s="19"/>
      <c r="Y59" s="19"/>
    </row>
    <row r="60" spans="1:25" ht="12" customHeight="1">
      <c r="A60" s="219" t="n" cm="1">
        <f t="array" ref="A60">IFERROR(INDEX('03.Muestra'!$B$8:$B$42,SMALL(IF("Página Web"='03.Muestra'!$D$8:$D$42,ROW('03.Muestra'!$B$8:$B$42)-MIN(ROW('03.Muestra'!$D$8:$D$42))+1,""),ROW()-56)),"")</f>
        <v>1.0</v>
      </c>
      <c r="B60" s="114" t="str" cm="1">
        <f t="array" ref="B60">IFERROR(INDEX('03.Muestra'!$C$8:$C$42,SMALL(IF("Página Web"='03.Muestra'!$D$8:$D$42,ROW('03.Muestra'!$C$8:$C$42)-MIN(ROW('03.Muestra'!$D$8:$D$42))+1,""),ROW()-56)),"")</f>
        <v>Home - PortCastelló</v>
      </c>
      <c r="C60" s="114" t="str" cm="1">
        <f t="array" ref="C60">IFERROR(INDEX('03.Muestra'!$F$8:$F$42,SMALL(IF("Página Web"='03.Muestra'!$D$8:$D$42,ROW('03.Muestra'!$F$8:$F$42)-MIN(ROW('03.Muestra'!$D$8:$D$42))+1,""),ROW()-56)),"")</f>
        <v>https://www.portcastello.com/</v>
      </c>
      <c r="D60" s="130" t="s">
        <v>33</v>
      </c>
      <c r="E60" s="107" t="str">
        <f t="shared" si="2"/>
        <v/>
      </c>
      <c r="G60" s="19"/>
      <c r="H60" s="19"/>
      <c r="I60" s="19"/>
      <c r="J60" s="19"/>
      <c r="K60" s="233"/>
      <c r="L60" s="19"/>
      <c r="M60" s="19"/>
      <c r="N60" s="19"/>
      <c r="O60" s="19"/>
      <c r="P60" s="19"/>
      <c r="Q60" s="19"/>
      <c r="R60" s="19"/>
      <c r="S60" s="19"/>
      <c r="T60" s="19"/>
      <c r="U60" s="19"/>
      <c r="V60" s="19"/>
      <c r="W60" s="19"/>
      <c r="X60" s="19"/>
      <c r="Y60" s="19"/>
    </row>
    <row r="61" spans="1:25" ht="12" customHeight="1">
      <c r="A61" s="219" t="n" cm="1">
        <f t="array" ref="A61">IFERROR(INDEX('03.Muestra'!$B$8:$B$42,SMALL(IF("Página Web"='03.Muestra'!$D$8:$D$42,ROW('03.Muestra'!$B$8:$B$42)-MIN(ROW('03.Muestra'!$D$8:$D$42))+1,""),ROW()-56)),"")</f>
        <v>1.0</v>
      </c>
      <c r="B61" s="114" t="str" cm="1">
        <f t="array" ref="B61">IFERROR(INDEX('03.Muestra'!$C$8:$C$42,SMALL(IF("Página Web"='03.Muestra'!$D$8:$D$42,ROW('03.Muestra'!$C$8:$C$42)-MIN(ROW('03.Muestra'!$D$8:$D$42))+1,""),ROW()-56)),"")</f>
        <v>Home - PortCastelló</v>
      </c>
      <c r="C61" s="114" t="str" cm="1">
        <f t="array" ref="C61">IFERROR(INDEX('03.Muestra'!$F$8:$F$42,SMALL(IF("Página Web"='03.Muestra'!$D$8:$D$42,ROW('03.Muestra'!$F$8:$F$42)-MIN(ROW('03.Muestra'!$D$8:$D$42))+1,""),ROW()-56)),"")</f>
        <v>https://www.portcastello.com/</v>
      </c>
      <c r="D61" s="130" t="s">
        <v>33</v>
      </c>
      <c r="E61" s="107" t="str">
        <f t="shared" si="2"/>
        <v/>
      </c>
      <c r="G61" s="19"/>
      <c r="H61" s="19"/>
      <c r="I61" s="19"/>
      <c r="J61" s="19"/>
      <c r="K61" s="233"/>
      <c r="L61" s="19"/>
      <c r="M61" s="19"/>
      <c r="N61" s="19"/>
      <c r="O61" s="19"/>
      <c r="P61" s="19"/>
      <c r="Q61" s="19"/>
      <c r="R61" s="19"/>
      <c r="S61" s="19"/>
      <c r="T61" s="19"/>
      <c r="U61" s="19"/>
      <c r="V61" s="19"/>
      <c r="W61" s="19"/>
      <c r="X61" s="19"/>
      <c r="Y61" s="19"/>
    </row>
    <row r="62" spans="1:25" ht="12" customHeight="1">
      <c r="A62" s="219" t="n" cm="1">
        <f t="array" ref="A62">IFERROR(INDEX('03.Muestra'!$B$8:$B$42,SMALL(IF("Página Web"='03.Muestra'!$D$8:$D$42,ROW('03.Muestra'!$B$8:$B$42)-MIN(ROW('03.Muestra'!$D$8:$D$42))+1,""),ROW()-56)),"")</f>
        <v>1.0</v>
      </c>
      <c r="B62" s="114" t="str" cm="1">
        <f t="array" ref="B62">IFERROR(INDEX('03.Muestra'!$C$8:$C$42,SMALL(IF("Página Web"='03.Muestra'!$D$8:$D$42,ROW('03.Muestra'!$C$8:$C$42)-MIN(ROW('03.Muestra'!$D$8:$D$42))+1,""),ROW()-56)),"")</f>
        <v>Home - PortCastelló</v>
      </c>
      <c r="C62" s="114" t="str" cm="1">
        <f t="array" ref="C62">IFERROR(INDEX('03.Muestra'!$F$8:$F$42,SMALL(IF("Página Web"='03.Muestra'!$D$8:$D$42,ROW('03.Muestra'!$F$8:$F$42)-MIN(ROW('03.Muestra'!$D$8:$D$42))+1,""),ROW()-56)),"")</f>
        <v>https://www.portcastello.com/</v>
      </c>
      <c r="D62" s="130" t="s">
        <v>33</v>
      </c>
      <c r="E62" s="107" t="str">
        <f t="shared" si="2"/>
        <v/>
      </c>
      <c r="G62" s="19"/>
      <c r="H62" s="19"/>
      <c r="I62" s="19"/>
      <c r="J62" s="19"/>
      <c r="K62" s="233"/>
      <c r="L62" s="19"/>
      <c r="M62" s="19"/>
      <c r="N62" s="19"/>
      <c r="O62" s="19"/>
      <c r="P62" s="19"/>
      <c r="Q62" s="19"/>
      <c r="R62" s="19"/>
      <c r="S62" s="19"/>
      <c r="T62" s="19"/>
      <c r="U62" s="19"/>
      <c r="V62" s="19"/>
      <c r="W62" s="19"/>
      <c r="X62" s="19"/>
      <c r="Y62" s="19"/>
    </row>
    <row r="63" spans="1:25" ht="12" customHeight="1">
      <c r="A63" s="219" t="n" cm="1">
        <f t="array" ref="A63">IFERROR(INDEX('03.Muestra'!$B$8:$B$42,SMALL(IF("Página Web"='03.Muestra'!$D$8:$D$42,ROW('03.Muestra'!$B$8:$B$42)-MIN(ROW('03.Muestra'!$D$8:$D$42))+1,""),ROW()-56)),"")</f>
        <v>1.0</v>
      </c>
      <c r="B63" s="114" t="str" cm="1">
        <f t="array" ref="B63">IFERROR(INDEX('03.Muestra'!$C$8:$C$42,SMALL(IF("Página Web"='03.Muestra'!$D$8:$D$42,ROW('03.Muestra'!$C$8:$C$42)-MIN(ROW('03.Muestra'!$D$8:$D$42))+1,""),ROW()-56)),"")</f>
        <v>Home - PortCastelló</v>
      </c>
      <c r="C63" s="114" t="str" cm="1">
        <f t="array" ref="C63">IFERROR(INDEX('03.Muestra'!$F$8:$F$42,SMALL(IF("Página Web"='03.Muestra'!$D$8:$D$42,ROW('03.Muestra'!$F$8:$F$42)-MIN(ROW('03.Muestra'!$D$8:$D$42))+1,""),ROW()-56)),"")</f>
        <v>https://www.portcastello.com/</v>
      </c>
      <c r="D63" s="130" t="s">
        <v>33</v>
      </c>
      <c r="E63" s="107" t="str">
        <f t="shared" si="2"/>
        <v/>
      </c>
      <c r="F63" s="19"/>
      <c r="G63" s="19"/>
      <c r="H63" s="19"/>
      <c r="I63" s="19"/>
      <c r="J63" s="19"/>
      <c r="K63" s="233"/>
      <c r="L63" s="19"/>
      <c r="M63" s="19"/>
      <c r="N63" s="19"/>
      <c r="O63" s="19"/>
      <c r="P63" s="19"/>
      <c r="Q63" s="19"/>
      <c r="R63" s="19"/>
      <c r="S63" s="19"/>
      <c r="T63" s="19"/>
      <c r="U63" s="19"/>
      <c r="V63" s="19"/>
      <c r="W63" s="19"/>
      <c r="X63" s="19"/>
      <c r="Y63" s="19"/>
    </row>
    <row r="64" spans="1:25" ht="12" customHeight="1">
      <c r="A64" s="219" t="n" cm="1">
        <f t="array" ref="A64">IFERROR(INDEX('03.Muestra'!$B$8:$B$42,SMALL(IF("Página Web"='03.Muestra'!$D$8:$D$42,ROW('03.Muestra'!$B$8:$B$42)-MIN(ROW('03.Muestra'!$D$8:$D$42))+1,""),ROW()-56)),"")</f>
        <v>1.0</v>
      </c>
      <c r="B64" s="114" t="str" cm="1">
        <f t="array" ref="B64">IFERROR(INDEX('03.Muestra'!$C$8:$C$42,SMALL(IF("Página Web"='03.Muestra'!$D$8:$D$42,ROW('03.Muestra'!$C$8:$C$42)-MIN(ROW('03.Muestra'!$D$8:$D$42))+1,""),ROW()-56)),"")</f>
        <v>Home - PortCastelló</v>
      </c>
      <c r="C64" s="114" t="str" cm="1">
        <f t="array" ref="C64">IFERROR(INDEX('03.Muestra'!$F$8:$F$42,SMALL(IF("Página Web"='03.Muestra'!$D$8:$D$42,ROW('03.Muestra'!$F$8:$F$42)-MIN(ROW('03.Muestra'!$D$8:$D$42))+1,""),ROW()-56)),"")</f>
        <v>https://www.portcastello.com/</v>
      </c>
      <c r="D64" s="130" t="s">
        <v>33</v>
      </c>
      <c r="E64" s="107" t="str">
        <f t="shared" si="2"/>
        <v/>
      </c>
      <c r="F64" s="19"/>
      <c r="G64" s="19"/>
      <c r="H64" s="19"/>
      <c r="I64" s="19"/>
      <c r="J64" s="19"/>
      <c r="K64" s="233"/>
      <c r="L64" s="19"/>
      <c r="M64" s="19"/>
      <c r="N64" s="19"/>
      <c r="O64" s="19"/>
      <c r="P64" s="19"/>
      <c r="Q64" s="19"/>
      <c r="R64" s="19"/>
      <c r="S64" s="19"/>
      <c r="T64" s="19"/>
      <c r="U64" s="19"/>
      <c r="V64" s="19"/>
      <c r="W64" s="19"/>
      <c r="X64" s="19"/>
      <c r="Y64" s="19"/>
    </row>
    <row r="65" spans="1:25" ht="12" customHeight="1">
      <c r="A65" s="219" t="n" cm="1">
        <f t="array" ref="A65">IFERROR(INDEX('03.Muestra'!$B$8:$B$42,SMALL(IF("Página Web"='03.Muestra'!$D$8:$D$42,ROW('03.Muestra'!$B$8:$B$42)-MIN(ROW('03.Muestra'!$D$8:$D$42))+1,""),ROW()-56)),"")</f>
        <v>1.0</v>
      </c>
      <c r="B65" s="114" t="str" cm="1">
        <f t="array" ref="B65">IFERROR(INDEX('03.Muestra'!$C$8:$C$42,SMALL(IF("Página Web"='03.Muestra'!$D$8:$D$42,ROW('03.Muestra'!$C$8:$C$42)-MIN(ROW('03.Muestra'!$D$8:$D$42))+1,""),ROW()-56)),"")</f>
        <v>Home - PortCastelló</v>
      </c>
      <c r="C65" s="114" t="str" cm="1">
        <f t="array" ref="C65">IFERROR(INDEX('03.Muestra'!$F$8:$F$42,SMALL(IF("Página Web"='03.Muestra'!$D$8:$D$42,ROW('03.Muestra'!$F$8:$F$42)-MIN(ROW('03.Muestra'!$D$8:$D$42))+1,""),ROW()-56)),"")</f>
        <v>https://www.portcastello.com/</v>
      </c>
      <c r="D65" s="130" t="s">
        <v>33</v>
      </c>
      <c r="E65" s="107" t="str">
        <f t="shared" si="2"/>
        <v/>
      </c>
      <c r="F65" s="19"/>
      <c r="G65" s="19"/>
      <c r="H65" s="19"/>
      <c r="I65" s="19"/>
      <c r="J65" s="19"/>
      <c r="K65" s="233"/>
      <c r="L65" s="19"/>
      <c r="M65" s="19"/>
      <c r="N65" s="19"/>
      <c r="O65" s="19"/>
      <c r="P65" s="19"/>
      <c r="Q65" s="19"/>
      <c r="R65" s="19"/>
      <c r="S65" s="19"/>
      <c r="T65" s="19"/>
      <c r="U65" s="19"/>
      <c r="V65" s="19"/>
      <c r="W65" s="19"/>
      <c r="X65" s="19"/>
      <c r="Y65" s="19"/>
    </row>
    <row r="66" spans="1:25" ht="12" customHeight="1">
      <c r="A66" s="219" t="n" cm="1">
        <f t="array" ref="A66">IFERROR(INDEX('03.Muestra'!$B$8:$B$42,SMALL(IF("Página Web"='03.Muestra'!$D$8:$D$42,ROW('03.Muestra'!$B$8:$B$42)-MIN(ROW('03.Muestra'!$D$8:$D$42))+1,""),ROW()-56)),"")</f>
        <v>1.0</v>
      </c>
      <c r="B66" s="114" t="str" cm="1">
        <f t="array" ref="B66">IFERROR(INDEX('03.Muestra'!$C$8:$C$42,SMALL(IF("Página Web"='03.Muestra'!$D$8:$D$42,ROW('03.Muestra'!$C$8:$C$42)-MIN(ROW('03.Muestra'!$D$8:$D$42))+1,""),ROW()-56)),"")</f>
        <v>Home - PortCastelló</v>
      </c>
      <c r="C66" s="114" t="str" cm="1">
        <f t="array" ref="C66">IFERROR(INDEX('03.Muestra'!$F$8:$F$42,SMALL(IF("Página Web"='03.Muestra'!$D$8:$D$42,ROW('03.Muestra'!$F$8:$F$42)-MIN(ROW('03.Muestra'!$D$8:$D$42))+1,""),ROW()-56)),"")</f>
        <v>https://www.portcastello.com/</v>
      </c>
      <c r="D66" s="130" t="s">
        <v>33</v>
      </c>
      <c r="E66" s="107" t="str">
        <f t="shared" si="2"/>
        <v/>
      </c>
      <c r="F66" s="19"/>
      <c r="G66" s="19"/>
      <c r="H66" s="19"/>
      <c r="I66" s="19"/>
      <c r="J66" s="19"/>
      <c r="K66" s="233"/>
      <c r="L66" s="19"/>
      <c r="M66" s="19"/>
      <c r="N66" s="19"/>
      <c r="O66" s="19"/>
      <c r="P66" s="19"/>
      <c r="Q66" s="19"/>
      <c r="R66" s="19"/>
      <c r="S66" s="19"/>
      <c r="T66" s="19"/>
      <c r="U66" s="19"/>
      <c r="V66" s="19"/>
      <c r="W66" s="19"/>
      <c r="X66" s="19"/>
      <c r="Y66" s="19"/>
    </row>
    <row r="67" spans="1:25" ht="12" customHeight="1">
      <c r="A67" s="219" t="n" cm="1">
        <f t="array" ref="A67">IFERROR(INDEX('03.Muestra'!$B$8:$B$42,SMALL(IF("Página Web"='03.Muestra'!$D$8:$D$42,ROW('03.Muestra'!$B$8:$B$42)-MIN(ROW('03.Muestra'!$D$8:$D$42))+1,""),ROW()-56)),"")</f>
        <v>1.0</v>
      </c>
      <c r="B67" s="114" t="str" cm="1">
        <f t="array" ref="B67">IFERROR(INDEX('03.Muestra'!$C$8:$C$42,SMALL(IF("Página Web"='03.Muestra'!$D$8:$D$42,ROW('03.Muestra'!$C$8:$C$42)-MIN(ROW('03.Muestra'!$D$8:$D$42))+1,""),ROW()-56)),"")</f>
        <v>Home - PortCastelló</v>
      </c>
      <c r="C67" s="114" t="str" cm="1">
        <f t="array" ref="C67">IFERROR(INDEX('03.Muestra'!$F$8:$F$42,SMALL(IF("Página Web"='03.Muestra'!$D$8:$D$42,ROW('03.Muestra'!$F$8:$F$42)-MIN(ROW('03.Muestra'!$D$8:$D$42))+1,""),ROW()-56)),"")</f>
        <v>https://www.portcastello.com/</v>
      </c>
      <c r="D67" s="130" t="s">
        <v>33</v>
      </c>
      <c r="E67" s="107" t="str">
        <f t="shared" si="2"/>
        <v/>
      </c>
      <c r="F67" s="19"/>
      <c r="G67" s="19"/>
      <c r="H67" s="19"/>
      <c r="I67" s="19"/>
      <c r="J67" s="19"/>
      <c r="K67" s="233"/>
      <c r="L67" s="19"/>
      <c r="M67" s="19"/>
      <c r="N67" s="19"/>
      <c r="O67" s="19"/>
      <c r="P67" s="19"/>
      <c r="Q67" s="19"/>
      <c r="R67" s="19"/>
      <c r="S67" s="19"/>
      <c r="T67" s="19"/>
      <c r="U67" s="19"/>
      <c r="V67" s="19"/>
      <c r="W67" s="19"/>
      <c r="X67" s="19"/>
      <c r="Y67" s="19"/>
    </row>
    <row r="68" spans="1:25" ht="12" customHeight="1">
      <c r="A68" s="219" t="n" cm="1">
        <f t="array" ref="A68">IFERROR(INDEX('03.Muestra'!$B$8:$B$42,SMALL(IF("Página Web"='03.Muestra'!$D$8:$D$42,ROW('03.Muestra'!$B$8:$B$42)-MIN(ROW('03.Muestra'!$D$8:$D$42))+1,""),ROW()-56)),"")</f>
        <v>1.0</v>
      </c>
      <c r="B68" s="114" t="str" cm="1">
        <f t="array" ref="B68">IFERROR(INDEX('03.Muestra'!$C$8:$C$42,SMALL(IF("Página Web"='03.Muestra'!$D$8:$D$42,ROW('03.Muestra'!$C$8:$C$42)-MIN(ROW('03.Muestra'!$D$8:$D$42))+1,""),ROW()-56)),"")</f>
        <v>Home - PortCastelló</v>
      </c>
      <c r="C68" s="114" t="str" cm="1">
        <f t="array" ref="C68">IFERROR(INDEX('03.Muestra'!$F$8:$F$42,SMALL(IF("Página Web"='03.Muestra'!$D$8:$D$42,ROW('03.Muestra'!$F$8:$F$42)-MIN(ROW('03.Muestra'!$D$8:$D$42))+1,""),ROW()-56)),"")</f>
        <v>https://www.portcastello.com/</v>
      </c>
      <c r="D68" s="130" t="s">
        <v>33</v>
      </c>
      <c r="E68" s="107" t="str">
        <f t="shared" si="2"/>
        <v/>
      </c>
      <c r="F68" s="19"/>
      <c r="G68" s="19"/>
      <c r="H68" s="19"/>
      <c r="I68" s="19"/>
      <c r="J68" s="19"/>
      <c r="K68" s="233"/>
      <c r="L68" s="19"/>
      <c r="M68" s="19"/>
      <c r="N68" s="19"/>
      <c r="O68" s="19"/>
      <c r="P68" s="19"/>
      <c r="Q68" s="19"/>
      <c r="R68" s="19"/>
      <c r="S68" s="19"/>
      <c r="T68" s="19"/>
      <c r="U68" s="19"/>
      <c r="V68" s="19"/>
      <c r="W68" s="19"/>
      <c r="X68" s="19"/>
      <c r="Y68" s="19"/>
    </row>
    <row r="69" spans="1:25" ht="12" customHeight="1">
      <c r="A69" s="219" t="n" cm="1">
        <f t="array" ref="A69">IFERROR(INDEX('03.Muestra'!$B$8:$B$42,SMALL(IF("Página Web"='03.Muestra'!$D$8:$D$42,ROW('03.Muestra'!$B$8:$B$42)-MIN(ROW('03.Muestra'!$D$8:$D$42))+1,""),ROW()-56)),"")</f>
        <v>1.0</v>
      </c>
      <c r="B69" s="114" t="str" cm="1">
        <f t="array" ref="B69">IFERROR(INDEX('03.Muestra'!$C$8:$C$42,SMALL(IF("Página Web"='03.Muestra'!$D$8:$D$42,ROW('03.Muestra'!$C$8:$C$42)-MIN(ROW('03.Muestra'!$D$8:$D$42))+1,""),ROW()-56)),"")</f>
        <v>Home - PortCastelló</v>
      </c>
      <c r="C69" s="114" t="str" cm="1">
        <f t="array" ref="C69">IFERROR(INDEX('03.Muestra'!$F$8:$F$42,SMALL(IF("Página Web"='03.Muestra'!$D$8:$D$42,ROW('03.Muestra'!$F$8:$F$42)-MIN(ROW('03.Muestra'!$D$8:$D$42))+1,""),ROW()-56)),"")</f>
        <v>https://www.portcastello.com/</v>
      </c>
      <c r="D69" s="130" t="s">
        <v>33</v>
      </c>
      <c r="E69" s="107" t="str">
        <f t="shared" si="2"/>
        <v/>
      </c>
      <c r="F69" s="19"/>
      <c r="G69" s="19"/>
      <c r="H69" s="19"/>
      <c r="I69" s="19"/>
      <c r="J69" s="19"/>
      <c r="K69" s="233"/>
      <c r="L69" s="19"/>
      <c r="M69" s="19"/>
      <c r="N69" s="19"/>
      <c r="O69" s="19"/>
      <c r="P69" s="19"/>
      <c r="Q69" s="19"/>
      <c r="R69" s="19"/>
      <c r="S69" s="19"/>
      <c r="T69" s="19"/>
      <c r="U69" s="19"/>
      <c r="V69" s="19"/>
      <c r="W69" s="19"/>
      <c r="X69" s="19"/>
      <c r="Y69" s="19"/>
    </row>
    <row r="70" spans="1:25" ht="12" customHeight="1">
      <c r="A70" s="219" t="n" cm="1">
        <f t="array" ref="A70">IFERROR(INDEX('03.Muestra'!$B$8:$B$42,SMALL(IF("Página Web"='03.Muestra'!$D$8:$D$42,ROW('03.Muestra'!$B$8:$B$42)-MIN(ROW('03.Muestra'!$D$8:$D$42))+1,""),ROW()-56)),"")</f>
        <v>1.0</v>
      </c>
      <c r="B70" s="114" t="str" cm="1">
        <f t="array" ref="B70">IFERROR(INDEX('03.Muestra'!$C$8:$C$42,SMALL(IF("Página Web"='03.Muestra'!$D$8:$D$42,ROW('03.Muestra'!$C$8:$C$42)-MIN(ROW('03.Muestra'!$D$8:$D$42))+1,""),ROW()-56)),"")</f>
        <v>Home - PortCastelló</v>
      </c>
      <c r="C70" s="114" t="str" cm="1">
        <f t="array" ref="C70">IFERROR(INDEX('03.Muestra'!$F$8:$F$42,SMALL(IF("Página Web"='03.Muestra'!$D$8:$D$42,ROW('03.Muestra'!$F$8:$F$42)-MIN(ROW('03.Muestra'!$D$8:$D$42))+1,""),ROW()-56)),"")</f>
        <v>https://www.portcastello.com/</v>
      </c>
      <c r="D70" s="130" t="s">
        <v>33</v>
      </c>
      <c r="E70" s="107" t="str">
        <f t="shared" si="2"/>
        <v/>
      </c>
      <c r="F70" s="19"/>
      <c r="G70" s="19"/>
      <c r="H70" s="19"/>
      <c r="I70" s="19"/>
      <c r="J70" s="19"/>
      <c r="K70" s="233"/>
      <c r="L70" s="19"/>
      <c r="M70" s="19"/>
      <c r="N70" s="19"/>
      <c r="O70" s="19"/>
      <c r="P70" s="19"/>
      <c r="Q70" s="19"/>
      <c r="R70" s="19"/>
      <c r="S70" s="19"/>
      <c r="T70" s="19"/>
      <c r="U70" s="19"/>
      <c r="V70" s="19"/>
      <c r="W70" s="19"/>
      <c r="X70" s="19"/>
      <c r="Y70" s="19"/>
    </row>
    <row r="71" spans="1:25" ht="12" customHeight="1">
      <c r="A71" s="219" t="n" cm="1">
        <f t="array" ref="A71">IFERROR(INDEX('03.Muestra'!$B$8:$B$42,SMALL(IF("Página Web"='03.Muestra'!$D$8:$D$42,ROW('03.Muestra'!$B$8:$B$42)-MIN(ROW('03.Muestra'!$D$8:$D$42))+1,""),ROW()-56)),"")</f>
        <v>1.0</v>
      </c>
      <c r="B71" s="114" t="str" cm="1">
        <f t="array" ref="B71">IFERROR(INDEX('03.Muestra'!$C$8:$C$42,SMALL(IF("Página Web"='03.Muestra'!$D$8:$D$42,ROW('03.Muestra'!$C$8:$C$42)-MIN(ROW('03.Muestra'!$D$8:$D$42))+1,""),ROW()-56)),"")</f>
        <v>Home - PortCastelló</v>
      </c>
      <c r="C71" s="114" t="str" cm="1">
        <f t="array" ref="C71">IFERROR(INDEX('03.Muestra'!$F$8:$F$42,SMALL(IF("Página Web"='03.Muestra'!$D$8:$D$42,ROW('03.Muestra'!$F$8:$F$42)-MIN(ROW('03.Muestra'!$D$8:$D$42))+1,""),ROW()-56)),"")</f>
        <v>https://www.portcastello.com/</v>
      </c>
      <c r="D71" s="130" t="s">
        <v>33</v>
      </c>
      <c r="E71" s="107" t="str">
        <f t="shared" si="2"/>
        <v/>
      </c>
      <c r="F71" s="19"/>
      <c r="G71" s="19"/>
      <c r="H71" s="19"/>
      <c r="I71" s="19"/>
      <c r="J71" s="19"/>
      <c r="K71" s="233"/>
      <c r="L71" s="19"/>
      <c r="M71" s="19"/>
      <c r="N71" s="19"/>
      <c r="O71" s="19"/>
      <c r="P71" s="19"/>
      <c r="Q71" s="19"/>
      <c r="R71" s="19"/>
      <c r="S71" s="19"/>
      <c r="T71" s="19"/>
      <c r="U71" s="19"/>
      <c r="V71" s="19"/>
      <c r="W71" s="19"/>
      <c r="X71" s="19"/>
      <c r="Y71" s="19"/>
    </row>
    <row r="72" spans="1:25" ht="12" customHeight="1">
      <c r="A72" s="219" t="n" cm="1">
        <f t="array" ref="A72">IFERROR(INDEX('03.Muestra'!$B$8:$B$42,SMALL(IF("Página Web"='03.Muestra'!$D$8:$D$42,ROW('03.Muestra'!$B$8:$B$42)-MIN(ROW('03.Muestra'!$D$8:$D$42))+1,""),ROW()-56)),"")</f>
        <v>1.0</v>
      </c>
      <c r="B72" s="114" t="str" cm="1">
        <f t="array" ref="B72">IFERROR(INDEX('03.Muestra'!$C$8:$C$42,SMALL(IF("Página Web"='03.Muestra'!$D$8:$D$42,ROW('03.Muestra'!$C$8:$C$42)-MIN(ROW('03.Muestra'!$D$8:$D$42))+1,""),ROW()-56)),"")</f>
        <v>Home - PortCastelló</v>
      </c>
      <c r="C72" s="114" t="str" cm="1">
        <f t="array" ref="C72">IFERROR(INDEX('03.Muestra'!$F$8:$F$42,SMALL(IF("Página Web"='03.Muestra'!$D$8:$D$42,ROW('03.Muestra'!$F$8:$F$42)-MIN(ROW('03.Muestra'!$D$8:$D$42))+1,""),ROW()-56)),"")</f>
        <v>https://www.portcastello.com/</v>
      </c>
      <c r="D72" s="130" t="s">
        <v>33</v>
      </c>
      <c r="E72" s="107" t="str">
        <f t="shared" si="2"/>
        <v/>
      </c>
      <c r="F72" s="19"/>
      <c r="G72" s="19"/>
      <c r="H72" s="19"/>
      <c r="I72" s="19"/>
      <c r="J72" s="19"/>
      <c r="K72" s="233"/>
      <c r="L72" s="19"/>
      <c r="M72" s="19"/>
      <c r="N72" s="19"/>
      <c r="O72" s="19"/>
      <c r="P72" s="19"/>
      <c r="Q72" s="19"/>
      <c r="R72" s="19"/>
      <c r="S72" s="19"/>
      <c r="T72" s="19"/>
      <c r="U72" s="19"/>
      <c r="V72" s="19"/>
      <c r="W72" s="19"/>
      <c r="X72" s="19"/>
      <c r="Y72" s="19"/>
    </row>
    <row r="73" spans="1:25" ht="12" customHeight="1">
      <c r="A73" s="219" t="n" cm="1">
        <f t="array" ref="A73">IFERROR(INDEX('03.Muestra'!$B$8:$B$42,SMALL(IF("Página Web"='03.Muestra'!$D$8:$D$42,ROW('03.Muestra'!$B$8:$B$42)-MIN(ROW('03.Muestra'!$D$8:$D$42))+1,""),ROW()-56)),"")</f>
        <v>1.0</v>
      </c>
      <c r="B73" s="114" t="str" cm="1">
        <f t="array" ref="B73">IFERROR(INDEX('03.Muestra'!$C$8:$C$42,SMALL(IF("Página Web"='03.Muestra'!$D$8:$D$42,ROW('03.Muestra'!$C$8:$C$42)-MIN(ROW('03.Muestra'!$D$8:$D$42))+1,""),ROW()-56)),"")</f>
        <v>Home - PortCastelló</v>
      </c>
      <c r="C73" s="114" t="str" cm="1">
        <f t="array" ref="C73">IFERROR(INDEX('03.Muestra'!$F$8:$F$42,SMALL(IF("Página Web"='03.Muestra'!$D$8:$D$42,ROW('03.Muestra'!$F$8:$F$42)-MIN(ROW('03.Muestra'!$D$8:$D$42))+1,""),ROW()-56)),"")</f>
        <v>https://www.portcastello.com/</v>
      </c>
      <c r="D73" s="130" t="s">
        <v>33</v>
      </c>
      <c r="E73" s="107" t="str">
        <f t="shared" si="2"/>
        <v/>
      </c>
      <c r="F73" s="19"/>
      <c r="G73" s="19"/>
      <c r="H73" s="19"/>
      <c r="I73" s="19"/>
      <c r="J73" s="19"/>
      <c r="K73" s="233"/>
      <c r="L73" s="19"/>
      <c r="M73" s="19"/>
      <c r="N73" s="19"/>
      <c r="O73" s="19"/>
      <c r="P73" s="19"/>
      <c r="Q73" s="19"/>
      <c r="R73" s="19"/>
      <c r="S73" s="19"/>
      <c r="T73" s="19"/>
      <c r="U73" s="19"/>
      <c r="V73" s="19"/>
      <c r="W73" s="19"/>
      <c r="X73" s="19"/>
      <c r="Y73" s="19"/>
    </row>
    <row r="74" spans="1:25" ht="12" customHeight="1">
      <c r="A74" s="219" t="n" cm="1">
        <f t="array" ref="A74">IFERROR(INDEX('03.Muestra'!$B$8:$B$42,SMALL(IF("Página Web"='03.Muestra'!$D$8:$D$42,ROW('03.Muestra'!$B$8:$B$42)-MIN(ROW('03.Muestra'!$D$8:$D$42))+1,""),ROW()-56)),"")</f>
        <v>1.0</v>
      </c>
      <c r="B74" s="114" t="str" cm="1">
        <f t="array" ref="B74">IFERROR(INDEX('03.Muestra'!$C$8:$C$42,SMALL(IF("Página Web"='03.Muestra'!$D$8:$D$42,ROW('03.Muestra'!$C$8:$C$42)-MIN(ROW('03.Muestra'!$D$8:$D$42))+1,""),ROW()-56)),"")</f>
        <v>Home - PortCastelló</v>
      </c>
      <c r="C74" s="114" t="str" cm="1">
        <f t="array" ref="C74">IFERROR(INDEX('03.Muestra'!$F$8:$F$42,SMALL(IF("Página Web"='03.Muestra'!$D$8:$D$42,ROW('03.Muestra'!$F$8:$F$42)-MIN(ROW('03.Muestra'!$D$8:$D$42))+1,""),ROW()-56)),"")</f>
        <v>https://www.portcastello.com/</v>
      </c>
      <c r="D74" s="130" t="s">
        <v>33</v>
      </c>
      <c r="E74" s="107" t="str">
        <f t="shared" si="2"/>
        <v/>
      </c>
      <c r="F74" s="19"/>
      <c r="G74" s="19"/>
      <c r="H74" s="19"/>
      <c r="I74" s="19"/>
      <c r="J74" s="19"/>
      <c r="K74" s="233"/>
      <c r="L74" s="19"/>
      <c r="M74" s="19"/>
      <c r="N74" s="19"/>
      <c r="O74" s="19"/>
      <c r="P74" s="19"/>
      <c r="Q74" s="19"/>
      <c r="R74" s="19"/>
      <c r="S74" s="19"/>
      <c r="T74" s="19"/>
      <c r="U74" s="19"/>
      <c r="V74" s="19"/>
      <c r="W74" s="19"/>
      <c r="X74" s="19"/>
      <c r="Y74" s="19"/>
    </row>
    <row r="75" spans="1:25" ht="12" customHeight="1">
      <c r="A75" s="219" t="n" cm="1">
        <f t="array" ref="A75">IFERROR(INDEX('03.Muestra'!$B$8:$B$42,SMALL(IF("Página Web"='03.Muestra'!$D$8:$D$42,ROW('03.Muestra'!$B$8:$B$42)-MIN(ROW('03.Muestra'!$D$8:$D$42))+1,""),ROW()-56)),"")</f>
        <v>1.0</v>
      </c>
      <c r="B75" s="114" t="str" cm="1">
        <f t="array" ref="B75">IFERROR(INDEX('03.Muestra'!$C$8:$C$42,SMALL(IF("Página Web"='03.Muestra'!$D$8:$D$42,ROW('03.Muestra'!$C$8:$C$42)-MIN(ROW('03.Muestra'!$D$8:$D$42))+1,""),ROW()-56)),"")</f>
        <v>Home - PortCastelló</v>
      </c>
      <c r="C75" s="114" t="str" cm="1">
        <f t="array" ref="C75">IFERROR(INDEX('03.Muestra'!$F$8:$F$42,SMALL(IF("Página Web"='03.Muestra'!$D$8:$D$42,ROW('03.Muestra'!$F$8:$F$42)-MIN(ROW('03.Muestra'!$D$8:$D$42))+1,""),ROW()-56)),"")</f>
        <v>https://www.portcastello.com/</v>
      </c>
      <c r="D75" s="130" t="s">
        <v>33</v>
      </c>
      <c r="E75" s="107" t="str">
        <f t="shared" si="2"/>
        <v/>
      </c>
      <c r="F75" s="19"/>
      <c r="G75" s="19"/>
      <c r="H75" s="19"/>
      <c r="I75" s="19"/>
      <c r="J75" s="19"/>
      <c r="K75" s="233"/>
      <c r="L75" s="19"/>
      <c r="M75" s="19"/>
      <c r="N75" s="19"/>
      <c r="O75" s="19"/>
      <c r="P75" s="19"/>
      <c r="Q75" s="19"/>
      <c r="R75" s="19"/>
      <c r="S75" s="19"/>
      <c r="T75" s="19"/>
      <c r="U75" s="19"/>
      <c r="V75" s="19"/>
      <c r="W75" s="19"/>
      <c r="X75" s="19"/>
      <c r="Y75" s="19"/>
    </row>
    <row r="76" spans="1:25" ht="12" customHeight="1">
      <c r="A76" s="219" t="n" cm="1">
        <f t="array" ref="A76">IFERROR(INDEX('03.Muestra'!$B$8:$B$42,SMALL(IF("Página Web"='03.Muestra'!$D$8:$D$42,ROW('03.Muestra'!$B$8:$B$42)-MIN(ROW('03.Muestra'!$D$8:$D$42))+1,""),ROW()-56)),"")</f>
        <v>1.0</v>
      </c>
      <c r="B76" s="114" t="str" cm="1">
        <f t="array" ref="B76">IFERROR(INDEX('03.Muestra'!$C$8:$C$42,SMALL(IF("Página Web"='03.Muestra'!$D$8:$D$42,ROW('03.Muestra'!$C$8:$C$42)-MIN(ROW('03.Muestra'!$D$8:$D$42))+1,""),ROW()-56)),"")</f>
        <v>Home - PortCastelló</v>
      </c>
      <c r="C76" s="114" t="str" cm="1">
        <f t="array" ref="C76">IFERROR(INDEX('03.Muestra'!$F$8:$F$42,SMALL(IF("Página Web"='03.Muestra'!$D$8:$D$42,ROW('03.Muestra'!$F$8:$F$42)-MIN(ROW('03.Muestra'!$D$8:$D$42))+1,""),ROW()-56)),"")</f>
        <v>https://www.portcastello.com/</v>
      </c>
      <c r="D76" s="130" t="s">
        <v>33</v>
      </c>
      <c r="E76" s="107" t="str">
        <f t="shared" si="2"/>
        <v/>
      </c>
      <c r="F76" s="19"/>
      <c r="G76" s="19"/>
      <c r="H76" s="19"/>
      <c r="I76" s="19"/>
      <c r="J76" s="19"/>
      <c r="K76" s="233"/>
      <c r="L76" s="19"/>
      <c r="M76" s="19"/>
      <c r="N76" s="19"/>
      <c r="O76" s="19"/>
      <c r="P76" s="19"/>
      <c r="Q76" s="19"/>
      <c r="R76" s="19"/>
      <c r="S76" s="19"/>
      <c r="T76" s="19"/>
      <c r="U76" s="19"/>
      <c r="V76" s="19"/>
      <c r="W76" s="19"/>
      <c r="X76" s="19"/>
      <c r="Y76" s="19"/>
    </row>
    <row r="77" spans="1:25" ht="12" customHeight="1">
      <c r="A77" s="219" t="n" cm="1">
        <f t="array" ref="A77">IFERROR(INDEX('03.Muestra'!$B$8:$B$42,SMALL(IF("Página Web"='03.Muestra'!$D$8:$D$42,ROW('03.Muestra'!$B$8:$B$42)-MIN(ROW('03.Muestra'!$D$8:$D$42))+1,""),ROW()-56)),"")</f>
        <v>1.0</v>
      </c>
      <c r="B77" s="114" t="str" cm="1">
        <f t="array" ref="B77">IFERROR(INDEX('03.Muestra'!$C$8:$C$42,SMALL(IF("Página Web"='03.Muestra'!$D$8:$D$42,ROW('03.Muestra'!$C$8:$C$42)-MIN(ROW('03.Muestra'!$D$8:$D$42))+1,""),ROW()-56)),"")</f>
        <v>Home - PortCastelló</v>
      </c>
      <c r="C77" s="114" t="str" cm="1">
        <f t="array" ref="C77">IFERROR(INDEX('03.Muestra'!$F$8:$F$42,SMALL(IF("Página Web"='03.Muestra'!$D$8:$D$42,ROW('03.Muestra'!$F$8:$F$42)-MIN(ROW('03.Muestra'!$D$8:$D$42))+1,""),ROW()-56)),"")</f>
        <v>https://www.portcastello.com/</v>
      </c>
      <c r="D77" s="130" t="s">
        <v>33</v>
      </c>
      <c r="E77" s="107" t="str">
        <f t="shared" si="2"/>
        <v/>
      </c>
      <c r="F77" s="19"/>
      <c r="G77" s="19"/>
      <c r="H77" s="19"/>
      <c r="I77" s="19"/>
      <c r="J77" s="19"/>
      <c r="K77" s="233"/>
      <c r="L77" s="19"/>
      <c r="M77" s="19"/>
      <c r="N77" s="19"/>
      <c r="O77" s="19"/>
      <c r="P77" s="19"/>
      <c r="Q77" s="19"/>
      <c r="R77" s="19"/>
      <c r="S77" s="19"/>
      <c r="T77" s="19"/>
      <c r="U77" s="19"/>
      <c r="V77" s="19"/>
      <c r="W77" s="19"/>
      <c r="X77" s="19"/>
      <c r="Y77" s="19"/>
    </row>
    <row r="78" spans="1:25" ht="12" customHeight="1">
      <c r="A78" s="219" t="n" cm="1">
        <f t="array" ref="A78">IFERROR(INDEX('03.Muestra'!$B$8:$B$42,SMALL(IF("Página Web"='03.Muestra'!$D$8:$D$42,ROW('03.Muestra'!$B$8:$B$42)-MIN(ROW('03.Muestra'!$D$8:$D$42))+1,""),ROW()-56)),"")</f>
        <v>1.0</v>
      </c>
      <c r="B78" s="114" t="str" cm="1">
        <f t="array" ref="B78">IFERROR(INDEX('03.Muestra'!$C$8:$C$42,SMALL(IF("Página Web"='03.Muestra'!$D$8:$D$42,ROW('03.Muestra'!$C$8:$C$42)-MIN(ROW('03.Muestra'!$D$8:$D$42))+1,""),ROW()-56)),"")</f>
        <v>Home - PortCastelló</v>
      </c>
      <c r="C78" s="114" t="str" cm="1">
        <f t="array" ref="C78">IFERROR(INDEX('03.Muestra'!$F$8:$F$42,SMALL(IF("Página Web"='03.Muestra'!$D$8:$D$42,ROW('03.Muestra'!$F$8:$F$42)-MIN(ROW('03.Muestra'!$D$8:$D$42))+1,""),ROW()-56)),"")</f>
        <v>https://www.portcastello.com/</v>
      </c>
      <c r="D78" s="130" t="s">
        <v>33</v>
      </c>
      <c r="E78" s="107" t="str">
        <f t="shared" si="2"/>
        <v/>
      </c>
      <c r="F78" s="19"/>
      <c r="G78" s="19"/>
      <c r="H78" s="19"/>
      <c r="I78" s="19"/>
      <c r="J78" s="19"/>
      <c r="K78" s="233"/>
      <c r="L78" s="19"/>
      <c r="M78" s="19"/>
      <c r="N78" s="19"/>
      <c r="O78" s="19"/>
      <c r="P78" s="19"/>
      <c r="Q78" s="19"/>
      <c r="R78" s="19"/>
      <c r="S78" s="19"/>
      <c r="T78" s="19"/>
      <c r="U78" s="19"/>
      <c r="V78" s="19"/>
      <c r="W78" s="19"/>
      <c r="X78" s="19"/>
      <c r="Y78" s="19"/>
    </row>
    <row r="79" spans="1:25" ht="12" customHeight="1">
      <c r="A79" s="219" t="n" cm="1">
        <f t="array" ref="A79">IFERROR(INDEX('03.Muestra'!$B$8:$B$42,SMALL(IF("Página Web"='03.Muestra'!$D$8:$D$42,ROW('03.Muestra'!$B$8:$B$42)-MIN(ROW('03.Muestra'!$D$8:$D$42))+1,""),ROW()-56)),"")</f>
        <v>1.0</v>
      </c>
      <c r="B79" s="114" t="str" cm="1">
        <f t="array" ref="B79">IFERROR(INDEX('03.Muestra'!$C$8:$C$42,SMALL(IF("Página Web"='03.Muestra'!$D$8:$D$42,ROW('03.Muestra'!$C$8:$C$42)-MIN(ROW('03.Muestra'!$D$8:$D$42))+1,""),ROW()-56)),"")</f>
        <v>Home - PortCastelló</v>
      </c>
      <c r="C79" s="114" t="str" cm="1">
        <f t="array" ref="C79">IFERROR(INDEX('03.Muestra'!$F$8:$F$42,SMALL(IF("Página Web"='03.Muestra'!$D$8:$D$42,ROW('03.Muestra'!$F$8:$F$42)-MIN(ROW('03.Muestra'!$D$8:$D$42))+1,""),ROW()-56)),"")</f>
        <v>https://www.portcastello.com/</v>
      </c>
      <c r="D79" s="130" t="s">
        <v>33</v>
      </c>
      <c r="E79" s="107" t="str">
        <f t="shared" si="2"/>
        <v/>
      </c>
      <c r="F79" s="19"/>
      <c r="G79" s="19"/>
      <c r="H79" s="19"/>
      <c r="I79" s="19"/>
      <c r="J79" s="19"/>
      <c r="K79" s="233"/>
      <c r="L79" s="19"/>
      <c r="M79" s="19"/>
      <c r="N79" s="19"/>
      <c r="O79" s="19"/>
      <c r="P79" s="19"/>
      <c r="Q79" s="19"/>
      <c r="R79" s="19"/>
      <c r="S79" s="19"/>
      <c r="T79" s="19"/>
      <c r="U79" s="19"/>
      <c r="V79" s="19"/>
      <c r="W79" s="19"/>
      <c r="X79" s="19"/>
      <c r="Y79" s="19"/>
    </row>
    <row r="80" spans="1:25" ht="12" customHeight="1">
      <c r="A80" s="219" t="n" cm="1">
        <f t="array" ref="A80">IFERROR(INDEX('03.Muestra'!$B$8:$B$42,SMALL(IF("Página Web"='03.Muestra'!$D$8:$D$42,ROW('03.Muestra'!$B$8:$B$42)-MIN(ROW('03.Muestra'!$D$8:$D$42))+1,""),ROW()-56)),"")</f>
        <v>1.0</v>
      </c>
      <c r="B80" s="114" t="str" cm="1">
        <f t="array" ref="B80">IFERROR(INDEX('03.Muestra'!$C$8:$C$42,SMALL(IF("Página Web"='03.Muestra'!$D$8:$D$42,ROW('03.Muestra'!$C$8:$C$42)-MIN(ROW('03.Muestra'!$D$8:$D$42))+1,""),ROW()-56)),"")</f>
        <v>Home - PortCastelló</v>
      </c>
      <c r="C80" s="114" t="str" cm="1">
        <f t="array" ref="C80">IFERROR(INDEX('03.Muestra'!$F$8:$F$42,SMALL(IF("Página Web"='03.Muestra'!$D$8:$D$42,ROW('03.Muestra'!$F$8:$F$42)-MIN(ROW('03.Muestra'!$D$8:$D$42))+1,""),ROW()-56)),"")</f>
        <v>https://www.portcastello.com/</v>
      </c>
      <c r="D80" s="130" t="s">
        <v>33</v>
      </c>
      <c r="E80" s="107" t="str">
        <f t="shared" si="2"/>
        <v/>
      </c>
      <c r="F80" s="19"/>
      <c r="G80" s="19"/>
      <c r="H80" s="19"/>
      <c r="I80" s="19"/>
      <c r="J80" s="19"/>
      <c r="K80" s="233"/>
      <c r="L80" s="19"/>
      <c r="M80" s="19"/>
      <c r="N80" s="19"/>
      <c r="O80" s="19"/>
      <c r="P80" s="19"/>
      <c r="Q80" s="19"/>
      <c r="R80" s="19"/>
      <c r="S80" s="19"/>
      <c r="T80" s="19"/>
      <c r="U80" s="19"/>
      <c r="V80" s="19"/>
      <c r="W80" s="19"/>
      <c r="X80" s="19"/>
      <c r="Y80" s="19"/>
    </row>
    <row r="81" spans="1:25" ht="12" customHeight="1">
      <c r="A81" s="219" t="n" cm="1">
        <f t="array" ref="A81">IFERROR(INDEX('03.Muestra'!$B$8:$B$42,SMALL(IF("Página Web"='03.Muestra'!$D$8:$D$42,ROW('03.Muestra'!$B$8:$B$42)-MIN(ROW('03.Muestra'!$D$8:$D$42))+1,""),ROW()-56)),"")</f>
        <v>1.0</v>
      </c>
      <c r="B81" s="114" t="str" cm="1">
        <f t="array" ref="B81">IFERROR(INDEX('03.Muestra'!$C$8:$C$42,SMALL(IF("Página Web"='03.Muestra'!$D$8:$D$42,ROW('03.Muestra'!$C$8:$C$42)-MIN(ROW('03.Muestra'!$D$8:$D$42))+1,""),ROW()-56)),"")</f>
        <v>Home - PortCastelló</v>
      </c>
      <c r="C81" s="114" t="str" cm="1">
        <f t="array" ref="C81">IFERROR(INDEX('03.Muestra'!$F$8:$F$42,SMALL(IF("Página Web"='03.Muestra'!$D$8:$D$42,ROW('03.Muestra'!$F$8:$F$42)-MIN(ROW('03.Muestra'!$D$8:$D$42))+1,""),ROW()-56)),"")</f>
        <v>https://www.portcastello.com/</v>
      </c>
      <c r="D81" s="130" t="s">
        <v>33</v>
      </c>
      <c r="E81" s="107" t="str">
        <f t="shared" si="2"/>
        <v/>
      </c>
      <c r="F81" s="19"/>
      <c r="G81" s="19"/>
      <c r="H81" s="19"/>
      <c r="I81" s="19"/>
      <c r="J81" s="19"/>
      <c r="K81" s="233"/>
      <c r="L81" s="19"/>
      <c r="M81" s="19"/>
      <c r="N81" s="19"/>
      <c r="O81" s="19"/>
      <c r="P81" s="19"/>
      <c r="Q81" s="19"/>
      <c r="R81" s="19"/>
      <c r="S81" s="19"/>
      <c r="T81" s="19"/>
      <c r="U81" s="19"/>
      <c r="V81" s="19"/>
      <c r="W81" s="19"/>
      <c r="X81" s="19"/>
      <c r="Y81" s="19"/>
    </row>
    <row r="82" spans="1:25" ht="12" customHeight="1">
      <c r="A82" s="219" t="n" cm="1">
        <f t="array" ref="A82">IFERROR(INDEX('03.Muestra'!$B$8:$B$42,SMALL(IF("Página Web"='03.Muestra'!$D$8:$D$42,ROW('03.Muestra'!$B$8:$B$42)-MIN(ROW('03.Muestra'!$D$8:$D$42))+1,""),ROW()-56)),"")</f>
        <v>1.0</v>
      </c>
      <c r="B82" s="114" t="str" cm="1">
        <f t="array" ref="B82">IFERROR(INDEX('03.Muestra'!$C$8:$C$42,SMALL(IF("Página Web"='03.Muestra'!$D$8:$D$42,ROW('03.Muestra'!$C$8:$C$42)-MIN(ROW('03.Muestra'!$D$8:$D$42))+1,""),ROW()-56)),"")</f>
        <v>Home - PortCastelló</v>
      </c>
      <c r="C82" s="114" t="str" cm="1">
        <f t="array" ref="C82">IFERROR(INDEX('03.Muestra'!$F$8:$F$42,SMALL(IF("Página Web"='03.Muestra'!$D$8:$D$42,ROW('03.Muestra'!$F$8:$F$42)-MIN(ROW('03.Muestra'!$D$8:$D$42))+1,""),ROW()-56)),"")</f>
        <v>https://www.portcastello.com/</v>
      </c>
      <c r="D82" s="130" t="s">
        <v>33</v>
      </c>
      <c r="E82" s="107" t="str">
        <f t="shared" si="2"/>
        <v/>
      </c>
      <c r="F82" s="19"/>
      <c r="G82" s="19"/>
      <c r="H82" s="19"/>
      <c r="I82" s="19"/>
      <c r="J82" s="19"/>
      <c r="K82" s="233"/>
      <c r="L82" s="19"/>
      <c r="M82" s="19"/>
      <c r="N82" s="19"/>
      <c r="O82" s="19"/>
      <c r="P82" s="19"/>
      <c r="Q82" s="19"/>
      <c r="R82" s="19"/>
      <c r="S82" s="19"/>
      <c r="T82" s="19"/>
      <c r="U82" s="19"/>
      <c r="V82" s="19"/>
      <c r="W82" s="19"/>
      <c r="X82" s="19"/>
      <c r="Y82" s="19"/>
    </row>
    <row r="83" spans="1:25" ht="12" customHeight="1">
      <c r="A83" s="219" t="n" cm="1">
        <f t="array" ref="A83">IFERROR(INDEX('03.Muestra'!$B$8:$B$42,SMALL(IF("Página Web"='03.Muestra'!$D$8:$D$42,ROW('03.Muestra'!$B$8:$B$42)-MIN(ROW('03.Muestra'!$D$8:$D$42))+1,""),ROW()-56)),"")</f>
        <v>1.0</v>
      </c>
      <c r="B83" s="114" t="str" cm="1">
        <f t="array" ref="B83">IFERROR(INDEX('03.Muestra'!$C$8:$C$42,SMALL(IF("Página Web"='03.Muestra'!$D$8:$D$42,ROW('03.Muestra'!$C$8:$C$42)-MIN(ROW('03.Muestra'!$D$8:$D$42))+1,""),ROW()-56)),"")</f>
        <v>Home - PortCastelló</v>
      </c>
      <c r="C83" s="114" t="str" cm="1">
        <f t="array" ref="C83">IFERROR(INDEX('03.Muestra'!$F$8:$F$42,SMALL(IF("Página Web"='03.Muestra'!$D$8:$D$42,ROW('03.Muestra'!$F$8:$F$42)-MIN(ROW('03.Muestra'!$D$8:$D$42))+1,""),ROW()-56)),"")</f>
        <v>https://www.portcastello.com/</v>
      </c>
      <c r="D83" s="130" t="s">
        <v>33</v>
      </c>
      <c r="E83" s="107" t="str">
        <f t="shared" si="2"/>
        <v/>
      </c>
      <c r="F83" s="19"/>
      <c r="G83" s="19"/>
      <c r="H83" s="19"/>
      <c r="I83" s="19"/>
      <c r="J83" s="19"/>
      <c r="K83" s="233"/>
      <c r="L83" s="19"/>
      <c r="M83" s="19"/>
      <c r="N83" s="19"/>
      <c r="O83" s="19"/>
      <c r="P83" s="19"/>
      <c r="Q83" s="19"/>
      <c r="R83" s="19"/>
      <c r="S83" s="19"/>
      <c r="T83" s="19"/>
      <c r="U83" s="19"/>
      <c r="V83" s="19"/>
      <c r="W83" s="19"/>
      <c r="X83" s="19"/>
      <c r="Y83" s="19"/>
    </row>
    <row r="84" spans="1:25" ht="12" customHeight="1">
      <c r="A84" s="219" t="n" cm="1">
        <f t="array" ref="A84">IFERROR(INDEX('03.Muestra'!$B$8:$B$42,SMALL(IF("Página Web"='03.Muestra'!$D$8:$D$42,ROW('03.Muestra'!$B$8:$B$42)-MIN(ROW('03.Muestra'!$D$8:$D$42))+1,""),ROW()-56)),"")</f>
        <v>1.0</v>
      </c>
      <c r="B84" s="114" t="str" cm="1">
        <f t="array" ref="B84">IFERROR(INDEX('03.Muestra'!$C$8:$C$42,SMALL(IF("Página Web"='03.Muestra'!$D$8:$D$42,ROW('03.Muestra'!$C$8:$C$42)-MIN(ROW('03.Muestra'!$D$8:$D$42))+1,""),ROW()-56)),"")</f>
        <v>Home - PortCastelló</v>
      </c>
      <c r="C84" s="114" t="str" cm="1">
        <f t="array" ref="C84">IFERROR(INDEX('03.Muestra'!$F$8:$F$42,SMALL(IF("Página Web"='03.Muestra'!$D$8:$D$42,ROW('03.Muestra'!$F$8:$F$42)-MIN(ROW('03.Muestra'!$D$8:$D$42))+1,""),ROW()-56)),"")</f>
        <v>https://www.portcastello.com/</v>
      </c>
      <c r="D84" s="130" t="s">
        <v>33</v>
      </c>
      <c r="E84" s="107" t="str">
        <f t="shared" si="2"/>
        <v/>
      </c>
      <c r="G84" s="19"/>
      <c r="H84" s="19"/>
      <c r="I84" s="19"/>
      <c r="J84" s="19"/>
      <c r="K84" s="233"/>
      <c r="L84" s="19"/>
      <c r="M84" s="19"/>
      <c r="N84" s="19"/>
      <c r="O84" s="19"/>
      <c r="P84" s="19"/>
      <c r="Q84" s="19"/>
      <c r="R84" s="19"/>
      <c r="S84" s="19"/>
      <c r="T84" s="19"/>
      <c r="U84" s="19"/>
      <c r="V84" s="19"/>
      <c r="W84" s="19"/>
      <c r="X84" s="19"/>
      <c r="Y84" s="19"/>
    </row>
    <row r="85" spans="1:25" ht="12" customHeight="1">
      <c r="A85" s="219" t="n" cm="1">
        <f t="array" ref="A85">IFERROR(INDEX('03.Muestra'!$B$8:$B$42,SMALL(IF("Página Web"='03.Muestra'!$D$8:$D$42,ROW('03.Muestra'!$B$8:$B$42)-MIN(ROW('03.Muestra'!$D$8:$D$42))+1,""),ROW()-56)),"")</f>
        <v>1.0</v>
      </c>
      <c r="B85" s="114" t="str" cm="1">
        <f t="array" ref="B85">IFERROR(INDEX('03.Muestra'!$C$8:$C$42,SMALL(IF("Página Web"='03.Muestra'!$D$8:$D$42,ROW('03.Muestra'!$C$8:$C$42)-MIN(ROW('03.Muestra'!$D$8:$D$42))+1,""),ROW()-56)),"")</f>
        <v>Home - PortCastelló</v>
      </c>
      <c r="C85" s="114" t="str" cm="1">
        <f t="array" ref="C85">IFERROR(INDEX('03.Muestra'!$F$8:$F$42,SMALL(IF("Página Web"='03.Muestra'!$D$8:$D$42,ROW('03.Muestra'!$F$8:$F$42)-MIN(ROW('03.Muestra'!$D$8:$D$42))+1,""),ROW()-56)),"")</f>
        <v>https://www.portcastello.com/</v>
      </c>
      <c r="D85" s="130" t="s">
        <v>33</v>
      </c>
      <c r="E85" s="107" t="str">
        <f t="shared" si="2"/>
        <v/>
      </c>
      <c r="G85" s="19"/>
      <c r="H85" s="19"/>
      <c r="I85" s="19"/>
      <c r="J85" s="19"/>
      <c r="K85" s="233"/>
      <c r="L85" s="19"/>
      <c r="M85" s="19"/>
      <c r="N85" s="19"/>
      <c r="O85" s="19"/>
      <c r="P85" s="19"/>
      <c r="Q85" s="19"/>
      <c r="R85" s="19"/>
      <c r="S85" s="19"/>
      <c r="T85" s="19"/>
      <c r="U85" s="19"/>
      <c r="V85" s="19"/>
      <c r="W85" s="19"/>
      <c r="X85" s="19"/>
      <c r="Y85" s="19"/>
    </row>
    <row r="86" spans="1:25" ht="12" customHeight="1">
      <c r="A86" s="219" t="n" cm="1">
        <f t="array" ref="A86">IFERROR(INDEX('03.Muestra'!$B$8:$B$42,SMALL(IF("Página Web"='03.Muestra'!$D$8:$D$42,ROW('03.Muestra'!$B$8:$B$42)-MIN(ROW('03.Muestra'!$D$8:$D$42))+1,""),ROW()-56)),"")</f>
        <v>1.0</v>
      </c>
      <c r="B86" s="114" t="str" cm="1">
        <f t="array" ref="B86">IFERROR(INDEX('03.Muestra'!$C$8:$C$42,SMALL(IF("Página Web"='03.Muestra'!$D$8:$D$42,ROW('03.Muestra'!$C$8:$C$42)-MIN(ROW('03.Muestra'!$D$8:$D$42))+1,""),ROW()-56)),"")</f>
        <v>Home - PortCastelló</v>
      </c>
      <c r="C86" s="114" t="str" cm="1">
        <f t="array" ref="C86">IFERROR(INDEX('03.Muestra'!$F$8:$F$42,SMALL(IF("Página Web"='03.Muestra'!$D$8:$D$42,ROW('03.Muestra'!$F$8:$F$42)-MIN(ROW('03.Muestra'!$D$8:$D$42))+1,""),ROW()-56)),"")</f>
        <v>https://www.portcastello.com/</v>
      </c>
      <c r="D86" s="130" t="s">
        <v>33</v>
      </c>
      <c r="E86" s="107" t="str">
        <f t="shared" si="2"/>
        <v/>
      </c>
      <c r="G86" s="19"/>
      <c r="H86" s="19"/>
      <c r="I86" s="19"/>
      <c r="J86" s="19"/>
      <c r="K86" s="233"/>
      <c r="L86" s="19"/>
      <c r="M86" s="19"/>
      <c r="N86" s="19"/>
      <c r="O86" s="19"/>
      <c r="P86" s="19"/>
      <c r="Q86" s="19"/>
      <c r="R86" s="19"/>
      <c r="S86" s="19"/>
      <c r="T86" s="19"/>
      <c r="U86" s="19"/>
      <c r="V86" s="19"/>
      <c r="W86" s="19"/>
      <c r="X86" s="19"/>
      <c r="Y86" s="19"/>
    </row>
    <row r="87" spans="1:25" ht="12" customHeight="1">
      <c r="A87" s="219" t="n" cm="1">
        <f t="array" ref="A87">IFERROR(INDEX('03.Muestra'!$B$8:$B$42,SMALL(IF("Página Web"='03.Muestra'!$D$8:$D$42,ROW('03.Muestra'!$B$8:$B$42)-MIN(ROW('03.Muestra'!$D$8:$D$42))+1,""),ROW()-56)),"")</f>
        <v>1.0</v>
      </c>
      <c r="B87" s="114" t="str" cm="1">
        <f t="array" ref="B87">IFERROR(INDEX('03.Muestra'!$C$8:$C$42,SMALL(IF("Página Web"='03.Muestra'!$D$8:$D$42,ROW('03.Muestra'!$C$8:$C$42)-MIN(ROW('03.Muestra'!$D$8:$D$42))+1,""),ROW()-56)),"")</f>
        <v>Home - PortCastelló</v>
      </c>
      <c r="C87" s="114" t="str" cm="1">
        <f t="array" ref="C87">IFERROR(INDEX('03.Muestra'!$F$8:$F$42,SMALL(IF("Página Web"='03.Muestra'!$D$8:$D$42,ROW('03.Muestra'!$F$8:$F$42)-MIN(ROW('03.Muestra'!$D$8:$D$42))+1,""),ROW()-56)),"")</f>
        <v>https://www.portcastello.com/</v>
      </c>
      <c r="D87" s="130" t="s">
        <v>33</v>
      </c>
      <c r="E87" s="107" t="str">
        <f t="shared" si="2"/>
        <v/>
      </c>
      <c r="G87" s="19"/>
      <c r="H87" s="19"/>
      <c r="I87" s="19"/>
      <c r="J87" s="19"/>
      <c r="K87" s="233"/>
      <c r="L87" s="19"/>
      <c r="M87" s="19"/>
      <c r="N87" s="19"/>
      <c r="O87" s="19"/>
      <c r="P87" s="19"/>
      <c r="Q87" s="19"/>
      <c r="R87" s="19"/>
      <c r="S87" s="19"/>
      <c r="T87" s="19"/>
      <c r="U87" s="19"/>
      <c r="V87" s="19"/>
      <c r="W87" s="19"/>
      <c r="X87" s="19"/>
      <c r="Y87" s="19"/>
    </row>
    <row r="88" spans="1:25" ht="12" customHeight="1">
      <c r="A88" s="219" t="n" cm="1">
        <f t="array" ref="A88">IFERROR(INDEX('03.Muestra'!$B$8:$B$42,SMALL(IF("Página Web"='03.Muestra'!$D$8:$D$42,ROW('03.Muestra'!$B$8:$B$42)-MIN(ROW('03.Muestra'!$D$8:$D$42))+1,""),ROW()-56)),"")</f>
        <v>1.0</v>
      </c>
      <c r="B88" s="114" t="str" cm="1">
        <f t="array" ref="B88">IFERROR(INDEX('03.Muestra'!$C$8:$C$42,SMALL(IF("Página Web"='03.Muestra'!$D$8:$D$42,ROW('03.Muestra'!$C$8:$C$42)-MIN(ROW('03.Muestra'!$D$8:$D$42))+1,""),ROW()-56)),"")</f>
        <v>Home - PortCastelló</v>
      </c>
      <c r="C88" s="114" t="str" cm="1">
        <f t="array" ref="C88">IFERROR(INDEX('03.Muestra'!$F$8:$F$42,SMALL(IF("Página Web"='03.Muestra'!$D$8:$D$42,ROW('03.Muestra'!$F$8:$F$42)-MIN(ROW('03.Muestra'!$D$8:$D$42))+1,""),ROW()-56)),"")</f>
        <v>https://www.portcastello.com/</v>
      </c>
      <c r="D88" s="130" t="s">
        <v>33</v>
      </c>
      <c r="E88" s="107" t="str">
        <f t="shared" si="2"/>
        <v/>
      </c>
      <c r="G88" s="19"/>
      <c r="H88" s="19"/>
      <c r="I88" s="19"/>
      <c r="J88" s="19"/>
      <c r="K88" s="233"/>
      <c r="L88" s="19"/>
      <c r="M88" s="19"/>
      <c r="N88" s="19"/>
      <c r="O88" s="19"/>
      <c r="P88" s="19"/>
      <c r="Q88" s="19"/>
      <c r="R88" s="19"/>
      <c r="S88" s="19"/>
      <c r="T88" s="19"/>
      <c r="U88" s="19"/>
      <c r="V88" s="19"/>
      <c r="W88" s="19"/>
      <c r="X88" s="19"/>
      <c r="Y88" s="19"/>
    </row>
    <row r="89" spans="1:25" ht="12" customHeight="1">
      <c r="A89" s="219" t="n" cm="1">
        <f t="array" ref="A89">IFERROR(INDEX('03.Muestra'!$B$8:$B$42,SMALL(IF("Página Web"='03.Muestra'!$D$8:$D$42,ROW('03.Muestra'!$B$8:$B$42)-MIN(ROW('03.Muestra'!$D$8:$D$42))+1,""),ROW()-56)),"")</f>
        <v>1.0</v>
      </c>
      <c r="B89" s="114" t="str" cm="1">
        <f t="array" ref="B89">IFERROR(INDEX('03.Muestra'!$C$8:$C$42,SMALL(IF("Página Web"='03.Muestra'!$D$8:$D$42,ROW('03.Muestra'!$C$8:$C$42)-MIN(ROW('03.Muestra'!$D$8:$D$42))+1,""),ROW()-56)),"")</f>
        <v>Home - PortCastelló</v>
      </c>
      <c r="C89" s="114" t="str" cm="1">
        <f t="array" ref="C89">IFERROR(INDEX('03.Muestra'!$F$8:$F$42,SMALL(IF("Página Web"='03.Muestra'!$D$8:$D$42,ROW('03.Muestra'!$F$8:$F$42)-MIN(ROW('03.Muestra'!$D$8:$D$42))+1,""),ROW()-56)),"")</f>
        <v>https://www.portcastello.com/</v>
      </c>
      <c r="D89" s="130" t="s">
        <v>33</v>
      </c>
      <c r="E89" s="107" t="str">
        <f t="shared" si="2"/>
        <v/>
      </c>
      <c r="G89" s="19"/>
      <c r="H89" s="19"/>
      <c r="I89" s="19"/>
      <c r="J89" s="19"/>
      <c r="K89" s="233"/>
      <c r="L89" s="19"/>
      <c r="M89" s="19"/>
      <c r="N89" s="19"/>
      <c r="O89" s="19"/>
      <c r="P89" s="19"/>
      <c r="Q89" s="19"/>
      <c r="R89" s="19"/>
      <c r="S89" s="19"/>
      <c r="T89" s="19"/>
      <c r="U89" s="19"/>
      <c r="V89" s="19"/>
      <c r="W89" s="19"/>
      <c r="X89" s="19"/>
      <c r="Y89" s="19"/>
    </row>
    <row r="90" spans="1:25" ht="12" customHeight="1">
      <c r="A90" s="219" t="str" cm="1">
        <f t="array" ref="A90">IFERROR(INDEX('03.Muestra'!$B$8:$B$42,SMALL(IF("Página Web"='03.Muestra'!$D$8:$D$42,ROW('03.Muestra'!$B$8:$B$42)-MIN(ROW('03.Muestra'!$D$8:$D$42))+1,""),ROW()-56)),"")</f>
        <v/>
      </c>
      <c r="B90" s="114" t="str" cm="1">
        <f t="array" ref="B90">IFERROR(INDEX('03.Muestra'!$C$8:$C$42,SMALL(IF("Página Web"='03.Muestra'!$D$8:$D$42,ROW('03.Muestra'!$C$8:$C$42)-MIN(ROW('03.Muestra'!$D$8:$D$42))+1,""),ROW()-56)),"")</f>
        <v/>
      </c>
      <c r="C90" s="114" t="str" cm="1">
        <f t="array" ref="C90">IFERROR(INDEX('03.Muestra'!$F$8:$F$42,SMALL(IF("Página Web"='03.Muestra'!$D$8:$D$42,ROW('03.Muestra'!$F$8:$F$42)-MIN(ROW('03.Muestra'!$D$8:$D$42))+1,""),ROW()-56)),"")</f>
        <v/>
      </c>
      <c r="D90" s="130" t="str">
        <f t="shared" si="3" ref="D90:D91">IF(AND(B90&lt;&gt;"",C90&lt;&gt;""),"N/T","")</f>
        <v/>
      </c>
      <c r="E90" s="107" t="str">
        <f t="shared" si="2"/>
        <v/>
      </c>
      <c r="F90" s="124"/>
      <c r="G90" s="19"/>
      <c r="H90" s="19"/>
      <c r="I90" s="19"/>
      <c r="J90" s="19"/>
      <c r="K90" s="233"/>
      <c r="L90" s="19"/>
      <c r="M90" s="19"/>
      <c r="N90" s="19"/>
      <c r="O90" s="19"/>
      <c r="P90" s="19"/>
      <c r="Q90" s="19"/>
      <c r="R90" s="19"/>
      <c r="S90" s="19"/>
      <c r="T90" s="19"/>
      <c r="U90" s="19"/>
      <c r="V90" s="19"/>
      <c r="W90" s="19"/>
      <c r="X90" s="19"/>
      <c r="Y90" s="19"/>
    </row>
    <row r="91" spans="1:25" ht="12" customHeight="1">
      <c r="A91" s="219" t="str" cm="1">
        <f t="array" ref="A91">IFERROR(INDEX('03.Muestra'!$B$8:$B$42,SMALL(IF("Página Web"='03.Muestra'!$D$8:$D$42,ROW('03.Muestra'!$B$8:$B$42)-MIN(ROW('03.Muestra'!$D$8:$D$42))+1,""),ROW()-56)),"")</f>
        <v/>
      </c>
      <c r="B91" s="114" t="str" cm="1">
        <f t="array" ref="B91">IFERROR(INDEX('03.Muestra'!$C$8:$C$42,SMALL(IF("Página Web"='03.Muestra'!$D$8:$D$42,ROW('03.Muestra'!$C$8:$C$42)-MIN(ROW('03.Muestra'!$D$8:$D$42))+1,""),ROW()-56)),"")</f>
        <v/>
      </c>
      <c r="C91" s="114" t="str" cm="1">
        <f t="array" ref="C91">IFERROR(INDEX('03.Muestra'!$F$8:$F$42,SMALL(IF("Página Web"='03.Muestra'!$D$8:$D$42,ROW('03.Muestra'!$F$8:$F$42)-MIN(ROW('03.Muestra'!$D$8:$D$42))+1,""),ROW()-56)),"")</f>
        <v/>
      </c>
      <c r="D91" s="130" t="str">
        <f t="shared" si="3"/>
        <v/>
      </c>
      <c r="E91" s="107" t="str">
        <f t="shared" si="2"/>
        <v/>
      </c>
      <c r="F91" s="19"/>
      <c r="G91" s="19"/>
      <c r="H91" s="19"/>
      <c r="I91" s="19"/>
      <c r="J91" s="19"/>
      <c r="K91" s="233"/>
      <c r="L91" s="19"/>
      <c r="M91" s="19"/>
      <c r="N91" s="19"/>
      <c r="O91" s="19"/>
      <c r="P91" s="19"/>
      <c r="Q91" s="19"/>
      <c r="R91" s="19"/>
      <c r="S91" s="19"/>
      <c r="T91" s="19"/>
      <c r="U91" s="19"/>
      <c r="V91" s="19"/>
      <c r="W91" s="19"/>
      <c r="X91" s="19"/>
      <c r="Y91" s="19"/>
    </row>
    <row r="92" spans="1:25" ht="12" customHeight="1">
      <c r="B92" s="19"/>
      <c r="C92" s="19"/>
      <c r="D92" s="107"/>
      <c r="E92" s="107"/>
      <c r="F92" s="19"/>
      <c r="G92" s="19"/>
      <c r="H92" s="19"/>
      <c r="I92" s="19"/>
      <c r="J92" s="19"/>
      <c r="K92" s="233"/>
      <c r="L92" s="19"/>
      <c r="M92" s="19"/>
      <c r="N92" s="19"/>
      <c r="O92" s="19"/>
      <c r="P92" s="19"/>
      <c r="Q92" s="19"/>
      <c r="R92" s="19"/>
      <c r="S92" s="19"/>
      <c r="T92" s="19"/>
      <c r="U92" s="19"/>
      <c r="V92" s="19"/>
      <c r="W92" s="19"/>
      <c r="X92" s="19"/>
      <c r="Y92" s="19"/>
    </row>
    <row r="93" spans="1:25" ht="12" customHeight="1">
      <c r="B93" s="19"/>
      <c r="C93" s="19"/>
      <c r="D93" s="107"/>
      <c r="E93" s="112"/>
      <c r="F93" s="19"/>
      <c r="G93" s="19"/>
      <c r="H93" s="19"/>
      <c r="I93" s="19"/>
      <c r="J93" s="19"/>
      <c r="K93" s="233"/>
      <c r="L93" s="19"/>
      <c r="M93" s="19"/>
      <c r="N93" s="19"/>
      <c r="O93" s="19"/>
      <c r="P93" s="19"/>
      <c r="Q93" s="19"/>
      <c r="R93" s="19"/>
      <c r="S93" s="19"/>
      <c r="T93" s="19"/>
      <c r="U93" s="19"/>
      <c r="V93" s="19"/>
      <c r="W93" s="19"/>
      <c r="X93" s="19"/>
      <c r="Y93" s="19"/>
    </row>
    <row r="94" spans="1:25" ht="29.25" customHeight="1">
      <c r="A94" s="218" t="s">
        <v>268</v>
      </c>
      <c r="B94" s="24" t="s">
        <v>90</v>
      </c>
      <c r="C94" s="25" t="s">
        <v>94</v>
      </c>
      <c r="D94" s="26" t="s">
        <v>32</v>
      </c>
      <c r="E94" s="123"/>
      <c r="K94" s="233"/>
      <c r="L94" s="19"/>
      <c r="M94" s="19"/>
      <c r="N94" s="19"/>
      <c r="O94" s="19"/>
      <c r="P94" s="19"/>
      <c r="Q94" s="19"/>
      <c r="R94" s="19"/>
      <c r="S94" s="19"/>
      <c r="T94" s="19"/>
      <c r="U94" s="19"/>
      <c r="V94" s="19"/>
      <c r="W94" s="19"/>
      <c r="X94" s="19"/>
      <c r="Y94" s="19"/>
    </row>
    <row r="95" spans="1:25" ht="12" customHeight="1">
      <c r="A95" s="219" t="n" cm="1">
        <f t="array" ref="A95">IFERROR(INDEX('03.Muestra'!$B$8:$B$42,SMALL(IF("Página Web"='03.Muestra'!$D$8:$D$42,ROW('03.Muestra'!$B$8:$B$42)-MIN(ROW('03.Muestra'!$D$8:$D$42))+1,""),ROW()-94)),"")</f>
        <v>1.0</v>
      </c>
      <c r="B95" s="114" t="str" cm="1">
        <f t="array" ref="B95">IFERROR(INDEX('03.Muestra'!$C$8:$C$42,SMALL(IF("Página Web"='03.Muestra'!$D$8:$D$42,ROW('03.Muestra'!$C$8:$C$42)-MIN(ROW('03.Muestra'!$D$8:$D$42))+1,""),ROW()-94)),"")</f>
        <v>Home - PortCastelló</v>
      </c>
      <c r="C95" s="114" t="str" cm="1">
        <f t="array" ref="C95">IFERROR(INDEX('03.Muestra'!$F$8:$F$42,SMALL(IF("Página Web"='03.Muestra'!$D$8:$D$42,ROW('03.Muestra'!$F$8:$F$42)-MIN(ROW('03.Muestra'!$D$8:$D$42))+1,""),ROW()-94)),"")</f>
        <v>https://www.portcastello.com/</v>
      </c>
      <c r="D95" s="130" t="s">
        <v>33</v>
      </c>
      <c r="E95" s="107" t="str">
        <f t="shared" ref="E95:E129" si="4">IF(D95&lt;&gt;"",IF(AND(B95&lt;&gt;"",C95&lt;&gt;""),"","ERR"),"")</f>
        <v/>
      </c>
      <c r="F95" s="115" t="s">
        <v>33</v>
      </c>
      <c r="G95" s="116" t="s">
        <v>37</v>
      </c>
      <c r="H95" s="117" t="s">
        <v>35</v>
      </c>
      <c r="I95" s="118" t="s">
        <v>28</v>
      </c>
      <c r="J95" s="119" t="s">
        <v>26</v>
      </c>
      <c r="K95" s="226" t="s">
        <v>474</v>
      </c>
      <c r="L95" s="19"/>
      <c r="M95" s="19"/>
      <c r="N95" s="19"/>
      <c r="O95" s="19"/>
      <c r="P95" s="19"/>
      <c r="Q95" s="19"/>
      <c r="R95" s="19"/>
      <c r="S95" s="19"/>
      <c r="T95" s="19"/>
      <c r="U95" s="19"/>
      <c r="V95" s="19"/>
      <c r="W95" s="19"/>
      <c r="X95" s="19"/>
      <c r="Y95" s="19"/>
    </row>
    <row r="96" spans="1:25" ht="12" customHeight="1">
      <c r="A96" s="219" t="n" cm="1">
        <f t="array" ref="A96">IFERROR(INDEX('03.Muestra'!$B$8:$B$42,SMALL(IF("Página Web"='03.Muestra'!$D$8:$D$42,ROW('03.Muestra'!$B$8:$B$42)-MIN(ROW('03.Muestra'!$D$8:$D$42))+1,""),ROW()-94)),"")</f>
        <v>1.0</v>
      </c>
      <c r="B96" s="114" t="str" cm="1">
        <f t="array" ref="B96">IFERROR(INDEX('03.Muestra'!$C$8:$C$42,SMALL(IF("Página Web"='03.Muestra'!$D$8:$D$42,ROW('03.Muestra'!$C$8:$C$42)-MIN(ROW('03.Muestra'!$D$8:$D$42))+1,""),ROW()-94)),"")</f>
        <v>Home - PortCastelló</v>
      </c>
      <c r="C96" s="114" t="str" cm="1">
        <f t="array" ref="C96">IFERROR(INDEX('03.Muestra'!$F$8:$F$42,SMALL(IF("Página Web"='03.Muestra'!$D$8:$D$42,ROW('03.Muestra'!$F$8:$F$42)-MIN(ROW('03.Muestra'!$D$8:$D$42))+1,""),ROW()-94)),"")</f>
        <v>https://www.portcastello.com/</v>
      </c>
      <c r="D96" s="130" t="s">
        <v>33</v>
      </c>
      <c r="E96" s="107" t="str">
        <f t="shared" si="4"/>
        <v/>
      </c>
      <c r="F96" s="120" t="n">
        <f ca="1">COUNTIF($D95:INDIRECT("$D" &amp;  SUM(ROW()-1,'03.Muestra'!$D$45)-1),F95)</f>
        <v>33.0</v>
      </c>
      <c r="G96" s="120" t="n">
        <f ca="1">COUNTIF($D95:INDIRECT("$D" &amp;  SUM(ROW()-1,'03.Muestra'!$D$45)-1),G95)</f>
        <v>0.0</v>
      </c>
      <c r="H96" s="120" t="n">
        <f ca="1">COUNTIF($D95:INDIRECT("$D" &amp;  SUM(ROW()-1,'03.Muestra'!$D$45)-1),H95)</f>
        <v>0.0</v>
      </c>
      <c r="I96" s="120" t="n">
        <f ca="1">COUNTIF($D95:INDIRECT("$D" &amp;  SUM(ROW()-1,'03.Muestra'!$D$45)-1),I95)</f>
        <v>0.0</v>
      </c>
      <c r="J96" s="120" t="n">
        <f ca="1">COUNTIF($D95:INDIRECT("$D" &amp;  SUM(ROW()-1,'03.Muestra'!$D$45)-1),J95)</f>
        <v>0.0</v>
      </c>
      <c r="K96" s="227" t="n">
        <f ca="1">IF(COUNTIF('03.Muestra'!$D$8:$D$42,"Página Web")=0,0,COUNTBLANK($D95:INDIRECT("$D" &amp;  SUM(ROW()-1,COUNTIF('03.Muestra'!$D$8:$D$42,"Página Web"))-1)))</f>
        <v>0.0</v>
      </c>
      <c r="L96" s="19"/>
      <c r="M96" s="19"/>
      <c r="N96" s="19"/>
      <c r="O96" s="19"/>
      <c r="P96" s="19"/>
      <c r="Q96" s="19"/>
      <c r="R96" s="19"/>
      <c r="S96" s="19"/>
      <c r="T96" s="19"/>
      <c r="U96" s="19"/>
      <c r="V96" s="19"/>
      <c r="W96" s="19"/>
      <c r="X96" s="19"/>
      <c r="Y96" s="19"/>
    </row>
    <row r="97" spans="1:25" ht="12" customHeight="1">
      <c r="A97" s="219" t="n" cm="1">
        <f t="array" ref="A97">IFERROR(INDEX('03.Muestra'!$B$8:$B$42,SMALL(IF("Página Web"='03.Muestra'!$D$8:$D$42,ROW('03.Muestra'!$B$8:$B$42)-MIN(ROW('03.Muestra'!$D$8:$D$42))+1,""),ROW()-94)),"")</f>
        <v>1.0</v>
      </c>
      <c r="B97" s="114" t="str" cm="1">
        <f t="array" ref="B97">IFERROR(INDEX('03.Muestra'!$C$8:$C$42,SMALL(IF("Página Web"='03.Muestra'!$D$8:$D$42,ROW('03.Muestra'!$C$8:$C$42)-MIN(ROW('03.Muestra'!$D$8:$D$42))+1,""),ROW()-94)),"")</f>
        <v>Home - PortCastelló</v>
      </c>
      <c r="C97" s="114" t="str" cm="1">
        <f t="array" ref="C97">IFERROR(INDEX('03.Muestra'!$F$8:$F$42,SMALL(IF("Página Web"='03.Muestra'!$D$8:$D$42,ROW('03.Muestra'!$F$8:$F$42)-MIN(ROW('03.Muestra'!$D$8:$D$42))+1,""),ROW()-94)),"")</f>
        <v>https://www.portcastello.com/</v>
      </c>
      <c r="D97" s="130" t="s">
        <v>33</v>
      </c>
      <c r="E97" s="107" t="str">
        <f t="shared" si="4"/>
        <v/>
      </c>
      <c r="G97" s="19"/>
      <c r="H97" s="19"/>
      <c r="I97" s="19"/>
      <c r="J97" s="19"/>
      <c r="K97" s="233"/>
      <c r="L97" s="19"/>
      <c r="M97" s="19"/>
      <c r="N97" s="19"/>
      <c r="O97" s="19"/>
      <c r="P97" s="19"/>
      <c r="Q97" s="19"/>
      <c r="R97" s="19"/>
      <c r="S97" s="19"/>
      <c r="T97" s="19"/>
      <c r="U97" s="19"/>
      <c r="V97" s="19"/>
      <c r="W97" s="19"/>
      <c r="X97" s="19"/>
      <c r="Y97" s="19"/>
    </row>
    <row r="98" spans="1:25" ht="12" customHeight="1">
      <c r="A98" s="219" t="n" cm="1">
        <f t="array" ref="A98">IFERROR(INDEX('03.Muestra'!$B$8:$B$42,SMALL(IF("Página Web"='03.Muestra'!$D$8:$D$42,ROW('03.Muestra'!$B$8:$B$42)-MIN(ROW('03.Muestra'!$D$8:$D$42))+1,""),ROW()-94)),"")</f>
        <v>1.0</v>
      </c>
      <c r="B98" s="114" t="str" cm="1">
        <f t="array" ref="B98">IFERROR(INDEX('03.Muestra'!$C$8:$C$42,SMALL(IF("Página Web"='03.Muestra'!$D$8:$D$42,ROW('03.Muestra'!$C$8:$C$42)-MIN(ROW('03.Muestra'!$D$8:$D$42))+1,""),ROW()-94)),"")</f>
        <v>Home - PortCastelló</v>
      </c>
      <c r="C98" s="114" t="str" cm="1">
        <f t="array" ref="C98">IFERROR(INDEX('03.Muestra'!$F$8:$F$42,SMALL(IF("Página Web"='03.Muestra'!$D$8:$D$42,ROW('03.Muestra'!$F$8:$F$42)-MIN(ROW('03.Muestra'!$D$8:$D$42))+1,""),ROW()-94)),"")</f>
        <v>https://www.portcastello.com/</v>
      </c>
      <c r="D98" s="130" t="s">
        <v>33</v>
      </c>
      <c r="E98" s="107" t="str">
        <f t="shared" si="4"/>
        <v/>
      </c>
      <c r="G98" s="19"/>
      <c r="H98" s="19"/>
      <c r="I98" s="19"/>
      <c r="J98" s="19"/>
      <c r="K98" s="233"/>
      <c r="L98" s="19"/>
      <c r="M98" s="19"/>
      <c r="N98" s="19"/>
      <c r="O98" s="19"/>
      <c r="P98" s="19"/>
      <c r="Q98" s="19"/>
      <c r="R98" s="19"/>
      <c r="S98" s="19"/>
      <c r="T98" s="19"/>
      <c r="U98" s="19"/>
      <c r="V98" s="19"/>
      <c r="W98" s="19"/>
      <c r="X98" s="19"/>
      <c r="Y98" s="19"/>
    </row>
    <row r="99" spans="1:25" ht="12" customHeight="1">
      <c r="A99" s="219" t="n" cm="1">
        <f t="array" ref="A99">IFERROR(INDEX('03.Muestra'!$B$8:$B$42,SMALL(IF("Página Web"='03.Muestra'!$D$8:$D$42,ROW('03.Muestra'!$B$8:$B$42)-MIN(ROW('03.Muestra'!$D$8:$D$42))+1,""),ROW()-94)),"")</f>
        <v>1.0</v>
      </c>
      <c r="B99" s="114" t="str" cm="1">
        <f t="array" ref="B99">IFERROR(INDEX('03.Muestra'!$C$8:$C$42,SMALL(IF("Página Web"='03.Muestra'!$D$8:$D$42,ROW('03.Muestra'!$C$8:$C$42)-MIN(ROW('03.Muestra'!$D$8:$D$42))+1,""),ROW()-94)),"")</f>
        <v>Home - PortCastelló</v>
      </c>
      <c r="C99" s="114" t="str" cm="1">
        <f t="array" ref="C99">IFERROR(INDEX('03.Muestra'!$F$8:$F$42,SMALL(IF("Página Web"='03.Muestra'!$D$8:$D$42,ROW('03.Muestra'!$F$8:$F$42)-MIN(ROW('03.Muestra'!$D$8:$D$42))+1,""),ROW()-94)),"")</f>
        <v>https://www.portcastello.com/</v>
      </c>
      <c r="D99" s="130" t="s">
        <v>33</v>
      </c>
      <c r="E99" s="107" t="str">
        <f t="shared" si="4"/>
        <v/>
      </c>
      <c r="G99" s="19"/>
      <c r="H99" s="19"/>
      <c r="I99" s="19"/>
      <c r="J99" s="19"/>
      <c r="K99" s="233"/>
      <c r="L99" s="19"/>
      <c r="M99" s="19"/>
      <c r="N99" s="19"/>
      <c r="O99" s="19"/>
      <c r="P99" s="19"/>
      <c r="Q99" s="19"/>
      <c r="R99" s="19"/>
      <c r="S99" s="19"/>
      <c r="T99" s="19"/>
      <c r="U99" s="19"/>
      <c r="V99" s="19"/>
      <c r="W99" s="19"/>
      <c r="X99" s="19"/>
      <c r="Y99" s="19"/>
    </row>
    <row r="100" spans="1:25" ht="12" customHeight="1">
      <c r="A100" s="219" t="n" cm="1">
        <f t="array" ref="A100">IFERROR(INDEX('03.Muestra'!$B$8:$B$42,SMALL(IF("Página Web"='03.Muestra'!$D$8:$D$42,ROW('03.Muestra'!$B$8:$B$42)-MIN(ROW('03.Muestra'!$D$8:$D$42))+1,""),ROW()-94)),"")</f>
        <v>1.0</v>
      </c>
      <c r="B100" s="114" t="str" cm="1">
        <f t="array" ref="B100">IFERROR(INDEX('03.Muestra'!$C$8:$C$42,SMALL(IF("Página Web"='03.Muestra'!$D$8:$D$42,ROW('03.Muestra'!$C$8:$C$42)-MIN(ROW('03.Muestra'!$D$8:$D$42))+1,""),ROW()-94)),"")</f>
        <v>Home - PortCastelló</v>
      </c>
      <c r="C100" s="114" t="str" cm="1">
        <f t="array" ref="C100">IFERROR(INDEX('03.Muestra'!$F$8:$F$42,SMALL(IF("Página Web"='03.Muestra'!$D$8:$D$42,ROW('03.Muestra'!$F$8:$F$42)-MIN(ROW('03.Muestra'!$D$8:$D$42))+1,""),ROW()-94)),"")</f>
        <v>https://www.portcastello.com/</v>
      </c>
      <c r="D100" s="130" t="s">
        <v>33</v>
      </c>
      <c r="E100" s="107" t="str">
        <f t="shared" si="4"/>
        <v/>
      </c>
      <c r="G100" s="19"/>
      <c r="H100" s="19"/>
      <c r="I100" s="19"/>
      <c r="J100" s="19"/>
      <c r="K100" s="233"/>
      <c r="L100" s="19"/>
      <c r="M100" s="19"/>
      <c r="N100" s="19"/>
      <c r="O100" s="19"/>
      <c r="P100" s="19"/>
      <c r="Q100" s="19"/>
      <c r="R100" s="19"/>
      <c r="S100" s="19"/>
      <c r="T100" s="19"/>
      <c r="U100" s="19"/>
      <c r="V100" s="19"/>
      <c r="W100" s="19"/>
      <c r="X100" s="19"/>
      <c r="Y100" s="19"/>
    </row>
    <row r="101" spans="1:25" ht="12" customHeight="1">
      <c r="A101" s="219" t="n" cm="1">
        <f t="array" ref="A101">IFERROR(INDEX('03.Muestra'!$B$8:$B$42,SMALL(IF("Página Web"='03.Muestra'!$D$8:$D$42,ROW('03.Muestra'!$B$8:$B$42)-MIN(ROW('03.Muestra'!$D$8:$D$42))+1,""),ROW()-94)),"")</f>
        <v>1.0</v>
      </c>
      <c r="B101" s="114" t="str" cm="1">
        <f t="array" ref="B101">IFERROR(INDEX('03.Muestra'!$C$8:$C$42,SMALL(IF("Página Web"='03.Muestra'!$D$8:$D$42,ROW('03.Muestra'!$C$8:$C$42)-MIN(ROW('03.Muestra'!$D$8:$D$42))+1,""),ROW()-94)),"")</f>
        <v>Home - PortCastelló</v>
      </c>
      <c r="C101" s="114" t="str" cm="1">
        <f t="array" ref="C101">IFERROR(INDEX('03.Muestra'!$F$8:$F$42,SMALL(IF("Página Web"='03.Muestra'!$D$8:$D$42,ROW('03.Muestra'!$F$8:$F$42)-MIN(ROW('03.Muestra'!$D$8:$D$42))+1,""),ROW()-94)),"")</f>
        <v>https://www.portcastello.com/</v>
      </c>
      <c r="D101" s="130" t="s">
        <v>33</v>
      </c>
      <c r="E101" s="107" t="str">
        <f t="shared" si="4"/>
        <v/>
      </c>
      <c r="F101" s="19"/>
      <c r="G101" s="19"/>
      <c r="H101" s="19"/>
      <c r="I101" s="19"/>
      <c r="J101" s="19"/>
      <c r="K101" s="233"/>
      <c r="L101" s="19"/>
      <c r="M101" s="19"/>
      <c r="N101" s="19"/>
      <c r="O101" s="19"/>
      <c r="P101" s="19"/>
      <c r="Q101" s="19"/>
      <c r="R101" s="19"/>
      <c r="S101" s="19"/>
      <c r="T101" s="19"/>
      <c r="U101" s="19"/>
      <c r="V101" s="19"/>
      <c r="W101" s="19"/>
      <c r="X101" s="19"/>
      <c r="Y101" s="19"/>
    </row>
    <row r="102" spans="1:25" ht="12" customHeight="1">
      <c r="A102" s="219" t="n" cm="1">
        <f t="array" ref="A102">IFERROR(INDEX('03.Muestra'!$B$8:$B$42,SMALL(IF("Página Web"='03.Muestra'!$D$8:$D$42,ROW('03.Muestra'!$B$8:$B$42)-MIN(ROW('03.Muestra'!$D$8:$D$42))+1,""),ROW()-94)),"")</f>
        <v>1.0</v>
      </c>
      <c r="B102" s="114" t="str" cm="1">
        <f t="array" ref="B102">IFERROR(INDEX('03.Muestra'!$C$8:$C$42,SMALL(IF("Página Web"='03.Muestra'!$D$8:$D$42,ROW('03.Muestra'!$C$8:$C$42)-MIN(ROW('03.Muestra'!$D$8:$D$42))+1,""),ROW()-94)),"")</f>
        <v>Home - PortCastelló</v>
      </c>
      <c r="C102" s="114" t="str" cm="1">
        <f t="array" ref="C102">IFERROR(INDEX('03.Muestra'!$F$8:$F$42,SMALL(IF("Página Web"='03.Muestra'!$D$8:$D$42,ROW('03.Muestra'!$F$8:$F$42)-MIN(ROW('03.Muestra'!$D$8:$D$42))+1,""),ROW()-94)),"")</f>
        <v>https://www.portcastello.com/</v>
      </c>
      <c r="D102" s="130" t="s">
        <v>33</v>
      </c>
      <c r="E102" s="107" t="str">
        <f t="shared" si="4"/>
        <v/>
      </c>
      <c r="F102" s="19"/>
      <c r="G102" s="19"/>
      <c r="H102" s="19"/>
      <c r="I102" s="19"/>
      <c r="J102" s="19"/>
      <c r="K102" s="233"/>
      <c r="L102" s="19"/>
      <c r="M102" s="19"/>
      <c r="N102" s="19"/>
      <c r="O102" s="19"/>
      <c r="P102" s="19"/>
      <c r="Q102" s="19"/>
      <c r="R102" s="19"/>
      <c r="S102" s="19"/>
      <c r="T102" s="19"/>
      <c r="U102" s="19"/>
      <c r="V102" s="19"/>
      <c r="W102" s="19"/>
      <c r="X102" s="19"/>
      <c r="Y102" s="19"/>
    </row>
    <row r="103" spans="1:25" ht="12" customHeight="1">
      <c r="A103" s="219" t="n" cm="1">
        <f t="array" ref="A103">IFERROR(INDEX('03.Muestra'!$B$8:$B$42,SMALL(IF("Página Web"='03.Muestra'!$D$8:$D$42,ROW('03.Muestra'!$B$8:$B$42)-MIN(ROW('03.Muestra'!$D$8:$D$42))+1,""),ROW()-94)),"")</f>
        <v>1.0</v>
      </c>
      <c r="B103" s="114" t="str" cm="1">
        <f t="array" ref="B103">IFERROR(INDEX('03.Muestra'!$C$8:$C$42,SMALL(IF("Página Web"='03.Muestra'!$D$8:$D$42,ROW('03.Muestra'!$C$8:$C$42)-MIN(ROW('03.Muestra'!$D$8:$D$42))+1,""),ROW()-94)),"")</f>
        <v>Home - PortCastelló</v>
      </c>
      <c r="C103" s="114" t="str" cm="1">
        <f t="array" ref="C103">IFERROR(INDEX('03.Muestra'!$F$8:$F$42,SMALL(IF("Página Web"='03.Muestra'!$D$8:$D$42,ROW('03.Muestra'!$F$8:$F$42)-MIN(ROW('03.Muestra'!$D$8:$D$42))+1,""),ROW()-94)),"")</f>
        <v>https://www.portcastello.com/</v>
      </c>
      <c r="D103" s="130" t="s">
        <v>33</v>
      </c>
      <c r="E103" s="107" t="str">
        <f t="shared" si="4"/>
        <v/>
      </c>
      <c r="F103" s="19"/>
      <c r="G103" s="19"/>
      <c r="H103" s="19"/>
      <c r="I103" s="19"/>
      <c r="J103" s="19"/>
      <c r="K103" s="233"/>
      <c r="L103" s="19"/>
      <c r="M103" s="19"/>
      <c r="N103" s="19"/>
      <c r="O103" s="19"/>
      <c r="P103" s="19"/>
      <c r="Q103" s="19"/>
      <c r="R103" s="19"/>
      <c r="S103" s="19"/>
      <c r="T103" s="19"/>
      <c r="U103" s="19"/>
      <c r="V103" s="19"/>
      <c r="W103" s="19"/>
      <c r="X103" s="19"/>
      <c r="Y103" s="19"/>
    </row>
    <row r="104" spans="1:25" ht="12" customHeight="1">
      <c r="A104" s="219" t="n" cm="1">
        <f t="array" ref="A104">IFERROR(INDEX('03.Muestra'!$B$8:$B$42,SMALL(IF("Página Web"='03.Muestra'!$D$8:$D$42,ROW('03.Muestra'!$B$8:$B$42)-MIN(ROW('03.Muestra'!$D$8:$D$42))+1,""),ROW()-94)),"")</f>
        <v>1.0</v>
      </c>
      <c r="B104" s="114" t="str" cm="1">
        <f t="array" ref="B104">IFERROR(INDEX('03.Muestra'!$C$8:$C$42,SMALL(IF("Página Web"='03.Muestra'!$D$8:$D$42,ROW('03.Muestra'!$C$8:$C$42)-MIN(ROW('03.Muestra'!$D$8:$D$42))+1,""),ROW()-94)),"")</f>
        <v>Home - PortCastelló</v>
      </c>
      <c r="C104" s="114" t="str" cm="1">
        <f t="array" ref="C104">IFERROR(INDEX('03.Muestra'!$F$8:$F$42,SMALL(IF("Página Web"='03.Muestra'!$D$8:$D$42,ROW('03.Muestra'!$F$8:$F$42)-MIN(ROW('03.Muestra'!$D$8:$D$42))+1,""),ROW()-94)),"")</f>
        <v>https://www.portcastello.com/</v>
      </c>
      <c r="D104" s="130" t="s">
        <v>33</v>
      </c>
      <c r="E104" s="107" t="str">
        <f t="shared" si="4"/>
        <v/>
      </c>
      <c r="F104" s="19"/>
      <c r="G104" s="19"/>
      <c r="H104" s="19"/>
      <c r="I104" s="19"/>
      <c r="J104" s="19"/>
      <c r="K104" s="233"/>
      <c r="L104" s="19"/>
      <c r="M104" s="19"/>
      <c r="N104" s="19"/>
      <c r="O104" s="19"/>
      <c r="P104" s="19"/>
      <c r="Q104" s="19"/>
      <c r="R104" s="19"/>
      <c r="S104" s="19"/>
      <c r="T104" s="19"/>
      <c r="U104" s="19"/>
      <c r="V104" s="19"/>
      <c r="W104" s="19"/>
      <c r="X104" s="19"/>
      <c r="Y104" s="19"/>
    </row>
    <row r="105" spans="1:25" ht="12" customHeight="1">
      <c r="A105" s="219" t="n" cm="1">
        <f t="array" ref="A105">IFERROR(INDEX('03.Muestra'!$B$8:$B$42,SMALL(IF("Página Web"='03.Muestra'!$D$8:$D$42,ROW('03.Muestra'!$B$8:$B$42)-MIN(ROW('03.Muestra'!$D$8:$D$42))+1,""),ROW()-94)),"")</f>
        <v>1.0</v>
      </c>
      <c r="B105" s="114" t="str" cm="1">
        <f t="array" ref="B105">IFERROR(INDEX('03.Muestra'!$C$8:$C$42,SMALL(IF("Página Web"='03.Muestra'!$D$8:$D$42,ROW('03.Muestra'!$C$8:$C$42)-MIN(ROW('03.Muestra'!$D$8:$D$42))+1,""),ROW()-94)),"")</f>
        <v>Home - PortCastelló</v>
      </c>
      <c r="C105" s="114" t="str" cm="1">
        <f t="array" ref="C105">IFERROR(INDEX('03.Muestra'!$F$8:$F$42,SMALL(IF("Página Web"='03.Muestra'!$D$8:$D$42,ROW('03.Muestra'!$F$8:$F$42)-MIN(ROW('03.Muestra'!$D$8:$D$42))+1,""),ROW()-94)),"")</f>
        <v>https://www.portcastello.com/</v>
      </c>
      <c r="D105" s="130" t="s">
        <v>33</v>
      </c>
      <c r="E105" s="107" t="str">
        <f t="shared" si="4"/>
        <v/>
      </c>
      <c r="F105" s="19"/>
      <c r="G105" s="19"/>
      <c r="H105" s="19"/>
      <c r="I105" s="19"/>
      <c r="J105" s="19"/>
      <c r="K105" s="233"/>
      <c r="L105" s="19"/>
      <c r="M105" s="19"/>
      <c r="N105" s="19"/>
      <c r="O105" s="19"/>
      <c r="P105" s="19"/>
      <c r="Q105" s="19"/>
      <c r="R105" s="19"/>
      <c r="S105" s="19"/>
      <c r="T105" s="19"/>
      <c r="U105" s="19"/>
      <c r="V105" s="19"/>
      <c r="W105" s="19"/>
      <c r="X105" s="19"/>
      <c r="Y105" s="19"/>
    </row>
    <row r="106" spans="1:25" ht="12" customHeight="1">
      <c r="A106" s="219" t="n" cm="1">
        <f t="array" ref="A106">IFERROR(INDEX('03.Muestra'!$B$8:$B$42,SMALL(IF("Página Web"='03.Muestra'!$D$8:$D$42,ROW('03.Muestra'!$B$8:$B$42)-MIN(ROW('03.Muestra'!$D$8:$D$42))+1,""),ROW()-94)),"")</f>
        <v>1.0</v>
      </c>
      <c r="B106" s="114" t="str" cm="1">
        <f t="array" ref="B106">IFERROR(INDEX('03.Muestra'!$C$8:$C$42,SMALL(IF("Página Web"='03.Muestra'!$D$8:$D$42,ROW('03.Muestra'!$C$8:$C$42)-MIN(ROW('03.Muestra'!$D$8:$D$42))+1,""),ROW()-94)),"")</f>
        <v>Home - PortCastelló</v>
      </c>
      <c r="C106" s="114" t="str" cm="1">
        <f t="array" ref="C106">IFERROR(INDEX('03.Muestra'!$F$8:$F$42,SMALL(IF("Página Web"='03.Muestra'!$D$8:$D$42,ROW('03.Muestra'!$F$8:$F$42)-MIN(ROW('03.Muestra'!$D$8:$D$42))+1,""),ROW()-94)),"")</f>
        <v>https://www.portcastello.com/</v>
      </c>
      <c r="D106" s="130" t="s">
        <v>33</v>
      </c>
      <c r="E106" s="107" t="str">
        <f t="shared" si="4"/>
        <v/>
      </c>
      <c r="F106" s="19"/>
      <c r="G106" s="19"/>
      <c r="H106" s="19"/>
      <c r="I106" s="19"/>
      <c r="J106" s="19"/>
      <c r="K106" s="233"/>
      <c r="L106" s="19"/>
      <c r="M106" s="19"/>
      <c r="N106" s="19"/>
      <c r="O106" s="19"/>
      <c r="P106" s="19"/>
      <c r="Q106" s="19"/>
      <c r="R106" s="19"/>
      <c r="S106" s="19"/>
      <c r="T106" s="19"/>
      <c r="U106" s="19"/>
      <c r="V106" s="19"/>
      <c r="W106" s="19"/>
      <c r="X106" s="19"/>
      <c r="Y106" s="19"/>
    </row>
    <row r="107" spans="1:25" ht="14.1" customHeight="1">
      <c r="A107" s="219" t="n" cm="1">
        <f t="array" ref="A107">IFERROR(INDEX('03.Muestra'!$B$8:$B$42,SMALL(IF("Página Web"='03.Muestra'!$D$8:$D$42,ROW('03.Muestra'!$B$8:$B$42)-MIN(ROW('03.Muestra'!$D$8:$D$42))+1,""),ROW()-94)),"")</f>
        <v>1.0</v>
      </c>
      <c r="B107" s="114" t="str" cm="1">
        <f t="array" ref="B107">IFERROR(INDEX('03.Muestra'!$C$8:$C$42,SMALL(IF("Página Web"='03.Muestra'!$D$8:$D$42,ROW('03.Muestra'!$C$8:$C$42)-MIN(ROW('03.Muestra'!$D$8:$D$42))+1,""),ROW()-94)),"")</f>
        <v>Home - PortCastelló</v>
      </c>
      <c r="C107" s="114" t="str" cm="1">
        <f t="array" ref="C107">IFERROR(INDEX('03.Muestra'!$F$8:$F$42,SMALL(IF("Página Web"='03.Muestra'!$D$8:$D$42,ROW('03.Muestra'!$F$8:$F$42)-MIN(ROW('03.Muestra'!$D$8:$D$42))+1,""),ROW()-94)),"")</f>
        <v>https://www.portcastello.com/</v>
      </c>
      <c r="D107" s="130" t="s">
        <v>33</v>
      </c>
      <c r="E107" s="107" t="str">
        <f t="shared" si="4"/>
        <v/>
      </c>
      <c r="F107" s="19"/>
      <c r="G107" s="19"/>
      <c r="H107" s="19"/>
      <c r="I107" s="19"/>
      <c r="J107" s="19"/>
      <c r="K107" s="233"/>
      <c r="L107" s="19"/>
      <c r="M107" s="19"/>
      <c r="N107" s="19"/>
      <c r="O107" s="19"/>
      <c r="P107" s="19"/>
      <c r="Q107" s="19"/>
      <c r="R107" s="19"/>
      <c r="S107" s="19"/>
      <c r="T107" s="19"/>
      <c r="U107" s="19"/>
      <c r="V107" s="19"/>
      <c r="W107" s="19"/>
      <c r="X107" s="19"/>
      <c r="Y107" s="19"/>
    </row>
    <row r="108" spans="1:25" ht="14.1" customHeight="1">
      <c r="A108" s="219" t="n" cm="1">
        <f t="array" ref="A108">IFERROR(INDEX('03.Muestra'!$B$8:$B$42,SMALL(IF("Página Web"='03.Muestra'!$D$8:$D$42,ROW('03.Muestra'!$B$8:$B$42)-MIN(ROW('03.Muestra'!$D$8:$D$42))+1,""),ROW()-94)),"")</f>
        <v>1.0</v>
      </c>
      <c r="B108" s="114" t="str" cm="1">
        <f t="array" ref="B108">IFERROR(INDEX('03.Muestra'!$C$8:$C$42,SMALL(IF("Página Web"='03.Muestra'!$D$8:$D$42,ROW('03.Muestra'!$C$8:$C$42)-MIN(ROW('03.Muestra'!$D$8:$D$42))+1,""),ROW()-94)),"")</f>
        <v>Home - PortCastelló</v>
      </c>
      <c r="C108" s="114" t="str" cm="1">
        <f t="array" ref="C108">IFERROR(INDEX('03.Muestra'!$F$8:$F$42,SMALL(IF("Página Web"='03.Muestra'!$D$8:$D$42,ROW('03.Muestra'!$F$8:$F$42)-MIN(ROW('03.Muestra'!$D$8:$D$42))+1,""),ROW()-94)),"")</f>
        <v>https://www.portcastello.com/</v>
      </c>
      <c r="D108" s="130" t="s">
        <v>33</v>
      </c>
      <c r="E108" s="107" t="str">
        <f t="shared" si="4"/>
        <v/>
      </c>
      <c r="F108" s="19"/>
      <c r="G108" s="19"/>
      <c r="H108" s="19"/>
      <c r="I108" s="19"/>
      <c r="J108" s="19"/>
      <c r="K108" s="233"/>
      <c r="L108" s="19"/>
      <c r="M108" s="19"/>
      <c r="N108" s="19"/>
      <c r="O108" s="19"/>
      <c r="P108" s="19"/>
      <c r="Q108" s="19"/>
      <c r="R108" s="19"/>
      <c r="S108" s="19"/>
      <c r="T108" s="19"/>
      <c r="U108" s="19"/>
      <c r="V108" s="19"/>
      <c r="W108" s="19"/>
      <c r="X108" s="19"/>
      <c r="Y108" s="19"/>
    </row>
    <row r="109" spans="1:25" ht="14.1" customHeight="1">
      <c r="A109" s="219" t="n" cm="1">
        <f t="array" ref="A109">IFERROR(INDEX('03.Muestra'!$B$8:$B$42,SMALL(IF("Página Web"='03.Muestra'!$D$8:$D$42,ROW('03.Muestra'!$B$8:$B$42)-MIN(ROW('03.Muestra'!$D$8:$D$42))+1,""),ROW()-94)),"")</f>
        <v>1.0</v>
      </c>
      <c r="B109" s="114" t="str" cm="1">
        <f t="array" ref="B109">IFERROR(INDEX('03.Muestra'!$C$8:$C$42,SMALL(IF("Página Web"='03.Muestra'!$D$8:$D$42,ROW('03.Muestra'!$C$8:$C$42)-MIN(ROW('03.Muestra'!$D$8:$D$42))+1,""),ROW()-94)),"")</f>
        <v>Home - PortCastelló</v>
      </c>
      <c r="C109" s="114" t="str" cm="1">
        <f t="array" ref="C109">IFERROR(INDEX('03.Muestra'!$F$8:$F$42,SMALL(IF("Página Web"='03.Muestra'!$D$8:$D$42,ROW('03.Muestra'!$F$8:$F$42)-MIN(ROW('03.Muestra'!$D$8:$D$42))+1,""),ROW()-94)),"")</f>
        <v>https://www.portcastello.com/</v>
      </c>
      <c r="D109" s="130" t="s">
        <v>33</v>
      </c>
      <c r="E109" s="107" t="str">
        <f t="shared" si="4"/>
        <v/>
      </c>
      <c r="F109" s="19"/>
      <c r="G109" s="19"/>
      <c r="H109" s="19"/>
      <c r="I109" s="19"/>
      <c r="J109" s="19"/>
      <c r="K109" s="233"/>
      <c r="L109" s="19"/>
      <c r="M109" s="19"/>
      <c r="N109" s="19"/>
      <c r="O109" s="19"/>
      <c r="P109" s="19"/>
      <c r="Q109" s="19"/>
      <c r="R109" s="19"/>
      <c r="S109" s="19"/>
      <c r="T109" s="19"/>
      <c r="U109" s="19"/>
      <c r="V109" s="19"/>
      <c r="W109" s="19"/>
      <c r="X109" s="19"/>
      <c r="Y109" s="19"/>
    </row>
    <row r="110" spans="1:25" ht="14.1" customHeight="1">
      <c r="A110" s="219" t="n" cm="1">
        <f t="array" ref="A110">IFERROR(INDEX('03.Muestra'!$B$8:$B$42,SMALL(IF("Página Web"='03.Muestra'!$D$8:$D$42,ROW('03.Muestra'!$B$8:$B$42)-MIN(ROW('03.Muestra'!$D$8:$D$42))+1,""),ROW()-94)),"")</f>
        <v>1.0</v>
      </c>
      <c r="B110" s="114" t="str" cm="1">
        <f t="array" ref="B110">IFERROR(INDEX('03.Muestra'!$C$8:$C$42,SMALL(IF("Página Web"='03.Muestra'!$D$8:$D$42,ROW('03.Muestra'!$C$8:$C$42)-MIN(ROW('03.Muestra'!$D$8:$D$42))+1,""),ROW()-94)),"")</f>
        <v>Home - PortCastelló</v>
      </c>
      <c r="C110" s="114" t="str" cm="1">
        <f t="array" ref="C110">IFERROR(INDEX('03.Muestra'!$F$8:$F$42,SMALL(IF("Página Web"='03.Muestra'!$D$8:$D$42,ROW('03.Muestra'!$F$8:$F$42)-MIN(ROW('03.Muestra'!$D$8:$D$42))+1,""),ROW()-94)),"")</f>
        <v>https://www.portcastello.com/</v>
      </c>
      <c r="D110" s="130" t="s">
        <v>33</v>
      </c>
      <c r="E110" s="107" t="str">
        <f t="shared" si="4"/>
        <v/>
      </c>
      <c r="F110" s="19"/>
      <c r="G110" s="19"/>
      <c r="H110" s="19"/>
      <c r="I110" s="19"/>
      <c r="J110" s="19"/>
      <c r="K110" s="233"/>
      <c r="L110" s="19"/>
      <c r="M110" s="19"/>
      <c r="N110" s="19"/>
      <c r="O110" s="19"/>
      <c r="P110" s="19"/>
      <c r="Q110" s="19"/>
      <c r="R110" s="19"/>
      <c r="S110" s="19"/>
      <c r="T110" s="19"/>
      <c r="U110" s="19"/>
      <c r="V110" s="19"/>
      <c r="W110" s="19"/>
      <c r="X110" s="19"/>
      <c r="Y110" s="19"/>
    </row>
    <row r="111" spans="1:25" ht="14.1" customHeight="1">
      <c r="A111" s="219" t="n" cm="1">
        <f t="array" ref="A111">IFERROR(INDEX('03.Muestra'!$B$8:$B$42,SMALL(IF("Página Web"='03.Muestra'!$D$8:$D$42,ROW('03.Muestra'!$B$8:$B$42)-MIN(ROW('03.Muestra'!$D$8:$D$42))+1,""),ROW()-94)),"")</f>
        <v>1.0</v>
      </c>
      <c r="B111" s="114" t="str" cm="1">
        <f t="array" ref="B111">IFERROR(INDEX('03.Muestra'!$C$8:$C$42,SMALL(IF("Página Web"='03.Muestra'!$D$8:$D$42,ROW('03.Muestra'!$C$8:$C$42)-MIN(ROW('03.Muestra'!$D$8:$D$42))+1,""),ROW()-94)),"")</f>
        <v>Home - PortCastelló</v>
      </c>
      <c r="C111" s="114" t="str" cm="1">
        <f t="array" ref="C111">IFERROR(INDEX('03.Muestra'!$F$8:$F$42,SMALL(IF("Página Web"='03.Muestra'!$D$8:$D$42,ROW('03.Muestra'!$F$8:$F$42)-MIN(ROW('03.Muestra'!$D$8:$D$42))+1,""),ROW()-94)),"")</f>
        <v>https://www.portcastello.com/</v>
      </c>
      <c r="D111" s="130" t="s">
        <v>33</v>
      </c>
      <c r="E111" s="107" t="str">
        <f t="shared" si="4"/>
        <v/>
      </c>
      <c r="F111" s="19"/>
      <c r="G111" s="19"/>
      <c r="H111" s="19"/>
      <c r="I111" s="19"/>
      <c r="J111" s="19"/>
      <c r="K111" s="233"/>
      <c r="L111" s="19"/>
      <c r="M111" s="19"/>
      <c r="N111" s="19"/>
      <c r="O111" s="19"/>
      <c r="P111" s="19"/>
      <c r="Q111" s="19"/>
      <c r="R111" s="19"/>
      <c r="S111" s="19"/>
      <c r="T111" s="19"/>
      <c r="U111" s="19"/>
      <c r="V111" s="19"/>
      <c r="W111" s="19"/>
      <c r="X111" s="19"/>
      <c r="Y111" s="19"/>
    </row>
    <row r="112" spans="1:25" ht="14.1" customHeight="1">
      <c r="A112" s="219" t="n" cm="1">
        <f t="array" ref="A112">IFERROR(INDEX('03.Muestra'!$B$8:$B$42,SMALL(IF("Página Web"='03.Muestra'!$D$8:$D$42,ROW('03.Muestra'!$B$8:$B$42)-MIN(ROW('03.Muestra'!$D$8:$D$42))+1,""),ROW()-94)),"")</f>
        <v>1.0</v>
      </c>
      <c r="B112" s="114" t="str" cm="1">
        <f t="array" ref="B112">IFERROR(INDEX('03.Muestra'!$C$8:$C$42,SMALL(IF("Página Web"='03.Muestra'!$D$8:$D$42,ROW('03.Muestra'!$C$8:$C$42)-MIN(ROW('03.Muestra'!$D$8:$D$42))+1,""),ROW()-94)),"")</f>
        <v>Home - PortCastelló</v>
      </c>
      <c r="C112" s="114" t="str" cm="1">
        <f t="array" ref="C112">IFERROR(INDEX('03.Muestra'!$F$8:$F$42,SMALL(IF("Página Web"='03.Muestra'!$D$8:$D$42,ROW('03.Muestra'!$F$8:$F$42)-MIN(ROW('03.Muestra'!$D$8:$D$42))+1,""),ROW()-94)),"")</f>
        <v>https://www.portcastello.com/</v>
      </c>
      <c r="D112" s="130" t="s">
        <v>33</v>
      </c>
      <c r="E112" s="107" t="str">
        <f t="shared" si="4"/>
        <v/>
      </c>
      <c r="F112" s="19"/>
      <c r="G112" s="19"/>
      <c r="H112" s="19"/>
      <c r="I112" s="19"/>
      <c r="J112" s="19"/>
      <c r="K112" s="233"/>
      <c r="L112" s="19"/>
      <c r="M112" s="19"/>
      <c r="N112" s="19"/>
      <c r="O112" s="19"/>
      <c r="P112" s="19"/>
      <c r="Q112" s="19"/>
      <c r="R112" s="19"/>
      <c r="S112" s="19"/>
      <c r="T112" s="19"/>
      <c r="U112" s="19"/>
      <c r="V112" s="19"/>
      <c r="W112" s="19"/>
      <c r="X112" s="19"/>
      <c r="Y112" s="19"/>
    </row>
    <row r="113" spans="1:25" ht="14.1" customHeight="1">
      <c r="A113" s="219" t="n" cm="1">
        <f t="array" ref="A113">IFERROR(INDEX('03.Muestra'!$B$8:$B$42,SMALL(IF("Página Web"='03.Muestra'!$D$8:$D$42,ROW('03.Muestra'!$B$8:$B$42)-MIN(ROW('03.Muestra'!$D$8:$D$42))+1,""),ROW()-94)),"")</f>
        <v>1.0</v>
      </c>
      <c r="B113" s="114" t="str" cm="1">
        <f t="array" ref="B113">IFERROR(INDEX('03.Muestra'!$C$8:$C$42,SMALL(IF("Página Web"='03.Muestra'!$D$8:$D$42,ROW('03.Muestra'!$C$8:$C$42)-MIN(ROW('03.Muestra'!$D$8:$D$42))+1,""),ROW()-94)),"")</f>
        <v>Home - PortCastelló</v>
      </c>
      <c r="C113" s="114" t="str" cm="1">
        <f t="array" ref="C113">IFERROR(INDEX('03.Muestra'!$F$8:$F$42,SMALL(IF("Página Web"='03.Muestra'!$D$8:$D$42,ROW('03.Muestra'!$F$8:$F$42)-MIN(ROW('03.Muestra'!$D$8:$D$42))+1,""),ROW()-94)),"")</f>
        <v>https://www.portcastello.com/</v>
      </c>
      <c r="D113" s="130" t="s">
        <v>33</v>
      </c>
      <c r="E113" s="107" t="str">
        <f t="shared" si="4"/>
        <v/>
      </c>
      <c r="F113" s="19"/>
      <c r="G113" s="19"/>
      <c r="H113" s="19"/>
      <c r="I113" s="19"/>
      <c r="J113" s="19"/>
      <c r="K113" s="233"/>
      <c r="L113" s="19"/>
      <c r="M113" s="19"/>
      <c r="N113" s="19"/>
      <c r="O113" s="19"/>
      <c r="P113" s="19"/>
      <c r="Q113" s="19"/>
      <c r="R113" s="19"/>
      <c r="S113" s="19"/>
      <c r="T113" s="19"/>
      <c r="U113" s="19"/>
      <c r="V113" s="19"/>
      <c r="W113" s="19"/>
      <c r="X113" s="19"/>
      <c r="Y113" s="19"/>
    </row>
    <row r="114" spans="1:25" ht="14.1" customHeight="1">
      <c r="A114" s="219" t="n" cm="1">
        <f t="array" ref="A114">IFERROR(INDEX('03.Muestra'!$B$8:$B$42,SMALL(IF("Página Web"='03.Muestra'!$D$8:$D$42,ROW('03.Muestra'!$B$8:$B$42)-MIN(ROW('03.Muestra'!$D$8:$D$42))+1,""),ROW()-94)),"")</f>
        <v>1.0</v>
      </c>
      <c r="B114" s="114" t="str" cm="1">
        <f t="array" ref="B114">IFERROR(INDEX('03.Muestra'!$C$8:$C$42,SMALL(IF("Página Web"='03.Muestra'!$D$8:$D$42,ROW('03.Muestra'!$C$8:$C$42)-MIN(ROW('03.Muestra'!$D$8:$D$42))+1,""),ROW()-94)),"")</f>
        <v>Home - PortCastelló</v>
      </c>
      <c r="C114" s="114" t="str" cm="1">
        <f t="array" ref="C114">IFERROR(INDEX('03.Muestra'!$F$8:$F$42,SMALL(IF("Página Web"='03.Muestra'!$D$8:$D$42,ROW('03.Muestra'!$F$8:$F$42)-MIN(ROW('03.Muestra'!$D$8:$D$42))+1,""),ROW()-94)),"")</f>
        <v>https://www.portcastello.com/</v>
      </c>
      <c r="D114" s="130" t="s">
        <v>33</v>
      </c>
      <c r="E114" s="107" t="str">
        <f t="shared" si="4"/>
        <v/>
      </c>
      <c r="F114" s="19"/>
      <c r="G114" s="19"/>
      <c r="H114" s="19"/>
      <c r="I114" s="19"/>
      <c r="J114" s="19"/>
      <c r="K114" s="233"/>
      <c r="L114" s="19"/>
      <c r="M114" s="19"/>
      <c r="N114" s="19"/>
      <c r="O114" s="19"/>
      <c r="P114" s="19"/>
      <c r="Q114" s="19"/>
      <c r="R114" s="19"/>
      <c r="S114" s="19"/>
      <c r="T114" s="19"/>
      <c r="U114" s="19"/>
      <c r="V114" s="19"/>
      <c r="W114" s="19"/>
      <c r="X114" s="19"/>
      <c r="Y114" s="19"/>
    </row>
    <row r="115" spans="1:25" ht="14.1" customHeight="1">
      <c r="A115" s="219" t="n" cm="1">
        <f t="array" ref="A115">IFERROR(INDEX('03.Muestra'!$B$8:$B$42,SMALL(IF("Página Web"='03.Muestra'!$D$8:$D$42,ROW('03.Muestra'!$B$8:$B$42)-MIN(ROW('03.Muestra'!$D$8:$D$42))+1,""),ROW()-94)),"")</f>
        <v>1.0</v>
      </c>
      <c r="B115" s="114" t="str" cm="1">
        <f t="array" ref="B115">IFERROR(INDEX('03.Muestra'!$C$8:$C$42,SMALL(IF("Página Web"='03.Muestra'!$D$8:$D$42,ROW('03.Muestra'!$C$8:$C$42)-MIN(ROW('03.Muestra'!$D$8:$D$42))+1,""),ROW()-94)),"")</f>
        <v>Home - PortCastelló</v>
      </c>
      <c r="C115" s="114" t="str" cm="1">
        <f t="array" ref="C115">IFERROR(INDEX('03.Muestra'!$F$8:$F$42,SMALL(IF("Página Web"='03.Muestra'!$D$8:$D$42,ROW('03.Muestra'!$F$8:$F$42)-MIN(ROW('03.Muestra'!$D$8:$D$42))+1,""),ROW()-94)),"")</f>
        <v>https://www.portcastello.com/</v>
      </c>
      <c r="D115" s="130" t="s">
        <v>33</v>
      </c>
      <c r="E115" s="107" t="str">
        <f t="shared" si="4"/>
        <v/>
      </c>
      <c r="F115" s="19"/>
      <c r="G115" s="19"/>
      <c r="H115" s="19"/>
      <c r="I115" s="19"/>
      <c r="J115" s="19"/>
      <c r="K115" s="233"/>
      <c r="L115" s="19"/>
      <c r="M115" s="19"/>
      <c r="N115" s="19"/>
      <c r="O115" s="19"/>
      <c r="P115" s="19"/>
      <c r="Q115" s="19"/>
      <c r="R115" s="19"/>
      <c r="S115" s="19"/>
      <c r="T115" s="19"/>
      <c r="U115" s="19"/>
      <c r="V115" s="19"/>
      <c r="W115" s="19"/>
      <c r="X115" s="19"/>
      <c r="Y115" s="19"/>
    </row>
    <row r="116" spans="1:25" ht="14.1" customHeight="1">
      <c r="A116" s="219" t="n" cm="1">
        <f t="array" ref="A116">IFERROR(INDEX('03.Muestra'!$B$8:$B$42,SMALL(IF("Página Web"='03.Muestra'!$D$8:$D$42,ROW('03.Muestra'!$B$8:$B$42)-MIN(ROW('03.Muestra'!$D$8:$D$42))+1,""),ROW()-94)),"")</f>
        <v>1.0</v>
      </c>
      <c r="B116" s="114" t="str" cm="1">
        <f t="array" ref="B116">IFERROR(INDEX('03.Muestra'!$C$8:$C$42,SMALL(IF("Página Web"='03.Muestra'!$D$8:$D$42,ROW('03.Muestra'!$C$8:$C$42)-MIN(ROW('03.Muestra'!$D$8:$D$42))+1,""),ROW()-94)),"")</f>
        <v>Home - PortCastelló</v>
      </c>
      <c r="C116" s="114" t="str" cm="1">
        <f t="array" ref="C116">IFERROR(INDEX('03.Muestra'!$F$8:$F$42,SMALL(IF("Página Web"='03.Muestra'!$D$8:$D$42,ROW('03.Muestra'!$F$8:$F$42)-MIN(ROW('03.Muestra'!$D$8:$D$42))+1,""),ROW()-94)),"")</f>
        <v>https://www.portcastello.com/</v>
      </c>
      <c r="D116" s="130" t="s">
        <v>33</v>
      </c>
      <c r="E116" s="107" t="str">
        <f t="shared" si="4"/>
        <v/>
      </c>
      <c r="F116" s="19"/>
      <c r="G116" s="19"/>
      <c r="H116" s="19"/>
      <c r="I116" s="19"/>
      <c r="J116" s="19"/>
      <c r="K116" s="233"/>
      <c r="L116" s="19"/>
      <c r="M116" s="19"/>
      <c r="N116" s="19"/>
      <c r="O116" s="19"/>
      <c r="P116" s="19"/>
      <c r="Q116" s="19"/>
      <c r="R116" s="19"/>
      <c r="S116" s="19"/>
      <c r="T116" s="19"/>
      <c r="U116" s="19"/>
      <c r="V116" s="19"/>
      <c r="W116" s="19"/>
      <c r="X116" s="19"/>
      <c r="Y116" s="19"/>
    </row>
    <row r="117" spans="1:25" ht="14.1" customHeight="1">
      <c r="A117" s="219" t="n" cm="1">
        <f t="array" ref="A117">IFERROR(INDEX('03.Muestra'!$B$8:$B$42,SMALL(IF("Página Web"='03.Muestra'!$D$8:$D$42,ROW('03.Muestra'!$B$8:$B$42)-MIN(ROW('03.Muestra'!$D$8:$D$42))+1,""),ROW()-94)),"")</f>
        <v>1.0</v>
      </c>
      <c r="B117" s="114" t="str" cm="1">
        <f t="array" ref="B117">IFERROR(INDEX('03.Muestra'!$C$8:$C$42,SMALL(IF("Página Web"='03.Muestra'!$D$8:$D$42,ROW('03.Muestra'!$C$8:$C$42)-MIN(ROW('03.Muestra'!$D$8:$D$42))+1,""),ROW()-94)),"")</f>
        <v>Home - PortCastelló</v>
      </c>
      <c r="C117" s="114" t="str" cm="1">
        <f t="array" ref="C117">IFERROR(INDEX('03.Muestra'!$F$8:$F$42,SMALL(IF("Página Web"='03.Muestra'!$D$8:$D$42,ROW('03.Muestra'!$F$8:$F$42)-MIN(ROW('03.Muestra'!$D$8:$D$42))+1,""),ROW()-94)),"")</f>
        <v>https://www.portcastello.com/</v>
      </c>
      <c r="D117" s="130" t="s">
        <v>33</v>
      </c>
      <c r="E117" s="107" t="str">
        <f t="shared" si="4"/>
        <v/>
      </c>
      <c r="F117" s="19"/>
      <c r="G117" s="19"/>
      <c r="H117" s="19"/>
      <c r="I117" s="19"/>
      <c r="J117" s="19"/>
      <c r="K117" s="233"/>
      <c r="L117" s="19"/>
      <c r="M117" s="19"/>
      <c r="N117" s="19"/>
      <c r="O117" s="19"/>
      <c r="P117" s="19"/>
      <c r="Q117" s="19"/>
      <c r="R117" s="19"/>
      <c r="S117" s="19"/>
      <c r="T117" s="19"/>
      <c r="U117" s="19"/>
      <c r="V117" s="19"/>
      <c r="W117" s="19"/>
      <c r="X117" s="19"/>
      <c r="Y117" s="19"/>
    </row>
    <row r="118" spans="1:25" ht="12" customHeight="1">
      <c r="A118" s="219" t="n" cm="1">
        <f t="array" ref="A118">IFERROR(INDEX('03.Muestra'!$B$8:$B$42,SMALL(IF("Página Web"='03.Muestra'!$D$8:$D$42,ROW('03.Muestra'!$B$8:$B$42)-MIN(ROW('03.Muestra'!$D$8:$D$42))+1,""),ROW()-94)),"")</f>
        <v>1.0</v>
      </c>
      <c r="B118" s="114" t="str" cm="1">
        <f t="array" ref="B118">IFERROR(INDEX('03.Muestra'!$C$8:$C$42,SMALL(IF("Página Web"='03.Muestra'!$D$8:$D$42,ROW('03.Muestra'!$C$8:$C$42)-MIN(ROW('03.Muestra'!$D$8:$D$42))+1,""),ROW()-94)),"")</f>
        <v>Home - PortCastelló</v>
      </c>
      <c r="C118" s="114" t="str" cm="1">
        <f t="array" ref="C118">IFERROR(INDEX('03.Muestra'!$F$8:$F$42,SMALL(IF("Página Web"='03.Muestra'!$D$8:$D$42,ROW('03.Muestra'!$F$8:$F$42)-MIN(ROW('03.Muestra'!$D$8:$D$42))+1,""),ROW()-94)),"")</f>
        <v>https://www.portcastello.com/</v>
      </c>
      <c r="D118" s="130" t="s">
        <v>33</v>
      </c>
      <c r="E118" s="107" t="str">
        <f t="shared" si="4"/>
        <v/>
      </c>
      <c r="F118" s="19"/>
      <c r="G118" s="19"/>
      <c r="H118" s="19"/>
      <c r="I118" s="19"/>
      <c r="J118" s="19"/>
      <c r="K118" s="233"/>
      <c r="L118" s="19"/>
      <c r="M118" s="19"/>
      <c r="N118" s="19"/>
      <c r="O118" s="19"/>
      <c r="P118" s="19"/>
      <c r="Q118" s="19"/>
      <c r="R118" s="19"/>
      <c r="S118" s="19"/>
      <c r="T118" s="19"/>
      <c r="U118" s="19"/>
      <c r="V118" s="19"/>
      <c r="W118" s="19"/>
      <c r="X118" s="19"/>
      <c r="Y118" s="19"/>
    </row>
    <row r="119" spans="1:25" ht="12" customHeight="1">
      <c r="A119" s="219" t="n" cm="1">
        <f t="array" ref="A119">IFERROR(INDEX('03.Muestra'!$B$8:$B$42,SMALL(IF("Página Web"='03.Muestra'!$D$8:$D$42,ROW('03.Muestra'!$B$8:$B$42)-MIN(ROW('03.Muestra'!$D$8:$D$42))+1,""),ROW()-94)),"")</f>
        <v>1.0</v>
      </c>
      <c r="B119" s="114" t="str" cm="1">
        <f t="array" ref="B119">IFERROR(INDEX('03.Muestra'!$C$8:$C$42,SMALL(IF("Página Web"='03.Muestra'!$D$8:$D$42,ROW('03.Muestra'!$C$8:$C$42)-MIN(ROW('03.Muestra'!$D$8:$D$42))+1,""),ROW()-94)),"")</f>
        <v>Home - PortCastelló</v>
      </c>
      <c r="C119" s="114" t="str" cm="1">
        <f t="array" ref="C119">IFERROR(INDEX('03.Muestra'!$F$8:$F$42,SMALL(IF("Página Web"='03.Muestra'!$D$8:$D$42,ROW('03.Muestra'!$F$8:$F$42)-MIN(ROW('03.Muestra'!$D$8:$D$42))+1,""),ROW()-94)),"")</f>
        <v>https://www.portcastello.com/</v>
      </c>
      <c r="D119" s="130" t="s">
        <v>33</v>
      </c>
      <c r="E119" s="107" t="str">
        <f t="shared" si="4"/>
        <v/>
      </c>
      <c r="F119" s="19"/>
      <c r="G119" s="19"/>
      <c r="H119" s="19"/>
      <c r="I119" s="19"/>
      <c r="J119" s="19"/>
      <c r="K119" s="233"/>
      <c r="L119" s="19"/>
      <c r="M119" s="19"/>
      <c r="N119" s="19"/>
      <c r="O119" s="19"/>
      <c r="P119" s="19"/>
      <c r="Q119" s="19"/>
      <c r="R119" s="19"/>
      <c r="S119" s="19"/>
      <c r="T119" s="19"/>
      <c r="U119" s="19"/>
      <c r="V119" s="19"/>
      <c r="W119" s="19"/>
      <c r="X119" s="19"/>
      <c r="Y119" s="19"/>
    </row>
    <row r="120" spans="1:25" ht="12" customHeight="1">
      <c r="A120" s="219" t="n" cm="1">
        <f t="array" ref="A120">IFERROR(INDEX('03.Muestra'!$B$8:$B$42,SMALL(IF("Página Web"='03.Muestra'!$D$8:$D$42,ROW('03.Muestra'!$B$8:$B$42)-MIN(ROW('03.Muestra'!$D$8:$D$42))+1,""),ROW()-94)),"")</f>
        <v>1.0</v>
      </c>
      <c r="B120" s="114" t="str" cm="1">
        <f t="array" ref="B120">IFERROR(INDEX('03.Muestra'!$C$8:$C$42,SMALL(IF("Página Web"='03.Muestra'!$D$8:$D$42,ROW('03.Muestra'!$C$8:$C$42)-MIN(ROW('03.Muestra'!$D$8:$D$42))+1,""),ROW()-94)),"")</f>
        <v>Home - PortCastelló</v>
      </c>
      <c r="C120" s="114" t="str" cm="1">
        <f t="array" ref="C120">IFERROR(INDEX('03.Muestra'!$F$8:$F$42,SMALL(IF("Página Web"='03.Muestra'!$D$8:$D$42,ROW('03.Muestra'!$F$8:$F$42)-MIN(ROW('03.Muestra'!$D$8:$D$42))+1,""),ROW()-94)),"")</f>
        <v>https://www.portcastello.com/</v>
      </c>
      <c r="D120" s="130" t="s">
        <v>33</v>
      </c>
      <c r="E120" s="107" t="str">
        <f t="shared" si="4"/>
        <v/>
      </c>
      <c r="F120" s="19"/>
      <c r="G120" s="19"/>
      <c r="H120" s="19"/>
      <c r="I120" s="19"/>
      <c r="J120" s="19"/>
      <c r="K120" s="233"/>
      <c r="L120" s="19"/>
      <c r="M120" s="19"/>
      <c r="N120" s="19"/>
      <c r="O120" s="19"/>
      <c r="P120" s="19"/>
      <c r="Q120" s="19"/>
      <c r="R120" s="19"/>
      <c r="S120" s="19"/>
      <c r="T120" s="19"/>
      <c r="U120" s="19"/>
      <c r="V120" s="19"/>
      <c r="W120" s="19"/>
      <c r="X120" s="19"/>
      <c r="Y120" s="19"/>
    </row>
    <row r="121" spans="1:25" ht="12" customHeight="1">
      <c r="A121" s="219" t="n" cm="1">
        <f t="array" ref="A121">IFERROR(INDEX('03.Muestra'!$B$8:$B$42,SMALL(IF("Página Web"='03.Muestra'!$D$8:$D$42,ROW('03.Muestra'!$B$8:$B$42)-MIN(ROW('03.Muestra'!$D$8:$D$42))+1,""),ROW()-94)),"")</f>
        <v>1.0</v>
      </c>
      <c r="B121" s="114" t="str" cm="1">
        <f t="array" ref="B121">IFERROR(INDEX('03.Muestra'!$C$8:$C$42,SMALL(IF("Página Web"='03.Muestra'!$D$8:$D$42,ROW('03.Muestra'!$C$8:$C$42)-MIN(ROW('03.Muestra'!$D$8:$D$42))+1,""),ROW()-94)),"")</f>
        <v>Home - PortCastelló</v>
      </c>
      <c r="C121" s="114" t="str" cm="1">
        <f t="array" ref="C121">IFERROR(INDEX('03.Muestra'!$F$8:$F$42,SMALL(IF("Página Web"='03.Muestra'!$D$8:$D$42,ROW('03.Muestra'!$F$8:$F$42)-MIN(ROW('03.Muestra'!$D$8:$D$42))+1,""),ROW()-94)),"")</f>
        <v>https://www.portcastello.com/</v>
      </c>
      <c r="D121" s="130" t="s">
        <v>33</v>
      </c>
      <c r="E121" s="107" t="str">
        <f t="shared" si="4"/>
        <v/>
      </c>
      <c r="F121" s="19"/>
      <c r="G121" s="19"/>
      <c r="H121" s="19"/>
      <c r="I121" s="19"/>
      <c r="J121" s="19"/>
      <c r="K121" s="233"/>
      <c r="L121" s="19"/>
      <c r="M121" s="19"/>
      <c r="N121" s="19"/>
      <c r="O121" s="19"/>
      <c r="P121" s="19"/>
      <c r="Q121" s="19"/>
      <c r="R121" s="19"/>
      <c r="S121" s="19"/>
      <c r="T121" s="19"/>
      <c r="U121" s="19"/>
      <c r="V121" s="19"/>
      <c r="W121" s="19"/>
      <c r="X121" s="19"/>
      <c r="Y121" s="19"/>
    </row>
    <row r="122" spans="1:25" ht="12" customHeight="1">
      <c r="A122" s="219" t="n" cm="1">
        <f t="array" ref="A122">IFERROR(INDEX('03.Muestra'!$B$8:$B$42,SMALL(IF("Página Web"='03.Muestra'!$D$8:$D$42,ROW('03.Muestra'!$B$8:$B$42)-MIN(ROW('03.Muestra'!$D$8:$D$42))+1,""),ROW()-94)),"")</f>
        <v>1.0</v>
      </c>
      <c r="B122" s="114" t="str" cm="1">
        <f t="array" ref="B122">IFERROR(INDEX('03.Muestra'!$C$8:$C$42,SMALL(IF("Página Web"='03.Muestra'!$D$8:$D$42,ROW('03.Muestra'!$C$8:$C$42)-MIN(ROW('03.Muestra'!$D$8:$D$42))+1,""),ROW()-94)),"")</f>
        <v>Home - PortCastelló</v>
      </c>
      <c r="C122" s="114" t="str" cm="1">
        <f t="array" ref="C122">IFERROR(INDEX('03.Muestra'!$F$8:$F$42,SMALL(IF("Página Web"='03.Muestra'!$D$8:$D$42,ROW('03.Muestra'!$F$8:$F$42)-MIN(ROW('03.Muestra'!$D$8:$D$42))+1,""),ROW()-94)),"")</f>
        <v>https://www.portcastello.com/</v>
      </c>
      <c r="D122" s="130" t="s">
        <v>33</v>
      </c>
      <c r="E122" s="107" t="str">
        <f t="shared" si="4"/>
        <v/>
      </c>
      <c r="G122" s="19"/>
      <c r="H122" s="19"/>
      <c r="I122" s="19"/>
      <c r="J122" s="19"/>
      <c r="K122" s="233"/>
      <c r="L122" s="19"/>
      <c r="M122" s="19"/>
      <c r="N122" s="19"/>
      <c r="O122" s="19"/>
      <c r="P122" s="19"/>
      <c r="Q122" s="19"/>
      <c r="R122" s="19"/>
      <c r="S122" s="19"/>
      <c r="T122" s="19"/>
      <c r="U122" s="19"/>
      <c r="V122" s="19"/>
      <c r="W122" s="19"/>
      <c r="X122" s="19"/>
      <c r="Y122" s="19"/>
    </row>
    <row r="123" spans="1:25" ht="12" customHeight="1">
      <c r="A123" s="219" t="n" cm="1">
        <f t="array" ref="A123">IFERROR(INDEX('03.Muestra'!$B$8:$B$42,SMALL(IF("Página Web"='03.Muestra'!$D$8:$D$42,ROW('03.Muestra'!$B$8:$B$42)-MIN(ROW('03.Muestra'!$D$8:$D$42))+1,""),ROW()-94)),"")</f>
        <v>1.0</v>
      </c>
      <c r="B123" s="114" t="str" cm="1">
        <f t="array" ref="B123">IFERROR(INDEX('03.Muestra'!$C$8:$C$42,SMALL(IF("Página Web"='03.Muestra'!$D$8:$D$42,ROW('03.Muestra'!$C$8:$C$42)-MIN(ROW('03.Muestra'!$D$8:$D$42))+1,""),ROW()-94)),"")</f>
        <v>Home - PortCastelló</v>
      </c>
      <c r="C123" s="114" t="str" cm="1">
        <f t="array" ref="C123">IFERROR(INDEX('03.Muestra'!$F$8:$F$42,SMALL(IF("Página Web"='03.Muestra'!$D$8:$D$42,ROW('03.Muestra'!$F$8:$F$42)-MIN(ROW('03.Muestra'!$D$8:$D$42))+1,""),ROW()-94)),"")</f>
        <v>https://www.portcastello.com/</v>
      </c>
      <c r="D123" s="130" t="s">
        <v>33</v>
      </c>
      <c r="E123" s="107" t="str">
        <f t="shared" si="4"/>
        <v/>
      </c>
      <c r="F123" s="124"/>
      <c r="G123" s="19"/>
      <c r="H123" s="19"/>
      <c r="I123" s="19"/>
      <c r="J123" s="19"/>
      <c r="K123" s="233"/>
      <c r="L123" s="19"/>
      <c r="M123" s="19"/>
      <c r="N123" s="19"/>
      <c r="O123" s="19"/>
      <c r="P123" s="19"/>
      <c r="Q123" s="19"/>
      <c r="R123" s="19"/>
      <c r="S123" s="19"/>
      <c r="T123" s="19"/>
      <c r="U123" s="19"/>
      <c r="V123" s="19"/>
      <c r="W123" s="19"/>
      <c r="X123" s="19"/>
      <c r="Y123" s="19"/>
    </row>
    <row r="124" spans="1:25" ht="12" customHeight="1">
      <c r="A124" s="219" t="n" cm="1">
        <f t="array" ref="A124">IFERROR(INDEX('03.Muestra'!$B$8:$B$42,SMALL(IF("Página Web"='03.Muestra'!$D$8:$D$42,ROW('03.Muestra'!$B$8:$B$42)-MIN(ROW('03.Muestra'!$D$8:$D$42))+1,""),ROW()-94)),"")</f>
        <v>1.0</v>
      </c>
      <c r="B124" s="114" t="str" cm="1">
        <f t="array" ref="B124">IFERROR(INDEX('03.Muestra'!$C$8:$C$42,SMALL(IF("Página Web"='03.Muestra'!$D$8:$D$42,ROW('03.Muestra'!$C$8:$C$42)-MIN(ROW('03.Muestra'!$D$8:$D$42))+1,""),ROW()-94)),"")</f>
        <v>Home - PortCastelló</v>
      </c>
      <c r="C124" s="114" t="str" cm="1">
        <f t="array" ref="C124">IFERROR(INDEX('03.Muestra'!$F$8:$F$42,SMALL(IF("Página Web"='03.Muestra'!$D$8:$D$42,ROW('03.Muestra'!$F$8:$F$42)-MIN(ROW('03.Muestra'!$D$8:$D$42))+1,""),ROW()-94)),"")</f>
        <v>https://www.portcastello.com/</v>
      </c>
      <c r="D124" s="130" t="s">
        <v>33</v>
      </c>
      <c r="E124" s="107" t="str">
        <f t="shared" si="4"/>
        <v/>
      </c>
      <c r="F124" s="124"/>
      <c r="G124" s="19"/>
      <c r="H124" s="19"/>
      <c r="I124" s="19"/>
      <c r="J124" s="19"/>
      <c r="K124" s="233"/>
      <c r="L124" s="19"/>
      <c r="M124" s="19"/>
      <c r="N124" s="19"/>
      <c r="O124" s="19"/>
      <c r="P124" s="19"/>
      <c r="Q124" s="19"/>
      <c r="R124" s="19"/>
      <c r="S124" s="19"/>
      <c r="T124" s="19"/>
      <c r="U124" s="19"/>
      <c r="V124" s="19"/>
      <c r="W124" s="19"/>
      <c r="X124" s="19"/>
      <c r="Y124" s="19"/>
    </row>
    <row r="125" spans="1:25" ht="12" customHeight="1">
      <c r="A125" s="219" t="n" cm="1">
        <f t="array" ref="A125">IFERROR(INDEX('03.Muestra'!$B$8:$B$42,SMALL(IF("Página Web"='03.Muestra'!$D$8:$D$42,ROW('03.Muestra'!$B$8:$B$42)-MIN(ROW('03.Muestra'!$D$8:$D$42))+1,""),ROW()-94)),"")</f>
        <v>1.0</v>
      </c>
      <c r="B125" s="114" t="str" cm="1">
        <f t="array" ref="B125">IFERROR(INDEX('03.Muestra'!$C$8:$C$42,SMALL(IF("Página Web"='03.Muestra'!$D$8:$D$42,ROW('03.Muestra'!$C$8:$C$42)-MIN(ROW('03.Muestra'!$D$8:$D$42))+1,""),ROW()-94)),"")</f>
        <v>Home - PortCastelló</v>
      </c>
      <c r="C125" s="114" t="str" cm="1">
        <f t="array" ref="C125">IFERROR(INDEX('03.Muestra'!$F$8:$F$42,SMALL(IF("Página Web"='03.Muestra'!$D$8:$D$42,ROW('03.Muestra'!$F$8:$F$42)-MIN(ROW('03.Muestra'!$D$8:$D$42))+1,""),ROW()-94)),"")</f>
        <v>https://www.portcastello.com/</v>
      </c>
      <c r="D125" s="130" t="s">
        <v>33</v>
      </c>
      <c r="E125" s="107" t="str">
        <f t="shared" si="4"/>
        <v/>
      </c>
      <c r="F125" s="124"/>
      <c r="G125" s="19"/>
      <c r="H125" s="19"/>
      <c r="I125" s="19"/>
      <c r="J125" s="19"/>
      <c r="K125" s="233"/>
      <c r="L125" s="19"/>
      <c r="M125" s="19"/>
      <c r="N125" s="19"/>
      <c r="O125" s="19"/>
      <c r="P125" s="19"/>
      <c r="Q125" s="19"/>
      <c r="R125" s="19"/>
      <c r="S125" s="19"/>
      <c r="T125" s="19"/>
      <c r="U125" s="19"/>
      <c r="V125" s="19"/>
      <c r="W125" s="19"/>
      <c r="X125" s="19"/>
      <c r="Y125" s="19"/>
    </row>
    <row r="126" spans="1:25" ht="12" customHeight="1">
      <c r="A126" s="219" t="n" cm="1">
        <f t="array" ref="A126">IFERROR(INDEX('03.Muestra'!$B$8:$B$42,SMALL(IF("Página Web"='03.Muestra'!$D$8:$D$42,ROW('03.Muestra'!$B$8:$B$42)-MIN(ROW('03.Muestra'!$D$8:$D$42))+1,""),ROW()-94)),"")</f>
        <v>1.0</v>
      </c>
      <c r="B126" s="114" t="str" cm="1">
        <f t="array" ref="B126">IFERROR(INDEX('03.Muestra'!$C$8:$C$42,SMALL(IF("Página Web"='03.Muestra'!$D$8:$D$42,ROW('03.Muestra'!$C$8:$C$42)-MIN(ROW('03.Muestra'!$D$8:$D$42))+1,""),ROW()-94)),"")</f>
        <v>Home - PortCastelló</v>
      </c>
      <c r="C126" s="114" t="str" cm="1">
        <f t="array" ref="C126">IFERROR(INDEX('03.Muestra'!$F$8:$F$42,SMALL(IF("Página Web"='03.Muestra'!$D$8:$D$42,ROW('03.Muestra'!$F$8:$F$42)-MIN(ROW('03.Muestra'!$D$8:$D$42))+1,""),ROW()-94)),"")</f>
        <v>https://www.portcastello.com/</v>
      </c>
      <c r="D126" s="130" t="s">
        <v>33</v>
      </c>
      <c r="E126" s="107" t="str">
        <f t="shared" si="4"/>
        <v/>
      </c>
      <c r="F126" s="124"/>
      <c r="G126" s="19"/>
      <c r="H126" s="19"/>
      <c r="I126" s="19"/>
      <c r="J126" s="19"/>
      <c r="K126" s="233"/>
      <c r="L126" s="19"/>
      <c r="M126" s="19"/>
      <c r="N126" s="19"/>
      <c r="O126" s="19"/>
      <c r="P126" s="19"/>
      <c r="Q126" s="19"/>
      <c r="R126" s="19"/>
      <c r="S126" s="19"/>
      <c r="T126" s="19"/>
      <c r="U126" s="19"/>
      <c r="V126" s="19"/>
      <c r="W126" s="19"/>
      <c r="X126" s="19"/>
      <c r="Y126" s="19"/>
    </row>
    <row r="127" spans="1:25" ht="12" customHeight="1">
      <c r="A127" s="219" t="n" cm="1">
        <f t="array" ref="A127">IFERROR(INDEX('03.Muestra'!$B$8:$B$42,SMALL(IF("Página Web"='03.Muestra'!$D$8:$D$42,ROW('03.Muestra'!$B$8:$B$42)-MIN(ROW('03.Muestra'!$D$8:$D$42))+1,""),ROW()-94)),"")</f>
        <v>1.0</v>
      </c>
      <c r="B127" s="114" t="str" cm="1">
        <f t="array" ref="B127">IFERROR(INDEX('03.Muestra'!$C$8:$C$42,SMALL(IF("Página Web"='03.Muestra'!$D$8:$D$42,ROW('03.Muestra'!$C$8:$C$42)-MIN(ROW('03.Muestra'!$D$8:$D$42))+1,""),ROW()-94)),"")</f>
        <v>Home - PortCastelló</v>
      </c>
      <c r="C127" s="114" t="str" cm="1">
        <f t="array" ref="C127">IFERROR(INDEX('03.Muestra'!$F$8:$F$42,SMALL(IF("Página Web"='03.Muestra'!$D$8:$D$42,ROW('03.Muestra'!$F$8:$F$42)-MIN(ROW('03.Muestra'!$D$8:$D$42))+1,""),ROW()-94)),"")</f>
        <v>https://www.portcastello.com/</v>
      </c>
      <c r="D127" s="130" t="s">
        <v>33</v>
      </c>
      <c r="E127" s="107" t="str">
        <f t="shared" si="4"/>
        <v/>
      </c>
      <c r="F127" s="124"/>
      <c r="G127" s="19"/>
      <c r="H127" s="19"/>
      <c r="I127" s="19"/>
      <c r="J127" s="19"/>
      <c r="K127" s="233"/>
      <c r="L127" s="19"/>
      <c r="M127" s="19"/>
      <c r="N127" s="19"/>
      <c r="O127" s="19"/>
      <c r="P127" s="19"/>
      <c r="Q127" s="19"/>
      <c r="R127" s="19"/>
      <c r="S127" s="19"/>
      <c r="T127" s="19"/>
      <c r="U127" s="19"/>
      <c r="V127" s="19"/>
      <c r="W127" s="19"/>
      <c r="X127" s="19"/>
      <c r="Y127" s="19"/>
    </row>
    <row r="128" spans="1:25" ht="12" customHeight="1">
      <c r="A128" s="219" t="str" cm="1">
        <f t="array" ref="A128">IFERROR(INDEX('03.Muestra'!$B$8:$B$42,SMALL(IF("Página Web"='03.Muestra'!$D$8:$D$42,ROW('03.Muestra'!$B$8:$B$42)-MIN(ROW('03.Muestra'!$D$8:$D$42))+1,""),ROW()-94)),"")</f>
        <v/>
      </c>
      <c r="B128" s="114" t="str" cm="1">
        <f t="array" ref="B128">IFERROR(INDEX('03.Muestra'!$C$8:$C$42,SMALL(IF("Página Web"='03.Muestra'!$D$8:$D$42,ROW('03.Muestra'!$C$8:$C$42)-MIN(ROW('03.Muestra'!$D$8:$D$42))+1,""),ROW()-94)),"")</f>
        <v/>
      </c>
      <c r="C128" s="114" t="str" cm="1">
        <f t="array" ref="C128">IFERROR(INDEX('03.Muestra'!$F$8:$F$42,SMALL(IF("Página Web"='03.Muestra'!$D$8:$D$42,ROW('03.Muestra'!$F$8:$F$42)-MIN(ROW('03.Muestra'!$D$8:$D$42))+1,""),ROW()-94)),"")</f>
        <v/>
      </c>
      <c r="D128" s="130" t="str">
        <f t="shared" si="5" ref="D128:D129">IF(AND(B128&lt;&gt;"",C128&lt;&gt;""),"N/T","")</f>
        <v/>
      </c>
      <c r="E128" s="107" t="str">
        <f t="shared" si="4"/>
        <v/>
      </c>
      <c r="F128" s="124"/>
      <c r="G128" s="19"/>
      <c r="H128" s="19"/>
      <c r="I128" s="19"/>
      <c r="J128" s="19"/>
      <c r="K128" s="233"/>
      <c r="L128" s="19"/>
      <c r="M128" s="19"/>
      <c r="N128" s="19"/>
      <c r="O128" s="19"/>
      <c r="P128" s="19"/>
      <c r="Q128" s="19"/>
      <c r="R128" s="19"/>
      <c r="S128" s="19"/>
      <c r="T128" s="19"/>
      <c r="U128" s="19"/>
      <c r="V128" s="19"/>
      <c r="W128" s="19"/>
      <c r="X128" s="19"/>
      <c r="Y128" s="19"/>
    </row>
    <row r="129" spans="1:25" ht="12" customHeight="1">
      <c r="A129" s="219" t="str" cm="1">
        <f t="array" ref="A129">IFERROR(INDEX('03.Muestra'!$B$8:$B$42,SMALL(IF("Página Web"='03.Muestra'!$D$8:$D$42,ROW('03.Muestra'!$B$8:$B$42)-MIN(ROW('03.Muestra'!$D$8:$D$42))+1,""),ROW()-94)),"")</f>
        <v/>
      </c>
      <c r="B129" s="114" t="str" cm="1">
        <f t="array" ref="B129">IFERROR(INDEX('03.Muestra'!$C$8:$C$42,SMALL(IF("Página Web"='03.Muestra'!$D$8:$D$42,ROW('03.Muestra'!$C$8:$C$42)-MIN(ROW('03.Muestra'!$D$8:$D$42))+1,""),ROW()-94)),"")</f>
        <v/>
      </c>
      <c r="C129" s="114" t="str" cm="1">
        <f t="array" ref="C129">IFERROR(INDEX('03.Muestra'!$F$8:$F$42,SMALL(IF("Página Web"='03.Muestra'!$D$8:$D$42,ROW('03.Muestra'!$F$8:$F$42)-MIN(ROW('03.Muestra'!$D$8:$D$42))+1,""),ROW()-94)),"")</f>
        <v/>
      </c>
      <c r="D129" s="130" t="str">
        <f t="shared" si="5"/>
        <v/>
      </c>
      <c r="E129" s="107" t="str">
        <f t="shared" si="4"/>
        <v/>
      </c>
      <c r="F129" s="19"/>
      <c r="G129" s="19"/>
      <c r="H129" s="19"/>
      <c r="I129" s="19"/>
      <c r="J129" s="19"/>
      <c r="K129" s="233"/>
      <c r="L129" s="19"/>
      <c r="M129" s="19"/>
      <c r="N129" s="19"/>
      <c r="O129" s="19"/>
      <c r="P129" s="19"/>
      <c r="Q129" s="19"/>
      <c r="R129" s="19"/>
      <c r="S129" s="19"/>
      <c r="T129" s="19"/>
      <c r="U129" s="19"/>
      <c r="V129" s="19"/>
      <c r="W129" s="19"/>
      <c r="X129" s="19"/>
      <c r="Y129" s="19"/>
    </row>
    <row r="130" spans="1:25" ht="12" customHeight="1">
      <c r="B130" s="19"/>
      <c r="C130" s="19"/>
      <c r="D130" s="107"/>
      <c r="E130" s="107"/>
      <c r="F130" s="19"/>
      <c r="G130" s="19"/>
      <c r="H130" s="19"/>
      <c r="I130" s="19"/>
      <c r="J130" s="19"/>
      <c r="K130" s="233"/>
      <c r="L130" s="19"/>
      <c r="M130" s="19"/>
      <c r="N130" s="19"/>
      <c r="O130" s="19"/>
      <c r="P130" s="19"/>
      <c r="Q130" s="19"/>
      <c r="R130" s="19"/>
      <c r="S130" s="19"/>
      <c r="T130" s="19"/>
      <c r="U130" s="19"/>
      <c r="V130" s="19"/>
      <c r="W130" s="19"/>
      <c r="X130" s="19"/>
      <c r="Y130" s="19"/>
    </row>
    <row r="131" spans="1:25" ht="12" customHeight="1">
      <c r="B131" s="19"/>
      <c r="C131" s="19"/>
      <c r="D131" s="107"/>
      <c r="E131" s="112"/>
      <c r="F131" s="19"/>
      <c r="G131" s="19"/>
      <c r="H131" s="19"/>
      <c r="I131" s="19"/>
      <c r="J131" s="19"/>
      <c r="K131" s="233"/>
      <c r="L131" s="19"/>
      <c r="M131" s="19"/>
      <c r="N131" s="19"/>
      <c r="O131" s="19"/>
      <c r="P131" s="19"/>
      <c r="Q131" s="19"/>
      <c r="R131" s="19"/>
      <c r="S131" s="19"/>
      <c r="T131" s="19"/>
      <c r="U131" s="19"/>
      <c r="V131" s="19"/>
      <c r="W131" s="19"/>
      <c r="X131" s="19"/>
      <c r="Y131" s="19"/>
    </row>
    <row r="132" spans="1:25" ht="29.25" customHeight="1">
      <c r="A132" s="218" t="s">
        <v>268</v>
      </c>
      <c r="B132" s="24" t="s">
        <v>90</v>
      </c>
      <c r="C132" s="25" t="s">
        <v>95</v>
      </c>
      <c r="D132" s="26" t="s">
        <v>32</v>
      </c>
      <c r="E132" s="123"/>
      <c r="K132" s="233"/>
      <c r="L132" s="19"/>
      <c r="M132" s="19"/>
      <c r="N132" s="19"/>
      <c r="O132" s="19"/>
      <c r="P132" s="19"/>
      <c r="Q132" s="19"/>
      <c r="R132" s="19"/>
      <c r="S132" s="19"/>
      <c r="T132" s="19"/>
      <c r="U132" s="19"/>
      <c r="V132" s="19"/>
      <c r="W132" s="19"/>
      <c r="X132" s="19"/>
      <c r="Y132" s="19"/>
    </row>
    <row r="133" spans="1:25" ht="12" customHeight="1">
      <c r="A133" s="219" t="n" cm="1">
        <f t="array" ref="A133">IFERROR(INDEX('03.Muestra'!$B$8:$B$42,SMALL(IF("Página Web"='03.Muestra'!$D$8:$D$42,ROW('03.Muestra'!$B$8:$B$42)-MIN(ROW('03.Muestra'!$D$8:$D$42))+1,""),ROW()-132)),"")</f>
        <v>1.0</v>
      </c>
      <c r="B133" s="114" t="str" cm="1">
        <f t="array" ref="B133">IFERROR(INDEX('03.Muestra'!$C$8:$C$42,SMALL(IF("Página Web"='03.Muestra'!$D$8:$D$42,ROW('03.Muestra'!$C$8:$C$42)-MIN(ROW('03.Muestra'!$D$8:$D$42))+1,""),ROW()-132)),"")</f>
        <v>Home - PortCastelló</v>
      </c>
      <c r="C133" s="114" t="str" cm="1">
        <f t="array" ref="C133">IFERROR(INDEX('03.Muestra'!$F$8:$F$42,SMALL(IF("Página Web"='03.Muestra'!$D$8:$D$42,ROW('03.Muestra'!$F$8:$F$42)-MIN(ROW('03.Muestra'!$D$8:$D$42))+1,""),ROW()-132)),"")</f>
        <v>https://www.portcastello.com/</v>
      </c>
      <c r="D133" s="130" t="s">
        <v>33</v>
      </c>
      <c r="E133" s="107" t="str">
        <f t="shared" ref="E133:E167" si="6">IF(D133&lt;&gt;"",IF(AND(B133&lt;&gt;"",C133&lt;&gt;""),"","ERR"),"")</f>
        <v/>
      </c>
      <c r="F133" s="115" t="s">
        <v>33</v>
      </c>
      <c r="G133" s="116" t="s">
        <v>37</v>
      </c>
      <c r="H133" s="117" t="s">
        <v>35</v>
      </c>
      <c r="I133" s="118" t="s">
        <v>28</v>
      </c>
      <c r="J133" s="119" t="s">
        <v>26</v>
      </c>
      <c r="K133" s="226" t="s">
        <v>474</v>
      </c>
      <c r="L133" s="19"/>
      <c r="M133" s="19"/>
      <c r="N133" s="19"/>
      <c r="O133" s="19"/>
      <c r="P133" s="19"/>
      <c r="Q133" s="19"/>
      <c r="R133" s="19"/>
      <c r="S133" s="19"/>
      <c r="T133" s="19"/>
      <c r="U133" s="19"/>
      <c r="V133" s="19"/>
      <c r="W133" s="19"/>
      <c r="X133" s="19"/>
      <c r="Y133" s="19"/>
    </row>
    <row r="134" spans="1:25" ht="12" customHeight="1">
      <c r="A134" s="219" t="n" cm="1">
        <f t="array" ref="A134">IFERROR(INDEX('03.Muestra'!$B$8:$B$42,SMALL(IF("Página Web"='03.Muestra'!$D$8:$D$42,ROW('03.Muestra'!$B$8:$B$42)-MIN(ROW('03.Muestra'!$D$8:$D$42))+1,""),ROW()-132)),"")</f>
        <v>1.0</v>
      </c>
      <c r="B134" s="114" t="str" cm="1">
        <f t="array" ref="B134">IFERROR(INDEX('03.Muestra'!$C$8:$C$42,SMALL(IF("Página Web"='03.Muestra'!$D$8:$D$42,ROW('03.Muestra'!$C$8:$C$42)-MIN(ROW('03.Muestra'!$D$8:$D$42))+1,""),ROW()-132)),"")</f>
        <v>Home - PortCastelló</v>
      </c>
      <c r="C134" s="114" t="str" cm="1">
        <f t="array" ref="C134">IFERROR(INDEX('03.Muestra'!$F$8:$F$42,SMALL(IF("Página Web"='03.Muestra'!$D$8:$D$42,ROW('03.Muestra'!$F$8:$F$42)-MIN(ROW('03.Muestra'!$D$8:$D$42))+1,""),ROW()-132)),"")</f>
        <v>https://www.portcastello.com/</v>
      </c>
      <c r="D134" s="130" t="s">
        <v>33</v>
      </c>
      <c r="E134" s="107" t="str">
        <f t="shared" si="6"/>
        <v/>
      </c>
      <c r="F134" s="120" t="n">
        <f ca="1">COUNTIF($D133:INDIRECT("$D" &amp;  SUM(ROW()-1,'03.Muestra'!$D$45)-1),F133)</f>
        <v>33.0</v>
      </c>
      <c r="G134" s="120" t="n">
        <f ca="1">COUNTIF($D133:INDIRECT("$D" &amp;  SUM(ROW()-1,'03.Muestra'!$D$45)-1),G133)</f>
        <v>0.0</v>
      </c>
      <c r="H134" s="120" t="n">
        <f ca="1">COUNTIF($D133:INDIRECT("$D" &amp;  SUM(ROW()-1,'03.Muestra'!$D$45)-1),H133)</f>
        <v>0.0</v>
      </c>
      <c r="I134" s="120" t="n">
        <f ca="1">COUNTIF($D133:INDIRECT("$D" &amp;  SUM(ROW()-1,'03.Muestra'!$D$45)-1),I133)</f>
        <v>0.0</v>
      </c>
      <c r="J134" s="120" t="n">
        <f ca="1">COUNTIF($D133:INDIRECT("$D" &amp;  SUM(ROW()-1,'03.Muestra'!$D$45)-1),J133)</f>
        <v>0.0</v>
      </c>
      <c r="K134" s="227" t="n">
        <f ca="1">IF(COUNTIF('03.Muestra'!$D$8:$D$42,"Página Web")=0,0,COUNTBLANK($D133:INDIRECT("$D" &amp;  SUM(ROW()-1,COUNTIF('03.Muestra'!$D$8:$D$42,"Página Web"))-1)))</f>
        <v>0.0</v>
      </c>
      <c r="L134" s="19"/>
      <c r="M134" s="19"/>
      <c r="N134" s="19"/>
      <c r="O134" s="19"/>
      <c r="P134" s="19"/>
      <c r="Q134" s="19"/>
      <c r="R134" s="19"/>
      <c r="S134" s="19"/>
      <c r="T134" s="19"/>
      <c r="U134" s="19"/>
      <c r="V134" s="19"/>
      <c r="W134" s="19"/>
      <c r="X134" s="19"/>
      <c r="Y134" s="19"/>
    </row>
    <row r="135" spans="1:25" ht="12" customHeight="1">
      <c r="A135" s="219" t="n" cm="1">
        <f t="array" ref="A135">IFERROR(INDEX('03.Muestra'!$B$8:$B$42,SMALL(IF("Página Web"='03.Muestra'!$D$8:$D$42,ROW('03.Muestra'!$B$8:$B$42)-MIN(ROW('03.Muestra'!$D$8:$D$42))+1,""),ROW()-132)),"")</f>
        <v>1.0</v>
      </c>
      <c r="B135" s="114" t="str" cm="1">
        <f t="array" ref="B135">IFERROR(INDEX('03.Muestra'!$C$8:$C$42,SMALL(IF("Página Web"='03.Muestra'!$D$8:$D$42,ROW('03.Muestra'!$C$8:$C$42)-MIN(ROW('03.Muestra'!$D$8:$D$42))+1,""),ROW()-132)),"")</f>
        <v>Home - PortCastelló</v>
      </c>
      <c r="C135" s="114" t="str" cm="1">
        <f t="array" ref="C135">IFERROR(INDEX('03.Muestra'!$F$8:$F$42,SMALL(IF("Página Web"='03.Muestra'!$D$8:$D$42,ROW('03.Muestra'!$F$8:$F$42)-MIN(ROW('03.Muestra'!$D$8:$D$42))+1,""),ROW()-132)),"")</f>
        <v>https://www.portcastello.com/</v>
      </c>
      <c r="D135" s="130" t="s">
        <v>33</v>
      </c>
      <c r="E135" s="107" t="str">
        <f t="shared" si="6"/>
        <v/>
      </c>
      <c r="G135" s="19"/>
      <c r="H135" s="19"/>
      <c r="I135" s="19"/>
      <c r="J135" s="19"/>
      <c r="K135" s="233"/>
      <c r="L135" s="19"/>
      <c r="M135" s="19"/>
      <c r="N135" s="19"/>
      <c r="O135" s="19"/>
      <c r="P135" s="19"/>
      <c r="Q135" s="19"/>
      <c r="R135" s="19"/>
      <c r="S135" s="19"/>
      <c r="T135" s="19"/>
      <c r="U135" s="19"/>
      <c r="V135" s="19"/>
      <c r="W135" s="19"/>
      <c r="X135" s="19"/>
      <c r="Y135" s="19"/>
    </row>
    <row r="136" spans="1:25" ht="12" customHeight="1">
      <c r="A136" s="219" t="n" cm="1">
        <f t="array" ref="A136">IFERROR(INDEX('03.Muestra'!$B$8:$B$42,SMALL(IF("Página Web"='03.Muestra'!$D$8:$D$42,ROW('03.Muestra'!$B$8:$B$42)-MIN(ROW('03.Muestra'!$D$8:$D$42))+1,""),ROW()-132)),"")</f>
        <v>1.0</v>
      </c>
      <c r="B136" s="114" t="str" cm="1">
        <f t="array" ref="B136">IFERROR(INDEX('03.Muestra'!$C$8:$C$42,SMALL(IF("Página Web"='03.Muestra'!$D$8:$D$42,ROW('03.Muestra'!$C$8:$C$42)-MIN(ROW('03.Muestra'!$D$8:$D$42))+1,""),ROW()-132)),"")</f>
        <v>Home - PortCastelló</v>
      </c>
      <c r="C136" s="114" t="str" cm="1">
        <f t="array" ref="C136">IFERROR(INDEX('03.Muestra'!$F$8:$F$42,SMALL(IF("Página Web"='03.Muestra'!$D$8:$D$42,ROW('03.Muestra'!$F$8:$F$42)-MIN(ROW('03.Muestra'!$D$8:$D$42))+1,""),ROW()-132)),"")</f>
        <v>https://www.portcastello.com/</v>
      </c>
      <c r="D136" s="130" t="s">
        <v>33</v>
      </c>
      <c r="E136" s="107" t="str">
        <f t="shared" si="6"/>
        <v/>
      </c>
      <c r="G136" s="19"/>
      <c r="H136" s="19"/>
      <c r="I136" s="19"/>
      <c r="J136" s="19"/>
      <c r="K136" s="233"/>
      <c r="L136" s="19"/>
      <c r="M136" s="19"/>
      <c r="N136" s="19"/>
      <c r="O136" s="19"/>
      <c r="P136" s="19"/>
      <c r="Q136" s="19"/>
      <c r="R136" s="19"/>
      <c r="S136" s="19"/>
      <c r="T136" s="19"/>
      <c r="U136" s="19"/>
      <c r="V136" s="19"/>
      <c r="W136" s="19"/>
      <c r="X136" s="19"/>
      <c r="Y136" s="19"/>
    </row>
    <row r="137" spans="1:25" ht="12" customHeight="1">
      <c r="A137" s="219" t="n" cm="1">
        <f t="array" ref="A137">IFERROR(INDEX('03.Muestra'!$B$8:$B$42,SMALL(IF("Página Web"='03.Muestra'!$D$8:$D$42,ROW('03.Muestra'!$B$8:$B$42)-MIN(ROW('03.Muestra'!$D$8:$D$42))+1,""),ROW()-132)),"")</f>
        <v>1.0</v>
      </c>
      <c r="B137" s="114" t="str" cm="1">
        <f t="array" ref="B137">IFERROR(INDEX('03.Muestra'!$C$8:$C$42,SMALL(IF("Página Web"='03.Muestra'!$D$8:$D$42,ROW('03.Muestra'!$C$8:$C$42)-MIN(ROW('03.Muestra'!$D$8:$D$42))+1,""),ROW()-132)),"")</f>
        <v>Home - PortCastelló</v>
      </c>
      <c r="C137" s="114" t="str" cm="1">
        <f t="array" ref="C137">IFERROR(INDEX('03.Muestra'!$F$8:$F$42,SMALL(IF("Página Web"='03.Muestra'!$D$8:$D$42,ROW('03.Muestra'!$F$8:$F$42)-MIN(ROW('03.Muestra'!$D$8:$D$42))+1,""),ROW()-132)),"")</f>
        <v>https://www.portcastello.com/</v>
      </c>
      <c r="D137" s="130" t="s">
        <v>33</v>
      </c>
      <c r="E137" s="107" t="str">
        <f t="shared" si="6"/>
        <v/>
      </c>
      <c r="G137" s="19"/>
      <c r="H137" s="19"/>
      <c r="I137" s="19"/>
      <c r="J137" s="19"/>
      <c r="K137" s="233"/>
      <c r="L137" s="19"/>
      <c r="M137" s="19"/>
      <c r="N137" s="19"/>
      <c r="O137" s="19"/>
      <c r="P137" s="19"/>
      <c r="Q137" s="19"/>
      <c r="R137" s="19"/>
      <c r="S137" s="19"/>
      <c r="T137" s="19"/>
      <c r="U137" s="19"/>
      <c r="V137" s="19"/>
      <c r="W137" s="19"/>
      <c r="X137" s="19"/>
      <c r="Y137" s="19"/>
    </row>
    <row r="138" spans="1:25" ht="12" customHeight="1">
      <c r="A138" s="219" t="n" cm="1">
        <f t="array" ref="A138">IFERROR(INDEX('03.Muestra'!$B$8:$B$42,SMALL(IF("Página Web"='03.Muestra'!$D$8:$D$42,ROW('03.Muestra'!$B$8:$B$42)-MIN(ROW('03.Muestra'!$D$8:$D$42))+1,""),ROW()-132)),"")</f>
        <v>1.0</v>
      </c>
      <c r="B138" s="114" t="str" cm="1">
        <f t="array" ref="B138">IFERROR(INDEX('03.Muestra'!$C$8:$C$42,SMALL(IF("Página Web"='03.Muestra'!$D$8:$D$42,ROW('03.Muestra'!$C$8:$C$42)-MIN(ROW('03.Muestra'!$D$8:$D$42))+1,""),ROW()-132)),"")</f>
        <v>Home - PortCastelló</v>
      </c>
      <c r="C138" s="114" t="str" cm="1">
        <f t="array" ref="C138">IFERROR(INDEX('03.Muestra'!$F$8:$F$42,SMALL(IF("Página Web"='03.Muestra'!$D$8:$D$42,ROW('03.Muestra'!$F$8:$F$42)-MIN(ROW('03.Muestra'!$D$8:$D$42))+1,""),ROW()-132)),"")</f>
        <v>https://www.portcastello.com/</v>
      </c>
      <c r="D138" s="130" t="s">
        <v>33</v>
      </c>
      <c r="E138" s="107" t="str">
        <f t="shared" si="6"/>
        <v/>
      </c>
      <c r="G138" s="19"/>
      <c r="H138" s="19"/>
      <c r="I138" s="19"/>
      <c r="J138" s="19"/>
      <c r="K138" s="233"/>
      <c r="L138" s="19"/>
      <c r="M138" s="19"/>
      <c r="N138" s="19"/>
      <c r="O138" s="19"/>
      <c r="P138" s="19"/>
      <c r="Q138" s="19"/>
      <c r="R138" s="19"/>
      <c r="S138" s="19"/>
      <c r="T138" s="19"/>
      <c r="U138" s="19"/>
      <c r="V138" s="19"/>
      <c r="W138" s="19"/>
      <c r="X138" s="19"/>
      <c r="Y138" s="19"/>
    </row>
    <row r="139" spans="1:25" ht="12" customHeight="1">
      <c r="A139" s="219" t="n" cm="1">
        <f t="array" ref="A139">IFERROR(INDEX('03.Muestra'!$B$8:$B$42,SMALL(IF("Página Web"='03.Muestra'!$D$8:$D$42,ROW('03.Muestra'!$B$8:$B$42)-MIN(ROW('03.Muestra'!$D$8:$D$42))+1,""),ROW()-132)),"")</f>
        <v>1.0</v>
      </c>
      <c r="B139" s="114" t="str" cm="1">
        <f t="array" ref="B139">IFERROR(INDEX('03.Muestra'!$C$8:$C$42,SMALL(IF("Página Web"='03.Muestra'!$D$8:$D$42,ROW('03.Muestra'!$C$8:$C$42)-MIN(ROW('03.Muestra'!$D$8:$D$42))+1,""),ROW()-132)),"")</f>
        <v>Home - PortCastelló</v>
      </c>
      <c r="C139" s="114" t="str" cm="1">
        <f t="array" ref="C139">IFERROR(INDEX('03.Muestra'!$F$8:$F$42,SMALL(IF("Página Web"='03.Muestra'!$D$8:$D$42,ROW('03.Muestra'!$F$8:$F$42)-MIN(ROW('03.Muestra'!$D$8:$D$42))+1,""),ROW()-132)),"")</f>
        <v>https://www.portcastello.com/</v>
      </c>
      <c r="D139" s="130" t="s">
        <v>33</v>
      </c>
      <c r="E139" s="107" t="str">
        <f t="shared" si="6"/>
        <v/>
      </c>
      <c r="F139" s="19"/>
      <c r="G139" s="19"/>
      <c r="H139" s="19"/>
      <c r="I139" s="19"/>
      <c r="J139" s="19"/>
      <c r="K139" s="233"/>
      <c r="L139" s="19"/>
      <c r="M139" s="19"/>
      <c r="N139" s="19"/>
      <c r="O139" s="19"/>
      <c r="P139" s="19"/>
      <c r="Q139" s="19"/>
      <c r="R139" s="19"/>
      <c r="S139" s="19"/>
      <c r="T139" s="19"/>
      <c r="U139" s="19"/>
      <c r="V139" s="19"/>
      <c r="W139" s="19"/>
      <c r="X139" s="19"/>
      <c r="Y139" s="19"/>
    </row>
    <row r="140" spans="1:25" ht="12" customHeight="1">
      <c r="A140" s="219" t="n" cm="1">
        <f t="array" ref="A140">IFERROR(INDEX('03.Muestra'!$B$8:$B$42,SMALL(IF("Página Web"='03.Muestra'!$D$8:$D$42,ROW('03.Muestra'!$B$8:$B$42)-MIN(ROW('03.Muestra'!$D$8:$D$42))+1,""),ROW()-132)),"")</f>
        <v>1.0</v>
      </c>
      <c r="B140" s="114" t="str" cm="1">
        <f t="array" ref="B140">IFERROR(INDEX('03.Muestra'!$C$8:$C$42,SMALL(IF("Página Web"='03.Muestra'!$D$8:$D$42,ROW('03.Muestra'!$C$8:$C$42)-MIN(ROW('03.Muestra'!$D$8:$D$42))+1,""),ROW()-132)),"")</f>
        <v>Home - PortCastelló</v>
      </c>
      <c r="C140" s="114" t="str" cm="1">
        <f t="array" ref="C140">IFERROR(INDEX('03.Muestra'!$F$8:$F$42,SMALL(IF("Página Web"='03.Muestra'!$D$8:$D$42,ROW('03.Muestra'!$F$8:$F$42)-MIN(ROW('03.Muestra'!$D$8:$D$42))+1,""),ROW()-132)),"")</f>
        <v>https://www.portcastello.com/</v>
      </c>
      <c r="D140" s="130" t="s">
        <v>33</v>
      </c>
      <c r="E140" s="107" t="str">
        <f t="shared" si="6"/>
        <v/>
      </c>
      <c r="F140" s="19"/>
      <c r="G140" s="19"/>
      <c r="H140" s="19"/>
      <c r="I140" s="19"/>
      <c r="J140" s="19"/>
      <c r="K140" s="233"/>
      <c r="L140" s="19"/>
      <c r="M140" s="19"/>
      <c r="N140" s="19"/>
      <c r="O140" s="19"/>
      <c r="P140" s="19"/>
      <c r="Q140" s="19"/>
      <c r="R140" s="19"/>
      <c r="S140" s="19"/>
      <c r="T140" s="19"/>
      <c r="U140" s="19"/>
      <c r="V140" s="19"/>
      <c r="W140" s="19"/>
      <c r="X140" s="19"/>
      <c r="Y140" s="19"/>
    </row>
    <row r="141" spans="1:25" ht="12" customHeight="1">
      <c r="A141" s="219" t="n" cm="1">
        <f t="array" ref="A141">IFERROR(INDEX('03.Muestra'!$B$8:$B$42,SMALL(IF("Página Web"='03.Muestra'!$D$8:$D$42,ROW('03.Muestra'!$B$8:$B$42)-MIN(ROW('03.Muestra'!$D$8:$D$42))+1,""),ROW()-132)),"")</f>
        <v>1.0</v>
      </c>
      <c r="B141" s="114" t="str" cm="1">
        <f t="array" ref="B141">IFERROR(INDEX('03.Muestra'!$C$8:$C$42,SMALL(IF("Página Web"='03.Muestra'!$D$8:$D$42,ROW('03.Muestra'!$C$8:$C$42)-MIN(ROW('03.Muestra'!$D$8:$D$42))+1,""),ROW()-132)),"")</f>
        <v>Home - PortCastelló</v>
      </c>
      <c r="C141" s="114" t="str" cm="1">
        <f t="array" ref="C141">IFERROR(INDEX('03.Muestra'!$F$8:$F$42,SMALL(IF("Página Web"='03.Muestra'!$D$8:$D$42,ROW('03.Muestra'!$F$8:$F$42)-MIN(ROW('03.Muestra'!$D$8:$D$42))+1,""),ROW()-132)),"")</f>
        <v>https://www.portcastello.com/</v>
      </c>
      <c r="D141" s="130" t="s">
        <v>33</v>
      </c>
      <c r="E141" s="107" t="str">
        <f t="shared" si="6"/>
        <v/>
      </c>
      <c r="F141" s="19"/>
      <c r="G141" s="19"/>
      <c r="H141" s="19"/>
      <c r="I141" s="19"/>
      <c r="J141" s="19"/>
      <c r="K141" s="233"/>
      <c r="L141" s="19"/>
      <c r="M141" s="19"/>
      <c r="N141" s="19"/>
      <c r="O141" s="19"/>
      <c r="P141" s="19"/>
      <c r="Q141" s="19"/>
      <c r="R141" s="19"/>
      <c r="S141" s="19"/>
      <c r="T141" s="19"/>
      <c r="U141" s="19"/>
      <c r="V141" s="19"/>
      <c r="W141" s="19"/>
      <c r="X141" s="19"/>
      <c r="Y141" s="19"/>
    </row>
    <row r="142" spans="1:25" ht="12" customHeight="1">
      <c r="A142" s="219" t="n" cm="1">
        <f t="array" ref="A142">IFERROR(INDEX('03.Muestra'!$B$8:$B$42,SMALL(IF("Página Web"='03.Muestra'!$D$8:$D$42,ROW('03.Muestra'!$B$8:$B$42)-MIN(ROW('03.Muestra'!$D$8:$D$42))+1,""),ROW()-132)),"")</f>
        <v>1.0</v>
      </c>
      <c r="B142" s="114" t="str" cm="1">
        <f t="array" ref="B142">IFERROR(INDEX('03.Muestra'!$C$8:$C$42,SMALL(IF("Página Web"='03.Muestra'!$D$8:$D$42,ROW('03.Muestra'!$C$8:$C$42)-MIN(ROW('03.Muestra'!$D$8:$D$42))+1,""),ROW()-132)),"")</f>
        <v>Home - PortCastelló</v>
      </c>
      <c r="C142" s="114" t="str" cm="1">
        <f t="array" ref="C142">IFERROR(INDEX('03.Muestra'!$F$8:$F$42,SMALL(IF("Página Web"='03.Muestra'!$D$8:$D$42,ROW('03.Muestra'!$F$8:$F$42)-MIN(ROW('03.Muestra'!$D$8:$D$42))+1,""),ROW()-132)),"")</f>
        <v>https://www.portcastello.com/</v>
      </c>
      <c r="D142" s="130" t="s">
        <v>33</v>
      </c>
      <c r="E142" s="107" t="str">
        <f t="shared" si="6"/>
        <v/>
      </c>
      <c r="F142" s="19"/>
      <c r="G142" s="19"/>
      <c r="H142" s="19"/>
      <c r="I142" s="19"/>
      <c r="J142" s="19"/>
      <c r="K142" s="233"/>
      <c r="L142" s="19"/>
      <c r="M142" s="19"/>
      <c r="N142" s="19"/>
      <c r="O142" s="19"/>
      <c r="P142" s="19"/>
      <c r="Q142" s="19"/>
      <c r="R142" s="19"/>
      <c r="S142" s="19"/>
      <c r="T142" s="19"/>
      <c r="U142" s="19"/>
      <c r="V142" s="19"/>
      <c r="W142" s="19"/>
      <c r="X142" s="19"/>
      <c r="Y142" s="19"/>
    </row>
    <row r="143" spans="1:25" ht="12" customHeight="1">
      <c r="A143" s="219" t="n" cm="1">
        <f t="array" ref="A143">IFERROR(INDEX('03.Muestra'!$B$8:$B$42,SMALL(IF("Página Web"='03.Muestra'!$D$8:$D$42,ROW('03.Muestra'!$B$8:$B$42)-MIN(ROW('03.Muestra'!$D$8:$D$42))+1,""),ROW()-132)),"")</f>
        <v>1.0</v>
      </c>
      <c r="B143" s="114" t="str" cm="1">
        <f t="array" ref="B143">IFERROR(INDEX('03.Muestra'!$C$8:$C$42,SMALL(IF("Página Web"='03.Muestra'!$D$8:$D$42,ROW('03.Muestra'!$C$8:$C$42)-MIN(ROW('03.Muestra'!$D$8:$D$42))+1,""),ROW()-132)),"")</f>
        <v>Home - PortCastelló</v>
      </c>
      <c r="C143" s="114" t="str" cm="1">
        <f t="array" ref="C143">IFERROR(INDEX('03.Muestra'!$F$8:$F$42,SMALL(IF("Página Web"='03.Muestra'!$D$8:$D$42,ROW('03.Muestra'!$F$8:$F$42)-MIN(ROW('03.Muestra'!$D$8:$D$42))+1,""),ROW()-132)),"")</f>
        <v>https://www.portcastello.com/</v>
      </c>
      <c r="D143" s="130" t="s">
        <v>33</v>
      </c>
      <c r="E143" s="107" t="str">
        <f t="shared" si="6"/>
        <v/>
      </c>
      <c r="F143" s="19"/>
      <c r="G143" s="19"/>
      <c r="H143" s="19"/>
      <c r="I143" s="19"/>
      <c r="J143" s="19"/>
      <c r="K143" s="233"/>
      <c r="L143" s="19"/>
      <c r="M143" s="19"/>
      <c r="N143" s="19"/>
      <c r="O143" s="19"/>
      <c r="P143" s="19"/>
      <c r="Q143" s="19"/>
      <c r="R143" s="19"/>
      <c r="S143" s="19"/>
      <c r="T143" s="19"/>
      <c r="U143" s="19"/>
      <c r="V143" s="19"/>
      <c r="W143" s="19"/>
      <c r="X143" s="19"/>
      <c r="Y143" s="19"/>
    </row>
    <row r="144" spans="1:25" ht="12" customHeight="1">
      <c r="A144" s="219" t="n" cm="1">
        <f t="array" ref="A144">IFERROR(INDEX('03.Muestra'!$B$8:$B$42,SMALL(IF("Página Web"='03.Muestra'!$D$8:$D$42,ROW('03.Muestra'!$B$8:$B$42)-MIN(ROW('03.Muestra'!$D$8:$D$42))+1,""),ROW()-132)),"")</f>
        <v>1.0</v>
      </c>
      <c r="B144" s="114" t="str" cm="1">
        <f t="array" ref="B144">IFERROR(INDEX('03.Muestra'!$C$8:$C$42,SMALL(IF("Página Web"='03.Muestra'!$D$8:$D$42,ROW('03.Muestra'!$C$8:$C$42)-MIN(ROW('03.Muestra'!$D$8:$D$42))+1,""),ROW()-132)),"")</f>
        <v>Home - PortCastelló</v>
      </c>
      <c r="C144" s="114" t="str" cm="1">
        <f t="array" ref="C144">IFERROR(INDEX('03.Muestra'!$F$8:$F$42,SMALL(IF("Página Web"='03.Muestra'!$D$8:$D$42,ROW('03.Muestra'!$F$8:$F$42)-MIN(ROW('03.Muestra'!$D$8:$D$42))+1,""),ROW()-132)),"")</f>
        <v>https://www.portcastello.com/</v>
      </c>
      <c r="D144" s="130" t="s">
        <v>33</v>
      </c>
      <c r="E144" s="107" t="str">
        <f t="shared" si="6"/>
        <v/>
      </c>
      <c r="F144" s="19"/>
      <c r="G144" s="19"/>
      <c r="H144" s="19"/>
      <c r="I144" s="19"/>
      <c r="J144" s="19"/>
      <c r="K144" s="233"/>
      <c r="L144" s="19"/>
      <c r="M144" s="19"/>
      <c r="N144" s="19"/>
      <c r="O144" s="19"/>
      <c r="P144" s="19"/>
      <c r="Q144" s="19"/>
      <c r="R144" s="19"/>
      <c r="S144" s="19"/>
      <c r="T144" s="19"/>
      <c r="U144" s="19"/>
      <c r="V144" s="19"/>
      <c r="W144" s="19"/>
      <c r="X144" s="19"/>
      <c r="Y144" s="19"/>
    </row>
    <row r="145" spans="1:25" ht="14.1" customHeight="1">
      <c r="A145" s="219" t="n" cm="1">
        <f t="array" ref="A145">IFERROR(INDEX('03.Muestra'!$B$8:$B$42,SMALL(IF("Página Web"='03.Muestra'!$D$8:$D$42,ROW('03.Muestra'!$B$8:$B$42)-MIN(ROW('03.Muestra'!$D$8:$D$42))+1,""),ROW()-132)),"")</f>
        <v>1.0</v>
      </c>
      <c r="B145" s="114" t="str" cm="1">
        <f t="array" ref="B145">IFERROR(INDEX('03.Muestra'!$C$8:$C$42,SMALL(IF("Página Web"='03.Muestra'!$D$8:$D$42,ROW('03.Muestra'!$C$8:$C$42)-MIN(ROW('03.Muestra'!$D$8:$D$42))+1,""),ROW()-132)),"")</f>
        <v>Home - PortCastelló</v>
      </c>
      <c r="C145" s="114" t="str" cm="1">
        <f t="array" ref="C145">IFERROR(INDEX('03.Muestra'!$F$8:$F$42,SMALL(IF("Página Web"='03.Muestra'!$D$8:$D$42,ROW('03.Muestra'!$F$8:$F$42)-MIN(ROW('03.Muestra'!$D$8:$D$42))+1,""),ROW()-132)),"")</f>
        <v>https://www.portcastello.com/</v>
      </c>
      <c r="D145" s="130" t="s">
        <v>33</v>
      </c>
      <c r="E145" s="107" t="str">
        <f t="shared" si="6"/>
        <v/>
      </c>
      <c r="F145" s="19"/>
      <c r="G145" s="19"/>
      <c r="H145" s="19"/>
      <c r="I145" s="19"/>
      <c r="J145" s="19"/>
      <c r="K145" s="233"/>
      <c r="L145" s="19"/>
      <c r="M145" s="19"/>
      <c r="N145" s="19"/>
      <c r="O145" s="19"/>
      <c r="P145" s="19"/>
      <c r="Q145" s="19"/>
      <c r="R145" s="19"/>
      <c r="S145" s="19"/>
      <c r="T145" s="19"/>
      <c r="U145" s="19"/>
      <c r="V145" s="19"/>
      <c r="W145" s="19"/>
      <c r="X145" s="19"/>
      <c r="Y145" s="19"/>
    </row>
    <row r="146" spans="1:25" ht="14.1" customHeight="1">
      <c r="A146" s="219" t="n" cm="1">
        <f t="array" ref="A146">IFERROR(INDEX('03.Muestra'!$B$8:$B$42,SMALL(IF("Página Web"='03.Muestra'!$D$8:$D$42,ROW('03.Muestra'!$B$8:$B$42)-MIN(ROW('03.Muestra'!$D$8:$D$42))+1,""),ROW()-132)),"")</f>
        <v>1.0</v>
      </c>
      <c r="B146" s="114" t="str" cm="1">
        <f t="array" ref="B146">IFERROR(INDEX('03.Muestra'!$C$8:$C$42,SMALL(IF("Página Web"='03.Muestra'!$D$8:$D$42,ROW('03.Muestra'!$C$8:$C$42)-MIN(ROW('03.Muestra'!$D$8:$D$42))+1,""),ROW()-132)),"")</f>
        <v>Home - PortCastelló</v>
      </c>
      <c r="C146" s="114" t="str" cm="1">
        <f t="array" ref="C146">IFERROR(INDEX('03.Muestra'!$F$8:$F$42,SMALL(IF("Página Web"='03.Muestra'!$D$8:$D$42,ROW('03.Muestra'!$F$8:$F$42)-MIN(ROW('03.Muestra'!$D$8:$D$42))+1,""),ROW()-132)),"")</f>
        <v>https://www.portcastello.com/</v>
      </c>
      <c r="D146" s="130" t="s">
        <v>33</v>
      </c>
      <c r="E146" s="107" t="str">
        <f t="shared" si="6"/>
        <v/>
      </c>
      <c r="F146" s="19"/>
      <c r="G146" s="19"/>
      <c r="H146" s="19"/>
      <c r="I146" s="19"/>
      <c r="J146" s="19"/>
      <c r="K146" s="233"/>
      <c r="L146" s="19"/>
      <c r="M146" s="19"/>
      <c r="N146" s="19"/>
      <c r="O146" s="19"/>
      <c r="P146" s="19"/>
      <c r="Q146" s="19"/>
      <c r="R146" s="19"/>
      <c r="S146" s="19"/>
      <c r="T146" s="19"/>
      <c r="U146" s="19"/>
      <c r="V146" s="19"/>
      <c r="W146" s="19"/>
      <c r="X146" s="19"/>
      <c r="Y146" s="19"/>
    </row>
    <row r="147" spans="1:25" ht="14.1" customHeight="1">
      <c r="A147" s="219" t="n" cm="1">
        <f t="array" ref="A147">IFERROR(INDEX('03.Muestra'!$B$8:$B$42,SMALL(IF("Página Web"='03.Muestra'!$D$8:$D$42,ROW('03.Muestra'!$B$8:$B$42)-MIN(ROW('03.Muestra'!$D$8:$D$42))+1,""),ROW()-132)),"")</f>
        <v>1.0</v>
      </c>
      <c r="B147" s="114" t="str" cm="1">
        <f t="array" ref="B147">IFERROR(INDEX('03.Muestra'!$C$8:$C$42,SMALL(IF("Página Web"='03.Muestra'!$D$8:$D$42,ROW('03.Muestra'!$C$8:$C$42)-MIN(ROW('03.Muestra'!$D$8:$D$42))+1,""),ROW()-132)),"")</f>
        <v>Home - PortCastelló</v>
      </c>
      <c r="C147" s="114" t="str" cm="1">
        <f t="array" ref="C147">IFERROR(INDEX('03.Muestra'!$F$8:$F$42,SMALL(IF("Página Web"='03.Muestra'!$D$8:$D$42,ROW('03.Muestra'!$F$8:$F$42)-MIN(ROW('03.Muestra'!$D$8:$D$42))+1,""),ROW()-132)),"")</f>
        <v>https://www.portcastello.com/</v>
      </c>
      <c r="D147" s="130" t="s">
        <v>33</v>
      </c>
      <c r="E147" s="107" t="str">
        <f t="shared" si="6"/>
        <v/>
      </c>
      <c r="F147" s="19"/>
      <c r="G147" s="19"/>
      <c r="H147" s="19"/>
      <c r="I147" s="19"/>
      <c r="J147" s="19"/>
      <c r="K147" s="233"/>
      <c r="L147" s="19"/>
      <c r="M147" s="19"/>
      <c r="N147" s="19"/>
      <c r="O147" s="19"/>
      <c r="P147" s="19"/>
      <c r="Q147" s="19"/>
      <c r="R147" s="19"/>
      <c r="S147" s="19"/>
      <c r="T147" s="19"/>
      <c r="U147" s="19"/>
      <c r="V147" s="19"/>
      <c r="W147" s="19"/>
      <c r="X147" s="19"/>
      <c r="Y147" s="19"/>
    </row>
    <row r="148" spans="1:25" ht="14.1" customHeight="1">
      <c r="A148" s="219" t="n" cm="1">
        <f t="array" ref="A148">IFERROR(INDEX('03.Muestra'!$B$8:$B$42,SMALL(IF("Página Web"='03.Muestra'!$D$8:$D$42,ROW('03.Muestra'!$B$8:$B$42)-MIN(ROW('03.Muestra'!$D$8:$D$42))+1,""),ROW()-132)),"")</f>
        <v>1.0</v>
      </c>
      <c r="B148" s="114" t="str" cm="1">
        <f t="array" ref="B148">IFERROR(INDEX('03.Muestra'!$C$8:$C$42,SMALL(IF("Página Web"='03.Muestra'!$D$8:$D$42,ROW('03.Muestra'!$C$8:$C$42)-MIN(ROW('03.Muestra'!$D$8:$D$42))+1,""),ROW()-132)),"")</f>
        <v>Home - PortCastelló</v>
      </c>
      <c r="C148" s="114" t="str" cm="1">
        <f t="array" ref="C148">IFERROR(INDEX('03.Muestra'!$F$8:$F$42,SMALL(IF("Página Web"='03.Muestra'!$D$8:$D$42,ROW('03.Muestra'!$F$8:$F$42)-MIN(ROW('03.Muestra'!$D$8:$D$42))+1,""),ROW()-132)),"")</f>
        <v>https://www.portcastello.com/</v>
      </c>
      <c r="D148" s="130" t="s">
        <v>33</v>
      </c>
      <c r="E148" s="107" t="str">
        <f t="shared" si="6"/>
        <v/>
      </c>
      <c r="F148" s="19"/>
      <c r="G148" s="19"/>
      <c r="H148" s="19"/>
      <c r="I148" s="19"/>
      <c r="J148" s="19"/>
      <c r="K148" s="233"/>
      <c r="L148" s="19"/>
      <c r="M148" s="19"/>
      <c r="N148" s="19"/>
      <c r="O148" s="19"/>
      <c r="P148" s="19"/>
      <c r="Q148" s="19"/>
      <c r="R148" s="19"/>
      <c r="S148" s="19"/>
      <c r="T148" s="19"/>
      <c r="U148" s="19"/>
      <c r="V148" s="19"/>
      <c r="W148" s="19"/>
      <c r="X148" s="19"/>
      <c r="Y148" s="19"/>
    </row>
    <row r="149" spans="1:25" ht="14.1" customHeight="1">
      <c r="A149" s="219" t="n" cm="1">
        <f t="array" ref="A149">IFERROR(INDEX('03.Muestra'!$B$8:$B$42,SMALL(IF("Página Web"='03.Muestra'!$D$8:$D$42,ROW('03.Muestra'!$B$8:$B$42)-MIN(ROW('03.Muestra'!$D$8:$D$42))+1,""),ROW()-132)),"")</f>
        <v>1.0</v>
      </c>
      <c r="B149" s="114" t="str" cm="1">
        <f t="array" ref="B149">IFERROR(INDEX('03.Muestra'!$C$8:$C$42,SMALL(IF("Página Web"='03.Muestra'!$D$8:$D$42,ROW('03.Muestra'!$C$8:$C$42)-MIN(ROW('03.Muestra'!$D$8:$D$42))+1,""),ROW()-132)),"")</f>
        <v>Home - PortCastelló</v>
      </c>
      <c r="C149" s="114" t="str" cm="1">
        <f t="array" ref="C149">IFERROR(INDEX('03.Muestra'!$F$8:$F$42,SMALL(IF("Página Web"='03.Muestra'!$D$8:$D$42,ROW('03.Muestra'!$F$8:$F$42)-MIN(ROW('03.Muestra'!$D$8:$D$42))+1,""),ROW()-132)),"")</f>
        <v>https://www.portcastello.com/</v>
      </c>
      <c r="D149" s="130" t="s">
        <v>33</v>
      </c>
      <c r="E149" s="107" t="str">
        <f t="shared" si="6"/>
        <v/>
      </c>
      <c r="F149" s="19"/>
      <c r="G149" s="19"/>
      <c r="H149" s="19"/>
      <c r="I149" s="19"/>
      <c r="J149" s="19"/>
      <c r="K149" s="233"/>
      <c r="L149" s="19"/>
      <c r="M149" s="19"/>
      <c r="N149" s="19"/>
      <c r="O149" s="19"/>
      <c r="P149" s="19"/>
      <c r="Q149" s="19"/>
      <c r="R149" s="19"/>
      <c r="S149" s="19"/>
      <c r="T149" s="19"/>
      <c r="U149" s="19"/>
      <c r="V149" s="19"/>
      <c r="W149" s="19"/>
      <c r="X149" s="19"/>
      <c r="Y149" s="19"/>
    </row>
    <row r="150" spans="1:25" ht="14.1" customHeight="1">
      <c r="A150" s="219" t="n" cm="1">
        <f t="array" ref="A150">IFERROR(INDEX('03.Muestra'!$B$8:$B$42,SMALL(IF("Página Web"='03.Muestra'!$D$8:$D$42,ROW('03.Muestra'!$B$8:$B$42)-MIN(ROW('03.Muestra'!$D$8:$D$42))+1,""),ROW()-132)),"")</f>
        <v>1.0</v>
      </c>
      <c r="B150" s="114" t="str" cm="1">
        <f t="array" ref="B150">IFERROR(INDEX('03.Muestra'!$C$8:$C$42,SMALL(IF("Página Web"='03.Muestra'!$D$8:$D$42,ROW('03.Muestra'!$C$8:$C$42)-MIN(ROW('03.Muestra'!$D$8:$D$42))+1,""),ROW()-132)),"")</f>
        <v>Home - PortCastelló</v>
      </c>
      <c r="C150" s="114" t="str" cm="1">
        <f t="array" ref="C150">IFERROR(INDEX('03.Muestra'!$F$8:$F$42,SMALL(IF("Página Web"='03.Muestra'!$D$8:$D$42,ROW('03.Muestra'!$F$8:$F$42)-MIN(ROW('03.Muestra'!$D$8:$D$42))+1,""),ROW()-132)),"")</f>
        <v>https://www.portcastello.com/</v>
      </c>
      <c r="D150" s="130" t="s">
        <v>33</v>
      </c>
      <c r="E150" s="107" t="str">
        <f t="shared" si="6"/>
        <v/>
      </c>
      <c r="F150" s="19"/>
      <c r="G150" s="19"/>
      <c r="H150" s="19"/>
      <c r="I150" s="19"/>
      <c r="J150" s="19"/>
      <c r="K150" s="233"/>
      <c r="L150" s="19"/>
      <c r="M150" s="19"/>
      <c r="N150" s="19"/>
      <c r="O150" s="19"/>
      <c r="P150" s="19"/>
      <c r="Q150" s="19"/>
      <c r="R150" s="19"/>
      <c r="S150" s="19"/>
      <c r="T150" s="19"/>
      <c r="U150" s="19"/>
      <c r="V150" s="19"/>
      <c r="W150" s="19"/>
      <c r="X150" s="19"/>
      <c r="Y150" s="19"/>
    </row>
    <row r="151" spans="1:25" ht="14.1" customHeight="1">
      <c r="A151" s="219" t="n" cm="1">
        <f t="array" ref="A151">IFERROR(INDEX('03.Muestra'!$B$8:$B$42,SMALL(IF("Página Web"='03.Muestra'!$D$8:$D$42,ROW('03.Muestra'!$B$8:$B$42)-MIN(ROW('03.Muestra'!$D$8:$D$42))+1,""),ROW()-132)),"")</f>
        <v>1.0</v>
      </c>
      <c r="B151" s="114" t="str" cm="1">
        <f t="array" ref="B151">IFERROR(INDEX('03.Muestra'!$C$8:$C$42,SMALL(IF("Página Web"='03.Muestra'!$D$8:$D$42,ROW('03.Muestra'!$C$8:$C$42)-MIN(ROW('03.Muestra'!$D$8:$D$42))+1,""),ROW()-132)),"")</f>
        <v>Home - PortCastelló</v>
      </c>
      <c r="C151" s="114" t="str" cm="1">
        <f t="array" ref="C151">IFERROR(INDEX('03.Muestra'!$F$8:$F$42,SMALL(IF("Página Web"='03.Muestra'!$D$8:$D$42,ROW('03.Muestra'!$F$8:$F$42)-MIN(ROW('03.Muestra'!$D$8:$D$42))+1,""),ROW()-132)),"")</f>
        <v>https://www.portcastello.com/</v>
      </c>
      <c r="D151" s="130" t="s">
        <v>33</v>
      </c>
      <c r="E151" s="107" t="str">
        <f t="shared" si="6"/>
        <v/>
      </c>
      <c r="F151" s="19"/>
      <c r="G151" s="19"/>
      <c r="H151" s="19"/>
      <c r="I151" s="19"/>
      <c r="J151" s="19"/>
      <c r="K151" s="233"/>
      <c r="L151" s="19"/>
      <c r="M151" s="19"/>
      <c r="N151" s="19"/>
      <c r="O151" s="19"/>
      <c r="P151" s="19"/>
      <c r="Q151" s="19"/>
      <c r="R151" s="19"/>
      <c r="S151" s="19"/>
      <c r="T151" s="19"/>
      <c r="U151" s="19"/>
      <c r="V151" s="19"/>
      <c r="W151" s="19"/>
      <c r="X151" s="19"/>
      <c r="Y151" s="19"/>
    </row>
    <row r="152" spans="1:25" ht="14.1" customHeight="1">
      <c r="A152" s="219" t="n" cm="1">
        <f t="array" ref="A152">IFERROR(INDEX('03.Muestra'!$B$8:$B$42,SMALL(IF("Página Web"='03.Muestra'!$D$8:$D$42,ROW('03.Muestra'!$B$8:$B$42)-MIN(ROW('03.Muestra'!$D$8:$D$42))+1,""),ROW()-132)),"")</f>
        <v>1.0</v>
      </c>
      <c r="B152" s="114" t="str" cm="1">
        <f t="array" ref="B152">IFERROR(INDEX('03.Muestra'!$C$8:$C$42,SMALL(IF("Página Web"='03.Muestra'!$D$8:$D$42,ROW('03.Muestra'!$C$8:$C$42)-MIN(ROW('03.Muestra'!$D$8:$D$42))+1,""),ROW()-132)),"")</f>
        <v>Home - PortCastelló</v>
      </c>
      <c r="C152" s="114" t="str" cm="1">
        <f t="array" ref="C152">IFERROR(INDEX('03.Muestra'!$F$8:$F$42,SMALL(IF("Página Web"='03.Muestra'!$D$8:$D$42,ROW('03.Muestra'!$F$8:$F$42)-MIN(ROW('03.Muestra'!$D$8:$D$42))+1,""),ROW()-132)),"")</f>
        <v>https://www.portcastello.com/</v>
      </c>
      <c r="D152" s="130" t="s">
        <v>33</v>
      </c>
      <c r="E152" s="107" t="str">
        <f t="shared" si="6"/>
        <v/>
      </c>
      <c r="F152" s="19"/>
      <c r="G152" s="19"/>
      <c r="H152" s="19"/>
      <c r="I152" s="19"/>
      <c r="J152" s="19"/>
      <c r="K152" s="233"/>
      <c r="L152" s="19"/>
      <c r="M152" s="19"/>
      <c r="N152" s="19"/>
      <c r="O152" s="19"/>
      <c r="P152" s="19"/>
      <c r="Q152" s="19"/>
      <c r="R152" s="19"/>
      <c r="S152" s="19"/>
      <c r="T152" s="19"/>
      <c r="U152" s="19"/>
      <c r="V152" s="19"/>
      <c r="W152" s="19"/>
      <c r="X152" s="19"/>
      <c r="Y152" s="19"/>
    </row>
    <row r="153" spans="1:25" ht="14.1" customHeight="1">
      <c r="A153" s="219" t="n" cm="1">
        <f t="array" ref="A153">IFERROR(INDEX('03.Muestra'!$B$8:$B$42,SMALL(IF("Página Web"='03.Muestra'!$D$8:$D$42,ROW('03.Muestra'!$B$8:$B$42)-MIN(ROW('03.Muestra'!$D$8:$D$42))+1,""),ROW()-132)),"")</f>
        <v>1.0</v>
      </c>
      <c r="B153" s="114" t="str" cm="1">
        <f t="array" ref="B153">IFERROR(INDEX('03.Muestra'!$C$8:$C$42,SMALL(IF("Página Web"='03.Muestra'!$D$8:$D$42,ROW('03.Muestra'!$C$8:$C$42)-MIN(ROW('03.Muestra'!$D$8:$D$42))+1,""),ROW()-132)),"")</f>
        <v>Home - PortCastelló</v>
      </c>
      <c r="C153" s="114" t="str" cm="1">
        <f t="array" ref="C153">IFERROR(INDEX('03.Muestra'!$F$8:$F$42,SMALL(IF("Página Web"='03.Muestra'!$D$8:$D$42,ROW('03.Muestra'!$F$8:$F$42)-MIN(ROW('03.Muestra'!$D$8:$D$42))+1,""),ROW()-132)),"")</f>
        <v>https://www.portcastello.com/</v>
      </c>
      <c r="D153" s="130" t="s">
        <v>33</v>
      </c>
      <c r="E153" s="107" t="str">
        <f t="shared" si="6"/>
        <v/>
      </c>
      <c r="F153" s="19"/>
      <c r="G153" s="19"/>
      <c r="H153" s="19"/>
      <c r="I153" s="19"/>
      <c r="J153" s="19"/>
      <c r="K153" s="233"/>
      <c r="L153" s="19"/>
      <c r="M153" s="19"/>
      <c r="N153" s="19"/>
      <c r="O153" s="19"/>
      <c r="P153" s="19"/>
      <c r="Q153" s="19"/>
      <c r="R153" s="19"/>
      <c r="S153" s="19"/>
      <c r="T153" s="19"/>
      <c r="U153" s="19"/>
      <c r="V153" s="19"/>
      <c r="W153" s="19"/>
      <c r="X153" s="19"/>
      <c r="Y153" s="19"/>
    </row>
    <row r="154" spans="1:25" ht="14.1" customHeight="1">
      <c r="A154" s="219" t="n" cm="1">
        <f t="array" ref="A154">IFERROR(INDEX('03.Muestra'!$B$8:$B$42,SMALL(IF("Página Web"='03.Muestra'!$D$8:$D$42,ROW('03.Muestra'!$B$8:$B$42)-MIN(ROW('03.Muestra'!$D$8:$D$42))+1,""),ROW()-132)),"")</f>
        <v>1.0</v>
      </c>
      <c r="B154" s="114" t="str" cm="1">
        <f t="array" ref="B154">IFERROR(INDEX('03.Muestra'!$C$8:$C$42,SMALL(IF("Página Web"='03.Muestra'!$D$8:$D$42,ROW('03.Muestra'!$C$8:$C$42)-MIN(ROW('03.Muestra'!$D$8:$D$42))+1,""),ROW()-132)),"")</f>
        <v>Home - PortCastelló</v>
      </c>
      <c r="C154" s="114" t="str" cm="1">
        <f t="array" ref="C154">IFERROR(INDEX('03.Muestra'!$F$8:$F$42,SMALL(IF("Página Web"='03.Muestra'!$D$8:$D$42,ROW('03.Muestra'!$F$8:$F$42)-MIN(ROW('03.Muestra'!$D$8:$D$42))+1,""),ROW()-132)),"")</f>
        <v>https://www.portcastello.com/</v>
      </c>
      <c r="D154" s="130" t="s">
        <v>33</v>
      </c>
      <c r="E154" s="107" t="str">
        <f t="shared" si="6"/>
        <v/>
      </c>
      <c r="F154" s="19"/>
      <c r="G154" s="19"/>
      <c r="H154" s="19"/>
      <c r="I154" s="19"/>
      <c r="J154" s="19"/>
      <c r="K154" s="233"/>
      <c r="L154" s="19"/>
      <c r="M154" s="19"/>
      <c r="N154" s="19"/>
      <c r="O154" s="19"/>
      <c r="P154" s="19"/>
      <c r="Q154" s="19"/>
      <c r="R154" s="19"/>
      <c r="S154" s="19"/>
      <c r="T154" s="19"/>
      <c r="U154" s="19"/>
      <c r="V154" s="19"/>
      <c r="W154" s="19"/>
      <c r="X154" s="19"/>
      <c r="Y154" s="19"/>
    </row>
    <row r="155" spans="1:25" ht="14.1" customHeight="1">
      <c r="A155" s="219" t="n" cm="1">
        <f t="array" ref="A155">IFERROR(INDEX('03.Muestra'!$B$8:$B$42,SMALL(IF("Página Web"='03.Muestra'!$D$8:$D$42,ROW('03.Muestra'!$B$8:$B$42)-MIN(ROW('03.Muestra'!$D$8:$D$42))+1,""),ROW()-132)),"")</f>
        <v>1.0</v>
      </c>
      <c r="B155" s="114" t="str" cm="1">
        <f t="array" ref="B155">IFERROR(INDEX('03.Muestra'!$C$8:$C$42,SMALL(IF("Página Web"='03.Muestra'!$D$8:$D$42,ROW('03.Muestra'!$C$8:$C$42)-MIN(ROW('03.Muestra'!$D$8:$D$42))+1,""),ROW()-132)),"")</f>
        <v>Home - PortCastelló</v>
      </c>
      <c r="C155" s="114" t="str" cm="1">
        <f t="array" ref="C155">IFERROR(INDEX('03.Muestra'!$F$8:$F$42,SMALL(IF("Página Web"='03.Muestra'!$D$8:$D$42,ROW('03.Muestra'!$F$8:$F$42)-MIN(ROW('03.Muestra'!$D$8:$D$42))+1,""),ROW()-132)),"")</f>
        <v>https://www.portcastello.com/</v>
      </c>
      <c r="D155" s="130" t="s">
        <v>33</v>
      </c>
      <c r="E155" s="107" t="str">
        <f t="shared" si="6"/>
        <v/>
      </c>
      <c r="F155" s="19"/>
      <c r="G155" s="19"/>
      <c r="H155" s="19"/>
      <c r="I155" s="19"/>
      <c r="J155" s="19"/>
      <c r="K155" s="233"/>
      <c r="L155" s="19"/>
      <c r="M155" s="19"/>
      <c r="N155" s="19"/>
      <c r="O155" s="19"/>
      <c r="P155" s="19"/>
      <c r="Q155" s="19"/>
      <c r="R155" s="19"/>
      <c r="S155" s="19"/>
      <c r="T155" s="19"/>
      <c r="U155" s="19"/>
      <c r="V155" s="19"/>
      <c r="W155" s="19"/>
      <c r="X155" s="19"/>
      <c r="Y155" s="19"/>
    </row>
    <row r="156" spans="1:25" ht="12" customHeight="1">
      <c r="A156" s="219" t="n" cm="1">
        <f t="array" ref="A156">IFERROR(INDEX('03.Muestra'!$B$8:$B$42,SMALL(IF("Página Web"='03.Muestra'!$D$8:$D$42,ROW('03.Muestra'!$B$8:$B$42)-MIN(ROW('03.Muestra'!$D$8:$D$42))+1,""),ROW()-132)),"")</f>
        <v>1.0</v>
      </c>
      <c r="B156" s="114" t="str" cm="1">
        <f t="array" ref="B156">IFERROR(INDEX('03.Muestra'!$C$8:$C$42,SMALL(IF("Página Web"='03.Muestra'!$D$8:$D$42,ROW('03.Muestra'!$C$8:$C$42)-MIN(ROW('03.Muestra'!$D$8:$D$42))+1,""),ROW()-132)),"")</f>
        <v>Home - PortCastelló</v>
      </c>
      <c r="C156" s="114" t="str" cm="1">
        <f t="array" ref="C156">IFERROR(INDEX('03.Muestra'!$F$8:$F$42,SMALL(IF("Página Web"='03.Muestra'!$D$8:$D$42,ROW('03.Muestra'!$F$8:$F$42)-MIN(ROW('03.Muestra'!$D$8:$D$42))+1,""),ROW()-132)),"")</f>
        <v>https://www.portcastello.com/</v>
      </c>
      <c r="D156" s="130" t="s">
        <v>33</v>
      </c>
      <c r="E156" s="107" t="str">
        <f t="shared" si="6"/>
        <v/>
      </c>
      <c r="F156" s="19"/>
      <c r="G156" s="19"/>
      <c r="H156" s="19"/>
      <c r="I156" s="19"/>
      <c r="J156" s="19"/>
      <c r="K156" s="233"/>
      <c r="L156" s="19"/>
      <c r="M156" s="19"/>
      <c r="N156" s="19"/>
      <c r="O156" s="19"/>
      <c r="P156" s="19"/>
      <c r="Q156" s="19"/>
      <c r="R156" s="19"/>
      <c r="S156" s="19"/>
      <c r="T156" s="19"/>
      <c r="U156" s="19"/>
      <c r="V156" s="19"/>
      <c r="W156" s="19"/>
      <c r="X156" s="19"/>
      <c r="Y156" s="19"/>
    </row>
    <row r="157" spans="1:25" ht="12" customHeight="1">
      <c r="A157" s="219" t="n" cm="1">
        <f t="array" ref="A157">IFERROR(INDEX('03.Muestra'!$B$8:$B$42,SMALL(IF("Página Web"='03.Muestra'!$D$8:$D$42,ROW('03.Muestra'!$B$8:$B$42)-MIN(ROW('03.Muestra'!$D$8:$D$42))+1,""),ROW()-132)),"")</f>
        <v>1.0</v>
      </c>
      <c r="B157" s="114" t="str" cm="1">
        <f t="array" ref="B157">IFERROR(INDEX('03.Muestra'!$C$8:$C$42,SMALL(IF("Página Web"='03.Muestra'!$D$8:$D$42,ROW('03.Muestra'!$C$8:$C$42)-MIN(ROW('03.Muestra'!$D$8:$D$42))+1,""),ROW()-132)),"")</f>
        <v>Home - PortCastelló</v>
      </c>
      <c r="C157" s="114" t="str" cm="1">
        <f t="array" ref="C157">IFERROR(INDEX('03.Muestra'!$F$8:$F$42,SMALL(IF("Página Web"='03.Muestra'!$D$8:$D$42,ROW('03.Muestra'!$F$8:$F$42)-MIN(ROW('03.Muestra'!$D$8:$D$42))+1,""),ROW()-132)),"")</f>
        <v>https://www.portcastello.com/</v>
      </c>
      <c r="D157" s="130" t="s">
        <v>33</v>
      </c>
      <c r="E157" s="107" t="str">
        <f t="shared" si="6"/>
        <v/>
      </c>
      <c r="F157" s="19"/>
      <c r="G157" s="19"/>
      <c r="H157" s="19"/>
      <c r="I157" s="19"/>
      <c r="J157" s="19"/>
      <c r="K157" s="233"/>
      <c r="L157" s="19"/>
      <c r="M157" s="19"/>
      <c r="N157" s="19"/>
      <c r="O157" s="19"/>
      <c r="P157" s="19"/>
      <c r="Q157" s="19"/>
      <c r="R157" s="19"/>
      <c r="S157" s="19"/>
      <c r="T157" s="19"/>
      <c r="U157" s="19"/>
      <c r="V157" s="19"/>
      <c r="W157" s="19"/>
      <c r="X157" s="19"/>
      <c r="Y157" s="19"/>
    </row>
    <row r="158" spans="1:25" ht="12" customHeight="1">
      <c r="A158" s="219" t="n" cm="1">
        <f t="array" ref="A158">IFERROR(INDEX('03.Muestra'!$B$8:$B$42,SMALL(IF("Página Web"='03.Muestra'!$D$8:$D$42,ROW('03.Muestra'!$B$8:$B$42)-MIN(ROW('03.Muestra'!$D$8:$D$42))+1,""),ROW()-132)),"")</f>
        <v>1.0</v>
      </c>
      <c r="B158" s="114" t="str" cm="1">
        <f t="array" ref="B158">IFERROR(INDEX('03.Muestra'!$C$8:$C$42,SMALL(IF("Página Web"='03.Muestra'!$D$8:$D$42,ROW('03.Muestra'!$C$8:$C$42)-MIN(ROW('03.Muestra'!$D$8:$D$42))+1,""),ROW()-132)),"")</f>
        <v>Home - PortCastelló</v>
      </c>
      <c r="C158" s="114" t="str" cm="1">
        <f t="array" ref="C158">IFERROR(INDEX('03.Muestra'!$F$8:$F$42,SMALL(IF("Página Web"='03.Muestra'!$D$8:$D$42,ROW('03.Muestra'!$F$8:$F$42)-MIN(ROW('03.Muestra'!$D$8:$D$42))+1,""),ROW()-132)),"")</f>
        <v>https://www.portcastello.com/</v>
      </c>
      <c r="D158" s="130" t="s">
        <v>33</v>
      </c>
      <c r="E158" s="107" t="str">
        <f t="shared" si="6"/>
        <v/>
      </c>
      <c r="F158" s="19"/>
      <c r="G158" s="19"/>
      <c r="H158" s="19"/>
      <c r="I158" s="19"/>
      <c r="J158" s="19"/>
      <c r="K158" s="233"/>
      <c r="L158" s="19"/>
      <c r="M158" s="19"/>
      <c r="N158" s="19"/>
      <c r="O158" s="19"/>
      <c r="P158" s="19"/>
      <c r="Q158" s="19"/>
      <c r="R158" s="19"/>
      <c r="S158" s="19"/>
      <c r="T158" s="19"/>
      <c r="U158" s="19"/>
      <c r="V158" s="19"/>
      <c r="W158" s="19"/>
      <c r="X158" s="19"/>
      <c r="Y158" s="19"/>
    </row>
    <row r="159" spans="1:25" ht="12" customHeight="1">
      <c r="A159" s="219" t="n" cm="1">
        <f t="array" ref="A159">IFERROR(INDEX('03.Muestra'!$B$8:$B$42,SMALL(IF("Página Web"='03.Muestra'!$D$8:$D$42,ROW('03.Muestra'!$B$8:$B$42)-MIN(ROW('03.Muestra'!$D$8:$D$42))+1,""),ROW()-132)),"")</f>
        <v>1.0</v>
      </c>
      <c r="B159" s="114" t="str" cm="1">
        <f t="array" ref="B159">IFERROR(INDEX('03.Muestra'!$C$8:$C$42,SMALL(IF("Página Web"='03.Muestra'!$D$8:$D$42,ROW('03.Muestra'!$C$8:$C$42)-MIN(ROW('03.Muestra'!$D$8:$D$42))+1,""),ROW()-132)),"")</f>
        <v>Home - PortCastelló</v>
      </c>
      <c r="C159" s="114" t="str" cm="1">
        <f t="array" ref="C159">IFERROR(INDEX('03.Muestra'!$F$8:$F$42,SMALL(IF("Página Web"='03.Muestra'!$D$8:$D$42,ROW('03.Muestra'!$F$8:$F$42)-MIN(ROW('03.Muestra'!$D$8:$D$42))+1,""),ROW()-132)),"")</f>
        <v>https://www.portcastello.com/</v>
      </c>
      <c r="D159" s="130" t="s">
        <v>33</v>
      </c>
      <c r="E159" s="107" t="str">
        <f t="shared" si="6"/>
        <v/>
      </c>
      <c r="F159" s="19"/>
      <c r="G159" s="19"/>
      <c r="H159" s="19"/>
      <c r="I159" s="19"/>
      <c r="J159" s="19"/>
      <c r="K159" s="233"/>
      <c r="L159" s="19"/>
      <c r="M159" s="19"/>
      <c r="N159" s="19"/>
      <c r="O159" s="19"/>
      <c r="P159" s="19"/>
      <c r="Q159" s="19"/>
      <c r="R159" s="19"/>
      <c r="S159" s="19"/>
      <c r="T159" s="19"/>
      <c r="U159" s="19"/>
      <c r="V159" s="19"/>
      <c r="W159" s="19"/>
      <c r="X159" s="19"/>
      <c r="Y159" s="19"/>
    </row>
    <row r="160" spans="1:25" ht="12" customHeight="1">
      <c r="A160" s="219" t="n" cm="1">
        <f t="array" ref="A160">IFERROR(INDEX('03.Muestra'!$B$8:$B$42,SMALL(IF("Página Web"='03.Muestra'!$D$8:$D$42,ROW('03.Muestra'!$B$8:$B$42)-MIN(ROW('03.Muestra'!$D$8:$D$42))+1,""),ROW()-132)),"")</f>
        <v>1.0</v>
      </c>
      <c r="B160" s="114" t="str" cm="1">
        <f t="array" ref="B160">IFERROR(INDEX('03.Muestra'!$C$8:$C$42,SMALL(IF("Página Web"='03.Muestra'!$D$8:$D$42,ROW('03.Muestra'!$C$8:$C$42)-MIN(ROW('03.Muestra'!$D$8:$D$42))+1,""),ROW()-132)),"")</f>
        <v>Home - PortCastelló</v>
      </c>
      <c r="C160" s="114" t="str" cm="1">
        <f t="array" ref="C160">IFERROR(INDEX('03.Muestra'!$F$8:$F$42,SMALL(IF("Página Web"='03.Muestra'!$D$8:$D$42,ROW('03.Muestra'!$F$8:$F$42)-MIN(ROW('03.Muestra'!$D$8:$D$42))+1,""),ROW()-132)),"")</f>
        <v>https://www.portcastello.com/</v>
      </c>
      <c r="D160" s="130" t="s">
        <v>33</v>
      </c>
      <c r="E160" s="107" t="str">
        <f t="shared" si="6"/>
        <v/>
      </c>
      <c r="G160" s="19"/>
      <c r="H160" s="19"/>
      <c r="I160" s="19"/>
      <c r="J160" s="19"/>
      <c r="K160" s="233"/>
      <c r="L160" s="19"/>
      <c r="M160" s="19"/>
      <c r="N160" s="19"/>
      <c r="O160" s="19"/>
      <c r="P160" s="19"/>
      <c r="Q160" s="19"/>
      <c r="R160" s="19"/>
      <c r="S160" s="19"/>
      <c r="T160" s="19"/>
      <c r="U160" s="19"/>
      <c r="V160" s="19"/>
      <c r="W160" s="19"/>
      <c r="X160" s="19"/>
      <c r="Y160" s="19"/>
    </row>
    <row r="161" spans="1:25" ht="12" customHeight="1">
      <c r="A161" s="219" t="n" cm="1">
        <f t="array" ref="A161">IFERROR(INDEX('03.Muestra'!$B$8:$B$42,SMALL(IF("Página Web"='03.Muestra'!$D$8:$D$42,ROW('03.Muestra'!$B$8:$B$42)-MIN(ROW('03.Muestra'!$D$8:$D$42))+1,""),ROW()-132)),"")</f>
        <v>1.0</v>
      </c>
      <c r="B161" s="114" t="str" cm="1">
        <f t="array" ref="B161">IFERROR(INDEX('03.Muestra'!$C$8:$C$42,SMALL(IF("Página Web"='03.Muestra'!$D$8:$D$42,ROW('03.Muestra'!$C$8:$C$42)-MIN(ROW('03.Muestra'!$D$8:$D$42))+1,""),ROW()-132)),"")</f>
        <v>Home - PortCastelló</v>
      </c>
      <c r="C161" s="114" t="str" cm="1">
        <f t="array" ref="C161">IFERROR(INDEX('03.Muestra'!$F$8:$F$42,SMALL(IF("Página Web"='03.Muestra'!$D$8:$D$42,ROW('03.Muestra'!$F$8:$F$42)-MIN(ROW('03.Muestra'!$D$8:$D$42))+1,""),ROW()-132)),"")</f>
        <v>https://www.portcastello.com/</v>
      </c>
      <c r="D161" s="130" t="s">
        <v>33</v>
      </c>
      <c r="E161" s="107" t="str">
        <f t="shared" si="6"/>
        <v/>
      </c>
      <c r="F161" s="124"/>
      <c r="G161" s="19"/>
      <c r="H161" s="19"/>
      <c r="I161" s="19"/>
      <c r="J161" s="19"/>
      <c r="K161" s="233"/>
      <c r="L161" s="19"/>
      <c r="M161" s="19"/>
      <c r="N161" s="19"/>
      <c r="O161" s="19"/>
      <c r="P161" s="19"/>
      <c r="Q161" s="19"/>
      <c r="R161" s="19"/>
      <c r="S161" s="19"/>
      <c r="T161" s="19"/>
      <c r="U161" s="19"/>
      <c r="V161" s="19"/>
      <c r="W161" s="19"/>
      <c r="X161" s="19"/>
      <c r="Y161" s="19"/>
    </row>
    <row r="162" spans="1:25" ht="12" customHeight="1">
      <c r="A162" s="219" t="n" cm="1">
        <f t="array" ref="A162">IFERROR(INDEX('03.Muestra'!$B$8:$B$42,SMALL(IF("Página Web"='03.Muestra'!$D$8:$D$42,ROW('03.Muestra'!$B$8:$B$42)-MIN(ROW('03.Muestra'!$D$8:$D$42))+1,""),ROW()-132)),"")</f>
        <v>1.0</v>
      </c>
      <c r="B162" s="114" t="str" cm="1">
        <f t="array" ref="B162">IFERROR(INDEX('03.Muestra'!$C$8:$C$42,SMALL(IF("Página Web"='03.Muestra'!$D$8:$D$42,ROW('03.Muestra'!$C$8:$C$42)-MIN(ROW('03.Muestra'!$D$8:$D$42))+1,""),ROW()-132)),"")</f>
        <v>Home - PortCastelló</v>
      </c>
      <c r="C162" s="114" t="str" cm="1">
        <f t="array" ref="C162">IFERROR(INDEX('03.Muestra'!$F$8:$F$42,SMALL(IF("Página Web"='03.Muestra'!$D$8:$D$42,ROW('03.Muestra'!$F$8:$F$42)-MIN(ROW('03.Muestra'!$D$8:$D$42))+1,""),ROW()-132)),"")</f>
        <v>https://www.portcastello.com/</v>
      </c>
      <c r="D162" s="130" t="s">
        <v>33</v>
      </c>
      <c r="E162" s="107" t="str">
        <f t="shared" si="6"/>
        <v/>
      </c>
      <c r="F162" s="124"/>
      <c r="G162" s="19"/>
      <c r="H162" s="19"/>
      <c r="I162" s="19"/>
      <c r="J162" s="19"/>
      <c r="K162" s="233"/>
      <c r="L162" s="19"/>
      <c r="M162" s="19"/>
      <c r="N162" s="19"/>
      <c r="O162" s="19"/>
      <c r="P162" s="19"/>
      <c r="Q162" s="19"/>
      <c r="R162" s="19"/>
      <c r="S162" s="19"/>
      <c r="T162" s="19"/>
      <c r="U162" s="19"/>
      <c r="V162" s="19"/>
      <c r="W162" s="19"/>
      <c r="X162" s="19"/>
      <c r="Y162" s="19"/>
    </row>
    <row r="163" spans="1:25" ht="12" customHeight="1">
      <c r="A163" s="219" t="n" cm="1">
        <f t="array" ref="A163">IFERROR(INDEX('03.Muestra'!$B$8:$B$42,SMALL(IF("Página Web"='03.Muestra'!$D$8:$D$42,ROW('03.Muestra'!$B$8:$B$42)-MIN(ROW('03.Muestra'!$D$8:$D$42))+1,""),ROW()-132)),"")</f>
        <v>1.0</v>
      </c>
      <c r="B163" s="114" t="str" cm="1">
        <f t="array" ref="B163">IFERROR(INDEX('03.Muestra'!$C$8:$C$42,SMALL(IF("Página Web"='03.Muestra'!$D$8:$D$42,ROW('03.Muestra'!$C$8:$C$42)-MIN(ROW('03.Muestra'!$D$8:$D$42))+1,""),ROW()-132)),"")</f>
        <v>Home - PortCastelló</v>
      </c>
      <c r="C163" s="114" t="str" cm="1">
        <f t="array" ref="C163">IFERROR(INDEX('03.Muestra'!$F$8:$F$42,SMALL(IF("Página Web"='03.Muestra'!$D$8:$D$42,ROW('03.Muestra'!$F$8:$F$42)-MIN(ROW('03.Muestra'!$D$8:$D$42))+1,""),ROW()-132)),"")</f>
        <v>https://www.portcastello.com/</v>
      </c>
      <c r="D163" s="130" t="s">
        <v>33</v>
      </c>
      <c r="E163" s="107" t="str">
        <f t="shared" si="6"/>
        <v/>
      </c>
      <c r="F163" s="124"/>
      <c r="G163" s="19"/>
      <c r="H163" s="19"/>
      <c r="I163" s="19"/>
      <c r="J163" s="19"/>
      <c r="K163" s="233"/>
      <c r="L163" s="19"/>
      <c r="M163" s="19"/>
      <c r="N163" s="19"/>
      <c r="O163" s="19"/>
      <c r="P163" s="19"/>
      <c r="Q163" s="19"/>
      <c r="R163" s="19"/>
      <c r="S163" s="19"/>
      <c r="T163" s="19"/>
      <c r="U163" s="19"/>
      <c r="V163" s="19"/>
      <c r="W163" s="19"/>
      <c r="X163" s="19"/>
      <c r="Y163" s="19"/>
    </row>
    <row r="164" spans="1:25" ht="12" customHeight="1">
      <c r="A164" s="219" t="n" cm="1">
        <f t="array" ref="A164">IFERROR(INDEX('03.Muestra'!$B$8:$B$42,SMALL(IF("Página Web"='03.Muestra'!$D$8:$D$42,ROW('03.Muestra'!$B$8:$B$42)-MIN(ROW('03.Muestra'!$D$8:$D$42))+1,""),ROW()-132)),"")</f>
        <v>1.0</v>
      </c>
      <c r="B164" s="114" t="str" cm="1">
        <f t="array" ref="B164">IFERROR(INDEX('03.Muestra'!$C$8:$C$42,SMALL(IF("Página Web"='03.Muestra'!$D$8:$D$42,ROW('03.Muestra'!$C$8:$C$42)-MIN(ROW('03.Muestra'!$D$8:$D$42))+1,""),ROW()-132)),"")</f>
        <v>Home - PortCastelló</v>
      </c>
      <c r="C164" s="114" t="str" cm="1">
        <f t="array" ref="C164">IFERROR(INDEX('03.Muestra'!$F$8:$F$42,SMALL(IF("Página Web"='03.Muestra'!$D$8:$D$42,ROW('03.Muestra'!$F$8:$F$42)-MIN(ROW('03.Muestra'!$D$8:$D$42))+1,""),ROW()-132)),"")</f>
        <v>https://www.portcastello.com/</v>
      </c>
      <c r="D164" s="130" t="s">
        <v>33</v>
      </c>
      <c r="E164" s="107" t="str">
        <f t="shared" si="6"/>
        <v/>
      </c>
      <c r="F164" s="124"/>
      <c r="G164" s="19"/>
      <c r="H164" s="19"/>
      <c r="I164" s="19"/>
      <c r="J164" s="19"/>
      <c r="K164" s="233"/>
      <c r="L164" s="19"/>
      <c r="M164" s="19"/>
      <c r="N164" s="19"/>
      <c r="O164" s="19"/>
      <c r="P164" s="19"/>
      <c r="Q164" s="19"/>
      <c r="R164" s="19"/>
      <c r="S164" s="19"/>
      <c r="T164" s="19"/>
      <c r="U164" s="19"/>
      <c r="V164" s="19"/>
      <c r="W164" s="19"/>
      <c r="X164" s="19"/>
      <c r="Y164" s="19"/>
    </row>
    <row r="165" spans="1:25" ht="12" customHeight="1">
      <c r="A165" s="219" t="n" cm="1">
        <f t="array" ref="A165">IFERROR(INDEX('03.Muestra'!$B$8:$B$42,SMALL(IF("Página Web"='03.Muestra'!$D$8:$D$42,ROW('03.Muestra'!$B$8:$B$42)-MIN(ROW('03.Muestra'!$D$8:$D$42))+1,""),ROW()-132)),"")</f>
        <v>1.0</v>
      </c>
      <c r="B165" s="114" t="str" cm="1">
        <f t="array" ref="B165">IFERROR(INDEX('03.Muestra'!$C$8:$C$42,SMALL(IF("Página Web"='03.Muestra'!$D$8:$D$42,ROW('03.Muestra'!$C$8:$C$42)-MIN(ROW('03.Muestra'!$D$8:$D$42))+1,""),ROW()-132)),"")</f>
        <v>Home - PortCastelló</v>
      </c>
      <c r="C165" s="114" t="str" cm="1">
        <f t="array" ref="C165">IFERROR(INDEX('03.Muestra'!$F$8:$F$42,SMALL(IF("Página Web"='03.Muestra'!$D$8:$D$42,ROW('03.Muestra'!$F$8:$F$42)-MIN(ROW('03.Muestra'!$D$8:$D$42))+1,""),ROW()-132)),"")</f>
        <v>https://www.portcastello.com/</v>
      </c>
      <c r="D165" s="130" t="s">
        <v>33</v>
      </c>
      <c r="E165" s="107" t="str">
        <f t="shared" si="6"/>
        <v/>
      </c>
      <c r="F165" s="124"/>
      <c r="G165" s="19"/>
      <c r="H165" s="19"/>
      <c r="I165" s="19"/>
      <c r="J165" s="19"/>
      <c r="K165" s="233"/>
      <c r="L165" s="19"/>
      <c r="M165" s="19"/>
      <c r="N165" s="19"/>
      <c r="O165" s="19"/>
      <c r="P165" s="19"/>
      <c r="Q165" s="19"/>
      <c r="R165" s="19"/>
      <c r="S165" s="19"/>
      <c r="T165" s="19"/>
      <c r="U165" s="19"/>
      <c r="V165" s="19"/>
      <c r="W165" s="19"/>
      <c r="X165" s="19"/>
      <c r="Y165" s="19"/>
    </row>
    <row r="166" spans="1:25" ht="12" customHeight="1">
      <c r="A166" s="219" t="str" cm="1">
        <f t="array" ref="A166">IFERROR(INDEX('03.Muestra'!$B$8:$B$42,SMALL(IF("Página Web"='03.Muestra'!$D$8:$D$42,ROW('03.Muestra'!$B$8:$B$42)-MIN(ROW('03.Muestra'!$D$8:$D$42))+1,""),ROW()-132)),"")</f>
        <v/>
      </c>
      <c r="B166" s="114" t="str" cm="1">
        <f t="array" ref="B166">IFERROR(INDEX('03.Muestra'!$C$8:$C$42,SMALL(IF("Página Web"='03.Muestra'!$D$8:$D$42,ROW('03.Muestra'!$C$8:$C$42)-MIN(ROW('03.Muestra'!$D$8:$D$42))+1,""),ROW()-132)),"")</f>
        <v/>
      </c>
      <c r="C166" s="114" t="str" cm="1">
        <f t="array" ref="C166">IFERROR(INDEX('03.Muestra'!$F$8:$F$42,SMALL(IF("Página Web"='03.Muestra'!$D$8:$D$42,ROW('03.Muestra'!$F$8:$F$42)-MIN(ROW('03.Muestra'!$D$8:$D$42))+1,""),ROW()-132)),"")</f>
        <v/>
      </c>
      <c r="D166" s="130" t="str">
        <f t="shared" si="7" ref="D166:D167">IF(AND(B166&lt;&gt;"",C166&lt;&gt;""),"N/T","")</f>
        <v/>
      </c>
      <c r="E166" s="107" t="str">
        <f t="shared" si="6"/>
        <v/>
      </c>
      <c r="F166" s="124"/>
      <c r="G166" s="19"/>
      <c r="H166" s="19"/>
      <c r="I166" s="19"/>
      <c r="J166" s="19"/>
      <c r="K166" s="233"/>
      <c r="L166" s="19"/>
      <c r="M166" s="19"/>
      <c r="N166" s="19"/>
      <c r="O166" s="19"/>
      <c r="P166" s="19"/>
      <c r="Q166" s="19"/>
      <c r="R166" s="19"/>
      <c r="S166" s="19"/>
      <c r="T166" s="19"/>
      <c r="U166" s="19"/>
      <c r="V166" s="19"/>
      <c r="W166" s="19"/>
      <c r="X166" s="19"/>
      <c r="Y166" s="19"/>
    </row>
    <row r="167" spans="1:25" ht="12" customHeight="1">
      <c r="A167" s="219" t="str" cm="1">
        <f t="array" ref="A167">IFERROR(INDEX('03.Muestra'!$B$8:$B$42,SMALL(IF("Página Web"='03.Muestra'!$D$8:$D$42,ROW('03.Muestra'!$B$8:$B$42)-MIN(ROW('03.Muestra'!$D$8:$D$42))+1,""),ROW()-132)),"")</f>
        <v/>
      </c>
      <c r="B167" s="114" t="str" cm="1">
        <f t="array" ref="B167">IFERROR(INDEX('03.Muestra'!$C$8:$C$42,SMALL(IF("Página Web"='03.Muestra'!$D$8:$D$42,ROW('03.Muestra'!$C$8:$C$42)-MIN(ROW('03.Muestra'!$D$8:$D$42))+1,""),ROW()-132)),"")</f>
        <v/>
      </c>
      <c r="C167" s="114" t="str" cm="1">
        <f t="array" ref="C167">IFERROR(INDEX('03.Muestra'!$F$8:$F$42,SMALL(IF("Página Web"='03.Muestra'!$D$8:$D$42,ROW('03.Muestra'!$F$8:$F$42)-MIN(ROW('03.Muestra'!$D$8:$D$42))+1,""),ROW()-132)),"")</f>
        <v/>
      </c>
      <c r="D167" s="130" t="str">
        <f t="shared" si="7"/>
        <v/>
      </c>
      <c r="E167" s="107" t="str">
        <f t="shared" si="6"/>
        <v/>
      </c>
      <c r="F167" s="19"/>
      <c r="G167" s="19"/>
      <c r="H167" s="19"/>
      <c r="I167" s="19"/>
      <c r="J167" s="19"/>
      <c r="K167" s="233"/>
      <c r="L167" s="19"/>
      <c r="M167" s="19"/>
      <c r="N167" s="19"/>
      <c r="O167" s="19"/>
      <c r="P167" s="19"/>
      <c r="Q167" s="19"/>
      <c r="R167" s="19"/>
      <c r="S167" s="19"/>
      <c r="T167" s="19"/>
      <c r="U167" s="19"/>
      <c r="V167" s="19"/>
      <c r="W167" s="19"/>
      <c r="X167" s="19"/>
      <c r="Y167" s="19"/>
    </row>
    <row r="168" spans="1:25" ht="12" customHeight="1">
      <c r="B168" s="19"/>
      <c r="C168" s="19"/>
      <c r="D168" s="107"/>
      <c r="E168" s="107"/>
      <c r="F168" s="19"/>
      <c r="G168" s="19"/>
      <c r="H168" s="19"/>
      <c r="I168" s="19"/>
      <c r="J168" s="19"/>
      <c r="K168" s="233"/>
      <c r="L168" s="19"/>
      <c r="M168" s="19"/>
      <c r="N168" s="19"/>
      <c r="O168" s="19"/>
      <c r="P168" s="19"/>
      <c r="Q168" s="19"/>
      <c r="R168" s="19"/>
      <c r="S168" s="19"/>
      <c r="T168" s="19"/>
      <c r="U168" s="19"/>
      <c r="V168" s="19"/>
      <c r="W168" s="19"/>
      <c r="X168" s="19"/>
      <c r="Y168" s="19"/>
    </row>
    <row r="169" spans="1:25" ht="12" customHeight="1">
      <c r="B169" s="19"/>
      <c r="C169" s="19"/>
      <c r="D169" s="107"/>
      <c r="E169" s="112"/>
      <c r="F169" s="19"/>
      <c r="G169" s="19"/>
      <c r="H169" s="19"/>
      <c r="I169" s="19"/>
      <c r="J169" s="19"/>
      <c r="K169" s="233"/>
      <c r="L169" s="19"/>
      <c r="M169" s="19"/>
      <c r="N169" s="19"/>
      <c r="O169" s="19"/>
      <c r="P169" s="19"/>
      <c r="Q169" s="19"/>
      <c r="R169" s="19"/>
      <c r="S169" s="19"/>
      <c r="T169" s="19"/>
      <c r="U169" s="19"/>
      <c r="V169" s="19"/>
      <c r="W169" s="19"/>
      <c r="X169" s="19"/>
      <c r="Y169" s="19"/>
    </row>
    <row r="170" spans="1:25" ht="29.25" customHeight="1">
      <c r="A170" s="218" t="s">
        <v>268</v>
      </c>
      <c r="B170" s="24" t="s">
        <v>90</v>
      </c>
      <c r="C170" s="25" t="s">
        <v>96</v>
      </c>
      <c r="D170" s="26" t="s">
        <v>32</v>
      </c>
      <c r="E170" s="123"/>
      <c r="K170" s="233"/>
      <c r="L170" s="19"/>
      <c r="M170" s="19"/>
      <c r="N170" s="19"/>
      <c r="O170" s="19"/>
      <c r="P170" s="19"/>
      <c r="Q170" s="19"/>
      <c r="R170" s="19"/>
      <c r="S170" s="19"/>
      <c r="T170" s="19"/>
      <c r="U170" s="19"/>
      <c r="V170" s="19"/>
      <c r="W170" s="19"/>
      <c r="X170" s="19"/>
      <c r="Y170" s="19"/>
    </row>
    <row r="171" spans="1:25" ht="12" customHeight="1">
      <c r="A171" s="219" t="n" cm="1">
        <f t="array" ref="A171">IFERROR(INDEX('03.Muestra'!$B$8:$B$42,SMALL(IF("Página Web"='03.Muestra'!$D$8:$D$42,ROW('03.Muestra'!$B$8:$B$42)-MIN(ROW('03.Muestra'!$D$8:$D$42))+1,""),ROW()-170)),"")</f>
        <v>1.0</v>
      </c>
      <c r="B171" s="114" t="str" cm="1">
        <f t="array" ref="B171">IFERROR(INDEX('03.Muestra'!$C$8:$C$42,SMALL(IF("Página Web"='03.Muestra'!$D$8:$D$42,ROW('03.Muestra'!$C$8:$C$42)-MIN(ROW('03.Muestra'!$D$8:$D$42))+1,""),ROW()-170)),"")</f>
        <v>Home - PortCastelló</v>
      </c>
      <c r="C171" s="114" t="str" cm="1">
        <f t="array" ref="C171">IFERROR(INDEX('03.Muestra'!$F$8:$F$42,SMALL(IF("Página Web"='03.Muestra'!$D$8:$D$42,ROW('03.Muestra'!$F$8:$F$42)-MIN(ROW('03.Muestra'!$D$8:$D$42))+1,""),ROW()-170)),"")</f>
        <v>https://www.portcastello.com/</v>
      </c>
      <c r="D171" s="130" t="s">
        <v>33</v>
      </c>
      <c r="E171" s="107" t="str">
        <f t="shared" ref="E171:E205" si="8">IF(D171&lt;&gt;"",IF(AND(B171&lt;&gt;"",C171&lt;&gt;""),"","ERR"),"")</f>
        <v/>
      </c>
      <c r="F171" s="115" t="s">
        <v>33</v>
      </c>
      <c r="G171" s="116" t="s">
        <v>37</v>
      </c>
      <c r="H171" s="117" t="s">
        <v>35</v>
      </c>
      <c r="I171" s="118" t="s">
        <v>28</v>
      </c>
      <c r="J171" s="119" t="s">
        <v>26</v>
      </c>
      <c r="K171" s="226" t="s">
        <v>474</v>
      </c>
      <c r="L171" s="19"/>
      <c r="M171" s="19"/>
      <c r="N171" s="19"/>
      <c r="O171" s="19"/>
      <c r="P171" s="19"/>
      <c r="Q171" s="19"/>
      <c r="R171" s="19"/>
      <c r="S171" s="19"/>
      <c r="T171" s="19"/>
      <c r="U171" s="19"/>
      <c r="V171" s="19"/>
      <c r="W171" s="19"/>
      <c r="X171" s="19"/>
      <c r="Y171" s="19"/>
    </row>
    <row r="172" spans="1:25" ht="12" customHeight="1">
      <c r="A172" s="219" t="n" cm="1">
        <f t="array" ref="A172">IFERROR(INDEX('03.Muestra'!$B$8:$B$42,SMALL(IF("Página Web"='03.Muestra'!$D$8:$D$42,ROW('03.Muestra'!$B$8:$B$42)-MIN(ROW('03.Muestra'!$D$8:$D$42))+1,""),ROW()-170)),"")</f>
        <v>1.0</v>
      </c>
      <c r="B172" s="114" t="str" cm="1">
        <f t="array" ref="B172">IFERROR(INDEX('03.Muestra'!$C$8:$C$42,SMALL(IF("Página Web"='03.Muestra'!$D$8:$D$42,ROW('03.Muestra'!$C$8:$C$42)-MIN(ROW('03.Muestra'!$D$8:$D$42))+1,""),ROW()-170)),"")</f>
        <v>Home - PortCastelló</v>
      </c>
      <c r="C172" s="114" t="str" cm="1">
        <f t="array" ref="C172">IFERROR(INDEX('03.Muestra'!$F$8:$F$42,SMALL(IF("Página Web"='03.Muestra'!$D$8:$D$42,ROW('03.Muestra'!$F$8:$F$42)-MIN(ROW('03.Muestra'!$D$8:$D$42))+1,""),ROW()-170)),"")</f>
        <v>https://www.portcastello.com/</v>
      </c>
      <c r="D172" s="130" t="s">
        <v>33</v>
      </c>
      <c r="E172" s="107" t="str">
        <f t="shared" si="8"/>
        <v/>
      </c>
      <c r="F172" s="120" t="n">
        <f ca="1">COUNTIF($D171:INDIRECT("$D" &amp;  SUM(ROW()-1,'03.Muestra'!$D$45)-1),F171)</f>
        <v>33.0</v>
      </c>
      <c r="G172" s="120" t="n">
        <f ca="1">COUNTIF($D171:INDIRECT("$D" &amp;  SUM(ROW()-1,'03.Muestra'!$D$45)-1),G171)</f>
        <v>0.0</v>
      </c>
      <c r="H172" s="120" t="n">
        <f ca="1">COUNTIF($D171:INDIRECT("$D" &amp;  SUM(ROW()-1,'03.Muestra'!$D$45)-1),H171)</f>
        <v>0.0</v>
      </c>
      <c r="I172" s="120" t="n">
        <f ca="1">COUNTIF($D171:INDIRECT("$D" &amp;  SUM(ROW()-1,'03.Muestra'!$D$45)-1),I171)</f>
        <v>0.0</v>
      </c>
      <c r="J172" s="120" t="n">
        <f ca="1">COUNTIF($D171:INDIRECT("$D" &amp;  SUM(ROW()-1,'03.Muestra'!$D$45)-1),J171)</f>
        <v>0.0</v>
      </c>
      <c r="K172" s="227" t="n">
        <f ca="1">IF(COUNTIF('03.Muestra'!$D$8:$D$42,"Página Web")=0,0,COUNTBLANK($D171:INDIRECT("$D" &amp;  SUM(ROW()-1,COUNTIF('03.Muestra'!$D$8:$D$42,"Página Web"))-1)))</f>
        <v>0.0</v>
      </c>
      <c r="L172" s="19"/>
      <c r="M172" s="19"/>
      <c r="N172" s="19"/>
      <c r="O172" s="19"/>
      <c r="P172" s="19"/>
      <c r="Q172" s="19"/>
      <c r="R172" s="19"/>
      <c r="S172" s="19"/>
      <c r="T172" s="19"/>
      <c r="U172" s="19"/>
      <c r="V172" s="19"/>
      <c r="W172" s="19"/>
      <c r="X172" s="19"/>
      <c r="Y172" s="19"/>
    </row>
    <row r="173" spans="1:25" ht="12" customHeight="1">
      <c r="A173" s="219" t="n" cm="1">
        <f t="array" ref="A173">IFERROR(INDEX('03.Muestra'!$B$8:$B$42,SMALL(IF("Página Web"='03.Muestra'!$D$8:$D$42,ROW('03.Muestra'!$B$8:$B$42)-MIN(ROW('03.Muestra'!$D$8:$D$42))+1,""),ROW()-170)),"")</f>
        <v>1.0</v>
      </c>
      <c r="B173" s="114" t="str" cm="1">
        <f t="array" ref="B173">IFERROR(INDEX('03.Muestra'!$C$8:$C$42,SMALL(IF("Página Web"='03.Muestra'!$D$8:$D$42,ROW('03.Muestra'!$C$8:$C$42)-MIN(ROW('03.Muestra'!$D$8:$D$42))+1,""),ROW()-170)),"")</f>
        <v>Home - PortCastelló</v>
      </c>
      <c r="C173" s="114" t="str" cm="1">
        <f t="array" ref="C173">IFERROR(INDEX('03.Muestra'!$F$8:$F$42,SMALL(IF("Página Web"='03.Muestra'!$D$8:$D$42,ROW('03.Muestra'!$F$8:$F$42)-MIN(ROW('03.Muestra'!$D$8:$D$42))+1,""),ROW()-170)),"")</f>
        <v>https://www.portcastello.com/</v>
      </c>
      <c r="D173" s="130" t="s">
        <v>33</v>
      </c>
      <c r="E173" s="107" t="str">
        <f t="shared" si="8"/>
        <v/>
      </c>
      <c r="G173" s="19"/>
      <c r="H173" s="19"/>
      <c r="I173" s="19"/>
      <c r="J173" s="19"/>
      <c r="K173" s="233"/>
      <c r="L173" s="19"/>
      <c r="M173" s="19"/>
      <c r="N173" s="19"/>
      <c r="O173" s="19"/>
      <c r="P173" s="19"/>
      <c r="Q173" s="19"/>
      <c r="R173" s="19"/>
      <c r="S173" s="19"/>
      <c r="T173" s="19"/>
      <c r="U173" s="19"/>
      <c r="V173" s="19"/>
      <c r="W173" s="19"/>
      <c r="X173" s="19"/>
      <c r="Y173" s="19"/>
    </row>
    <row r="174" spans="1:25" ht="12" customHeight="1">
      <c r="A174" s="219" t="n" cm="1">
        <f t="array" ref="A174">IFERROR(INDEX('03.Muestra'!$B$8:$B$42,SMALL(IF("Página Web"='03.Muestra'!$D$8:$D$42,ROW('03.Muestra'!$B$8:$B$42)-MIN(ROW('03.Muestra'!$D$8:$D$42))+1,""),ROW()-170)),"")</f>
        <v>1.0</v>
      </c>
      <c r="B174" s="114" t="str" cm="1">
        <f t="array" ref="B174">IFERROR(INDEX('03.Muestra'!$C$8:$C$42,SMALL(IF("Página Web"='03.Muestra'!$D$8:$D$42,ROW('03.Muestra'!$C$8:$C$42)-MIN(ROW('03.Muestra'!$D$8:$D$42))+1,""),ROW()-170)),"")</f>
        <v>Home - PortCastelló</v>
      </c>
      <c r="C174" s="114" t="str" cm="1">
        <f t="array" ref="C174">IFERROR(INDEX('03.Muestra'!$F$8:$F$42,SMALL(IF("Página Web"='03.Muestra'!$D$8:$D$42,ROW('03.Muestra'!$F$8:$F$42)-MIN(ROW('03.Muestra'!$D$8:$D$42))+1,""),ROW()-170)),"")</f>
        <v>https://www.portcastello.com/</v>
      </c>
      <c r="D174" s="130" t="s">
        <v>33</v>
      </c>
      <c r="E174" s="107" t="str">
        <f t="shared" si="8"/>
        <v/>
      </c>
      <c r="G174" s="19"/>
      <c r="H174" s="19"/>
      <c r="I174" s="19"/>
      <c r="J174" s="19"/>
      <c r="K174" s="233"/>
      <c r="L174" s="19"/>
      <c r="M174" s="19"/>
      <c r="N174" s="19"/>
      <c r="O174" s="19"/>
      <c r="P174" s="19"/>
      <c r="Q174" s="19"/>
      <c r="R174" s="19"/>
      <c r="S174" s="19"/>
      <c r="T174" s="19"/>
      <c r="U174" s="19"/>
      <c r="V174" s="19"/>
      <c r="W174" s="19"/>
      <c r="X174" s="19"/>
      <c r="Y174" s="19"/>
    </row>
    <row r="175" spans="1:25" ht="12" customHeight="1">
      <c r="A175" s="219" t="n" cm="1">
        <f t="array" ref="A175">IFERROR(INDEX('03.Muestra'!$B$8:$B$42,SMALL(IF("Página Web"='03.Muestra'!$D$8:$D$42,ROW('03.Muestra'!$B$8:$B$42)-MIN(ROW('03.Muestra'!$D$8:$D$42))+1,""),ROW()-170)),"")</f>
        <v>1.0</v>
      </c>
      <c r="B175" s="114" t="str" cm="1">
        <f t="array" ref="B175">IFERROR(INDEX('03.Muestra'!$C$8:$C$42,SMALL(IF("Página Web"='03.Muestra'!$D$8:$D$42,ROW('03.Muestra'!$C$8:$C$42)-MIN(ROW('03.Muestra'!$D$8:$D$42))+1,""),ROW()-170)),"")</f>
        <v>Home - PortCastelló</v>
      </c>
      <c r="C175" s="114" t="str" cm="1">
        <f t="array" ref="C175">IFERROR(INDEX('03.Muestra'!$F$8:$F$42,SMALL(IF("Página Web"='03.Muestra'!$D$8:$D$42,ROW('03.Muestra'!$F$8:$F$42)-MIN(ROW('03.Muestra'!$D$8:$D$42))+1,""),ROW()-170)),"")</f>
        <v>https://www.portcastello.com/</v>
      </c>
      <c r="D175" s="130" t="s">
        <v>33</v>
      </c>
      <c r="E175" s="107" t="str">
        <f t="shared" si="8"/>
        <v/>
      </c>
      <c r="G175" s="19"/>
      <c r="H175" s="19"/>
      <c r="I175" s="19"/>
      <c r="J175" s="19"/>
      <c r="K175" s="233"/>
      <c r="L175" s="19"/>
      <c r="M175" s="19"/>
      <c r="N175" s="19"/>
      <c r="O175" s="19"/>
      <c r="P175" s="19"/>
      <c r="Q175" s="19"/>
      <c r="R175" s="19"/>
      <c r="S175" s="19"/>
      <c r="T175" s="19"/>
      <c r="U175" s="19"/>
      <c r="V175" s="19"/>
      <c r="W175" s="19"/>
      <c r="X175" s="19"/>
      <c r="Y175" s="19"/>
    </row>
    <row r="176" spans="1:25" ht="12" customHeight="1">
      <c r="A176" s="219" t="n" cm="1">
        <f t="array" ref="A176">IFERROR(INDEX('03.Muestra'!$B$8:$B$42,SMALL(IF("Página Web"='03.Muestra'!$D$8:$D$42,ROW('03.Muestra'!$B$8:$B$42)-MIN(ROW('03.Muestra'!$D$8:$D$42))+1,""),ROW()-170)),"")</f>
        <v>1.0</v>
      </c>
      <c r="B176" s="114" t="str" cm="1">
        <f t="array" ref="B176">IFERROR(INDEX('03.Muestra'!$C$8:$C$42,SMALL(IF("Página Web"='03.Muestra'!$D$8:$D$42,ROW('03.Muestra'!$C$8:$C$42)-MIN(ROW('03.Muestra'!$D$8:$D$42))+1,""),ROW()-170)),"")</f>
        <v>Home - PortCastelló</v>
      </c>
      <c r="C176" s="114" t="str" cm="1">
        <f t="array" ref="C176">IFERROR(INDEX('03.Muestra'!$F$8:$F$42,SMALL(IF("Página Web"='03.Muestra'!$D$8:$D$42,ROW('03.Muestra'!$F$8:$F$42)-MIN(ROW('03.Muestra'!$D$8:$D$42))+1,""),ROW()-170)),"")</f>
        <v>https://www.portcastello.com/</v>
      </c>
      <c r="D176" s="130" t="s">
        <v>33</v>
      </c>
      <c r="E176" s="107" t="str">
        <f t="shared" si="8"/>
        <v/>
      </c>
      <c r="G176" s="19"/>
      <c r="H176" s="19"/>
      <c r="I176" s="19"/>
      <c r="J176" s="19"/>
      <c r="K176" s="233"/>
      <c r="L176" s="19"/>
      <c r="M176" s="19"/>
      <c r="N176" s="19"/>
      <c r="O176" s="19"/>
      <c r="P176" s="19"/>
      <c r="Q176" s="19"/>
      <c r="R176" s="19"/>
      <c r="S176" s="19"/>
      <c r="T176" s="19"/>
      <c r="U176" s="19"/>
      <c r="V176" s="19"/>
      <c r="W176" s="19"/>
      <c r="X176" s="19"/>
      <c r="Y176" s="19"/>
    </row>
    <row r="177" spans="1:25" ht="12" customHeight="1">
      <c r="A177" s="219" t="n" cm="1">
        <f t="array" ref="A177">IFERROR(INDEX('03.Muestra'!$B$8:$B$42,SMALL(IF("Página Web"='03.Muestra'!$D$8:$D$42,ROW('03.Muestra'!$B$8:$B$42)-MIN(ROW('03.Muestra'!$D$8:$D$42))+1,""),ROW()-170)),"")</f>
        <v>1.0</v>
      </c>
      <c r="B177" s="114" t="str" cm="1">
        <f t="array" ref="B177">IFERROR(INDEX('03.Muestra'!$C$8:$C$42,SMALL(IF("Página Web"='03.Muestra'!$D$8:$D$42,ROW('03.Muestra'!$C$8:$C$42)-MIN(ROW('03.Muestra'!$D$8:$D$42))+1,""),ROW()-170)),"")</f>
        <v>Home - PortCastelló</v>
      </c>
      <c r="C177" s="114" t="str" cm="1">
        <f t="array" ref="C177">IFERROR(INDEX('03.Muestra'!$F$8:$F$42,SMALL(IF("Página Web"='03.Muestra'!$D$8:$D$42,ROW('03.Muestra'!$F$8:$F$42)-MIN(ROW('03.Muestra'!$D$8:$D$42))+1,""),ROW()-170)),"")</f>
        <v>https://www.portcastello.com/</v>
      </c>
      <c r="D177" s="130" t="s">
        <v>33</v>
      </c>
      <c r="E177" s="107" t="str">
        <f t="shared" si="8"/>
        <v/>
      </c>
      <c r="F177" s="19"/>
      <c r="G177" s="19"/>
      <c r="H177" s="19"/>
      <c r="I177" s="19"/>
      <c r="J177" s="19"/>
      <c r="K177" s="233"/>
      <c r="L177" s="19"/>
      <c r="M177" s="19"/>
      <c r="N177" s="19"/>
      <c r="O177" s="19"/>
      <c r="P177" s="19"/>
      <c r="Q177" s="19"/>
      <c r="R177" s="19"/>
      <c r="S177" s="19"/>
      <c r="T177" s="19"/>
      <c r="U177" s="19"/>
      <c r="V177" s="19"/>
      <c r="W177" s="19"/>
      <c r="X177" s="19"/>
      <c r="Y177" s="19"/>
    </row>
    <row r="178" spans="1:25" ht="12" customHeight="1">
      <c r="A178" s="219" t="n" cm="1">
        <f t="array" ref="A178">IFERROR(INDEX('03.Muestra'!$B$8:$B$42,SMALL(IF("Página Web"='03.Muestra'!$D$8:$D$42,ROW('03.Muestra'!$B$8:$B$42)-MIN(ROW('03.Muestra'!$D$8:$D$42))+1,""),ROW()-170)),"")</f>
        <v>1.0</v>
      </c>
      <c r="B178" s="114" t="str" cm="1">
        <f t="array" ref="B178">IFERROR(INDEX('03.Muestra'!$C$8:$C$42,SMALL(IF("Página Web"='03.Muestra'!$D$8:$D$42,ROW('03.Muestra'!$C$8:$C$42)-MIN(ROW('03.Muestra'!$D$8:$D$42))+1,""),ROW()-170)),"")</f>
        <v>Home - PortCastelló</v>
      </c>
      <c r="C178" s="114" t="str" cm="1">
        <f t="array" ref="C178">IFERROR(INDEX('03.Muestra'!$F$8:$F$42,SMALL(IF("Página Web"='03.Muestra'!$D$8:$D$42,ROW('03.Muestra'!$F$8:$F$42)-MIN(ROW('03.Muestra'!$D$8:$D$42))+1,""),ROW()-170)),"")</f>
        <v>https://www.portcastello.com/</v>
      </c>
      <c r="D178" s="130" t="s">
        <v>33</v>
      </c>
      <c r="E178" s="107" t="str">
        <f t="shared" si="8"/>
        <v/>
      </c>
      <c r="F178" s="19"/>
      <c r="G178" s="19"/>
      <c r="H178" s="19"/>
      <c r="I178" s="19"/>
      <c r="J178" s="19"/>
      <c r="K178" s="233"/>
      <c r="L178" s="19"/>
      <c r="M178" s="19"/>
      <c r="N178" s="19"/>
      <c r="O178" s="19"/>
      <c r="P178" s="19"/>
      <c r="Q178" s="19"/>
      <c r="R178" s="19"/>
      <c r="S178" s="19"/>
      <c r="T178" s="19"/>
      <c r="U178" s="19"/>
      <c r="V178" s="19"/>
      <c r="W178" s="19"/>
      <c r="X178" s="19"/>
      <c r="Y178" s="19"/>
    </row>
    <row r="179" spans="1:25" ht="12" customHeight="1">
      <c r="A179" s="219" t="n" cm="1">
        <f t="array" ref="A179">IFERROR(INDEX('03.Muestra'!$B$8:$B$42,SMALL(IF("Página Web"='03.Muestra'!$D$8:$D$42,ROW('03.Muestra'!$B$8:$B$42)-MIN(ROW('03.Muestra'!$D$8:$D$42))+1,""),ROW()-170)),"")</f>
        <v>1.0</v>
      </c>
      <c r="B179" s="114" t="str" cm="1">
        <f t="array" ref="B179">IFERROR(INDEX('03.Muestra'!$C$8:$C$42,SMALL(IF("Página Web"='03.Muestra'!$D$8:$D$42,ROW('03.Muestra'!$C$8:$C$42)-MIN(ROW('03.Muestra'!$D$8:$D$42))+1,""),ROW()-170)),"")</f>
        <v>Home - PortCastelló</v>
      </c>
      <c r="C179" s="114" t="str" cm="1">
        <f t="array" ref="C179">IFERROR(INDEX('03.Muestra'!$F$8:$F$42,SMALL(IF("Página Web"='03.Muestra'!$D$8:$D$42,ROW('03.Muestra'!$F$8:$F$42)-MIN(ROW('03.Muestra'!$D$8:$D$42))+1,""),ROW()-170)),"")</f>
        <v>https://www.portcastello.com/</v>
      </c>
      <c r="D179" s="130" t="s">
        <v>33</v>
      </c>
      <c r="E179" s="107" t="str">
        <f t="shared" si="8"/>
        <v/>
      </c>
      <c r="F179" s="19"/>
      <c r="G179" s="19"/>
      <c r="H179" s="19"/>
      <c r="I179" s="19"/>
      <c r="J179" s="19"/>
      <c r="K179" s="233"/>
      <c r="L179" s="19"/>
      <c r="M179" s="19"/>
      <c r="N179" s="19"/>
      <c r="O179" s="19"/>
      <c r="P179" s="19"/>
      <c r="Q179" s="19"/>
      <c r="R179" s="19"/>
      <c r="S179" s="19"/>
      <c r="T179" s="19"/>
      <c r="U179" s="19"/>
      <c r="V179" s="19"/>
      <c r="W179" s="19"/>
      <c r="X179" s="19"/>
      <c r="Y179" s="19"/>
    </row>
    <row r="180" spans="1:25" ht="12" customHeight="1">
      <c r="A180" s="219" t="n" cm="1">
        <f t="array" ref="A180">IFERROR(INDEX('03.Muestra'!$B$8:$B$42,SMALL(IF("Página Web"='03.Muestra'!$D$8:$D$42,ROW('03.Muestra'!$B$8:$B$42)-MIN(ROW('03.Muestra'!$D$8:$D$42))+1,""),ROW()-170)),"")</f>
        <v>1.0</v>
      </c>
      <c r="B180" s="114" t="str" cm="1">
        <f t="array" ref="B180">IFERROR(INDEX('03.Muestra'!$C$8:$C$42,SMALL(IF("Página Web"='03.Muestra'!$D$8:$D$42,ROW('03.Muestra'!$C$8:$C$42)-MIN(ROW('03.Muestra'!$D$8:$D$42))+1,""),ROW()-170)),"")</f>
        <v>Home - PortCastelló</v>
      </c>
      <c r="C180" s="114" t="str" cm="1">
        <f t="array" ref="C180">IFERROR(INDEX('03.Muestra'!$F$8:$F$42,SMALL(IF("Página Web"='03.Muestra'!$D$8:$D$42,ROW('03.Muestra'!$F$8:$F$42)-MIN(ROW('03.Muestra'!$D$8:$D$42))+1,""),ROW()-170)),"")</f>
        <v>https://www.portcastello.com/</v>
      </c>
      <c r="D180" s="130" t="s">
        <v>33</v>
      </c>
      <c r="E180" s="107" t="str">
        <f t="shared" si="8"/>
        <v/>
      </c>
      <c r="F180" s="19"/>
      <c r="G180" s="19"/>
      <c r="H180" s="19"/>
      <c r="I180" s="19"/>
      <c r="J180" s="19"/>
      <c r="K180" s="233"/>
      <c r="L180" s="19"/>
      <c r="M180" s="19"/>
      <c r="N180" s="19"/>
      <c r="O180" s="19"/>
      <c r="P180" s="19"/>
      <c r="Q180" s="19"/>
      <c r="R180" s="19"/>
      <c r="S180" s="19"/>
      <c r="T180" s="19"/>
      <c r="U180" s="19"/>
      <c r="V180" s="19"/>
      <c r="W180" s="19"/>
      <c r="X180" s="19"/>
      <c r="Y180" s="19"/>
    </row>
    <row r="181" spans="1:25" ht="12" customHeight="1">
      <c r="A181" s="219" t="n" cm="1">
        <f t="array" ref="A181">IFERROR(INDEX('03.Muestra'!$B$8:$B$42,SMALL(IF("Página Web"='03.Muestra'!$D$8:$D$42,ROW('03.Muestra'!$B$8:$B$42)-MIN(ROW('03.Muestra'!$D$8:$D$42))+1,""),ROW()-170)),"")</f>
        <v>1.0</v>
      </c>
      <c r="B181" s="114" t="str" cm="1">
        <f t="array" ref="B181">IFERROR(INDEX('03.Muestra'!$C$8:$C$42,SMALL(IF("Página Web"='03.Muestra'!$D$8:$D$42,ROW('03.Muestra'!$C$8:$C$42)-MIN(ROW('03.Muestra'!$D$8:$D$42))+1,""),ROW()-170)),"")</f>
        <v>Home - PortCastelló</v>
      </c>
      <c r="C181" s="114" t="str" cm="1">
        <f t="array" ref="C181">IFERROR(INDEX('03.Muestra'!$F$8:$F$42,SMALL(IF("Página Web"='03.Muestra'!$D$8:$D$42,ROW('03.Muestra'!$F$8:$F$42)-MIN(ROW('03.Muestra'!$D$8:$D$42))+1,""),ROW()-170)),"")</f>
        <v>https://www.portcastello.com/</v>
      </c>
      <c r="D181" s="130" t="s">
        <v>33</v>
      </c>
      <c r="E181" s="107" t="str">
        <f t="shared" si="8"/>
        <v/>
      </c>
      <c r="F181" s="19"/>
      <c r="G181" s="19"/>
      <c r="H181" s="19"/>
      <c r="I181" s="19"/>
      <c r="J181" s="19"/>
      <c r="K181" s="233"/>
      <c r="L181" s="19"/>
      <c r="M181" s="19"/>
      <c r="N181" s="19"/>
      <c r="O181" s="19"/>
      <c r="P181" s="19"/>
      <c r="Q181" s="19"/>
      <c r="R181" s="19"/>
      <c r="S181" s="19"/>
      <c r="T181" s="19"/>
      <c r="U181" s="19"/>
      <c r="V181" s="19"/>
      <c r="W181" s="19"/>
      <c r="X181" s="19"/>
      <c r="Y181" s="19"/>
    </row>
    <row r="182" spans="1:25" ht="12" customHeight="1">
      <c r="A182" s="219" t="n" cm="1">
        <f t="array" ref="A182">IFERROR(INDEX('03.Muestra'!$B$8:$B$42,SMALL(IF("Página Web"='03.Muestra'!$D$8:$D$42,ROW('03.Muestra'!$B$8:$B$42)-MIN(ROW('03.Muestra'!$D$8:$D$42))+1,""),ROW()-170)),"")</f>
        <v>1.0</v>
      </c>
      <c r="B182" s="114" t="str" cm="1">
        <f t="array" ref="B182">IFERROR(INDEX('03.Muestra'!$C$8:$C$42,SMALL(IF("Página Web"='03.Muestra'!$D$8:$D$42,ROW('03.Muestra'!$C$8:$C$42)-MIN(ROW('03.Muestra'!$D$8:$D$42))+1,""),ROW()-170)),"")</f>
        <v>Home - PortCastelló</v>
      </c>
      <c r="C182" s="114" t="str" cm="1">
        <f t="array" ref="C182">IFERROR(INDEX('03.Muestra'!$F$8:$F$42,SMALL(IF("Página Web"='03.Muestra'!$D$8:$D$42,ROW('03.Muestra'!$F$8:$F$42)-MIN(ROW('03.Muestra'!$D$8:$D$42))+1,""),ROW()-170)),"")</f>
        <v>https://www.portcastello.com/</v>
      </c>
      <c r="D182" s="130" t="s">
        <v>33</v>
      </c>
      <c r="E182" s="107" t="str">
        <f t="shared" si="8"/>
        <v/>
      </c>
      <c r="F182" s="19"/>
      <c r="G182" s="19"/>
      <c r="H182" s="19"/>
      <c r="I182" s="19"/>
      <c r="J182" s="19"/>
      <c r="K182" s="233"/>
      <c r="L182" s="19"/>
      <c r="M182" s="19"/>
      <c r="N182" s="19"/>
      <c r="O182" s="19"/>
      <c r="P182" s="19"/>
      <c r="Q182" s="19"/>
      <c r="R182" s="19"/>
      <c r="S182" s="19"/>
      <c r="T182" s="19"/>
      <c r="U182" s="19"/>
      <c r="V182" s="19"/>
      <c r="W182" s="19"/>
      <c r="X182" s="19"/>
      <c r="Y182" s="19"/>
    </row>
    <row r="183" spans="1:25" ht="14.1" customHeight="1">
      <c r="A183" s="219" t="n" cm="1">
        <f t="array" ref="A183">IFERROR(INDEX('03.Muestra'!$B$8:$B$42,SMALL(IF("Página Web"='03.Muestra'!$D$8:$D$42,ROW('03.Muestra'!$B$8:$B$42)-MIN(ROW('03.Muestra'!$D$8:$D$42))+1,""),ROW()-170)),"")</f>
        <v>1.0</v>
      </c>
      <c r="B183" s="114" t="str" cm="1">
        <f t="array" ref="B183">IFERROR(INDEX('03.Muestra'!$C$8:$C$42,SMALL(IF("Página Web"='03.Muestra'!$D$8:$D$42,ROW('03.Muestra'!$C$8:$C$42)-MIN(ROW('03.Muestra'!$D$8:$D$42))+1,""),ROW()-170)),"")</f>
        <v>Home - PortCastelló</v>
      </c>
      <c r="C183" s="114" t="str" cm="1">
        <f t="array" ref="C183">IFERROR(INDEX('03.Muestra'!$F$8:$F$42,SMALL(IF("Página Web"='03.Muestra'!$D$8:$D$42,ROW('03.Muestra'!$F$8:$F$42)-MIN(ROW('03.Muestra'!$D$8:$D$42))+1,""),ROW()-170)),"")</f>
        <v>https://www.portcastello.com/</v>
      </c>
      <c r="D183" s="130" t="s">
        <v>33</v>
      </c>
      <c r="E183" s="107" t="str">
        <f t="shared" si="8"/>
        <v/>
      </c>
      <c r="F183" s="19"/>
      <c r="G183" s="19"/>
      <c r="H183" s="19"/>
      <c r="I183" s="19"/>
      <c r="J183" s="19"/>
      <c r="K183" s="233"/>
      <c r="L183" s="19"/>
      <c r="M183" s="19"/>
      <c r="N183" s="19"/>
      <c r="O183" s="19"/>
      <c r="P183" s="19"/>
      <c r="Q183" s="19"/>
      <c r="R183" s="19"/>
      <c r="S183" s="19"/>
      <c r="T183" s="19"/>
      <c r="U183" s="19"/>
      <c r="V183" s="19"/>
      <c r="W183" s="19"/>
      <c r="X183" s="19"/>
      <c r="Y183" s="19"/>
    </row>
    <row r="184" spans="1:25" ht="14.1" customHeight="1">
      <c r="A184" s="219" t="n" cm="1">
        <f t="array" ref="A184">IFERROR(INDEX('03.Muestra'!$B$8:$B$42,SMALL(IF("Página Web"='03.Muestra'!$D$8:$D$42,ROW('03.Muestra'!$B$8:$B$42)-MIN(ROW('03.Muestra'!$D$8:$D$42))+1,""),ROW()-170)),"")</f>
        <v>1.0</v>
      </c>
      <c r="B184" s="114" t="str" cm="1">
        <f t="array" ref="B184">IFERROR(INDEX('03.Muestra'!$C$8:$C$42,SMALL(IF("Página Web"='03.Muestra'!$D$8:$D$42,ROW('03.Muestra'!$C$8:$C$42)-MIN(ROW('03.Muestra'!$D$8:$D$42))+1,""),ROW()-170)),"")</f>
        <v>Home - PortCastelló</v>
      </c>
      <c r="C184" s="114" t="str" cm="1">
        <f t="array" ref="C184">IFERROR(INDEX('03.Muestra'!$F$8:$F$42,SMALL(IF("Página Web"='03.Muestra'!$D$8:$D$42,ROW('03.Muestra'!$F$8:$F$42)-MIN(ROW('03.Muestra'!$D$8:$D$42))+1,""),ROW()-170)),"")</f>
        <v>https://www.portcastello.com/</v>
      </c>
      <c r="D184" s="130" t="s">
        <v>33</v>
      </c>
      <c r="E184" s="107" t="str">
        <f t="shared" si="8"/>
        <v/>
      </c>
      <c r="F184" s="19"/>
      <c r="G184" s="19"/>
      <c r="H184" s="19"/>
      <c r="I184" s="19"/>
      <c r="J184" s="19"/>
      <c r="K184" s="233"/>
      <c r="L184" s="19"/>
      <c r="M184" s="19"/>
      <c r="N184" s="19"/>
      <c r="O184" s="19"/>
      <c r="P184" s="19"/>
      <c r="Q184" s="19"/>
      <c r="R184" s="19"/>
      <c r="S184" s="19"/>
      <c r="T184" s="19"/>
      <c r="U184" s="19"/>
      <c r="V184" s="19"/>
      <c r="W184" s="19"/>
      <c r="X184" s="19"/>
      <c r="Y184" s="19"/>
    </row>
    <row r="185" spans="1:25" ht="14.1" customHeight="1">
      <c r="A185" s="219" t="n" cm="1">
        <f t="array" ref="A185">IFERROR(INDEX('03.Muestra'!$B$8:$B$42,SMALL(IF("Página Web"='03.Muestra'!$D$8:$D$42,ROW('03.Muestra'!$B$8:$B$42)-MIN(ROW('03.Muestra'!$D$8:$D$42))+1,""),ROW()-170)),"")</f>
        <v>1.0</v>
      </c>
      <c r="B185" s="114" t="str" cm="1">
        <f t="array" ref="B185">IFERROR(INDEX('03.Muestra'!$C$8:$C$42,SMALL(IF("Página Web"='03.Muestra'!$D$8:$D$42,ROW('03.Muestra'!$C$8:$C$42)-MIN(ROW('03.Muestra'!$D$8:$D$42))+1,""),ROW()-170)),"")</f>
        <v>Home - PortCastelló</v>
      </c>
      <c r="C185" s="114" t="str" cm="1">
        <f t="array" ref="C185">IFERROR(INDEX('03.Muestra'!$F$8:$F$42,SMALL(IF("Página Web"='03.Muestra'!$D$8:$D$42,ROW('03.Muestra'!$F$8:$F$42)-MIN(ROW('03.Muestra'!$D$8:$D$42))+1,""),ROW()-170)),"")</f>
        <v>https://www.portcastello.com/</v>
      </c>
      <c r="D185" s="130" t="s">
        <v>33</v>
      </c>
      <c r="E185" s="107" t="str">
        <f t="shared" si="8"/>
        <v/>
      </c>
      <c r="F185" s="19"/>
      <c r="G185" s="19"/>
      <c r="H185" s="19"/>
      <c r="I185" s="19"/>
      <c r="J185" s="19"/>
      <c r="K185" s="233"/>
      <c r="L185" s="19"/>
      <c r="M185" s="19"/>
      <c r="N185" s="19"/>
      <c r="O185" s="19"/>
      <c r="P185" s="19"/>
      <c r="Q185" s="19"/>
      <c r="R185" s="19"/>
      <c r="S185" s="19"/>
      <c r="T185" s="19"/>
      <c r="U185" s="19"/>
      <c r="V185" s="19"/>
      <c r="W185" s="19"/>
      <c r="X185" s="19"/>
      <c r="Y185" s="19"/>
    </row>
    <row r="186" spans="1:25" ht="14.1" customHeight="1">
      <c r="A186" s="219" t="n" cm="1">
        <f t="array" ref="A186">IFERROR(INDEX('03.Muestra'!$B$8:$B$42,SMALL(IF("Página Web"='03.Muestra'!$D$8:$D$42,ROW('03.Muestra'!$B$8:$B$42)-MIN(ROW('03.Muestra'!$D$8:$D$42))+1,""),ROW()-170)),"")</f>
        <v>1.0</v>
      </c>
      <c r="B186" s="114" t="str" cm="1">
        <f t="array" ref="B186">IFERROR(INDEX('03.Muestra'!$C$8:$C$42,SMALL(IF("Página Web"='03.Muestra'!$D$8:$D$42,ROW('03.Muestra'!$C$8:$C$42)-MIN(ROW('03.Muestra'!$D$8:$D$42))+1,""),ROW()-170)),"")</f>
        <v>Home - PortCastelló</v>
      </c>
      <c r="C186" s="114" t="str" cm="1">
        <f t="array" ref="C186">IFERROR(INDEX('03.Muestra'!$F$8:$F$42,SMALL(IF("Página Web"='03.Muestra'!$D$8:$D$42,ROW('03.Muestra'!$F$8:$F$42)-MIN(ROW('03.Muestra'!$D$8:$D$42))+1,""),ROW()-170)),"")</f>
        <v>https://www.portcastello.com/</v>
      </c>
      <c r="D186" s="130" t="s">
        <v>33</v>
      </c>
      <c r="E186" s="107" t="str">
        <f t="shared" si="8"/>
        <v/>
      </c>
      <c r="F186" s="19"/>
      <c r="G186" s="19"/>
      <c r="H186" s="19"/>
      <c r="I186" s="19"/>
      <c r="J186" s="19"/>
      <c r="K186" s="233"/>
      <c r="L186" s="19"/>
      <c r="M186" s="19"/>
      <c r="N186" s="19"/>
      <c r="O186" s="19"/>
      <c r="P186" s="19"/>
      <c r="Q186" s="19"/>
      <c r="R186" s="19"/>
      <c r="S186" s="19"/>
      <c r="T186" s="19"/>
      <c r="U186" s="19"/>
      <c r="V186" s="19"/>
      <c r="W186" s="19"/>
      <c r="X186" s="19"/>
      <c r="Y186" s="19"/>
    </row>
    <row r="187" spans="1:25" ht="14.1" customHeight="1">
      <c r="A187" s="219" t="n" cm="1">
        <f t="array" ref="A187">IFERROR(INDEX('03.Muestra'!$B$8:$B$42,SMALL(IF("Página Web"='03.Muestra'!$D$8:$D$42,ROW('03.Muestra'!$B$8:$B$42)-MIN(ROW('03.Muestra'!$D$8:$D$42))+1,""),ROW()-170)),"")</f>
        <v>1.0</v>
      </c>
      <c r="B187" s="114" t="str" cm="1">
        <f t="array" ref="B187">IFERROR(INDEX('03.Muestra'!$C$8:$C$42,SMALL(IF("Página Web"='03.Muestra'!$D$8:$D$42,ROW('03.Muestra'!$C$8:$C$42)-MIN(ROW('03.Muestra'!$D$8:$D$42))+1,""),ROW()-170)),"")</f>
        <v>Home - PortCastelló</v>
      </c>
      <c r="C187" s="114" t="str" cm="1">
        <f t="array" ref="C187">IFERROR(INDEX('03.Muestra'!$F$8:$F$42,SMALL(IF("Página Web"='03.Muestra'!$D$8:$D$42,ROW('03.Muestra'!$F$8:$F$42)-MIN(ROW('03.Muestra'!$D$8:$D$42))+1,""),ROW()-170)),"")</f>
        <v>https://www.portcastello.com/</v>
      </c>
      <c r="D187" s="130" t="s">
        <v>33</v>
      </c>
      <c r="E187" s="107" t="str">
        <f t="shared" si="8"/>
        <v/>
      </c>
      <c r="F187" s="19"/>
      <c r="G187" s="19"/>
      <c r="H187" s="19"/>
      <c r="I187" s="19"/>
      <c r="J187" s="19"/>
      <c r="K187" s="233"/>
      <c r="L187" s="19"/>
      <c r="M187" s="19"/>
      <c r="N187" s="19"/>
      <c r="O187" s="19"/>
      <c r="P187" s="19"/>
      <c r="Q187" s="19"/>
      <c r="R187" s="19"/>
      <c r="S187" s="19"/>
      <c r="T187" s="19"/>
      <c r="U187" s="19"/>
      <c r="V187" s="19"/>
      <c r="W187" s="19"/>
      <c r="X187" s="19"/>
      <c r="Y187" s="19"/>
    </row>
    <row r="188" spans="1:25" ht="14.1" customHeight="1">
      <c r="A188" s="219" t="n" cm="1">
        <f t="array" ref="A188">IFERROR(INDEX('03.Muestra'!$B$8:$B$42,SMALL(IF("Página Web"='03.Muestra'!$D$8:$D$42,ROW('03.Muestra'!$B$8:$B$42)-MIN(ROW('03.Muestra'!$D$8:$D$42))+1,""),ROW()-170)),"")</f>
        <v>1.0</v>
      </c>
      <c r="B188" s="114" t="str" cm="1">
        <f t="array" ref="B188">IFERROR(INDEX('03.Muestra'!$C$8:$C$42,SMALL(IF("Página Web"='03.Muestra'!$D$8:$D$42,ROW('03.Muestra'!$C$8:$C$42)-MIN(ROW('03.Muestra'!$D$8:$D$42))+1,""),ROW()-170)),"")</f>
        <v>Home - PortCastelló</v>
      </c>
      <c r="C188" s="114" t="str" cm="1">
        <f t="array" ref="C188">IFERROR(INDEX('03.Muestra'!$F$8:$F$42,SMALL(IF("Página Web"='03.Muestra'!$D$8:$D$42,ROW('03.Muestra'!$F$8:$F$42)-MIN(ROW('03.Muestra'!$D$8:$D$42))+1,""),ROW()-170)),"")</f>
        <v>https://www.portcastello.com/</v>
      </c>
      <c r="D188" s="130" t="s">
        <v>33</v>
      </c>
      <c r="E188" s="107" t="str">
        <f t="shared" si="8"/>
        <v/>
      </c>
      <c r="F188" s="19"/>
      <c r="G188" s="19"/>
      <c r="H188" s="19"/>
      <c r="I188" s="19"/>
      <c r="J188" s="19"/>
      <c r="K188" s="233"/>
      <c r="L188" s="19"/>
      <c r="M188" s="19"/>
      <c r="N188" s="19"/>
      <c r="O188" s="19"/>
      <c r="P188" s="19"/>
      <c r="Q188" s="19"/>
      <c r="R188" s="19"/>
      <c r="S188" s="19"/>
      <c r="T188" s="19"/>
      <c r="U188" s="19"/>
      <c r="V188" s="19"/>
      <c r="W188" s="19"/>
      <c r="X188" s="19"/>
      <c r="Y188" s="19"/>
    </row>
    <row r="189" spans="1:25" ht="14.1" customHeight="1">
      <c r="A189" s="219" t="n" cm="1">
        <f t="array" ref="A189">IFERROR(INDEX('03.Muestra'!$B$8:$B$42,SMALL(IF("Página Web"='03.Muestra'!$D$8:$D$42,ROW('03.Muestra'!$B$8:$B$42)-MIN(ROW('03.Muestra'!$D$8:$D$42))+1,""),ROW()-170)),"")</f>
        <v>1.0</v>
      </c>
      <c r="B189" s="114" t="str" cm="1">
        <f t="array" ref="B189">IFERROR(INDEX('03.Muestra'!$C$8:$C$42,SMALL(IF("Página Web"='03.Muestra'!$D$8:$D$42,ROW('03.Muestra'!$C$8:$C$42)-MIN(ROW('03.Muestra'!$D$8:$D$42))+1,""),ROW()-170)),"")</f>
        <v>Home - PortCastelló</v>
      </c>
      <c r="C189" s="114" t="str" cm="1">
        <f t="array" ref="C189">IFERROR(INDEX('03.Muestra'!$F$8:$F$42,SMALL(IF("Página Web"='03.Muestra'!$D$8:$D$42,ROW('03.Muestra'!$F$8:$F$42)-MIN(ROW('03.Muestra'!$D$8:$D$42))+1,""),ROW()-170)),"")</f>
        <v>https://www.portcastello.com/</v>
      </c>
      <c r="D189" s="130" t="s">
        <v>33</v>
      </c>
      <c r="E189" s="107" t="str">
        <f t="shared" si="8"/>
        <v/>
      </c>
      <c r="F189" s="19"/>
      <c r="G189" s="19"/>
      <c r="H189" s="19"/>
      <c r="I189" s="19"/>
      <c r="J189" s="19"/>
      <c r="K189" s="233"/>
      <c r="L189" s="19"/>
      <c r="M189" s="19"/>
      <c r="N189" s="19"/>
      <c r="O189" s="19"/>
      <c r="P189" s="19"/>
      <c r="Q189" s="19"/>
      <c r="R189" s="19"/>
      <c r="S189" s="19"/>
      <c r="T189" s="19"/>
      <c r="U189" s="19"/>
      <c r="V189" s="19"/>
      <c r="W189" s="19"/>
      <c r="X189" s="19"/>
      <c r="Y189" s="19"/>
    </row>
    <row r="190" spans="1:25" ht="14.1" customHeight="1">
      <c r="A190" s="219" t="n" cm="1">
        <f t="array" ref="A190">IFERROR(INDEX('03.Muestra'!$B$8:$B$42,SMALL(IF("Página Web"='03.Muestra'!$D$8:$D$42,ROW('03.Muestra'!$B$8:$B$42)-MIN(ROW('03.Muestra'!$D$8:$D$42))+1,""),ROW()-170)),"")</f>
        <v>1.0</v>
      </c>
      <c r="B190" s="114" t="str" cm="1">
        <f t="array" ref="B190">IFERROR(INDEX('03.Muestra'!$C$8:$C$42,SMALL(IF("Página Web"='03.Muestra'!$D$8:$D$42,ROW('03.Muestra'!$C$8:$C$42)-MIN(ROW('03.Muestra'!$D$8:$D$42))+1,""),ROW()-170)),"")</f>
        <v>Home - PortCastelló</v>
      </c>
      <c r="C190" s="114" t="str" cm="1">
        <f t="array" ref="C190">IFERROR(INDEX('03.Muestra'!$F$8:$F$42,SMALL(IF("Página Web"='03.Muestra'!$D$8:$D$42,ROW('03.Muestra'!$F$8:$F$42)-MIN(ROW('03.Muestra'!$D$8:$D$42))+1,""),ROW()-170)),"")</f>
        <v>https://www.portcastello.com/</v>
      </c>
      <c r="D190" s="130" t="s">
        <v>33</v>
      </c>
      <c r="E190" s="107" t="str">
        <f t="shared" si="8"/>
        <v/>
      </c>
      <c r="F190" s="19"/>
      <c r="G190" s="19"/>
      <c r="H190" s="19"/>
      <c r="I190" s="19"/>
      <c r="J190" s="19"/>
      <c r="K190" s="233"/>
      <c r="L190" s="19"/>
      <c r="M190" s="19"/>
      <c r="N190" s="19"/>
      <c r="O190" s="19"/>
      <c r="P190" s="19"/>
      <c r="Q190" s="19"/>
      <c r="R190" s="19"/>
      <c r="S190" s="19"/>
      <c r="T190" s="19"/>
      <c r="U190" s="19"/>
      <c r="V190" s="19"/>
      <c r="W190" s="19"/>
      <c r="X190" s="19"/>
      <c r="Y190" s="19"/>
    </row>
    <row r="191" spans="1:25" ht="14.1" customHeight="1">
      <c r="A191" s="219" t="n" cm="1">
        <f t="array" ref="A191">IFERROR(INDEX('03.Muestra'!$B$8:$B$42,SMALL(IF("Página Web"='03.Muestra'!$D$8:$D$42,ROW('03.Muestra'!$B$8:$B$42)-MIN(ROW('03.Muestra'!$D$8:$D$42))+1,""),ROW()-170)),"")</f>
        <v>1.0</v>
      </c>
      <c r="B191" s="114" t="str" cm="1">
        <f t="array" ref="B191">IFERROR(INDEX('03.Muestra'!$C$8:$C$42,SMALL(IF("Página Web"='03.Muestra'!$D$8:$D$42,ROW('03.Muestra'!$C$8:$C$42)-MIN(ROW('03.Muestra'!$D$8:$D$42))+1,""),ROW()-170)),"")</f>
        <v>Home - PortCastelló</v>
      </c>
      <c r="C191" s="114" t="str" cm="1">
        <f t="array" ref="C191">IFERROR(INDEX('03.Muestra'!$F$8:$F$42,SMALL(IF("Página Web"='03.Muestra'!$D$8:$D$42,ROW('03.Muestra'!$F$8:$F$42)-MIN(ROW('03.Muestra'!$D$8:$D$42))+1,""),ROW()-170)),"")</f>
        <v>https://www.portcastello.com/</v>
      </c>
      <c r="D191" s="130" t="s">
        <v>33</v>
      </c>
      <c r="E191" s="107" t="str">
        <f t="shared" si="8"/>
        <v/>
      </c>
      <c r="F191" s="19"/>
      <c r="G191" s="19"/>
      <c r="H191" s="19"/>
      <c r="I191" s="19"/>
      <c r="J191" s="19"/>
      <c r="K191" s="233"/>
      <c r="L191" s="19"/>
      <c r="M191" s="19"/>
      <c r="N191" s="19"/>
      <c r="O191" s="19"/>
      <c r="P191" s="19"/>
      <c r="Q191" s="19"/>
      <c r="R191" s="19"/>
      <c r="S191" s="19"/>
      <c r="T191" s="19"/>
      <c r="U191" s="19"/>
      <c r="V191" s="19"/>
      <c r="W191" s="19"/>
      <c r="X191" s="19"/>
      <c r="Y191" s="19"/>
    </row>
    <row r="192" spans="1:25" ht="14.1" customHeight="1">
      <c r="A192" s="219" t="n" cm="1">
        <f t="array" ref="A192">IFERROR(INDEX('03.Muestra'!$B$8:$B$42,SMALL(IF("Página Web"='03.Muestra'!$D$8:$D$42,ROW('03.Muestra'!$B$8:$B$42)-MIN(ROW('03.Muestra'!$D$8:$D$42))+1,""),ROW()-170)),"")</f>
        <v>1.0</v>
      </c>
      <c r="B192" s="114" t="str" cm="1">
        <f t="array" ref="B192">IFERROR(INDEX('03.Muestra'!$C$8:$C$42,SMALL(IF("Página Web"='03.Muestra'!$D$8:$D$42,ROW('03.Muestra'!$C$8:$C$42)-MIN(ROW('03.Muestra'!$D$8:$D$42))+1,""),ROW()-170)),"")</f>
        <v>Home - PortCastelló</v>
      </c>
      <c r="C192" s="114" t="str" cm="1">
        <f t="array" ref="C192">IFERROR(INDEX('03.Muestra'!$F$8:$F$42,SMALL(IF("Página Web"='03.Muestra'!$D$8:$D$42,ROW('03.Muestra'!$F$8:$F$42)-MIN(ROW('03.Muestra'!$D$8:$D$42))+1,""),ROW()-170)),"")</f>
        <v>https://www.portcastello.com/</v>
      </c>
      <c r="D192" s="130" t="s">
        <v>33</v>
      </c>
      <c r="E192" s="107" t="str">
        <f t="shared" si="8"/>
        <v/>
      </c>
      <c r="F192" s="19"/>
      <c r="G192" s="19"/>
      <c r="H192" s="19"/>
      <c r="I192" s="19"/>
      <c r="J192" s="19"/>
      <c r="K192" s="233"/>
      <c r="L192" s="19"/>
      <c r="M192" s="19"/>
      <c r="N192" s="19"/>
      <c r="O192" s="19"/>
      <c r="P192" s="19"/>
      <c r="Q192" s="19"/>
      <c r="R192" s="19"/>
      <c r="S192" s="19"/>
      <c r="T192" s="19"/>
      <c r="U192" s="19"/>
      <c r="V192" s="19"/>
      <c r="W192" s="19"/>
      <c r="X192" s="19"/>
      <c r="Y192" s="19"/>
    </row>
    <row r="193" spans="1:25" ht="14.1" customHeight="1">
      <c r="A193" s="219" t="n" cm="1">
        <f t="array" ref="A193">IFERROR(INDEX('03.Muestra'!$B$8:$B$42,SMALL(IF("Página Web"='03.Muestra'!$D$8:$D$42,ROW('03.Muestra'!$B$8:$B$42)-MIN(ROW('03.Muestra'!$D$8:$D$42))+1,""),ROW()-170)),"")</f>
        <v>1.0</v>
      </c>
      <c r="B193" s="114" t="str" cm="1">
        <f t="array" ref="B193">IFERROR(INDEX('03.Muestra'!$C$8:$C$42,SMALL(IF("Página Web"='03.Muestra'!$D$8:$D$42,ROW('03.Muestra'!$C$8:$C$42)-MIN(ROW('03.Muestra'!$D$8:$D$42))+1,""),ROW()-170)),"")</f>
        <v>Home - PortCastelló</v>
      </c>
      <c r="C193" s="114" t="str" cm="1">
        <f t="array" ref="C193">IFERROR(INDEX('03.Muestra'!$F$8:$F$42,SMALL(IF("Página Web"='03.Muestra'!$D$8:$D$42,ROW('03.Muestra'!$F$8:$F$42)-MIN(ROW('03.Muestra'!$D$8:$D$42))+1,""),ROW()-170)),"")</f>
        <v>https://www.portcastello.com/</v>
      </c>
      <c r="D193" s="130" t="s">
        <v>33</v>
      </c>
      <c r="E193" s="107" t="str">
        <f t="shared" si="8"/>
        <v/>
      </c>
      <c r="F193" s="19"/>
      <c r="G193" s="19"/>
      <c r="H193" s="19"/>
      <c r="I193" s="19"/>
      <c r="J193" s="19"/>
      <c r="K193" s="233"/>
      <c r="L193" s="19"/>
      <c r="M193" s="19"/>
      <c r="N193" s="19"/>
      <c r="O193" s="19"/>
      <c r="P193" s="19"/>
      <c r="Q193" s="19"/>
      <c r="R193" s="19"/>
      <c r="S193" s="19"/>
      <c r="T193" s="19"/>
      <c r="U193" s="19"/>
      <c r="V193" s="19"/>
      <c r="W193" s="19"/>
      <c r="X193" s="19"/>
      <c r="Y193" s="19"/>
    </row>
    <row r="194" spans="1:25" ht="12" customHeight="1">
      <c r="A194" s="219" t="n" cm="1">
        <f t="array" ref="A194">IFERROR(INDEX('03.Muestra'!$B$8:$B$42,SMALL(IF("Página Web"='03.Muestra'!$D$8:$D$42,ROW('03.Muestra'!$B$8:$B$42)-MIN(ROW('03.Muestra'!$D$8:$D$42))+1,""),ROW()-170)),"")</f>
        <v>1.0</v>
      </c>
      <c r="B194" s="114" t="str" cm="1">
        <f t="array" ref="B194">IFERROR(INDEX('03.Muestra'!$C$8:$C$42,SMALL(IF("Página Web"='03.Muestra'!$D$8:$D$42,ROW('03.Muestra'!$C$8:$C$42)-MIN(ROW('03.Muestra'!$D$8:$D$42))+1,""),ROW()-170)),"")</f>
        <v>Home - PortCastelló</v>
      </c>
      <c r="C194" s="114" t="str" cm="1">
        <f t="array" ref="C194">IFERROR(INDEX('03.Muestra'!$F$8:$F$42,SMALL(IF("Página Web"='03.Muestra'!$D$8:$D$42,ROW('03.Muestra'!$F$8:$F$42)-MIN(ROW('03.Muestra'!$D$8:$D$42))+1,""),ROW()-170)),"")</f>
        <v>https://www.portcastello.com/</v>
      </c>
      <c r="D194" s="130" t="s">
        <v>33</v>
      </c>
      <c r="E194" s="107" t="str">
        <f t="shared" si="8"/>
        <v/>
      </c>
      <c r="F194" s="19"/>
      <c r="G194" s="19"/>
      <c r="H194" s="19"/>
      <c r="I194" s="19"/>
      <c r="J194" s="19"/>
      <c r="K194" s="233"/>
      <c r="L194" s="19"/>
      <c r="M194" s="19"/>
      <c r="N194" s="19"/>
      <c r="O194" s="19"/>
      <c r="P194" s="19"/>
      <c r="Q194" s="19"/>
      <c r="R194" s="19"/>
      <c r="S194" s="19"/>
      <c r="T194" s="19"/>
      <c r="U194" s="19"/>
      <c r="V194" s="19"/>
      <c r="W194" s="19"/>
      <c r="X194" s="19"/>
      <c r="Y194" s="19"/>
    </row>
    <row r="195" spans="1:25" ht="12" customHeight="1">
      <c r="A195" s="219" t="n" cm="1">
        <f t="array" ref="A195">IFERROR(INDEX('03.Muestra'!$B$8:$B$42,SMALL(IF("Página Web"='03.Muestra'!$D$8:$D$42,ROW('03.Muestra'!$B$8:$B$42)-MIN(ROW('03.Muestra'!$D$8:$D$42))+1,""),ROW()-170)),"")</f>
        <v>1.0</v>
      </c>
      <c r="B195" s="114" t="str" cm="1">
        <f t="array" ref="B195">IFERROR(INDEX('03.Muestra'!$C$8:$C$42,SMALL(IF("Página Web"='03.Muestra'!$D$8:$D$42,ROW('03.Muestra'!$C$8:$C$42)-MIN(ROW('03.Muestra'!$D$8:$D$42))+1,""),ROW()-170)),"")</f>
        <v>Home - PortCastelló</v>
      </c>
      <c r="C195" s="114" t="str" cm="1">
        <f t="array" ref="C195">IFERROR(INDEX('03.Muestra'!$F$8:$F$42,SMALL(IF("Página Web"='03.Muestra'!$D$8:$D$42,ROW('03.Muestra'!$F$8:$F$42)-MIN(ROW('03.Muestra'!$D$8:$D$42))+1,""),ROW()-170)),"")</f>
        <v>https://www.portcastello.com/</v>
      </c>
      <c r="D195" s="130" t="s">
        <v>33</v>
      </c>
      <c r="E195" s="107" t="str">
        <f t="shared" si="8"/>
        <v/>
      </c>
      <c r="F195" s="19"/>
      <c r="G195" s="19"/>
      <c r="H195" s="19"/>
      <c r="I195" s="19"/>
      <c r="J195" s="19"/>
      <c r="K195" s="233"/>
      <c r="L195" s="19"/>
      <c r="M195" s="19"/>
      <c r="N195" s="19"/>
      <c r="O195" s="19"/>
      <c r="P195" s="19"/>
      <c r="Q195" s="19"/>
      <c r="R195" s="19"/>
      <c r="S195" s="19"/>
      <c r="T195" s="19"/>
      <c r="U195" s="19"/>
      <c r="V195" s="19"/>
      <c r="W195" s="19"/>
      <c r="X195" s="19"/>
      <c r="Y195" s="19"/>
    </row>
    <row r="196" spans="1:25" ht="12" customHeight="1">
      <c r="A196" s="219" t="n" cm="1">
        <f t="array" ref="A196">IFERROR(INDEX('03.Muestra'!$B$8:$B$42,SMALL(IF("Página Web"='03.Muestra'!$D$8:$D$42,ROW('03.Muestra'!$B$8:$B$42)-MIN(ROW('03.Muestra'!$D$8:$D$42))+1,""),ROW()-170)),"")</f>
        <v>1.0</v>
      </c>
      <c r="B196" s="114" t="str" cm="1">
        <f t="array" ref="B196">IFERROR(INDEX('03.Muestra'!$C$8:$C$42,SMALL(IF("Página Web"='03.Muestra'!$D$8:$D$42,ROW('03.Muestra'!$C$8:$C$42)-MIN(ROW('03.Muestra'!$D$8:$D$42))+1,""),ROW()-170)),"")</f>
        <v>Home - PortCastelló</v>
      </c>
      <c r="C196" s="114" t="str" cm="1">
        <f t="array" ref="C196">IFERROR(INDEX('03.Muestra'!$F$8:$F$42,SMALL(IF("Página Web"='03.Muestra'!$D$8:$D$42,ROW('03.Muestra'!$F$8:$F$42)-MIN(ROW('03.Muestra'!$D$8:$D$42))+1,""),ROW()-170)),"")</f>
        <v>https://www.portcastello.com/</v>
      </c>
      <c r="D196" s="130" t="s">
        <v>33</v>
      </c>
      <c r="E196" s="107" t="str">
        <f t="shared" si="8"/>
        <v/>
      </c>
      <c r="F196" s="19"/>
      <c r="G196" s="19"/>
      <c r="H196" s="19"/>
      <c r="I196" s="19"/>
      <c r="J196" s="19"/>
      <c r="K196" s="233"/>
      <c r="L196" s="19"/>
      <c r="M196" s="19"/>
      <c r="N196" s="19"/>
      <c r="O196" s="19"/>
      <c r="P196" s="19"/>
      <c r="Q196" s="19"/>
      <c r="R196" s="19"/>
      <c r="S196" s="19"/>
      <c r="T196" s="19"/>
      <c r="U196" s="19"/>
      <c r="V196" s="19"/>
      <c r="W196" s="19"/>
      <c r="X196" s="19"/>
      <c r="Y196" s="19"/>
    </row>
    <row r="197" spans="1:25" ht="12" customHeight="1">
      <c r="A197" s="219" t="n" cm="1">
        <f t="array" ref="A197">IFERROR(INDEX('03.Muestra'!$B$8:$B$42,SMALL(IF("Página Web"='03.Muestra'!$D$8:$D$42,ROW('03.Muestra'!$B$8:$B$42)-MIN(ROW('03.Muestra'!$D$8:$D$42))+1,""),ROW()-170)),"")</f>
        <v>1.0</v>
      </c>
      <c r="B197" s="114" t="str" cm="1">
        <f t="array" ref="B197">IFERROR(INDEX('03.Muestra'!$C$8:$C$42,SMALL(IF("Página Web"='03.Muestra'!$D$8:$D$42,ROW('03.Muestra'!$C$8:$C$42)-MIN(ROW('03.Muestra'!$D$8:$D$42))+1,""),ROW()-170)),"")</f>
        <v>Home - PortCastelló</v>
      </c>
      <c r="C197" s="114" t="str" cm="1">
        <f t="array" ref="C197">IFERROR(INDEX('03.Muestra'!$F$8:$F$42,SMALL(IF("Página Web"='03.Muestra'!$D$8:$D$42,ROW('03.Muestra'!$F$8:$F$42)-MIN(ROW('03.Muestra'!$D$8:$D$42))+1,""),ROW()-170)),"")</f>
        <v>https://www.portcastello.com/</v>
      </c>
      <c r="D197" s="130" t="s">
        <v>33</v>
      </c>
      <c r="E197" s="107" t="str">
        <f t="shared" si="8"/>
        <v/>
      </c>
      <c r="F197" s="19"/>
      <c r="G197" s="19"/>
      <c r="H197" s="19"/>
      <c r="I197" s="19"/>
      <c r="J197" s="19"/>
      <c r="K197" s="233"/>
      <c r="L197" s="19"/>
      <c r="M197" s="19"/>
      <c r="N197" s="19"/>
      <c r="O197" s="19"/>
      <c r="P197" s="19"/>
      <c r="Q197" s="19"/>
      <c r="R197" s="19"/>
      <c r="S197" s="19"/>
      <c r="T197" s="19"/>
      <c r="U197" s="19"/>
      <c r="V197" s="19"/>
      <c r="W197" s="19"/>
      <c r="X197" s="19"/>
      <c r="Y197" s="19"/>
    </row>
    <row r="198" spans="1:25" ht="12" customHeight="1">
      <c r="A198" s="219" t="n" cm="1">
        <f t="array" ref="A198">IFERROR(INDEX('03.Muestra'!$B$8:$B$42,SMALL(IF("Página Web"='03.Muestra'!$D$8:$D$42,ROW('03.Muestra'!$B$8:$B$42)-MIN(ROW('03.Muestra'!$D$8:$D$42))+1,""),ROW()-170)),"")</f>
        <v>1.0</v>
      </c>
      <c r="B198" s="114" t="str" cm="1">
        <f t="array" ref="B198">IFERROR(INDEX('03.Muestra'!$C$8:$C$42,SMALL(IF("Página Web"='03.Muestra'!$D$8:$D$42,ROW('03.Muestra'!$C$8:$C$42)-MIN(ROW('03.Muestra'!$D$8:$D$42))+1,""),ROW()-170)),"")</f>
        <v>Home - PortCastelló</v>
      </c>
      <c r="C198" s="114" t="str" cm="1">
        <f t="array" ref="C198">IFERROR(INDEX('03.Muestra'!$F$8:$F$42,SMALL(IF("Página Web"='03.Muestra'!$D$8:$D$42,ROW('03.Muestra'!$F$8:$F$42)-MIN(ROW('03.Muestra'!$D$8:$D$42))+1,""),ROW()-170)),"")</f>
        <v>https://www.portcastello.com/</v>
      </c>
      <c r="D198" s="130" t="s">
        <v>33</v>
      </c>
      <c r="E198" s="107" t="str">
        <f t="shared" si="8"/>
        <v/>
      </c>
      <c r="G198" s="19"/>
      <c r="H198" s="19"/>
      <c r="I198" s="19"/>
      <c r="J198" s="19"/>
      <c r="K198" s="233"/>
      <c r="L198" s="19"/>
      <c r="M198" s="19"/>
      <c r="N198" s="19"/>
      <c r="O198" s="19"/>
      <c r="P198" s="19"/>
      <c r="Q198" s="19"/>
      <c r="R198" s="19"/>
      <c r="S198" s="19"/>
      <c r="T198" s="19"/>
      <c r="U198" s="19"/>
      <c r="V198" s="19"/>
      <c r="W198" s="19"/>
      <c r="X198" s="19"/>
      <c r="Y198" s="19"/>
    </row>
    <row r="199" spans="1:25" ht="12" customHeight="1">
      <c r="A199" s="219" t="n" cm="1">
        <f t="array" ref="A199">IFERROR(INDEX('03.Muestra'!$B$8:$B$42,SMALL(IF("Página Web"='03.Muestra'!$D$8:$D$42,ROW('03.Muestra'!$B$8:$B$42)-MIN(ROW('03.Muestra'!$D$8:$D$42))+1,""),ROW()-170)),"")</f>
        <v>1.0</v>
      </c>
      <c r="B199" s="114" t="str" cm="1">
        <f t="array" ref="B199">IFERROR(INDEX('03.Muestra'!$C$8:$C$42,SMALL(IF("Página Web"='03.Muestra'!$D$8:$D$42,ROW('03.Muestra'!$C$8:$C$42)-MIN(ROW('03.Muestra'!$D$8:$D$42))+1,""),ROW()-170)),"")</f>
        <v>Home - PortCastelló</v>
      </c>
      <c r="C199" s="114" t="str" cm="1">
        <f t="array" ref="C199">IFERROR(INDEX('03.Muestra'!$F$8:$F$42,SMALL(IF("Página Web"='03.Muestra'!$D$8:$D$42,ROW('03.Muestra'!$F$8:$F$42)-MIN(ROW('03.Muestra'!$D$8:$D$42))+1,""),ROW()-170)),"")</f>
        <v>https://www.portcastello.com/</v>
      </c>
      <c r="D199" s="130" t="s">
        <v>33</v>
      </c>
      <c r="E199" s="107" t="str">
        <f t="shared" si="8"/>
        <v/>
      </c>
      <c r="F199" s="124"/>
      <c r="G199" s="19"/>
      <c r="H199" s="19"/>
      <c r="I199" s="19"/>
      <c r="J199" s="19"/>
      <c r="K199" s="233"/>
      <c r="L199" s="19"/>
      <c r="M199" s="19"/>
      <c r="N199" s="19"/>
      <c r="O199" s="19"/>
      <c r="P199" s="19"/>
      <c r="Q199" s="19"/>
      <c r="R199" s="19"/>
      <c r="S199" s="19"/>
      <c r="T199" s="19"/>
      <c r="U199" s="19"/>
      <c r="V199" s="19"/>
      <c r="W199" s="19"/>
      <c r="X199" s="19"/>
      <c r="Y199" s="19"/>
    </row>
    <row r="200" spans="1:25" ht="12" customHeight="1">
      <c r="A200" s="219" t="n" cm="1">
        <f t="array" ref="A200">IFERROR(INDEX('03.Muestra'!$B$8:$B$42,SMALL(IF("Página Web"='03.Muestra'!$D$8:$D$42,ROW('03.Muestra'!$B$8:$B$42)-MIN(ROW('03.Muestra'!$D$8:$D$42))+1,""),ROW()-170)),"")</f>
        <v>1.0</v>
      </c>
      <c r="B200" s="114" t="str" cm="1">
        <f t="array" ref="B200">IFERROR(INDEX('03.Muestra'!$C$8:$C$42,SMALL(IF("Página Web"='03.Muestra'!$D$8:$D$42,ROW('03.Muestra'!$C$8:$C$42)-MIN(ROW('03.Muestra'!$D$8:$D$42))+1,""),ROW()-170)),"")</f>
        <v>Home - PortCastelló</v>
      </c>
      <c r="C200" s="114" t="str" cm="1">
        <f t="array" ref="C200">IFERROR(INDEX('03.Muestra'!$F$8:$F$42,SMALL(IF("Página Web"='03.Muestra'!$D$8:$D$42,ROW('03.Muestra'!$F$8:$F$42)-MIN(ROW('03.Muestra'!$D$8:$D$42))+1,""),ROW()-170)),"")</f>
        <v>https://www.portcastello.com/</v>
      </c>
      <c r="D200" s="130" t="s">
        <v>33</v>
      </c>
      <c r="E200" s="107" t="str">
        <f t="shared" si="8"/>
        <v/>
      </c>
      <c r="F200" s="124"/>
      <c r="G200" s="19"/>
      <c r="H200" s="19"/>
      <c r="I200" s="19"/>
      <c r="J200" s="19"/>
      <c r="K200" s="233"/>
      <c r="L200" s="19"/>
      <c r="M200" s="19"/>
      <c r="N200" s="19"/>
      <c r="O200" s="19"/>
      <c r="P200" s="19"/>
      <c r="Q200" s="19"/>
      <c r="R200" s="19"/>
      <c r="S200" s="19"/>
      <c r="T200" s="19"/>
      <c r="U200" s="19"/>
      <c r="V200" s="19"/>
      <c r="W200" s="19"/>
      <c r="X200" s="19"/>
      <c r="Y200" s="19"/>
    </row>
    <row r="201" spans="1:25" ht="12" customHeight="1">
      <c r="A201" s="219" t="n" cm="1">
        <f t="array" ref="A201">IFERROR(INDEX('03.Muestra'!$B$8:$B$42,SMALL(IF("Página Web"='03.Muestra'!$D$8:$D$42,ROW('03.Muestra'!$B$8:$B$42)-MIN(ROW('03.Muestra'!$D$8:$D$42))+1,""),ROW()-170)),"")</f>
        <v>1.0</v>
      </c>
      <c r="B201" s="114" t="str" cm="1">
        <f t="array" ref="B201">IFERROR(INDEX('03.Muestra'!$C$8:$C$42,SMALL(IF("Página Web"='03.Muestra'!$D$8:$D$42,ROW('03.Muestra'!$C$8:$C$42)-MIN(ROW('03.Muestra'!$D$8:$D$42))+1,""),ROW()-170)),"")</f>
        <v>Home - PortCastelló</v>
      </c>
      <c r="C201" s="114" t="str" cm="1">
        <f t="array" ref="C201">IFERROR(INDEX('03.Muestra'!$F$8:$F$42,SMALL(IF("Página Web"='03.Muestra'!$D$8:$D$42,ROW('03.Muestra'!$F$8:$F$42)-MIN(ROW('03.Muestra'!$D$8:$D$42))+1,""),ROW()-170)),"")</f>
        <v>https://www.portcastello.com/</v>
      </c>
      <c r="D201" s="130" t="s">
        <v>33</v>
      </c>
      <c r="E201" s="107" t="str">
        <f t="shared" si="8"/>
        <v/>
      </c>
      <c r="F201" s="124"/>
      <c r="G201" s="19"/>
      <c r="H201" s="19"/>
      <c r="I201" s="19"/>
      <c r="J201" s="19"/>
      <c r="K201" s="233"/>
      <c r="L201" s="19"/>
      <c r="M201" s="19"/>
      <c r="N201" s="19"/>
      <c r="O201" s="19"/>
      <c r="P201" s="19"/>
      <c r="Q201" s="19"/>
      <c r="R201" s="19"/>
      <c r="S201" s="19"/>
      <c r="T201" s="19"/>
      <c r="U201" s="19"/>
      <c r="V201" s="19"/>
      <c r="W201" s="19"/>
      <c r="X201" s="19"/>
      <c r="Y201" s="19"/>
    </row>
    <row r="202" spans="1:25" ht="12" customHeight="1">
      <c r="A202" s="219" t="n" cm="1">
        <f t="array" ref="A202">IFERROR(INDEX('03.Muestra'!$B$8:$B$42,SMALL(IF("Página Web"='03.Muestra'!$D$8:$D$42,ROW('03.Muestra'!$B$8:$B$42)-MIN(ROW('03.Muestra'!$D$8:$D$42))+1,""),ROW()-170)),"")</f>
        <v>1.0</v>
      </c>
      <c r="B202" s="114" t="str" cm="1">
        <f t="array" ref="B202">IFERROR(INDEX('03.Muestra'!$C$8:$C$42,SMALL(IF("Página Web"='03.Muestra'!$D$8:$D$42,ROW('03.Muestra'!$C$8:$C$42)-MIN(ROW('03.Muestra'!$D$8:$D$42))+1,""),ROW()-170)),"")</f>
        <v>Home - PortCastelló</v>
      </c>
      <c r="C202" s="114" t="str" cm="1">
        <f t="array" ref="C202">IFERROR(INDEX('03.Muestra'!$F$8:$F$42,SMALL(IF("Página Web"='03.Muestra'!$D$8:$D$42,ROW('03.Muestra'!$F$8:$F$42)-MIN(ROW('03.Muestra'!$D$8:$D$42))+1,""),ROW()-170)),"")</f>
        <v>https://www.portcastello.com/</v>
      </c>
      <c r="D202" s="130" t="s">
        <v>33</v>
      </c>
      <c r="E202" s="107" t="str">
        <f t="shared" si="8"/>
        <v/>
      </c>
      <c r="F202" s="124"/>
      <c r="G202" s="19"/>
      <c r="H202" s="19"/>
      <c r="I202" s="19"/>
      <c r="J202" s="19"/>
      <c r="K202" s="233"/>
      <c r="L202" s="19"/>
      <c r="M202" s="19"/>
      <c r="N202" s="19"/>
      <c r="O202" s="19"/>
      <c r="P202" s="19"/>
      <c r="Q202" s="19"/>
      <c r="R202" s="19"/>
      <c r="S202" s="19"/>
      <c r="T202" s="19"/>
      <c r="U202" s="19"/>
      <c r="V202" s="19"/>
      <c r="W202" s="19"/>
      <c r="X202" s="19"/>
      <c r="Y202" s="19"/>
    </row>
    <row r="203" spans="1:25" ht="12" customHeight="1">
      <c r="A203" s="219" t="n" cm="1">
        <f t="array" ref="A203">IFERROR(INDEX('03.Muestra'!$B$8:$B$42,SMALL(IF("Página Web"='03.Muestra'!$D$8:$D$42,ROW('03.Muestra'!$B$8:$B$42)-MIN(ROW('03.Muestra'!$D$8:$D$42))+1,""),ROW()-170)),"")</f>
        <v>1.0</v>
      </c>
      <c r="B203" s="114" t="str" cm="1">
        <f t="array" ref="B203">IFERROR(INDEX('03.Muestra'!$C$8:$C$42,SMALL(IF("Página Web"='03.Muestra'!$D$8:$D$42,ROW('03.Muestra'!$C$8:$C$42)-MIN(ROW('03.Muestra'!$D$8:$D$42))+1,""),ROW()-170)),"")</f>
        <v>Home - PortCastelló</v>
      </c>
      <c r="C203" s="114" t="str" cm="1">
        <f t="array" ref="C203">IFERROR(INDEX('03.Muestra'!$F$8:$F$42,SMALL(IF("Página Web"='03.Muestra'!$D$8:$D$42,ROW('03.Muestra'!$F$8:$F$42)-MIN(ROW('03.Muestra'!$D$8:$D$42))+1,""),ROW()-170)),"")</f>
        <v>https://www.portcastello.com/</v>
      </c>
      <c r="D203" s="130" t="s">
        <v>33</v>
      </c>
      <c r="E203" s="107" t="str">
        <f t="shared" si="8"/>
        <v/>
      </c>
      <c r="F203" s="124"/>
      <c r="G203" s="19"/>
      <c r="H203" s="19"/>
      <c r="I203" s="19"/>
      <c r="J203" s="19"/>
      <c r="K203" s="233"/>
      <c r="L203" s="19"/>
      <c r="M203" s="19"/>
      <c r="N203" s="19"/>
      <c r="O203" s="19"/>
      <c r="P203" s="19"/>
      <c r="Q203" s="19"/>
      <c r="R203" s="19"/>
      <c r="S203" s="19"/>
      <c r="T203" s="19"/>
      <c r="U203" s="19"/>
      <c r="V203" s="19"/>
      <c r="W203" s="19"/>
      <c r="X203" s="19"/>
      <c r="Y203" s="19"/>
    </row>
    <row r="204" spans="1:25" ht="12" customHeight="1">
      <c r="A204" s="219" t="str" cm="1">
        <f t="array" ref="A204">IFERROR(INDEX('03.Muestra'!$B$8:$B$42,SMALL(IF("Página Web"='03.Muestra'!$D$8:$D$42,ROW('03.Muestra'!$B$8:$B$42)-MIN(ROW('03.Muestra'!$D$8:$D$42))+1,""),ROW()-170)),"")</f>
        <v/>
      </c>
      <c r="B204" s="114" t="str" cm="1">
        <f t="array" ref="B204">IFERROR(INDEX('03.Muestra'!$C$8:$C$42,SMALL(IF("Página Web"='03.Muestra'!$D$8:$D$42,ROW('03.Muestra'!$C$8:$C$42)-MIN(ROW('03.Muestra'!$D$8:$D$42))+1,""),ROW()-170)),"")</f>
        <v/>
      </c>
      <c r="C204" s="114" t="str" cm="1">
        <f t="array" ref="C204">IFERROR(INDEX('03.Muestra'!$F$8:$F$42,SMALL(IF("Página Web"='03.Muestra'!$D$8:$D$42,ROW('03.Muestra'!$F$8:$F$42)-MIN(ROW('03.Muestra'!$D$8:$D$42))+1,""),ROW()-170)),"")</f>
        <v/>
      </c>
      <c r="D204" s="130" t="str">
        <f t="shared" si="9" ref="D204:D205">IF(AND(B204&lt;&gt;"",C204&lt;&gt;""),"N/T","")</f>
        <v/>
      </c>
      <c r="E204" s="107" t="str">
        <f t="shared" si="8"/>
        <v/>
      </c>
      <c r="F204" s="124"/>
      <c r="G204" s="19"/>
      <c r="H204" s="19"/>
      <c r="I204" s="19"/>
      <c r="J204" s="19"/>
      <c r="K204" s="233"/>
      <c r="L204" s="19"/>
      <c r="M204" s="19"/>
      <c r="N204" s="19"/>
      <c r="O204" s="19"/>
      <c r="P204" s="19"/>
      <c r="Q204" s="19"/>
      <c r="R204" s="19"/>
      <c r="S204" s="19"/>
      <c r="T204" s="19"/>
      <c r="U204" s="19"/>
      <c r="V204" s="19"/>
      <c r="W204" s="19"/>
      <c r="X204" s="19"/>
      <c r="Y204" s="19"/>
    </row>
    <row r="205" spans="1:25" ht="12" customHeight="1">
      <c r="A205" s="219" t="str" cm="1">
        <f t="array" ref="A205">IFERROR(INDEX('03.Muestra'!$B$8:$B$42,SMALL(IF("Página Web"='03.Muestra'!$D$8:$D$42,ROW('03.Muestra'!$B$8:$B$42)-MIN(ROW('03.Muestra'!$D$8:$D$42))+1,""),ROW()-170)),"")</f>
        <v/>
      </c>
      <c r="B205" s="114" t="str" cm="1">
        <f t="array" ref="B205">IFERROR(INDEX('03.Muestra'!$C$8:$C$42,SMALL(IF("Página Web"='03.Muestra'!$D$8:$D$42,ROW('03.Muestra'!$C$8:$C$42)-MIN(ROW('03.Muestra'!$D$8:$D$42))+1,""),ROW()-170)),"")</f>
        <v/>
      </c>
      <c r="C205" s="114" t="str" cm="1">
        <f t="array" ref="C205">IFERROR(INDEX('03.Muestra'!$F$8:$F$42,SMALL(IF("Página Web"='03.Muestra'!$D$8:$D$42,ROW('03.Muestra'!$F$8:$F$42)-MIN(ROW('03.Muestra'!$D$8:$D$42))+1,""),ROW()-170)),"")</f>
        <v/>
      </c>
      <c r="D205" s="130" t="str">
        <f t="shared" si="9"/>
        <v/>
      </c>
      <c r="E205" s="107" t="str">
        <f t="shared" si="8"/>
        <v/>
      </c>
      <c r="F205" s="19"/>
      <c r="G205" s="19"/>
      <c r="H205" s="19"/>
      <c r="I205" s="19"/>
      <c r="J205" s="19"/>
      <c r="K205" s="233"/>
      <c r="L205" s="19"/>
      <c r="M205" s="19"/>
      <c r="N205" s="19"/>
      <c r="O205" s="19"/>
      <c r="P205" s="19"/>
      <c r="Q205" s="19"/>
      <c r="R205" s="19"/>
      <c r="S205" s="19"/>
      <c r="T205" s="19"/>
      <c r="U205" s="19"/>
      <c r="V205" s="19"/>
      <c r="W205" s="19"/>
      <c r="X205" s="19"/>
      <c r="Y205" s="19"/>
    </row>
    <row r="206" spans="1:25" ht="12" customHeight="1">
      <c r="B206" s="19"/>
      <c r="C206" s="19"/>
      <c r="D206" s="107"/>
      <c r="E206" s="107"/>
      <c r="F206" s="19"/>
      <c r="G206" s="19"/>
      <c r="H206" s="19"/>
      <c r="I206" s="19"/>
      <c r="J206" s="19"/>
      <c r="K206" s="233"/>
      <c r="L206" s="19"/>
      <c r="M206" s="19"/>
      <c r="N206" s="19"/>
      <c r="O206" s="19"/>
      <c r="P206" s="19"/>
      <c r="Q206" s="19"/>
      <c r="R206" s="19"/>
      <c r="S206" s="19"/>
      <c r="T206" s="19"/>
      <c r="U206" s="19"/>
      <c r="V206" s="19"/>
      <c r="W206" s="19"/>
      <c r="X206" s="19"/>
      <c r="Y206" s="19"/>
    </row>
    <row r="207" spans="1:25" ht="12" customHeight="1">
      <c r="B207" s="19"/>
      <c r="C207" s="19"/>
      <c r="D207" s="107"/>
      <c r="E207" s="107"/>
      <c r="F207" s="19"/>
      <c r="G207" s="19"/>
      <c r="H207" s="19"/>
      <c r="I207" s="19"/>
      <c r="J207" s="19"/>
      <c r="K207" s="233"/>
      <c r="L207" s="19"/>
      <c r="M207" s="19"/>
      <c r="N207" s="19"/>
      <c r="O207" s="19"/>
      <c r="P207" s="19"/>
      <c r="Q207" s="19"/>
      <c r="R207" s="19"/>
      <c r="S207" s="19"/>
      <c r="T207" s="19"/>
      <c r="U207" s="19"/>
      <c r="V207" s="19"/>
      <c r="W207" s="19"/>
      <c r="X207" s="19"/>
      <c r="Y207" s="19"/>
    </row>
    <row r="208" spans="1:25" ht="12" customHeight="1">
      <c r="B208" s="19"/>
      <c r="C208" s="19"/>
      <c r="D208" s="107"/>
      <c r="E208" s="107"/>
      <c r="F208" s="19"/>
      <c r="G208" s="19"/>
      <c r="H208" s="19"/>
      <c r="I208" s="19"/>
      <c r="J208" s="19"/>
      <c r="K208" s="233"/>
      <c r="L208" s="19"/>
      <c r="M208" s="19"/>
      <c r="N208" s="19"/>
      <c r="O208" s="19"/>
      <c r="P208" s="19"/>
      <c r="Q208" s="19"/>
      <c r="R208" s="19"/>
      <c r="S208" s="19"/>
      <c r="T208" s="19"/>
      <c r="U208" s="19"/>
      <c r="V208" s="19"/>
      <c r="W208" s="19"/>
      <c r="X208" s="19"/>
      <c r="Y208" s="19"/>
    </row>
    <row r="209" spans="2:25" ht="12" customHeight="1">
      <c r="B209" s="19"/>
      <c r="C209" s="19"/>
      <c r="D209" s="107"/>
      <c r="E209" s="107"/>
      <c r="F209" s="19"/>
      <c r="G209" s="19"/>
      <c r="H209" s="19"/>
      <c r="I209" s="19"/>
      <c r="J209" s="19"/>
      <c r="K209" s="233"/>
      <c r="L209" s="19"/>
      <c r="M209" s="19"/>
      <c r="N209" s="19"/>
      <c r="O209" s="19"/>
      <c r="P209" s="19"/>
      <c r="Q209" s="19"/>
      <c r="R209" s="19"/>
      <c r="S209" s="19"/>
      <c r="T209" s="19"/>
      <c r="U209" s="19"/>
      <c r="V209" s="19"/>
      <c r="W209" s="19"/>
      <c r="X209" s="19"/>
      <c r="Y209" s="19"/>
    </row>
    <row r="210" spans="2:25" ht="12" customHeight="1">
      <c r="B210" s="19"/>
      <c r="C210" s="19"/>
      <c r="D210" s="107"/>
      <c r="E210" s="107"/>
      <c r="F210" s="19"/>
      <c r="G210" s="19"/>
      <c r="H210" s="19"/>
      <c r="I210" s="19"/>
      <c r="J210" s="19"/>
      <c r="K210" s="233"/>
      <c r="L210" s="19"/>
      <c r="M210" s="19"/>
      <c r="N210" s="19"/>
      <c r="O210" s="19"/>
      <c r="P210" s="19"/>
      <c r="Q210" s="19"/>
      <c r="R210" s="19"/>
      <c r="S210" s="19"/>
      <c r="T210" s="19"/>
      <c r="U210" s="19"/>
      <c r="V210" s="19"/>
      <c r="W210" s="19"/>
      <c r="X210" s="19"/>
      <c r="Y210" s="19"/>
    </row>
    <row r="211" spans="2:25" ht="12" customHeight="1">
      <c r="B211" s="19"/>
      <c r="C211" s="19"/>
      <c r="D211" s="107"/>
      <c r="E211" s="107"/>
      <c r="F211" s="19"/>
      <c r="G211" s="19"/>
      <c r="H211" s="19"/>
      <c r="I211" s="19"/>
      <c r="J211" s="19"/>
      <c r="K211" s="233"/>
      <c r="L211" s="19"/>
      <c r="M211" s="19"/>
      <c r="N211" s="19"/>
      <c r="O211" s="19"/>
      <c r="P211" s="19"/>
      <c r="Q211" s="19"/>
      <c r="R211" s="19"/>
      <c r="S211" s="19"/>
      <c r="T211" s="19"/>
      <c r="U211" s="19"/>
      <c r="V211" s="19"/>
      <c r="W211" s="19"/>
      <c r="X211" s="19"/>
      <c r="Y211" s="19"/>
    </row>
    <row r="212" spans="2:25" ht="12" customHeight="1">
      <c r="B212" s="19"/>
      <c r="C212" s="19"/>
      <c r="D212" s="107"/>
      <c r="E212" s="107"/>
      <c r="F212" s="19"/>
      <c r="G212" s="19"/>
      <c r="H212" s="19"/>
      <c r="I212" s="19"/>
      <c r="J212" s="19"/>
      <c r="K212" s="233"/>
      <c r="L212" s="19"/>
      <c r="M212" s="19"/>
      <c r="N212" s="19"/>
      <c r="O212" s="19"/>
      <c r="P212" s="19"/>
      <c r="Q212" s="19"/>
      <c r="R212" s="19"/>
      <c r="S212" s="19"/>
      <c r="T212" s="19"/>
      <c r="U212" s="19"/>
      <c r="V212" s="19"/>
      <c r="W212" s="19"/>
      <c r="X212" s="19"/>
      <c r="Y212" s="19"/>
    </row>
    <row r="213" spans="2:25" ht="12" customHeight="1">
      <c r="B213" s="19"/>
      <c r="C213" s="19"/>
      <c r="D213" s="107"/>
      <c r="E213" s="107"/>
      <c r="F213" s="19"/>
      <c r="G213" s="19"/>
      <c r="H213" s="19"/>
      <c r="I213" s="19"/>
      <c r="J213" s="19"/>
      <c r="K213" s="233"/>
      <c r="L213" s="19"/>
      <c r="M213" s="19"/>
      <c r="N213" s="19"/>
      <c r="O213" s="19"/>
      <c r="P213" s="19"/>
      <c r="Q213" s="19"/>
      <c r="R213" s="19"/>
      <c r="S213" s="19"/>
      <c r="T213" s="19"/>
      <c r="U213" s="19"/>
      <c r="V213" s="19"/>
      <c r="W213" s="19"/>
      <c r="X213" s="19"/>
      <c r="Y213" s="19"/>
    </row>
    <row r="214" spans="2:25" ht="12" customHeight="1">
      <c r="B214" s="19"/>
      <c r="C214" s="19"/>
      <c r="D214" s="107"/>
      <c r="E214" s="107"/>
      <c r="F214" s="19"/>
      <c r="G214" s="19"/>
      <c r="H214" s="19"/>
      <c r="I214" s="19"/>
      <c r="J214" s="19"/>
      <c r="K214" s="233"/>
      <c r="L214" s="19"/>
      <c r="M214" s="19"/>
      <c r="N214" s="19"/>
      <c r="O214" s="19"/>
      <c r="P214" s="19"/>
      <c r="Q214" s="19"/>
      <c r="R214" s="19"/>
      <c r="S214" s="19"/>
      <c r="T214" s="19"/>
      <c r="U214" s="19"/>
      <c r="V214" s="19"/>
      <c r="W214" s="19"/>
      <c r="X214" s="19"/>
      <c r="Y214" s="19"/>
    </row>
    <row r="215" spans="2:25" ht="12" customHeight="1">
      <c r="B215" s="19"/>
      <c r="C215" s="19"/>
      <c r="D215" s="107"/>
      <c r="E215" s="107"/>
      <c r="F215" s="19"/>
      <c r="G215" s="19"/>
      <c r="H215" s="19"/>
      <c r="I215" s="19"/>
      <c r="J215" s="19"/>
      <c r="K215" s="233"/>
      <c r="L215" s="19"/>
      <c r="M215" s="19"/>
      <c r="N215" s="19"/>
      <c r="O215" s="19"/>
      <c r="P215" s="19"/>
      <c r="Q215" s="19"/>
      <c r="R215" s="19"/>
      <c r="S215" s="19"/>
      <c r="T215" s="19"/>
      <c r="U215" s="19"/>
      <c r="V215" s="19"/>
      <c r="W215" s="19"/>
      <c r="X215" s="19"/>
      <c r="Y215" s="19"/>
    </row>
    <row r="216" spans="2:25" ht="12" customHeight="1">
      <c r="B216" s="19"/>
      <c r="C216" s="19"/>
      <c r="D216" s="107"/>
      <c r="E216" s="107"/>
      <c r="F216" s="19"/>
      <c r="G216" s="19"/>
      <c r="H216" s="19"/>
      <c r="I216" s="19"/>
      <c r="J216" s="19"/>
      <c r="K216" s="233"/>
      <c r="L216" s="19"/>
      <c r="M216" s="19"/>
      <c r="N216" s="19"/>
      <c r="O216" s="19"/>
      <c r="P216" s="19"/>
      <c r="Q216" s="19"/>
      <c r="R216" s="19"/>
      <c r="S216" s="19"/>
      <c r="T216" s="19"/>
      <c r="U216" s="19"/>
      <c r="V216" s="19"/>
      <c r="W216" s="19"/>
      <c r="X216" s="19"/>
      <c r="Y216" s="19"/>
    </row>
    <row r="217" spans="2:25" ht="12" customHeight="1">
      <c r="B217" s="19"/>
      <c r="C217" s="19"/>
      <c r="D217" s="107"/>
      <c r="E217" s="107"/>
      <c r="F217" s="19"/>
      <c r="G217" s="19"/>
      <c r="H217" s="19"/>
      <c r="I217" s="19"/>
      <c r="J217" s="19"/>
      <c r="K217" s="233"/>
      <c r="L217" s="19"/>
      <c r="M217" s="19"/>
      <c r="N217" s="19"/>
      <c r="O217" s="19"/>
      <c r="P217" s="19"/>
      <c r="Q217" s="19"/>
      <c r="R217" s="19"/>
      <c r="S217" s="19"/>
      <c r="T217" s="19"/>
      <c r="U217" s="19"/>
      <c r="V217" s="19"/>
      <c r="W217" s="19"/>
      <c r="X217" s="19"/>
      <c r="Y217" s="19"/>
    </row>
    <row r="218" spans="2:25" ht="12" customHeight="1">
      <c r="B218" s="19"/>
      <c r="C218" s="19"/>
      <c r="D218" s="107"/>
      <c r="E218" s="107"/>
      <c r="F218" s="19"/>
      <c r="G218" s="19"/>
      <c r="H218" s="19"/>
      <c r="I218" s="19"/>
      <c r="J218" s="19"/>
      <c r="K218" s="233"/>
      <c r="L218" s="19"/>
      <c r="M218" s="19"/>
      <c r="N218" s="19"/>
      <c r="O218" s="19"/>
      <c r="P218" s="19"/>
      <c r="Q218" s="19"/>
      <c r="R218" s="19"/>
      <c r="S218" s="19"/>
      <c r="T218" s="19"/>
      <c r="U218" s="19"/>
      <c r="V218" s="19"/>
      <c r="W218" s="19"/>
      <c r="X218" s="19"/>
      <c r="Y218" s="19"/>
    </row>
    <row r="219" spans="2:25" ht="12" customHeight="1">
      <c r="B219" s="19"/>
      <c r="C219" s="19"/>
      <c r="D219" s="107"/>
      <c r="E219" s="107"/>
      <c r="F219" s="19"/>
      <c r="G219" s="19"/>
      <c r="H219" s="19"/>
      <c r="I219" s="19"/>
      <c r="J219" s="19"/>
      <c r="K219" s="233"/>
      <c r="L219" s="19"/>
      <c r="M219" s="19"/>
      <c r="N219" s="19"/>
      <c r="O219" s="19"/>
      <c r="P219" s="19"/>
      <c r="Q219" s="19"/>
      <c r="R219" s="19"/>
      <c r="S219" s="19"/>
      <c r="T219" s="19"/>
      <c r="U219" s="19"/>
      <c r="V219" s="19"/>
      <c r="W219" s="19"/>
      <c r="X219" s="19"/>
      <c r="Y219" s="19"/>
    </row>
    <row r="220" spans="2:25" ht="12" customHeight="1">
      <c r="B220" s="19"/>
      <c r="C220" s="19"/>
      <c r="D220" s="107"/>
      <c r="E220" s="107"/>
      <c r="F220" s="19"/>
      <c r="G220" s="19"/>
      <c r="H220" s="19"/>
      <c r="I220" s="19"/>
      <c r="J220" s="19"/>
      <c r="K220" s="233"/>
      <c r="L220" s="19"/>
      <c r="M220" s="19"/>
      <c r="N220" s="19"/>
      <c r="O220" s="19"/>
      <c r="P220" s="19"/>
      <c r="Q220" s="19"/>
      <c r="R220" s="19"/>
      <c r="S220" s="19"/>
      <c r="T220" s="19"/>
      <c r="U220" s="19"/>
      <c r="V220" s="19"/>
      <c r="W220" s="19"/>
      <c r="X220" s="19"/>
      <c r="Y220" s="19"/>
    </row>
    <row r="221" spans="2:25" ht="12" customHeight="1">
      <c r="B221" s="19"/>
      <c r="C221" s="19"/>
      <c r="D221" s="107"/>
      <c r="E221" s="107"/>
      <c r="F221" s="19"/>
      <c r="G221" s="19"/>
      <c r="H221" s="19"/>
      <c r="I221" s="19"/>
      <c r="J221" s="19"/>
      <c r="K221" s="233"/>
      <c r="L221" s="19"/>
      <c r="M221" s="19"/>
      <c r="N221" s="19"/>
      <c r="O221" s="19"/>
      <c r="P221" s="19"/>
      <c r="Q221" s="19"/>
      <c r="R221" s="19"/>
      <c r="S221" s="19"/>
      <c r="T221" s="19"/>
      <c r="U221" s="19"/>
      <c r="V221" s="19"/>
      <c r="W221" s="19"/>
      <c r="X221" s="19"/>
      <c r="Y221" s="19"/>
    </row>
    <row r="222" spans="2:25" ht="12" customHeight="1">
      <c r="B222" s="19"/>
      <c r="C222" s="19"/>
      <c r="D222" s="107"/>
      <c r="E222" s="107"/>
      <c r="F222" s="19"/>
      <c r="G222" s="19"/>
      <c r="H222" s="19"/>
      <c r="I222" s="19"/>
      <c r="J222" s="19"/>
      <c r="K222" s="233"/>
      <c r="L222" s="19"/>
      <c r="M222" s="19"/>
      <c r="N222" s="19"/>
      <c r="O222" s="19"/>
      <c r="P222" s="19"/>
      <c r="Q222" s="19"/>
      <c r="R222" s="19"/>
      <c r="S222" s="19"/>
      <c r="T222" s="19"/>
      <c r="U222" s="19"/>
      <c r="V222" s="19"/>
      <c r="W222" s="19"/>
      <c r="X222" s="19"/>
      <c r="Y222" s="19"/>
    </row>
    <row r="223" spans="2:25" ht="12" customHeight="1">
      <c r="B223" s="19"/>
      <c r="C223" s="19"/>
      <c r="D223" s="107"/>
      <c r="E223" s="107"/>
      <c r="F223" s="19"/>
      <c r="G223" s="19"/>
      <c r="H223" s="19"/>
      <c r="I223" s="19"/>
      <c r="J223" s="19"/>
      <c r="K223" s="233"/>
      <c r="L223" s="19"/>
      <c r="M223" s="19"/>
      <c r="N223" s="19"/>
      <c r="O223" s="19"/>
      <c r="P223" s="19"/>
      <c r="Q223" s="19"/>
      <c r="R223" s="19"/>
      <c r="S223" s="19"/>
      <c r="T223" s="19"/>
      <c r="U223" s="19"/>
      <c r="V223" s="19"/>
      <c r="W223" s="19"/>
      <c r="X223" s="19"/>
      <c r="Y223" s="19"/>
    </row>
    <row r="224" spans="2:25" ht="12" customHeight="1">
      <c r="B224" s="19"/>
      <c r="C224" s="19"/>
      <c r="D224" s="107"/>
      <c r="E224" s="107"/>
      <c r="F224" s="19"/>
      <c r="G224" s="19"/>
      <c r="H224" s="19"/>
      <c r="I224" s="19"/>
      <c r="J224" s="19"/>
      <c r="K224" s="233"/>
      <c r="L224" s="19"/>
      <c r="M224" s="19"/>
      <c r="N224" s="19"/>
      <c r="O224" s="19"/>
      <c r="P224" s="19"/>
      <c r="Q224" s="19"/>
      <c r="R224" s="19"/>
      <c r="S224" s="19"/>
      <c r="T224" s="19"/>
      <c r="U224" s="19"/>
      <c r="V224" s="19"/>
      <c r="W224" s="19"/>
      <c r="X224" s="19"/>
      <c r="Y224" s="19"/>
    </row>
    <row r="225" spans="2:25" ht="12" customHeight="1">
      <c r="B225" s="19"/>
      <c r="C225" s="19"/>
      <c r="D225" s="107"/>
      <c r="E225" s="107"/>
      <c r="F225" s="19"/>
      <c r="G225" s="19"/>
      <c r="H225" s="19"/>
      <c r="I225" s="19"/>
      <c r="J225" s="19"/>
      <c r="K225" s="233"/>
      <c r="L225" s="19"/>
      <c r="M225" s="19"/>
      <c r="N225" s="19"/>
      <c r="O225" s="19"/>
      <c r="P225" s="19"/>
      <c r="Q225" s="19"/>
      <c r="R225" s="19"/>
      <c r="S225" s="19"/>
      <c r="T225" s="19"/>
      <c r="U225" s="19"/>
      <c r="V225" s="19"/>
      <c r="W225" s="19"/>
      <c r="X225" s="19"/>
      <c r="Y225" s="19"/>
    </row>
    <row r="226" spans="2:25" ht="12" customHeight="1">
      <c r="B226" s="19"/>
      <c r="C226" s="19"/>
      <c r="D226" s="107"/>
      <c r="E226" s="107"/>
      <c r="F226" s="19"/>
      <c r="G226" s="19"/>
      <c r="H226" s="19"/>
      <c r="I226" s="19"/>
      <c r="J226" s="19"/>
      <c r="K226" s="233"/>
      <c r="L226" s="19"/>
      <c r="M226" s="19"/>
      <c r="N226" s="19"/>
      <c r="O226" s="19"/>
      <c r="P226" s="19"/>
      <c r="Q226" s="19"/>
      <c r="R226" s="19"/>
      <c r="S226" s="19"/>
      <c r="T226" s="19"/>
      <c r="U226" s="19"/>
      <c r="V226" s="19"/>
      <c r="W226" s="19"/>
      <c r="X226" s="19"/>
      <c r="Y226" s="19"/>
    </row>
    <row r="227" spans="2:25" ht="12" customHeight="1">
      <c r="B227" s="19"/>
      <c r="C227" s="19"/>
      <c r="D227" s="107"/>
      <c r="E227" s="107"/>
      <c r="F227" s="19"/>
      <c r="G227" s="19"/>
      <c r="H227" s="19"/>
      <c r="I227" s="19"/>
      <c r="J227" s="19"/>
      <c r="K227" s="233"/>
      <c r="L227" s="19"/>
      <c r="M227" s="19"/>
      <c r="N227" s="19"/>
      <c r="O227" s="19"/>
      <c r="P227" s="19"/>
      <c r="Q227" s="19"/>
      <c r="R227" s="19"/>
      <c r="S227" s="19"/>
      <c r="T227" s="19"/>
      <c r="U227" s="19"/>
      <c r="V227" s="19"/>
      <c r="W227" s="19"/>
      <c r="X227" s="19"/>
      <c r="Y227" s="19"/>
    </row>
    <row r="228" spans="2:25" ht="12" customHeight="1">
      <c r="B228" s="19"/>
      <c r="C228" s="19"/>
      <c r="D228" s="107"/>
      <c r="E228" s="107"/>
      <c r="F228" s="19"/>
      <c r="G228" s="19"/>
      <c r="H228" s="19"/>
      <c r="I228" s="19"/>
      <c r="J228" s="19"/>
      <c r="K228" s="233"/>
      <c r="L228" s="19"/>
      <c r="M228" s="19"/>
      <c r="N228" s="19"/>
      <c r="O228" s="19"/>
      <c r="P228" s="19"/>
      <c r="Q228" s="19"/>
      <c r="R228" s="19"/>
      <c r="S228" s="19"/>
      <c r="T228" s="19"/>
      <c r="U228" s="19"/>
      <c r="V228" s="19"/>
      <c r="W228" s="19"/>
      <c r="X228" s="19"/>
      <c r="Y228" s="19"/>
    </row>
    <row r="229" spans="2:25" ht="12" customHeight="1">
      <c r="B229" s="19"/>
      <c r="C229" s="19"/>
      <c r="D229" s="107"/>
      <c r="E229" s="107"/>
      <c r="F229" s="19"/>
      <c r="G229" s="19"/>
      <c r="H229" s="19"/>
      <c r="I229" s="19"/>
      <c r="J229" s="19"/>
      <c r="K229" s="233"/>
      <c r="L229" s="19"/>
      <c r="M229" s="19"/>
      <c r="N229" s="19"/>
      <c r="O229" s="19"/>
      <c r="P229" s="19"/>
      <c r="Q229" s="19"/>
      <c r="R229" s="19"/>
      <c r="S229" s="19"/>
      <c r="T229" s="19"/>
      <c r="U229" s="19"/>
      <c r="V229" s="19"/>
      <c r="W229" s="19"/>
      <c r="X229" s="19"/>
      <c r="Y229" s="19"/>
    </row>
    <row r="230" spans="2:25" ht="12" customHeight="1">
      <c r="B230" s="19"/>
      <c r="C230" s="19"/>
      <c r="D230" s="107"/>
      <c r="E230" s="107"/>
      <c r="F230" s="19"/>
      <c r="G230" s="19"/>
      <c r="H230" s="19"/>
      <c r="I230" s="19"/>
      <c r="J230" s="19"/>
      <c r="K230" s="233"/>
      <c r="L230" s="19"/>
      <c r="M230" s="19"/>
      <c r="N230" s="19"/>
      <c r="O230" s="19"/>
      <c r="P230" s="19"/>
      <c r="Q230" s="19"/>
      <c r="R230" s="19"/>
      <c r="S230" s="19"/>
      <c r="T230" s="19"/>
      <c r="U230" s="19"/>
      <c r="V230" s="19"/>
      <c r="W230" s="19"/>
      <c r="X230" s="19"/>
      <c r="Y230" s="19"/>
    </row>
    <row r="231" spans="2:25" ht="12" customHeight="1">
      <c r="B231" s="19"/>
      <c r="C231" s="19"/>
      <c r="D231" s="107"/>
      <c r="E231" s="107"/>
      <c r="F231" s="19"/>
      <c r="G231" s="19"/>
      <c r="H231" s="19"/>
      <c r="I231" s="19"/>
      <c r="J231" s="19"/>
      <c r="K231" s="233"/>
      <c r="L231" s="19"/>
      <c r="M231" s="19"/>
      <c r="N231" s="19"/>
      <c r="O231" s="19"/>
      <c r="P231" s="19"/>
      <c r="Q231" s="19"/>
      <c r="R231" s="19"/>
      <c r="S231" s="19"/>
      <c r="T231" s="19"/>
      <c r="U231" s="19"/>
      <c r="V231" s="19"/>
      <c r="W231" s="19"/>
      <c r="X231" s="19"/>
      <c r="Y231" s="19"/>
    </row>
    <row r="232" spans="2:25" ht="12" customHeight="1">
      <c r="B232" s="19"/>
      <c r="C232" s="19"/>
      <c r="D232" s="107"/>
      <c r="E232" s="107"/>
      <c r="F232" s="19"/>
      <c r="G232" s="19"/>
      <c r="H232" s="19"/>
      <c r="I232" s="19"/>
      <c r="J232" s="19"/>
      <c r="K232" s="233"/>
      <c r="L232" s="19"/>
      <c r="M232" s="19"/>
      <c r="N232" s="19"/>
      <c r="O232" s="19"/>
      <c r="P232" s="19"/>
      <c r="Q232" s="19"/>
      <c r="R232" s="19"/>
      <c r="S232" s="19"/>
      <c r="T232" s="19"/>
      <c r="U232" s="19"/>
      <c r="V232" s="19"/>
      <c r="W232" s="19"/>
      <c r="X232" s="19"/>
      <c r="Y232" s="19"/>
    </row>
    <row r="233" spans="2:25" ht="12" customHeight="1">
      <c r="B233" s="19"/>
      <c r="C233" s="19"/>
      <c r="D233" s="107"/>
      <c r="E233" s="107"/>
      <c r="F233" s="19"/>
      <c r="G233" s="19"/>
      <c r="H233" s="19"/>
      <c r="I233" s="19"/>
      <c r="J233" s="19"/>
      <c r="K233" s="233"/>
      <c r="L233" s="19"/>
      <c r="M233" s="19"/>
      <c r="N233" s="19"/>
      <c r="O233" s="19"/>
      <c r="P233" s="19"/>
      <c r="Q233" s="19"/>
      <c r="R233" s="19"/>
      <c r="S233" s="19"/>
      <c r="T233" s="19"/>
      <c r="U233" s="19"/>
      <c r="V233" s="19"/>
      <c r="W233" s="19"/>
      <c r="X233" s="19"/>
      <c r="Y233" s="19"/>
    </row>
    <row r="234" spans="2:25" ht="12" customHeight="1">
      <c r="B234" s="19"/>
      <c r="C234" s="19"/>
      <c r="D234" s="107"/>
      <c r="E234" s="107"/>
      <c r="F234" s="19"/>
      <c r="G234" s="19"/>
      <c r="H234" s="19"/>
      <c r="I234" s="19"/>
      <c r="J234" s="19"/>
      <c r="K234" s="233"/>
      <c r="L234" s="19"/>
      <c r="M234" s="19"/>
      <c r="N234" s="19"/>
      <c r="O234" s="19"/>
      <c r="P234" s="19"/>
      <c r="Q234" s="19"/>
      <c r="R234" s="19"/>
      <c r="S234" s="19"/>
      <c r="T234" s="19"/>
      <c r="U234" s="19"/>
      <c r="V234" s="19"/>
      <c r="W234" s="19"/>
      <c r="X234" s="19"/>
      <c r="Y234" s="19"/>
    </row>
    <row r="235" spans="2:25" ht="12" customHeight="1">
      <c r="B235" s="19"/>
      <c r="C235" s="19"/>
      <c r="D235" s="107"/>
      <c r="E235" s="107"/>
      <c r="F235" s="19"/>
      <c r="G235" s="19"/>
      <c r="H235" s="19"/>
      <c r="I235" s="19"/>
      <c r="J235" s="19"/>
      <c r="K235" s="233"/>
      <c r="L235" s="19"/>
      <c r="M235" s="19"/>
      <c r="N235" s="19"/>
      <c r="O235" s="19"/>
      <c r="P235" s="19"/>
      <c r="Q235" s="19"/>
      <c r="R235" s="19"/>
      <c r="S235" s="19"/>
      <c r="T235" s="19"/>
      <c r="U235" s="19"/>
      <c r="V235" s="19"/>
      <c r="W235" s="19"/>
      <c r="X235" s="19"/>
      <c r="Y235" s="19"/>
    </row>
    <row r="236" spans="2:25" ht="12" customHeight="1">
      <c r="B236" s="19"/>
      <c r="C236" s="19"/>
      <c r="D236" s="107"/>
      <c r="E236" s="107"/>
      <c r="F236" s="19"/>
      <c r="G236" s="19"/>
      <c r="H236" s="19"/>
      <c r="I236" s="19"/>
      <c r="J236" s="19"/>
      <c r="K236" s="233"/>
      <c r="L236" s="19"/>
      <c r="M236" s="19"/>
      <c r="N236" s="19"/>
      <c r="O236" s="19"/>
      <c r="P236" s="19"/>
      <c r="Q236" s="19"/>
      <c r="R236" s="19"/>
      <c r="S236" s="19"/>
      <c r="T236" s="19"/>
      <c r="U236" s="19"/>
      <c r="V236" s="19"/>
      <c r="W236" s="19"/>
      <c r="X236" s="19"/>
      <c r="Y236" s="19"/>
    </row>
    <row r="237" spans="2:25" ht="12" customHeight="1">
      <c r="B237" s="19"/>
      <c r="C237" s="19"/>
      <c r="D237" s="107"/>
      <c r="E237" s="107"/>
      <c r="F237" s="19"/>
      <c r="G237" s="19"/>
      <c r="H237" s="19"/>
      <c r="I237" s="19"/>
      <c r="J237" s="19"/>
      <c r="K237" s="233"/>
      <c r="L237" s="19"/>
      <c r="M237" s="19"/>
      <c r="N237" s="19"/>
      <c r="O237" s="19"/>
      <c r="P237" s="19"/>
      <c r="Q237" s="19"/>
      <c r="R237" s="19"/>
      <c r="S237" s="19"/>
      <c r="T237" s="19"/>
      <c r="U237" s="19"/>
      <c r="V237" s="19"/>
      <c r="W237" s="19"/>
      <c r="X237" s="19"/>
      <c r="Y237" s="19"/>
    </row>
    <row r="238" spans="2:25" ht="12" customHeight="1">
      <c r="B238" s="19"/>
      <c r="C238" s="19"/>
      <c r="D238" s="107"/>
      <c r="E238" s="107"/>
      <c r="F238" s="19"/>
      <c r="G238" s="19"/>
      <c r="H238" s="19"/>
      <c r="I238" s="19"/>
      <c r="J238" s="19"/>
      <c r="K238" s="233"/>
      <c r="L238" s="19"/>
      <c r="M238" s="19"/>
      <c r="N238" s="19"/>
      <c r="O238" s="19"/>
      <c r="P238" s="19"/>
      <c r="Q238" s="19"/>
      <c r="R238" s="19"/>
      <c r="S238" s="19"/>
      <c r="T238" s="19"/>
      <c r="U238" s="19"/>
      <c r="V238" s="19"/>
      <c r="W238" s="19"/>
      <c r="X238" s="19"/>
      <c r="Y238" s="19"/>
    </row>
    <row r="239" spans="2:25" ht="12" customHeight="1">
      <c r="B239" s="19"/>
      <c r="C239" s="19"/>
      <c r="D239" s="107"/>
      <c r="E239" s="107"/>
      <c r="F239" s="19"/>
      <c r="G239" s="19"/>
      <c r="H239" s="19"/>
      <c r="I239" s="19"/>
      <c r="J239" s="19"/>
      <c r="K239" s="233"/>
      <c r="L239" s="19"/>
      <c r="M239" s="19"/>
      <c r="N239" s="19"/>
      <c r="O239" s="19"/>
      <c r="P239" s="19"/>
      <c r="Q239" s="19"/>
      <c r="R239" s="19"/>
      <c r="S239" s="19"/>
      <c r="T239" s="19"/>
      <c r="U239" s="19"/>
      <c r="V239" s="19"/>
      <c r="W239" s="19"/>
      <c r="X239" s="19"/>
      <c r="Y239" s="19"/>
    </row>
    <row r="240" spans="2:25" ht="12" customHeight="1">
      <c r="B240" s="19"/>
      <c r="C240" s="19"/>
      <c r="D240" s="107"/>
      <c r="E240" s="107"/>
      <c r="F240" s="19"/>
      <c r="G240" s="19"/>
      <c r="H240" s="19"/>
      <c r="I240" s="19"/>
      <c r="J240" s="19"/>
      <c r="K240" s="233"/>
      <c r="L240" s="19"/>
      <c r="M240" s="19"/>
      <c r="N240" s="19"/>
      <c r="O240" s="19"/>
      <c r="P240" s="19"/>
      <c r="Q240" s="19"/>
      <c r="R240" s="19"/>
      <c r="S240" s="19"/>
      <c r="T240" s="19"/>
      <c r="U240" s="19"/>
      <c r="V240" s="19"/>
      <c r="W240" s="19"/>
      <c r="X240" s="19"/>
      <c r="Y240" s="19"/>
    </row>
    <row r="241" spans="2:25" ht="12" customHeight="1">
      <c r="B241" s="19"/>
      <c r="C241" s="19"/>
      <c r="D241" s="107"/>
      <c r="E241" s="107"/>
      <c r="F241" s="19"/>
      <c r="G241" s="19"/>
      <c r="H241" s="19"/>
      <c r="I241" s="19"/>
      <c r="J241" s="19"/>
      <c r="K241" s="233"/>
      <c r="L241" s="19"/>
      <c r="M241" s="19"/>
      <c r="N241" s="19"/>
      <c r="O241" s="19"/>
      <c r="P241" s="19"/>
      <c r="Q241" s="19"/>
      <c r="R241" s="19"/>
      <c r="S241" s="19"/>
      <c r="T241" s="19"/>
      <c r="U241" s="19"/>
      <c r="V241" s="19"/>
      <c r="W241" s="19"/>
      <c r="X241" s="19"/>
      <c r="Y241" s="19"/>
    </row>
    <row r="242" spans="2:25" ht="12" customHeight="1">
      <c r="B242" s="19"/>
      <c r="C242" s="19"/>
      <c r="D242" s="107"/>
      <c r="E242" s="107"/>
      <c r="F242" s="19"/>
      <c r="G242" s="19"/>
      <c r="H242" s="19"/>
      <c r="I242" s="19"/>
      <c r="J242" s="19"/>
      <c r="K242" s="233"/>
      <c r="L242" s="19"/>
      <c r="M242" s="19"/>
      <c r="N242" s="19"/>
      <c r="O242" s="19"/>
      <c r="P242" s="19"/>
      <c r="Q242" s="19"/>
      <c r="R242" s="19"/>
      <c r="S242" s="19"/>
      <c r="T242" s="19"/>
      <c r="U242" s="19"/>
      <c r="V242" s="19"/>
      <c r="W242" s="19"/>
      <c r="X242" s="19"/>
      <c r="Y242" s="19"/>
    </row>
    <row r="243" spans="2:25" ht="12" customHeight="1">
      <c r="B243" s="19"/>
      <c r="C243" s="19"/>
      <c r="D243" s="107"/>
      <c r="E243" s="107"/>
      <c r="F243" s="19"/>
      <c r="G243" s="19"/>
      <c r="H243" s="19"/>
      <c r="I243" s="19"/>
      <c r="J243" s="19"/>
      <c r="K243" s="233"/>
      <c r="L243" s="19"/>
      <c r="M243" s="19"/>
      <c r="N243" s="19"/>
      <c r="O243" s="19"/>
      <c r="P243" s="19"/>
      <c r="Q243" s="19"/>
      <c r="R243" s="19"/>
      <c r="S243" s="19"/>
      <c r="T243" s="19"/>
      <c r="U243" s="19"/>
      <c r="V243" s="19"/>
      <c r="W243" s="19"/>
      <c r="X243" s="19"/>
      <c r="Y243" s="19"/>
    </row>
    <row r="244" spans="2:25" ht="12" customHeight="1">
      <c r="B244" s="19"/>
      <c r="C244" s="19"/>
      <c r="D244" s="107"/>
      <c r="E244" s="107"/>
      <c r="F244" s="19"/>
      <c r="G244" s="19"/>
      <c r="H244" s="19"/>
      <c r="I244" s="19"/>
      <c r="J244" s="19"/>
      <c r="K244" s="233"/>
      <c r="L244" s="19"/>
      <c r="M244" s="19"/>
      <c r="N244" s="19"/>
      <c r="O244" s="19"/>
      <c r="P244" s="19"/>
      <c r="Q244" s="19"/>
      <c r="R244" s="19"/>
      <c r="S244" s="19"/>
      <c r="T244" s="19"/>
      <c r="U244" s="19"/>
      <c r="V244" s="19"/>
      <c r="W244" s="19"/>
      <c r="X244" s="19"/>
      <c r="Y244" s="19"/>
    </row>
    <row r="245" spans="2:25" ht="12" customHeight="1">
      <c r="B245" s="19"/>
      <c r="C245" s="19"/>
      <c r="D245" s="107"/>
      <c r="E245" s="107"/>
      <c r="F245" s="19"/>
      <c r="G245" s="19"/>
      <c r="H245" s="19"/>
      <c r="I245" s="19"/>
      <c r="J245" s="19"/>
      <c r="K245" s="233"/>
      <c r="L245" s="19"/>
      <c r="M245" s="19"/>
      <c r="N245" s="19"/>
      <c r="O245" s="19"/>
      <c r="P245" s="19"/>
      <c r="Q245" s="19"/>
      <c r="R245" s="19"/>
      <c r="S245" s="19"/>
      <c r="T245" s="19"/>
      <c r="U245" s="19"/>
      <c r="V245" s="19"/>
      <c r="W245" s="19"/>
      <c r="X245" s="19"/>
      <c r="Y245" s="19"/>
    </row>
    <row r="246" spans="2:25" ht="12" customHeight="1">
      <c r="B246" s="19"/>
      <c r="C246" s="19"/>
      <c r="D246" s="107"/>
      <c r="E246" s="107"/>
      <c r="F246" s="19"/>
      <c r="G246" s="19"/>
      <c r="H246" s="19"/>
      <c r="I246" s="19"/>
      <c r="J246" s="19"/>
      <c r="K246" s="233"/>
      <c r="L246" s="19"/>
      <c r="M246" s="19"/>
      <c r="N246" s="19"/>
      <c r="O246" s="19"/>
      <c r="P246" s="19"/>
      <c r="Q246" s="19"/>
      <c r="R246" s="19"/>
      <c r="S246" s="19"/>
      <c r="T246" s="19"/>
      <c r="U246" s="19"/>
      <c r="V246" s="19"/>
      <c r="W246" s="19"/>
      <c r="X246" s="19"/>
      <c r="Y246" s="19"/>
    </row>
    <row r="247" spans="2:25" ht="12" customHeight="1">
      <c r="B247" s="19"/>
      <c r="C247" s="19"/>
      <c r="D247" s="107"/>
      <c r="E247" s="107"/>
      <c r="F247" s="19"/>
      <c r="G247" s="19"/>
      <c r="H247" s="19"/>
      <c r="I247" s="19"/>
      <c r="J247" s="19"/>
      <c r="K247" s="233"/>
      <c r="L247" s="19"/>
      <c r="M247" s="19"/>
      <c r="N247" s="19"/>
      <c r="O247" s="19"/>
      <c r="P247" s="19"/>
      <c r="Q247" s="19"/>
      <c r="R247" s="19"/>
      <c r="S247" s="19"/>
      <c r="T247" s="19"/>
      <c r="U247" s="19"/>
      <c r="V247" s="19"/>
      <c r="W247" s="19"/>
      <c r="X247" s="19"/>
      <c r="Y247" s="19"/>
    </row>
    <row r="248" spans="2:25" ht="12" customHeight="1">
      <c r="B248" s="19"/>
      <c r="C248" s="19"/>
      <c r="D248" s="107"/>
      <c r="E248" s="107"/>
      <c r="F248" s="19"/>
      <c r="G248" s="19"/>
      <c r="H248" s="19"/>
      <c r="I248" s="19"/>
      <c r="J248" s="19"/>
      <c r="K248" s="233"/>
      <c r="L248" s="19"/>
      <c r="M248" s="19"/>
      <c r="N248" s="19"/>
      <c r="O248" s="19"/>
      <c r="P248" s="19"/>
      <c r="Q248" s="19"/>
      <c r="R248" s="19"/>
      <c r="S248" s="19"/>
      <c r="T248" s="19"/>
      <c r="U248" s="19"/>
      <c r="V248" s="19"/>
      <c r="W248" s="19"/>
      <c r="X248" s="19"/>
      <c r="Y248" s="19"/>
    </row>
    <row r="249" spans="2:25" ht="12" customHeight="1">
      <c r="B249" s="19"/>
      <c r="C249" s="19"/>
      <c r="D249" s="107"/>
      <c r="E249" s="107"/>
      <c r="F249" s="19"/>
      <c r="G249" s="19"/>
      <c r="H249" s="19"/>
      <c r="I249" s="19"/>
      <c r="J249" s="19"/>
      <c r="K249" s="233"/>
      <c r="L249" s="19"/>
      <c r="M249" s="19"/>
      <c r="N249" s="19"/>
      <c r="O249" s="19"/>
      <c r="P249" s="19"/>
      <c r="Q249" s="19"/>
      <c r="R249" s="19"/>
      <c r="S249" s="19"/>
      <c r="T249" s="19"/>
      <c r="U249" s="19"/>
      <c r="V249" s="19"/>
      <c r="W249" s="19"/>
      <c r="X249" s="19"/>
      <c r="Y249" s="19"/>
    </row>
    <row r="250" spans="2:25" ht="12" customHeight="1">
      <c r="B250" s="19"/>
      <c r="C250" s="19"/>
      <c r="D250" s="107"/>
      <c r="E250" s="107"/>
      <c r="F250" s="19"/>
      <c r="G250" s="19"/>
      <c r="H250" s="19"/>
      <c r="I250" s="19"/>
      <c r="J250" s="19"/>
      <c r="K250" s="233"/>
      <c r="L250" s="19"/>
      <c r="M250" s="19"/>
      <c r="N250" s="19"/>
      <c r="O250" s="19"/>
      <c r="P250" s="19"/>
      <c r="Q250" s="19"/>
      <c r="R250" s="19"/>
      <c r="S250" s="19"/>
      <c r="T250" s="19"/>
      <c r="U250" s="19"/>
      <c r="V250" s="19"/>
      <c r="W250" s="19"/>
      <c r="X250" s="19"/>
      <c r="Y250" s="19"/>
    </row>
    <row r="251" spans="2:25" ht="12" customHeight="1">
      <c r="B251" s="19"/>
      <c r="C251" s="19"/>
      <c r="D251" s="107"/>
      <c r="E251" s="107"/>
      <c r="F251" s="19"/>
      <c r="G251" s="19"/>
      <c r="H251" s="19"/>
      <c r="I251" s="19"/>
      <c r="J251" s="19"/>
      <c r="K251" s="233"/>
      <c r="L251" s="19"/>
      <c r="M251" s="19"/>
      <c r="N251" s="19"/>
      <c r="O251" s="19"/>
      <c r="P251" s="19"/>
      <c r="Q251" s="19"/>
      <c r="R251" s="19"/>
      <c r="S251" s="19"/>
      <c r="T251" s="19"/>
      <c r="U251" s="19"/>
      <c r="V251" s="19"/>
      <c r="W251" s="19"/>
      <c r="X251" s="19"/>
      <c r="Y251" s="19"/>
    </row>
    <row r="252" spans="2:25" ht="12" customHeight="1">
      <c r="B252" s="19"/>
      <c r="C252" s="19"/>
      <c r="D252" s="107"/>
      <c r="E252" s="107"/>
      <c r="F252" s="19"/>
      <c r="G252" s="19"/>
      <c r="H252" s="19"/>
      <c r="I252" s="19"/>
      <c r="J252" s="19"/>
      <c r="K252" s="233"/>
      <c r="L252" s="19"/>
      <c r="M252" s="19"/>
      <c r="N252" s="19"/>
      <c r="O252" s="19"/>
      <c r="P252" s="19"/>
      <c r="Q252" s="19"/>
      <c r="R252" s="19"/>
      <c r="S252" s="19"/>
      <c r="T252" s="19"/>
      <c r="U252" s="19"/>
      <c r="V252" s="19"/>
      <c r="W252" s="19"/>
      <c r="X252" s="19"/>
      <c r="Y252" s="19"/>
    </row>
    <row r="253" spans="2:25" ht="12" customHeight="1">
      <c r="B253" s="19"/>
      <c r="C253" s="19"/>
      <c r="D253" s="107"/>
      <c r="E253" s="107"/>
      <c r="F253" s="19"/>
      <c r="G253" s="19"/>
      <c r="H253" s="19"/>
      <c r="I253" s="19"/>
      <c r="J253" s="19"/>
      <c r="K253" s="233"/>
      <c r="L253" s="19"/>
      <c r="M253" s="19"/>
      <c r="N253" s="19"/>
      <c r="O253" s="19"/>
      <c r="P253" s="19"/>
      <c r="Q253" s="19"/>
      <c r="R253" s="19"/>
      <c r="S253" s="19"/>
      <c r="T253" s="19"/>
      <c r="U253" s="19"/>
      <c r="V253" s="19"/>
      <c r="W253" s="19"/>
      <c r="X253" s="19"/>
      <c r="Y253" s="19"/>
    </row>
    <row r="254" spans="2:25" ht="12" customHeight="1">
      <c r="B254" s="19"/>
      <c r="C254" s="19"/>
      <c r="D254" s="107"/>
      <c r="E254" s="107"/>
      <c r="F254" s="19"/>
      <c r="G254" s="19"/>
      <c r="H254" s="19"/>
      <c r="I254" s="19"/>
      <c r="J254" s="19"/>
      <c r="K254" s="233"/>
      <c r="L254" s="19"/>
      <c r="M254" s="19"/>
      <c r="N254" s="19"/>
      <c r="O254" s="19"/>
      <c r="P254" s="19"/>
      <c r="Q254" s="19"/>
      <c r="R254" s="19"/>
      <c r="S254" s="19"/>
      <c r="T254" s="19"/>
      <c r="U254" s="19"/>
      <c r="V254" s="19"/>
      <c r="W254" s="19"/>
      <c r="X254" s="19"/>
      <c r="Y254" s="19"/>
    </row>
    <row r="255" spans="2:25" ht="12" customHeight="1">
      <c r="B255" s="19"/>
      <c r="C255" s="19"/>
      <c r="D255" s="107"/>
      <c r="E255" s="107"/>
      <c r="F255" s="19"/>
      <c r="G255" s="19"/>
      <c r="H255" s="19"/>
      <c r="I255" s="19"/>
      <c r="J255" s="19"/>
      <c r="K255" s="233"/>
      <c r="L255" s="19"/>
      <c r="M255" s="19"/>
      <c r="N255" s="19"/>
      <c r="O255" s="19"/>
      <c r="P255" s="19"/>
      <c r="Q255" s="19"/>
      <c r="R255" s="19"/>
      <c r="S255" s="19"/>
      <c r="T255" s="19"/>
      <c r="U255" s="19"/>
      <c r="V255" s="19"/>
      <c r="W255" s="19"/>
      <c r="X255" s="19"/>
      <c r="Y255" s="19"/>
    </row>
    <row r="256" spans="2:25" ht="12" customHeight="1">
      <c r="B256" s="19"/>
      <c r="C256" s="19"/>
      <c r="D256" s="107"/>
      <c r="E256" s="107"/>
      <c r="F256" s="19"/>
      <c r="G256" s="19"/>
      <c r="H256" s="19"/>
      <c r="I256" s="19"/>
      <c r="J256" s="19"/>
      <c r="K256" s="233"/>
      <c r="L256" s="19"/>
      <c r="M256" s="19"/>
      <c r="N256" s="19"/>
      <c r="O256" s="19"/>
      <c r="P256" s="19"/>
      <c r="Q256" s="19"/>
      <c r="R256" s="19"/>
      <c r="S256" s="19"/>
      <c r="T256" s="19"/>
      <c r="U256" s="19"/>
      <c r="V256" s="19"/>
      <c r="W256" s="19"/>
      <c r="X256" s="19"/>
      <c r="Y256" s="19"/>
    </row>
    <row r="257" spans="2:25" ht="12" customHeight="1">
      <c r="B257" s="19"/>
      <c r="C257" s="19"/>
      <c r="D257" s="107"/>
      <c r="E257" s="107"/>
      <c r="F257" s="19"/>
      <c r="G257" s="19"/>
      <c r="H257" s="19"/>
      <c r="I257" s="19"/>
      <c r="J257" s="19"/>
      <c r="K257" s="233"/>
      <c r="L257" s="19"/>
      <c r="M257" s="19"/>
      <c r="N257" s="19"/>
      <c r="O257" s="19"/>
      <c r="P257" s="19"/>
      <c r="Q257" s="19"/>
      <c r="R257" s="19"/>
      <c r="S257" s="19"/>
      <c r="T257" s="19"/>
      <c r="U257" s="19"/>
      <c r="V257" s="19"/>
      <c r="W257" s="19"/>
      <c r="X257" s="19"/>
      <c r="Y257" s="19"/>
    </row>
    <row r="258" spans="2:25" ht="12" customHeight="1">
      <c r="B258" s="19"/>
      <c r="C258" s="19"/>
      <c r="D258" s="107"/>
      <c r="E258" s="107"/>
      <c r="F258" s="19"/>
      <c r="G258" s="19"/>
      <c r="H258" s="19"/>
      <c r="I258" s="19"/>
      <c r="J258" s="19"/>
      <c r="K258" s="233"/>
      <c r="L258" s="19"/>
      <c r="M258" s="19"/>
      <c r="N258" s="19"/>
      <c r="O258" s="19"/>
      <c r="P258" s="19"/>
      <c r="Q258" s="19"/>
      <c r="R258" s="19"/>
      <c r="S258" s="19"/>
      <c r="T258" s="19"/>
      <c r="U258" s="19"/>
      <c r="V258" s="19"/>
      <c r="W258" s="19"/>
      <c r="X258" s="19"/>
      <c r="Y258" s="19"/>
    </row>
    <row r="259" spans="2:25" ht="12" customHeight="1">
      <c r="B259" s="19"/>
      <c r="C259" s="19"/>
      <c r="D259" s="107"/>
      <c r="E259" s="107"/>
      <c r="F259" s="19"/>
      <c r="G259" s="19"/>
      <c r="H259" s="19"/>
      <c r="I259" s="19"/>
      <c r="J259" s="19"/>
      <c r="K259" s="233"/>
      <c r="L259" s="19"/>
      <c r="M259" s="19"/>
      <c r="N259" s="19"/>
      <c r="O259" s="19"/>
      <c r="P259" s="19"/>
      <c r="Q259" s="19"/>
      <c r="R259" s="19"/>
      <c r="S259" s="19"/>
      <c r="T259" s="19"/>
      <c r="U259" s="19"/>
      <c r="V259" s="19"/>
      <c r="W259" s="19"/>
      <c r="X259" s="19"/>
      <c r="Y259" s="19"/>
    </row>
    <row r="260" spans="2:25" ht="12" customHeight="1">
      <c r="B260" s="19"/>
      <c r="C260" s="19"/>
      <c r="D260" s="107"/>
      <c r="E260" s="107"/>
      <c r="F260" s="19"/>
      <c r="G260" s="19"/>
      <c r="H260" s="19"/>
      <c r="I260" s="19"/>
      <c r="J260" s="19"/>
      <c r="K260" s="233"/>
      <c r="L260" s="19"/>
      <c r="M260" s="19"/>
      <c r="N260" s="19"/>
      <c r="O260" s="19"/>
      <c r="P260" s="19"/>
      <c r="Q260" s="19"/>
      <c r="R260" s="19"/>
      <c r="S260" s="19"/>
      <c r="T260" s="19"/>
      <c r="U260" s="19"/>
      <c r="V260" s="19"/>
      <c r="W260" s="19"/>
      <c r="X260" s="19"/>
      <c r="Y260" s="19"/>
    </row>
    <row r="261" spans="2:25" ht="12" customHeight="1">
      <c r="B261" s="19"/>
      <c r="C261" s="19"/>
      <c r="D261" s="107"/>
      <c r="E261" s="107"/>
      <c r="F261" s="19"/>
      <c r="G261" s="19"/>
      <c r="H261" s="19"/>
      <c r="I261" s="19"/>
      <c r="J261" s="19"/>
      <c r="K261" s="233"/>
      <c r="L261" s="19"/>
      <c r="M261" s="19"/>
      <c r="N261" s="19"/>
      <c r="O261" s="19"/>
      <c r="P261" s="19"/>
      <c r="Q261" s="19"/>
      <c r="R261" s="19"/>
      <c r="S261" s="19"/>
      <c r="T261" s="19"/>
      <c r="U261" s="19"/>
      <c r="V261" s="19"/>
      <c r="W261" s="19"/>
      <c r="X261" s="19"/>
      <c r="Y261" s="19"/>
    </row>
    <row r="262" spans="2:25" ht="12" customHeight="1">
      <c r="B262" s="19"/>
      <c r="C262" s="19"/>
      <c r="D262" s="107"/>
      <c r="E262" s="107"/>
      <c r="F262" s="19"/>
      <c r="G262" s="19"/>
      <c r="H262" s="19"/>
      <c r="I262" s="19"/>
      <c r="J262" s="19"/>
      <c r="K262" s="233"/>
      <c r="L262" s="19"/>
      <c r="M262" s="19"/>
      <c r="N262" s="19"/>
      <c r="O262" s="19"/>
      <c r="P262" s="19"/>
      <c r="Q262" s="19"/>
      <c r="R262" s="19"/>
      <c r="S262" s="19"/>
      <c r="T262" s="19"/>
      <c r="U262" s="19"/>
      <c r="V262" s="19"/>
      <c r="W262" s="19"/>
      <c r="X262" s="19"/>
      <c r="Y262" s="19"/>
    </row>
    <row r="263" spans="2:25" ht="12" customHeight="1">
      <c r="B263" s="19"/>
      <c r="C263" s="19"/>
      <c r="D263" s="107"/>
      <c r="E263" s="107"/>
      <c r="F263" s="19"/>
      <c r="G263" s="19"/>
      <c r="H263" s="19"/>
      <c r="I263" s="19"/>
      <c r="J263" s="19"/>
      <c r="K263" s="233"/>
      <c r="L263" s="19"/>
      <c r="M263" s="19"/>
      <c r="N263" s="19"/>
      <c r="O263" s="19"/>
      <c r="P263" s="19"/>
      <c r="Q263" s="19"/>
      <c r="R263" s="19"/>
      <c r="S263" s="19"/>
      <c r="T263" s="19"/>
      <c r="U263" s="19"/>
      <c r="V263" s="19"/>
      <c r="W263" s="19"/>
      <c r="X263" s="19"/>
      <c r="Y263" s="19"/>
    </row>
    <row r="264" spans="2:25" ht="12" customHeight="1">
      <c r="B264" s="19"/>
      <c r="C264" s="19"/>
      <c r="D264" s="107"/>
      <c r="E264" s="107"/>
      <c r="F264" s="19"/>
      <c r="G264" s="19"/>
      <c r="H264" s="19"/>
      <c r="I264" s="19"/>
      <c r="J264" s="19"/>
      <c r="K264" s="233"/>
      <c r="L264" s="19"/>
      <c r="M264" s="19"/>
      <c r="N264" s="19"/>
      <c r="O264" s="19"/>
      <c r="P264" s="19"/>
      <c r="Q264" s="19"/>
      <c r="R264" s="19"/>
      <c r="S264" s="19"/>
      <c r="T264" s="19"/>
      <c r="U264" s="19"/>
      <c r="V264" s="19"/>
      <c r="W264" s="19"/>
      <c r="X264" s="19"/>
      <c r="Y264" s="19"/>
    </row>
    <row r="265" spans="2:25" ht="12" customHeight="1">
      <c r="B265" s="19"/>
      <c r="C265" s="19"/>
      <c r="D265" s="107"/>
      <c r="E265" s="107"/>
      <c r="F265" s="19"/>
      <c r="G265" s="19"/>
      <c r="H265" s="19"/>
      <c r="I265" s="19"/>
      <c r="J265" s="19"/>
      <c r="K265" s="233"/>
      <c r="L265" s="19"/>
      <c r="M265" s="19"/>
      <c r="N265" s="19"/>
      <c r="O265" s="19"/>
      <c r="P265" s="19"/>
      <c r="Q265" s="19"/>
      <c r="R265" s="19"/>
      <c r="S265" s="19"/>
      <c r="T265" s="19"/>
      <c r="U265" s="19"/>
      <c r="V265" s="19"/>
      <c r="W265" s="19"/>
      <c r="X265" s="19"/>
      <c r="Y265" s="19"/>
    </row>
    <row r="266" spans="2:25" ht="12" customHeight="1">
      <c r="B266" s="19"/>
      <c r="C266" s="19"/>
      <c r="D266" s="107"/>
      <c r="E266" s="107"/>
      <c r="F266" s="19"/>
      <c r="G266" s="19"/>
      <c r="H266" s="19"/>
      <c r="I266" s="19"/>
      <c r="J266" s="19"/>
      <c r="K266" s="233"/>
      <c r="L266" s="19"/>
      <c r="M266" s="19"/>
      <c r="N266" s="19"/>
      <c r="O266" s="19"/>
      <c r="P266" s="19"/>
      <c r="Q266" s="19"/>
      <c r="R266" s="19"/>
      <c r="S266" s="19"/>
      <c r="T266" s="19"/>
      <c r="U266" s="19"/>
      <c r="V266" s="19"/>
      <c r="W266" s="19"/>
      <c r="X266" s="19"/>
      <c r="Y266" s="19"/>
    </row>
    <row r="267" spans="2:25" ht="12" customHeight="1">
      <c r="B267" s="19"/>
      <c r="C267" s="19"/>
      <c r="D267" s="107"/>
      <c r="E267" s="107"/>
      <c r="F267" s="19"/>
      <c r="G267" s="19"/>
      <c r="H267" s="19"/>
      <c r="I267" s="19"/>
      <c r="J267" s="19"/>
      <c r="K267" s="233"/>
      <c r="L267" s="19"/>
      <c r="M267" s="19"/>
      <c r="N267" s="19"/>
      <c r="O267" s="19"/>
      <c r="P267" s="19"/>
      <c r="Q267" s="19"/>
      <c r="R267" s="19"/>
      <c r="S267" s="19"/>
      <c r="T267" s="19"/>
      <c r="U267" s="19"/>
      <c r="V267" s="19"/>
      <c r="W267" s="19"/>
      <c r="X267" s="19"/>
      <c r="Y267" s="19"/>
    </row>
    <row r="268" spans="2:25" ht="12" customHeight="1">
      <c r="B268" s="19"/>
      <c r="C268" s="19"/>
      <c r="D268" s="107"/>
      <c r="E268" s="107"/>
      <c r="F268" s="19"/>
      <c r="G268" s="19"/>
      <c r="H268" s="19"/>
      <c r="I268" s="19"/>
      <c r="J268" s="19"/>
      <c r="K268" s="233"/>
      <c r="L268" s="19"/>
      <c r="M268" s="19"/>
      <c r="N268" s="19"/>
      <c r="O268" s="19"/>
      <c r="P268" s="19"/>
      <c r="Q268" s="19"/>
      <c r="R268" s="19"/>
      <c r="S268" s="19"/>
      <c r="T268" s="19"/>
      <c r="U268" s="19"/>
      <c r="V268" s="19"/>
      <c r="W268" s="19"/>
      <c r="X268" s="19"/>
      <c r="Y268" s="19"/>
    </row>
    <row r="269" spans="2:25" ht="12" customHeight="1">
      <c r="B269" s="19"/>
      <c r="C269" s="19"/>
      <c r="D269" s="107"/>
      <c r="E269" s="107"/>
      <c r="F269" s="19"/>
      <c r="G269" s="19"/>
      <c r="H269" s="19"/>
      <c r="I269" s="19"/>
      <c r="J269" s="19"/>
      <c r="K269" s="233"/>
      <c r="L269" s="19"/>
      <c r="M269" s="19"/>
      <c r="N269" s="19"/>
      <c r="O269" s="19"/>
      <c r="P269" s="19"/>
      <c r="Q269" s="19"/>
      <c r="R269" s="19"/>
      <c r="S269" s="19"/>
      <c r="T269" s="19"/>
      <c r="U269" s="19"/>
      <c r="V269" s="19"/>
      <c r="W269" s="19"/>
      <c r="X269" s="19"/>
      <c r="Y269" s="19"/>
    </row>
    <row r="270" spans="2:25" ht="12" customHeight="1">
      <c r="B270" s="19"/>
      <c r="C270" s="19"/>
      <c r="D270" s="107"/>
      <c r="E270" s="107"/>
      <c r="F270" s="19"/>
      <c r="G270" s="19"/>
      <c r="H270" s="19"/>
      <c r="I270" s="19"/>
      <c r="J270" s="19"/>
      <c r="K270" s="233"/>
      <c r="L270" s="19"/>
      <c r="M270" s="19"/>
      <c r="N270" s="19"/>
      <c r="O270" s="19"/>
      <c r="P270" s="19"/>
      <c r="Q270" s="19"/>
      <c r="R270" s="19"/>
      <c r="S270" s="19"/>
      <c r="T270" s="19"/>
      <c r="U270" s="19"/>
      <c r="V270" s="19"/>
      <c r="W270" s="19"/>
      <c r="X270" s="19"/>
      <c r="Y270" s="19"/>
    </row>
    <row r="271" spans="2:25" ht="12" customHeight="1">
      <c r="B271" s="19"/>
      <c r="C271" s="19"/>
      <c r="D271" s="107"/>
      <c r="E271" s="107"/>
      <c r="F271" s="19"/>
      <c r="G271" s="19"/>
      <c r="H271" s="19"/>
      <c r="I271" s="19"/>
      <c r="J271" s="19"/>
      <c r="K271" s="233"/>
      <c r="L271" s="19"/>
      <c r="M271" s="19"/>
      <c r="N271" s="19"/>
      <c r="O271" s="19"/>
      <c r="P271" s="19"/>
      <c r="Q271" s="19"/>
      <c r="R271" s="19"/>
      <c r="S271" s="19"/>
      <c r="T271" s="19"/>
      <c r="U271" s="19"/>
      <c r="V271" s="19"/>
      <c r="W271" s="19"/>
      <c r="X271" s="19"/>
      <c r="Y271" s="19"/>
    </row>
    <row r="272" spans="2:25" ht="12" customHeight="1">
      <c r="B272" s="19"/>
      <c r="C272" s="19"/>
      <c r="D272" s="107"/>
      <c r="E272" s="107"/>
      <c r="F272" s="19"/>
      <c r="G272" s="19"/>
      <c r="H272" s="19"/>
      <c r="I272" s="19"/>
      <c r="J272" s="19"/>
      <c r="K272" s="233"/>
      <c r="L272" s="19"/>
      <c r="M272" s="19"/>
      <c r="N272" s="19"/>
      <c r="O272" s="19"/>
      <c r="P272" s="19"/>
      <c r="Q272" s="19"/>
      <c r="R272" s="19"/>
      <c r="S272" s="19"/>
      <c r="T272" s="19"/>
      <c r="U272" s="19"/>
      <c r="V272" s="19"/>
      <c r="W272" s="19"/>
      <c r="X272" s="19"/>
      <c r="Y272" s="19"/>
    </row>
    <row r="273" spans="2:25" ht="12" customHeight="1">
      <c r="B273" s="19"/>
      <c r="C273" s="19"/>
      <c r="D273" s="107"/>
      <c r="E273" s="107"/>
      <c r="F273" s="19"/>
      <c r="G273" s="19"/>
      <c r="H273" s="19"/>
      <c r="I273" s="19"/>
      <c r="J273" s="19"/>
      <c r="K273" s="233"/>
      <c r="L273" s="19"/>
      <c r="M273" s="19"/>
      <c r="N273" s="19"/>
      <c r="O273" s="19"/>
      <c r="P273" s="19"/>
      <c r="Q273" s="19"/>
      <c r="R273" s="19"/>
      <c r="S273" s="19"/>
      <c r="T273" s="19"/>
      <c r="U273" s="19"/>
      <c r="V273" s="19"/>
      <c r="W273" s="19"/>
      <c r="X273" s="19"/>
      <c r="Y273" s="19"/>
    </row>
    <row r="274" spans="2:25" ht="12" customHeight="1">
      <c r="B274" s="19"/>
      <c r="C274" s="19"/>
      <c r="D274" s="107"/>
      <c r="E274" s="107"/>
      <c r="F274" s="19"/>
      <c r="G274" s="19"/>
      <c r="H274" s="19"/>
      <c r="I274" s="19"/>
      <c r="J274" s="19"/>
      <c r="K274" s="233"/>
      <c r="L274" s="19"/>
      <c r="M274" s="19"/>
      <c r="N274" s="19"/>
      <c r="O274" s="19"/>
      <c r="P274" s="19"/>
      <c r="Q274" s="19"/>
      <c r="R274" s="19"/>
      <c r="S274" s="19"/>
      <c r="T274" s="19"/>
      <c r="U274" s="19"/>
      <c r="V274" s="19"/>
      <c r="W274" s="19"/>
      <c r="X274" s="19"/>
      <c r="Y274" s="19"/>
    </row>
    <row r="275" spans="2:25" ht="12" customHeight="1">
      <c r="B275" s="19"/>
      <c r="C275" s="19"/>
      <c r="D275" s="107"/>
      <c r="E275" s="107"/>
      <c r="F275" s="19"/>
      <c r="G275" s="19"/>
      <c r="H275" s="19"/>
      <c r="I275" s="19"/>
      <c r="J275" s="19"/>
      <c r="K275" s="233"/>
      <c r="L275" s="19"/>
      <c r="M275" s="19"/>
      <c r="N275" s="19"/>
      <c r="O275" s="19"/>
      <c r="P275" s="19"/>
      <c r="Q275" s="19"/>
      <c r="R275" s="19"/>
      <c r="S275" s="19"/>
      <c r="T275" s="19"/>
      <c r="U275" s="19"/>
      <c r="V275" s="19"/>
      <c r="W275" s="19"/>
      <c r="X275" s="19"/>
      <c r="Y275" s="19"/>
    </row>
    <row r="276" spans="2:25" ht="12" customHeight="1">
      <c r="B276" s="19"/>
      <c r="C276" s="19"/>
      <c r="D276" s="107"/>
      <c r="E276" s="107"/>
      <c r="F276" s="19"/>
      <c r="G276" s="19"/>
      <c r="H276" s="19"/>
      <c r="I276" s="19"/>
      <c r="J276" s="19"/>
      <c r="K276" s="233"/>
      <c r="L276" s="19"/>
      <c r="M276" s="19"/>
      <c r="N276" s="19"/>
      <c r="O276" s="19"/>
      <c r="P276" s="19"/>
      <c r="Q276" s="19"/>
      <c r="R276" s="19"/>
      <c r="S276" s="19"/>
      <c r="T276" s="19"/>
      <c r="U276" s="19"/>
      <c r="V276" s="19"/>
      <c r="W276" s="19"/>
      <c r="X276" s="19"/>
      <c r="Y276" s="19"/>
    </row>
    <row r="277" spans="2:25" ht="12" customHeight="1">
      <c r="B277" s="19"/>
      <c r="C277" s="19"/>
      <c r="D277" s="107"/>
      <c r="E277" s="107"/>
      <c r="F277" s="19"/>
      <c r="G277" s="19"/>
      <c r="H277" s="19"/>
      <c r="I277" s="19"/>
      <c r="J277" s="19"/>
      <c r="K277" s="233"/>
      <c r="L277" s="19"/>
      <c r="M277" s="19"/>
      <c r="N277" s="19"/>
      <c r="O277" s="19"/>
      <c r="P277" s="19"/>
      <c r="Q277" s="19"/>
      <c r="R277" s="19"/>
      <c r="S277" s="19"/>
      <c r="T277" s="19"/>
      <c r="U277" s="19"/>
      <c r="V277" s="19"/>
      <c r="W277" s="19"/>
      <c r="X277" s="19"/>
      <c r="Y277" s="19"/>
    </row>
    <row r="278" spans="2:25" ht="12" customHeight="1">
      <c r="B278" s="19"/>
      <c r="C278" s="19"/>
      <c r="D278" s="107"/>
      <c r="E278" s="107"/>
      <c r="F278" s="19"/>
      <c r="G278" s="19"/>
      <c r="H278" s="19"/>
      <c r="I278" s="19"/>
      <c r="J278" s="19"/>
      <c r="K278" s="233"/>
      <c r="L278" s="19"/>
      <c r="M278" s="19"/>
      <c r="N278" s="19"/>
      <c r="O278" s="19"/>
      <c r="P278" s="19"/>
      <c r="Q278" s="19"/>
      <c r="R278" s="19"/>
      <c r="S278" s="19"/>
      <c r="T278" s="19"/>
      <c r="U278" s="19"/>
      <c r="V278" s="19"/>
      <c r="W278" s="19"/>
      <c r="X278" s="19"/>
      <c r="Y278" s="19"/>
    </row>
    <row r="279" spans="2:25" ht="12" customHeight="1">
      <c r="B279" s="19"/>
      <c r="C279" s="19"/>
      <c r="D279" s="107"/>
      <c r="E279" s="107"/>
      <c r="F279" s="19"/>
      <c r="G279" s="19"/>
      <c r="H279" s="19"/>
      <c r="I279" s="19"/>
      <c r="J279" s="19"/>
      <c r="K279" s="233"/>
      <c r="L279" s="19"/>
      <c r="M279" s="19"/>
      <c r="N279" s="19"/>
      <c r="O279" s="19"/>
      <c r="P279" s="19"/>
      <c r="Q279" s="19"/>
      <c r="R279" s="19"/>
      <c r="S279" s="19"/>
      <c r="T279" s="19"/>
      <c r="U279" s="19"/>
      <c r="V279" s="19"/>
      <c r="W279" s="19"/>
      <c r="X279" s="19"/>
      <c r="Y279" s="19"/>
    </row>
    <row r="280" spans="2:25" ht="12" customHeight="1">
      <c r="B280" s="19"/>
      <c r="C280" s="19"/>
      <c r="D280" s="107"/>
      <c r="E280" s="107"/>
      <c r="F280" s="19"/>
      <c r="G280" s="19"/>
      <c r="H280" s="19"/>
      <c r="I280" s="19"/>
      <c r="J280" s="19"/>
      <c r="K280" s="233"/>
      <c r="L280" s="19"/>
      <c r="M280" s="19"/>
      <c r="N280" s="19"/>
      <c r="O280" s="19"/>
      <c r="P280" s="19"/>
      <c r="Q280" s="19"/>
      <c r="R280" s="19"/>
      <c r="S280" s="19"/>
      <c r="T280" s="19"/>
      <c r="U280" s="19"/>
      <c r="V280" s="19"/>
      <c r="W280" s="19"/>
      <c r="X280" s="19"/>
      <c r="Y280" s="19"/>
    </row>
    <row r="281" spans="2:25" ht="12" customHeight="1">
      <c r="B281" s="19"/>
      <c r="C281" s="19"/>
      <c r="D281" s="107"/>
      <c r="E281" s="107"/>
      <c r="F281" s="19"/>
      <c r="G281" s="19"/>
      <c r="H281" s="19"/>
      <c r="I281" s="19"/>
      <c r="J281" s="19"/>
      <c r="K281" s="233"/>
      <c r="L281" s="19"/>
      <c r="M281" s="19"/>
      <c r="N281" s="19"/>
      <c r="O281" s="19"/>
      <c r="P281" s="19"/>
      <c r="Q281" s="19"/>
      <c r="R281" s="19"/>
      <c r="S281" s="19"/>
      <c r="T281" s="19"/>
      <c r="U281" s="19"/>
      <c r="V281" s="19"/>
      <c r="W281" s="19"/>
      <c r="X281" s="19"/>
      <c r="Y281" s="19"/>
    </row>
    <row r="282" spans="2:25" ht="12" customHeight="1">
      <c r="B282" s="19"/>
      <c r="C282" s="19"/>
      <c r="D282" s="107"/>
      <c r="E282" s="107"/>
      <c r="F282" s="19"/>
      <c r="G282" s="19"/>
      <c r="H282" s="19"/>
      <c r="I282" s="19"/>
      <c r="J282" s="19"/>
      <c r="K282" s="233"/>
      <c r="L282" s="19"/>
      <c r="M282" s="19"/>
      <c r="N282" s="19"/>
      <c r="O282" s="19"/>
      <c r="P282" s="19"/>
      <c r="Q282" s="19"/>
      <c r="R282" s="19"/>
      <c r="S282" s="19"/>
      <c r="T282" s="19"/>
      <c r="U282" s="19"/>
      <c r="V282" s="19"/>
      <c r="W282" s="19"/>
      <c r="X282" s="19"/>
      <c r="Y282" s="19"/>
    </row>
    <row r="283" spans="2:25" ht="12" customHeight="1">
      <c r="B283" s="19"/>
      <c r="C283" s="19"/>
      <c r="D283" s="107"/>
      <c r="E283" s="107"/>
      <c r="F283" s="19"/>
      <c r="G283" s="19"/>
      <c r="H283" s="19"/>
      <c r="I283" s="19"/>
      <c r="J283" s="19"/>
      <c r="K283" s="233"/>
      <c r="L283" s="19"/>
      <c r="M283" s="19"/>
      <c r="N283" s="19"/>
      <c r="O283" s="19"/>
      <c r="P283" s="19"/>
      <c r="Q283" s="19"/>
      <c r="R283" s="19"/>
      <c r="S283" s="19"/>
      <c r="T283" s="19"/>
      <c r="U283" s="19"/>
      <c r="V283" s="19"/>
      <c r="W283" s="19"/>
      <c r="X283" s="19"/>
      <c r="Y283" s="19"/>
    </row>
    <row r="284" spans="2:25" ht="12" customHeight="1">
      <c r="B284" s="19"/>
      <c r="C284" s="19"/>
      <c r="D284" s="107"/>
      <c r="E284" s="107"/>
      <c r="F284" s="19"/>
      <c r="G284" s="19"/>
      <c r="H284" s="19"/>
      <c r="I284" s="19"/>
      <c r="J284" s="19"/>
      <c r="K284" s="233"/>
      <c r="L284" s="19"/>
      <c r="M284" s="19"/>
      <c r="N284" s="19"/>
      <c r="O284" s="19"/>
      <c r="P284" s="19"/>
      <c r="Q284" s="19"/>
      <c r="R284" s="19"/>
      <c r="S284" s="19"/>
      <c r="T284" s="19"/>
      <c r="U284" s="19"/>
      <c r="V284" s="19"/>
      <c r="W284" s="19"/>
      <c r="X284" s="19"/>
      <c r="Y284" s="19"/>
    </row>
    <row r="285" spans="2:25" ht="12" customHeight="1">
      <c r="B285" s="19"/>
      <c r="C285" s="19"/>
      <c r="D285" s="107"/>
      <c r="E285" s="107"/>
      <c r="F285" s="19"/>
      <c r="G285" s="19"/>
      <c r="H285" s="19"/>
      <c r="I285" s="19"/>
      <c r="J285" s="19"/>
      <c r="K285" s="233"/>
      <c r="L285" s="19"/>
      <c r="M285" s="19"/>
      <c r="N285" s="19"/>
      <c r="O285" s="19"/>
      <c r="P285" s="19"/>
      <c r="Q285" s="19"/>
      <c r="R285" s="19"/>
      <c r="S285" s="19"/>
      <c r="T285" s="19"/>
      <c r="U285" s="19"/>
      <c r="V285" s="19"/>
      <c r="W285" s="19"/>
      <c r="X285" s="19"/>
      <c r="Y285" s="19"/>
    </row>
    <row r="286" spans="2:25" ht="12" customHeight="1">
      <c r="B286" s="19"/>
      <c r="C286" s="19"/>
      <c r="D286" s="107"/>
      <c r="E286" s="107"/>
      <c r="F286" s="19"/>
      <c r="G286" s="19"/>
      <c r="H286" s="19"/>
      <c r="I286" s="19"/>
      <c r="J286" s="19"/>
      <c r="K286" s="233"/>
      <c r="L286" s="19"/>
      <c r="M286" s="19"/>
      <c r="N286" s="19"/>
      <c r="O286" s="19"/>
      <c r="P286" s="19"/>
      <c r="Q286" s="19"/>
      <c r="R286" s="19"/>
      <c r="S286" s="19"/>
      <c r="T286" s="19"/>
      <c r="U286" s="19"/>
      <c r="V286" s="19"/>
      <c r="W286" s="19"/>
      <c r="X286" s="19"/>
      <c r="Y286" s="19"/>
    </row>
    <row r="287" spans="2:25" ht="12" customHeight="1">
      <c r="B287" s="19"/>
      <c r="C287" s="19"/>
      <c r="D287" s="107"/>
      <c r="E287" s="107"/>
      <c r="F287" s="19"/>
      <c r="G287" s="19"/>
      <c r="H287" s="19"/>
      <c r="I287" s="19"/>
      <c r="J287" s="19"/>
      <c r="K287" s="233"/>
      <c r="L287" s="19"/>
      <c r="M287" s="19"/>
      <c r="N287" s="19"/>
      <c r="O287" s="19"/>
      <c r="P287" s="19"/>
      <c r="Q287" s="19"/>
      <c r="R287" s="19"/>
      <c r="S287" s="19"/>
      <c r="T287" s="19"/>
      <c r="U287" s="19"/>
      <c r="V287" s="19"/>
      <c r="W287" s="19"/>
      <c r="X287" s="19"/>
      <c r="Y287" s="19"/>
    </row>
    <row r="288" spans="2:25" ht="12" customHeight="1">
      <c r="B288" s="19"/>
      <c r="C288" s="19"/>
      <c r="D288" s="107"/>
      <c r="E288" s="107"/>
      <c r="F288" s="19"/>
      <c r="G288" s="19"/>
      <c r="H288" s="19"/>
      <c r="I288" s="19"/>
      <c r="J288" s="19"/>
      <c r="K288" s="233"/>
      <c r="L288" s="19"/>
      <c r="M288" s="19"/>
      <c r="N288" s="19"/>
      <c r="O288" s="19"/>
      <c r="P288" s="19"/>
      <c r="Q288" s="19"/>
      <c r="R288" s="19"/>
      <c r="S288" s="19"/>
      <c r="T288" s="19"/>
      <c r="U288" s="19"/>
      <c r="V288" s="19"/>
      <c r="W288" s="19"/>
      <c r="X288" s="19"/>
      <c r="Y288" s="19"/>
    </row>
    <row r="289" spans="2:25" ht="12" customHeight="1">
      <c r="B289" s="19"/>
      <c r="C289" s="19"/>
      <c r="D289" s="107"/>
      <c r="E289" s="107"/>
      <c r="F289" s="19"/>
      <c r="G289" s="19"/>
      <c r="H289" s="19"/>
      <c r="I289" s="19"/>
      <c r="J289" s="19"/>
      <c r="K289" s="233"/>
      <c r="L289" s="19"/>
      <c r="M289" s="19"/>
      <c r="N289" s="19"/>
      <c r="O289" s="19"/>
      <c r="P289" s="19"/>
      <c r="Q289" s="19"/>
      <c r="R289" s="19"/>
      <c r="S289" s="19"/>
      <c r="T289" s="19"/>
      <c r="U289" s="19"/>
      <c r="V289" s="19"/>
      <c r="W289" s="19"/>
      <c r="X289" s="19"/>
      <c r="Y289" s="19"/>
    </row>
    <row r="290" spans="2:25" ht="12" customHeight="1">
      <c r="B290" s="19"/>
      <c r="C290" s="19"/>
      <c r="D290" s="107"/>
      <c r="E290" s="107"/>
      <c r="F290" s="19"/>
      <c r="G290" s="19"/>
      <c r="H290" s="19"/>
      <c r="I290" s="19"/>
      <c r="J290" s="19"/>
      <c r="K290" s="233"/>
      <c r="L290" s="19"/>
      <c r="M290" s="19"/>
      <c r="N290" s="19"/>
      <c r="O290" s="19"/>
      <c r="P290" s="19"/>
      <c r="Q290" s="19"/>
      <c r="R290" s="19"/>
      <c r="S290" s="19"/>
      <c r="T290" s="19"/>
      <c r="U290" s="19"/>
      <c r="V290" s="19"/>
      <c r="W290" s="19"/>
      <c r="X290" s="19"/>
      <c r="Y290" s="19"/>
    </row>
    <row r="291" spans="2:25" ht="12" customHeight="1">
      <c r="B291" s="19"/>
      <c r="C291" s="19"/>
      <c r="D291" s="107"/>
      <c r="E291" s="107"/>
      <c r="F291" s="19"/>
      <c r="G291" s="19"/>
      <c r="H291" s="19"/>
      <c r="I291" s="19"/>
      <c r="J291" s="19"/>
      <c r="K291" s="233"/>
      <c r="L291" s="19"/>
      <c r="M291" s="19"/>
      <c r="N291" s="19"/>
      <c r="O291" s="19"/>
      <c r="P291" s="19"/>
      <c r="Q291" s="19"/>
      <c r="R291" s="19"/>
      <c r="S291" s="19"/>
      <c r="T291" s="19"/>
      <c r="U291" s="19"/>
      <c r="V291" s="19"/>
      <c r="W291" s="19"/>
      <c r="X291" s="19"/>
      <c r="Y291" s="19"/>
    </row>
    <row r="292" spans="2:25" ht="12" customHeight="1">
      <c r="B292" s="19"/>
      <c r="C292" s="19"/>
      <c r="D292" s="107"/>
      <c r="E292" s="107"/>
      <c r="F292" s="19"/>
      <c r="G292" s="19"/>
      <c r="H292" s="19"/>
      <c r="I292" s="19"/>
      <c r="J292" s="19"/>
      <c r="K292" s="233"/>
      <c r="L292" s="19"/>
      <c r="M292" s="19"/>
      <c r="N292" s="19"/>
      <c r="O292" s="19"/>
      <c r="P292" s="19"/>
      <c r="Q292" s="19"/>
      <c r="R292" s="19"/>
      <c r="S292" s="19"/>
      <c r="T292" s="19"/>
      <c r="U292" s="19"/>
      <c r="V292" s="19"/>
      <c r="W292" s="19"/>
      <c r="X292" s="19"/>
      <c r="Y292" s="19"/>
    </row>
    <row r="293" spans="2:25" ht="12" customHeight="1">
      <c r="B293" s="19"/>
      <c r="C293" s="19"/>
      <c r="D293" s="107"/>
      <c r="E293" s="107"/>
      <c r="F293" s="19"/>
      <c r="G293" s="19"/>
      <c r="H293" s="19"/>
      <c r="I293" s="19"/>
      <c r="J293" s="19"/>
      <c r="K293" s="233"/>
      <c r="L293" s="19"/>
      <c r="M293" s="19"/>
      <c r="N293" s="19"/>
      <c r="O293" s="19"/>
      <c r="P293" s="19"/>
      <c r="Q293" s="19"/>
      <c r="R293" s="19"/>
      <c r="S293" s="19"/>
      <c r="T293" s="19"/>
      <c r="U293" s="19"/>
      <c r="V293" s="19"/>
      <c r="W293" s="19"/>
      <c r="X293" s="19"/>
      <c r="Y293" s="19"/>
    </row>
    <row r="294" spans="2:25" ht="12" customHeight="1">
      <c r="B294" s="19"/>
      <c r="C294" s="19"/>
      <c r="D294" s="107"/>
      <c r="E294" s="107"/>
      <c r="F294" s="19"/>
      <c r="G294" s="19"/>
      <c r="H294" s="19"/>
      <c r="I294" s="19"/>
      <c r="J294" s="19"/>
      <c r="K294" s="233"/>
      <c r="L294" s="19"/>
      <c r="M294" s="19"/>
      <c r="N294" s="19"/>
      <c r="O294" s="19"/>
      <c r="P294" s="19"/>
      <c r="Q294" s="19"/>
      <c r="R294" s="19"/>
      <c r="S294" s="19"/>
      <c r="T294" s="19"/>
      <c r="U294" s="19"/>
      <c r="V294" s="19"/>
      <c r="W294" s="19"/>
      <c r="X294" s="19"/>
      <c r="Y294" s="19"/>
    </row>
    <row r="295" spans="2:25" ht="12" customHeight="1">
      <c r="B295" s="19"/>
      <c r="C295" s="19"/>
      <c r="D295" s="107"/>
      <c r="E295" s="107"/>
      <c r="F295" s="19"/>
      <c r="G295" s="19"/>
      <c r="H295" s="19"/>
      <c r="I295" s="19"/>
      <c r="J295" s="19"/>
      <c r="K295" s="233"/>
      <c r="L295" s="19"/>
      <c r="M295" s="19"/>
      <c r="N295" s="19"/>
      <c r="O295" s="19"/>
      <c r="P295" s="19"/>
      <c r="Q295" s="19"/>
      <c r="R295" s="19"/>
      <c r="S295" s="19"/>
      <c r="T295" s="19"/>
      <c r="U295" s="19"/>
      <c r="V295" s="19"/>
      <c r="W295" s="19"/>
      <c r="X295" s="19"/>
      <c r="Y295" s="19"/>
    </row>
    <row r="296" spans="2:25" ht="12" customHeight="1">
      <c r="B296" s="19"/>
      <c r="C296" s="19"/>
      <c r="D296" s="107"/>
      <c r="E296" s="107"/>
      <c r="F296" s="19"/>
      <c r="G296" s="19"/>
      <c r="H296" s="19"/>
      <c r="I296" s="19"/>
      <c r="J296" s="19"/>
      <c r="K296" s="233"/>
      <c r="L296" s="19"/>
      <c r="M296" s="19"/>
      <c r="N296" s="19"/>
      <c r="O296" s="19"/>
      <c r="P296" s="19"/>
      <c r="Q296" s="19"/>
      <c r="R296" s="19"/>
      <c r="S296" s="19"/>
      <c r="T296" s="19"/>
      <c r="U296" s="19"/>
      <c r="V296" s="19"/>
      <c r="W296" s="19"/>
      <c r="X296" s="19"/>
      <c r="Y296" s="19"/>
    </row>
    <row r="297" spans="2:25" ht="12" customHeight="1">
      <c r="B297" s="19"/>
      <c r="C297" s="19"/>
      <c r="D297" s="107"/>
      <c r="E297" s="107"/>
      <c r="F297" s="19"/>
      <c r="G297" s="19"/>
      <c r="H297" s="19"/>
      <c r="I297" s="19"/>
      <c r="J297" s="19"/>
      <c r="K297" s="233"/>
      <c r="L297" s="19"/>
      <c r="M297" s="19"/>
      <c r="N297" s="19"/>
      <c r="O297" s="19"/>
      <c r="P297" s="19"/>
      <c r="Q297" s="19"/>
      <c r="R297" s="19"/>
      <c r="S297" s="19"/>
      <c r="T297" s="19"/>
      <c r="U297" s="19"/>
      <c r="V297" s="19"/>
      <c r="W297" s="19"/>
      <c r="X297" s="19"/>
      <c r="Y297" s="19"/>
    </row>
    <row r="298" spans="2:25" ht="12" customHeight="1">
      <c r="B298" s="19"/>
      <c r="C298" s="19"/>
      <c r="D298" s="107"/>
      <c r="E298" s="107"/>
      <c r="F298" s="19"/>
      <c r="G298" s="19"/>
      <c r="H298" s="19"/>
      <c r="I298" s="19"/>
      <c r="J298" s="19"/>
      <c r="K298" s="233"/>
      <c r="L298" s="19"/>
      <c r="M298" s="19"/>
      <c r="N298" s="19"/>
      <c r="O298" s="19"/>
      <c r="P298" s="19"/>
      <c r="Q298" s="19"/>
      <c r="R298" s="19"/>
      <c r="S298" s="19"/>
      <c r="T298" s="19"/>
      <c r="U298" s="19"/>
      <c r="V298" s="19"/>
      <c r="W298" s="19"/>
      <c r="X298" s="19"/>
      <c r="Y298" s="19"/>
    </row>
    <row r="299" spans="2:25" ht="12" customHeight="1">
      <c r="B299" s="19"/>
      <c r="C299" s="19"/>
      <c r="D299" s="107"/>
      <c r="E299" s="107"/>
      <c r="F299" s="19"/>
      <c r="G299" s="19"/>
      <c r="H299" s="19"/>
      <c r="I299" s="19"/>
      <c r="J299" s="19"/>
      <c r="K299" s="233"/>
      <c r="L299" s="19"/>
      <c r="M299" s="19"/>
      <c r="N299" s="19"/>
      <c r="O299" s="19"/>
      <c r="P299" s="19"/>
      <c r="Q299" s="19"/>
      <c r="R299" s="19"/>
      <c r="S299" s="19"/>
      <c r="T299" s="19"/>
      <c r="U299" s="19"/>
      <c r="V299" s="19"/>
      <c r="W299" s="19"/>
      <c r="X299" s="19"/>
      <c r="Y299" s="19"/>
    </row>
    <row r="300" spans="2:25" ht="12" customHeight="1">
      <c r="B300" s="19"/>
      <c r="C300" s="19"/>
      <c r="D300" s="107"/>
      <c r="E300" s="107"/>
      <c r="F300" s="19"/>
      <c r="G300" s="19"/>
      <c r="H300" s="19"/>
      <c r="I300" s="19"/>
      <c r="J300" s="19"/>
      <c r="K300" s="233"/>
      <c r="L300" s="19"/>
      <c r="M300" s="19"/>
      <c r="N300" s="19"/>
      <c r="O300" s="19"/>
      <c r="P300" s="19"/>
      <c r="Q300" s="19"/>
      <c r="R300" s="19"/>
      <c r="S300" s="19"/>
      <c r="T300" s="19"/>
      <c r="U300" s="19"/>
      <c r="V300" s="19"/>
      <c r="W300" s="19"/>
      <c r="X300" s="19"/>
      <c r="Y300" s="19"/>
    </row>
    <row r="301" spans="2:25" ht="12" customHeight="1">
      <c r="B301" s="19"/>
      <c r="C301" s="19"/>
      <c r="D301" s="107"/>
      <c r="E301" s="107"/>
      <c r="F301" s="19"/>
      <c r="G301" s="19"/>
      <c r="H301" s="19"/>
      <c r="I301" s="19"/>
      <c r="J301" s="19"/>
      <c r="K301" s="233"/>
      <c r="L301" s="19"/>
      <c r="M301" s="19"/>
      <c r="N301" s="19"/>
      <c r="O301" s="19"/>
      <c r="P301" s="19"/>
      <c r="Q301" s="19"/>
      <c r="R301" s="19"/>
      <c r="S301" s="19"/>
      <c r="T301" s="19"/>
      <c r="U301" s="19"/>
      <c r="V301" s="19"/>
      <c r="W301" s="19"/>
      <c r="X301" s="19"/>
      <c r="Y301" s="19"/>
    </row>
    <row r="302" spans="2:25" ht="12" customHeight="1">
      <c r="B302" s="19"/>
      <c r="C302" s="19"/>
      <c r="D302" s="107"/>
      <c r="E302" s="107"/>
      <c r="F302" s="19"/>
      <c r="G302" s="19"/>
      <c r="H302" s="19"/>
      <c r="I302" s="19"/>
      <c r="J302" s="19"/>
      <c r="K302" s="233"/>
      <c r="L302" s="19"/>
      <c r="M302" s="19"/>
      <c r="N302" s="19"/>
      <c r="O302" s="19"/>
      <c r="P302" s="19"/>
      <c r="Q302" s="19"/>
      <c r="R302" s="19"/>
      <c r="S302" s="19"/>
      <c r="T302" s="19"/>
      <c r="U302" s="19"/>
      <c r="V302" s="19"/>
      <c r="W302" s="19"/>
      <c r="X302" s="19"/>
      <c r="Y302" s="19"/>
    </row>
    <row r="303" spans="2:25" ht="12" customHeight="1">
      <c r="B303" s="19"/>
      <c r="C303" s="19"/>
      <c r="D303" s="107"/>
      <c r="E303" s="107"/>
      <c r="F303" s="19"/>
      <c r="G303" s="19"/>
      <c r="H303" s="19"/>
      <c r="I303" s="19"/>
      <c r="J303" s="19"/>
      <c r="K303" s="233"/>
      <c r="L303" s="19"/>
      <c r="M303" s="19"/>
      <c r="N303" s="19"/>
      <c r="O303" s="19"/>
      <c r="P303" s="19"/>
      <c r="Q303" s="19"/>
      <c r="R303" s="19"/>
      <c r="S303" s="19"/>
      <c r="T303" s="19"/>
      <c r="U303" s="19"/>
      <c r="V303" s="19"/>
      <c r="W303" s="19"/>
      <c r="X303" s="19"/>
      <c r="Y303" s="19"/>
    </row>
    <row r="304" spans="2:25" ht="12" customHeight="1">
      <c r="B304" s="19"/>
      <c r="C304" s="19"/>
      <c r="D304" s="107"/>
      <c r="E304" s="107"/>
      <c r="F304" s="19"/>
      <c r="G304" s="19"/>
      <c r="H304" s="19"/>
      <c r="I304" s="19"/>
      <c r="J304" s="19"/>
      <c r="K304" s="233"/>
      <c r="L304" s="19"/>
      <c r="M304" s="19"/>
      <c r="N304" s="19"/>
      <c r="O304" s="19"/>
      <c r="P304" s="19"/>
      <c r="Q304" s="19"/>
      <c r="R304" s="19"/>
      <c r="S304" s="19"/>
      <c r="T304" s="19"/>
      <c r="U304" s="19"/>
      <c r="V304" s="19"/>
      <c r="W304" s="19"/>
      <c r="X304" s="19"/>
      <c r="Y304" s="19"/>
    </row>
    <row r="305" spans="2:25" ht="12" customHeight="1">
      <c r="B305" s="19"/>
      <c r="C305" s="19"/>
      <c r="D305" s="107"/>
      <c r="E305" s="107"/>
      <c r="F305" s="19"/>
      <c r="G305" s="19"/>
      <c r="H305" s="19"/>
      <c r="I305" s="19"/>
      <c r="J305" s="19"/>
      <c r="K305" s="233"/>
      <c r="L305" s="19"/>
      <c r="M305" s="19"/>
      <c r="N305" s="19"/>
      <c r="O305" s="19"/>
      <c r="P305" s="19"/>
      <c r="Q305" s="19"/>
      <c r="R305" s="19"/>
      <c r="S305" s="19"/>
      <c r="T305" s="19"/>
      <c r="U305" s="19"/>
      <c r="V305" s="19"/>
      <c r="W305" s="19"/>
      <c r="X305" s="19"/>
      <c r="Y305" s="19"/>
    </row>
    <row r="306" spans="2:25" ht="12" customHeight="1">
      <c r="B306" s="19"/>
      <c r="C306" s="19"/>
      <c r="D306" s="107"/>
      <c r="E306" s="107"/>
      <c r="F306" s="19"/>
      <c r="G306" s="19"/>
      <c r="H306" s="19"/>
      <c r="I306" s="19"/>
      <c r="J306" s="19"/>
      <c r="K306" s="233"/>
      <c r="L306" s="19"/>
      <c r="M306" s="19"/>
      <c r="N306" s="19"/>
      <c r="O306" s="19"/>
      <c r="P306" s="19"/>
      <c r="Q306" s="19"/>
      <c r="R306" s="19"/>
      <c r="S306" s="19"/>
      <c r="T306" s="19"/>
      <c r="U306" s="19"/>
      <c r="V306" s="19"/>
      <c r="W306" s="19"/>
      <c r="X306" s="19"/>
      <c r="Y306" s="19"/>
    </row>
    <row r="307" spans="2:25" ht="12" customHeight="1">
      <c r="B307" s="19"/>
      <c r="C307" s="19"/>
      <c r="D307" s="107"/>
      <c r="E307" s="107"/>
      <c r="F307" s="19"/>
      <c r="G307" s="19"/>
      <c r="H307" s="19"/>
      <c r="I307" s="19"/>
      <c r="J307" s="19"/>
      <c r="K307" s="233"/>
      <c r="L307" s="19"/>
      <c r="M307" s="19"/>
      <c r="N307" s="19"/>
      <c r="O307" s="19"/>
      <c r="P307" s="19"/>
      <c r="Q307" s="19"/>
      <c r="R307" s="19"/>
      <c r="S307" s="19"/>
      <c r="T307" s="19"/>
      <c r="U307" s="19"/>
      <c r="V307" s="19"/>
      <c r="W307" s="19"/>
      <c r="X307" s="19"/>
      <c r="Y307" s="19"/>
    </row>
    <row r="308" spans="2:25" ht="12" customHeight="1">
      <c r="B308" s="19"/>
      <c r="C308" s="19"/>
      <c r="D308" s="107"/>
      <c r="E308" s="107"/>
      <c r="F308" s="19"/>
      <c r="G308" s="19"/>
      <c r="H308" s="19"/>
      <c r="I308" s="19"/>
      <c r="J308" s="19"/>
      <c r="K308" s="233"/>
      <c r="L308" s="19"/>
      <c r="M308" s="19"/>
      <c r="N308" s="19"/>
      <c r="O308" s="19"/>
      <c r="P308" s="19"/>
      <c r="Q308" s="19"/>
      <c r="R308" s="19"/>
      <c r="S308" s="19"/>
      <c r="T308" s="19"/>
      <c r="U308" s="19"/>
      <c r="V308" s="19"/>
      <c r="W308" s="19"/>
      <c r="X308" s="19"/>
      <c r="Y308" s="19"/>
    </row>
    <row r="309" spans="2:25" ht="12" customHeight="1">
      <c r="B309" s="19"/>
      <c r="C309" s="19"/>
      <c r="D309" s="107"/>
      <c r="E309" s="107"/>
      <c r="F309" s="19"/>
      <c r="G309" s="19"/>
      <c r="H309" s="19"/>
      <c r="I309" s="19"/>
      <c r="J309" s="19"/>
      <c r="K309" s="233"/>
      <c r="L309" s="19"/>
      <c r="M309" s="19"/>
      <c r="N309" s="19"/>
      <c r="O309" s="19"/>
      <c r="P309" s="19"/>
      <c r="Q309" s="19"/>
      <c r="R309" s="19"/>
      <c r="S309" s="19"/>
      <c r="T309" s="19"/>
      <c r="U309" s="19"/>
      <c r="V309" s="19"/>
      <c r="W309" s="19"/>
      <c r="X309" s="19"/>
      <c r="Y309" s="19"/>
    </row>
    <row r="310" spans="2:25" ht="12" customHeight="1">
      <c r="B310" s="19"/>
      <c r="C310" s="19"/>
      <c r="D310" s="107"/>
      <c r="E310" s="107"/>
      <c r="F310" s="19"/>
      <c r="G310" s="19"/>
      <c r="H310" s="19"/>
      <c r="I310" s="19"/>
      <c r="J310" s="19"/>
      <c r="K310" s="233"/>
      <c r="L310" s="19"/>
      <c r="M310" s="19"/>
      <c r="N310" s="19"/>
      <c r="O310" s="19"/>
      <c r="P310" s="19"/>
      <c r="Q310" s="19"/>
      <c r="R310" s="19"/>
      <c r="S310" s="19"/>
      <c r="T310" s="19"/>
      <c r="U310" s="19"/>
      <c r="V310" s="19"/>
      <c r="W310" s="19"/>
      <c r="X310" s="19"/>
      <c r="Y310" s="19"/>
    </row>
    <row r="311" spans="2:25" ht="12" customHeight="1">
      <c r="B311" s="19"/>
      <c r="C311" s="19"/>
      <c r="D311" s="107"/>
      <c r="E311" s="107"/>
      <c r="F311" s="19"/>
      <c r="G311" s="19"/>
      <c r="H311" s="19"/>
      <c r="I311" s="19"/>
      <c r="J311" s="19"/>
      <c r="K311" s="233"/>
      <c r="L311" s="19"/>
      <c r="M311" s="19"/>
      <c r="N311" s="19"/>
      <c r="O311" s="19"/>
      <c r="P311" s="19"/>
      <c r="Q311" s="19"/>
      <c r="R311" s="19"/>
      <c r="S311" s="19"/>
      <c r="T311" s="19"/>
      <c r="U311" s="19"/>
      <c r="V311" s="19"/>
      <c r="W311" s="19"/>
      <c r="X311" s="19"/>
      <c r="Y311" s="19"/>
    </row>
    <row r="312" spans="2:25" ht="12" customHeight="1">
      <c r="B312" s="19"/>
      <c r="C312" s="19"/>
      <c r="D312" s="107"/>
      <c r="E312" s="107"/>
      <c r="F312" s="19"/>
      <c r="G312" s="19"/>
      <c r="H312" s="19"/>
      <c r="I312" s="19"/>
      <c r="J312" s="19"/>
      <c r="K312" s="233"/>
      <c r="L312" s="19"/>
      <c r="M312" s="19"/>
      <c r="N312" s="19"/>
      <c r="O312" s="19"/>
      <c r="P312" s="19"/>
      <c r="Q312" s="19"/>
      <c r="R312" s="19"/>
      <c r="S312" s="19"/>
      <c r="T312" s="19"/>
      <c r="U312" s="19"/>
      <c r="V312" s="19"/>
      <c r="W312" s="19"/>
      <c r="X312" s="19"/>
      <c r="Y312" s="19"/>
    </row>
    <row r="313" spans="2:25" ht="12" customHeight="1">
      <c r="B313" s="19"/>
      <c r="C313" s="19"/>
      <c r="D313" s="107"/>
      <c r="E313" s="107"/>
      <c r="F313" s="19"/>
      <c r="G313" s="19"/>
      <c r="H313" s="19"/>
      <c r="I313" s="19"/>
      <c r="J313" s="19"/>
      <c r="K313" s="233"/>
      <c r="L313" s="19"/>
      <c r="M313" s="19"/>
      <c r="N313" s="19"/>
      <c r="O313" s="19"/>
      <c r="P313" s="19"/>
      <c r="Q313" s="19"/>
      <c r="R313" s="19"/>
      <c r="S313" s="19"/>
      <c r="T313" s="19"/>
      <c r="U313" s="19"/>
      <c r="V313" s="19"/>
      <c r="W313" s="19"/>
      <c r="X313" s="19"/>
      <c r="Y313" s="19"/>
    </row>
    <row r="314" spans="2:25" ht="12" customHeight="1">
      <c r="B314" s="19"/>
      <c r="C314" s="19"/>
      <c r="D314" s="107"/>
      <c r="E314" s="107"/>
      <c r="F314" s="19"/>
      <c r="G314" s="19"/>
      <c r="H314" s="19"/>
      <c r="I314" s="19"/>
      <c r="J314" s="19"/>
      <c r="K314" s="233"/>
      <c r="L314" s="19"/>
      <c r="M314" s="19"/>
      <c r="N314" s="19"/>
      <c r="O314" s="19"/>
      <c r="P314" s="19"/>
      <c r="Q314" s="19"/>
      <c r="R314" s="19"/>
      <c r="S314" s="19"/>
      <c r="T314" s="19"/>
      <c r="U314" s="19"/>
      <c r="V314" s="19"/>
      <c r="W314" s="19"/>
      <c r="X314" s="19"/>
      <c r="Y314" s="19"/>
    </row>
    <row r="315" spans="2:25" ht="12" customHeight="1">
      <c r="B315" s="19"/>
      <c r="C315" s="19"/>
      <c r="D315" s="107"/>
      <c r="E315" s="107"/>
      <c r="F315" s="19"/>
      <c r="G315" s="19"/>
      <c r="H315" s="19"/>
      <c r="I315" s="19"/>
      <c r="J315" s="19"/>
      <c r="K315" s="233"/>
      <c r="L315" s="19"/>
      <c r="M315" s="19"/>
      <c r="N315" s="19"/>
      <c r="O315" s="19"/>
      <c r="P315" s="19"/>
      <c r="Q315" s="19"/>
      <c r="R315" s="19"/>
      <c r="S315" s="19"/>
      <c r="T315" s="19"/>
      <c r="U315" s="19"/>
      <c r="V315" s="19"/>
      <c r="W315" s="19"/>
      <c r="X315" s="19"/>
      <c r="Y315" s="19"/>
    </row>
    <row r="316" spans="2:25" ht="12" customHeight="1">
      <c r="B316" s="19"/>
      <c r="C316" s="19"/>
      <c r="D316" s="107"/>
      <c r="E316" s="107"/>
      <c r="F316" s="19"/>
      <c r="G316" s="19"/>
      <c r="H316" s="19"/>
      <c r="I316" s="19"/>
      <c r="J316" s="19"/>
      <c r="K316" s="233"/>
      <c r="L316" s="19"/>
      <c r="M316" s="19"/>
      <c r="N316" s="19"/>
      <c r="O316" s="19"/>
      <c r="P316" s="19"/>
      <c r="Q316" s="19"/>
      <c r="R316" s="19"/>
      <c r="S316" s="19"/>
      <c r="T316" s="19"/>
      <c r="U316" s="19"/>
      <c r="V316" s="19"/>
      <c r="W316" s="19"/>
      <c r="X316" s="19"/>
      <c r="Y316" s="19"/>
    </row>
    <row r="317" spans="2:25" ht="12" customHeight="1">
      <c r="B317" s="19"/>
      <c r="C317" s="19"/>
      <c r="D317" s="107"/>
      <c r="E317" s="107"/>
      <c r="F317" s="19"/>
      <c r="G317" s="19"/>
      <c r="H317" s="19"/>
      <c r="I317" s="19"/>
      <c r="J317" s="19"/>
      <c r="K317" s="233"/>
      <c r="L317" s="19"/>
      <c r="M317" s="19"/>
      <c r="N317" s="19"/>
      <c r="O317" s="19"/>
      <c r="P317" s="19"/>
      <c r="Q317" s="19"/>
      <c r="R317" s="19"/>
      <c r="S317" s="19"/>
      <c r="T317" s="19"/>
      <c r="U317" s="19"/>
      <c r="V317" s="19"/>
      <c r="W317" s="19"/>
      <c r="X317" s="19"/>
      <c r="Y317" s="19"/>
    </row>
    <row r="318" spans="2:25" ht="12" customHeight="1">
      <c r="B318" s="19"/>
      <c r="C318" s="19"/>
      <c r="D318" s="107"/>
      <c r="E318" s="107"/>
      <c r="F318" s="19"/>
      <c r="G318" s="19"/>
      <c r="H318" s="19"/>
      <c r="I318" s="19"/>
      <c r="J318" s="19"/>
      <c r="K318" s="233"/>
      <c r="L318" s="19"/>
      <c r="M318" s="19"/>
      <c r="N318" s="19"/>
      <c r="O318" s="19"/>
      <c r="P318" s="19"/>
      <c r="Q318" s="19"/>
      <c r="R318" s="19"/>
      <c r="S318" s="19"/>
      <c r="T318" s="19"/>
      <c r="U318" s="19"/>
      <c r="V318" s="19"/>
      <c r="W318" s="19"/>
      <c r="X318" s="19"/>
      <c r="Y318" s="19"/>
    </row>
    <row r="319" spans="2:25" ht="12" customHeight="1">
      <c r="B319" s="19"/>
      <c r="C319" s="19"/>
      <c r="D319" s="107"/>
      <c r="E319" s="107"/>
      <c r="F319" s="19"/>
      <c r="G319" s="19"/>
      <c r="H319" s="19"/>
      <c r="I319" s="19"/>
      <c r="J319" s="19"/>
      <c r="K319" s="233"/>
      <c r="L319" s="19"/>
      <c r="M319" s="19"/>
      <c r="N319" s="19"/>
      <c r="O319" s="19"/>
      <c r="P319" s="19"/>
      <c r="Q319" s="19"/>
      <c r="R319" s="19"/>
      <c r="S319" s="19"/>
      <c r="T319" s="19"/>
      <c r="U319" s="19"/>
      <c r="V319" s="19"/>
      <c r="W319" s="19"/>
      <c r="X319" s="19"/>
      <c r="Y319" s="19"/>
    </row>
    <row r="320" spans="2:25" ht="12" customHeight="1">
      <c r="B320" s="19"/>
      <c r="C320" s="19"/>
      <c r="D320" s="107"/>
      <c r="E320" s="107"/>
      <c r="F320" s="19"/>
      <c r="G320" s="19"/>
      <c r="H320" s="19"/>
      <c r="I320" s="19"/>
      <c r="J320" s="19"/>
      <c r="K320" s="233"/>
      <c r="L320" s="19"/>
      <c r="M320" s="19"/>
      <c r="N320" s="19"/>
      <c r="O320" s="19"/>
      <c r="P320" s="19"/>
      <c r="Q320" s="19"/>
      <c r="R320" s="19"/>
      <c r="S320" s="19"/>
      <c r="T320" s="19"/>
      <c r="U320" s="19"/>
      <c r="V320" s="19"/>
      <c r="W320" s="19"/>
      <c r="X320" s="19"/>
      <c r="Y320" s="19"/>
    </row>
    <row r="321" spans="2:25" ht="12" customHeight="1">
      <c r="B321" s="19"/>
      <c r="C321" s="19"/>
      <c r="D321" s="107"/>
      <c r="E321" s="107"/>
      <c r="F321" s="19"/>
      <c r="G321" s="19"/>
      <c r="H321" s="19"/>
      <c r="I321" s="19"/>
      <c r="J321" s="19"/>
      <c r="K321" s="233"/>
      <c r="L321" s="19"/>
      <c r="M321" s="19"/>
      <c r="N321" s="19"/>
      <c r="O321" s="19"/>
      <c r="P321" s="19"/>
      <c r="Q321" s="19"/>
      <c r="R321" s="19"/>
      <c r="S321" s="19"/>
      <c r="T321" s="19"/>
      <c r="U321" s="19"/>
      <c r="V321" s="19"/>
      <c r="W321" s="19"/>
      <c r="X321" s="19"/>
      <c r="Y321" s="19"/>
    </row>
    <row r="322" spans="2:25" ht="12" customHeight="1">
      <c r="B322" s="19"/>
      <c r="C322" s="19"/>
      <c r="D322" s="107"/>
      <c r="E322" s="107"/>
      <c r="F322" s="19"/>
      <c r="G322" s="19"/>
      <c r="H322" s="19"/>
      <c r="I322" s="19"/>
      <c r="J322" s="19"/>
      <c r="K322" s="233"/>
      <c r="L322" s="19"/>
      <c r="M322" s="19"/>
      <c r="N322" s="19"/>
      <c r="O322" s="19"/>
      <c r="P322" s="19"/>
      <c r="Q322" s="19"/>
      <c r="R322" s="19"/>
      <c r="S322" s="19"/>
      <c r="T322" s="19"/>
      <c r="U322" s="19"/>
      <c r="V322" s="19"/>
      <c r="W322" s="19"/>
      <c r="X322" s="19"/>
      <c r="Y322" s="19"/>
    </row>
    <row r="323" spans="2:25" ht="12" customHeight="1">
      <c r="B323" s="19"/>
      <c r="C323" s="19"/>
      <c r="D323" s="107"/>
      <c r="E323" s="107"/>
      <c r="F323" s="19"/>
      <c r="G323" s="19"/>
      <c r="H323" s="19"/>
      <c r="I323" s="19"/>
      <c r="J323" s="19"/>
      <c r="K323" s="233"/>
      <c r="L323" s="19"/>
      <c r="M323" s="19"/>
      <c r="N323" s="19"/>
      <c r="O323" s="19"/>
      <c r="P323" s="19"/>
      <c r="Q323" s="19"/>
      <c r="R323" s="19"/>
      <c r="S323" s="19"/>
      <c r="T323" s="19"/>
      <c r="U323" s="19"/>
      <c r="V323" s="19"/>
      <c r="W323" s="19"/>
      <c r="X323" s="19"/>
      <c r="Y323" s="19"/>
    </row>
    <row r="324" spans="2:25" ht="12" customHeight="1">
      <c r="B324" s="19"/>
      <c r="C324" s="19"/>
      <c r="D324" s="107"/>
      <c r="E324" s="107"/>
      <c r="F324" s="19"/>
      <c r="G324" s="19"/>
      <c r="H324" s="19"/>
      <c r="I324" s="19"/>
      <c r="J324" s="19"/>
      <c r="K324" s="233"/>
      <c r="L324" s="19"/>
      <c r="M324" s="19"/>
      <c r="N324" s="19"/>
      <c r="O324" s="19"/>
      <c r="P324" s="19"/>
      <c r="Q324" s="19"/>
      <c r="R324" s="19"/>
      <c r="S324" s="19"/>
      <c r="T324" s="19"/>
      <c r="U324" s="19"/>
      <c r="V324" s="19"/>
      <c r="W324" s="19"/>
      <c r="X324" s="19"/>
      <c r="Y324" s="19"/>
    </row>
    <row r="325" spans="2:25" ht="12" customHeight="1">
      <c r="B325" s="19"/>
      <c r="C325" s="19"/>
      <c r="D325" s="107"/>
      <c r="E325" s="107"/>
      <c r="F325" s="19"/>
      <c r="G325" s="19"/>
      <c r="H325" s="19"/>
      <c r="I325" s="19"/>
      <c r="J325" s="19"/>
      <c r="K325" s="233"/>
      <c r="L325" s="19"/>
      <c r="M325" s="19"/>
      <c r="N325" s="19"/>
      <c r="O325" s="19"/>
      <c r="P325" s="19"/>
      <c r="Q325" s="19"/>
      <c r="R325" s="19"/>
      <c r="S325" s="19"/>
      <c r="T325" s="19"/>
      <c r="U325" s="19"/>
      <c r="V325" s="19"/>
      <c r="W325" s="19"/>
      <c r="X325" s="19"/>
      <c r="Y325" s="19"/>
    </row>
    <row r="326" spans="2:25" ht="12" customHeight="1">
      <c r="B326" s="19"/>
      <c r="C326" s="19"/>
      <c r="D326" s="107"/>
      <c r="E326" s="107"/>
      <c r="F326" s="19"/>
      <c r="G326" s="19"/>
      <c r="H326" s="19"/>
      <c r="I326" s="19"/>
      <c r="J326" s="19"/>
      <c r="K326" s="233"/>
      <c r="L326" s="19"/>
      <c r="M326" s="19"/>
      <c r="N326" s="19"/>
      <c r="O326" s="19"/>
      <c r="P326" s="19"/>
      <c r="Q326" s="19"/>
      <c r="R326" s="19"/>
      <c r="S326" s="19"/>
      <c r="T326" s="19"/>
      <c r="U326" s="19"/>
      <c r="V326" s="19"/>
      <c r="W326" s="19"/>
      <c r="X326" s="19"/>
      <c r="Y326" s="19"/>
    </row>
    <row r="327" spans="2:25" ht="12" customHeight="1">
      <c r="B327" s="19"/>
      <c r="C327" s="19"/>
      <c r="D327" s="107"/>
      <c r="E327" s="107"/>
      <c r="F327" s="19"/>
      <c r="G327" s="19"/>
      <c r="H327" s="19"/>
      <c r="I327" s="19"/>
      <c r="J327" s="19"/>
      <c r="K327" s="233"/>
      <c r="L327" s="19"/>
      <c r="M327" s="19"/>
      <c r="N327" s="19"/>
      <c r="O327" s="19"/>
      <c r="P327" s="19"/>
      <c r="Q327" s="19"/>
      <c r="R327" s="19"/>
      <c r="S327" s="19"/>
      <c r="T327" s="19"/>
      <c r="U327" s="19"/>
      <c r="V327" s="19"/>
      <c r="W327" s="19"/>
      <c r="X327" s="19"/>
      <c r="Y327" s="19"/>
    </row>
    <row r="328" spans="2:25" ht="12" customHeight="1">
      <c r="B328" s="19"/>
      <c r="C328" s="19"/>
      <c r="D328" s="107"/>
      <c r="E328" s="107"/>
      <c r="F328" s="19"/>
      <c r="G328" s="19"/>
      <c r="H328" s="19"/>
      <c r="I328" s="19"/>
      <c r="J328" s="19"/>
      <c r="K328" s="233"/>
      <c r="L328" s="19"/>
      <c r="M328" s="19"/>
      <c r="N328" s="19"/>
      <c r="O328" s="19"/>
      <c r="P328" s="19"/>
      <c r="Q328" s="19"/>
      <c r="R328" s="19"/>
      <c r="S328" s="19"/>
      <c r="T328" s="19"/>
      <c r="U328" s="19"/>
      <c r="V328" s="19"/>
      <c r="W328" s="19"/>
      <c r="X328" s="19"/>
      <c r="Y328" s="19"/>
    </row>
    <row r="329" spans="2:25" ht="12" customHeight="1">
      <c r="B329" s="19"/>
      <c r="C329" s="19"/>
      <c r="D329" s="107"/>
      <c r="E329" s="107"/>
      <c r="F329" s="19"/>
      <c r="G329" s="19"/>
      <c r="H329" s="19"/>
      <c r="I329" s="19"/>
      <c r="J329" s="19"/>
      <c r="K329" s="233"/>
      <c r="L329" s="19"/>
      <c r="M329" s="19"/>
      <c r="N329" s="19"/>
      <c r="O329" s="19"/>
      <c r="P329" s="19"/>
      <c r="Q329" s="19"/>
      <c r="R329" s="19"/>
      <c r="S329" s="19"/>
      <c r="T329" s="19"/>
      <c r="U329" s="19"/>
      <c r="V329" s="19"/>
      <c r="W329" s="19"/>
      <c r="X329" s="19"/>
      <c r="Y329" s="19"/>
    </row>
    <row r="330" spans="2:25" ht="12" customHeight="1">
      <c r="B330" s="19"/>
      <c r="C330" s="19"/>
      <c r="D330" s="107"/>
      <c r="E330" s="107"/>
      <c r="F330" s="19"/>
      <c r="G330" s="19"/>
      <c r="H330" s="19"/>
      <c r="I330" s="19"/>
      <c r="J330" s="19"/>
      <c r="K330" s="233"/>
      <c r="L330" s="19"/>
      <c r="M330" s="19"/>
      <c r="N330" s="19"/>
      <c r="O330" s="19"/>
      <c r="P330" s="19"/>
      <c r="Q330" s="19"/>
      <c r="R330" s="19"/>
      <c r="S330" s="19"/>
      <c r="T330" s="19"/>
      <c r="U330" s="19"/>
      <c r="V330" s="19"/>
      <c r="W330" s="19"/>
      <c r="X330" s="19"/>
      <c r="Y330" s="19"/>
    </row>
    <row r="331" spans="2:25" ht="12" customHeight="1">
      <c r="B331" s="19"/>
      <c r="C331" s="19"/>
      <c r="D331" s="107"/>
      <c r="E331" s="107"/>
      <c r="F331" s="19"/>
      <c r="G331" s="19"/>
      <c r="H331" s="19"/>
      <c r="I331" s="19"/>
      <c r="J331" s="19"/>
      <c r="K331" s="233"/>
      <c r="L331" s="19"/>
      <c r="M331" s="19"/>
      <c r="N331" s="19"/>
      <c r="O331" s="19"/>
      <c r="P331" s="19"/>
      <c r="Q331" s="19"/>
      <c r="R331" s="19"/>
      <c r="S331" s="19"/>
      <c r="T331" s="19"/>
      <c r="U331" s="19"/>
      <c r="V331" s="19"/>
      <c r="W331" s="19"/>
      <c r="X331" s="19"/>
      <c r="Y331" s="19"/>
    </row>
    <row r="332" spans="2:25" ht="12" customHeight="1">
      <c r="B332" s="19"/>
      <c r="C332" s="19"/>
      <c r="D332" s="107"/>
      <c r="E332" s="107"/>
      <c r="F332" s="19"/>
      <c r="G332" s="19"/>
      <c r="H332" s="19"/>
      <c r="I332" s="19"/>
      <c r="J332" s="19"/>
      <c r="K332" s="233"/>
      <c r="L332" s="19"/>
      <c r="M332" s="19"/>
      <c r="N332" s="19"/>
      <c r="O332" s="19"/>
      <c r="P332" s="19"/>
      <c r="Q332" s="19"/>
      <c r="R332" s="19"/>
      <c r="S332" s="19"/>
      <c r="T332" s="19"/>
      <c r="U332" s="19"/>
      <c r="V332" s="19"/>
      <c r="W332" s="19"/>
      <c r="X332" s="19"/>
      <c r="Y332" s="19"/>
    </row>
    <row r="333" spans="2:25" ht="12" customHeight="1">
      <c r="B333" s="19"/>
      <c r="C333" s="19"/>
      <c r="D333" s="107"/>
      <c r="E333" s="107"/>
      <c r="F333" s="19"/>
      <c r="G333" s="19"/>
      <c r="H333" s="19"/>
      <c r="I333" s="19"/>
      <c r="J333" s="19"/>
      <c r="K333" s="233"/>
      <c r="L333" s="19"/>
      <c r="M333" s="19"/>
      <c r="N333" s="19"/>
      <c r="O333" s="19"/>
      <c r="P333" s="19"/>
      <c r="Q333" s="19"/>
      <c r="R333" s="19"/>
      <c r="S333" s="19"/>
      <c r="T333" s="19"/>
      <c r="U333" s="19"/>
      <c r="V333" s="19"/>
      <c r="W333" s="19"/>
      <c r="X333" s="19"/>
      <c r="Y333" s="19"/>
    </row>
    <row r="334" spans="2:25" ht="12" customHeight="1">
      <c r="B334" s="19"/>
      <c r="C334" s="19"/>
      <c r="D334" s="107"/>
      <c r="E334" s="107"/>
      <c r="F334" s="19"/>
      <c r="G334" s="19"/>
      <c r="H334" s="19"/>
      <c r="I334" s="19"/>
      <c r="J334" s="19"/>
      <c r="K334" s="233"/>
      <c r="L334" s="19"/>
      <c r="M334" s="19"/>
      <c r="N334" s="19"/>
      <c r="O334" s="19"/>
      <c r="P334" s="19"/>
      <c r="Q334" s="19"/>
      <c r="R334" s="19"/>
      <c r="S334" s="19"/>
      <c r="T334" s="19"/>
      <c r="U334" s="19"/>
      <c r="V334" s="19"/>
      <c r="W334" s="19"/>
      <c r="X334" s="19"/>
      <c r="Y334" s="19"/>
    </row>
    <row r="335" spans="2:25" ht="12" customHeight="1">
      <c r="B335" s="19"/>
      <c r="C335" s="19"/>
      <c r="D335" s="107"/>
      <c r="E335" s="107"/>
      <c r="F335" s="19"/>
      <c r="G335" s="19"/>
      <c r="H335" s="19"/>
      <c r="I335" s="19"/>
      <c r="J335" s="19"/>
      <c r="K335" s="233"/>
      <c r="L335" s="19"/>
      <c r="M335" s="19"/>
      <c r="N335" s="19"/>
      <c r="O335" s="19"/>
      <c r="P335" s="19"/>
      <c r="Q335" s="19"/>
      <c r="R335" s="19"/>
      <c r="S335" s="19"/>
      <c r="T335" s="19"/>
      <c r="U335" s="19"/>
      <c r="V335" s="19"/>
      <c r="W335" s="19"/>
      <c r="X335" s="19"/>
      <c r="Y335" s="19"/>
    </row>
    <row r="336" spans="2:25" ht="12" customHeight="1">
      <c r="B336" s="19"/>
      <c r="C336" s="19"/>
      <c r="D336" s="107"/>
      <c r="E336" s="107"/>
      <c r="F336" s="19"/>
      <c r="G336" s="19"/>
      <c r="H336" s="19"/>
      <c r="I336" s="19"/>
      <c r="J336" s="19"/>
      <c r="K336" s="233"/>
      <c r="L336" s="19"/>
      <c r="M336" s="19"/>
      <c r="N336" s="19"/>
      <c r="O336" s="19"/>
      <c r="P336" s="19"/>
      <c r="Q336" s="19"/>
      <c r="R336" s="19"/>
      <c r="S336" s="19"/>
      <c r="T336" s="19"/>
      <c r="U336" s="19"/>
      <c r="V336" s="19"/>
      <c r="W336" s="19"/>
      <c r="X336" s="19"/>
      <c r="Y336" s="19"/>
    </row>
    <row r="337" spans="2:25" ht="12" customHeight="1">
      <c r="B337" s="19"/>
      <c r="C337" s="19"/>
      <c r="D337" s="107"/>
      <c r="E337" s="107"/>
      <c r="F337" s="19"/>
      <c r="G337" s="19"/>
      <c r="H337" s="19"/>
      <c r="I337" s="19"/>
      <c r="J337" s="19"/>
      <c r="K337" s="233"/>
      <c r="L337" s="19"/>
      <c r="M337" s="19"/>
      <c r="N337" s="19"/>
      <c r="O337" s="19"/>
      <c r="P337" s="19"/>
      <c r="Q337" s="19"/>
      <c r="R337" s="19"/>
      <c r="S337" s="19"/>
      <c r="T337" s="19"/>
      <c r="U337" s="19"/>
      <c r="V337" s="19"/>
      <c r="W337" s="19"/>
      <c r="X337" s="19"/>
      <c r="Y337" s="19"/>
    </row>
    <row r="338" spans="2:25" ht="12" customHeight="1">
      <c r="B338" s="19"/>
      <c r="C338" s="19"/>
      <c r="D338" s="107"/>
      <c r="E338" s="107"/>
      <c r="F338" s="19"/>
      <c r="G338" s="19"/>
      <c r="H338" s="19"/>
      <c r="I338" s="19"/>
      <c r="J338" s="19"/>
      <c r="K338" s="233"/>
      <c r="L338" s="19"/>
      <c r="M338" s="19"/>
      <c r="N338" s="19"/>
      <c r="O338" s="19"/>
      <c r="P338" s="19"/>
      <c r="Q338" s="19"/>
      <c r="R338" s="19"/>
      <c r="S338" s="19"/>
      <c r="T338" s="19"/>
      <c r="U338" s="19"/>
      <c r="V338" s="19"/>
      <c r="W338" s="19"/>
      <c r="X338" s="19"/>
      <c r="Y338" s="19"/>
    </row>
    <row r="339" spans="2:25" ht="12" customHeight="1">
      <c r="B339" s="19"/>
      <c r="C339" s="19"/>
      <c r="D339" s="107"/>
      <c r="E339" s="107"/>
      <c r="F339" s="19"/>
      <c r="G339" s="19"/>
      <c r="H339" s="19"/>
      <c r="I339" s="19"/>
      <c r="J339" s="19"/>
      <c r="K339" s="233"/>
      <c r="L339" s="19"/>
      <c r="M339" s="19"/>
      <c r="N339" s="19"/>
      <c r="O339" s="19"/>
      <c r="P339" s="19"/>
      <c r="Q339" s="19"/>
      <c r="R339" s="19"/>
      <c r="S339" s="19"/>
      <c r="T339" s="19"/>
      <c r="U339" s="19"/>
      <c r="V339" s="19"/>
      <c r="W339" s="19"/>
      <c r="X339" s="19"/>
      <c r="Y339" s="19"/>
    </row>
    <row r="340" spans="2:25" ht="12" customHeight="1">
      <c r="B340" s="19"/>
      <c r="C340" s="19"/>
      <c r="D340" s="107"/>
      <c r="E340" s="107"/>
      <c r="F340" s="19"/>
      <c r="G340" s="19"/>
      <c r="H340" s="19"/>
      <c r="I340" s="19"/>
      <c r="J340" s="19"/>
      <c r="K340" s="233"/>
      <c r="L340" s="19"/>
      <c r="M340" s="19"/>
      <c r="N340" s="19"/>
      <c r="O340" s="19"/>
      <c r="P340" s="19"/>
      <c r="Q340" s="19"/>
      <c r="R340" s="19"/>
      <c r="S340" s="19"/>
      <c r="T340" s="19"/>
      <c r="U340" s="19"/>
      <c r="V340" s="19"/>
      <c r="W340" s="19"/>
      <c r="X340" s="19"/>
      <c r="Y340" s="19"/>
    </row>
    <row r="341" spans="2:25" ht="12" customHeight="1">
      <c r="B341" s="19"/>
      <c r="C341" s="19"/>
      <c r="D341" s="107"/>
      <c r="E341" s="107"/>
      <c r="F341" s="19"/>
      <c r="G341" s="19"/>
      <c r="H341" s="19"/>
      <c r="I341" s="19"/>
      <c r="J341" s="19"/>
      <c r="K341" s="233"/>
      <c r="L341" s="19"/>
      <c r="M341" s="19"/>
      <c r="N341" s="19"/>
      <c r="O341" s="19"/>
      <c r="P341" s="19"/>
      <c r="Q341" s="19"/>
      <c r="R341" s="19"/>
      <c r="S341" s="19"/>
      <c r="T341" s="19"/>
      <c r="U341" s="19"/>
      <c r="V341" s="19"/>
      <c r="W341" s="19"/>
      <c r="X341" s="19"/>
      <c r="Y341" s="19"/>
    </row>
    <row r="342" spans="2:25" ht="12" customHeight="1">
      <c r="B342" s="19"/>
      <c r="C342" s="19"/>
      <c r="D342" s="107"/>
      <c r="E342" s="107"/>
      <c r="F342" s="19"/>
      <c r="G342" s="19"/>
      <c r="H342" s="19"/>
      <c r="I342" s="19"/>
      <c r="J342" s="19"/>
      <c r="K342" s="233"/>
      <c r="L342" s="19"/>
      <c r="M342" s="19"/>
      <c r="N342" s="19"/>
      <c r="O342" s="19"/>
      <c r="P342" s="19"/>
      <c r="Q342" s="19"/>
      <c r="R342" s="19"/>
      <c r="S342" s="19"/>
      <c r="T342" s="19"/>
      <c r="U342" s="19"/>
      <c r="V342" s="19"/>
      <c r="W342" s="19"/>
      <c r="X342" s="19"/>
      <c r="Y342" s="19"/>
    </row>
    <row r="343" spans="2:25" ht="12" customHeight="1">
      <c r="B343" s="19"/>
      <c r="C343" s="19"/>
      <c r="D343" s="107"/>
      <c r="E343" s="107"/>
      <c r="F343" s="19"/>
      <c r="G343" s="19"/>
      <c r="H343" s="19"/>
      <c r="I343" s="19"/>
      <c r="J343" s="19"/>
      <c r="K343" s="233"/>
      <c r="L343" s="19"/>
      <c r="M343" s="19"/>
      <c r="N343" s="19"/>
      <c r="O343" s="19"/>
      <c r="P343" s="19"/>
      <c r="Q343" s="19"/>
      <c r="R343" s="19"/>
      <c r="S343" s="19"/>
      <c r="T343" s="19"/>
      <c r="U343" s="19"/>
      <c r="V343" s="19"/>
      <c r="W343" s="19"/>
      <c r="X343" s="19"/>
      <c r="Y343" s="19"/>
    </row>
    <row r="344" spans="2:25" ht="12" customHeight="1">
      <c r="B344" s="19"/>
      <c r="C344" s="19"/>
      <c r="D344" s="107"/>
      <c r="E344" s="107"/>
      <c r="F344" s="19"/>
      <c r="G344" s="19"/>
      <c r="H344" s="19"/>
      <c r="I344" s="19"/>
      <c r="J344" s="19"/>
      <c r="K344" s="233"/>
      <c r="L344" s="19"/>
      <c r="M344" s="19"/>
      <c r="N344" s="19"/>
      <c r="O344" s="19"/>
      <c r="P344" s="19"/>
      <c r="Q344" s="19"/>
      <c r="R344" s="19"/>
      <c r="S344" s="19"/>
      <c r="T344" s="19"/>
      <c r="U344" s="19"/>
      <c r="V344" s="19"/>
      <c r="W344" s="19"/>
      <c r="X344" s="19"/>
      <c r="Y344" s="19"/>
    </row>
    <row r="345" spans="2:25" ht="12" customHeight="1">
      <c r="B345" s="19"/>
      <c r="C345" s="19"/>
      <c r="D345" s="107"/>
      <c r="E345" s="107"/>
      <c r="F345" s="19"/>
      <c r="G345" s="19"/>
      <c r="H345" s="19"/>
      <c r="I345" s="19"/>
      <c r="J345" s="19"/>
      <c r="K345" s="233"/>
      <c r="L345" s="19"/>
      <c r="M345" s="19"/>
      <c r="N345" s="19"/>
      <c r="O345" s="19"/>
      <c r="P345" s="19"/>
      <c r="Q345" s="19"/>
      <c r="R345" s="19"/>
      <c r="S345" s="19"/>
      <c r="T345" s="19"/>
      <c r="U345" s="19"/>
      <c r="V345" s="19"/>
      <c r="W345" s="19"/>
      <c r="X345" s="19"/>
      <c r="Y345" s="19"/>
    </row>
    <row r="346" spans="2:25" ht="12" customHeight="1">
      <c r="B346" s="19"/>
      <c r="C346" s="19"/>
      <c r="D346" s="107"/>
      <c r="E346" s="107"/>
      <c r="F346" s="19"/>
      <c r="G346" s="19"/>
      <c r="H346" s="19"/>
      <c r="I346" s="19"/>
      <c r="J346" s="19"/>
      <c r="K346" s="233"/>
      <c r="L346" s="19"/>
      <c r="M346" s="19"/>
      <c r="N346" s="19"/>
      <c r="O346" s="19"/>
      <c r="P346" s="19"/>
      <c r="Q346" s="19"/>
      <c r="R346" s="19"/>
      <c r="S346" s="19"/>
      <c r="T346" s="19"/>
      <c r="U346" s="19"/>
      <c r="V346" s="19"/>
      <c r="W346" s="19"/>
      <c r="X346" s="19"/>
      <c r="Y346" s="19"/>
    </row>
    <row r="347" spans="2:25" ht="12" customHeight="1">
      <c r="B347" s="19"/>
      <c r="C347" s="19"/>
      <c r="D347" s="107"/>
      <c r="E347" s="107"/>
      <c r="F347" s="19"/>
      <c r="G347" s="19"/>
      <c r="H347" s="19"/>
      <c r="I347" s="19"/>
      <c r="J347" s="19"/>
      <c r="K347" s="233"/>
      <c r="L347" s="19"/>
      <c r="M347" s="19"/>
      <c r="N347" s="19"/>
      <c r="O347" s="19"/>
      <c r="P347" s="19"/>
      <c r="Q347" s="19"/>
      <c r="R347" s="19"/>
      <c r="S347" s="19"/>
      <c r="T347" s="19"/>
      <c r="U347" s="19"/>
      <c r="V347" s="19"/>
      <c r="W347" s="19"/>
      <c r="X347" s="19"/>
      <c r="Y347" s="19"/>
    </row>
    <row r="348" spans="2:25" ht="12" customHeight="1">
      <c r="B348" s="19"/>
      <c r="C348" s="19"/>
      <c r="D348" s="107"/>
      <c r="E348" s="107"/>
      <c r="F348" s="19"/>
      <c r="G348" s="19"/>
      <c r="H348" s="19"/>
      <c r="I348" s="19"/>
      <c r="J348" s="19"/>
      <c r="K348" s="233"/>
      <c r="L348" s="19"/>
      <c r="M348" s="19"/>
      <c r="N348" s="19"/>
      <c r="O348" s="19"/>
      <c r="P348" s="19"/>
      <c r="Q348" s="19"/>
      <c r="R348" s="19"/>
      <c r="S348" s="19"/>
      <c r="T348" s="19"/>
      <c r="U348" s="19"/>
      <c r="V348" s="19"/>
      <c r="W348" s="19"/>
      <c r="X348" s="19"/>
      <c r="Y348" s="19"/>
    </row>
    <row r="349" spans="2:25" ht="12" customHeight="1">
      <c r="B349" s="19"/>
      <c r="C349" s="19"/>
      <c r="D349" s="107"/>
      <c r="E349" s="107"/>
      <c r="F349" s="19"/>
      <c r="G349" s="19"/>
      <c r="H349" s="19"/>
      <c r="I349" s="19"/>
      <c r="J349" s="19"/>
      <c r="K349" s="233"/>
      <c r="L349" s="19"/>
      <c r="M349" s="19"/>
      <c r="N349" s="19"/>
      <c r="O349" s="19"/>
      <c r="P349" s="19"/>
      <c r="Q349" s="19"/>
      <c r="R349" s="19"/>
      <c r="S349" s="19"/>
      <c r="T349" s="19"/>
      <c r="U349" s="19"/>
      <c r="V349" s="19"/>
      <c r="W349" s="19"/>
      <c r="X349" s="19"/>
      <c r="Y349" s="19"/>
    </row>
    <row r="350" spans="2:25" ht="12" customHeight="1">
      <c r="B350" s="19"/>
      <c r="C350" s="19"/>
      <c r="D350" s="107"/>
      <c r="E350" s="107"/>
      <c r="F350" s="19"/>
      <c r="G350" s="19"/>
      <c r="H350" s="19"/>
      <c r="I350" s="19"/>
      <c r="J350" s="19"/>
      <c r="K350" s="233"/>
      <c r="L350" s="19"/>
      <c r="M350" s="19"/>
      <c r="N350" s="19"/>
      <c r="O350" s="19"/>
      <c r="P350" s="19"/>
      <c r="Q350" s="19"/>
      <c r="R350" s="19"/>
      <c r="S350" s="19"/>
      <c r="T350" s="19"/>
      <c r="U350" s="19"/>
      <c r="V350" s="19"/>
      <c r="W350" s="19"/>
      <c r="X350" s="19"/>
      <c r="Y350" s="19"/>
    </row>
    <row r="351" spans="2:25" ht="12" customHeight="1">
      <c r="B351" s="19"/>
      <c r="C351" s="19"/>
      <c r="D351" s="107"/>
      <c r="E351" s="107"/>
      <c r="F351" s="19"/>
      <c r="G351" s="19"/>
      <c r="H351" s="19"/>
      <c r="I351" s="19"/>
      <c r="J351" s="19"/>
      <c r="K351" s="233"/>
      <c r="L351" s="19"/>
      <c r="M351" s="19"/>
      <c r="N351" s="19"/>
      <c r="O351" s="19"/>
      <c r="P351" s="19"/>
      <c r="Q351" s="19"/>
      <c r="R351" s="19"/>
      <c r="S351" s="19"/>
      <c r="T351" s="19"/>
      <c r="U351" s="19"/>
      <c r="V351" s="19"/>
      <c r="W351" s="19"/>
      <c r="X351" s="19"/>
      <c r="Y351" s="19"/>
    </row>
    <row r="352" spans="2:25" ht="12" customHeight="1">
      <c r="B352" s="19"/>
      <c r="C352" s="19"/>
      <c r="D352" s="107"/>
      <c r="E352" s="107"/>
      <c r="F352" s="19"/>
      <c r="G352" s="19"/>
      <c r="H352" s="19"/>
      <c r="I352" s="19"/>
      <c r="J352" s="19"/>
      <c r="K352" s="233"/>
      <c r="L352" s="19"/>
      <c r="M352" s="19"/>
      <c r="N352" s="19"/>
      <c r="O352" s="19"/>
      <c r="P352" s="19"/>
      <c r="Q352" s="19"/>
      <c r="R352" s="19"/>
      <c r="S352" s="19"/>
      <c r="T352" s="19"/>
      <c r="U352" s="19"/>
      <c r="V352" s="19"/>
      <c r="W352" s="19"/>
      <c r="X352" s="19"/>
      <c r="Y352" s="19"/>
    </row>
    <row r="353" spans="2:25" ht="12" customHeight="1">
      <c r="B353" s="19"/>
      <c r="C353" s="19"/>
      <c r="D353" s="107"/>
      <c r="E353" s="107"/>
      <c r="F353" s="19"/>
      <c r="G353" s="19"/>
      <c r="H353" s="19"/>
      <c r="I353" s="19"/>
      <c r="J353" s="19"/>
      <c r="K353" s="233"/>
      <c r="L353" s="19"/>
      <c r="M353" s="19"/>
      <c r="N353" s="19"/>
      <c r="O353" s="19"/>
      <c r="P353" s="19"/>
      <c r="Q353" s="19"/>
      <c r="R353" s="19"/>
      <c r="S353" s="19"/>
      <c r="T353" s="19"/>
      <c r="U353" s="19"/>
      <c r="V353" s="19"/>
      <c r="W353" s="19"/>
      <c r="X353" s="19"/>
      <c r="Y353" s="19"/>
    </row>
    <row r="354" spans="2:25" ht="12" customHeight="1">
      <c r="B354" s="19"/>
      <c r="C354" s="19"/>
      <c r="D354" s="107"/>
      <c r="E354" s="107"/>
      <c r="F354" s="19"/>
      <c r="G354" s="19"/>
      <c r="H354" s="19"/>
      <c r="I354" s="19"/>
      <c r="J354" s="19"/>
      <c r="K354" s="233"/>
      <c r="L354" s="19"/>
      <c r="M354" s="19"/>
      <c r="N354" s="19"/>
      <c r="O354" s="19"/>
      <c r="P354" s="19"/>
      <c r="Q354" s="19"/>
      <c r="R354" s="19"/>
      <c r="S354" s="19"/>
      <c r="T354" s="19"/>
      <c r="U354" s="19"/>
      <c r="V354" s="19"/>
      <c r="W354" s="19"/>
      <c r="X354" s="19"/>
      <c r="Y354" s="19"/>
    </row>
    <row r="355" spans="2:25" ht="12" customHeight="1">
      <c r="B355" s="19"/>
      <c r="C355" s="19"/>
      <c r="D355" s="107"/>
      <c r="E355" s="107"/>
      <c r="F355" s="19"/>
      <c r="G355" s="19"/>
      <c r="H355" s="19"/>
      <c r="I355" s="19"/>
      <c r="J355" s="19"/>
      <c r="K355" s="233"/>
      <c r="L355" s="19"/>
      <c r="M355" s="19"/>
      <c r="N355" s="19"/>
      <c r="O355" s="19"/>
      <c r="P355" s="19"/>
      <c r="Q355" s="19"/>
      <c r="R355" s="19"/>
      <c r="S355" s="19"/>
      <c r="T355" s="19"/>
      <c r="U355" s="19"/>
      <c r="V355" s="19"/>
      <c r="W355" s="19"/>
      <c r="X355" s="19"/>
      <c r="Y355" s="19"/>
    </row>
    <row r="356" spans="2:25" ht="12" customHeight="1">
      <c r="B356" s="19"/>
      <c r="C356" s="19"/>
      <c r="D356" s="107"/>
      <c r="E356" s="107"/>
      <c r="F356" s="19"/>
      <c r="G356" s="19"/>
      <c r="H356" s="19"/>
      <c r="I356" s="19"/>
      <c r="J356" s="19"/>
      <c r="K356" s="233"/>
      <c r="L356" s="19"/>
      <c r="M356" s="19"/>
      <c r="N356" s="19"/>
      <c r="O356" s="19"/>
      <c r="P356" s="19"/>
      <c r="Q356" s="19"/>
      <c r="R356" s="19"/>
      <c r="S356" s="19"/>
      <c r="T356" s="19"/>
      <c r="U356" s="19"/>
      <c r="V356" s="19"/>
      <c r="W356" s="19"/>
      <c r="X356" s="19"/>
      <c r="Y356" s="19"/>
    </row>
    <row r="357" spans="2:25" ht="12" customHeight="1">
      <c r="B357" s="19"/>
      <c r="C357" s="19"/>
      <c r="D357" s="107"/>
      <c r="E357" s="107"/>
      <c r="F357" s="19"/>
      <c r="G357" s="19"/>
      <c r="H357" s="19"/>
      <c r="I357" s="19"/>
      <c r="J357" s="19"/>
      <c r="K357" s="233"/>
      <c r="L357" s="19"/>
      <c r="M357" s="19"/>
      <c r="N357" s="19"/>
      <c r="O357" s="19"/>
      <c r="P357" s="19"/>
      <c r="Q357" s="19"/>
      <c r="R357" s="19"/>
      <c r="S357" s="19"/>
      <c r="T357" s="19"/>
      <c r="U357" s="19"/>
      <c r="V357" s="19"/>
      <c r="W357" s="19"/>
      <c r="X357" s="19"/>
      <c r="Y357" s="19"/>
    </row>
    <row r="358" spans="2:25" ht="12" customHeight="1">
      <c r="B358" s="19"/>
      <c r="C358" s="19"/>
      <c r="D358" s="107"/>
      <c r="E358" s="107"/>
      <c r="F358" s="19"/>
      <c r="G358" s="19"/>
      <c r="H358" s="19"/>
      <c r="I358" s="19"/>
      <c r="J358" s="19"/>
      <c r="K358" s="233"/>
      <c r="L358" s="19"/>
      <c r="M358" s="19"/>
      <c r="N358" s="19"/>
      <c r="O358" s="19"/>
      <c r="P358" s="19"/>
      <c r="Q358" s="19"/>
      <c r="R358" s="19"/>
      <c r="S358" s="19"/>
      <c r="T358" s="19"/>
      <c r="U358" s="19"/>
      <c r="V358" s="19"/>
      <c r="W358" s="19"/>
      <c r="X358" s="19"/>
      <c r="Y358" s="19"/>
    </row>
    <row r="359" spans="2:25" ht="12" customHeight="1">
      <c r="B359" s="19"/>
      <c r="C359" s="19"/>
      <c r="D359" s="107"/>
      <c r="E359" s="107"/>
      <c r="F359" s="19"/>
      <c r="G359" s="19"/>
      <c r="H359" s="19"/>
      <c r="I359" s="19"/>
      <c r="J359" s="19"/>
      <c r="K359" s="233"/>
      <c r="L359" s="19"/>
      <c r="M359" s="19"/>
      <c r="N359" s="19"/>
      <c r="O359" s="19"/>
      <c r="P359" s="19"/>
      <c r="Q359" s="19"/>
      <c r="R359" s="19"/>
      <c r="S359" s="19"/>
      <c r="T359" s="19"/>
      <c r="U359" s="19"/>
      <c r="V359" s="19"/>
      <c r="W359" s="19"/>
      <c r="X359" s="19"/>
      <c r="Y359" s="19"/>
    </row>
    <row r="360" spans="2:25" ht="12" customHeight="1">
      <c r="B360" s="19"/>
      <c r="C360" s="19"/>
      <c r="D360" s="107"/>
      <c r="E360" s="107"/>
      <c r="F360" s="19"/>
      <c r="G360" s="19"/>
      <c r="H360" s="19"/>
      <c r="I360" s="19"/>
      <c r="J360" s="19"/>
      <c r="K360" s="233"/>
      <c r="L360" s="19"/>
      <c r="M360" s="19"/>
      <c r="N360" s="19"/>
      <c r="O360" s="19"/>
      <c r="P360" s="19"/>
      <c r="Q360" s="19"/>
      <c r="R360" s="19"/>
      <c r="S360" s="19"/>
      <c r="T360" s="19"/>
      <c r="U360" s="19"/>
      <c r="V360" s="19"/>
      <c r="W360" s="19"/>
      <c r="X360" s="19"/>
      <c r="Y360" s="19"/>
    </row>
    <row r="361" spans="2:25" ht="12" customHeight="1">
      <c r="B361" s="19"/>
      <c r="C361" s="19"/>
      <c r="D361" s="107"/>
      <c r="E361" s="107"/>
      <c r="F361" s="19"/>
      <c r="G361" s="19"/>
      <c r="H361" s="19"/>
      <c r="I361" s="19"/>
      <c r="J361" s="19"/>
      <c r="K361" s="233"/>
      <c r="L361" s="19"/>
      <c r="M361" s="19"/>
      <c r="N361" s="19"/>
      <c r="O361" s="19"/>
      <c r="P361" s="19"/>
      <c r="Q361" s="19"/>
      <c r="R361" s="19"/>
      <c r="S361" s="19"/>
      <c r="T361" s="19"/>
      <c r="U361" s="19"/>
      <c r="V361" s="19"/>
      <c r="W361" s="19"/>
      <c r="X361" s="19"/>
      <c r="Y361" s="19"/>
    </row>
    <row r="362" spans="2:25" ht="12" customHeight="1">
      <c r="B362" s="19"/>
      <c r="C362" s="19"/>
      <c r="D362" s="107"/>
      <c r="E362" s="107"/>
      <c r="F362" s="19"/>
      <c r="G362" s="19"/>
      <c r="H362" s="19"/>
      <c r="I362" s="19"/>
      <c r="J362" s="19"/>
      <c r="K362" s="233"/>
      <c r="L362" s="19"/>
      <c r="M362" s="19"/>
      <c r="N362" s="19"/>
      <c r="O362" s="19"/>
      <c r="P362" s="19"/>
      <c r="Q362" s="19"/>
      <c r="R362" s="19"/>
      <c r="S362" s="19"/>
      <c r="T362" s="19"/>
      <c r="U362" s="19"/>
      <c r="V362" s="19"/>
      <c r="W362" s="19"/>
      <c r="X362" s="19"/>
      <c r="Y362" s="19"/>
    </row>
    <row r="363" spans="2:25" ht="12" customHeight="1">
      <c r="B363" s="19"/>
      <c r="C363" s="19"/>
      <c r="D363" s="107"/>
      <c r="E363" s="107"/>
      <c r="F363" s="19"/>
      <c r="G363" s="19"/>
      <c r="H363" s="19"/>
      <c r="I363" s="19"/>
      <c r="J363" s="19"/>
      <c r="K363" s="233"/>
      <c r="L363" s="19"/>
      <c r="M363" s="19"/>
      <c r="N363" s="19"/>
      <c r="O363" s="19"/>
      <c r="P363" s="19"/>
      <c r="Q363" s="19"/>
      <c r="R363" s="19"/>
      <c r="S363" s="19"/>
      <c r="T363" s="19"/>
      <c r="U363" s="19"/>
      <c r="V363" s="19"/>
      <c r="W363" s="19"/>
      <c r="X363" s="19"/>
      <c r="Y363" s="19"/>
    </row>
    <row r="364" spans="2:25" ht="12" customHeight="1">
      <c r="B364" s="19"/>
      <c r="C364" s="19"/>
      <c r="D364" s="107"/>
      <c r="E364" s="107"/>
      <c r="F364" s="19"/>
      <c r="G364" s="19"/>
      <c r="H364" s="19"/>
      <c r="I364" s="19"/>
      <c r="J364" s="19"/>
      <c r="K364" s="233"/>
      <c r="L364" s="19"/>
      <c r="M364" s="19"/>
      <c r="N364" s="19"/>
      <c r="O364" s="19"/>
      <c r="P364" s="19"/>
      <c r="Q364" s="19"/>
      <c r="R364" s="19"/>
      <c r="S364" s="19"/>
      <c r="T364" s="19"/>
      <c r="U364" s="19"/>
      <c r="V364" s="19"/>
      <c r="W364" s="19"/>
      <c r="X364" s="19"/>
      <c r="Y364" s="19"/>
    </row>
    <row r="365" spans="2:25" ht="12" customHeight="1">
      <c r="B365" s="19"/>
      <c r="C365" s="19"/>
      <c r="D365" s="107"/>
      <c r="E365" s="107"/>
      <c r="F365" s="19"/>
      <c r="G365" s="19"/>
      <c r="H365" s="19"/>
      <c r="I365" s="19"/>
      <c r="J365" s="19"/>
      <c r="K365" s="233"/>
      <c r="L365" s="19"/>
      <c r="M365" s="19"/>
      <c r="N365" s="19"/>
      <c r="O365" s="19"/>
      <c r="P365" s="19"/>
      <c r="Q365" s="19"/>
      <c r="R365" s="19"/>
      <c r="S365" s="19"/>
      <c r="T365" s="19"/>
      <c r="U365" s="19"/>
      <c r="V365" s="19"/>
      <c r="W365" s="19"/>
      <c r="X365" s="19"/>
      <c r="Y365" s="19"/>
    </row>
    <row r="366" spans="2:25" ht="12" customHeight="1">
      <c r="B366" s="19"/>
      <c r="C366" s="19"/>
      <c r="D366" s="107"/>
      <c r="E366" s="107"/>
      <c r="F366" s="19"/>
      <c r="G366" s="19"/>
      <c r="H366" s="19"/>
      <c r="I366" s="19"/>
      <c r="J366" s="19"/>
      <c r="K366" s="233"/>
      <c r="L366" s="19"/>
      <c r="M366" s="19"/>
      <c r="N366" s="19"/>
      <c r="O366" s="19"/>
      <c r="P366" s="19"/>
      <c r="Q366" s="19"/>
      <c r="R366" s="19"/>
      <c r="S366" s="19"/>
      <c r="T366" s="19"/>
      <c r="U366" s="19"/>
      <c r="V366" s="19"/>
      <c r="W366" s="19"/>
      <c r="X366" s="19"/>
      <c r="Y366" s="19"/>
    </row>
    <row r="367" spans="2:25" ht="12" customHeight="1">
      <c r="B367" s="19"/>
      <c r="C367" s="19"/>
      <c r="D367" s="107"/>
      <c r="E367" s="107"/>
      <c r="F367" s="19"/>
      <c r="G367" s="19"/>
      <c r="H367" s="19"/>
      <c r="I367" s="19"/>
      <c r="J367" s="19"/>
      <c r="K367" s="233"/>
      <c r="L367" s="19"/>
      <c r="M367" s="19"/>
      <c r="N367" s="19"/>
      <c r="O367" s="19"/>
      <c r="P367" s="19"/>
      <c r="Q367" s="19"/>
      <c r="R367" s="19"/>
      <c r="S367" s="19"/>
      <c r="T367" s="19"/>
      <c r="U367" s="19"/>
      <c r="V367" s="19"/>
      <c r="W367" s="19"/>
      <c r="X367" s="19"/>
      <c r="Y367" s="19"/>
    </row>
    <row r="368" spans="2:25" ht="12" customHeight="1">
      <c r="B368" s="19"/>
      <c r="C368" s="19"/>
      <c r="D368" s="107"/>
      <c r="E368" s="107"/>
      <c r="F368" s="19"/>
      <c r="G368" s="19"/>
      <c r="H368" s="19"/>
      <c r="I368" s="19"/>
      <c r="J368" s="19"/>
      <c r="K368" s="233"/>
      <c r="L368" s="19"/>
      <c r="M368" s="19"/>
      <c r="N368" s="19"/>
      <c r="O368" s="19"/>
      <c r="P368" s="19"/>
      <c r="Q368" s="19"/>
      <c r="R368" s="19"/>
      <c r="S368" s="19"/>
      <c r="T368" s="19"/>
      <c r="U368" s="19"/>
      <c r="V368" s="19"/>
      <c r="W368" s="19"/>
      <c r="X368" s="19"/>
      <c r="Y368" s="19"/>
    </row>
    <row r="369" spans="2:25" ht="12" customHeight="1">
      <c r="B369" s="19"/>
      <c r="C369" s="19"/>
      <c r="D369" s="107"/>
      <c r="E369" s="107"/>
      <c r="F369" s="19"/>
      <c r="G369" s="19"/>
      <c r="H369" s="19"/>
      <c r="I369" s="19"/>
      <c r="J369" s="19"/>
      <c r="K369" s="233"/>
      <c r="L369" s="19"/>
      <c r="M369" s="19"/>
      <c r="N369" s="19"/>
      <c r="O369" s="19"/>
      <c r="P369" s="19"/>
      <c r="Q369" s="19"/>
      <c r="R369" s="19"/>
      <c r="S369" s="19"/>
      <c r="T369" s="19"/>
      <c r="U369" s="19"/>
      <c r="V369" s="19"/>
      <c r="W369" s="19"/>
      <c r="X369" s="19"/>
      <c r="Y369" s="19"/>
    </row>
    <row r="370" spans="2:25" ht="12" customHeight="1">
      <c r="B370" s="19"/>
      <c r="C370" s="19"/>
      <c r="D370" s="107"/>
      <c r="E370" s="107"/>
      <c r="F370" s="19"/>
      <c r="G370" s="19"/>
      <c r="H370" s="19"/>
      <c r="I370" s="19"/>
      <c r="J370" s="19"/>
      <c r="K370" s="233"/>
      <c r="L370" s="19"/>
      <c r="M370" s="19"/>
      <c r="N370" s="19"/>
      <c r="O370" s="19"/>
      <c r="P370" s="19"/>
      <c r="Q370" s="19"/>
      <c r="R370" s="19"/>
      <c r="S370" s="19"/>
      <c r="T370" s="19"/>
      <c r="U370" s="19"/>
      <c r="V370" s="19"/>
      <c r="W370" s="19"/>
      <c r="X370" s="19"/>
      <c r="Y370" s="19"/>
    </row>
    <row r="371" spans="2:25" ht="12" customHeight="1">
      <c r="B371" s="19"/>
      <c r="C371" s="19"/>
      <c r="D371" s="107"/>
      <c r="E371" s="107"/>
      <c r="F371" s="19"/>
      <c r="G371" s="19"/>
      <c r="H371" s="19"/>
      <c r="I371" s="19"/>
      <c r="J371" s="19"/>
      <c r="K371" s="233"/>
      <c r="L371" s="19"/>
      <c r="M371" s="19"/>
      <c r="N371" s="19"/>
      <c r="O371" s="19"/>
      <c r="P371" s="19"/>
      <c r="Q371" s="19"/>
      <c r="R371" s="19"/>
      <c r="S371" s="19"/>
      <c r="T371" s="19"/>
      <c r="U371" s="19"/>
      <c r="V371" s="19"/>
      <c r="W371" s="19"/>
      <c r="X371" s="19"/>
      <c r="Y371" s="19"/>
    </row>
    <row r="372" spans="2:25" ht="12" customHeight="1">
      <c r="B372" s="19"/>
      <c r="C372" s="19"/>
      <c r="D372" s="107"/>
      <c r="E372" s="107"/>
      <c r="F372" s="19"/>
      <c r="G372" s="19"/>
      <c r="H372" s="19"/>
      <c r="I372" s="19"/>
      <c r="J372" s="19"/>
      <c r="K372" s="233"/>
      <c r="L372" s="19"/>
      <c r="M372" s="19"/>
      <c r="N372" s="19"/>
      <c r="O372" s="19"/>
      <c r="P372" s="19"/>
      <c r="Q372" s="19"/>
      <c r="R372" s="19"/>
      <c r="S372" s="19"/>
      <c r="T372" s="19"/>
      <c r="U372" s="19"/>
      <c r="V372" s="19"/>
      <c r="W372" s="19"/>
      <c r="X372" s="19"/>
      <c r="Y372" s="19"/>
    </row>
    <row r="373" spans="2:25" ht="12" customHeight="1">
      <c r="B373" s="19"/>
      <c r="C373" s="19"/>
      <c r="D373" s="107"/>
      <c r="E373" s="107"/>
      <c r="F373" s="19"/>
      <c r="G373" s="19"/>
      <c r="H373" s="19"/>
      <c r="I373" s="19"/>
      <c r="J373" s="19"/>
      <c r="K373" s="233"/>
      <c r="L373" s="19"/>
      <c r="M373" s="19"/>
      <c r="N373" s="19"/>
      <c r="O373" s="19"/>
      <c r="P373" s="19"/>
      <c r="Q373" s="19"/>
      <c r="R373" s="19"/>
      <c r="S373" s="19"/>
      <c r="T373" s="19"/>
      <c r="U373" s="19"/>
      <c r="V373" s="19"/>
      <c r="W373" s="19"/>
      <c r="X373" s="19"/>
      <c r="Y373" s="19"/>
    </row>
    <row r="374" spans="2:25" ht="12" customHeight="1">
      <c r="B374" s="19"/>
      <c r="C374" s="19"/>
      <c r="D374" s="107"/>
      <c r="E374" s="107"/>
      <c r="F374" s="19"/>
      <c r="G374" s="19"/>
      <c r="H374" s="19"/>
      <c r="I374" s="19"/>
      <c r="J374" s="19"/>
      <c r="K374" s="233"/>
      <c r="L374" s="19"/>
      <c r="M374" s="19"/>
      <c r="N374" s="19"/>
      <c r="O374" s="19"/>
      <c r="P374" s="19"/>
      <c r="Q374" s="19"/>
      <c r="R374" s="19"/>
      <c r="S374" s="19"/>
      <c r="T374" s="19"/>
      <c r="U374" s="19"/>
      <c r="V374" s="19"/>
      <c r="W374" s="19"/>
      <c r="X374" s="19"/>
      <c r="Y374" s="19"/>
    </row>
    <row r="375" spans="2:25" ht="12" customHeight="1">
      <c r="B375" s="19"/>
      <c r="C375" s="19"/>
      <c r="D375" s="107"/>
      <c r="E375" s="107"/>
      <c r="F375" s="19"/>
      <c r="G375" s="19"/>
      <c r="H375" s="19"/>
      <c r="I375" s="19"/>
      <c r="J375" s="19"/>
      <c r="K375" s="233"/>
      <c r="L375" s="19"/>
      <c r="M375" s="19"/>
      <c r="N375" s="19"/>
      <c r="O375" s="19"/>
      <c r="P375" s="19"/>
      <c r="Q375" s="19"/>
      <c r="R375" s="19"/>
      <c r="S375" s="19"/>
      <c r="T375" s="19"/>
      <c r="U375" s="19"/>
      <c r="V375" s="19"/>
      <c r="W375" s="19"/>
      <c r="X375" s="19"/>
      <c r="Y375" s="19"/>
    </row>
    <row r="376" spans="2:25" ht="12" customHeight="1">
      <c r="B376" s="19"/>
      <c r="C376" s="19"/>
      <c r="D376" s="107"/>
      <c r="E376" s="107"/>
      <c r="F376" s="19"/>
      <c r="G376" s="19"/>
      <c r="H376" s="19"/>
      <c r="I376" s="19"/>
      <c r="J376" s="19"/>
      <c r="K376" s="233"/>
      <c r="L376" s="19"/>
      <c r="M376" s="19"/>
      <c r="N376" s="19"/>
      <c r="O376" s="19"/>
      <c r="P376" s="19"/>
      <c r="Q376" s="19"/>
      <c r="R376" s="19"/>
      <c r="S376" s="19"/>
      <c r="T376" s="19"/>
      <c r="U376" s="19"/>
      <c r="V376" s="19"/>
      <c r="W376" s="19"/>
      <c r="X376" s="19"/>
      <c r="Y376" s="19"/>
    </row>
    <row r="377" spans="2:25" ht="12" customHeight="1">
      <c r="B377" s="19"/>
      <c r="C377" s="19"/>
      <c r="D377" s="107"/>
      <c r="E377" s="107"/>
      <c r="F377" s="19"/>
      <c r="G377" s="19"/>
      <c r="H377" s="19"/>
      <c r="I377" s="19"/>
      <c r="J377" s="19"/>
      <c r="K377" s="233"/>
      <c r="L377" s="19"/>
      <c r="M377" s="19"/>
      <c r="N377" s="19"/>
      <c r="O377" s="19"/>
      <c r="P377" s="19"/>
      <c r="Q377" s="19"/>
      <c r="R377" s="19"/>
      <c r="S377" s="19"/>
      <c r="T377" s="19"/>
      <c r="U377" s="19"/>
      <c r="V377" s="19"/>
      <c r="W377" s="19"/>
      <c r="X377" s="19"/>
      <c r="Y377" s="19"/>
    </row>
    <row r="378" spans="2:25" ht="12" customHeight="1">
      <c r="B378" s="19"/>
      <c r="C378" s="19"/>
      <c r="D378" s="107"/>
      <c r="E378" s="107"/>
      <c r="F378" s="19"/>
      <c r="G378" s="19"/>
      <c r="H378" s="19"/>
      <c r="I378" s="19"/>
      <c r="J378" s="19"/>
      <c r="K378" s="233"/>
      <c r="L378" s="19"/>
      <c r="M378" s="19"/>
      <c r="N378" s="19"/>
      <c r="O378" s="19"/>
      <c r="P378" s="19"/>
      <c r="Q378" s="19"/>
      <c r="R378" s="19"/>
      <c r="S378" s="19"/>
      <c r="T378" s="19"/>
      <c r="U378" s="19"/>
      <c r="V378" s="19"/>
      <c r="W378" s="19"/>
      <c r="X378" s="19"/>
      <c r="Y378" s="19"/>
    </row>
    <row r="379" spans="2:25" ht="12" customHeight="1">
      <c r="B379" s="19"/>
      <c r="C379" s="19"/>
      <c r="D379" s="107"/>
      <c r="E379" s="107"/>
      <c r="F379" s="19"/>
      <c r="G379" s="19"/>
      <c r="H379" s="19"/>
      <c r="I379" s="19"/>
      <c r="J379" s="19"/>
      <c r="K379" s="233"/>
      <c r="L379" s="19"/>
      <c r="M379" s="19"/>
      <c r="N379" s="19"/>
      <c r="O379" s="19"/>
      <c r="P379" s="19"/>
      <c r="Q379" s="19"/>
      <c r="R379" s="19"/>
      <c r="S379" s="19"/>
      <c r="T379" s="19"/>
      <c r="U379" s="19"/>
      <c r="V379" s="19"/>
      <c r="W379" s="19"/>
      <c r="X379" s="19"/>
      <c r="Y379" s="19"/>
    </row>
    <row r="380" spans="2:25" ht="12" customHeight="1">
      <c r="B380" s="19"/>
      <c r="C380" s="19"/>
      <c r="D380" s="107"/>
      <c r="E380" s="107"/>
      <c r="F380" s="19"/>
      <c r="G380" s="19"/>
      <c r="H380" s="19"/>
      <c r="I380" s="19"/>
      <c r="J380" s="19"/>
      <c r="K380" s="233"/>
      <c r="L380" s="19"/>
      <c r="M380" s="19"/>
      <c r="N380" s="19"/>
      <c r="O380" s="19"/>
      <c r="P380" s="19"/>
      <c r="Q380" s="19"/>
      <c r="R380" s="19"/>
      <c r="S380" s="19"/>
      <c r="T380" s="19"/>
      <c r="U380" s="19"/>
      <c r="V380" s="19"/>
      <c r="W380" s="19"/>
      <c r="X380" s="19"/>
      <c r="Y380" s="19"/>
    </row>
    <row r="381" spans="2:25" ht="12" customHeight="1">
      <c r="B381" s="19"/>
      <c r="C381" s="19"/>
      <c r="D381" s="107"/>
      <c r="E381" s="107"/>
      <c r="F381" s="19"/>
      <c r="G381" s="19"/>
      <c r="H381" s="19"/>
      <c r="I381" s="19"/>
      <c r="J381" s="19"/>
      <c r="K381" s="233"/>
      <c r="L381" s="19"/>
      <c r="M381" s="19"/>
      <c r="N381" s="19"/>
      <c r="O381" s="19"/>
      <c r="P381" s="19"/>
      <c r="Q381" s="19"/>
      <c r="R381" s="19"/>
      <c r="S381" s="19"/>
      <c r="T381" s="19"/>
      <c r="U381" s="19"/>
      <c r="V381" s="19"/>
      <c r="W381" s="19"/>
      <c r="X381" s="19"/>
      <c r="Y381" s="19"/>
    </row>
    <row r="382" spans="2:25" ht="12" customHeight="1">
      <c r="B382" s="19"/>
      <c r="C382" s="19"/>
      <c r="D382" s="107"/>
      <c r="E382" s="107"/>
      <c r="F382" s="19"/>
      <c r="G382" s="19"/>
      <c r="H382" s="19"/>
      <c r="I382" s="19"/>
      <c r="J382" s="19"/>
      <c r="K382" s="233"/>
      <c r="L382" s="19"/>
      <c r="M382" s="19"/>
      <c r="N382" s="19"/>
      <c r="O382" s="19"/>
      <c r="P382" s="19"/>
      <c r="Q382" s="19"/>
      <c r="R382" s="19"/>
      <c r="S382" s="19"/>
      <c r="T382" s="19"/>
      <c r="U382" s="19"/>
      <c r="V382" s="19"/>
      <c r="W382" s="19"/>
      <c r="X382" s="19"/>
      <c r="Y382" s="19"/>
    </row>
    <row r="383" spans="2:25" ht="12" customHeight="1">
      <c r="B383" s="19"/>
      <c r="C383" s="19"/>
      <c r="D383" s="107"/>
      <c r="E383" s="107"/>
      <c r="F383" s="19"/>
      <c r="G383" s="19"/>
      <c r="H383" s="19"/>
      <c r="I383" s="19"/>
      <c r="J383" s="19"/>
      <c r="K383" s="233"/>
      <c r="L383" s="19"/>
      <c r="M383" s="19"/>
      <c r="N383" s="19"/>
      <c r="O383" s="19"/>
      <c r="P383" s="19"/>
      <c r="Q383" s="19"/>
      <c r="R383" s="19"/>
      <c r="S383" s="19"/>
      <c r="T383" s="19"/>
      <c r="U383" s="19"/>
      <c r="V383" s="19"/>
      <c r="W383" s="19"/>
      <c r="X383" s="19"/>
      <c r="Y383" s="19"/>
    </row>
    <row r="384" spans="2:25" ht="12" customHeight="1">
      <c r="B384" s="19"/>
      <c r="C384" s="19"/>
      <c r="D384" s="107"/>
      <c r="E384" s="107"/>
      <c r="F384" s="19"/>
      <c r="G384" s="19"/>
      <c r="H384" s="19"/>
      <c r="I384" s="19"/>
      <c r="J384" s="19"/>
      <c r="K384" s="233"/>
      <c r="L384" s="19"/>
      <c r="M384" s="19"/>
      <c r="N384" s="19"/>
      <c r="O384" s="19"/>
      <c r="P384" s="19"/>
      <c r="Q384" s="19"/>
      <c r="R384" s="19"/>
      <c r="S384" s="19"/>
      <c r="T384" s="19"/>
      <c r="U384" s="19"/>
      <c r="V384" s="19"/>
      <c r="W384" s="19"/>
      <c r="X384" s="19"/>
      <c r="Y384" s="19"/>
    </row>
    <row r="385" spans="2:25" ht="12" customHeight="1">
      <c r="B385" s="19"/>
      <c r="C385" s="19"/>
      <c r="D385" s="107"/>
      <c r="E385" s="107"/>
      <c r="F385" s="19"/>
      <c r="G385" s="19"/>
      <c r="H385" s="19"/>
      <c r="I385" s="19"/>
      <c r="J385" s="19"/>
      <c r="K385" s="233"/>
      <c r="L385" s="19"/>
      <c r="M385" s="19"/>
      <c r="N385" s="19"/>
      <c r="O385" s="19"/>
      <c r="P385" s="19"/>
      <c r="Q385" s="19"/>
      <c r="R385" s="19"/>
      <c r="S385" s="19"/>
      <c r="T385" s="19"/>
      <c r="U385" s="19"/>
      <c r="V385" s="19"/>
      <c r="W385" s="19"/>
      <c r="X385" s="19"/>
      <c r="Y385" s="19"/>
    </row>
    <row r="386" spans="2:25" ht="12" customHeight="1">
      <c r="B386" s="19"/>
      <c r="C386" s="19"/>
      <c r="D386" s="107"/>
      <c r="E386" s="107"/>
      <c r="F386" s="19"/>
      <c r="G386" s="19"/>
      <c r="H386" s="19"/>
      <c r="I386" s="19"/>
      <c r="J386" s="19"/>
      <c r="K386" s="233"/>
      <c r="L386" s="19"/>
      <c r="M386" s="19"/>
      <c r="N386" s="19"/>
      <c r="O386" s="19"/>
      <c r="P386" s="19"/>
      <c r="Q386" s="19"/>
      <c r="R386" s="19"/>
      <c r="S386" s="19"/>
      <c r="T386" s="19"/>
      <c r="U386" s="19"/>
      <c r="V386" s="19"/>
      <c r="W386" s="19"/>
      <c r="X386" s="19"/>
      <c r="Y386" s="19"/>
    </row>
    <row r="387" spans="2:25" ht="12" customHeight="1">
      <c r="B387" s="19"/>
      <c r="C387" s="19"/>
      <c r="D387" s="107"/>
      <c r="E387" s="107"/>
      <c r="F387" s="19"/>
      <c r="G387" s="19"/>
      <c r="H387" s="19"/>
      <c r="I387" s="19"/>
      <c r="J387" s="19"/>
      <c r="K387" s="233"/>
      <c r="L387" s="19"/>
      <c r="M387" s="19"/>
      <c r="N387" s="19"/>
      <c r="O387" s="19"/>
      <c r="P387" s="19"/>
      <c r="Q387" s="19"/>
      <c r="R387" s="19"/>
      <c r="S387" s="19"/>
      <c r="T387" s="19"/>
      <c r="U387" s="19"/>
      <c r="V387" s="19"/>
      <c r="W387" s="19"/>
      <c r="X387" s="19"/>
      <c r="Y387" s="19"/>
    </row>
    <row r="388" spans="2:25" ht="12" customHeight="1">
      <c r="B388" s="19"/>
      <c r="C388" s="19"/>
      <c r="D388" s="107"/>
      <c r="E388" s="107"/>
      <c r="F388" s="19"/>
      <c r="G388" s="19"/>
      <c r="H388" s="19"/>
      <c r="I388" s="19"/>
      <c r="J388" s="19"/>
      <c r="K388" s="233"/>
      <c r="L388" s="19"/>
      <c r="M388" s="19"/>
      <c r="N388" s="19"/>
      <c r="O388" s="19"/>
      <c r="P388" s="19"/>
      <c r="Q388" s="19"/>
      <c r="R388" s="19"/>
      <c r="S388" s="19"/>
      <c r="T388" s="19"/>
      <c r="U388" s="19"/>
      <c r="V388" s="19"/>
      <c r="W388" s="19"/>
      <c r="X388" s="19"/>
      <c r="Y388" s="19"/>
    </row>
    <row r="389" spans="2:25" ht="12" customHeight="1">
      <c r="B389" s="19"/>
      <c r="C389" s="19"/>
      <c r="D389" s="107"/>
      <c r="E389" s="107"/>
      <c r="F389" s="19"/>
      <c r="G389" s="19"/>
      <c r="H389" s="19"/>
      <c r="I389" s="19"/>
      <c r="J389" s="19"/>
      <c r="K389" s="233"/>
      <c r="L389" s="19"/>
      <c r="M389" s="19"/>
      <c r="N389" s="19"/>
      <c r="O389" s="19"/>
      <c r="P389" s="19"/>
      <c r="Q389" s="19"/>
      <c r="R389" s="19"/>
      <c r="S389" s="19"/>
      <c r="T389" s="19"/>
      <c r="U389" s="19"/>
      <c r="V389" s="19"/>
      <c r="W389" s="19"/>
      <c r="X389" s="19"/>
      <c r="Y389" s="19"/>
    </row>
    <row r="390" spans="2:25" ht="12" customHeight="1">
      <c r="B390" s="19"/>
      <c r="C390" s="19"/>
      <c r="D390" s="107"/>
      <c r="E390" s="107"/>
      <c r="F390" s="19"/>
      <c r="G390" s="19"/>
      <c r="H390" s="19"/>
      <c r="I390" s="19"/>
      <c r="J390" s="19"/>
      <c r="K390" s="233"/>
      <c r="L390" s="19"/>
      <c r="M390" s="19"/>
      <c r="N390" s="19"/>
      <c r="O390" s="19"/>
      <c r="P390" s="19"/>
      <c r="Q390" s="19"/>
      <c r="R390" s="19"/>
      <c r="S390" s="19"/>
      <c r="T390" s="19"/>
      <c r="U390" s="19"/>
      <c r="V390" s="19"/>
      <c r="W390" s="19"/>
      <c r="X390" s="19"/>
      <c r="Y390" s="19"/>
    </row>
    <row r="391" spans="2:25" ht="12" customHeight="1">
      <c r="B391" s="19"/>
      <c r="C391" s="19"/>
      <c r="D391" s="107"/>
      <c r="E391" s="107"/>
      <c r="F391" s="19"/>
      <c r="G391" s="19"/>
      <c r="H391" s="19"/>
      <c r="I391" s="19"/>
      <c r="J391" s="19"/>
      <c r="K391" s="233"/>
      <c r="L391" s="19"/>
      <c r="M391" s="19"/>
      <c r="N391" s="19"/>
      <c r="O391" s="19"/>
      <c r="P391" s="19"/>
      <c r="Q391" s="19"/>
      <c r="R391" s="19"/>
      <c r="S391" s="19"/>
      <c r="T391" s="19"/>
      <c r="U391" s="19"/>
      <c r="V391" s="19"/>
      <c r="W391" s="19"/>
      <c r="X391" s="19"/>
      <c r="Y391" s="19"/>
    </row>
    <row r="392" spans="2:25" ht="12" customHeight="1">
      <c r="B392" s="19"/>
      <c r="C392" s="19"/>
      <c r="D392" s="107"/>
      <c r="E392" s="107"/>
      <c r="F392" s="19"/>
      <c r="G392" s="19"/>
      <c r="H392" s="19"/>
      <c r="I392" s="19"/>
      <c r="J392" s="19"/>
      <c r="K392" s="233"/>
      <c r="L392" s="19"/>
      <c r="M392" s="19"/>
      <c r="N392" s="19"/>
      <c r="O392" s="19"/>
      <c r="P392" s="19"/>
      <c r="Q392" s="19"/>
      <c r="R392" s="19"/>
      <c r="S392" s="19"/>
      <c r="T392" s="19"/>
      <c r="U392" s="19"/>
      <c r="V392" s="19"/>
      <c r="W392" s="19"/>
      <c r="X392" s="19"/>
      <c r="Y392" s="19"/>
    </row>
    <row r="393" spans="2:25" ht="12" customHeight="1">
      <c r="B393" s="19"/>
      <c r="C393" s="19"/>
      <c r="D393" s="107"/>
      <c r="E393" s="107"/>
      <c r="F393" s="19"/>
      <c r="G393" s="19"/>
      <c r="H393" s="19"/>
      <c r="I393" s="19"/>
      <c r="J393" s="19"/>
      <c r="K393" s="233"/>
      <c r="L393" s="19"/>
      <c r="M393" s="19"/>
      <c r="N393" s="19"/>
      <c r="O393" s="19"/>
      <c r="P393" s="19"/>
      <c r="Q393" s="19"/>
      <c r="R393" s="19"/>
      <c r="S393" s="19"/>
      <c r="T393" s="19"/>
      <c r="U393" s="19"/>
      <c r="V393" s="19"/>
      <c r="W393" s="19"/>
      <c r="X393" s="19"/>
      <c r="Y393" s="19"/>
    </row>
    <row r="394" spans="2:25" ht="12" customHeight="1">
      <c r="B394" s="19"/>
      <c r="C394" s="19"/>
      <c r="D394" s="107"/>
      <c r="E394" s="107"/>
      <c r="F394" s="19"/>
      <c r="G394" s="19"/>
      <c r="H394" s="19"/>
      <c r="I394" s="19"/>
      <c r="J394" s="19"/>
      <c r="K394" s="233"/>
      <c r="L394" s="19"/>
      <c r="M394" s="19"/>
      <c r="N394" s="19"/>
      <c r="O394" s="19"/>
      <c r="P394" s="19"/>
      <c r="Q394" s="19"/>
      <c r="R394" s="19"/>
      <c r="S394" s="19"/>
      <c r="T394" s="19"/>
      <c r="U394" s="19"/>
      <c r="V394" s="19"/>
      <c r="W394" s="19"/>
      <c r="X394" s="19"/>
      <c r="Y394" s="19"/>
    </row>
    <row r="395" spans="2:25" ht="12" customHeight="1">
      <c r="B395" s="19"/>
      <c r="C395" s="19"/>
      <c r="D395" s="107"/>
      <c r="E395" s="107"/>
      <c r="F395" s="19"/>
      <c r="G395" s="19"/>
      <c r="H395" s="19"/>
      <c r="I395" s="19"/>
      <c r="J395" s="19"/>
      <c r="K395" s="233"/>
      <c r="L395" s="19"/>
      <c r="M395" s="19"/>
      <c r="N395" s="19"/>
      <c r="O395" s="19"/>
      <c r="P395" s="19"/>
      <c r="Q395" s="19"/>
      <c r="R395" s="19"/>
      <c r="S395" s="19"/>
      <c r="T395" s="19"/>
      <c r="U395" s="19"/>
      <c r="V395" s="19"/>
      <c r="W395" s="19"/>
      <c r="X395" s="19"/>
      <c r="Y395" s="19"/>
    </row>
    <row r="396" spans="2:25" ht="12" customHeight="1">
      <c r="B396" s="19"/>
      <c r="C396" s="19"/>
      <c r="D396" s="107"/>
      <c r="E396" s="107"/>
      <c r="F396" s="19"/>
      <c r="G396" s="19"/>
      <c r="H396" s="19"/>
      <c r="I396" s="19"/>
      <c r="J396" s="19"/>
      <c r="K396" s="233"/>
      <c r="L396" s="19"/>
      <c r="M396" s="19"/>
      <c r="N396" s="19"/>
      <c r="O396" s="19"/>
      <c r="P396" s="19"/>
      <c r="Q396" s="19"/>
      <c r="R396" s="19"/>
      <c r="S396" s="19"/>
      <c r="T396" s="19"/>
      <c r="U396" s="19"/>
      <c r="V396" s="19"/>
      <c r="W396" s="19"/>
      <c r="X396" s="19"/>
      <c r="Y396" s="19"/>
    </row>
    <row r="397" spans="2:25" ht="12" customHeight="1">
      <c r="B397" s="19"/>
      <c r="C397" s="19"/>
      <c r="D397" s="107"/>
      <c r="E397" s="107"/>
      <c r="F397" s="19"/>
      <c r="G397" s="19"/>
      <c r="H397" s="19"/>
      <c r="I397" s="19"/>
      <c r="J397" s="19"/>
      <c r="K397" s="233"/>
      <c r="L397" s="19"/>
      <c r="M397" s="19"/>
      <c r="N397" s="19"/>
      <c r="O397" s="19"/>
      <c r="P397" s="19"/>
      <c r="Q397" s="19"/>
      <c r="R397" s="19"/>
      <c r="S397" s="19"/>
      <c r="T397" s="19"/>
      <c r="U397" s="19"/>
      <c r="V397" s="19"/>
      <c r="W397" s="19"/>
      <c r="X397" s="19"/>
      <c r="Y397" s="19"/>
    </row>
    <row r="398" spans="2:25" ht="12" customHeight="1">
      <c r="B398" s="19"/>
      <c r="C398" s="19"/>
      <c r="D398" s="107"/>
      <c r="E398" s="107"/>
      <c r="F398" s="19"/>
      <c r="G398" s="19"/>
      <c r="H398" s="19"/>
      <c r="I398" s="19"/>
      <c r="J398" s="19"/>
      <c r="K398" s="233"/>
      <c r="L398" s="19"/>
      <c r="M398" s="19"/>
      <c r="N398" s="19"/>
      <c r="O398" s="19"/>
      <c r="P398" s="19"/>
      <c r="Q398" s="19"/>
      <c r="R398" s="19"/>
      <c r="S398" s="19"/>
      <c r="T398" s="19"/>
      <c r="U398" s="19"/>
      <c r="V398" s="19"/>
      <c r="W398" s="19"/>
      <c r="X398" s="19"/>
      <c r="Y398" s="19"/>
    </row>
    <row r="399" spans="2:25" ht="12" customHeight="1">
      <c r="B399" s="19"/>
      <c r="C399" s="19"/>
      <c r="D399" s="107"/>
      <c r="E399" s="107"/>
      <c r="F399" s="19"/>
      <c r="G399" s="19"/>
      <c r="H399" s="19"/>
      <c r="I399" s="19"/>
      <c r="J399" s="19"/>
      <c r="K399" s="233"/>
      <c r="L399" s="19"/>
      <c r="M399" s="19"/>
      <c r="N399" s="19"/>
      <c r="O399" s="19"/>
      <c r="P399" s="19"/>
      <c r="Q399" s="19"/>
      <c r="R399" s="19"/>
      <c r="S399" s="19"/>
      <c r="T399" s="19"/>
      <c r="U399" s="19"/>
      <c r="V399" s="19"/>
      <c r="W399" s="19"/>
      <c r="X399" s="19"/>
      <c r="Y399" s="19"/>
    </row>
    <row r="400" spans="2:25" ht="12" customHeight="1">
      <c r="B400" s="19"/>
      <c r="C400" s="19"/>
      <c r="D400" s="107"/>
      <c r="E400" s="107"/>
      <c r="F400" s="19"/>
      <c r="G400" s="19"/>
      <c r="H400" s="19"/>
      <c r="I400" s="19"/>
      <c r="J400" s="19"/>
      <c r="K400" s="233"/>
      <c r="L400" s="19"/>
      <c r="M400" s="19"/>
      <c r="N400" s="19"/>
      <c r="O400" s="19"/>
      <c r="P400" s="19"/>
      <c r="Q400" s="19"/>
      <c r="R400" s="19"/>
      <c r="S400" s="19"/>
      <c r="T400" s="19"/>
      <c r="U400" s="19"/>
      <c r="V400" s="19"/>
      <c r="W400" s="19"/>
      <c r="X400" s="19"/>
      <c r="Y400" s="19"/>
    </row>
    <row r="401" spans="2:25" ht="12" customHeight="1">
      <c r="B401" s="19"/>
      <c r="C401" s="19"/>
      <c r="D401" s="107"/>
      <c r="E401" s="107"/>
      <c r="F401" s="19"/>
      <c r="G401" s="19"/>
      <c r="H401" s="19"/>
      <c r="I401" s="19"/>
      <c r="J401" s="19"/>
      <c r="K401" s="233"/>
      <c r="L401" s="19"/>
      <c r="M401" s="19"/>
      <c r="N401" s="19"/>
      <c r="O401" s="19"/>
      <c r="P401" s="19"/>
      <c r="Q401" s="19"/>
      <c r="R401" s="19"/>
      <c r="S401" s="19"/>
      <c r="T401" s="19"/>
      <c r="U401" s="19"/>
      <c r="V401" s="19"/>
      <c r="W401" s="19"/>
      <c r="X401" s="19"/>
      <c r="Y401" s="19"/>
    </row>
    <row r="402" spans="2:25" ht="12" customHeight="1">
      <c r="B402" s="19"/>
      <c r="C402" s="19"/>
      <c r="D402" s="107"/>
      <c r="E402" s="107"/>
      <c r="F402" s="19"/>
      <c r="G402" s="19"/>
      <c r="H402" s="19"/>
      <c r="I402" s="19"/>
      <c r="J402" s="19"/>
      <c r="K402" s="233"/>
      <c r="L402" s="19"/>
      <c r="M402" s="19"/>
      <c r="N402" s="19"/>
      <c r="O402" s="19"/>
      <c r="P402" s="19"/>
      <c r="Q402" s="19"/>
      <c r="R402" s="19"/>
      <c r="S402" s="19"/>
      <c r="T402" s="19"/>
      <c r="U402" s="19"/>
      <c r="V402" s="19"/>
      <c r="W402" s="19"/>
      <c r="X402" s="19"/>
      <c r="Y402" s="19"/>
    </row>
    <row r="403" spans="2:25" ht="12" customHeight="1">
      <c r="B403" s="19"/>
      <c r="C403" s="19"/>
      <c r="D403" s="107"/>
      <c r="E403" s="107"/>
      <c r="F403" s="19"/>
      <c r="G403" s="19"/>
      <c r="H403" s="19"/>
      <c r="I403" s="19"/>
      <c r="J403" s="19"/>
      <c r="K403" s="233"/>
      <c r="L403" s="19"/>
      <c r="M403" s="19"/>
      <c r="N403" s="19"/>
      <c r="O403" s="19"/>
      <c r="P403" s="19"/>
      <c r="Q403" s="19"/>
      <c r="R403" s="19"/>
      <c r="S403" s="19"/>
      <c r="T403" s="19"/>
      <c r="U403" s="19"/>
      <c r="V403" s="19"/>
      <c r="W403" s="19"/>
      <c r="X403" s="19"/>
      <c r="Y403" s="19"/>
    </row>
    <row r="404" spans="2:25" ht="12" customHeight="1">
      <c r="B404" s="19"/>
      <c r="C404" s="19"/>
      <c r="D404" s="107"/>
      <c r="E404" s="107"/>
      <c r="F404" s="19"/>
      <c r="G404" s="19"/>
      <c r="H404" s="19"/>
      <c r="I404" s="19"/>
      <c r="J404" s="19"/>
      <c r="K404" s="233"/>
      <c r="L404" s="19"/>
      <c r="M404" s="19"/>
      <c r="N404" s="19"/>
      <c r="O404" s="19"/>
      <c r="P404" s="19"/>
      <c r="Q404" s="19"/>
      <c r="R404" s="19"/>
      <c r="S404" s="19"/>
      <c r="T404" s="19"/>
      <c r="U404" s="19"/>
      <c r="V404" s="19"/>
      <c r="W404" s="19"/>
      <c r="X404" s="19"/>
      <c r="Y404" s="19"/>
    </row>
    <row r="405" spans="2:25" ht="12" customHeight="1">
      <c r="B405" s="19"/>
      <c r="C405" s="19"/>
      <c r="D405" s="107"/>
      <c r="E405" s="107"/>
      <c r="F405" s="19"/>
      <c r="G405" s="19"/>
      <c r="H405" s="19"/>
      <c r="I405" s="19"/>
      <c r="J405" s="19"/>
      <c r="K405" s="233"/>
      <c r="L405" s="19"/>
      <c r="M405" s="19"/>
      <c r="N405" s="19"/>
      <c r="O405" s="19"/>
      <c r="P405" s="19"/>
      <c r="Q405" s="19"/>
      <c r="R405" s="19"/>
      <c r="S405" s="19"/>
      <c r="T405" s="19"/>
      <c r="U405" s="19"/>
      <c r="V405" s="19"/>
      <c r="W405" s="19"/>
      <c r="X405" s="19"/>
      <c r="Y405" s="19"/>
    </row>
    <row r="406" spans="2:25" ht="12" customHeight="1">
      <c r="B406" s="19"/>
      <c r="C406" s="19"/>
      <c r="D406" s="107"/>
      <c r="E406" s="107"/>
      <c r="F406" s="19"/>
      <c r="G406" s="19"/>
      <c r="H406" s="19"/>
      <c r="I406" s="19"/>
      <c r="J406" s="19"/>
      <c r="K406" s="233"/>
      <c r="L406" s="19"/>
      <c r="M406" s="19"/>
      <c r="N406" s="19"/>
      <c r="O406" s="19"/>
      <c r="P406" s="19"/>
      <c r="Q406" s="19"/>
      <c r="R406" s="19"/>
      <c r="S406" s="19"/>
      <c r="T406" s="19"/>
      <c r="U406" s="19"/>
      <c r="V406" s="19"/>
      <c r="W406" s="19"/>
      <c r="X406" s="19"/>
      <c r="Y406" s="19"/>
    </row>
    <row r="407" spans="2:25" ht="12" customHeight="1">
      <c r="B407" s="19"/>
      <c r="C407" s="19"/>
      <c r="D407" s="107"/>
      <c r="E407" s="107"/>
      <c r="F407" s="19"/>
      <c r="G407" s="19"/>
      <c r="H407" s="19"/>
      <c r="I407" s="19"/>
      <c r="J407" s="19"/>
      <c r="K407" s="233"/>
      <c r="L407" s="19"/>
      <c r="M407" s="19"/>
      <c r="N407" s="19"/>
      <c r="O407" s="19"/>
      <c r="P407" s="19"/>
      <c r="Q407" s="19"/>
      <c r="R407" s="19"/>
      <c r="S407" s="19"/>
      <c r="T407" s="19"/>
      <c r="U407" s="19"/>
      <c r="V407" s="19"/>
      <c r="W407" s="19"/>
      <c r="X407" s="19"/>
      <c r="Y407" s="19"/>
    </row>
    <row r="408" spans="2:25" ht="12" customHeight="1">
      <c r="B408" s="19"/>
      <c r="C408" s="19"/>
      <c r="D408" s="107"/>
      <c r="E408" s="107"/>
      <c r="F408" s="19"/>
      <c r="G408" s="19"/>
      <c r="H408" s="19"/>
      <c r="I408" s="19"/>
      <c r="J408" s="19"/>
      <c r="K408" s="233"/>
      <c r="L408" s="19"/>
      <c r="M408" s="19"/>
      <c r="N408" s="19"/>
      <c r="O408" s="19"/>
      <c r="P408" s="19"/>
      <c r="Q408" s="19"/>
      <c r="R408" s="19"/>
      <c r="S408" s="19"/>
      <c r="T408" s="19"/>
      <c r="U408" s="19"/>
      <c r="V408" s="19"/>
      <c r="W408" s="19"/>
      <c r="X408" s="19"/>
      <c r="Y408" s="19"/>
    </row>
    <row r="409" spans="2:25" ht="12" customHeight="1">
      <c r="B409" s="19"/>
      <c r="C409" s="19"/>
      <c r="D409" s="107"/>
      <c r="E409" s="107"/>
      <c r="F409" s="19"/>
      <c r="G409" s="19"/>
      <c r="H409" s="19"/>
      <c r="I409" s="19"/>
      <c r="J409" s="19"/>
      <c r="K409" s="233"/>
      <c r="L409" s="19"/>
      <c r="M409" s="19"/>
      <c r="N409" s="19"/>
      <c r="O409" s="19"/>
      <c r="P409" s="19"/>
      <c r="Q409" s="19"/>
      <c r="R409" s="19"/>
      <c r="S409" s="19"/>
      <c r="T409" s="19"/>
      <c r="U409" s="19"/>
      <c r="V409" s="19"/>
      <c r="W409" s="19"/>
      <c r="X409" s="19"/>
      <c r="Y409" s="19"/>
    </row>
    <row r="410" spans="2:25" ht="12" customHeight="1">
      <c r="B410" s="19"/>
      <c r="C410" s="19"/>
      <c r="D410" s="107"/>
      <c r="E410" s="107"/>
      <c r="F410" s="19"/>
      <c r="G410" s="19"/>
      <c r="H410" s="19"/>
      <c r="I410" s="19"/>
      <c r="J410" s="19"/>
      <c r="K410" s="233"/>
      <c r="L410" s="19"/>
      <c r="M410" s="19"/>
      <c r="N410" s="19"/>
      <c r="O410" s="19"/>
      <c r="P410" s="19"/>
      <c r="Q410" s="19"/>
      <c r="R410" s="19"/>
      <c r="S410" s="19"/>
      <c r="T410" s="19"/>
      <c r="U410" s="19"/>
      <c r="V410" s="19"/>
      <c r="W410" s="19"/>
      <c r="X410" s="19"/>
      <c r="Y410" s="19"/>
    </row>
    <row r="411" spans="2:25" ht="12" customHeight="1">
      <c r="B411" s="19"/>
      <c r="C411" s="19"/>
      <c r="D411" s="107"/>
      <c r="E411" s="107"/>
      <c r="F411" s="19"/>
      <c r="G411" s="19"/>
      <c r="H411" s="19"/>
      <c r="I411" s="19"/>
      <c r="J411" s="19"/>
      <c r="K411" s="233"/>
      <c r="L411" s="19"/>
      <c r="M411" s="19"/>
      <c r="N411" s="19"/>
      <c r="O411" s="19"/>
      <c r="P411" s="19"/>
      <c r="Q411" s="19"/>
      <c r="R411" s="19"/>
      <c r="S411" s="19"/>
      <c r="T411" s="19"/>
      <c r="U411" s="19"/>
      <c r="V411" s="19"/>
      <c r="W411" s="19"/>
      <c r="X411" s="19"/>
      <c r="Y411" s="19"/>
    </row>
    <row r="412" spans="2:25" ht="12" customHeight="1">
      <c r="B412" s="19"/>
      <c r="C412" s="19"/>
      <c r="D412" s="107"/>
      <c r="E412" s="107"/>
      <c r="F412" s="19"/>
      <c r="G412" s="19"/>
      <c r="H412" s="19"/>
      <c r="I412" s="19"/>
      <c r="J412" s="19"/>
      <c r="K412" s="233"/>
      <c r="L412" s="19"/>
      <c r="M412" s="19"/>
      <c r="N412" s="19"/>
      <c r="O412" s="19"/>
      <c r="P412" s="19"/>
      <c r="Q412" s="19"/>
      <c r="R412" s="19"/>
      <c r="S412" s="19"/>
      <c r="T412" s="19"/>
      <c r="U412" s="19"/>
      <c r="V412" s="19"/>
      <c r="W412" s="19"/>
      <c r="X412" s="19"/>
      <c r="Y412" s="19"/>
    </row>
    <row r="413" spans="2:25" ht="12" customHeight="1">
      <c r="B413" s="19"/>
      <c r="C413" s="19"/>
      <c r="D413" s="107"/>
      <c r="E413" s="107"/>
      <c r="F413" s="19"/>
      <c r="G413" s="19"/>
      <c r="H413" s="19"/>
      <c r="I413" s="19"/>
      <c r="J413" s="19"/>
      <c r="K413" s="233"/>
      <c r="L413" s="19"/>
      <c r="M413" s="19"/>
      <c r="N413" s="19"/>
      <c r="O413" s="19"/>
      <c r="P413" s="19"/>
      <c r="Q413" s="19"/>
      <c r="R413" s="19"/>
      <c r="S413" s="19"/>
      <c r="T413" s="19"/>
      <c r="U413" s="19"/>
      <c r="V413" s="19"/>
      <c r="W413" s="19"/>
      <c r="X413" s="19"/>
      <c r="Y413" s="19"/>
    </row>
    <row r="414" spans="2:25" ht="12" customHeight="1">
      <c r="B414" s="19"/>
      <c r="C414" s="19"/>
      <c r="D414" s="107"/>
      <c r="E414" s="107"/>
      <c r="F414" s="19"/>
      <c r="G414" s="19"/>
      <c r="H414" s="19"/>
      <c r="I414" s="19"/>
      <c r="J414" s="19"/>
      <c r="K414" s="233"/>
      <c r="L414" s="19"/>
      <c r="M414" s="19"/>
      <c r="N414" s="19"/>
      <c r="O414" s="19"/>
      <c r="P414" s="19"/>
      <c r="Q414" s="19"/>
      <c r="R414" s="19"/>
      <c r="S414" s="19"/>
      <c r="T414" s="19"/>
      <c r="U414" s="19"/>
      <c r="V414" s="19"/>
      <c r="W414" s="19"/>
      <c r="X414" s="19"/>
      <c r="Y414" s="19"/>
    </row>
    <row r="415" spans="2:25" ht="12" customHeight="1">
      <c r="B415" s="19"/>
      <c r="C415" s="19"/>
      <c r="D415" s="107"/>
      <c r="E415" s="107"/>
      <c r="F415" s="19"/>
      <c r="G415" s="19"/>
      <c r="H415" s="19"/>
      <c r="I415" s="19"/>
      <c r="J415" s="19"/>
      <c r="K415" s="233"/>
      <c r="L415" s="19"/>
      <c r="M415" s="19"/>
      <c r="N415" s="19"/>
      <c r="O415" s="19"/>
      <c r="P415" s="19"/>
      <c r="Q415" s="19"/>
      <c r="R415" s="19"/>
      <c r="S415" s="19"/>
      <c r="T415" s="19"/>
      <c r="U415" s="19"/>
      <c r="V415" s="19"/>
      <c r="W415" s="19"/>
      <c r="X415" s="19"/>
      <c r="Y415" s="19"/>
    </row>
    <row r="416" spans="2:25" ht="12" customHeight="1">
      <c r="B416" s="19"/>
      <c r="C416" s="19"/>
      <c r="D416" s="107"/>
      <c r="E416" s="107"/>
      <c r="F416" s="19"/>
      <c r="G416" s="19"/>
      <c r="H416" s="19"/>
      <c r="I416" s="19"/>
      <c r="J416" s="19"/>
      <c r="K416" s="233"/>
      <c r="L416" s="19"/>
      <c r="M416" s="19"/>
      <c r="N416" s="19"/>
      <c r="O416" s="19"/>
      <c r="P416" s="19"/>
      <c r="Q416" s="19"/>
      <c r="R416" s="19"/>
      <c r="S416" s="19"/>
      <c r="T416" s="19"/>
      <c r="U416" s="19"/>
      <c r="V416" s="19"/>
      <c r="W416" s="19"/>
      <c r="X416" s="19"/>
      <c r="Y416" s="19"/>
    </row>
    <row r="417" spans="2:25" ht="12" customHeight="1">
      <c r="B417" s="19"/>
      <c r="C417" s="19"/>
      <c r="D417" s="107"/>
      <c r="E417" s="107"/>
      <c r="F417" s="19"/>
      <c r="G417" s="19"/>
      <c r="H417" s="19"/>
      <c r="I417" s="19"/>
      <c r="J417" s="19"/>
      <c r="K417" s="233"/>
      <c r="L417" s="19"/>
      <c r="M417" s="19"/>
      <c r="N417" s="19"/>
      <c r="O417" s="19"/>
      <c r="P417" s="19"/>
      <c r="Q417" s="19"/>
      <c r="R417" s="19"/>
      <c r="S417" s="19"/>
      <c r="T417" s="19"/>
      <c r="U417" s="19"/>
      <c r="V417" s="19"/>
      <c r="W417" s="19"/>
      <c r="X417" s="19"/>
      <c r="Y417" s="19"/>
    </row>
    <row r="418" spans="2:25" ht="12" customHeight="1">
      <c r="B418" s="19"/>
      <c r="C418" s="19"/>
      <c r="D418" s="107"/>
      <c r="E418" s="107"/>
      <c r="F418" s="19"/>
      <c r="G418" s="19"/>
      <c r="H418" s="19"/>
      <c r="I418" s="19"/>
      <c r="J418" s="19"/>
      <c r="K418" s="233"/>
      <c r="L418" s="19"/>
      <c r="M418" s="19"/>
      <c r="N418" s="19"/>
      <c r="O418" s="19"/>
      <c r="P418" s="19"/>
      <c r="Q418" s="19"/>
      <c r="R418" s="19"/>
      <c r="S418" s="19"/>
      <c r="T418" s="19"/>
      <c r="U418" s="19"/>
      <c r="V418" s="19"/>
      <c r="W418" s="19"/>
      <c r="X418" s="19"/>
      <c r="Y418" s="19"/>
    </row>
    <row r="419" spans="2:25" ht="12" customHeight="1">
      <c r="B419" s="19"/>
      <c r="C419" s="19"/>
      <c r="D419" s="107"/>
      <c r="E419" s="107"/>
      <c r="F419" s="19"/>
      <c r="G419" s="19"/>
      <c r="H419" s="19"/>
      <c r="I419" s="19"/>
      <c r="J419" s="19"/>
      <c r="K419" s="233"/>
      <c r="L419" s="19"/>
      <c r="M419" s="19"/>
      <c r="N419" s="19"/>
      <c r="O419" s="19"/>
      <c r="P419" s="19"/>
      <c r="Q419" s="19"/>
      <c r="R419" s="19"/>
      <c r="S419" s="19"/>
      <c r="T419" s="19"/>
      <c r="U419" s="19"/>
      <c r="V419" s="19"/>
      <c r="W419" s="19"/>
      <c r="X419" s="19"/>
      <c r="Y419" s="19"/>
    </row>
    <row r="420" spans="2:25" ht="12" customHeight="1">
      <c r="B420" s="19"/>
      <c r="C420" s="19"/>
      <c r="D420" s="107"/>
      <c r="E420" s="107"/>
      <c r="F420" s="19"/>
      <c r="G420" s="19"/>
      <c r="H420" s="19"/>
      <c r="I420" s="19"/>
      <c r="J420" s="19"/>
      <c r="K420" s="233"/>
      <c r="L420" s="19"/>
      <c r="M420" s="19"/>
      <c r="N420" s="19"/>
      <c r="O420" s="19"/>
      <c r="P420" s="19"/>
      <c r="Q420" s="19"/>
      <c r="R420" s="19"/>
      <c r="S420" s="19"/>
      <c r="T420" s="19"/>
      <c r="U420" s="19"/>
      <c r="V420" s="19"/>
      <c r="W420" s="19"/>
      <c r="X420" s="19"/>
      <c r="Y420" s="19"/>
    </row>
    <row r="421" spans="2:25" ht="12" customHeight="1">
      <c r="B421" s="19"/>
      <c r="C421" s="19"/>
      <c r="D421" s="107"/>
      <c r="E421" s="107"/>
      <c r="F421" s="19"/>
      <c r="G421" s="19"/>
      <c r="H421" s="19"/>
      <c r="I421" s="19"/>
      <c r="J421" s="19"/>
      <c r="K421" s="233"/>
      <c r="L421" s="19"/>
      <c r="M421" s="19"/>
      <c r="N421" s="19"/>
      <c r="O421" s="19"/>
      <c r="P421" s="19"/>
      <c r="Q421" s="19"/>
      <c r="R421" s="19"/>
      <c r="S421" s="19"/>
      <c r="T421" s="19"/>
      <c r="U421" s="19"/>
      <c r="V421" s="19"/>
      <c r="W421" s="19"/>
      <c r="X421" s="19"/>
      <c r="Y421" s="19"/>
    </row>
    <row r="422" spans="2:25" ht="12" customHeight="1">
      <c r="B422" s="19"/>
      <c r="C422" s="19"/>
      <c r="D422" s="107"/>
      <c r="E422" s="107"/>
      <c r="F422" s="19"/>
      <c r="G422" s="19"/>
      <c r="H422" s="19"/>
      <c r="I422" s="19"/>
      <c r="J422" s="19"/>
      <c r="K422" s="233"/>
      <c r="L422" s="19"/>
      <c r="M422" s="19"/>
      <c r="N422" s="19"/>
      <c r="O422" s="19"/>
      <c r="P422" s="19"/>
      <c r="Q422" s="19"/>
      <c r="R422" s="19"/>
      <c r="S422" s="19"/>
      <c r="T422" s="19"/>
      <c r="U422" s="19"/>
      <c r="V422" s="19"/>
      <c r="W422" s="19"/>
      <c r="X422" s="19"/>
      <c r="Y422" s="19"/>
    </row>
    <row r="423" spans="2:25" ht="12" customHeight="1">
      <c r="B423" s="19"/>
      <c r="C423" s="19"/>
      <c r="D423" s="107"/>
      <c r="E423" s="107"/>
      <c r="F423" s="19"/>
      <c r="G423" s="19"/>
      <c r="H423" s="19"/>
      <c r="I423" s="19"/>
      <c r="J423" s="19"/>
      <c r="K423" s="233"/>
      <c r="L423" s="19"/>
      <c r="M423" s="19"/>
      <c r="N423" s="19"/>
      <c r="O423" s="19"/>
      <c r="P423" s="19"/>
      <c r="Q423" s="19"/>
      <c r="R423" s="19"/>
      <c r="S423" s="19"/>
      <c r="T423" s="19"/>
      <c r="U423" s="19"/>
      <c r="V423" s="19"/>
      <c r="W423" s="19"/>
      <c r="X423" s="19"/>
      <c r="Y423" s="19"/>
    </row>
    <row r="424" spans="2:25" ht="12" customHeight="1">
      <c r="B424" s="19"/>
      <c r="C424" s="19"/>
      <c r="D424" s="107"/>
      <c r="E424" s="107"/>
      <c r="F424" s="19"/>
      <c r="G424" s="19"/>
      <c r="H424" s="19"/>
      <c r="I424" s="19"/>
      <c r="J424" s="19"/>
      <c r="K424" s="233"/>
      <c r="L424" s="19"/>
      <c r="M424" s="19"/>
      <c r="N424" s="19"/>
      <c r="O424" s="19"/>
      <c r="P424" s="19"/>
      <c r="Q424" s="19"/>
      <c r="R424" s="19"/>
      <c r="S424" s="19"/>
      <c r="T424" s="19"/>
      <c r="U424" s="19"/>
      <c r="V424" s="19"/>
      <c r="W424" s="19"/>
      <c r="X424" s="19"/>
      <c r="Y424" s="19"/>
    </row>
    <row r="425" spans="2:25" ht="12" customHeight="1">
      <c r="B425" s="19"/>
      <c r="C425" s="19"/>
      <c r="D425" s="107"/>
      <c r="E425" s="107"/>
      <c r="F425" s="19"/>
      <c r="G425" s="19"/>
      <c r="H425" s="19"/>
      <c r="I425" s="19"/>
      <c r="J425" s="19"/>
      <c r="K425" s="233"/>
      <c r="L425" s="19"/>
      <c r="M425" s="19"/>
      <c r="N425" s="19"/>
      <c r="O425" s="19"/>
      <c r="P425" s="19"/>
      <c r="Q425" s="19"/>
      <c r="R425" s="19"/>
      <c r="S425" s="19"/>
      <c r="T425" s="19"/>
      <c r="U425" s="19"/>
      <c r="V425" s="19"/>
      <c r="W425" s="19"/>
      <c r="X425" s="19"/>
      <c r="Y425" s="19"/>
    </row>
    <row r="426" spans="2:25" ht="12" customHeight="1">
      <c r="B426" s="19"/>
      <c r="C426" s="19"/>
      <c r="D426" s="107"/>
      <c r="E426" s="107"/>
      <c r="F426" s="19"/>
      <c r="G426" s="19"/>
      <c r="H426" s="19"/>
      <c r="I426" s="19"/>
      <c r="J426" s="19"/>
      <c r="K426" s="233"/>
      <c r="L426" s="19"/>
      <c r="M426" s="19"/>
      <c r="N426" s="19"/>
      <c r="O426" s="19"/>
      <c r="P426" s="19"/>
      <c r="Q426" s="19"/>
      <c r="R426" s="19"/>
      <c r="S426" s="19"/>
      <c r="T426" s="19"/>
      <c r="U426" s="19"/>
      <c r="V426" s="19"/>
      <c r="W426" s="19"/>
      <c r="X426" s="19"/>
      <c r="Y426" s="19"/>
    </row>
    <row r="427" spans="2:25" ht="12" customHeight="1">
      <c r="B427" s="19"/>
      <c r="C427" s="19"/>
      <c r="D427" s="107"/>
      <c r="E427" s="107"/>
      <c r="F427" s="19"/>
      <c r="G427" s="19"/>
      <c r="H427" s="19"/>
      <c r="I427" s="19"/>
      <c r="J427" s="19"/>
      <c r="K427" s="233"/>
      <c r="L427" s="19"/>
      <c r="M427" s="19"/>
      <c r="N427" s="19"/>
      <c r="O427" s="19"/>
      <c r="P427" s="19"/>
      <c r="Q427" s="19"/>
      <c r="R427" s="19"/>
      <c r="S427" s="19"/>
      <c r="T427" s="19"/>
      <c r="U427" s="19"/>
      <c r="V427" s="19"/>
      <c r="W427" s="19"/>
      <c r="X427" s="19"/>
      <c r="Y427" s="19"/>
    </row>
    <row r="428" spans="2:25" ht="12" customHeight="1">
      <c r="B428" s="19"/>
      <c r="C428" s="19"/>
      <c r="D428" s="107"/>
      <c r="E428" s="107"/>
      <c r="F428" s="19"/>
      <c r="G428" s="19"/>
      <c r="H428" s="19"/>
      <c r="I428" s="19"/>
      <c r="J428" s="19"/>
      <c r="K428" s="19"/>
      <c r="L428" s="19"/>
      <c r="M428" s="19"/>
      <c r="N428" s="19"/>
      <c r="O428" s="19"/>
      <c r="P428" s="19"/>
      <c r="Q428" s="19"/>
      <c r="R428" s="19"/>
      <c r="S428" s="19"/>
      <c r="T428" s="19"/>
      <c r="U428" s="19"/>
      <c r="V428" s="19"/>
      <c r="W428" s="19"/>
      <c r="X428" s="19"/>
      <c r="Y428" s="19"/>
    </row>
    <row r="429" spans="2:25" ht="12" customHeight="1">
      <c r="B429" s="19"/>
      <c r="C429" s="19"/>
      <c r="D429" s="107"/>
      <c r="E429" s="107"/>
      <c r="F429" s="19"/>
      <c r="G429" s="19"/>
      <c r="H429" s="19"/>
      <c r="I429" s="19"/>
      <c r="J429" s="19"/>
      <c r="K429" s="19"/>
      <c r="L429" s="19"/>
      <c r="M429" s="19"/>
      <c r="N429" s="19"/>
      <c r="O429" s="19"/>
      <c r="P429" s="19"/>
      <c r="Q429" s="19"/>
      <c r="R429" s="19"/>
      <c r="S429" s="19"/>
      <c r="T429" s="19"/>
      <c r="U429" s="19"/>
      <c r="V429" s="19"/>
      <c r="W429" s="19"/>
      <c r="X429" s="19"/>
      <c r="Y429" s="19"/>
    </row>
    <row r="430" spans="2:25" ht="12" customHeight="1">
      <c r="B430" s="19"/>
      <c r="C430" s="19"/>
      <c r="D430" s="107"/>
      <c r="E430" s="107"/>
      <c r="F430" s="19"/>
      <c r="G430" s="19"/>
      <c r="H430" s="19"/>
      <c r="I430" s="19"/>
      <c r="J430" s="19"/>
      <c r="K430" s="19"/>
      <c r="L430" s="19"/>
      <c r="M430" s="19"/>
      <c r="N430" s="19"/>
      <c r="O430" s="19"/>
      <c r="P430" s="19"/>
      <c r="Q430" s="19"/>
      <c r="R430" s="19"/>
      <c r="S430" s="19"/>
      <c r="T430" s="19"/>
      <c r="U430" s="19"/>
      <c r="V430" s="19"/>
      <c r="W430" s="19"/>
      <c r="X430" s="19"/>
      <c r="Y430" s="19"/>
    </row>
    <row r="431" spans="2:25" ht="12" customHeight="1">
      <c r="B431" s="19"/>
      <c r="C431" s="19"/>
      <c r="D431" s="107"/>
      <c r="E431" s="107"/>
      <c r="F431" s="19"/>
      <c r="G431" s="19"/>
      <c r="H431" s="19"/>
      <c r="I431" s="19"/>
      <c r="J431" s="19"/>
      <c r="K431" s="19"/>
      <c r="L431" s="19"/>
      <c r="M431" s="19"/>
      <c r="N431" s="19"/>
      <c r="O431" s="19"/>
      <c r="P431" s="19"/>
      <c r="Q431" s="19"/>
      <c r="R431" s="19"/>
      <c r="S431" s="19"/>
      <c r="T431" s="19"/>
      <c r="U431" s="19"/>
      <c r="V431" s="19"/>
      <c r="W431" s="19"/>
      <c r="X431" s="19"/>
      <c r="Y431" s="19"/>
    </row>
    <row r="432" spans="2:25" ht="12" customHeight="1">
      <c r="B432" s="19"/>
      <c r="C432" s="19"/>
      <c r="D432" s="107"/>
      <c r="E432" s="107"/>
      <c r="F432" s="19"/>
      <c r="G432" s="19"/>
      <c r="H432" s="19"/>
      <c r="I432" s="19"/>
      <c r="J432" s="19"/>
      <c r="K432" s="19"/>
      <c r="L432" s="19"/>
      <c r="M432" s="19"/>
      <c r="N432" s="19"/>
      <c r="O432" s="19"/>
      <c r="P432" s="19"/>
      <c r="Q432" s="19"/>
      <c r="R432" s="19"/>
      <c r="S432" s="19"/>
      <c r="T432" s="19"/>
      <c r="U432" s="19"/>
      <c r="V432" s="19"/>
      <c r="W432" s="19"/>
      <c r="X432" s="19"/>
      <c r="Y432" s="19"/>
    </row>
    <row r="433" spans="2:25" ht="12" customHeight="1">
      <c r="B433" s="19"/>
      <c r="C433" s="19"/>
      <c r="D433" s="107"/>
      <c r="E433" s="107"/>
      <c r="F433" s="19"/>
      <c r="G433" s="19"/>
      <c r="H433" s="19"/>
      <c r="I433" s="19"/>
      <c r="J433" s="19"/>
      <c r="K433" s="19"/>
      <c r="L433" s="19"/>
      <c r="M433" s="19"/>
      <c r="N433" s="19"/>
      <c r="O433" s="19"/>
      <c r="P433" s="19"/>
      <c r="Q433" s="19"/>
      <c r="R433" s="19"/>
      <c r="S433" s="19"/>
      <c r="T433" s="19"/>
      <c r="U433" s="19"/>
      <c r="V433" s="19"/>
      <c r="W433" s="19"/>
      <c r="X433" s="19"/>
      <c r="Y433" s="19"/>
    </row>
    <row r="434" spans="2:25" ht="12" customHeight="1">
      <c r="B434" s="19"/>
      <c r="C434" s="19"/>
      <c r="D434" s="107"/>
      <c r="E434" s="107"/>
      <c r="F434" s="19"/>
      <c r="G434" s="19"/>
      <c r="H434" s="19"/>
      <c r="I434" s="19"/>
      <c r="J434" s="19"/>
      <c r="K434" s="19"/>
      <c r="L434" s="19"/>
      <c r="M434" s="19"/>
      <c r="N434" s="19"/>
      <c r="O434" s="19"/>
      <c r="P434" s="19"/>
      <c r="Q434" s="19"/>
      <c r="R434" s="19"/>
      <c r="S434" s="19"/>
      <c r="T434" s="19"/>
      <c r="U434" s="19"/>
      <c r="V434" s="19"/>
      <c r="W434" s="19"/>
      <c r="X434" s="19"/>
      <c r="Y434" s="19"/>
    </row>
    <row r="435" spans="2:25" ht="12" customHeight="1">
      <c r="B435" s="19"/>
      <c r="C435" s="19"/>
      <c r="D435" s="107"/>
      <c r="E435" s="107"/>
      <c r="F435" s="19"/>
      <c r="G435" s="19"/>
      <c r="H435" s="19"/>
      <c r="I435" s="19"/>
      <c r="J435" s="19"/>
      <c r="K435" s="19"/>
      <c r="L435" s="19"/>
      <c r="M435" s="19"/>
      <c r="N435" s="19"/>
      <c r="O435" s="19"/>
      <c r="P435" s="19"/>
      <c r="Q435" s="19"/>
      <c r="R435" s="19"/>
      <c r="S435" s="19"/>
      <c r="T435" s="19"/>
      <c r="U435" s="19"/>
      <c r="V435" s="19"/>
      <c r="W435" s="19"/>
      <c r="X435" s="19"/>
      <c r="Y435" s="19"/>
    </row>
    <row r="436" spans="2:25" ht="12" customHeight="1">
      <c r="B436" s="19"/>
      <c r="C436" s="19"/>
      <c r="D436" s="107"/>
      <c r="E436" s="107"/>
      <c r="F436" s="19"/>
      <c r="G436" s="19"/>
      <c r="H436" s="19"/>
      <c r="I436" s="19"/>
      <c r="J436" s="19"/>
      <c r="K436" s="19"/>
      <c r="L436" s="19"/>
      <c r="M436" s="19"/>
      <c r="N436" s="19"/>
      <c r="O436" s="19"/>
      <c r="P436" s="19"/>
      <c r="Q436" s="19"/>
      <c r="R436" s="19"/>
      <c r="S436" s="19"/>
      <c r="T436" s="19"/>
      <c r="U436" s="19"/>
      <c r="V436" s="19"/>
      <c r="W436" s="19"/>
      <c r="X436" s="19"/>
      <c r="Y436" s="19"/>
    </row>
    <row r="437" spans="2:25" ht="12" customHeight="1">
      <c r="B437" s="19"/>
      <c r="C437" s="19"/>
      <c r="D437" s="107"/>
      <c r="E437" s="107"/>
      <c r="F437" s="19"/>
      <c r="G437" s="19"/>
      <c r="H437" s="19"/>
      <c r="I437" s="19"/>
      <c r="J437" s="19"/>
      <c r="K437" s="19"/>
      <c r="L437" s="19"/>
      <c r="M437" s="19"/>
      <c r="N437" s="19"/>
      <c r="O437" s="19"/>
      <c r="P437" s="19"/>
      <c r="Q437" s="19"/>
      <c r="R437" s="19"/>
      <c r="S437" s="19"/>
      <c r="T437" s="19"/>
      <c r="U437" s="19"/>
      <c r="V437" s="19"/>
      <c r="W437" s="19"/>
      <c r="X437" s="19"/>
      <c r="Y437" s="19"/>
    </row>
    <row r="438" spans="2:25" ht="12" customHeight="1">
      <c r="B438" s="19"/>
      <c r="C438" s="19"/>
      <c r="D438" s="107"/>
      <c r="E438" s="107"/>
      <c r="F438" s="19"/>
      <c r="G438" s="19"/>
      <c r="H438" s="19"/>
      <c r="I438" s="19"/>
      <c r="J438" s="19"/>
      <c r="K438" s="19"/>
      <c r="L438" s="19"/>
      <c r="M438" s="19"/>
      <c r="N438" s="19"/>
      <c r="O438" s="19"/>
      <c r="P438" s="19"/>
      <c r="Q438" s="19"/>
      <c r="R438" s="19"/>
      <c r="S438" s="19"/>
      <c r="T438" s="19"/>
      <c r="U438" s="19"/>
      <c r="V438" s="19"/>
      <c r="W438" s="19"/>
      <c r="X438" s="19"/>
      <c r="Y438" s="19"/>
    </row>
    <row r="439" spans="2:25" ht="12" customHeight="1">
      <c r="B439" s="19"/>
      <c r="C439" s="19"/>
      <c r="D439" s="107"/>
      <c r="E439" s="107"/>
      <c r="F439" s="19"/>
      <c r="G439" s="19"/>
      <c r="H439" s="19"/>
      <c r="I439" s="19"/>
      <c r="J439" s="19"/>
      <c r="K439" s="19"/>
      <c r="L439" s="19"/>
      <c r="M439" s="19"/>
      <c r="N439" s="19"/>
      <c r="O439" s="19"/>
      <c r="P439" s="19"/>
      <c r="Q439" s="19"/>
      <c r="R439" s="19"/>
      <c r="S439" s="19"/>
      <c r="T439" s="19"/>
      <c r="U439" s="19"/>
      <c r="V439" s="19"/>
      <c r="W439" s="19"/>
      <c r="X439" s="19"/>
      <c r="Y439" s="19"/>
    </row>
    <row r="440" spans="2:25" ht="12" customHeight="1">
      <c r="B440" s="19"/>
      <c r="C440" s="19"/>
      <c r="D440" s="107"/>
      <c r="E440" s="107"/>
      <c r="F440" s="19"/>
      <c r="G440" s="19"/>
      <c r="H440" s="19"/>
      <c r="I440" s="19"/>
      <c r="J440" s="19"/>
      <c r="K440" s="19"/>
      <c r="L440" s="19"/>
      <c r="M440" s="19"/>
      <c r="N440" s="19"/>
      <c r="O440" s="19"/>
      <c r="P440" s="19"/>
      <c r="Q440" s="19"/>
      <c r="R440" s="19"/>
      <c r="S440" s="19"/>
      <c r="T440" s="19"/>
      <c r="U440" s="19"/>
      <c r="V440" s="19"/>
      <c r="W440" s="19"/>
      <c r="X440" s="19"/>
      <c r="Y440" s="19"/>
    </row>
    <row r="441" spans="2:25" ht="12" customHeight="1">
      <c r="B441" s="19"/>
      <c r="C441" s="19"/>
      <c r="D441" s="107"/>
      <c r="E441" s="107"/>
      <c r="F441" s="19"/>
      <c r="G441" s="19"/>
      <c r="H441" s="19"/>
      <c r="I441" s="19"/>
      <c r="J441" s="19"/>
      <c r="K441" s="19"/>
      <c r="L441" s="19"/>
      <c r="M441" s="19"/>
      <c r="N441" s="19"/>
      <c r="O441" s="19"/>
      <c r="P441" s="19"/>
      <c r="Q441" s="19"/>
      <c r="R441" s="19"/>
      <c r="S441" s="19"/>
      <c r="T441" s="19"/>
      <c r="U441" s="19"/>
      <c r="V441" s="19"/>
      <c r="W441" s="19"/>
      <c r="X441" s="19"/>
      <c r="Y441" s="19"/>
    </row>
    <row r="442" spans="2:25" ht="12" customHeight="1">
      <c r="B442" s="19"/>
      <c r="C442" s="19"/>
      <c r="D442" s="107"/>
      <c r="E442" s="107"/>
      <c r="F442" s="19"/>
      <c r="G442" s="19"/>
      <c r="H442" s="19"/>
      <c r="I442" s="19"/>
      <c r="J442" s="19"/>
      <c r="K442" s="19"/>
      <c r="L442" s="19"/>
      <c r="M442" s="19"/>
      <c r="N442" s="19"/>
      <c r="O442" s="19"/>
      <c r="P442" s="19"/>
      <c r="Q442" s="19"/>
      <c r="R442" s="19"/>
      <c r="S442" s="19"/>
      <c r="T442" s="19"/>
      <c r="U442" s="19"/>
      <c r="V442" s="19"/>
      <c r="W442" s="19"/>
      <c r="X442" s="19"/>
      <c r="Y442" s="19"/>
    </row>
    <row r="443" spans="2:25" ht="12" customHeight="1">
      <c r="B443" s="19"/>
      <c r="C443" s="19"/>
      <c r="D443" s="107"/>
      <c r="E443" s="107"/>
      <c r="F443" s="19"/>
      <c r="G443" s="19"/>
      <c r="H443" s="19"/>
      <c r="I443" s="19"/>
      <c r="J443" s="19"/>
      <c r="K443" s="19"/>
      <c r="L443" s="19"/>
      <c r="M443" s="19"/>
      <c r="N443" s="19"/>
      <c r="O443" s="19"/>
      <c r="P443" s="19"/>
      <c r="Q443" s="19"/>
      <c r="R443" s="19"/>
      <c r="S443" s="19"/>
      <c r="T443" s="19"/>
      <c r="U443" s="19"/>
      <c r="V443" s="19"/>
      <c r="W443" s="19"/>
      <c r="X443" s="19"/>
      <c r="Y443" s="19"/>
    </row>
    <row r="444" spans="2:25" ht="12" customHeight="1">
      <c r="B444" s="19"/>
      <c r="C444" s="19"/>
      <c r="D444" s="107"/>
      <c r="E444" s="107"/>
      <c r="F444" s="19"/>
      <c r="G444" s="19"/>
      <c r="H444" s="19"/>
      <c r="I444" s="19"/>
      <c r="J444" s="19"/>
      <c r="K444" s="19"/>
      <c r="L444" s="19"/>
      <c r="M444" s="19"/>
      <c r="N444" s="19"/>
      <c r="O444" s="19"/>
      <c r="P444" s="19"/>
      <c r="Q444" s="19"/>
      <c r="R444" s="19"/>
      <c r="S444" s="19"/>
      <c r="T444" s="19"/>
      <c r="U444" s="19"/>
      <c r="V444" s="19"/>
      <c r="W444" s="19"/>
      <c r="X444" s="19"/>
      <c r="Y444" s="19"/>
    </row>
    <row r="445" spans="2:25" ht="12" customHeight="1">
      <c r="B445" s="19"/>
      <c r="C445" s="19"/>
      <c r="D445" s="107"/>
      <c r="E445" s="107"/>
      <c r="F445" s="19"/>
      <c r="G445" s="19"/>
      <c r="H445" s="19"/>
      <c r="I445" s="19"/>
      <c r="J445" s="19"/>
      <c r="K445" s="19"/>
      <c r="L445" s="19"/>
      <c r="M445" s="19"/>
      <c r="N445" s="19"/>
      <c r="O445" s="19"/>
      <c r="P445" s="19"/>
      <c r="Q445" s="19"/>
      <c r="R445" s="19"/>
      <c r="S445" s="19"/>
      <c r="T445" s="19"/>
      <c r="U445" s="19"/>
      <c r="V445" s="19"/>
      <c r="W445" s="19"/>
      <c r="X445" s="19"/>
      <c r="Y445" s="19"/>
    </row>
    <row r="446" spans="2:25" ht="12" customHeight="1">
      <c r="B446" s="19"/>
      <c r="C446" s="19"/>
      <c r="D446" s="107"/>
      <c r="E446" s="107"/>
      <c r="F446" s="19"/>
      <c r="G446" s="19"/>
      <c r="H446" s="19"/>
      <c r="I446" s="19"/>
      <c r="J446" s="19"/>
      <c r="K446" s="19"/>
      <c r="L446" s="19"/>
      <c r="M446" s="19"/>
      <c r="N446" s="19"/>
      <c r="O446" s="19"/>
      <c r="P446" s="19"/>
      <c r="Q446" s="19"/>
      <c r="R446" s="19"/>
      <c r="S446" s="19"/>
      <c r="T446" s="19"/>
      <c r="U446" s="19"/>
      <c r="V446" s="19"/>
      <c r="W446" s="19"/>
      <c r="X446" s="19"/>
      <c r="Y446" s="19"/>
    </row>
    <row r="447" spans="2:25" ht="12" customHeight="1">
      <c r="B447" s="19"/>
      <c r="C447" s="19"/>
      <c r="D447" s="107"/>
      <c r="E447" s="107"/>
      <c r="F447" s="19"/>
      <c r="G447" s="19"/>
      <c r="H447" s="19"/>
      <c r="I447" s="19"/>
      <c r="J447" s="19"/>
      <c r="K447" s="19"/>
      <c r="L447" s="19"/>
      <c r="M447" s="19"/>
      <c r="N447" s="19"/>
      <c r="O447" s="19"/>
      <c r="P447" s="19"/>
      <c r="Q447" s="19"/>
      <c r="R447" s="19"/>
      <c r="S447" s="19"/>
      <c r="T447" s="19"/>
      <c r="U447" s="19"/>
      <c r="V447" s="19"/>
      <c r="W447" s="19"/>
      <c r="X447" s="19"/>
      <c r="Y447" s="19"/>
    </row>
    <row r="448" spans="2:25" ht="12" customHeight="1">
      <c r="B448" s="19"/>
      <c r="C448" s="19"/>
      <c r="D448" s="107"/>
      <c r="E448" s="107"/>
      <c r="F448" s="19"/>
      <c r="G448" s="19"/>
      <c r="H448" s="19"/>
      <c r="I448" s="19"/>
      <c r="J448" s="19"/>
      <c r="K448" s="19"/>
      <c r="L448" s="19"/>
      <c r="M448" s="19"/>
      <c r="N448" s="19"/>
      <c r="O448" s="19"/>
      <c r="P448" s="19"/>
      <c r="Q448" s="19"/>
      <c r="R448" s="19"/>
      <c r="S448" s="19"/>
      <c r="T448" s="19"/>
      <c r="U448" s="19"/>
      <c r="V448" s="19"/>
      <c r="W448" s="19"/>
      <c r="X448" s="19"/>
      <c r="Y448" s="19"/>
    </row>
    <row r="449" spans="2:25" ht="12" customHeight="1">
      <c r="B449" s="19"/>
      <c r="C449" s="19"/>
      <c r="D449" s="107"/>
      <c r="E449" s="107"/>
      <c r="F449" s="19"/>
      <c r="G449" s="19"/>
      <c r="H449" s="19"/>
      <c r="I449" s="19"/>
      <c r="J449" s="19"/>
      <c r="K449" s="19"/>
      <c r="L449" s="19"/>
      <c r="M449" s="19"/>
      <c r="N449" s="19"/>
      <c r="O449" s="19"/>
      <c r="P449" s="19"/>
      <c r="Q449" s="19"/>
      <c r="R449" s="19"/>
      <c r="S449" s="19"/>
      <c r="T449" s="19"/>
      <c r="U449" s="19"/>
      <c r="V449" s="19"/>
      <c r="W449" s="19"/>
      <c r="X449" s="19"/>
      <c r="Y449" s="19"/>
    </row>
    <row r="450" spans="2:25" ht="12" customHeight="1">
      <c r="B450" s="19"/>
      <c r="C450" s="19"/>
      <c r="D450" s="107"/>
      <c r="E450" s="107"/>
      <c r="F450" s="19"/>
      <c r="G450" s="19"/>
      <c r="H450" s="19"/>
      <c r="I450" s="19"/>
      <c r="J450" s="19"/>
      <c r="K450" s="19"/>
      <c r="L450" s="19"/>
      <c r="M450" s="19"/>
      <c r="N450" s="19"/>
      <c r="O450" s="19"/>
      <c r="P450" s="19"/>
      <c r="Q450" s="19"/>
      <c r="R450" s="19"/>
      <c r="S450" s="19"/>
      <c r="T450" s="19"/>
      <c r="U450" s="19"/>
      <c r="V450" s="19"/>
      <c r="W450" s="19"/>
      <c r="X450" s="19"/>
      <c r="Y450" s="19"/>
    </row>
    <row r="451" spans="2:25" ht="12" customHeight="1">
      <c r="B451" s="19"/>
      <c r="C451" s="19"/>
      <c r="D451" s="107"/>
      <c r="E451" s="107"/>
      <c r="F451" s="19"/>
      <c r="G451" s="19"/>
      <c r="H451" s="19"/>
      <c r="I451" s="19"/>
      <c r="J451" s="19"/>
      <c r="K451" s="19"/>
      <c r="L451" s="19"/>
      <c r="M451" s="19"/>
      <c r="N451" s="19"/>
      <c r="O451" s="19"/>
      <c r="P451" s="19"/>
      <c r="Q451" s="19"/>
      <c r="R451" s="19"/>
      <c r="S451" s="19"/>
      <c r="T451" s="19"/>
      <c r="U451" s="19"/>
      <c r="V451" s="19"/>
      <c r="W451" s="19"/>
      <c r="X451" s="19"/>
      <c r="Y451" s="19"/>
    </row>
    <row r="452" spans="2:25" ht="12" customHeight="1">
      <c r="B452" s="19"/>
      <c r="C452" s="19"/>
      <c r="D452" s="107"/>
      <c r="E452" s="107"/>
      <c r="F452" s="19"/>
      <c r="G452" s="19"/>
      <c r="H452" s="19"/>
      <c r="I452" s="19"/>
      <c r="J452" s="19"/>
      <c r="K452" s="19"/>
      <c r="L452" s="19"/>
      <c r="M452" s="19"/>
      <c r="N452" s="19"/>
      <c r="O452" s="19"/>
      <c r="P452" s="19"/>
      <c r="Q452" s="19"/>
      <c r="R452" s="19"/>
      <c r="S452" s="19"/>
      <c r="T452" s="19"/>
      <c r="U452" s="19"/>
      <c r="V452" s="19"/>
      <c r="W452" s="19"/>
      <c r="X452" s="19"/>
      <c r="Y452" s="19"/>
    </row>
    <row r="453" spans="2:25" ht="12" customHeight="1">
      <c r="B453" s="19"/>
      <c r="C453" s="19"/>
      <c r="D453" s="107"/>
      <c r="E453" s="107"/>
      <c r="F453" s="19"/>
      <c r="G453" s="19"/>
      <c r="H453" s="19"/>
      <c r="I453" s="19"/>
      <c r="J453" s="19"/>
      <c r="K453" s="19"/>
      <c r="L453" s="19"/>
      <c r="M453" s="19"/>
      <c r="N453" s="19"/>
      <c r="O453" s="19"/>
      <c r="P453" s="19"/>
      <c r="Q453" s="19"/>
      <c r="R453" s="19"/>
      <c r="S453" s="19"/>
      <c r="T453" s="19"/>
      <c r="U453" s="19"/>
      <c r="V453" s="19"/>
      <c r="W453" s="19"/>
      <c r="X453" s="19"/>
      <c r="Y453" s="19"/>
    </row>
    <row r="454" spans="2:25" ht="12" customHeight="1">
      <c r="B454" s="19"/>
      <c r="C454" s="19"/>
      <c r="D454" s="107"/>
      <c r="E454" s="107"/>
      <c r="F454" s="19"/>
      <c r="G454" s="19"/>
      <c r="H454" s="19"/>
      <c r="I454" s="19"/>
      <c r="J454" s="19"/>
      <c r="K454" s="19"/>
      <c r="L454" s="19"/>
      <c r="M454" s="19"/>
      <c r="N454" s="19"/>
      <c r="O454" s="19"/>
      <c r="P454" s="19"/>
      <c r="Q454" s="19"/>
      <c r="R454" s="19"/>
      <c r="S454" s="19"/>
      <c r="T454" s="19"/>
      <c r="U454" s="19"/>
      <c r="V454" s="19"/>
      <c r="W454" s="19"/>
      <c r="X454" s="19"/>
      <c r="Y454" s="19"/>
    </row>
    <row r="455" spans="2:25" ht="12" customHeight="1">
      <c r="B455" s="19"/>
      <c r="C455" s="19"/>
      <c r="D455" s="107"/>
      <c r="E455" s="107"/>
      <c r="F455" s="19"/>
      <c r="G455" s="19"/>
      <c r="H455" s="19"/>
      <c r="I455" s="19"/>
      <c r="J455" s="19"/>
      <c r="K455" s="19"/>
      <c r="L455" s="19"/>
      <c r="M455" s="19"/>
      <c r="N455" s="19"/>
      <c r="O455" s="19"/>
      <c r="P455" s="19"/>
      <c r="Q455" s="19"/>
      <c r="R455" s="19"/>
      <c r="S455" s="19"/>
      <c r="T455" s="19"/>
      <c r="U455" s="19"/>
      <c r="V455" s="19"/>
      <c r="W455" s="19"/>
      <c r="X455" s="19"/>
      <c r="Y455" s="19"/>
    </row>
    <row r="456" spans="2:25" ht="12" customHeight="1">
      <c r="B456" s="19"/>
      <c r="C456" s="19"/>
      <c r="D456" s="107"/>
      <c r="E456" s="107"/>
      <c r="F456" s="19"/>
      <c r="G456" s="19"/>
      <c r="H456" s="19"/>
      <c r="I456" s="19"/>
      <c r="J456" s="19"/>
      <c r="K456" s="19"/>
      <c r="L456" s="19"/>
      <c r="M456" s="19"/>
      <c r="N456" s="19"/>
      <c r="O456" s="19"/>
      <c r="P456" s="19"/>
      <c r="Q456" s="19"/>
      <c r="R456" s="19"/>
      <c r="S456" s="19"/>
      <c r="T456" s="19"/>
      <c r="U456" s="19"/>
      <c r="V456" s="19"/>
      <c r="W456" s="19"/>
      <c r="X456" s="19"/>
      <c r="Y456" s="19"/>
    </row>
    <row r="457" spans="2:25" ht="12" customHeight="1">
      <c r="B457" s="19"/>
      <c r="C457" s="19"/>
      <c r="D457" s="107"/>
      <c r="E457" s="107"/>
      <c r="F457" s="19"/>
      <c r="G457" s="19"/>
      <c r="H457" s="19"/>
      <c r="I457" s="19"/>
      <c r="J457" s="19"/>
      <c r="K457" s="19"/>
      <c r="L457" s="19"/>
      <c r="M457" s="19"/>
      <c r="N457" s="19"/>
      <c r="O457" s="19"/>
      <c r="P457" s="19"/>
      <c r="Q457" s="19"/>
      <c r="R457" s="19"/>
      <c r="S457" s="19"/>
      <c r="T457" s="19"/>
      <c r="U457" s="19"/>
      <c r="V457" s="19"/>
      <c r="W457" s="19"/>
      <c r="X457" s="19"/>
      <c r="Y457" s="19"/>
    </row>
    <row r="458" spans="2:25" ht="12" customHeight="1">
      <c r="B458" s="19"/>
      <c r="C458" s="19"/>
      <c r="D458" s="107"/>
      <c r="E458" s="107"/>
      <c r="F458" s="19"/>
      <c r="G458" s="19"/>
      <c r="H458" s="19"/>
      <c r="I458" s="19"/>
      <c r="J458" s="19"/>
      <c r="K458" s="19"/>
      <c r="L458" s="19"/>
      <c r="M458" s="19"/>
      <c r="N458" s="19"/>
      <c r="O458" s="19"/>
      <c r="P458" s="19"/>
      <c r="Q458" s="19"/>
      <c r="R458" s="19"/>
      <c r="S458" s="19"/>
      <c r="T458" s="19"/>
      <c r="U458" s="19"/>
      <c r="V458" s="19"/>
      <c r="W458" s="19"/>
      <c r="X458" s="19"/>
      <c r="Y458" s="19"/>
    </row>
    <row r="459" spans="2:25" ht="12" customHeight="1">
      <c r="B459" s="19"/>
      <c r="C459" s="19"/>
      <c r="D459" s="107"/>
      <c r="E459" s="107"/>
      <c r="F459" s="19"/>
      <c r="G459" s="19"/>
      <c r="H459" s="19"/>
      <c r="I459" s="19"/>
      <c r="J459" s="19"/>
      <c r="K459" s="19"/>
      <c r="L459" s="19"/>
      <c r="M459" s="19"/>
      <c r="N459" s="19"/>
      <c r="O459" s="19"/>
      <c r="P459" s="19"/>
      <c r="Q459" s="19"/>
      <c r="R459" s="19"/>
      <c r="S459" s="19"/>
      <c r="T459" s="19"/>
      <c r="U459" s="19"/>
      <c r="V459" s="19"/>
      <c r="W459" s="19"/>
      <c r="X459" s="19"/>
      <c r="Y459" s="19"/>
    </row>
    <row r="460" spans="2:25" ht="12" customHeight="1">
      <c r="B460" s="19"/>
      <c r="C460" s="19"/>
      <c r="D460" s="107"/>
      <c r="E460" s="107"/>
      <c r="F460" s="19"/>
      <c r="G460" s="19"/>
      <c r="H460" s="19"/>
      <c r="I460" s="19"/>
      <c r="J460" s="19"/>
      <c r="K460" s="19"/>
      <c r="L460" s="19"/>
      <c r="M460" s="19"/>
      <c r="N460" s="19"/>
      <c r="O460" s="19"/>
      <c r="P460" s="19"/>
      <c r="Q460" s="19"/>
      <c r="R460" s="19"/>
      <c r="S460" s="19"/>
      <c r="T460" s="19"/>
      <c r="U460" s="19"/>
      <c r="V460" s="19"/>
      <c r="W460" s="19"/>
      <c r="X460" s="19"/>
      <c r="Y460" s="19"/>
    </row>
    <row r="461" spans="2:25" ht="12" customHeight="1">
      <c r="B461" s="19"/>
      <c r="C461" s="19"/>
      <c r="D461" s="107"/>
      <c r="E461" s="107"/>
      <c r="F461" s="19"/>
      <c r="G461" s="19"/>
      <c r="H461" s="19"/>
      <c r="I461" s="19"/>
      <c r="J461" s="19"/>
      <c r="K461" s="19"/>
      <c r="L461" s="19"/>
      <c r="M461" s="19"/>
      <c r="N461" s="19"/>
      <c r="O461" s="19"/>
      <c r="P461" s="19"/>
      <c r="Q461" s="19"/>
      <c r="R461" s="19"/>
      <c r="S461" s="19"/>
      <c r="T461" s="19"/>
      <c r="U461" s="19"/>
      <c r="V461" s="19"/>
      <c r="W461" s="19"/>
      <c r="X461" s="19"/>
      <c r="Y461" s="19"/>
    </row>
    <row r="462" spans="2:25" ht="12" customHeight="1">
      <c r="B462" s="19"/>
      <c r="C462" s="19"/>
      <c r="D462" s="107"/>
      <c r="E462" s="107"/>
      <c r="F462" s="19"/>
      <c r="G462" s="19"/>
      <c r="H462" s="19"/>
      <c r="I462" s="19"/>
      <c r="J462" s="19"/>
      <c r="K462" s="19"/>
      <c r="L462" s="19"/>
      <c r="M462" s="19"/>
      <c r="N462" s="19"/>
      <c r="O462" s="19"/>
      <c r="P462" s="19"/>
      <c r="Q462" s="19"/>
      <c r="R462" s="19"/>
      <c r="S462" s="19"/>
      <c r="T462" s="19"/>
      <c r="U462" s="19"/>
      <c r="V462" s="19"/>
      <c r="W462" s="19"/>
      <c r="X462" s="19"/>
      <c r="Y462" s="19"/>
    </row>
    <row r="463" spans="2:25" ht="12" customHeight="1">
      <c r="B463" s="19"/>
      <c r="C463" s="19"/>
      <c r="D463" s="107"/>
      <c r="E463" s="107"/>
      <c r="F463" s="19"/>
      <c r="G463" s="19"/>
      <c r="H463" s="19"/>
      <c r="I463" s="19"/>
      <c r="J463" s="19"/>
      <c r="K463" s="19"/>
      <c r="L463" s="19"/>
      <c r="M463" s="19"/>
      <c r="N463" s="19"/>
      <c r="O463" s="19"/>
      <c r="P463" s="19"/>
      <c r="Q463" s="19"/>
      <c r="R463" s="19"/>
      <c r="S463" s="19"/>
      <c r="T463" s="19"/>
      <c r="U463" s="19"/>
      <c r="V463" s="19"/>
      <c r="W463" s="19"/>
      <c r="X463" s="19"/>
      <c r="Y463" s="19"/>
    </row>
    <row r="464" spans="2:25" ht="12" customHeight="1">
      <c r="B464" s="19"/>
      <c r="C464" s="19"/>
      <c r="D464" s="107"/>
      <c r="E464" s="107"/>
      <c r="F464" s="19"/>
      <c r="G464" s="19"/>
      <c r="H464" s="19"/>
      <c r="I464" s="19"/>
      <c r="J464" s="19"/>
      <c r="K464" s="19"/>
      <c r="L464" s="19"/>
      <c r="M464" s="19"/>
      <c r="N464" s="19"/>
      <c r="O464" s="19"/>
      <c r="P464" s="19"/>
      <c r="Q464" s="19"/>
      <c r="R464" s="19"/>
      <c r="S464" s="19"/>
      <c r="T464" s="19"/>
      <c r="U464" s="19"/>
      <c r="V464" s="19"/>
      <c r="W464" s="19"/>
      <c r="X464" s="19"/>
      <c r="Y464" s="19"/>
    </row>
    <row r="465" spans="2:25" ht="12" customHeight="1">
      <c r="B465" s="19"/>
      <c r="C465" s="19"/>
      <c r="D465" s="107"/>
      <c r="E465" s="107"/>
      <c r="F465" s="19"/>
      <c r="G465" s="19"/>
      <c r="H465" s="19"/>
      <c r="I465" s="19"/>
      <c r="J465" s="19"/>
      <c r="K465" s="19"/>
      <c r="L465" s="19"/>
      <c r="M465" s="19"/>
      <c r="N465" s="19"/>
      <c r="O465" s="19"/>
      <c r="P465" s="19"/>
      <c r="Q465" s="19"/>
      <c r="R465" s="19"/>
      <c r="S465" s="19"/>
      <c r="T465" s="19"/>
      <c r="U465" s="19"/>
      <c r="V465" s="19"/>
      <c r="W465" s="19"/>
      <c r="X465" s="19"/>
      <c r="Y465" s="19"/>
    </row>
    <row r="466" spans="2:25" ht="12" customHeight="1">
      <c r="B466" s="19"/>
      <c r="C466" s="19"/>
      <c r="D466" s="107"/>
      <c r="E466" s="107"/>
      <c r="F466" s="19"/>
      <c r="G466" s="19"/>
      <c r="H466" s="19"/>
      <c r="I466" s="19"/>
      <c r="J466" s="19"/>
      <c r="K466" s="19"/>
      <c r="L466" s="19"/>
      <c r="M466" s="19"/>
      <c r="N466" s="19"/>
      <c r="O466" s="19"/>
      <c r="P466" s="19"/>
      <c r="Q466" s="19"/>
      <c r="R466" s="19"/>
      <c r="S466" s="19"/>
      <c r="T466" s="19"/>
      <c r="U466" s="19"/>
      <c r="V466" s="19"/>
      <c r="W466" s="19"/>
      <c r="X466" s="19"/>
      <c r="Y466" s="19"/>
    </row>
    <row r="467" spans="2:25" ht="12" customHeight="1">
      <c r="B467" s="19"/>
      <c r="C467" s="19"/>
      <c r="D467" s="107"/>
      <c r="E467" s="107"/>
      <c r="F467" s="19"/>
      <c r="G467" s="19"/>
      <c r="H467" s="19"/>
      <c r="I467" s="19"/>
      <c r="J467" s="19"/>
      <c r="K467" s="19"/>
      <c r="L467" s="19"/>
      <c r="M467" s="19"/>
      <c r="N467" s="19"/>
      <c r="O467" s="19"/>
      <c r="P467" s="19"/>
      <c r="Q467" s="19"/>
      <c r="R467" s="19"/>
      <c r="S467" s="19"/>
      <c r="T467" s="19"/>
      <c r="U467" s="19"/>
      <c r="V467" s="19"/>
      <c r="W467" s="19"/>
      <c r="X467" s="19"/>
      <c r="Y467" s="19"/>
    </row>
    <row r="468" spans="2:25" ht="12" customHeight="1">
      <c r="B468" s="19"/>
      <c r="C468" s="19"/>
      <c r="D468" s="107"/>
      <c r="E468" s="107"/>
      <c r="F468" s="19"/>
      <c r="G468" s="19"/>
      <c r="H468" s="19"/>
      <c r="I468" s="19"/>
      <c r="J468" s="19"/>
      <c r="K468" s="19"/>
      <c r="L468" s="19"/>
      <c r="M468" s="19"/>
      <c r="N468" s="19"/>
      <c r="O468" s="19"/>
      <c r="P468" s="19"/>
      <c r="Q468" s="19"/>
      <c r="R468" s="19"/>
      <c r="S468" s="19"/>
      <c r="T468" s="19"/>
      <c r="U468" s="19"/>
      <c r="V468" s="19"/>
      <c r="W468" s="19"/>
      <c r="X468" s="19"/>
      <c r="Y468" s="19"/>
    </row>
    <row r="469" spans="2:25" ht="12" customHeight="1">
      <c r="B469" s="19"/>
      <c r="C469" s="19"/>
      <c r="D469" s="107"/>
      <c r="E469" s="107"/>
      <c r="F469" s="19"/>
      <c r="G469" s="19"/>
      <c r="H469" s="19"/>
      <c r="I469" s="19"/>
      <c r="J469" s="19"/>
      <c r="K469" s="19"/>
      <c r="L469" s="19"/>
      <c r="M469" s="19"/>
      <c r="N469" s="19"/>
      <c r="O469" s="19"/>
      <c r="P469" s="19"/>
      <c r="Q469" s="19"/>
      <c r="R469" s="19"/>
      <c r="S469" s="19"/>
      <c r="T469" s="19"/>
      <c r="U469" s="19"/>
      <c r="V469" s="19"/>
      <c r="W469" s="19"/>
      <c r="X469" s="19"/>
      <c r="Y469" s="19"/>
    </row>
    <row r="470" spans="2:25" ht="12" customHeight="1">
      <c r="B470" s="19"/>
      <c r="C470" s="19"/>
      <c r="D470" s="107"/>
      <c r="E470" s="107"/>
      <c r="F470" s="19"/>
      <c r="G470" s="19"/>
      <c r="H470" s="19"/>
      <c r="I470" s="19"/>
      <c r="J470" s="19"/>
      <c r="K470" s="19"/>
      <c r="L470" s="19"/>
      <c r="M470" s="19"/>
      <c r="N470" s="19"/>
      <c r="O470" s="19"/>
      <c r="P470" s="19"/>
      <c r="Q470" s="19"/>
      <c r="R470" s="19"/>
      <c r="S470" s="19"/>
      <c r="T470" s="19"/>
      <c r="U470" s="19"/>
      <c r="V470" s="19"/>
      <c r="W470" s="19"/>
      <c r="X470" s="19"/>
      <c r="Y470" s="19"/>
    </row>
    <row r="471" spans="2:25" ht="12" customHeight="1">
      <c r="B471" s="19"/>
      <c r="C471" s="19"/>
      <c r="D471" s="107"/>
      <c r="E471" s="107"/>
      <c r="F471" s="19"/>
      <c r="G471" s="19"/>
      <c r="H471" s="19"/>
      <c r="I471" s="19"/>
      <c r="J471" s="19"/>
      <c r="K471" s="19"/>
      <c r="L471" s="19"/>
      <c r="M471" s="19"/>
      <c r="N471" s="19"/>
      <c r="O471" s="19"/>
      <c r="P471" s="19"/>
      <c r="Q471" s="19"/>
      <c r="R471" s="19"/>
      <c r="S471" s="19"/>
      <c r="T471" s="19"/>
      <c r="U471" s="19"/>
      <c r="V471" s="19"/>
      <c r="W471" s="19"/>
      <c r="X471" s="19"/>
      <c r="Y471" s="19"/>
    </row>
    <row r="472" spans="2:25" ht="12" customHeight="1">
      <c r="B472" s="19"/>
      <c r="C472" s="19"/>
      <c r="D472" s="107"/>
      <c r="E472" s="107"/>
      <c r="F472" s="19"/>
      <c r="G472" s="19"/>
      <c r="H472" s="19"/>
      <c r="I472" s="19"/>
      <c r="J472" s="19"/>
      <c r="K472" s="19"/>
      <c r="L472" s="19"/>
      <c r="M472" s="19"/>
      <c r="N472" s="19"/>
      <c r="O472" s="19"/>
      <c r="P472" s="19"/>
      <c r="Q472" s="19"/>
      <c r="R472" s="19"/>
      <c r="S472" s="19"/>
      <c r="T472" s="19"/>
      <c r="U472" s="19"/>
      <c r="V472" s="19"/>
      <c r="W472" s="19"/>
      <c r="X472" s="19"/>
      <c r="Y472" s="19"/>
    </row>
    <row r="473" spans="2:25" ht="12" customHeight="1">
      <c r="B473" s="19"/>
      <c r="C473" s="19"/>
      <c r="D473" s="107"/>
      <c r="E473" s="107"/>
      <c r="F473" s="19"/>
      <c r="G473" s="19"/>
      <c r="H473" s="19"/>
      <c r="I473" s="19"/>
      <c r="J473" s="19"/>
      <c r="K473" s="19"/>
      <c r="L473" s="19"/>
      <c r="M473" s="19"/>
      <c r="N473" s="19"/>
      <c r="O473" s="19"/>
      <c r="P473" s="19"/>
      <c r="Q473" s="19"/>
      <c r="R473" s="19"/>
      <c r="S473" s="19"/>
      <c r="T473" s="19"/>
      <c r="U473" s="19"/>
      <c r="V473" s="19"/>
      <c r="W473" s="19"/>
      <c r="X473" s="19"/>
      <c r="Y473" s="19"/>
    </row>
    <row r="474" spans="2:25" ht="12" customHeight="1">
      <c r="B474" s="19"/>
      <c r="C474" s="19"/>
      <c r="D474" s="107"/>
      <c r="E474" s="107"/>
      <c r="F474" s="19"/>
      <c r="G474" s="19"/>
      <c r="H474" s="19"/>
      <c r="I474" s="19"/>
      <c r="J474" s="19"/>
      <c r="K474" s="19"/>
      <c r="L474" s="19"/>
      <c r="M474" s="19"/>
      <c r="N474" s="19"/>
      <c r="O474" s="19"/>
      <c r="P474" s="19"/>
      <c r="Q474" s="19"/>
      <c r="R474" s="19"/>
      <c r="S474" s="19"/>
      <c r="T474" s="19"/>
      <c r="U474" s="19"/>
      <c r="V474" s="19"/>
      <c r="W474" s="19"/>
      <c r="X474" s="19"/>
      <c r="Y474" s="19"/>
    </row>
    <row r="475" spans="2:25" ht="12" customHeight="1">
      <c r="B475" s="19"/>
      <c r="C475" s="19"/>
      <c r="D475" s="107"/>
      <c r="E475" s="107"/>
      <c r="F475" s="19"/>
      <c r="G475" s="19"/>
      <c r="H475" s="19"/>
      <c r="I475" s="19"/>
      <c r="J475" s="19"/>
      <c r="K475" s="19"/>
      <c r="L475" s="19"/>
      <c r="M475" s="19"/>
      <c r="N475" s="19"/>
      <c r="O475" s="19"/>
      <c r="P475" s="19"/>
      <c r="Q475" s="19"/>
      <c r="R475" s="19"/>
      <c r="S475" s="19"/>
      <c r="T475" s="19"/>
      <c r="U475" s="19"/>
      <c r="V475" s="19"/>
      <c r="W475" s="19"/>
      <c r="X475" s="19"/>
      <c r="Y475" s="19"/>
    </row>
    <row r="476" spans="2:25" ht="12" customHeight="1">
      <c r="B476" s="19"/>
      <c r="C476" s="19"/>
      <c r="D476" s="107"/>
      <c r="E476" s="107"/>
      <c r="F476" s="19"/>
      <c r="G476" s="19"/>
      <c r="H476" s="19"/>
      <c r="I476" s="19"/>
      <c r="J476" s="19"/>
      <c r="K476" s="19"/>
      <c r="L476" s="19"/>
      <c r="M476" s="19"/>
      <c r="N476" s="19"/>
      <c r="O476" s="19"/>
      <c r="P476" s="19"/>
      <c r="Q476" s="19"/>
      <c r="R476" s="19"/>
      <c r="S476" s="19"/>
      <c r="T476" s="19"/>
      <c r="U476" s="19"/>
      <c r="V476" s="19"/>
      <c r="W476" s="19"/>
      <c r="X476" s="19"/>
      <c r="Y476" s="19"/>
    </row>
    <row r="477" spans="2:25" ht="12" customHeight="1">
      <c r="B477" s="19"/>
      <c r="C477" s="19"/>
      <c r="D477" s="107"/>
      <c r="E477" s="107"/>
      <c r="F477" s="19"/>
      <c r="G477" s="19"/>
      <c r="H477" s="19"/>
      <c r="I477" s="19"/>
      <c r="J477" s="19"/>
      <c r="K477" s="19"/>
      <c r="L477" s="19"/>
      <c r="M477" s="19"/>
      <c r="N477" s="19"/>
      <c r="O477" s="19"/>
      <c r="P477" s="19"/>
      <c r="Q477" s="19"/>
      <c r="R477" s="19"/>
      <c r="S477" s="19"/>
      <c r="T477" s="19"/>
      <c r="U477" s="19"/>
      <c r="V477" s="19"/>
      <c r="W477" s="19"/>
      <c r="X477" s="19"/>
      <c r="Y477" s="19"/>
    </row>
    <row r="478" spans="2:25" ht="12" customHeight="1">
      <c r="B478" s="19"/>
      <c r="C478" s="19"/>
      <c r="D478" s="107"/>
      <c r="E478" s="107"/>
      <c r="F478" s="19"/>
      <c r="G478" s="19"/>
      <c r="H478" s="19"/>
      <c r="I478" s="19"/>
      <c r="J478" s="19"/>
      <c r="K478" s="19"/>
      <c r="L478" s="19"/>
      <c r="M478" s="19"/>
      <c r="N478" s="19"/>
      <c r="O478" s="19"/>
      <c r="P478" s="19"/>
      <c r="Q478" s="19"/>
      <c r="R478" s="19"/>
      <c r="S478" s="19"/>
      <c r="T478" s="19"/>
      <c r="U478" s="19"/>
      <c r="V478" s="19"/>
      <c r="W478" s="19"/>
      <c r="X478" s="19"/>
      <c r="Y478" s="19"/>
    </row>
    <row r="479" spans="2:25" ht="12" customHeight="1">
      <c r="B479" s="19"/>
      <c r="C479" s="19"/>
      <c r="D479" s="107"/>
      <c r="E479" s="107"/>
      <c r="F479" s="19"/>
      <c r="G479" s="19"/>
      <c r="H479" s="19"/>
      <c r="I479" s="19"/>
      <c r="J479" s="19"/>
      <c r="K479" s="19"/>
      <c r="L479" s="19"/>
      <c r="M479" s="19"/>
      <c r="N479" s="19"/>
      <c r="O479" s="19"/>
      <c r="P479" s="19"/>
      <c r="Q479" s="19"/>
      <c r="R479" s="19"/>
      <c r="S479" s="19"/>
      <c r="T479" s="19"/>
      <c r="U479" s="19"/>
      <c r="V479" s="19"/>
      <c r="W479" s="19"/>
      <c r="X479" s="19"/>
      <c r="Y479" s="19"/>
    </row>
    <row r="480" spans="2:25" ht="12" customHeight="1">
      <c r="B480" s="19"/>
      <c r="C480" s="19"/>
      <c r="D480" s="107"/>
      <c r="E480" s="107"/>
      <c r="F480" s="19"/>
      <c r="G480" s="19"/>
      <c r="H480" s="19"/>
      <c r="I480" s="19"/>
      <c r="J480" s="19"/>
      <c r="K480" s="19"/>
      <c r="L480" s="19"/>
      <c r="M480" s="19"/>
      <c r="N480" s="19"/>
      <c r="O480" s="19"/>
      <c r="P480" s="19"/>
      <c r="Q480" s="19"/>
      <c r="R480" s="19"/>
      <c r="S480" s="19"/>
      <c r="T480" s="19"/>
      <c r="U480" s="19"/>
      <c r="V480" s="19"/>
      <c r="W480" s="19"/>
      <c r="X480" s="19"/>
      <c r="Y480" s="19"/>
    </row>
    <row r="481" spans="2:25" ht="12" customHeight="1">
      <c r="B481" s="19"/>
      <c r="C481" s="19"/>
      <c r="D481" s="107"/>
      <c r="E481" s="107"/>
      <c r="F481" s="19"/>
      <c r="G481" s="19"/>
      <c r="H481" s="19"/>
      <c r="I481" s="19"/>
      <c r="J481" s="19"/>
      <c r="K481" s="19"/>
      <c r="L481" s="19"/>
      <c r="M481" s="19"/>
      <c r="N481" s="19"/>
      <c r="O481" s="19"/>
      <c r="P481" s="19"/>
      <c r="Q481" s="19"/>
      <c r="R481" s="19"/>
      <c r="S481" s="19"/>
      <c r="T481" s="19"/>
      <c r="U481" s="19"/>
      <c r="V481" s="19"/>
      <c r="W481" s="19"/>
      <c r="X481" s="19"/>
      <c r="Y481" s="19"/>
    </row>
    <row r="482" spans="2:25" ht="12" customHeight="1">
      <c r="B482" s="19"/>
      <c r="C482" s="19"/>
      <c r="D482" s="107"/>
      <c r="E482" s="107"/>
      <c r="F482" s="19"/>
      <c r="G482" s="19"/>
      <c r="H482" s="19"/>
      <c r="I482" s="19"/>
      <c r="J482" s="19"/>
      <c r="K482" s="19"/>
      <c r="L482" s="19"/>
      <c r="M482" s="19"/>
      <c r="N482" s="19"/>
      <c r="O482" s="19"/>
      <c r="P482" s="19"/>
      <c r="Q482" s="19"/>
      <c r="R482" s="19"/>
      <c r="S482" s="19"/>
      <c r="T482" s="19"/>
      <c r="U482" s="19"/>
      <c r="V482" s="19"/>
      <c r="W482" s="19"/>
      <c r="X482" s="19"/>
      <c r="Y482" s="19"/>
    </row>
    <row r="483" spans="2:25" ht="12" customHeight="1">
      <c r="B483" s="19"/>
      <c r="C483" s="19"/>
      <c r="D483" s="107"/>
      <c r="E483" s="107"/>
      <c r="F483" s="19"/>
      <c r="G483" s="19"/>
      <c r="H483" s="19"/>
      <c r="I483" s="19"/>
      <c r="J483" s="19"/>
      <c r="K483" s="19"/>
      <c r="L483" s="19"/>
      <c r="M483" s="19"/>
      <c r="N483" s="19"/>
      <c r="O483" s="19"/>
      <c r="P483" s="19"/>
      <c r="Q483" s="19"/>
      <c r="R483" s="19"/>
      <c r="S483" s="19"/>
      <c r="T483" s="19"/>
      <c r="U483" s="19"/>
      <c r="V483" s="19"/>
      <c r="W483" s="19"/>
      <c r="X483" s="19"/>
      <c r="Y483" s="19"/>
    </row>
    <row r="484" spans="2:25" ht="12" customHeight="1">
      <c r="B484" s="19"/>
      <c r="C484" s="19"/>
      <c r="D484" s="107"/>
      <c r="E484" s="107"/>
      <c r="F484" s="19"/>
      <c r="G484" s="19"/>
      <c r="H484" s="19"/>
      <c r="I484" s="19"/>
      <c r="J484" s="19"/>
      <c r="K484" s="19"/>
      <c r="L484" s="19"/>
      <c r="M484" s="19"/>
      <c r="N484" s="19"/>
      <c r="O484" s="19"/>
      <c r="P484" s="19"/>
      <c r="Q484" s="19"/>
      <c r="R484" s="19"/>
      <c r="S484" s="19"/>
      <c r="T484" s="19"/>
      <c r="U484" s="19"/>
      <c r="V484" s="19"/>
      <c r="W484" s="19"/>
      <c r="X484" s="19"/>
      <c r="Y484" s="19"/>
    </row>
    <row r="485" spans="2:25" ht="12" customHeight="1">
      <c r="B485" s="19"/>
      <c r="C485" s="19"/>
      <c r="D485" s="107"/>
      <c r="E485" s="107"/>
      <c r="F485" s="19"/>
      <c r="G485" s="19"/>
      <c r="H485" s="19"/>
      <c r="I485" s="19"/>
      <c r="J485" s="19"/>
      <c r="K485" s="19"/>
      <c r="L485" s="19"/>
      <c r="M485" s="19"/>
      <c r="N485" s="19"/>
      <c r="O485" s="19"/>
      <c r="P485" s="19"/>
      <c r="Q485" s="19"/>
      <c r="R485" s="19"/>
      <c r="S485" s="19"/>
      <c r="T485" s="19"/>
      <c r="U485" s="19"/>
      <c r="V485" s="19"/>
      <c r="W485" s="19"/>
      <c r="X485" s="19"/>
      <c r="Y485" s="19"/>
    </row>
    <row r="486" spans="2:25" ht="12" customHeight="1">
      <c r="B486" s="19"/>
      <c r="C486" s="19"/>
      <c r="D486" s="107"/>
      <c r="E486" s="107"/>
      <c r="F486" s="19"/>
      <c r="G486" s="19"/>
      <c r="H486" s="19"/>
      <c r="I486" s="19"/>
      <c r="J486" s="19"/>
      <c r="K486" s="19"/>
      <c r="L486" s="19"/>
      <c r="M486" s="19"/>
      <c r="N486" s="19"/>
      <c r="O486" s="19"/>
      <c r="P486" s="19"/>
      <c r="Q486" s="19"/>
      <c r="R486" s="19"/>
      <c r="S486" s="19"/>
      <c r="T486" s="19"/>
      <c r="U486" s="19"/>
      <c r="V486" s="19"/>
      <c r="W486" s="19"/>
      <c r="X486" s="19"/>
      <c r="Y486" s="19"/>
    </row>
    <row r="487" spans="2:25" ht="12" customHeight="1">
      <c r="B487" s="19"/>
      <c r="C487" s="19"/>
      <c r="D487" s="107"/>
      <c r="E487" s="107"/>
      <c r="F487" s="19"/>
      <c r="G487" s="19"/>
      <c r="H487" s="19"/>
      <c r="I487" s="19"/>
      <c r="J487" s="19"/>
      <c r="K487" s="19"/>
      <c r="L487" s="19"/>
      <c r="M487" s="19"/>
      <c r="N487" s="19"/>
      <c r="O487" s="19"/>
      <c r="P487" s="19"/>
      <c r="Q487" s="19"/>
      <c r="R487" s="19"/>
      <c r="S487" s="19"/>
      <c r="T487" s="19"/>
      <c r="U487" s="19"/>
      <c r="V487" s="19"/>
      <c r="W487" s="19"/>
      <c r="X487" s="19"/>
      <c r="Y487" s="19"/>
    </row>
    <row r="488" spans="2:25" ht="12" customHeight="1">
      <c r="B488" s="19"/>
      <c r="C488" s="19"/>
      <c r="D488" s="107"/>
      <c r="E488" s="107"/>
      <c r="F488" s="19"/>
      <c r="G488" s="19"/>
      <c r="H488" s="19"/>
      <c r="I488" s="19"/>
      <c r="J488" s="19"/>
      <c r="K488" s="19"/>
      <c r="L488" s="19"/>
      <c r="M488" s="19"/>
      <c r="N488" s="19"/>
      <c r="O488" s="19"/>
      <c r="P488" s="19"/>
      <c r="Q488" s="19"/>
      <c r="R488" s="19"/>
      <c r="S488" s="19"/>
      <c r="T488" s="19"/>
      <c r="U488" s="19"/>
      <c r="V488" s="19"/>
      <c r="W488" s="19"/>
      <c r="X488" s="19"/>
      <c r="Y488" s="19"/>
    </row>
    <row r="489" spans="2:25" ht="12" customHeight="1">
      <c r="B489" s="19"/>
      <c r="C489" s="19"/>
      <c r="D489" s="107"/>
      <c r="E489" s="107"/>
      <c r="F489" s="19"/>
      <c r="G489" s="19"/>
      <c r="H489" s="19"/>
      <c r="I489" s="19"/>
      <c r="J489" s="19"/>
      <c r="K489" s="19"/>
      <c r="L489" s="19"/>
      <c r="M489" s="19"/>
      <c r="N489" s="19"/>
      <c r="O489" s="19"/>
      <c r="P489" s="19"/>
      <c r="Q489" s="19"/>
      <c r="R489" s="19"/>
      <c r="S489" s="19"/>
      <c r="T489" s="19"/>
      <c r="U489" s="19"/>
      <c r="V489" s="19"/>
      <c r="W489" s="19"/>
      <c r="X489" s="19"/>
      <c r="Y489" s="19"/>
    </row>
    <row r="490" spans="2:25" ht="12" customHeight="1">
      <c r="B490" s="19"/>
      <c r="C490" s="19"/>
      <c r="D490" s="107"/>
      <c r="E490" s="107"/>
      <c r="F490" s="19"/>
      <c r="G490" s="19"/>
      <c r="H490" s="19"/>
      <c r="I490" s="19"/>
      <c r="J490" s="19"/>
      <c r="K490" s="19"/>
      <c r="L490" s="19"/>
      <c r="M490" s="19"/>
      <c r="N490" s="19"/>
      <c r="O490" s="19"/>
      <c r="P490" s="19"/>
      <c r="Q490" s="19"/>
      <c r="R490" s="19"/>
      <c r="S490" s="19"/>
      <c r="T490" s="19"/>
      <c r="U490" s="19"/>
      <c r="V490" s="19"/>
      <c r="W490" s="19"/>
      <c r="X490" s="19"/>
      <c r="Y490" s="19"/>
    </row>
    <row r="491" spans="2:25" ht="12" customHeight="1">
      <c r="B491" s="19"/>
      <c r="C491" s="19"/>
      <c r="D491" s="107"/>
      <c r="E491" s="107"/>
      <c r="F491" s="19"/>
      <c r="G491" s="19"/>
      <c r="H491" s="19"/>
      <c r="I491" s="19"/>
      <c r="J491" s="19"/>
      <c r="K491" s="19"/>
      <c r="L491" s="19"/>
      <c r="M491" s="19"/>
      <c r="N491" s="19"/>
      <c r="O491" s="19"/>
      <c r="P491" s="19"/>
      <c r="Q491" s="19"/>
      <c r="R491" s="19"/>
      <c r="S491" s="19"/>
      <c r="T491" s="19"/>
      <c r="U491" s="19"/>
      <c r="V491" s="19"/>
      <c r="W491" s="19"/>
      <c r="X491" s="19"/>
      <c r="Y491" s="19"/>
    </row>
    <row r="492" spans="2:25" ht="12" customHeight="1">
      <c r="B492" s="19"/>
      <c r="C492" s="19"/>
      <c r="D492" s="107"/>
      <c r="E492" s="107"/>
      <c r="F492" s="19"/>
      <c r="G492" s="19"/>
      <c r="H492" s="19"/>
      <c r="I492" s="19"/>
      <c r="J492" s="19"/>
      <c r="K492" s="19"/>
      <c r="L492" s="19"/>
      <c r="M492" s="19"/>
      <c r="N492" s="19"/>
      <c r="O492" s="19"/>
      <c r="P492" s="19"/>
      <c r="Q492" s="19"/>
      <c r="R492" s="19"/>
      <c r="S492" s="19"/>
      <c r="T492" s="19"/>
      <c r="U492" s="19"/>
      <c r="V492" s="19"/>
      <c r="W492" s="19"/>
      <c r="X492" s="19"/>
      <c r="Y492" s="19"/>
    </row>
    <row r="493" spans="2:25" ht="12" customHeight="1">
      <c r="B493" s="19"/>
      <c r="C493" s="19"/>
      <c r="D493" s="107"/>
      <c r="E493" s="107"/>
      <c r="F493" s="19"/>
      <c r="G493" s="19"/>
      <c r="H493" s="19"/>
      <c r="I493" s="19"/>
      <c r="J493" s="19"/>
      <c r="K493" s="19"/>
      <c r="L493" s="19"/>
      <c r="M493" s="19"/>
      <c r="N493" s="19"/>
      <c r="O493" s="19"/>
      <c r="P493" s="19"/>
      <c r="Q493" s="19"/>
      <c r="R493" s="19"/>
      <c r="S493" s="19"/>
      <c r="T493" s="19"/>
      <c r="U493" s="19"/>
      <c r="V493" s="19"/>
      <c r="W493" s="19"/>
      <c r="X493" s="19"/>
      <c r="Y493" s="19"/>
    </row>
    <row r="494" spans="2:25" ht="12" customHeight="1">
      <c r="B494" s="19"/>
      <c r="C494" s="19"/>
      <c r="D494" s="107"/>
      <c r="E494" s="107"/>
      <c r="F494" s="19"/>
      <c r="G494" s="19"/>
      <c r="H494" s="19"/>
      <c r="I494" s="19"/>
      <c r="J494" s="19"/>
      <c r="K494" s="19"/>
      <c r="L494" s="19"/>
      <c r="M494" s="19"/>
      <c r="N494" s="19"/>
      <c r="O494" s="19"/>
      <c r="P494" s="19"/>
      <c r="Q494" s="19"/>
      <c r="R494" s="19"/>
      <c r="S494" s="19"/>
      <c r="T494" s="19"/>
      <c r="U494" s="19"/>
      <c r="V494" s="19"/>
      <c r="W494" s="19"/>
      <c r="X494" s="19"/>
      <c r="Y494" s="19"/>
    </row>
    <row r="495" spans="2:25" ht="12" customHeight="1">
      <c r="B495" s="19"/>
      <c r="C495" s="19"/>
      <c r="D495" s="107"/>
      <c r="E495" s="107"/>
      <c r="F495" s="19"/>
      <c r="G495" s="19"/>
      <c r="H495" s="19"/>
      <c r="I495" s="19"/>
      <c r="J495" s="19"/>
      <c r="K495" s="19"/>
      <c r="L495" s="19"/>
      <c r="M495" s="19"/>
      <c r="N495" s="19"/>
      <c r="O495" s="19"/>
      <c r="P495" s="19"/>
      <c r="Q495" s="19"/>
      <c r="R495" s="19"/>
      <c r="S495" s="19"/>
      <c r="T495" s="19"/>
      <c r="U495" s="19"/>
      <c r="V495" s="19"/>
      <c r="W495" s="19"/>
      <c r="X495" s="19"/>
      <c r="Y495" s="19"/>
    </row>
    <row r="496" spans="2:25" ht="12" customHeight="1">
      <c r="B496" s="19"/>
      <c r="C496" s="19"/>
      <c r="D496" s="107"/>
      <c r="E496" s="107"/>
      <c r="F496" s="19"/>
      <c r="G496" s="19"/>
      <c r="H496" s="19"/>
      <c r="I496" s="19"/>
      <c r="J496" s="19"/>
      <c r="K496" s="19"/>
      <c r="L496" s="19"/>
      <c r="M496" s="19"/>
      <c r="N496" s="19"/>
      <c r="O496" s="19"/>
      <c r="P496" s="19"/>
      <c r="Q496" s="19"/>
      <c r="R496" s="19"/>
      <c r="S496" s="19"/>
      <c r="T496" s="19"/>
      <c r="U496" s="19"/>
      <c r="V496" s="19"/>
      <c r="W496" s="19"/>
      <c r="X496" s="19"/>
      <c r="Y496" s="19"/>
    </row>
    <row r="497" spans="2:25" ht="12" customHeight="1">
      <c r="B497" s="19"/>
      <c r="C497" s="19"/>
      <c r="D497" s="107"/>
      <c r="E497" s="107"/>
      <c r="F497" s="19"/>
      <c r="G497" s="19"/>
      <c r="H497" s="19"/>
      <c r="I497" s="19"/>
      <c r="J497" s="19"/>
      <c r="K497" s="19"/>
      <c r="L497" s="19"/>
      <c r="M497" s="19"/>
      <c r="N497" s="19"/>
      <c r="O497" s="19"/>
      <c r="P497" s="19"/>
      <c r="Q497" s="19"/>
      <c r="R497" s="19"/>
      <c r="S497" s="19"/>
      <c r="T497" s="19"/>
      <c r="U497" s="19"/>
      <c r="V497" s="19"/>
      <c r="W497" s="19"/>
      <c r="X497" s="19"/>
      <c r="Y497" s="19"/>
    </row>
    <row r="498" spans="2:25" ht="12" customHeight="1">
      <c r="B498" s="19"/>
      <c r="C498" s="19"/>
      <c r="D498" s="107"/>
      <c r="E498" s="107"/>
      <c r="F498" s="19"/>
      <c r="G498" s="19"/>
      <c r="H498" s="19"/>
      <c r="I498" s="19"/>
      <c r="J498" s="19"/>
      <c r="K498" s="19"/>
      <c r="L498" s="19"/>
      <c r="M498" s="19"/>
      <c r="N498" s="19"/>
      <c r="O498" s="19"/>
      <c r="P498" s="19"/>
      <c r="Q498" s="19"/>
      <c r="R498" s="19"/>
      <c r="S498" s="19"/>
      <c r="T498" s="19"/>
      <c r="U498" s="19"/>
      <c r="V498" s="19"/>
      <c r="W498" s="19"/>
      <c r="X498" s="19"/>
      <c r="Y498" s="19"/>
    </row>
    <row r="499" spans="2:25" ht="12" customHeight="1">
      <c r="B499" s="19"/>
      <c r="C499" s="19"/>
      <c r="D499" s="107"/>
      <c r="E499" s="107"/>
      <c r="F499" s="19"/>
      <c r="G499" s="19"/>
      <c r="H499" s="19"/>
      <c r="I499" s="19"/>
      <c r="J499" s="19"/>
      <c r="K499" s="19"/>
      <c r="L499" s="19"/>
      <c r="M499" s="19"/>
      <c r="N499" s="19"/>
      <c r="O499" s="19"/>
      <c r="P499" s="19"/>
      <c r="Q499" s="19"/>
      <c r="R499" s="19"/>
      <c r="S499" s="19"/>
      <c r="T499" s="19"/>
      <c r="U499" s="19"/>
      <c r="V499" s="19"/>
      <c r="W499" s="19"/>
      <c r="X499" s="19"/>
      <c r="Y499" s="19"/>
    </row>
    <row r="500" spans="2:25" ht="12" customHeight="1">
      <c r="B500" s="19"/>
      <c r="C500" s="19"/>
      <c r="D500" s="107"/>
      <c r="E500" s="107"/>
      <c r="F500" s="19"/>
      <c r="G500" s="19"/>
      <c r="H500" s="19"/>
      <c r="I500" s="19"/>
      <c r="J500" s="19"/>
      <c r="K500" s="19"/>
      <c r="L500" s="19"/>
      <c r="M500" s="19"/>
      <c r="N500" s="19"/>
      <c r="O500" s="19"/>
      <c r="P500" s="19"/>
      <c r="Q500" s="19"/>
      <c r="R500" s="19"/>
      <c r="S500" s="19"/>
      <c r="T500" s="19"/>
      <c r="U500" s="19"/>
      <c r="V500" s="19"/>
      <c r="W500" s="19"/>
      <c r="X500" s="19"/>
      <c r="Y500" s="19"/>
    </row>
    <row r="501" spans="2:25" ht="12" customHeight="1">
      <c r="B501" s="19"/>
      <c r="C501" s="19"/>
      <c r="D501" s="107"/>
      <c r="E501" s="107"/>
      <c r="F501" s="19"/>
      <c r="G501" s="19"/>
      <c r="H501" s="19"/>
      <c r="I501" s="19"/>
      <c r="J501" s="19"/>
      <c r="K501" s="19"/>
      <c r="L501" s="19"/>
      <c r="M501" s="19"/>
      <c r="N501" s="19"/>
      <c r="O501" s="19"/>
      <c r="P501" s="19"/>
      <c r="Q501" s="19"/>
      <c r="R501" s="19"/>
      <c r="S501" s="19"/>
      <c r="T501" s="19"/>
      <c r="U501" s="19"/>
      <c r="V501" s="19"/>
      <c r="W501" s="19"/>
      <c r="X501" s="19"/>
      <c r="Y501" s="19"/>
    </row>
    <row r="502" spans="2:25" ht="12" customHeight="1">
      <c r="B502" s="19"/>
      <c r="C502" s="19"/>
      <c r="D502" s="107"/>
      <c r="E502" s="107"/>
      <c r="F502" s="19"/>
      <c r="G502" s="19"/>
      <c r="H502" s="19"/>
      <c r="I502" s="19"/>
      <c r="J502" s="19"/>
      <c r="K502" s="19"/>
      <c r="L502" s="19"/>
      <c r="M502" s="19"/>
      <c r="N502" s="19"/>
      <c r="O502" s="19"/>
      <c r="P502" s="19"/>
      <c r="Q502" s="19"/>
      <c r="R502" s="19"/>
      <c r="S502" s="19"/>
      <c r="T502" s="19"/>
      <c r="U502" s="19"/>
      <c r="V502" s="19"/>
      <c r="W502" s="19"/>
      <c r="X502" s="19"/>
      <c r="Y502" s="19"/>
    </row>
    <row r="503" spans="2:25" ht="12" customHeight="1">
      <c r="B503" s="19"/>
      <c r="C503" s="19"/>
      <c r="D503" s="107"/>
      <c r="E503" s="107"/>
      <c r="F503" s="19"/>
      <c r="G503" s="19"/>
      <c r="H503" s="19"/>
      <c r="I503" s="19"/>
      <c r="J503" s="19"/>
      <c r="K503" s="19"/>
      <c r="L503" s="19"/>
      <c r="M503" s="19"/>
      <c r="N503" s="19"/>
      <c r="O503" s="19"/>
      <c r="P503" s="19"/>
      <c r="Q503" s="19"/>
      <c r="R503" s="19"/>
      <c r="S503" s="19"/>
      <c r="T503" s="19"/>
      <c r="U503" s="19"/>
      <c r="V503" s="19"/>
      <c r="W503" s="19"/>
      <c r="X503" s="19"/>
      <c r="Y503" s="19"/>
    </row>
    <row r="504" spans="2:25" ht="12" customHeight="1">
      <c r="B504" s="19"/>
      <c r="C504" s="19"/>
      <c r="D504" s="107"/>
      <c r="E504" s="107"/>
      <c r="F504" s="19"/>
      <c r="G504" s="19"/>
      <c r="H504" s="19"/>
      <c r="I504" s="19"/>
      <c r="J504" s="19"/>
      <c r="K504" s="19"/>
      <c r="L504" s="19"/>
      <c r="M504" s="19"/>
      <c r="N504" s="19"/>
      <c r="O504" s="19"/>
      <c r="P504" s="19"/>
      <c r="Q504" s="19"/>
      <c r="R504" s="19"/>
      <c r="S504" s="19"/>
      <c r="T504" s="19"/>
      <c r="U504" s="19"/>
      <c r="V504" s="19"/>
      <c r="W504" s="19"/>
      <c r="X504" s="19"/>
      <c r="Y504" s="19"/>
    </row>
    <row r="505" spans="2:25" ht="12" customHeight="1">
      <c r="B505" s="19"/>
      <c r="C505" s="19"/>
      <c r="D505" s="107"/>
      <c r="E505" s="107"/>
      <c r="F505" s="19"/>
      <c r="G505" s="19"/>
      <c r="H505" s="19"/>
      <c r="I505" s="19"/>
      <c r="J505" s="19"/>
      <c r="K505" s="19"/>
      <c r="L505" s="19"/>
      <c r="M505" s="19"/>
      <c r="N505" s="19"/>
      <c r="O505" s="19"/>
      <c r="P505" s="19"/>
      <c r="Q505" s="19"/>
      <c r="R505" s="19"/>
      <c r="S505" s="19"/>
      <c r="T505" s="19"/>
      <c r="U505" s="19"/>
      <c r="V505" s="19"/>
      <c r="W505" s="19"/>
      <c r="X505" s="19"/>
      <c r="Y505" s="19"/>
    </row>
    <row r="506" spans="2:25" ht="12" customHeight="1">
      <c r="B506" s="19"/>
      <c r="C506" s="19"/>
      <c r="D506" s="107"/>
      <c r="E506" s="107"/>
      <c r="F506" s="19"/>
      <c r="G506" s="19"/>
      <c r="H506" s="19"/>
      <c r="I506" s="19"/>
      <c r="J506" s="19"/>
      <c r="K506" s="19"/>
      <c r="L506" s="19"/>
      <c r="M506" s="19"/>
      <c r="N506" s="19"/>
      <c r="O506" s="19"/>
      <c r="P506" s="19"/>
      <c r="Q506" s="19"/>
      <c r="R506" s="19"/>
      <c r="S506" s="19"/>
      <c r="T506" s="19"/>
      <c r="U506" s="19"/>
      <c r="V506" s="19"/>
      <c r="W506" s="19"/>
      <c r="X506" s="19"/>
      <c r="Y506" s="19"/>
    </row>
    <row r="507" spans="2:25" ht="12" customHeight="1">
      <c r="B507" s="19"/>
      <c r="C507" s="19"/>
      <c r="D507" s="107"/>
      <c r="E507" s="107"/>
      <c r="F507" s="19"/>
      <c r="G507" s="19"/>
      <c r="H507" s="19"/>
      <c r="I507" s="19"/>
      <c r="J507" s="19"/>
      <c r="K507" s="19"/>
      <c r="L507" s="19"/>
      <c r="M507" s="19"/>
      <c r="N507" s="19"/>
      <c r="O507" s="19"/>
      <c r="P507" s="19"/>
      <c r="Q507" s="19"/>
      <c r="R507" s="19"/>
      <c r="S507" s="19"/>
      <c r="T507" s="19"/>
      <c r="U507" s="19"/>
      <c r="V507" s="19"/>
      <c r="W507" s="19"/>
      <c r="X507" s="19"/>
      <c r="Y507" s="19"/>
    </row>
    <row r="508" spans="2:25" ht="12" customHeight="1">
      <c r="B508" s="19"/>
      <c r="C508" s="19"/>
      <c r="D508" s="107"/>
      <c r="E508" s="107"/>
      <c r="F508" s="19"/>
      <c r="G508" s="19"/>
      <c r="H508" s="19"/>
      <c r="I508" s="19"/>
      <c r="J508" s="19"/>
      <c r="K508" s="19"/>
      <c r="L508" s="19"/>
      <c r="M508" s="19"/>
      <c r="N508" s="19"/>
      <c r="O508" s="19"/>
      <c r="P508" s="19"/>
      <c r="Q508" s="19"/>
      <c r="R508" s="19"/>
      <c r="S508" s="19"/>
      <c r="T508" s="19"/>
      <c r="U508" s="19"/>
      <c r="V508" s="19"/>
      <c r="W508" s="19"/>
      <c r="X508" s="19"/>
      <c r="Y508" s="19"/>
    </row>
    <row r="509" spans="2:25" ht="12" customHeight="1">
      <c r="B509" s="19"/>
      <c r="C509" s="19"/>
      <c r="D509" s="107"/>
      <c r="E509" s="107"/>
      <c r="F509" s="19"/>
      <c r="G509" s="19"/>
      <c r="H509" s="19"/>
      <c r="I509" s="19"/>
      <c r="J509" s="19"/>
      <c r="K509" s="19"/>
      <c r="L509" s="19"/>
      <c r="M509" s="19"/>
      <c r="N509" s="19"/>
      <c r="O509" s="19"/>
      <c r="P509" s="19"/>
      <c r="Q509" s="19"/>
      <c r="R509" s="19"/>
      <c r="S509" s="19"/>
      <c r="T509" s="19"/>
      <c r="U509" s="19"/>
      <c r="V509" s="19"/>
      <c r="W509" s="19"/>
      <c r="X509" s="19"/>
      <c r="Y509" s="19"/>
    </row>
    <row r="510" spans="2:25" ht="12" customHeight="1">
      <c r="B510" s="19"/>
      <c r="C510" s="19"/>
      <c r="D510" s="107"/>
      <c r="E510" s="107"/>
      <c r="F510" s="19"/>
      <c r="G510" s="19"/>
      <c r="H510" s="19"/>
      <c r="I510" s="19"/>
      <c r="J510" s="19"/>
      <c r="K510" s="19"/>
      <c r="L510" s="19"/>
      <c r="M510" s="19"/>
      <c r="N510" s="19"/>
      <c r="O510" s="19"/>
      <c r="P510" s="19"/>
      <c r="Q510" s="19"/>
      <c r="R510" s="19"/>
      <c r="S510" s="19"/>
      <c r="T510" s="19"/>
      <c r="U510" s="19"/>
      <c r="V510" s="19"/>
      <c r="W510" s="19"/>
      <c r="X510" s="19"/>
      <c r="Y510" s="19"/>
    </row>
    <row r="511" spans="2:25" ht="12" customHeight="1">
      <c r="B511" s="19"/>
      <c r="C511" s="19"/>
      <c r="D511" s="107"/>
      <c r="E511" s="107"/>
      <c r="F511" s="19"/>
      <c r="G511" s="19"/>
      <c r="H511" s="19"/>
      <c r="I511" s="19"/>
      <c r="J511" s="19"/>
      <c r="K511" s="19"/>
      <c r="L511" s="19"/>
      <c r="M511" s="19"/>
      <c r="N511" s="19"/>
      <c r="O511" s="19"/>
      <c r="P511" s="19"/>
      <c r="Q511" s="19"/>
      <c r="R511" s="19"/>
      <c r="S511" s="19"/>
      <c r="T511" s="19"/>
      <c r="U511" s="19"/>
      <c r="V511" s="19"/>
      <c r="W511" s="19"/>
      <c r="X511" s="19"/>
      <c r="Y511" s="19"/>
    </row>
    <row r="512" spans="2:25" ht="12" customHeight="1">
      <c r="B512" s="19"/>
      <c r="C512" s="19"/>
      <c r="D512" s="107"/>
      <c r="E512" s="107"/>
      <c r="F512" s="19"/>
      <c r="G512" s="19"/>
      <c r="H512" s="19"/>
      <c r="I512" s="19"/>
      <c r="J512" s="19"/>
      <c r="K512" s="19"/>
      <c r="L512" s="19"/>
      <c r="M512" s="19"/>
      <c r="N512" s="19"/>
      <c r="O512" s="19"/>
      <c r="P512" s="19"/>
      <c r="Q512" s="19"/>
      <c r="R512" s="19"/>
      <c r="S512" s="19"/>
      <c r="T512" s="19"/>
      <c r="U512" s="19"/>
      <c r="V512" s="19"/>
      <c r="W512" s="19"/>
      <c r="X512" s="19"/>
      <c r="Y512" s="19"/>
    </row>
    <row r="513" spans="2:25" ht="12" customHeight="1">
      <c r="B513" s="19"/>
      <c r="C513" s="19"/>
      <c r="D513" s="107"/>
      <c r="E513" s="107"/>
      <c r="F513" s="19"/>
      <c r="G513" s="19"/>
      <c r="H513" s="19"/>
      <c r="I513" s="19"/>
      <c r="J513" s="19"/>
      <c r="K513" s="19"/>
      <c r="L513" s="19"/>
      <c r="M513" s="19"/>
      <c r="N513" s="19"/>
      <c r="O513" s="19"/>
      <c r="P513" s="19"/>
      <c r="Q513" s="19"/>
      <c r="R513" s="19"/>
      <c r="S513" s="19"/>
      <c r="T513" s="19"/>
      <c r="U513" s="19"/>
      <c r="V513" s="19"/>
      <c r="W513" s="19"/>
      <c r="X513" s="19"/>
      <c r="Y513" s="19"/>
    </row>
    <row r="514" spans="2:25" ht="12" customHeight="1">
      <c r="B514" s="19"/>
      <c r="C514" s="19"/>
      <c r="D514" s="107"/>
      <c r="E514" s="107"/>
      <c r="F514" s="19"/>
      <c r="G514" s="19"/>
      <c r="H514" s="19"/>
      <c r="I514" s="19"/>
      <c r="J514" s="19"/>
      <c r="K514" s="19"/>
      <c r="L514" s="19"/>
      <c r="M514" s="19"/>
      <c r="N514" s="19"/>
      <c r="O514" s="19"/>
      <c r="P514" s="19"/>
      <c r="Q514" s="19"/>
      <c r="R514" s="19"/>
      <c r="S514" s="19"/>
      <c r="T514" s="19"/>
      <c r="U514" s="19"/>
      <c r="V514" s="19"/>
      <c r="W514" s="19"/>
      <c r="X514" s="19"/>
      <c r="Y514" s="19"/>
    </row>
    <row r="515" spans="2:25" ht="12" customHeight="1">
      <c r="B515" s="19"/>
      <c r="C515" s="19"/>
      <c r="D515" s="107"/>
      <c r="E515" s="107"/>
      <c r="F515" s="19"/>
      <c r="G515" s="19"/>
      <c r="H515" s="19"/>
      <c r="I515" s="19"/>
      <c r="J515" s="19"/>
      <c r="K515" s="19"/>
      <c r="L515" s="19"/>
      <c r="M515" s="19"/>
      <c r="N515" s="19"/>
      <c r="O515" s="19"/>
      <c r="P515" s="19"/>
      <c r="Q515" s="19"/>
      <c r="R515" s="19"/>
      <c r="S515" s="19"/>
      <c r="T515" s="19"/>
      <c r="U515" s="19"/>
      <c r="V515" s="19"/>
      <c r="W515" s="19"/>
      <c r="X515" s="19"/>
      <c r="Y515" s="19"/>
    </row>
    <row r="516" spans="2:25" ht="12" customHeight="1">
      <c r="B516" s="19"/>
      <c r="C516" s="19"/>
      <c r="D516" s="107"/>
      <c r="E516" s="107"/>
      <c r="F516" s="19"/>
      <c r="G516" s="19"/>
      <c r="H516" s="19"/>
      <c r="I516" s="19"/>
      <c r="J516" s="19"/>
      <c r="K516" s="19"/>
      <c r="L516" s="19"/>
      <c r="M516" s="19"/>
      <c r="N516" s="19"/>
      <c r="O516" s="19"/>
      <c r="P516" s="19"/>
      <c r="Q516" s="19"/>
      <c r="R516" s="19"/>
      <c r="S516" s="19"/>
      <c r="T516" s="19"/>
      <c r="U516" s="19"/>
      <c r="V516" s="19"/>
      <c r="W516" s="19"/>
      <c r="X516" s="19"/>
      <c r="Y516" s="19"/>
    </row>
    <row r="517" spans="2:25" ht="12" customHeight="1">
      <c r="B517" s="19"/>
      <c r="C517" s="19"/>
      <c r="D517" s="107"/>
      <c r="E517" s="107"/>
      <c r="F517" s="19"/>
      <c r="G517" s="19"/>
      <c r="H517" s="19"/>
      <c r="I517" s="19"/>
      <c r="J517" s="19"/>
      <c r="K517" s="19"/>
      <c r="L517" s="19"/>
      <c r="M517" s="19"/>
      <c r="N517" s="19"/>
      <c r="O517" s="19"/>
      <c r="P517" s="19"/>
      <c r="Q517" s="19"/>
      <c r="R517" s="19"/>
      <c r="S517" s="19"/>
      <c r="T517" s="19"/>
      <c r="U517" s="19"/>
      <c r="V517" s="19"/>
      <c r="W517" s="19"/>
      <c r="X517" s="19"/>
      <c r="Y517" s="19"/>
    </row>
    <row r="518" spans="2:25" ht="12" customHeight="1">
      <c r="B518" s="19"/>
      <c r="C518" s="19"/>
      <c r="D518" s="107"/>
      <c r="E518" s="107"/>
      <c r="F518" s="19"/>
      <c r="G518" s="19"/>
      <c r="H518" s="19"/>
      <c r="I518" s="19"/>
      <c r="J518" s="19"/>
      <c r="K518" s="19"/>
      <c r="L518" s="19"/>
      <c r="M518" s="19"/>
      <c r="N518" s="19"/>
      <c r="O518" s="19"/>
      <c r="P518" s="19"/>
      <c r="Q518" s="19"/>
      <c r="R518" s="19"/>
      <c r="S518" s="19"/>
      <c r="T518" s="19"/>
      <c r="U518" s="19"/>
      <c r="V518" s="19"/>
      <c r="W518" s="19"/>
      <c r="X518" s="19"/>
      <c r="Y518" s="19"/>
    </row>
    <row r="519" spans="2:25" ht="12" customHeight="1">
      <c r="B519" s="19"/>
      <c r="C519" s="19"/>
      <c r="D519" s="107"/>
      <c r="E519" s="107"/>
      <c r="F519" s="19"/>
      <c r="G519" s="19"/>
      <c r="H519" s="19"/>
      <c r="I519" s="19"/>
      <c r="J519" s="19"/>
      <c r="K519" s="19"/>
      <c r="L519" s="19"/>
      <c r="M519" s="19"/>
      <c r="N519" s="19"/>
      <c r="O519" s="19"/>
      <c r="P519" s="19"/>
      <c r="Q519" s="19"/>
      <c r="R519" s="19"/>
      <c r="S519" s="19"/>
      <c r="T519" s="19"/>
      <c r="U519" s="19"/>
      <c r="V519" s="19"/>
      <c r="W519" s="19"/>
      <c r="X519" s="19"/>
      <c r="Y519" s="19"/>
    </row>
    <row r="520" spans="2:25" ht="12" customHeight="1">
      <c r="B520" s="19"/>
      <c r="C520" s="19"/>
      <c r="D520" s="107"/>
      <c r="E520" s="107"/>
      <c r="F520" s="19"/>
      <c r="G520" s="19"/>
      <c r="H520" s="19"/>
      <c r="I520" s="19"/>
      <c r="J520" s="19"/>
      <c r="K520" s="19"/>
      <c r="L520" s="19"/>
      <c r="M520" s="19"/>
      <c r="N520" s="19"/>
      <c r="O520" s="19"/>
      <c r="P520" s="19"/>
      <c r="Q520" s="19"/>
      <c r="R520" s="19"/>
      <c r="S520" s="19"/>
      <c r="T520" s="19"/>
      <c r="U520" s="19"/>
      <c r="V520" s="19"/>
      <c r="W520" s="19"/>
      <c r="X520" s="19"/>
      <c r="Y520" s="19"/>
    </row>
    <row r="521" spans="2:25" ht="12" customHeight="1">
      <c r="B521" s="19"/>
      <c r="C521" s="19"/>
      <c r="D521" s="107"/>
      <c r="E521" s="107"/>
      <c r="F521" s="19"/>
      <c r="G521" s="19"/>
      <c r="H521" s="19"/>
      <c r="I521" s="19"/>
      <c r="J521" s="19"/>
      <c r="K521" s="19"/>
      <c r="L521" s="19"/>
      <c r="M521" s="19"/>
      <c r="N521" s="19"/>
      <c r="O521" s="19"/>
      <c r="P521" s="19"/>
      <c r="Q521" s="19"/>
      <c r="R521" s="19"/>
      <c r="S521" s="19"/>
      <c r="T521" s="19"/>
      <c r="U521" s="19"/>
      <c r="V521" s="19"/>
      <c r="W521" s="19"/>
      <c r="X521" s="19"/>
      <c r="Y521" s="19"/>
    </row>
    <row r="522" spans="2:25" ht="12" customHeight="1">
      <c r="B522" s="19"/>
      <c r="C522" s="19"/>
      <c r="D522" s="107"/>
      <c r="E522" s="107"/>
      <c r="F522" s="19"/>
      <c r="G522" s="19"/>
      <c r="H522" s="19"/>
      <c r="I522" s="19"/>
      <c r="J522" s="19"/>
      <c r="K522" s="19"/>
      <c r="L522" s="19"/>
      <c r="M522" s="19"/>
      <c r="N522" s="19"/>
      <c r="O522" s="19"/>
      <c r="P522" s="19"/>
      <c r="Q522" s="19"/>
      <c r="R522" s="19"/>
      <c r="S522" s="19"/>
      <c r="T522" s="19"/>
      <c r="U522" s="19"/>
      <c r="V522" s="19"/>
      <c r="W522" s="19"/>
      <c r="X522" s="19"/>
      <c r="Y522" s="19"/>
    </row>
    <row r="523" spans="2:25" ht="12" customHeight="1">
      <c r="B523" s="19"/>
      <c r="C523" s="19"/>
      <c r="D523" s="107"/>
      <c r="E523" s="107"/>
      <c r="F523" s="19"/>
      <c r="G523" s="19"/>
      <c r="H523" s="19"/>
      <c r="I523" s="19"/>
      <c r="J523" s="19"/>
      <c r="K523" s="19"/>
      <c r="L523" s="19"/>
      <c r="M523" s="19"/>
      <c r="N523" s="19"/>
      <c r="O523" s="19"/>
      <c r="P523" s="19"/>
      <c r="Q523" s="19"/>
      <c r="R523" s="19"/>
      <c r="S523" s="19"/>
      <c r="T523" s="19"/>
      <c r="U523" s="19"/>
      <c r="V523" s="19"/>
      <c r="W523" s="19"/>
      <c r="X523" s="19"/>
      <c r="Y523" s="19"/>
    </row>
    <row r="524" spans="2:25" ht="12" customHeight="1">
      <c r="B524" s="19"/>
      <c r="C524" s="19"/>
      <c r="D524" s="107"/>
      <c r="E524" s="107"/>
      <c r="F524" s="19"/>
      <c r="G524" s="19"/>
      <c r="H524" s="19"/>
      <c r="I524" s="19"/>
      <c r="J524" s="19"/>
      <c r="K524" s="19"/>
      <c r="L524" s="19"/>
      <c r="M524" s="19"/>
      <c r="N524" s="19"/>
      <c r="O524" s="19"/>
      <c r="P524" s="19"/>
      <c r="Q524" s="19"/>
      <c r="R524" s="19"/>
      <c r="S524" s="19"/>
      <c r="T524" s="19"/>
      <c r="U524" s="19"/>
      <c r="V524" s="19"/>
      <c r="W524" s="19"/>
      <c r="X524" s="19"/>
      <c r="Y524" s="19"/>
    </row>
    <row r="525" spans="2:25" ht="12" customHeight="1">
      <c r="B525" s="19"/>
      <c r="C525" s="19"/>
      <c r="D525" s="107"/>
      <c r="E525" s="107"/>
      <c r="F525" s="19"/>
      <c r="G525" s="19"/>
      <c r="H525" s="19"/>
      <c r="I525" s="19"/>
      <c r="J525" s="19"/>
      <c r="K525" s="19"/>
      <c r="L525" s="19"/>
      <c r="M525" s="19"/>
      <c r="N525" s="19"/>
      <c r="O525" s="19"/>
      <c r="P525" s="19"/>
      <c r="Q525" s="19"/>
      <c r="R525" s="19"/>
      <c r="S525" s="19"/>
      <c r="T525" s="19"/>
      <c r="U525" s="19"/>
      <c r="V525" s="19"/>
      <c r="W525" s="19"/>
      <c r="X525" s="19"/>
      <c r="Y525" s="19"/>
    </row>
    <row r="526" spans="2:25" ht="12" customHeight="1">
      <c r="B526" s="19"/>
      <c r="C526" s="19"/>
      <c r="D526" s="107"/>
      <c r="E526" s="107"/>
      <c r="F526" s="19"/>
      <c r="G526" s="19"/>
      <c r="H526" s="19"/>
      <c r="I526" s="19"/>
      <c r="J526" s="19"/>
      <c r="K526" s="19"/>
      <c r="L526" s="19"/>
      <c r="M526" s="19"/>
      <c r="N526" s="19"/>
      <c r="O526" s="19"/>
      <c r="P526" s="19"/>
      <c r="Q526" s="19"/>
      <c r="R526" s="19"/>
      <c r="S526" s="19"/>
      <c r="T526" s="19"/>
      <c r="U526" s="19"/>
      <c r="V526" s="19"/>
      <c r="W526" s="19"/>
      <c r="X526" s="19"/>
      <c r="Y526" s="19"/>
    </row>
    <row r="527" spans="2:25" ht="12" customHeight="1">
      <c r="B527" s="19"/>
      <c r="C527" s="19"/>
      <c r="D527" s="107"/>
      <c r="E527" s="107"/>
      <c r="F527" s="19"/>
      <c r="G527" s="19"/>
      <c r="H527" s="19"/>
      <c r="I527" s="19"/>
      <c r="J527" s="19"/>
      <c r="K527" s="19"/>
      <c r="L527" s="19"/>
      <c r="M527" s="19"/>
      <c r="N527" s="19"/>
      <c r="O527" s="19"/>
      <c r="P527" s="19"/>
      <c r="Q527" s="19"/>
      <c r="R527" s="19"/>
      <c r="S527" s="19"/>
      <c r="T527" s="19"/>
      <c r="U527" s="19"/>
      <c r="V527" s="19"/>
      <c r="W527" s="19"/>
      <c r="X527" s="19"/>
      <c r="Y527" s="19"/>
    </row>
    <row r="528" spans="2:25" ht="12" customHeight="1">
      <c r="B528" s="19"/>
      <c r="C528" s="19"/>
      <c r="D528" s="107"/>
      <c r="E528" s="107"/>
      <c r="F528" s="19"/>
      <c r="G528" s="19"/>
      <c r="H528" s="19"/>
      <c r="I528" s="19"/>
      <c r="J528" s="19"/>
      <c r="K528" s="19"/>
      <c r="L528" s="19"/>
      <c r="M528" s="19"/>
      <c r="N528" s="19"/>
      <c r="O528" s="19"/>
      <c r="P528" s="19"/>
      <c r="Q528" s="19"/>
      <c r="R528" s="19"/>
      <c r="S528" s="19"/>
      <c r="T528" s="19"/>
      <c r="U528" s="19"/>
      <c r="V528" s="19"/>
      <c r="W528" s="19"/>
      <c r="X528" s="19"/>
      <c r="Y528" s="19"/>
    </row>
    <row r="529" spans="2:25" ht="12" customHeight="1">
      <c r="B529" s="19"/>
      <c r="C529" s="19"/>
      <c r="D529" s="107"/>
      <c r="E529" s="107"/>
      <c r="F529" s="19"/>
      <c r="G529" s="19"/>
      <c r="H529" s="19"/>
      <c r="I529" s="19"/>
      <c r="J529" s="19"/>
      <c r="K529" s="19"/>
      <c r="L529" s="19"/>
      <c r="M529" s="19"/>
      <c r="N529" s="19"/>
      <c r="O529" s="19"/>
      <c r="P529" s="19"/>
      <c r="Q529" s="19"/>
      <c r="R529" s="19"/>
      <c r="S529" s="19"/>
      <c r="T529" s="19"/>
      <c r="U529" s="19"/>
      <c r="V529" s="19"/>
      <c r="W529" s="19"/>
      <c r="X529" s="19"/>
      <c r="Y529" s="19"/>
    </row>
    <row r="530" spans="2:25" ht="12" customHeight="1">
      <c r="B530" s="19"/>
      <c r="C530" s="19"/>
      <c r="D530" s="107"/>
      <c r="E530" s="107"/>
      <c r="F530" s="19"/>
      <c r="G530" s="19"/>
      <c r="H530" s="19"/>
      <c r="I530" s="19"/>
      <c r="J530" s="19"/>
      <c r="K530" s="19"/>
      <c r="L530" s="19"/>
      <c r="M530" s="19"/>
      <c r="N530" s="19"/>
      <c r="O530" s="19"/>
      <c r="P530" s="19"/>
      <c r="Q530" s="19"/>
      <c r="R530" s="19"/>
      <c r="S530" s="19"/>
      <c r="T530" s="19"/>
      <c r="U530" s="19"/>
      <c r="V530" s="19"/>
      <c r="W530" s="19"/>
      <c r="X530" s="19"/>
      <c r="Y530" s="19"/>
    </row>
    <row r="531" spans="2:25" ht="12" customHeight="1">
      <c r="B531" s="19"/>
      <c r="C531" s="19"/>
      <c r="D531" s="107"/>
      <c r="E531" s="107"/>
      <c r="F531" s="19"/>
      <c r="G531" s="19"/>
      <c r="H531" s="19"/>
      <c r="I531" s="19"/>
      <c r="J531" s="19"/>
      <c r="K531" s="19"/>
      <c r="L531" s="19"/>
      <c r="M531" s="19"/>
      <c r="N531" s="19"/>
      <c r="O531" s="19"/>
      <c r="P531" s="19"/>
      <c r="Q531" s="19"/>
      <c r="R531" s="19"/>
      <c r="S531" s="19"/>
      <c r="T531" s="19"/>
      <c r="U531" s="19"/>
      <c r="V531" s="19"/>
      <c r="W531" s="19"/>
      <c r="X531" s="19"/>
      <c r="Y531" s="19"/>
    </row>
    <row r="532" spans="2:25" ht="12" customHeight="1">
      <c r="B532" s="19"/>
      <c r="C532" s="19"/>
      <c r="D532" s="107"/>
      <c r="E532" s="107"/>
      <c r="F532" s="19"/>
      <c r="G532" s="19"/>
      <c r="H532" s="19"/>
      <c r="I532" s="19"/>
      <c r="J532" s="19"/>
      <c r="K532" s="19"/>
      <c r="L532" s="19"/>
      <c r="M532" s="19"/>
      <c r="N532" s="19"/>
      <c r="O532" s="19"/>
      <c r="P532" s="19"/>
      <c r="Q532" s="19"/>
      <c r="R532" s="19"/>
      <c r="S532" s="19"/>
      <c r="T532" s="19"/>
      <c r="U532" s="19"/>
      <c r="V532" s="19"/>
      <c r="W532" s="19"/>
      <c r="X532" s="19"/>
      <c r="Y532" s="19"/>
    </row>
    <row r="533" spans="2:25" ht="12" customHeight="1">
      <c r="B533" s="19"/>
      <c r="C533" s="19"/>
      <c r="D533" s="107"/>
      <c r="E533" s="107"/>
      <c r="F533" s="19"/>
      <c r="G533" s="19"/>
      <c r="H533" s="19"/>
      <c r="I533" s="19"/>
      <c r="J533" s="19"/>
      <c r="K533" s="19"/>
      <c r="L533" s="19"/>
      <c r="M533" s="19"/>
      <c r="N533" s="19"/>
      <c r="O533" s="19"/>
      <c r="P533" s="19"/>
      <c r="Q533" s="19"/>
      <c r="R533" s="19"/>
      <c r="S533" s="19"/>
      <c r="T533" s="19"/>
      <c r="U533" s="19"/>
      <c r="V533" s="19"/>
      <c r="W533" s="19"/>
      <c r="X533" s="19"/>
      <c r="Y533" s="19"/>
    </row>
    <row r="534" spans="2:25" ht="12" customHeight="1">
      <c r="B534" s="19"/>
      <c r="C534" s="19"/>
      <c r="D534" s="107"/>
      <c r="E534" s="107"/>
      <c r="F534" s="19"/>
      <c r="G534" s="19"/>
      <c r="H534" s="19"/>
      <c r="I534" s="19"/>
      <c r="J534" s="19"/>
      <c r="K534" s="19"/>
      <c r="L534" s="19"/>
      <c r="M534" s="19"/>
      <c r="N534" s="19"/>
      <c r="O534" s="19"/>
      <c r="P534" s="19"/>
      <c r="Q534" s="19"/>
      <c r="R534" s="19"/>
      <c r="S534" s="19"/>
      <c r="T534" s="19"/>
      <c r="U534" s="19"/>
      <c r="V534" s="19"/>
      <c r="W534" s="19"/>
      <c r="X534" s="19"/>
      <c r="Y534" s="19"/>
    </row>
    <row r="535" spans="2:25" ht="12" customHeight="1">
      <c r="B535" s="19"/>
      <c r="C535" s="19"/>
      <c r="D535" s="107"/>
      <c r="E535" s="107"/>
      <c r="F535" s="19"/>
      <c r="G535" s="19"/>
      <c r="H535" s="19"/>
      <c r="I535" s="19"/>
      <c r="J535" s="19"/>
      <c r="K535" s="19"/>
      <c r="L535" s="19"/>
      <c r="M535" s="19"/>
      <c r="N535" s="19"/>
      <c r="O535" s="19"/>
      <c r="P535" s="19"/>
      <c r="Q535" s="19"/>
      <c r="R535" s="19"/>
      <c r="S535" s="19"/>
      <c r="T535" s="19"/>
      <c r="U535" s="19"/>
      <c r="V535" s="19"/>
      <c r="W535" s="19"/>
      <c r="X535" s="19"/>
      <c r="Y535" s="19"/>
    </row>
    <row r="536" spans="2:25" ht="12" customHeight="1">
      <c r="B536" s="19"/>
      <c r="C536" s="19"/>
      <c r="D536" s="107"/>
      <c r="E536" s="107"/>
      <c r="F536" s="19"/>
      <c r="G536" s="19"/>
      <c r="H536" s="19"/>
      <c r="I536" s="19"/>
      <c r="J536" s="19"/>
      <c r="K536" s="19"/>
      <c r="L536" s="19"/>
      <c r="M536" s="19"/>
      <c r="N536" s="19"/>
      <c r="O536" s="19"/>
      <c r="P536" s="19"/>
      <c r="Q536" s="19"/>
      <c r="R536" s="19"/>
      <c r="S536" s="19"/>
      <c r="T536" s="19"/>
      <c r="U536" s="19"/>
      <c r="V536" s="19"/>
      <c r="W536" s="19"/>
      <c r="X536" s="19"/>
      <c r="Y536" s="19"/>
    </row>
    <row r="537" spans="2:25" ht="12" customHeight="1">
      <c r="B537" s="19"/>
      <c r="C537" s="19"/>
      <c r="D537" s="107"/>
      <c r="E537" s="107"/>
      <c r="F537" s="19"/>
      <c r="G537" s="19"/>
      <c r="H537" s="19"/>
      <c r="I537" s="19"/>
      <c r="J537" s="19"/>
      <c r="K537" s="19"/>
      <c r="L537" s="19"/>
      <c r="M537" s="19"/>
      <c r="N537" s="19"/>
      <c r="O537" s="19"/>
      <c r="P537" s="19"/>
      <c r="Q537" s="19"/>
      <c r="R537" s="19"/>
      <c r="S537" s="19"/>
      <c r="T537" s="19"/>
      <c r="U537" s="19"/>
      <c r="V537" s="19"/>
      <c r="W537" s="19"/>
      <c r="X537" s="19"/>
      <c r="Y537" s="19"/>
    </row>
    <row r="538" spans="2:25" ht="12" customHeight="1">
      <c r="B538" s="19"/>
      <c r="C538" s="19"/>
      <c r="D538" s="107"/>
      <c r="E538" s="107"/>
      <c r="F538" s="19"/>
      <c r="G538" s="19"/>
      <c r="H538" s="19"/>
      <c r="I538" s="19"/>
      <c r="J538" s="19"/>
      <c r="K538" s="19"/>
      <c r="L538" s="19"/>
      <c r="M538" s="19"/>
      <c r="N538" s="19"/>
      <c r="O538" s="19"/>
      <c r="P538" s="19"/>
      <c r="Q538" s="19"/>
      <c r="R538" s="19"/>
      <c r="S538" s="19"/>
      <c r="T538" s="19"/>
      <c r="U538" s="19"/>
      <c r="V538" s="19"/>
      <c r="W538" s="19"/>
      <c r="X538" s="19"/>
      <c r="Y538" s="19"/>
    </row>
    <row r="539" spans="2:25" ht="12" customHeight="1">
      <c r="B539" s="19"/>
      <c r="C539" s="19"/>
      <c r="D539" s="107"/>
      <c r="E539" s="107"/>
      <c r="F539" s="19"/>
      <c r="G539" s="19"/>
      <c r="H539" s="19"/>
      <c r="I539" s="19"/>
      <c r="J539" s="19"/>
      <c r="K539" s="19"/>
      <c r="L539" s="19"/>
      <c r="M539" s="19"/>
      <c r="N539" s="19"/>
      <c r="O539" s="19"/>
      <c r="P539" s="19"/>
      <c r="Q539" s="19"/>
      <c r="R539" s="19"/>
      <c r="S539" s="19"/>
      <c r="T539" s="19"/>
      <c r="U539" s="19"/>
      <c r="V539" s="19"/>
      <c r="W539" s="19"/>
      <c r="X539" s="19"/>
      <c r="Y539" s="19"/>
    </row>
    <row r="540" spans="2:25" ht="12" customHeight="1">
      <c r="B540" s="19"/>
      <c r="C540" s="19"/>
      <c r="D540" s="107"/>
      <c r="E540" s="107"/>
      <c r="F540" s="19"/>
      <c r="G540" s="19"/>
      <c r="H540" s="19"/>
      <c r="I540" s="19"/>
      <c r="J540" s="19"/>
      <c r="K540" s="19"/>
      <c r="L540" s="19"/>
      <c r="M540" s="19"/>
      <c r="N540" s="19"/>
      <c r="O540" s="19"/>
      <c r="P540" s="19"/>
      <c r="Q540" s="19"/>
      <c r="R540" s="19"/>
      <c r="S540" s="19"/>
      <c r="T540" s="19"/>
      <c r="U540" s="19"/>
      <c r="V540" s="19"/>
      <c r="W540" s="19"/>
      <c r="X540" s="19"/>
      <c r="Y540" s="19"/>
    </row>
    <row r="541" spans="2:25" ht="12" customHeight="1">
      <c r="B541" s="19"/>
      <c r="C541" s="19"/>
      <c r="D541" s="107"/>
      <c r="E541" s="107"/>
      <c r="F541" s="19"/>
      <c r="G541" s="19"/>
      <c r="H541" s="19"/>
      <c r="I541" s="19"/>
      <c r="J541" s="19"/>
      <c r="K541" s="19"/>
      <c r="L541" s="19"/>
      <c r="M541" s="19"/>
      <c r="N541" s="19"/>
      <c r="O541" s="19"/>
      <c r="P541" s="19"/>
      <c r="Q541" s="19"/>
      <c r="R541" s="19"/>
      <c r="S541" s="19"/>
      <c r="T541" s="19"/>
      <c r="U541" s="19"/>
      <c r="V541" s="19"/>
      <c r="W541" s="19"/>
      <c r="X541" s="19"/>
      <c r="Y541" s="19"/>
    </row>
    <row r="542" spans="2:25" ht="12" customHeight="1">
      <c r="B542" s="19"/>
      <c r="C542" s="19"/>
      <c r="D542" s="107"/>
      <c r="E542" s="107"/>
      <c r="F542" s="19"/>
      <c r="G542" s="19"/>
      <c r="H542" s="19"/>
      <c r="I542" s="19"/>
      <c r="J542" s="19"/>
      <c r="K542" s="19"/>
      <c r="L542" s="19"/>
      <c r="M542" s="19"/>
      <c r="N542" s="19"/>
      <c r="O542" s="19"/>
      <c r="P542" s="19"/>
      <c r="Q542" s="19"/>
      <c r="R542" s="19"/>
      <c r="S542" s="19"/>
      <c r="T542" s="19"/>
      <c r="U542" s="19"/>
      <c r="V542" s="19"/>
      <c r="W542" s="19"/>
      <c r="X542" s="19"/>
      <c r="Y542" s="19"/>
    </row>
    <row r="543" spans="2:25" ht="12" customHeight="1">
      <c r="B543" s="19"/>
      <c r="C543" s="19"/>
      <c r="D543" s="107"/>
      <c r="E543" s="107"/>
      <c r="F543" s="19"/>
      <c r="G543" s="19"/>
      <c r="H543" s="19"/>
      <c r="I543" s="19"/>
      <c r="J543" s="19"/>
      <c r="K543" s="19"/>
      <c r="L543" s="19"/>
      <c r="M543" s="19"/>
      <c r="N543" s="19"/>
      <c r="O543" s="19"/>
      <c r="P543" s="19"/>
      <c r="Q543" s="19"/>
      <c r="R543" s="19"/>
      <c r="S543" s="19"/>
      <c r="T543" s="19"/>
      <c r="U543" s="19"/>
      <c r="V543" s="19"/>
      <c r="W543" s="19"/>
      <c r="X543" s="19"/>
      <c r="Y543" s="19"/>
    </row>
    <row r="544" spans="2:25" ht="12" customHeight="1">
      <c r="B544" s="19"/>
      <c r="C544" s="19"/>
      <c r="D544" s="107"/>
      <c r="E544" s="107"/>
      <c r="F544" s="19"/>
      <c r="G544" s="19"/>
      <c r="H544" s="19"/>
      <c r="I544" s="19"/>
      <c r="J544" s="19"/>
      <c r="K544" s="19"/>
      <c r="L544" s="19"/>
      <c r="M544" s="19"/>
      <c r="N544" s="19"/>
      <c r="O544" s="19"/>
      <c r="P544" s="19"/>
      <c r="Q544" s="19"/>
      <c r="R544" s="19"/>
      <c r="S544" s="19"/>
      <c r="T544" s="19"/>
      <c r="U544" s="19"/>
      <c r="V544" s="19"/>
      <c r="W544" s="19"/>
      <c r="X544" s="19"/>
      <c r="Y544" s="19"/>
    </row>
    <row r="545" spans="2:25" ht="12" customHeight="1">
      <c r="B545" s="19"/>
      <c r="C545" s="19"/>
      <c r="D545" s="107"/>
      <c r="E545" s="107"/>
      <c r="F545" s="19"/>
      <c r="G545" s="19"/>
      <c r="H545" s="19"/>
      <c r="I545" s="19"/>
      <c r="J545" s="19"/>
      <c r="K545" s="19"/>
      <c r="L545" s="19"/>
      <c r="M545" s="19"/>
      <c r="N545" s="19"/>
      <c r="O545" s="19"/>
      <c r="P545" s="19"/>
      <c r="Q545" s="19"/>
      <c r="R545" s="19"/>
      <c r="S545" s="19"/>
      <c r="T545" s="19"/>
      <c r="U545" s="19"/>
      <c r="V545" s="19"/>
      <c r="W545" s="19"/>
      <c r="X545" s="19"/>
      <c r="Y545" s="19"/>
    </row>
    <row r="546" spans="2:25" ht="12" customHeight="1">
      <c r="B546" s="19"/>
      <c r="C546" s="19"/>
      <c r="D546" s="107"/>
      <c r="E546" s="107"/>
      <c r="F546" s="19"/>
      <c r="G546" s="19"/>
      <c r="H546" s="19"/>
      <c r="I546" s="19"/>
      <c r="J546" s="19"/>
      <c r="K546" s="19"/>
      <c r="L546" s="19"/>
      <c r="M546" s="19"/>
      <c r="N546" s="19"/>
      <c r="O546" s="19"/>
      <c r="P546" s="19"/>
      <c r="Q546" s="19"/>
      <c r="R546" s="19"/>
      <c r="S546" s="19"/>
      <c r="T546" s="19"/>
      <c r="U546" s="19"/>
      <c r="V546" s="19"/>
      <c r="W546" s="19"/>
      <c r="X546" s="19"/>
      <c r="Y546" s="19"/>
    </row>
    <row r="547" spans="2:25" ht="12" customHeight="1">
      <c r="B547" s="19"/>
      <c r="C547" s="19"/>
      <c r="D547" s="107"/>
      <c r="E547" s="107"/>
      <c r="F547" s="19"/>
      <c r="G547" s="19"/>
      <c r="H547" s="19"/>
      <c r="I547" s="19"/>
      <c r="J547" s="19"/>
      <c r="K547" s="19"/>
      <c r="L547" s="19"/>
      <c r="M547" s="19"/>
      <c r="N547" s="19"/>
      <c r="O547" s="19"/>
      <c r="P547" s="19"/>
      <c r="Q547" s="19"/>
      <c r="R547" s="19"/>
      <c r="S547" s="19"/>
      <c r="T547" s="19"/>
      <c r="U547" s="19"/>
      <c r="V547" s="19"/>
      <c r="W547" s="19"/>
      <c r="X547" s="19"/>
      <c r="Y547" s="19"/>
    </row>
    <row r="548" spans="2:25" ht="12" customHeight="1">
      <c r="B548" s="19"/>
      <c r="C548" s="19"/>
      <c r="D548" s="107"/>
      <c r="E548" s="107"/>
      <c r="F548" s="19"/>
      <c r="G548" s="19"/>
      <c r="H548" s="19"/>
      <c r="I548" s="19"/>
      <c r="J548" s="19"/>
      <c r="K548" s="19"/>
      <c r="L548" s="19"/>
      <c r="M548" s="19"/>
      <c r="N548" s="19"/>
      <c r="O548" s="19"/>
      <c r="P548" s="19"/>
      <c r="Q548" s="19"/>
      <c r="R548" s="19"/>
      <c r="S548" s="19"/>
      <c r="T548" s="19"/>
      <c r="U548" s="19"/>
      <c r="V548" s="19"/>
      <c r="W548" s="19"/>
      <c r="X548" s="19"/>
      <c r="Y548" s="19"/>
    </row>
    <row r="549" spans="2:25" ht="12" customHeight="1">
      <c r="B549" s="19"/>
      <c r="C549" s="19"/>
      <c r="D549" s="107"/>
      <c r="E549" s="107"/>
      <c r="F549" s="19"/>
      <c r="G549" s="19"/>
      <c r="H549" s="19"/>
      <c r="I549" s="19"/>
      <c r="J549" s="19"/>
      <c r="K549" s="19"/>
      <c r="L549" s="19"/>
      <c r="M549" s="19"/>
      <c r="N549" s="19"/>
      <c r="O549" s="19"/>
      <c r="P549" s="19"/>
      <c r="Q549" s="19"/>
      <c r="R549" s="19"/>
      <c r="S549" s="19"/>
      <c r="T549" s="19"/>
      <c r="U549" s="19"/>
      <c r="V549" s="19"/>
      <c r="W549" s="19"/>
      <c r="X549" s="19"/>
      <c r="Y549" s="19"/>
    </row>
    <row r="550" spans="2:25" ht="12" customHeight="1">
      <c r="B550" s="19"/>
      <c r="C550" s="19"/>
      <c r="D550" s="107"/>
      <c r="E550" s="107"/>
      <c r="F550" s="19"/>
      <c r="G550" s="19"/>
      <c r="H550" s="19"/>
      <c r="I550" s="19"/>
      <c r="J550" s="19"/>
      <c r="K550" s="19"/>
      <c r="L550" s="19"/>
      <c r="M550" s="19"/>
      <c r="N550" s="19"/>
      <c r="O550" s="19"/>
      <c r="P550" s="19"/>
      <c r="Q550" s="19"/>
      <c r="R550" s="19"/>
      <c r="S550" s="19"/>
      <c r="T550" s="19"/>
      <c r="U550" s="19"/>
      <c r="V550" s="19"/>
      <c r="W550" s="19"/>
      <c r="X550" s="19"/>
      <c r="Y550" s="19"/>
    </row>
    <row r="551" spans="2:25" ht="12" customHeight="1">
      <c r="B551" s="19"/>
      <c r="C551" s="19"/>
      <c r="D551" s="107"/>
      <c r="E551" s="107"/>
      <c r="F551" s="19"/>
      <c r="G551" s="19"/>
      <c r="H551" s="19"/>
      <c r="I551" s="19"/>
      <c r="J551" s="19"/>
      <c r="K551" s="19"/>
      <c r="L551" s="19"/>
      <c r="M551" s="19"/>
      <c r="N551" s="19"/>
      <c r="O551" s="19"/>
      <c r="P551" s="19"/>
      <c r="Q551" s="19"/>
      <c r="R551" s="19"/>
      <c r="S551" s="19"/>
      <c r="T551" s="19"/>
      <c r="U551" s="19"/>
      <c r="V551" s="19"/>
      <c r="W551" s="19"/>
      <c r="X551" s="19"/>
      <c r="Y551" s="19"/>
    </row>
    <row r="552" spans="2:25" ht="12" customHeight="1">
      <c r="B552" s="19"/>
      <c r="C552" s="19"/>
      <c r="D552" s="107"/>
      <c r="E552" s="107"/>
      <c r="F552" s="19"/>
      <c r="G552" s="19"/>
      <c r="H552" s="19"/>
      <c r="I552" s="19"/>
      <c r="J552" s="19"/>
      <c r="K552" s="19"/>
      <c r="L552" s="19"/>
      <c r="M552" s="19"/>
      <c r="N552" s="19"/>
      <c r="O552" s="19"/>
      <c r="P552" s="19"/>
      <c r="Q552" s="19"/>
      <c r="R552" s="19"/>
      <c r="S552" s="19"/>
      <c r="T552" s="19"/>
      <c r="U552" s="19"/>
      <c r="V552" s="19"/>
      <c r="W552" s="19"/>
      <c r="X552" s="19"/>
      <c r="Y552" s="19"/>
    </row>
    <row r="553" spans="2:25" ht="12" customHeight="1">
      <c r="B553" s="19"/>
      <c r="C553" s="19"/>
      <c r="D553" s="107"/>
      <c r="E553" s="107"/>
      <c r="F553" s="19"/>
      <c r="G553" s="19"/>
      <c r="H553" s="19"/>
      <c r="I553" s="19"/>
      <c r="J553" s="19"/>
      <c r="K553" s="19"/>
      <c r="L553" s="19"/>
      <c r="M553" s="19"/>
      <c r="N553" s="19"/>
      <c r="O553" s="19"/>
      <c r="P553" s="19"/>
      <c r="Q553" s="19"/>
      <c r="R553" s="19"/>
      <c r="S553" s="19"/>
      <c r="T553" s="19"/>
      <c r="U553" s="19"/>
      <c r="V553" s="19"/>
      <c r="W553" s="19"/>
      <c r="X553" s="19"/>
      <c r="Y553" s="19"/>
    </row>
    <row r="554" spans="2:25" ht="12" customHeight="1">
      <c r="B554" s="19"/>
      <c r="C554" s="19"/>
      <c r="D554" s="107"/>
      <c r="E554" s="107"/>
      <c r="F554" s="19"/>
      <c r="G554" s="19"/>
      <c r="H554" s="19"/>
      <c r="I554" s="19"/>
      <c r="J554" s="19"/>
      <c r="K554" s="19"/>
      <c r="L554" s="19"/>
      <c r="M554" s="19"/>
      <c r="N554" s="19"/>
      <c r="O554" s="19"/>
      <c r="P554" s="19"/>
      <c r="Q554" s="19"/>
      <c r="R554" s="19"/>
      <c r="S554" s="19"/>
      <c r="T554" s="19"/>
      <c r="U554" s="19"/>
      <c r="V554" s="19"/>
      <c r="W554" s="19"/>
      <c r="X554" s="19"/>
      <c r="Y554" s="19"/>
    </row>
    <row r="555" spans="2:25" ht="12" customHeight="1">
      <c r="B555" s="19"/>
      <c r="C555" s="19"/>
      <c r="D555" s="107"/>
      <c r="E555" s="107"/>
      <c r="F555" s="19"/>
      <c r="G555" s="19"/>
      <c r="H555" s="19"/>
      <c r="I555" s="19"/>
      <c r="J555" s="19"/>
      <c r="K555" s="19"/>
      <c r="L555" s="19"/>
      <c r="M555" s="19"/>
      <c r="N555" s="19"/>
      <c r="O555" s="19"/>
      <c r="P555" s="19"/>
      <c r="Q555" s="19"/>
      <c r="R555" s="19"/>
      <c r="S555" s="19"/>
      <c r="T555" s="19"/>
      <c r="U555" s="19"/>
      <c r="V555" s="19"/>
      <c r="W555" s="19"/>
      <c r="X555" s="19"/>
      <c r="Y555" s="19"/>
    </row>
    <row r="556" spans="2:25" ht="12" customHeight="1">
      <c r="B556" s="19"/>
      <c r="C556" s="19"/>
      <c r="D556" s="107"/>
      <c r="E556" s="107"/>
      <c r="F556" s="19"/>
      <c r="G556" s="19"/>
      <c r="H556" s="19"/>
      <c r="I556" s="19"/>
      <c r="J556" s="19"/>
      <c r="K556" s="19"/>
      <c r="L556" s="19"/>
      <c r="M556" s="19"/>
      <c r="N556" s="19"/>
      <c r="O556" s="19"/>
      <c r="P556" s="19"/>
      <c r="Q556" s="19"/>
      <c r="R556" s="19"/>
      <c r="S556" s="19"/>
      <c r="T556" s="19"/>
      <c r="U556" s="19"/>
      <c r="V556" s="19"/>
      <c r="W556" s="19"/>
      <c r="X556" s="19"/>
      <c r="Y556" s="19"/>
    </row>
    <row r="557" spans="2:25" ht="12" customHeight="1">
      <c r="B557" s="19"/>
      <c r="C557" s="19"/>
      <c r="D557" s="107"/>
      <c r="E557" s="107"/>
      <c r="F557" s="19"/>
      <c r="G557" s="19"/>
      <c r="H557" s="19"/>
      <c r="I557" s="19"/>
      <c r="J557" s="19"/>
      <c r="K557" s="19"/>
      <c r="L557" s="19"/>
      <c r="M557" s="19"/>
      <c r="N557" s="19"/>
      <c r="O557" s="19"/>
      <c r="P557" s="19"/>
      <c r="Q557" s="19"/>
      <c r="R557" s="19"/>
      <c r="S557" s="19"/>
      <c r="T557" s="19"/>
      <c r="U557" s="19"/>
      <c r="V557" s="19"/>
      <c r="W557" s="19"/>
      <c r="X557" s="19"/>
      <c r="Y557" s="19"/>
    </row>
    <row r="558" spans="2:25" ht="12" customHeight="1">
      <c r="B558" s="19"/>
      <c r="C558" s="19"/>
      <c r="D558" s="107"/>
      <c r="E558" s="107"/>
      <c r="F558" s="19"/>
      <c r="G558" s="19"/>
      <c r="H558" s="19"/>
      <c r="I558" s="19"/>
      <c r="J558" s="19"/>
      <c r="K558" s="19"/>
      <c r="L558" s="19"/>
      <c r="M558" s="19"/>
      <c r="N558" s="19"/>
      <c r="O558" s="19"/>
      <c r="P558" s="19"/>
      <c r="Q558" s="19"/>
      <c r="R558" s="19"/>
      <c r="S558" s="19"/>
      <c r="T558" s="19"/>
      <c r="U558" s="19"/>
      <c r="V558" s="19"/>
      <c r="W558" s="19"/>
      <c r="X558" s="19"/>
      <c r="Y558" s="19"/>
    </row>
    <row r="559" spans="2:25" ht="12" customHeight="1">
      <c r="B559" s="19"/>
      <c r="C559" s="19"/>
      <c r="D559" s="107"/>
      <c r="E559" s="107"/>
      <c r="F559" s="19"/>
      <c r="G559" s="19"/>
      <c r="H559" s="19"/>
      <c r="I559" s="19"/>
      <c r="J559" s="19"/>
      <c r="K559" s="19"/>
      <c r="L559" s="19"/>
      <c r="M559" s="19"/>
      <c r="N559" s="19"/>
      <c r="O559" s="19"/>
      <c r="P559" s="19"/>
      <c r="Q559" s="19"/>
      <c r="R559" s="19"/>
      <c r="S559" s="19"/>
      <c r="T559" s="19"/>
      <c r="U559" s="19"/>
      <c r="V559" s="19"/>
      <c r="W559" s="19"/>
      <c r="X559" s="19"/>
      <c r="Y559" s="19"/>
    </row>
    <row r="560" spans="2:25" ht="12" customHeight="1">
      <c r="B560" s="19"/>
      <c r="C560" s="19"/>
      <c r="D560" s="107"/>
      <c r="E560" s="107"/>
      <c r="F560" s="19"/>
      <c r="G560" s="19"/>
      <c r="H560" s="19"/>
      <c r="I560" s="19"/>
      <c r="J560" s="19"/>
      <c r="K560" s="19"/>
      <c r="L560" s="19"/>
      <c r="M560" s="19"/>
      <c r="N560" s="19"/>
      <c r="O560" s="19"/>
      <c r="P560" s="19"/>
      <c r="Q560" s="19"/>
      <c r="R560" s="19"/>
      <c r="S560" s="19"/>
      <c r="T560" s="19"/>
      <c r="U560" s="19"/>
      <c r="V560" s="19"/>
      <c r="W560" s="19"/>
      <c r="X560" s="19"/>
      <c r="Y560" s="19"/>
    </row>
    <row r="561" spans="2:25" ht="12" customHeight="1">
      <c r="B561" s="19"/>
      <c r="C561" s="19"/>
      <c r="D561" s="107"/>
      <c r="E561" s="107"/>
      <c r="F561" s="19"/>
      <c r="G561" s="19"/>
      <c r="H561" s="19"/>
      <c r="I561" s="19"/>
      <c r="J561" s="19"/>
      <c r="K561" s="19"/>
      <c r="L561" s="19"/>
      <c r="M561" s="19"/>
      <c r="N561" s="19"/>
      <c r="O561" s="19"/>
      <c r="P561" s="19"/>
      <c r="Q561" s="19"/>
      <c r="R561" s="19"/>
      <c r="S561" s="19"/>
      <c r="T561" s="19"/>
      <c r="U561" s="19"/>
      <c r="V561" s="19"/>
      <c r="W561" s="19"/>
      <c r="X561" s="19"/>
      <c r="Y561" s="19"/>
    </row>
    <row r="562" spans="2:25" ht="12" customHeight="1">
      <c r="B562" s="19"/>
      <c r="C562" s="19"/>
      <c r="D562" s="107"/>
      <c r="E562" s="107"/>
      <c r="F562" s="19"/>
      <c r="G562" s="19"/>
      <c r="H562" s="19"/>
      <c r="I562" s="19"/>
      <c r="J562" s="19"/>
      <c r="K562" s="19"/>
      <c r="L562" s="19"/>
      <c r="M562" s="19"/>
      <c r="N562" s="19"/>
      <c r="O562" s="19"/>
      <c r="P562" s="19"/>
      <c r="Q562" s="19"/>
      <c r="R562" s="19"/>
      <c r="S562" s="19"/>
      <c r="T562" s="19"/>
      <c r="U562" s="19"/>
      <c r="V562" s="19"/>
      <c r="W562" s="19"/>
      <c r="X562" s="19"/>
      <c r="Y562" s="19"/>
    </row>
    <row r="563" spans="2:25" ht="12" customHeight="1">
      <c r="B563" s="19"/>
      <c r="C563" s="19"/>
      <c r="D563" s="107"/>
      <c r="E563" s="107"/>
      <c r="F563" s="19"/>
      <c r="G563" s="19"/>
      <c r="H563" s="19"/>
      <c r="I563" s="19"/>
      <c r="J563" s="19"/>
      <c r="K563" s="19"/>
      <c r="L563" s="19"/>
      <c r="M563" s="19"/>
      <c r="N563" s="19"/>
      <c r="O563" s="19"/>
      <c r="P563" s="19"/>
      <c r="Q563" s="19"/>
      <c r="R563" s="19"/>
      <c r="S563" s="19"/>
      <c r="T563" s="19"/>
      <c r="U563" s="19"/>
      <c r="V563" s="19"/>
      <c r="W563" s="19"/>
      <c r="X563" s="19"/>
      <c r="Y563" s="19"/>
    </row>
    <row r="564" spans="2:25" ht="12" customHeight="1">
      <c r="B564" s="19"/>
      <c r="C564" s="19"/>
      <c r="D564" s="107"/>
      <c r="E564" s="107"/>
      <c r="F564" s="19"/>
      <c r="G564" s="19"/>
      <c r="H564" s="19"/>
      <c r="I564" s="19"/>
      <c r="J564" s="19"/>
      <c r="K564" s="19"/>
      <c r="L564" s="19"/>
      <c r="M564" s="19"/>
      <c r="N564" s="19"/>
      <c r="O564" s="19"/>
      <c r="P564" s="19"/>
      <c r="Q564" s="19"/>
      <c r="R564" s="19"/>
      <c r="S564" s="19"/>
      <c r="T564" s="19"/>
      <c r="U564" s="19"/>
      <c r="V564" s="19"/>
      <c r="W564" s="19"/>
      <c r="X564" s="19"/>
      <c r="Y564" s="19"/>
    </row>
    <row r="565" spans="2:25" ht="12" customHeight="1">
      <c r="B565" s="19"/>
      <c r="C565" s="19"/>
      <c r="D565" s="107"/>
      <c r="E565" s="107"/>
      <c r="F565" s="19"/>
      <c r="G565" s="19"/>
      <c r="H565" s="19"/>
      <c r="I565" s="19"/>
      <c r="J565" s="19"/>
      <c r="K565" s="19"/>
      <c r="L565" s="19"/>
      <c r="M565" s="19"/>
      <c r="N565" s="19"/>
      <c r="O565" s="19"/>
      <c r="P565" s="19"/>
      <c r="Q565" s="19"/>
      <c r="R565" s="19"/>
      <c r="S565" s="19"/>
      <c r="T565" s="19"/>
      <c r="U565" s="19"/>
      <c r="V565" s="19"/>
      <c r="W565" s="19"/>
      <c r="X565" s="19"/>
      <c r="Y565" s="19"/>
    </row>
    <row r="566" spans="2:25" ht="12" customHeight="1">
      <c r="B566" s="19"/>
      <c r="C566" s="19"/>
      <c r="D566" s="107"/>
      <c r="E566" s="107"/>
      <c r="F566" s="19"/>
      <c r="G566" s="19"/>
      <c r="H566" s="19"/>
      <c r="I566" s="19"/>
      <c r="J566" s="19"/>
      <c r="K566" s="19"/>
      <c r="L566" s="19"/>
      <c r="M566" s="19"/>
      <c r="N566" s="19"/>
      <c r="O566" s="19"/>
      <c r="P566" s="19"/>
      <c r="Q566" s="19"/>
      <c r="R566" s="19"/>
      <c r="S566" s="19"/>
      <c r="T566" s="19"/>
      <c r="U566" s="19"/>
      <c r="V566" s="19"/>
      <c r="W566" s="19"/>
      <c r="X566" s="19"/>
      <c r="Y566" s="19"/>
    </row>
    <row r="567" spans="2:25" ht="12" customHeight="1">
      <c r="B567" s="19"/>
      <c r="C567" s="19"/>
      <c r="D567" s="107"/>
      <c r="E567" s="107"/>
      <c r="F567" s="19"/>
      <c r="G567" s="19"/>
      <c r="H567" s="19"/>
      <c r="I567" s="19"/>
      <c r="J567" s="19"/>
      <c r="K567" s="19"/>
      <c r="L567" s="19"/>
      <c r="M567" s="19"/>
      <c r="N567" s="19"/>
      <c r="O567" s="19"/>
      <c r="P567" s="19"/>
      <c r="Q567" s="19"/>
      <c r="R567" s="19"/>
      <c r="S567" s="19"/>
      <c r="T567" s="19"/>
      <c r="U567" s="19"/>
      <c r="V567" s="19"/>
      <c r="W567" s="19"/>
      <c r="X567" s="19"/>
      <c r="Y567" s="19"/>
    </row>
    <row r="568" spans="2:25" ht="12" customHeight="1">
      <c r="B568" s="19"/>
      <c r="C568" s="19"/>
      <c r="D568" s="107"/>
      <c r="E568" s="107"/>
      <c r="F568" s="19"/>
      <c r="G568" s="19"/>
      <c r="H568" s="19"/>
      <c r="I568" s="19"/>
      <c r="J568" s="19"/>
      <c r="K568" s="19"/>
      <c r="L568" s="19"/>
      <c r="M568" s="19"/>
      <c r="N568" s="19"/>
      <c r="O568" s="19"/>
      <c r="P568" s="19"/>
      <c r="Q568" s="19"/>
      <c r="R568" s="19"/>
      <c r="S568" s="19"/>
      <c r="T568" s="19"/>
      <c r="U568" s="19"/>
      <c r="V568" s="19"/>
      <c r="W568" s="19"/>
      <c r="X568" s="19"/>
      <c r="Y568" s="19"/>
    </row>
    <row r="569" spans="2:25" ht="12" customHeight="1">
      <c r="B569" s="19"/>
      <c r="C569" s="19"/>
      <c r="D569" s="107"/>
      <c r="E569" s="107"/>
      <c r="F569" s="19"/>
      <c r="G569" s="19"/>
      <c r="H569" s="19"/>
      <c r="I569" s="19"/>
      <c r="J569" s="19"/>
      <c r="K569" s="19"/>
      <c r="L569" s="19"/>
      <c r="M569" s="19"/>
      <c r="N569" s="19"/>
      <c r="O569" s="19"/>
      <c r="P569" s="19"/>
      <c r="Q569" s="19"/>
      <c r="R569" s="19"/>
      <c r="S569" s="19"/>
      <c r="T569" s="19"/>
      <c r="U569" s="19"/>
      <c r="V569" s="19"/>
      <c r="W569" s="19"/>
      <c r="X569" s="19"/>
      <c r="Y569" s="19"/>
    </row>
    <row r="570" spans="2:25" ht="12" customHeight="1">
      <c r="B570" s="19"/>
      <c r="C570" s="19"/>
      <c r="D570" s="107"/>
      <c r="E570" s="107"/>
      <c r="F570" s="19"/>
      <c r="G570" s="19"/>
      <c r="H570" s="19"/>
      <c r="I570" s="19"/>
      <c r="J570" s="19"/>
      <c r="K570" s="19"/>
      <c r="L570" s="19"/>
      <c r="M570" s="19"/>
      <c r="N570" s="19"/>
      <c r="O570" s="19"/>
      <c r="P570" s="19"/>
      <c r="Q570" s="19"/>
      <c r="R570" s="19"/>
      <c r="S570" s="19"/>
      <c r="T570" s="19"/>
      <c r="U570" s="19"/>
      <c r="V570" s="19"/>
      <c r="W570" s="19"/>
      <c r="X570" s="19"/>
      <c r="Y570" s="19"/>
    </row>
    <row r="571" spans="2:25" ht="12" customHeight="1">
      <c r="B571" s="19"/>
      <c r="C571" s="19"/>
      <c r="D571" s="107"/>
      <c r="E571" s="107"/>
      <c r="F571" s="19"/>
      <c r="G571" s="19"/>
      <c r="H571" s="19"/>
      <c r="I571" s="19"/>
      <c r="J571" s="19"/>
      <c r="K571" s="19"/>
      <c r="L571" s="19"/>
      <c r="M571" s="19"/>
      <c r="N571" s="19"/>
      <c r="O571" s="19"/>
      <c r="P571" s="19"/>
      <c r="Q571" s="19"/>
      <c r="R571" s="19"/>
      <c r="S571" s="19"/>
      <c r="T571" s="19"/>
      <c r="U571" s="19"/>
      <c r="V571" s="19"/>
      <c r="W571" s="19"/>
      <c r="X571" s="19"/>
      <c r="Y571" s="19"/>
    </row>
    <row r="572" spans="2:25" ht="12" customHeight="1">
      <c r="B572" s="19"/>
      <c r="C572" s="19"/>
      <c r="D572" s="107"/>
      <c r="E572" s="107"/>
      <c r="F572" s="19"/>
      <c r="G572" s="19"/>
      <c r="H572" s="19"/>
      <c r="I572" s="19"/>
      <c r="J572" s="19"/>
      <c r="K572" s="19"/>
      <c r="L572" s="19"/>
      <c r="M572" s="19"/>
      <c r="N572" s="19"/>
      <c r="O572" s="19"/>
      <c r="P572" s="19"/>
      <c r="Q572" s="19"/>
      <c r="R572" s="19"/>
      <c r="S572" s="19"/>
      <c r="T572" s="19"/>
      <c r="U572" s="19"/>
      <c r="V572" s="19"/>
      <c r="W572" s="19"/>
      <c r="X572" s="19"/>
      <c r="Y572" s="19"/>
    </row>
    <row r="573" spans="2:25" ht="12" customHeight="1">
      <c r="B573" s="19"/>
      <c r="C573" s="19"/>
      <c r="D573" s="107"/>
      <c r="E573" s="107"/>
      <c r="F573" s="19"/>
      <c r="G573" s="19"/>
      <c r="H573" s="19"/>
      <c r="I573" s="19"/>
      <c r="J573" s="19"/>
      <c r="K573" s="19"/>
      <c r="L573" s="19"/>
      <c r="M573" s="19"/>
      <c r="N573" s="19"/>
      <c r="O573" s="19"/>
      <c r="P573" s="19"/>
      <c r="Q573" s="19"/>
      <c r="R573" s="19"/>
      <c r="S573" s="19"/>
      <c r="T573" s="19"/>
      <c r="U573" s="19"/>
      <c r="V573" s="19"/>
      <c r="W573" s="19"/>
      <c r="X573" s="19"/>
      <c r="Y573" s="19"/>
    </row>
    <row r="574" spans="2:25" ht="12" customHeight="1">
      <c r="B574" s="19"/>
      <c r="C574" s="19"/>
      <c r="D574" s="107"/>
      <c r="E574" s="107"/>
      <c r="F574" s="19"/>
      <c r="G574" s="19"/>
      <c r="H574" s="19"/>
      <c r="I574" s="19"/>
      <c r="J574" s="19"/>
      <c r="K574" s="19"/>
      <c r="L574" s="19"/>
      <c r="M574" s="19"/>
      <c r="N574" s="19"/>
      <c r="O574" s="19"/>
      <c r="P574" s="19"/>
      <c r="Q574" s="19"/>
      <c r="R574" s="19"/>
      <c r="S574" s="19"/>
      <c r="T574" s="19"/>
      <c r="U574" s="19"/>
      <c r="V574" s="19"/>
      <c r="W574" s="19"/>
      <c r="X574" s="19"/>
      <c r="Y574" s="19"/>
    </row>
    <row r="575" spans="2:25" ht="12" customHeight="1">
      <c r="B575" s="19"/>
      <c r="C575" s="19"/>
      <c r="D575" s="107"/>
      <c r="E575" s="107"/>
      <c r="F575" s="19"/>
      <c r="G575" s="19"/>
      <c r="H575" s="19"/>
      <c r="I575" s="19"/>
      <c r="J575" s="19"/>
      <c r="K575" s="19"/>
      <c r="L575" s="19"/>
      <c r="M575" s="19"/>
      <c r="N575" s="19"/>
      <c r="O575" s="19"/>
      <c r="P575" s="19"/>
      <c r="Q575" s="19"/>
      <c r="R575" s="19"/>
      <c r="S575" s="19"/>
      <c r="T575" s="19"/>
      <c r="U575" s="19"/>
      <c r="V575" s="19"/>
      <c r="W575" s="19"/>
      <c r="X575" s="19"/>
      <c r="Y575" s="19"/>
    </row>
    <row r="576" spans="2:25" ht="12" customHeight="1">
      <c r="B576" s="19"/>
      <c r="C576" s="19"/>
      <c r="D576" s="107"/>
      <c r="E576" s="107"/>
      <c r="F576" s="19"/>
      <c r="G576" s="19"/>
      <c r="H576" s="19"/>
      <c r="I576" s="19"/>
      <c r="J576" s="19"/>
      <c r="K576" s="19"/>
      <c r="L576" s="19"/>
      <c r="M576" s="19"/>
      <c r="N576" s="19"/>
      <c r="O576" s="19"/>
      <c r="P576" s="19"/>
      <c r="Q576" s="19"/>
      <c r="R576" s="19"/>
      <c r="S576" s="19"/>
      <c r="T576" s="19"/>
      <c r="U576" s="19"/>
      <c r="V576" s="19"/>
      <c r="W576" s="19"/>
      <c r="X576" s="19"/>
      <c r="Y576" s="19"/>
    </row>
    <row r="577" spans="2:25" ht="12" customHeight="1">
      <c r="B577" s="19"/>
      <c r="C577" s="19"/>
      <c r="D577" s="107"/>
      <c r="E577" s="107"/>
      <c r="F577" s="19"/>
      <c r="G577" s="19"/>
      <c r="H577" s="19"/>
      <c r="I577" s="19"/>
      <c r="J577" s="19"/>
      <c r="K577" s="19"/>
      <c r="L577" s="19"/>
      <c r="M577" s="19"/>
      <c r="N577" s="19"/>
      <c r="O577" s="19"/>
      <c r="P577" s="19"/>
      <c r="Q577" s="19"/>
      <c r="R577" s="19"/>
      <c r="S577" s="19"/>
      <c r="T577" s="19"/>
      <c r="U577" s="19"/>
      <c r="V577" s="19"/>
      <c r="W577" s="19"/>
      <c r="X577" s="19"/>
      <c r="Y577" s="19"/>
    </row>
    <row r="578" spans="2:25" ht="12" customHeight="1">
      <c r="B578" s="19"/>
      <c r="C578" s="19"/>
      <c r="D578" s="107"/>
      <c r="E578" s="107"/>
      <c r="F578" s="19"/>
      <c r="G578" s="19"/>
      <c r="H578" s="19"/>
      <c r="I578" s="19"/>
      <c r="J578" s="19"/>
      <c r="K578" s="19"/>
      <c r="L578" s="19"/>
      <c r="M578" s="19"/>
      <c r="N578" s="19"/>
      <c r="O578" s="19"/>
      <c r="P578" s="19"/>
      <c r="Q578" s="19"/>
      <c r="R578" s="19"/>
      <c r="S578" s="19"/>
      <c r="T578" s="19"/>
      <c r="U578" s="19"/>
      <c r="V578" s="19"/>
      <c r="W578" s="19"/>
      <c r="X578" s="19"/>
      <c r="Y578" s="19"/>
    </row>
    <row r="579" spans="2:25" ht="12" customHeight="1">
      <c r="B579" s="19"/>
      <c r="C579" s="19"/>
      <c r="D579" s="107"/>
      <c r="E579" s="107"/>
      <c r="F579" s="19"/>
      <c r="G579" s="19"/>
      <c r="H579" s="19"/>
      <c r="I579" s="19"/>
      <c r="J579" s="19"/>
      <c r="K579" s="19"/>
      <c r="L579" s="19"/>
      <c r="M579" s="19"/>
      <c r="N579" s="19"/>
      <c r="O579" s="19"/>
      <c r="P579" s="19"/>
      <c r="Q579" s="19"/>
      <c r="R579" s="19"/>
      <c r="S579" s="19"/>
      <c r="T579" s="19"/>
      <c r="U579" s="19"/>
      <c r="V579" s="19"/>
      <c r="W579" s="19"/>
      <c r="X579" s="19"/>
      <c r="Y579" s="19"/>
    </row>
    <row r="580" spans="2:25" ht="12" customHeight="1">
      <c r="B580" s="19"/>
      <c r="C580" s="19"/>
      <c r="D580" s="107"/>
      <c r="E580" s="107"/>
      <c r="F580" s="19"/>
      <c r="G580" s="19"/>
      <c r="H580" s="19"/>
      <c r="I580" s="19"/>
      <c r="J580" s="19"/>
      <c r="K580" s="19"/>
      <c r="L580" s="19"/>
      <c r="M580" s="19"/>
      <c r="N580" s="19"/>
      <c r="O580" s="19"/>
      <c r="P580" s="19"/>
      <c r="Q580" s="19"/>
      <c r="R580" s="19"/>
      <c r="S580" s="19"/>
      <c r="T580" s="19"/>
      <c r="U580" s="19"/>
      <c r="V580" s="19"/>
      <c r="W580" s="19"/>
      <c r="X580" s="19"/>
      <c r="Y580" s="19"/>
    </row>
    <row r="581" spans="2:25" ht="12" customHeight="1">
      <c r="B581" s="19"/>
      <c r="C581" s="19"/>
      <c r="D581" s="107"/>
      <c r="E581" s="107"/>
      <c r="F581" s="19"/>
      <c r="G581" s="19"/>
      <c r="H581" s="19"/>
      <c r="I581" s="19"/>
      <c r="J581" s="19"/>
      <c r="K581" s="19"/>
      <c r="L581" s="19"/>
      <c r="M581" s="19"/>
      <c r="N581" s="19"/>
      <c r="O581" s="19"/>
      <c r="P581" s="19"/>
      <c r="Q581" s="19"/>
      <c r="R581" s="19"/>
      <c r="S581" s="19"/>
      <c r="T581" s="19"/>
      <c r="U581" s="19"/>
      <c r="V581" s="19"/>
      <c r="W581" s="19"/>
      <c r="X581" s="19"/>
      <c r="Y581" s="19"/>
    </row>
    <row r="582" spans="2:25" ht="12" customHeight="1">
      <c r="B582" s="19"/>
      <c r="C582" s="19"/>
      <c r="D582" s="107"/>
      <c r="E582" s="107"/>
      <c r="F582" s="19"/>
      <c r="G582" s="19"/>
      <c r="H582" s="19"/>
      <c r="I582" s="19"/>
      <c r="J582" s="19"/>
      <c r="K582" s="19"/>
      <c r="L582" s="19"/>
      <c r="M582" s="19"/>
      <c r="N582" s="19"/>
      <c r="O582" s="19"/>
      <c r="P582" s="19"/>
      <c r="Q582" s="19"/>
      <c r="R582" s="19"/>
      <c r="S582" s="19"/>
      <c r="T582" s="19"/>
      <c r="U582" s="19"/>
      <c r="V582" s="19"/>
      <c r="W582" s="19"/>
      <c r="X582" s="19"/>
      <c r="Y582" s="19"/>
    </row>
    <row r="583" spans="2:25" ht="12" customHeight="1">
      <c r="B583" s="19"/>
      <c r="C583" s="19"/>
      <c r="D583" s="107"/>
      <c r="E583" s="107"/>
      <c r="F583" s="19"/>
      <c r="G583" s="19"/>
      <c r="H583" s="19"/>
      <c r="I583" s="19"/>
      <c r="J583" s="19"/>
      <c r="K583" s="19"/>
      <c r="L583" s="19"/>
      <c r="M583" s="19"/>
      <c r="N583" s="19"/>
      <c r="O583" s="19"/>
      <c r="P583" s="19"/>
      <c r="Q583" s="19"/>
      <c r="R583" s="19"/>
      <c r="S583" s="19"/>
      <c r="T583" s="19"/>
      <c r="U583" s="19"/>
      <c r="V583" s="19"/>
      <c r="W583" s="19"/>
      <c r="X583" s="19"/>
      <c r="Y583" s="19"/>
    </row>
    <row r="584" spans="2:25" ht="12" customHeight="1">
      <c r="B584" s="19"/>
      <c r="C584" s="19"/>
      <c r="D584" s="107"/>
      <c r="E584" s="107"/>
      <c r="F584" s="19"/>
      <c r="G584" s="19"/>
      <c r="H584" s="19"/>
      <c r="I584" s="19"/>
      <c r="J584" s="19"/>
      <c r="K584" s="19"/>
      <c r="L584" s="19"/>
      <c r="M584" s="19"/>
      <c r="N584" s="19"/>
      <c r="O584" s="19"/>
      <c r="P584" s="19"/>
      <c r="Q584" s="19"/>
      <c r="R584" s="19"/>
      <c r="S584" s="19"/>
      <c r="T584" s="19"/>
      <c r="U584" s="19"/>
      <c r="V584" s="19"/>
      <c r="W584" s="19"/>
      <c r="X584" s="19"/>
      <c r="Y584" s="19"/>
    </row>
    <row r="585" spans="2:25" ht="12" customHeight="1">
      <c r="B585" s="19"/>
      <c r="C585" s="19"/>
      <c r="D585" s="107"/>
      <c r="E585" s="107"/>
      <c r="F585" s="19"/>
      <c r="G585" s="19"/>
      <c r="H585" s="19"/>
      <c r="I585" s="19"/>
      <c r="J585" s="19"/>
      <c r="K585" s="19"/>
      <c r="L585" s="19"/>
      <c r="M585" s="19"/>
      <c r="N585" s="19"/>
      <c r="O585" s="19"/>
      <c r="P585" s="19"/>
      <c r="Q585" s="19"/>
      <c r="R585" s="19"/>
      <c r="S585" s="19"/>
      <c r="T585" s="19"/>
      <c r="U585" s="19"/>
      <c r="V585" s="19"/>
      <c r="W585" s="19"/>
      <c r="X585" s="19"/>
      <c r="Y585" s="19"/>
    </row>
    <row r="586" spans="2:25" ht="12" customHeight="1">
      <c r="B586" s="19"/>
      <c r="C586" s="19"/>
      <c r="D586" s="107"/>
      <c r="E586" s="107"/>
      <c r="F586" s="19"/>
      <c r="G586" s="19"/>
      <c r="H586" s="19"/>
      <c r="I586" s="19"/>
      <c r="J586" s="19"/>
      <c r="K586" s="19"/>
      <c r="L586" s="19"/>
      <c r="M586" s="19"/>
      <c r="N586" s="19"/>
      <c r="O586" s="19"/>
      <c r="P586" s="19"/>
      <c r="Q586" s="19"/>
      <c r="R586" s="19"/>
      <c r="S586" s="19"/>
      <c r="T586" s="19"/>
      <c r="U586" s="19"/>
      <c r="V586" s="19"/>
      <c r="W586" s="19"/>
      <c r="X586" s="19"/>
      <c r="Y586" s="19"/>
    </row>
    <row r="587" spans="2:25" ht="12" customHeight="1">
      <c r="B587" s="19"/>
      <c r="C587" s="19"/>
      <c r="D587" s="107"/>
      <c r="E587" s="107"/>
      <c r="F587" s="19"/>
      <c r="G587" s="19"/>
      <c r="H587" s="19"/>
      <c r="I587" s="19"/>
      <c r="J587" s="19"/>
      <c r="K587" s="19"/>
      <c r="L587" s="19"/>
      <c r="M587" s="19"/>
      <c r="N587" s="19"/>
      <c r="O587" s="19"/>
      <c r="P587" s="19"/>
      <c r="Q587" s="19"/>
      <c r="R587" s="19"/>
      <c r="S587" s="19"/>
      <c r="T587" s="19"/>
      <c r="U587" s="19"/>
      <c r="V587" s="19"/>
      <c r="W587" s="19"/>
      <c r="X587" s="19"/>
      <c r="Y587" s="19"/>
    </row>
    <row r="588" spans="2:25" ht="12" customHeight="1">
      <c r="B588" s="19"/>
      <c r="C588" s="19"/>
      <c r="D588" s="107"/>
      <c r="E588" s="107"/>
      <c r="F588" s="19"/>
      <c r="G588" s="19"/>
      <c r="H588" s="19"/>
      <c r="I588" s="19"/>
      <c r="J588" s="19"/>
      <c r="K588" s="19"/>
      <c r="L588" s="19"/>
      <c r="M588" s="19"/>
      <c r="N588" s="19"/>
      <c r="O588" s="19"/>
      <c r="P588" s="19"/>
      <c r="Q588" s="19"/>
      <c r="R588" s="19"/>
      <c r="S588" s="19"/>
      <c r="T588" s="19"/>
      <c r="U588" s="19"/>
      <c r="V588" s="19"/>
      <c r="W588" s="19"/>
      <c r="X588" s="19"/>
      <c r="Y588" s="19"/>
    </row>
    <row r="589" spans="2:25" ht="12" customHeight="1">
      <c r="B589" s="19"/>
      <c r="C589" s="19"/>
      <c r="D589" s="107"/>
      <c r="E589" s="107"/>
      <c r="F589" s="19"/>
      <c r="G589" s="19"/>
      <c r="H589" s="19"/>
      <c r="I589" s="19"/>
      <c r="J589" s="19"/>
      <c r="K589" s="19"/>
      <c r="L589" s="19"/>
      <c r="M589" s="19"/>
      <c r="N589" s="19"/>
      <c r="O589" s="19"/>
      <c r="P589" s="19"/>
      <c r="Q589" s="19"/>
      <c r="R589" s="19"/>
      <c r="S589" s="19"/>
      <c r="T589" s="19"/>
      <c r="U589" s="19"/>
      <c r="V589" s="19"/>
      <c r="W589" s="19"/>
      <c r="X589" s="19"/>
      <c r="Y589" s="19"/>
    </row>
    <row r="590" spans="2:25" ht="12" customHeight="1">
      <c r="B590" s="19"/>
      <c r="C590" s="19"/>
      <c r="D590" s="107"/>
      <c r="E590" s="107"/>
      <c r="F590" s="19"/>
      <c r="G590" s="19"/>
      <c r="H590" s="19"/>
      <c r="I590" s="19"/>
      <c r="J590" s="19"/>
      <c r="K590" s="19"/>
      <c r="L590" s="19"/>
      <c r="M590" s="19"/>
      <c r="N590" s="19"/>
      <c r="O590" s="19"/>
      <c r="P590" s="19"/>
      <c r="Q590" s="19"/>
      <c r="R590" s="19"/>
      <c r="S590" s="19"/>
      <c r="T590" s="19"/>
      <c r="U590" s="19"/>
      <c r="V590" s="19"/>
      <c r="W590" s="19"/>
      <c r="X590" s="19"/>
      <c r="Y590" s="19"/>
    </row>
    <row r="591" spans="2:25" ht="12" customHeight="1">
      <c r="B591" s="19"/>
      <c r="C591" s="19"/>
      <c r="D591" s="107"/>
      <c r="E591" s="107"/>
      <c r="F591" s="19"/>
      <c r="G591" s="19"/>
      <c r="H591" s="19"/>
      <c r="I591" s="19"/>
      <c r="J591" s="19"/>
      <c r="K591" s="19"/>
      <c r="L591" s="19"/>
      <c r="M591" s="19"/>
      <c r="N591" s="19"/>
      <c r="O591" s="19"/>
      <c r="P591" s="19"/>
      <c r="Q591" s="19"/>
      <c r="R591" s="19"/>
      <c r="S591" s="19"/>
      <c r="T591" s="19"/>
      <c r="U591" s="19"/>
      <c r="V591" s="19"/>
      <c r="W591" s="19"/>
      <c r="X591" s="19"/>
      <c r="Y591" s="19"/>
    </row>
    <row r="592" spans="2:25" ht="12" customHeight="1">
      <c r="B592" s="19"/>
      <c r="C592" s="19"/>
      <c r="D592" s="107"/>
      <c r="E592" s="107"/>
      <c r="F592" s="19"/>
      <c r="G592" s="19"/>
      <c r="H592" s="19"/>
      <c r="I592" s="19"/>
      <c r="J592" s="19"/>
      <c r="K592" s="19"/>
      <c r="L592" s="19"/>
      <c r="M592" s="19"/>
      <c r="N592" s="19"/>
      <c r="O592" s="19"/>
      <c r="P592" s="19"/>
      <c r="Q592" s="19"/>
      <c r="R592" s="19"/>
      <c r="S592" s="19"/>
      <c r="T592" s="19"/>
      <c r="U592" s="19"/>
      <c r="V592" s="19"/>
      <c r="W592" s="19"/>
      <c r="X592" s="19"/>
      <c r="Y592" s="19"/>
    </row>
    <row r="593" spans="2:25" ht="12" customHeight="1">
      <c r="B593" s="19"/>
      <c r="C593" s="19"/>
      <c r="D593" s="107"/>
      <c r="E593" s="107"/>
      <c r="F593" s="19"/>
      <c r="G593" s="19"/>
      <c r="H593" s="19"/>
      <c r="I593" s="19"/>
      <c r="J593" s="19"/>
      <c r="K593" s="19"/>
      <c r="L593" s="19"/>
      <c r="M593" s="19"/>
      <c r="N593" s="19"/>
      <c r="O593" s="19"/>
      <c r="P593" s="19"/>
      <c r="Q593" s="19"/>
      <c r="R593" s="19"/>
      <c r="S593" s="19"/>
      <c r="T593" s="19"/>
      <c r="U593" s="19"/>
      <c r="V593" s="19"/>
      <c r="W593" s="19"/>
      <c r="X593" s="19"/>
      <c r="Y593" s="19"/>
    </row>
    <row r="594" spans="2:25" ht="12" customHeight="1">
      <c r="B594" s="19"/>
      <c r="C594" s="19"/>
      <c r="D594" s="107"/>
      <c r="E594" s="107"/>
      <c r="F594" s="19"/>
      <c r="G594" s="19"/>
      <c r="H594" s="19"/>
      <c r="I594" s="19"/>
      <c r="J594" s="19"/>
      <c r="K594" s="19"/>
      <c r="L594" s="19"/>
      <c r="M594" s="19"/>
      <c r="N594" s="19"/>
      <c r="O594" s="19"/>
      <c r="P594" s="19"/>
      <c r="Q594" s="19"/>
      <c r="R594" s="19"/>
      <c r="S594" s="19"/>
      <c r="T594" s="19"/>
      <c r="U594" s="19"/>
      <c r="V594" s="19"/>
      <c r="W594" s="19"/>
      <c r="X594" s="19"/>
      <c r="Y594" s="19"/>
    </row>
    <row r="595" spans="2:25" ht="12" customHeight="1">
      <c r="B595" s="19"/>
      <c r="C595" s="19"/>
      <c r="D595" s="107"/>
      <c r="E595" s="107"/>
      <c r="F595" s="19"/>
      <c r="G595" s="19"/>
      <c r="H595" s="19"/>
      <c r="I595" s="19"/>
      <c r="J595" s="19"/>
      <c r="K595" s="19"/>
      <c r="L595" s="19"/>
      <c r="M595" s="19"/>
      <c r="N595" s="19"/>
      <c r="O595" s="19"/>
      <c r="P595" s="19"/>
      <c r="Q595" s="19"/>
      <c r="R595" s="19"/>
      <c r="S595" s="19"/>
      <c r="T595" s="19"/>
      <c r="U595" s="19"/>
      <c r="V595" s="19"/>
      <c r="W595" s="19"/>
      <c r="X595" s="19"/>
      <c r="Y595" s="19"/>
    </row>
    <row r="596" spans="2:25" ht="12" customHeight="1">
      <c r="B596" s="19"/>
      <c r="C596" s="19"/>
      <c r="D596" s="107"/>
      <c r="E596" s="107"/>
      <c r="F596" s="19"/>
      <c r="G596" s="19"/>
      <c r="H596" s="19"/>
      <c r="I596" s="19"/>
      <c r="J596" s="19"/>
      <c r="K596" s="19"/>
      <c r="L596" s="19"/>
      <c r="M596" s="19"/>
      <c r="N596" s="19"/>
      <c r="O596" s="19"/>
      <c r="P596" s="19"/>
      <c r="Q596" s="19"/>
      <c r="R596" s="19"/>
      <c r="S596" s="19"/>
      <c r="T596" s="19"/>
      <c r="U596" s="19"/>
      <c r="V596" s="19"/>
      <c r="W596" s="19"/>
      <c r="X596" s="19"/>
      <c r="Y596" s="19"/>
    </row>
    <row r="597" spans="2:25" ht="12" customHeight="1">
      <c r="B597" s="19"/>
      <c r="C597" s="19"/>
      <c r="D597" s="107"/>
      <c r="E597" s="107"/>
      <c r="F597" s="19"/>
      <c r="G597" s="19"/>
      <c r="H597" s="19"/>
      <c r="I597" s="19"/>
      <c r="J597" s="19"/>
      <c r="K597" s="19"/>
      <c r="L597" s="19"/>
      <c r="M597" s="19"/>
      <c r="N597" s="19"/>
      <c r="O597" s="19"/>
      <c r="P597" s="19"/>
      <c r="Q597" s="19"/>
      <c r="R597" s="19"/>
      <c r="S597" s="19"/>
      <c r="T597" s="19"/>
      <c r="U597" s="19"/>
      <c r="V597" s="19"/>
      <c r="W597" s="19"/>
      <c r="X597" s="19"/>
      <c r="Y597" s="19"/>
    </row>
    <row r="598" spans="2:25" ht="12" customHeight="1">
      <c r="B598" s="19"/>
      <c r="C598" s="19"/>
      <c r="D598" s="107"/>
      <c r="E598" s="107"/>
      <c r="F598" s="19"/>
      <c r="G598" s="19"/>
      <c r="H598" s="19"/>
      <c r="I598" s="19"/>
      <c r="J598" s="19"/>
      <c r="K598" s="19"/>
      <c r="L598" s="19"/>
      <c r="M598" s="19"/>
      <c r="N598" s="19"/>
      <c r="O598" s="19"/>
      <c r="P598" s="19"/>
      <c r="Q598" s="19"/>
      <c r="R598" s="19"/>
      <c r="S598" s="19"/>
      <c r="T598" s="19"/>
      <c r="U598" s="19"/>
      <c r="V598" s="19"/>
      <c r="W598" s="19"/>
      <c r="X598" s="19"/>
      <c r="Y598" s="19"/>
    </row>
    <row r="599" spans="2:25" ht="12" customHeight="1">
      <c r="B599" s="19"/>
      <c r="C599" s="19"/>
      <c r="D599" s="107"/>
      <c r="E599" s="107"/>
      <c r="F599" s="19"/>
      <c r="G599" s="19"/>
      <c r="H599" s="19"/>
      <c r="I599" s="19"/>
      <c r="J599" s="19"/>
      <c r="K599" s="19"/>
      <c r="L599" s="19"/>
      <c r="M599" s="19"/>
      <c r="N599" s="19"/>
      <c r="O599" s="19"/>
      <c r="P599" s="19"/>
      <c r="Q599" s="19"/>
      <c r="R599" s="19"/>
      <c r="S599" s="19"/>
      <c r="T599" s="19"/>
      <c r="U599" s="19"/>
      <c r="V599" s="19"/>
      <c r="W599" s="19"/>
      <c r="X599" s="19"/>
      <c r="Y599" s="19"/>
    </row>
    <row r="600" spans="2:25" ht="12" customHeight="1">
      <c r="B600" s="19"/>
      <c r="C600" s="19"/>
      <c r="D600" s="107"/>
      <c r="E600" s="107"/>
      <c r="F600" s="19"/>
      <c r="G600" s="19"/>
      <c r="H600" s="19"/>
      <c r="I600" s="19"/>
      <c r="J600" s="19"/>
      <c r="K600" s="19"/>
      <c r="L600" s="19"/>
      <c r="M600" s="19"/>
      <c r="N600" s="19"/>
      <c r="O600" s="19"/>
      <c r="P600" s="19"/>
      <c r="Q600" s="19"/>
      <c r="R600" s="19"/>
      <c r="S600" s="19"/>
      <c r="T600" s="19"/>
      <c r="U600" s="19"/>
      <c r="V600" s="19"/>
      <c r="W600" s="19"/>
      <c r="X600" s="19"/>
      <c r="Y600" s="19"/>
    </row>
    <row r="601" spans="2:25" ht="12" customHeight="1">
      <c r="B601" s="19"/>
      <c r="C601" s="19"/>
      <c r="D601" s="107"/>
      <c r="E601" s="107"/>
      <c r="F601" s="19"/>
      <c r="G601" s="19"/>
      <c r="H601" s="19"/>
      <c r="I601" s="19"/>
      <c r="J601" s="19"/>
      <c r="K601" s="19"/>
      <c r="L601" s="19"/>
      <c r="M601" s="19"/>
      <c r="N601" s="19"/>
      <c r="O601" s="19"/>
      <c r="P601" s="19"/>
      <c r="Q601" s="19"/>
      <c r="R601" s="19"/>
      <c r="S601" s="19"/>
      <c r="T601" s="19"/>
      <c r="U601" s="19"/>
      <c r="V601" s="19"/>
      <c r="W601" s="19"/>
      <c r="X601" s="19"/>
      <c r="Y601" s="19"/>
    </row>
    <row r="602" spans="2:25" ht="12" customHeight="1">
      <c r="B602" s="19"/>
      <c r="C602" s="19"/>
      <c r="D602" s="107"/>
      <c r="E602" s="107"/>
      <c r="F602" s="19"/>
      <c r="G602" s="19"/>
      <c r="H602" s="19"/>
      <c r="I602" s="19"/>
      <c r="J602" s="19"/>
      <c r="K602" s="19"/>
      <c r="L602" s="19"/>
      <c r="M602" s="19"/>
      <c r="N602" s="19"/>
      <c r="O602" s="19"/>
      <c r="P602" s="19"/>
      <c r="Q602" s="19"/>
      <c r="R602" s="19"/>
      <c r="S602" s="19"/>
      <c r="T602" s="19"/>
      <c r="U602" s="19"/>
      <c r="V602" s="19"/>
      <c r="W602" s="19"/>
      <c r="X602" s="19"/>
      <c r="Y602" s="19"/>
    </row>
    <row r="603" spans="2:25" ht="12" customHeight="1">
      <c r="B603" s="19"/>
      <c r="C603" s="19"/>
      <c r="D603" s="107"/>
      <c r="E603" s="107"/>
      <c r="F603" s="19"/>
      <c r="G603" s="19"/>
      <c r="H603" s="19"/>
      <c r="I603" s="19"/>
      <c r="J603" s="19"/>
      <c r="K603" s="19"/>
      <c r="L603" s="19"/>
      <c r="M603" s="19"/>
      <c r="N603" s="19"/>
      <c r="O603" s="19"/>
      <c r="P603" s="19"/>
      <c r="Q603" s="19"/>
      <c r="R603" s="19"/>
      <c r="S603" s="19"/>
      <c r="T603" s="19"/>
      <c r="U603" s="19"/>
      <c r="V603" s="19"/>
      <c r="W603" s="19"/>
      <c r="X603" s="19"/>
      <c r="Y603" s="19"/>
    </row>
    <row r="604" spans="2:25" ht="12" customHeight="1">
      <c r="B604" s="19"/>
      <c r="C604" s="19"/>
      <c r="D604" s="107"/>
      <c r="E604" s="107"/>
      <c r="F604" s="19"/>
      <c r="G604" s="19"/>
      <c r="H604" s="19"/>
      <c r="I604" s="19"/>
      <c r="J604" s="19"/>
      <c r="K604" s="19"/>
      <c r="L604" s="19"/>
      <c r="M604" s="19"/>
      <c r="N604" s="19"/>
      <c r="O604" s="19"/>
      <c r="P604" s="19"/>
      <c r="Q604" s="19"/>
      <c r="R604" s="19"/>
      <c r="S604" s="19"/>
      <c r="T604" s="19"/>
      <c r="U604" s="19"/>
      <c r="V604" s="19"/>
      <c r="W604" s="19"/>
      <c r="X604" s="19"/>
      <c r="Y604" s="19"/>
    </row>
    <row r="605" spans="2:25" ht="12" customHeight="1">
      <c r="B605" s="19"/>
      <c r="C605" s="19"/>
      <c r="D605" s="107"/>
      <c r="E605" s="107"/>
      <c r="F605" s="19"/>
      <c r="G605" s="19"/>
      <c r="H605" s="19"/>
      <c r="I605" s="19"/>
      <c r="J605" s="19"/>
      <c r="K605" s="19"/>
      <c r="L605" s="19"/>
      <c r="M605" s="19"/>
      <c r="N605" s="19"/>
      <c r="O605" s="19"/>
      <c r="P605" s="19"/>
      <c r="Q605" s="19"/>
      <c r="R605" s="19"/>
      <c r="S605" s="19"/>
      <c r="T605" s="19"/>
      <c r="U605" s="19"/>
      <c r="V605" s="19"/>
      <c r="W605" s="19"/>
      <c r="X605" s="19"/>
      <c r="Y605" s="19"/>
    </row>
    <row r="606" spans="2:25" ht="12" customHeight="1">
      <c r="B606" s="19"/>
      <c r="C606" s="19"/>
      <c r="D606" s="107"/>
      <c r="E606" s="107"/>
      <c r="F606" s="19"/>
      <c r="G606" s="19"/>
      <c r="H606" s="19"/>
      <c r="I606" s="19"/>
      <c r="J606" s="19"/>
      <c r="K606" s="19"/>
      <c r="L606" s="19"/>
      <c r="M606" s="19"/>
      <c r="N606" s="19"/>
      <c r="O606" s="19"/>
      <c r="P606" s="19"/>
      <c r="Q606" s="19"/>
      <c r="R606" s="19"/>
      <c r="S606" s="19"/>
      <c r="T606" s="19"/>
      <c r="U606" s="19"/>
      <c r="V606" s="19"/>
      <c r="W606" s="19"/>
      <c r="X606" s="19"/>
      <c r="Y606" s="19"/>
    </row>
    <row r="607" spans="2:25" ht="12" customHeight="1">
      <c r="B607" s="19"/>
      <c r="C607" s="19"/>
      <c r="D607" s="107"/>
      <c r="E607" s="107"/>
      <c r="F607" s="19"/>
      <c r="G607" s="19"/>
      <c r="H607" s="19"/>
      <c r="I607" s="19"/>
      <c r="J607" s="19"/>
      <c r="K607" s="19"/>
      <c r="L607" s="19"/>
      <c r="M607" s="19"/>
      <c r="N607" s="19"/>
      <c r="O607" s="19"/>
      <c r="P607" s="19"/>
      <c r="Q607" s="19"/>
      <c r="R607" s="19"/>
      <c r="S607" s="19"/>
      <c r="T607" s="19"/>
      <c r="U607" s="19"/>
      <c r="V607" s="19"/>
      <c r="W607" s="19"/>
      <c r="X607" s="19"/>
      <c r="Y607" s="19"/>
    </row>
    <row r="608" spans="2:25" ht="12" customHeight="1">
      <c r="B608" s="19"/>
      <c r="C608" s="19"/>
      <c r="D608" s="107"/>
      <c r="E608" s="107"/>
      <c r="F608" s="19"/>
      <c r="G608" s="19"/>
      <c r="H608" s="19"/>
      <c r="I608" s="19"/>
      <c r="J608" s="19"/>
      <c r="K608" s="19"/>
      <c r="L608" s="19"/>
      <c r="M608" s="19"/>
      <c r="N608" s="19"/>
      <c r="O608" s="19"/>
      <c r="P608" s="19"/>
      <c r="Q608" s="19"/>
      <c r="R608" s="19"/>
      <c r="S608" s="19"/>
      <c r="T608" s="19"/>
      <c r="U608" s="19"/>
      <c r="V608" s="19"/>
      <c r="W608" s="19"/>
      <c r="X608" s="19"/>
      <c r="Y608" s="19"/>
    </row>
    <row r="609" spans="2:25" ht="12" customHeight="1">
      <c r="B609" s="19"/>
      <c r="C609" s="19"/>
      <c r="D609" s="107"/>
      <c r="E609" s="107"/>
      <c r="F609" s="19"/>
      <c r="G609" s="19"/>
      <c r="H609" s="19"/>
      <c r="I609" s="19"/>
      <c r="J609" s="19"/>
      <c r="K609" s="19"/>
      <c r="L609" s="19"/>
      <c r="M609" s="19"/>
      <c r="N609" s="19"/>
      <c r="O609" s="19"/>
      <c r="P609" s="19"/>
      <c r="Q609" s="19"/>
      <c r="R609" s="19"/>
      <c r="S609" s="19"/>
      <c r="T609" s="19"/>
      <c r="U609" s="19"/>
      <c r="V609" s="19"/>
      <c r="W609" s="19"/>
      <c r="X609" s="19"/>
      <c r="Y609" s="19"/>
    </row>
    <row r="610" spans="2:25" ht="12" customHeight="1">
      <c r="B610" s="19"/>
      <c r="C610" s="19"/>
      <c r="D610" s="107"/>
      <c r="E610" s="107"/>
      <c r="F610" s="19"/>
      <c r="G610" s="19"/>
      <c r="H610" s="19"/>
      <c r="I610" s="19"/>
      <c r="J610" s="19"/>
      <c r="K610" s="19"/>
      <c r="L610" s="19"/>
      <c r="M610" s="19"/>
      <c r="N610" s="19"/>
      <c r="O610" s="19"/>
      <c r="P610" s="19"/>
      <c r="Q610" s="19"/>
      <c r="R610" s="19"/>
      <c r="S610" s="19"/>
      <c r="T610" s="19"/>
      <c r="U610" s="19"/>
      <c r="V610" s="19"/>
      <c r="W610" s="19"/>
      <c r="X610" s="19"/>
      <c r="Y610" s="19"/>
    </row>
    <row r="611" spans="2:25" ht="12" customHeight="1">
      <c r="B611" s="19"/>
      <c r="C611" s="19"/>
      <c r="D611" s="107"/>
      <c r="E611" s="107"/>
      <c r="F611" s="19"/>
      <c r="G611" s="19"/>
      <c r="H611" s="19"/>
      <c r="I611" s="19"/>
      <c r="J611" s="19"/>
      <c r="K611" s="19"/>
      <c r="L611" s="19"/>
      <c r="M611" s="19"/>
      <c r="N611" s="19"/>
      <c r="O611" s="19"/>
      <c r="P611" s="19"/>
      <c r="Q611" s="19"/>
      <c r="R611" s="19"/>
      <c r="S611" s="19"/>
      <c r="T611" s="19"/>
      <c r="U611" s="19"/>
      <c r="V611" s="19"/>
      <c r="W611" s="19"/>
      <c r="X611" s="19"/>
      <c r="Y611" s="19"/>
    </row>
    <row r="612" spans="2:25" ht="12" customHeight="1">
      <c r="B612" s="19"/>
      <c r="C612" s="19"/>
      <c r="D612" s="107"/>
      <c r="E612" s="107"/>
      <c r="F612" s="19"/>
      <c r="G612" s="19"/>
      <c r="H612" s="19"/>
      <c r="I612" s="19"/>
      <c r="J612" s="19"/>
      <c r="K612" s="19"/>
      <c r="L612" s="19"/>
      <c r="M612" s="19"/>
      <c r="N612" s="19"/>
      <c r="O612" s="19"/>
      <c r="P612" s="19"/>
      <c r="Q612" s="19"/>
      <c r="R612" s="19"/>
      <c r="S612" s="19"/>
      <c r="T612" s="19"/>
      <c r="U612" s="19"/>
      <c r="V612" s="19"/>
      <c r="W612" s="19"/>
      <c r="X612" s="19"/>
      <c r="Y612" s="19"/>
    </row>
    <row r="613" spans="2:25" ht="12" customHeight="1">
      <c r="B613" s="19"/>
      <c r="C613" s="19"/>
      <c r="D613" s="107"/>
      <c r="E613" s="107"/>
      <c r="F613" s="19"/>
      <c r="G613" s="19"/>
      <c r="H613" s="19"/>
      <c r="I613" s="19"/>
      <c r="J613" s="19"/>
      <c r="K613" s="19"/>
      <c r="L613" s="19"/>
      <c r="M613" s="19"/>
      <c r="N613" s="19"/>
      <c r="O613" s="19"/>
      <c r="P613" s="19"/>
      <c r="Q613" s="19"/>
      <c r="R613" s="19"/>
      <c r="S613" s="19"/>
      <c r="T613" s="19"/>
      <c r="U613" s="19"/>
      <c r="V613" s="19"/>
      <c r="W613" s="19"/>
      <c r="X613" s="19"/>
      <c r="Y613" s="19"/>
    </row>
    <row r="614" spans="2:25" ht="12" customHeight="1">
      <c r="B614" s="19"/>
      <c r="C614" s="19"/>
      <c r="D614" s="107"/>
      <c r="E614" s="107"/>
      <c r="F614" s="19"/>
      <c r="G614" s="19"/>
      <c r="H614" s="19"/>
      <c r="I614" s="19"/>
      <c r="J614" s="19"/>
      <c r="K614" s="19"/>
      <c r="L614" s="19"/>
      <c r="M614" s="19"/>
      <c r="N614" s="19"/>
      <c r="O614" s="19"/>
      <c r="P614" s="19"/>
      <c r="Q614" s="19"/>
      <c r="R614" s="19"/>
      <c r="S614" s="19"/>
      <c r="T614" s="19"/>
      <c r="U614" s="19"/>
      <c r="V614" s="19"/>
      <c r="W614" s="19"/>
      <c r="X614" s="19"/>
      <c r="Y614" s="19"/>
    </row>
    <row r="615" spans="2:25" ht="12" customHeight="1">
      <c r="B615" s="19"/>
      <c r="C615" s="19"/>
      <c r="D615" s="107"/>
      <c r="E615" s="107"/>
      <c r="F615" s="19"/>
      <c r="G615" s="19"/>
      <c r="H615" s="19"/>
      <c r="I615" s="19"/>
      <c r="J615" s="19"/>
      <c r="K615" s="19"/>
      <c r="L615" s="19"/>
      <c r="M615" s="19"/>
      <c r="N615" s="19"/>
      <c r="O615" s="19"/>
      <c r="P615" s="19"/>
      <c r="Q615" s="19"/>
      <c r="R615" s="19"/>
      <c r="S615" s="19"/>
      <c r="T615" s="19"/>
      <c r="U615" s="19"/>
      <c r="V615" s="19"/>
      <c r="W615" s="19"/>
      <c r="X615" s="19"/>
      <c r="Y615" s="19"/>
    </row>
    <row r="616" spans="2:25" ht="12" customHeight="1">
      <c r="B616" s="19"/>
      <c r="C616" s="19"/>
      <c r="D616" s="107"/>
      <c r="E616" s="107"/>
      <c r="F616" s="19"/>
      <c r="G616" s="19"/>
      <c r="H616" s="19"/>
      <c r="I616" s="19"/>
      <c r="J616" s="19"/>
      <c r="K616" s="19"/>
      <c r="L616" s="19"/>
      <c r="M616" s="19"/>
      <c r="N616" s="19"/>
      <c r="O616" s="19"/>
      <c r="P616" s="19"/>
      <c r="Q616" s="19"/>
      <c r="R616" s="19"/>
      <c r="S616" s="19"/>
      <c r="T616" s="19"/>
      <c r="U616" s="19"/>
      <c r="V616" s="19"/>
      <c r="W616" s="19"/>
      <c r="X616" s="19"/>
      <c r="Y616" s="19"/>
    </row>
    <row r="617" spans="2:25" ht="12" customHeight="1">
      <c r="B617" s="19"/>
      <c r="C617" s="19"/>
      <c r="D617" s="107"/>
      <c r="E617" s="107"/>
      <c r="F617" s="19"/>
      <c r="G617" s="19"/>
      <c r="H617" s="19"/>
      <c r="I617" s="19"/>
      <c r="J617" s="19"/>
      <c r="K617" s="19"/>
      <c r="L617" s="19"/>
      <c r="M617" s="19"/>
      <c r="N617" s="19"/>
      <c r="O617" s="19"/>
      <c r="P617" s="19"/>
      <c r="Q617" s="19"/>
      <c r="R617" s="19"/>
      <c r="S617" s="19"/>
      <c r="T617" s="19"/>
      <c r="U617" s="19"/>
      <c r="V617" s="19"/>
      <c r="W617" s="19"/>
      <c r="X617" s="19"/>
      <c r="Y617" s="19"/>
    </row>
    <row r="618" spans="2:25" ht="12" customHeight="1">
      <c r="B618" s="19"/>
      <c r="C618" s="19"/>
      <c r="D618" s="107"/>
      <c r="E618" s="107"/>
      <c r="F618" s="19"/>
      <c r="G618" s="19"/>
      <c r="H618" s="19"/>
      <c r="I618" s="19"/>
      <c r="J618" s="19"/>
      <c r="K618" s="19"/>
      <c r="L618" s="19"/>
      <c r="M618" s="19"/>
      <c r="N618" s="19"/>
      <c r="O618" s="19"/>
      <c r="P618" s="19"/>
      <c r="Q618" s="19"/>
      <c r="R618" s="19"/>
      <c r="S618" s="19"/>
      <c r="T618" s="19"/>
      <c r="U618" s="19"/>
      <c r="V618" s="19"/>
      <c r="W618" s="19"/>
      <c r="X618" s="19"/>
      <c r="Y618" s="19"/>
    </row>
    <row r="619" spans="2:25" ht="12" customHeight="1">
      <c r="B619" s="19"/>
      <c r="C619" s="19"/>
      <c r="D619" s="107"/>
      <c r="E619" s="107"/>
      <c r="F619" s="19"/>
      <c r="G619" s="19"/>
      <c r="H619" s="19"/>
      <c r="I619" s="19"/>
      <c r="J619" s="19"/>
      <c r="K619" s="19"/>
      <c r="L619" s="19"/>
      <c r="M619" s="19"/>
      <c r="N619" s="19"/>
      <c r="O619" s="19"/>
      <c r="P619" s="19"/>
      <c r="Q619" s="19"/>
      <c r="R619" s="19"/>
      <c r="S619" s="19"/>
      <c r="T619" s="19"/>
      <c r="U619" s="19"/>
      <c r="V619" s="19"/>
      <c r="W619" s="19"/>
      <c r="X619" s="19"/>
      <c r="Y619" s="19"/>
    </row>
    <row r="620" spans="2:25" ht="12" customHeight="1">
      <c r="B620" s="19"/>
      <c r="C620" s="19"/>
      <c r="D620" s="107"/>
      <c r="E620" s="107"/>
      <c r="F620" s="19"/>
      <c r="G620" s="19"/>
      <c r="H620" s="19"/>
      <c r="I620" s="19"/>
      <c r="J620" s="19"/>
      <c r="K620" s="19"/>
      <c r="L620" s="19"/>
      <c r="M620" s="19"/>
      <c r="N620" s="19"/>
      <c r="O620" s="19"/>
      <c r="P620" s="19"/>
      <c r="Q620" s="19"/>
      <c r="R620" s="19"/>
      <c r="S620" s="19"/>
      <c r="T620" s="19"/>
      <c r="U620" s="19"/>
      <c r="V620" s="19"/>
      <c r="W620" s="19"/>
      <c r="X620" s="19"/>
      <c r="Y620" s="19"/>
    </row>
    <row r="621" spans="2:25" ht="12" customHeight="1">
      <c r="B621" s="19"/>
      <c r="C621" s="19"/>
      <c r="D621" s="107"/>
      <c r="E621" s="107"/>
      <c r="F621" s="19"/>
      <c r="G621" s="19"/>
      <c r="H621" s="19"/>
      <c r="I621" s="19"/>
      <c r="J621" s="19"/>
      <c r="K621" s="19"/>
      <c r="L621" s="19"/>
      <c r="M621" s="19"/>
      <c r="N621" s="19"/>
      <c r="O621" s="19"/>
      <c r="P621" s="19"/>
      <c r="Q621" s="19"/>
      <c r="R621" s="19"/>
      <c r="S621" s="19"/>
      <c r="T621" s="19"/>
      <c r="U621" s="19"/>
      <c r="V621" s="19"/>
      <c r="W621" s="19"/>
      <c r="X621" s="19"/>
      <c r="Y621" s="19"/>
    </row>
    <row r="622" spans="2:25" ht="12" customHeight="1">
      <c r="B622" s="19"/>
      <c r="C622" s="19"/>
      <c r="D622" s="107"/>
      <c r="E622" s="107"/>
      <c r="F622" s="19"/>
      <c r="G622" s="19"/>
      <c r="H622" s="19"/>
      <c r="I622" s="19"/>
      <c r="J622" s="19"/>
      <c r="K622" s="19"/>
      <c r="L622" s="19"/>
      <c r="M622" s="19"/>
      <c r="N622" s="19"/>
      <c r="O622" s="19"/>
      <c r="P622" s="19"/>
      <c r="Q622" s="19"/>
      <c r="R622" s="19"/>
      <c r="S622" s="19"/>
      <c r="T622" s="19"/>
      <c r="U622" s="19"/>
      <c r="V622" s="19"/>
      <c r="W622" s="19"/>
      <c r="X622" s="19"/>
      <c r="Y622" s="19"/>
    </row>
    <row r="623" spans="2:25" ht="12" customHeight="1">
      <c r="B623" s="19"/>
      <c r="C623" s="19"/>
      <c r="D623" s="107"/>
      <c r="E623" s="107"/>
      <c r="F623" s="19"/>
      <c r="G623" s="19"/>
      <c r="H623" s="19"/>
      <c r="I623" s="19"/>
      <c r="J623" s="19"/>
      <c r="K623" s="19"/>
      <c r="L623" s="19"/>
      <c r="M623" s="19"/>
      <c r="N623" s="19"/>
      <c r="O623" s="19"/>
      <c r="P623" s="19"/>
      <c r="Q623" s="19"/>
      <c r="R623" s="19"/>
      <c r="S623" s="19"/>
      <c r="T623" s="19"/>
      <c r="U623" s="19"/>
      <c r="V623" s="19"/>
      <c r="W623" s="19"/>
      <c r="X623" s="19"/>
      <c r="Y623" s="19"/>
    </row>
    <row r="624" spans="2:25" ht="12" customHeight="1">
      <c r="B624" s="19"/>
      <c r="C624" s="19"/>
      <c r="D624" s="107"/>
      <c r="E624" s="107"/>
      <c r="F624" s="19"/>
      <c r="G624" s="19"/>
      <c r="H624" s="19"/>
      <c r="I624" s="19"/>
      <c r="J624" s="19"/>
      <c r="K624" s="19"/>
      <c r="L624" s="19"/>
      <c r="M624" s="19"/>
      <c r="N624" s="19"/>
      <c r="O624" s="19"/>
      <c r="P624" s="19"/>
      <c r="Q624" s="19"/>
      <c r="R624" s="19"/>
      <c r="S624" s="19"/>
      <c r="T624" s="19"/>
      <c r="U624" s="19"/>
      <c r="V624" s="19"/>
      <c r="W624" s="19"/>
      <c r="X624" s="19"/>
      <c r="Y624" s="19"/>
    </row>
    <row r="625" spans="2:25" ht="12" customHeight="1">
      <c r="B625" s="19"/>
      <c r="C625" s="19"/>
      <c r="D625" s="107"/>
      <c r="E625" s="107"/>
      <c r="F625" s="19"/>
      <c r="G625" s="19"/>
      <c r="H625" s="19"/>
      <c r="I625" s="19"/>
      <c r="J625" s="19"/>
      <c r="K625" s="19"/>
      <c r="L625" s="19"/>
      <c r="M625" s="19"/>
      <c r="N625" s="19"/>
      <c r="O625" s="19"/>
      <c r="P625" s="19"/>
      <c r="Q625" s="19"/>
      <c r="R625" s="19"/>
      <c r="S625" s="19"/>
      <c r="T625" s="19"/>
      <c r="U625" s="19"/>
      <c r="V625" s="19"/>
      <c r="W625" s="19"/>
      <c r="X625" s="19"/>
      <c r="Y625" s="19"/>
    </row>
    <row r="626" spans="2:25" ht="12" customHeight="1">
      <c r="B626" s="19"/>
      <c r="C626" s="19"/>
      <c r="D626" s="107"/>
      <c r="E626" s="107"/>
      <c r="F626" s="19"/>
      <c r="G626" s="19"/>
      <c r="H626" s="19"/>
      <c r="I626" s="19"/>
      <c r="J626" s="19"/>
      <c r="K626" s="19"/>
      <c r="L626" s="19"/>
      <c r="M626" s="19"/>
      <c r="N626" s="19"/>
      <c r="O626" s="19"/>
      <c r="P626" s="19"/>
      <c r="Q626" s="19"/>
      <c r="R626" s="19"/>
      <c r="S626" s="19"/>
      <c r="T626" s="19"/>
      <c r="U626" s="19"/>
      <c r="V626" s="19"/>
      <c r="W626" s="19"/>
      <c r="X626" s="19"/>
      <c r="Y626" s="19"/>
    </row>
    <row r="627" spans="2:25" ht="12" customHeight="1">
      <c r="B627" s="19"/>
      <c r="C627" s="19"/>
      <c r="D627" s="107"/>
      <c r="E627" s="107"/>
      <c r="F627" s="19"/>
      <c r="G627" s="19"/>
      <c r="H627" s="19"/>
      <c r="I627" s="19"/>
      <c r="J627" s="19"/>
      <c r="K627" s="19"/>
      <c r="L627" s="19"/>
      <c r="M627" s="19"/>
      <c r="N627" s="19"/>
      <c r="O627" s="19"/>
      <c r="P627" s="19"/>
      <c r="Q627" s="19"/>
      <c r="R627" s="19"/>
      <c r="S627" s="19"/>
      <c r="T627" s="19"/>
      <c r="U627" s="19"/>
      <c r="V627" s="19"/>
      <c r="W627" s="19"/>
      <c r="X627" s="19"/>
      <c r="Y627" s="19"/>
    </row>
    <row r="628" spans="2:25" ht="12" customHeight="1">
      <c r="B628" s="19"/>
      <c r="C628" s="19"/>
      <c r="D628" s="107"/>
      <c r="E628" s="107"/>
      <c r="F628" s="19"/>
      <c r="G628" s="19"/>
      <c r="H628" s="19"/>
      <c r="I628" s="19"/>
      <c r="J628" s="19"/>
      <c r="K628" s="19"/>
      <c r="L628" s="19"/>
      <c r="M628" s="19"/>
      <c r="N628" s="19"/>
      <c r="O628" s="19"/>
      <c r="P628" s="19"/>
      <c r="Q628" s="19"/>
      <c r="R628" s="19"/>
      <c r="S628" s="19"/>
      <c r="T628" s="19"/>
      <c r="U628" s="19"/>
      <c r="V628" s="19"/>
      <c r="W628" s="19"/>
      <c r="X628" s="19"/>
      <c r="Y628" s="19"/>
    </row>
    <row r="629" spans="2:25" ht="12" customHeight="1">
      <c r="B629" s="19"/>
      <c r="C629" s="19"/>
      <c r="D629" s="107"/>
      <c r="E629" s="107"/>
      <c r="F629" s="19"/>
      <c r="G629" s="19"/>
      <c r="H629" s="19"/>
      <c r="I629" s="19"/>
      <c r="J629" s="19"/>
      <c r="K629" s="19"/>
      <c r="L629" s="19"/>
      <c r="M629" s="19"/>
      <c r="N629" s="19"/>
      <c r="O629" s="19"/>
      <c r="P629" s="19"/>
      <c r="Q629" s="19"/>
      <c r="R629" s="19"/>
      <c r="S629" s="19"/>
      <c r="T629" s="19"/>
      <c r="U629" s="19"/>
      <c r="V629" s="19"/>
      <c r="W629" s="19"/>
      <c r="X629" s="19"/>
      <c r="Y629" s="19"/>
    </row>
    <row r="630" spans="2:25" ht="12" customHeight="1">
      <c r="B630" s="19"/>
      <c r="C630" s="19"/>
      <c r="D630" s="107"/>
      <c r="E630" s="107"/>
      <c r="F630" s="19"/>
      <c r="G630" s="19"/>
      <c r="H630" s="19"/>
      <c r="I630" s="19"/>
      <c r="J630" s="19"/>
      <c r="K630" s="19"/>
      <c r="L630" s="19"/>
      <c r="M630" s="19"/>
      <c r="N630" s="19"/>
      <c r="O630" s="19"/>
      <c r="P630" s="19"/>
      <c r="Q630" s="19"/>
      <c r="R630" s="19"/>
      <c r="S630" s="19"/>
      <c r="T630" s="19"/>
      <c r="U630" s="19"/>
      <c r="V630" s="19"/>
      <c r="W630" s="19"/>
      <c r="X630" s="19"/>
      <c r="Y630" s="19"/>
    </row>
    <row r="631" spans="2:25" ht="12" customHeight="1">
      <c r="B631" s="19"/>
      <c r="C631" s="19"/>
      <c r="D631" s="107"/>
      <c r="E631" s="107"/>
      <c r="F631" s="19"/>
      <c r="G631" s="19"/>
      <c r="H631" s="19"/>
      <c r="I631" s="19"/>
      <c r="J631" s="19"/>
      <c r="K631" s="19"/>
      <c r="L631" s="19"/>
      <c r="M631" s="19"/>
      <c r="N631" s="19"/>
      <c r="O631" s="19"/>
      <c r="P631" s="19"/>
      <c r="Q631" s="19"/>
      <c r="R631" s="19"/>
      <c r="S631" s="19"/>
      <c r="T631" s="19"/>
      <c r="U631" s="19"/>
      <c r="V631" s="19"/>
      <c r="W631" s="19"/>
      <c r="X631" s="19"/>
      <c r="Y631" s="19"/>
    </row>
    <row r="632" spans="2:25" ht="12" customHeight="1">
      <c r="B632" s="19"/>
      <c r="C632" s="19"/>
      <c r="D632" s="107"/>
      <c r="E632" s="107"/>
      <c r="F632" s="19"/>
      <c r="G632" s="19"/>
      <c r="H632" s="19"/>
      <c r="I632" s="19"/>
      <c r="J632" s="19"/>
      <c r="K632" s="19"/>
      <c r="L632" s="19"/>
      <c r="M632" s="19"/>
      <c r="N632" s="19"/>
      <c r="O632" s="19"/>
      <c r="P632" s="19"/>
      <c r="Q632" s="19"/>
      <c r="R632" s="19"/>
      <c r="S632" s="19"/>
      <c r="T632" s="19"/>
      <c r="U632" s="19"/>
      <c r="V632" s="19"/>
      <c r="W632" s="19"/>
      <c r="X632" s="19"/>
      <c r="Y632" s="19"/>
    </row>
    <row r="633" spans="2:25" ht="12" customHeight="1">
      <c r="B633" s="19"/>
      <c r="C633" s="19"/>
      <c r="D633" s="107"/>
      <c r="E633" s="107"/>
      <c r="F633" s="19"/>
      <c r="G633" s="19"/>
      <c r="H633" s="19"/>
      <c r="I633" s="19"/>
      <c r="J633" s="19"/>
      <c r="K633" s="19"/>
      <c r="L633" s="19"/>
      <c r="M633" s="19"/>
      <c r="N633" s="19"/>
      <c r="O633" s="19"/>
      <c r="P633" s="19"/>
      <c r="Q633" s="19"/>
      <c r="R633" s="19"/>
      <c r="S633" s="19"/>
      <c r="T633" s="19"/>
      <c r="U633" s="19"/>
      <c r="V633" s="19"/>
      <c r="W633" s="19"/>
      <c r="X633" s="19"/>
      <c r="Y633" s="19"/>
    </row>
    <row r="634" spans="2:25" ht="12" customHeight="1">
      <c r="B634" s="19"/>
      <c r="C634" s="19"/>
      <c r="D634" s="107"/>
      <c r="E634" s="107"/>
      <c r="F634" s="19"/>
      <c r="G634" s="19"/>
      <c r="H634" s="19"/>
      <c r="I634" s="19"/>
      <c r="J634" s="19"/>
      <c r="K634" s="19"/>
      <c r="L634" s="19"/>
      <c r="M634" s="19"/>
      <c r="N634" s="19"/>
      <c r="O634" s="19"/>
      <c r="P634" s="19"/>
      <c r="Q634" s="19"/>
      <c r="R634" s="19"/>
      <c r="S634" s="19"/>
      <c r="T634" s="19"/>
      <c r="U634" s="19"/>
      <c r="V634" s="19"/>
      <c r="W634" s="19"/>
      <c r="X634" s="19"/>
      <c r="Y634" s="19"/>
    </row>
    <row r="635" spans="2:25" ht="12" customHeight="1">
      <c r="B635" s="19"/>
      <c r="C635" s="19"/>
      <c r="D635" s="107"/>
      <c r="E635" s="107"/>
      <c r="F635" s="19"/>
      <c r="G635" s="19"/>
      <c r="H635" s="19"/>
      <c r="I635" s="19"/>
      <c r="J635" s="19"/>
      <c r="K635" s="19"/>
      <c r="L635" s="19"/>
      <c r="M635" s="19"/>
      <c r="N635" s="19"/>
      <c r="O635" s="19"/>
      <c r="P635" s="19"/>
      <c r="Q635" s="19"/>
      <c r="R635" s="19"/>
      <c r="S635" s="19"/>
      <c r="T635" s="19"/>
      <c r="U635" s="19"/>
      <c r="V635" s="19"/>
      <c r="W635" s="19"/>
      <c r="X635" s="19"/>
      <c r="Y635" s="19"/>
    </row>
    <row r="636" spans="2:25" ht="12" customHeight="1">
      <c r="B636" s="19"/>
      <c r="C636" s="19"/>
      <c r="D636" s="107"/>
      <c r="E636" s="107"/>
      <c r="F636" s="19"/>
      <c r="G636" s="19"/>
      <c r="H636" s="19"/>
      <c r="I636" s="19"/>
      <c r="J636" s="19"/>
      <c r="K636" s="19"/>
      <c r="L636" s="19"/>
      <c r="M636" s="19"/>
      <c r="N636" s="19"/>
      <c r="O636" s="19"/>
      <c r="P636" s="19"/>
      <c r="Q636" s="19"/>
      <c r="R636" s="19"/>
      <c r="S636" s="19"/>
      <c r="T636" s="19"/>
      <c r="U636" s="19"/>
      <c r="V636" s="19"/>
      <c r="W636" s="19"/>
      <c r="X636" s="19"/>
      <c r="Y636" s="19"/>
    </row>
    <row r="637" spans="2:25" ht="12" customHeight="1">
      <c r="B637" s="19"/>
      <c r="C637" s="19"/>
      <c r="D637" s="107"/>
      <c r="E637" s="107"/>
      <c r="F637" s="19"/>
      <c r="G637" s="19"/>
      <c r="H637" s="19"/>
      <c r="I637" s="19"/>
      <c r="J637" s="19"/>
      <c r="K637" s="19"/>
      <c r="L637" s="19"/>
      <c r="M637" s="19"/>
      <c r="N637" s="19"/>
      <c r="O637" s="19"/>
      <c r="P637" s="19"/>
      <c r="Q637" s="19"/>
      <c r="R637" s="19"/>
      <c r="S637" s="19"/>
      <c r="T637" s="19"/>
      <c r="U637" s="19"/>
      <c r="V637" s="19"/>
      <c r="W637" s="19"/>
      <c r="X637" s="19"/>
      <c r="Y637" s="19"/>
    </row>
    <row r="638" spans="2:25" ht="12" customHeight="1">
      <c r="B638" s="19"/>
      <c r="C638" s="19"/>
      <c r="D638" s="107"/>
      <c r="E638" s="107"/>
      <c r="F638" s="19"/>
      <c r="G638" s="19"/>
      <c r="H638" s="19"/>
      <c r="I638" s="19"/>
      <c r="J638" s="19"/>
      <c r="K638" s="19"/>
      <c r="L638" s="19"/>
      <c r="M638" s="19"/>
      <c r="N638" s="19"/>
      <c r="O638" s="19"/>
      <c r="P638" s="19"/>
      <c r="Q638" s="19"/>
      <c r="R638" s="19"/>
      <c r="S638" s="19"/>
      <c r="T638" s="19"/>
      <c r="U638" s="19"/>
      <c r="V638" s="19"/>
      <c r="W638" s="19"/>
      <c r="X638" s="19"/>
      <c r="Y638" s="19"/>
    </row>
    <row r="639" spans="2:25" ht="12" customHeight="1">
      <c r="B639" s="19"/>
      <c r="C639" s="19"/>
      <c r="D639" s="107"/>
      <c r="E639" s="107"/>
      <c r="F639" s="19"/>
      <c r="G639" s="19"/>
      <c r="H639" s="19"/>
      <c r="I639" s="19"/>
      <c r="J639" s="19"/>
      <c r="K639" s="19"/>
      <c r="L639" s="19"/>
      <c r="M639" s="19"/>
      <c r="N639" s="19"/>
      <c r="O639" s="19"/>
      <c r="P639" s="19"/>
      <c r="Q639" s="19"/>
      <c r="R639" s="19"/>
      <c r="S639" s="19"/>
      <c r="T639" s="19"/>
      <c r="U639" s="19"/>
      <c r="V639" s="19"/>
      <c r="W639" s="19"/>
      <c r="X639" s="19"/>
      <c r="Y639" s="19"/>
    </row>
    <row r="640" spans="2:25" ht="12" customHeight="1">
      <c r="B640" s="19"/>
      <c r="C640" s="19"/>
      <c r="D640" s="107"/>
      <c r="E640" s="107"/>
      <c r="F640" s="19"/>
      <c r="G640" s="19"/>
      <c r="H640" s="19"/>
      <c r="I640" s="19"/>
      <c r="J640" s="19"/>
      <c r="K640" s="19"/>
      <c r="L640" s="19"/>
      <c r="M640" s="19"/>
      <c r="N640" s="19"/>
      <c r="O640" s="19"/>
      <c r="P640" s="19"/>
      <c r="Q640" s="19"/>
      <c r="R640" s="19"/>
      <c r="S640" s="19"/>
      <c r="T640" s="19"/>
      <c r="U640" s="19"/>
      <c r="V640" s="19"/>
      <c r="W640" s="19"/>
      <c r="X640" s="19"/>
      <c r="Y640" s="19"/>
    </row>
    <row r="641" spans="2:25" ht="12" customHeight="1">
      <c r="B641" s="19"/>
      <c r="C641" s="19"/>
      <c r="D641" s="107"/>
      <c r="E641" s="107"/>
      <c r="F641" s="19"/>
      <c r="G641" s="19"/>
      <c r="H641" s="19"/>
      <c r="I641" s="19"/>
      <c r="J641" s="19"/>
      <c r="K641" s="19"/>
      <c r="L641" s="19"/>
      <c r="M641" s="19"/>
      <c r="N641" s="19"/>
      <c r="O641" s="19"/>
      <c r="P641" s="19"/>
      <c r="Q641" s="19"/>
      <c r="R641" s="19"/>
      <c r="S641" s="19"/>
      <c r="T641" s="19"/>
      <c r="U641" s="19"/>
      <c r="V641" s="19"/>
      <c r="W641" s="19"/>
      <c r="X641" s="19"/>
      <c r="Y641" s="19"/>
    </row>
    <row r="642" spans="2:25" ht="12" customHeight="1">
      <c r="B642" s="19"/>
      <c r="C642" s="19"/>
      <c r="D642" s="107"/>
      <c r="E642" s="107"/>
      <c r="F642" s="19"/>
      <c r="G642" s="19"/>
      <c r="H642" s="19"/>
      <c r="I642" s="19"/>
      <c r="J642" s="19"/>
      <c r="K642" s="19"/>
      <c r="L642" s="19"/>
      <c r="M642" s="19"/>
      <c r="N642" s="19"/>
      <c r="O642" s="19"/>
      <c r="P642" s="19"/>
      <c r="Q642" s="19"/>
      <c r="R642" s="19"/>
      <c r="S642" s="19"/>
      <c r="T642" s="19"/>
      <c r="U642" s="19"/>
      <c r="V642" s="19"/>
      <c r="W642" s="19"/>
      <c r="X642" s="19"/>
      <c r="Y642" s="19"/>
    </row>
    <row r="643" spans="2:25" ht="12" customHeight="1">
      <c r="B643" s="19"/>
      <c r="C643" s="19"/>
      <c r="D643" s="107"/>
      <c r="E643" s="107"/>
      <c r="F643" s="19"/>
      <c r="G643" s="19"/>
      <c r="H643" s="19"/>
      <c r="I643" s="19"/>
      <c r="J643" s="19"/>
      <c r="K643" s="19"/>
      <c r="L643" s="19"/>
      <c r="M643" s="19"/>
      <c r="N643" s="19"/>
      <c r="O643" s="19"/>
      <c r="P643" s="19"/>
      <c r="Q643" s="19"/>
      <c r="R643" s="19"/>
      <c r="S643" s="19"/>
      <c r="T643" s="19"/>
      <c r="U643" s="19"/>
      <c r="V643" s="19"/>
      <c r="W643" s="19"/>
      <c r="X643" s="19"/>
      <c r="Y643" s="19"/>
    </row>
    <row r="644" spans="2:25" ht="12" customHeight="1">
      <c r="B644" s="19"/>
      <c r="C644" s="19"/>
      <c r="D644" s="107"/>
      <c r="E644" s="107"/>
      <c r="F644" s="19"/>
      <c r="G644" s="19"/>
      <c r="H644" s="19"/>
      <c r="I644" s="19"/>
      <c r="J644" s="19"/>
      <c r="K644" s="19"/>
      <c r="L644" s="19"/>
      <c r="M644" s="19"/>
      <c r="N644" s="19"/>
      <c r="O644" s="19"/>
      <c r="P644" s="19"/>
      <c r="Q644" s="19"/>
      <c r="R644" s="19"/>
      <c r="S644" s="19"/>
      <c r="T644" s="19"/>
      <c r="U644" s="19"/>
      <c r="V644" s="19"/>
      <c r="W644" s="19"/>
      <c r="X644" s="19"/>
      <c r="Y644" s="19"/>
    </row>
    <row r="645" spans="2:25" ht="12" customHeight="1">
      <c r="B645" s="19"/>
      <c r="C645" s="19"/>
      <c r="D645" s="107"/>
      <c r="E645" s="107"/>
      <c r="F645" s="19"/>
      <c r="G645" s="19"/>
      <c r="H645" s="19"/>
      <c r="I645" s="19"/>
      <c r="J645" s="19"/>
      <c r="K645" s="19"/>
      <c r="L645" s="19"/>
      <c r="M645" s="19"/>
      <c r="N645" s="19"/>
      <c r="O645" s="19"/>
      <c r="P645" s="19"/>
      <c r="Q645" s="19"/>
      <c r="R645" s="19"/>
      <c r="S645" s="19"/>
      <c r="T645" s="19"/>
      <c r="U645" s="19"/>
      <c r="V645" s="19"/>
      <c r="W645" s="19"/>
      <c r="X645" s="19"/>
      <c r="Y645" s="19"/>
    </row>
    <row r="646" spans="2:25" ht="12" customHeight="1">
      <c r="B646" s="19"/>
      <c r="C646" s="19"/>
      <c r="D646" s="107"/>
      <c r="E646" s="107"/>
      <c r="F646" s="19"/>
      <c r="G646" s="19"/>
      <c r="H646" s="19"/>
      <c r="I646" s="19"/>
      <c r="J646" s="19"/>
      <c r="K646" s="19"/>
      <c r="L646" s="19"/>
      <c r="M646" s="19"/>
      <c r="N646" s="19"/>
      <c r="O646" s="19"/>
      <c r="P646" s="19"/>
      <c r="Q646" s="19"/>
      <c r="R646" s="19"/>
      <c r="S646" s="19"/>
      <c r="T646" s="19"/>
      <c r="U646" s="19"/>
      <c r="V646" s="19"/>
      <c r="W646" s="19"/>
      <c r="X646" s="19"/>
      <c r="Y646" s="19"/>
    </row>
    <row r="647" spans="2:25" ht="12" customHeight="1">
      <c r="B647" s="19"/>
      <c r="C647" s="19"/>
      <c r="D647" s="107"/>
      <c r="E647" s="107"/>
      <c r="F647" s="19"/>
      <c r="G647" s="19"/>
      <c r="H647" s="19"/>
      <c r="I647" s="19"/>
      <c r="J647" s="19"/>
      <c r="K647" s="19"/>
      <c r="L647" s="19"/>
      <c r="M647" s="19"/>
      <c r="N647" s="19"/>
      <c r="O647" s="19"/>
      <c r="P647" s="19"/>
      <c r="Q647" s="19"/>
      <c r="R647" s="19"/>
      <c r="S647" s="19"/>
      <c r="T647" s="19"/>
      <c r="U647" s="19"/>
      <c r="V647" s="19"/>
      <c r="W647" s="19"/>
      <c r="X647" s="19"/>
      <c r="Y647" s="19"/>
    </row>
    <row r="648" spans="2:25" ht="12" customHeight="1">
      <c r="B648" s="19"/>
      <c r="C648" s="19"/>
      <c r="D648" s="107"/>
      <c r="E648" s="107"/>
      <c r="F648" s="19"/>
      <c r="G648" s="19"/>
      <c r="H648" s="19"/>
      <c r="I648" s="19"/>
      <c r="J648" s="19"/>
      <c r="K648" s="19"/>
      <c r="L648" s="19"/>
      <c r="M648" s="19"/>
      <c r="N648" s="19"/>
      <c r="O648" s="19"/>
      <c r="P648" s="19"/>
      <c r="Q648" s="19"/>
      <c r="R648" s="19"/>
      <c r="S648" s="19"/>
      <c r="T648" s="19"/>
      <c r="U648" s="19"/>
      <c r="V648" s="19"/>
      <c r="W648" s="19"/>
      <c r="X648" s="19"/>
      <c r="Y648" s="19"/>
    </row>
    <row r="649" spans="2:25" ht="12" customHeight="1">
      <c r="B649" s="19"/>
      <c r="C649" s="19"/>
      <c r="D649" s="107"/>
      <c r="E649" s="107"/>
      <c r="F649" s="19"/>
      <c r="G649" s="19"/>
      <c r="H649" s="19"/>
      <c r="I649" s="19"/>
      <c r="J649" s="19"/>
      <c r="K649" s="19"/>
      <c r="L649" s="19"/>
      <c r="M649" s="19"/>
      <c r="N649" s="19"/>
      <c r="O649" s="19"/>
      <c r="P649" s="19"/>
      <c r="Q649" s="19"/>
      <c r="R649" s="19"/>
      <c r="S649" s="19"/>
      <c r="T649" s="19"/>
      <c r="U649" s="19"/>
      <c r="V649" s="19"/>
      <c r="W649" s="19"/>
      <c r="X649" s="19"/>
      <c r="Y649" s="19"/>
    </row>
    <row r="650" spans="2:25" ht="12" customHeight="1">
      <c r="B650" s="19"/>
      <c r="C650" s="19"/>
      <c r="D650" s="107"/>
      <c r="E650" s="107"/>
      <c r="F650" s="19"/>
      <c r="G650" s="19"/>
      <c r="H650" s="19"/>
      <c r="I650" s="19"/>
      <c r="J650" s="19"/>
      <c r="K650" s="19"/>
      <c r="L650" s="19"/>
      <c r="M650" s="19"/>
      <c r="N650" s="19"/>
      <c r="O650" s="19"/>
      <c r="P650" s="19"/>
      <c r="Q650" s="19"/>
      <c r="R650" s="19"/>
      <c r="S650" s="19"/>
      <c r="T650" s="19"/>
      <c r="U650" s="19"/>
      <c r="V650" s="19"/>
      <c r="W650" s="19"/>
      <c r="X650" s="19"/>
      <c r="Y650" s="19"/>
    </row>
    <row r="651" spans="2:25" ht="12" customHeight="1">
      <c r="B651" s="19"/>
      <c r="C651" s="19"/>
      <c r="D651" s="107"/>
      <c r="E651" s="107"/>
      <c r="F651" s="19"/>
      <c r="G651" s="19"/>
      <c r="H651" s="19"/>
      <c r="I651" s="19"/>
      <c r="J651" s="19"/>
      <c r="K651" s="19"/>
      <c r="L651" s="19"/>
      <c r="M651" s="19"/>
      <c r="N651" s="19"/>
      <c r="O651" s="19"/>
      <c r="P651" s="19"/>
      <c r="Q651" s="19"/>
      <c r="R651" s="19"/>
      <c r="S651" s="19"/>
      <c r="T651" s="19"/>
      <c r="U651" s="19"/>
      <c r="V651" s="19"/>
      <c r="W651" s="19"/>
      <c r="X651" s="19"/>
      <c r="Y651" s="19"/>
    </row>
    <row r="652" spans="2:25" ht="12" customHeight="1">
      <c r="B652" s="19"/>
      <c r="C652" s="19"/>
      <c r="D652" s="107"/>
      <c r="E652" s="107"/>
      <c r="F652" s="19"/>
      <c r="G652" s="19"/>
      <c r="H652" s="19"/>
      <c r="I652" s="19"/>
      <c r="J652" s="19"/>
      <c r="K652" s="19"/>
      <c r="L652" s="19"/>
      <c r="M652" s="19"/>
      <c r="N652" s="19"/>
      <c r="O652" s="19"/>
      <c r="P652" s="19"/>
      <c r="Q652" s="19"/>
      <c r="R652" s="19"/>
      <c r="S652" s="19"/>
      <c r="T652" s="19"/>
      <c r="U652" s="19"/>
      <c r="V652" s="19"/>
      <c r="W652" s="19"/>
      <c r="X652" s="19"/>
      <c r="Y652" s="19"/>
    </row>
  </sheetData>
  <sheetCalcPr fullCalcOnLoad="true"/>
  <sheetProtection password="DC4E" sheet="true" scenarios="true" objects="true"/>
  <mergeCells count="2">
    <mergeCell ref="B11:C11"/>
    <mergeCell ref="B9:M9"/>
  </mergeCells>
  <conditionalFormatting sqref="E57:E91 E95:E129 E133:E167 E171:E205 E19:E53">
    <cfRule type="cellIs" dxfId="137" priority="134" stopIfTrue="1" operator="equal">
      <formula>"ERR"</formula>
    </cfRule>
  </conditionalFormatting>
  <conditionalFormatting sqref="D19:D53 D57:D91 D95:D129 D133:D167 D171:D205 F19:J19 F57:J57 F95:J95 F133:J133 F171:J171">
    <cfRule type="expression" dxfId="136" priority="128" stopIfTrue="1">
      <formula>ISBLANK(D19)</formula>
    </cfRule>
    <cfRule type="cellIs" dxfId="135" priority="129" stopIfTrue="1" operator="equal">
      <formula>"Pasa"</formula>
    </cfRule>
    <cfRule type="cellIs" dxfId="134" priority="130" stopIfTrue="1" operator="equal">
      <formula>"Falla"</formula>
    </cfRule>
    <cfRule type="cellIs" dxfId="133" priority="131" stopIfTrue="1" operator="equal">
      <formula>"N/A"</formula>
    </cfRule>
    <cfRule type="cellIs" dxfId="132" priority="132" stopIfTrue="1" operator="equal">
      <formula>"N/T"</formula>
    </cfRule>
    <cfRule type="cellIs" dxfId="131" priority="133" stopIfTrue="1" operator="equal">
      <formula>"N/D"</formula>
    </cfRule>
  </conditionalFormatting>
  <conditionalFormatting sqref="D19:D500">
    <cfRule type="cellIs" dxfId="130" priority="13" stopIfTrue="1" operator="equal">
      <formula>"-"</formula>
    </cfRule>
  </conditionalFormatting>
  <conditionalFormatting sqref="K23">
    <cfRule type="expression" dxfId="129" priority="7" stopIfTrue="1">
      <formula>ISBLANK(K23)</formula>
    </cfRule>
    <cfRule type="cellIs" dxfId="128" priority="8" stopIfTrue="1" operator="equal">
      <formula>"Pasa"</formula>
    </cfRule>
    <cfRule type="cellIs" dxfId="127" priority="9" stopIfTrue="1" operator="equal">
      <formula>"Falla"</formula>
    </cfRule>
    <cfRule type="cellIs" dxfId="126" priority="10" stopIfTrue="1" operator="equal">
      <formula>"N/A"</formula>
    </cfRule>
    <cfRule type="cellIs" dxfId="125" priority="11" stopIfTrue="1" operator="equal">
      <formula>"N/T"</formula>
    </cfRule>
    <cfRule type="cellIs" dxfId="124" priority="12" stopIfTrue="1" operator="equal">
      <formula>"N/D"</formula>
    </cfRule>
  </conditionalFormatting>
  <conditionalFormatting sqref="K24">
    <cfRule type="expression" dxfId="123" priority="1" stopIfTrue="1">
      <formula>ISBLANK(K24)</formula>
    </cfRule>
    <cfRule type="cellIs" dxfId="122" priority="2" stopIfTrue="1" operator="equal">
      <formula>"Pasa"</formula>
    </cfRule>
    <cfRule type="cellIs" dxfId="121" priority="3" stopIfTrue="1" operator="equal">
      <formula>"Falla"</formula>
    </cfRule>
    <cfRule type="cellIs" dxfId="120" priority="4" stopIfTrue="1" operator="equal">
      <formula>"N/A"</formula>
    </cfRule>
    <cfRule type="cellIs" dxfId="119" priority="5" stopIfTrue="1" operator="equal">
      <formula>"N/T"</formula>
    </cfRule>
    <cfRule type="cellIs" dxfId="118" priority="6" stopIfTrue="1" operator="equal">
      <formula>"N/D"</formula>
    </cfRule>
  </conditionalFormatting>
  <pageMargins left="0.7" right="0.7" top="0.75" bottom="0.75" header="0.51180555555555496" footer="0.51180555555555496"/>
  <pageSetup firstPageNumber="0" orientation="portrait" horizontalDpi="300" verticalDpi="300" r:id="rId1"/>
  <drawing r:id="rId2"/>
  <legacyDrawing r:id="rId3"/>
  <extLst>
    <ext uri="{CCE6A557-97BC-4b89-ADB6-D9C93CAAB3DF}">
      <x14:dataValidations xmlns:xm="http://schemas.microsoft.com/office/excel/2006/main" count="1">
        <x14:dataValidation type="list" operator="equal" showErrorMessage="1">
          <x14:formula1>
            <xm:f>'DATA - Oculta'!$U$9:$U$13</xm:f>
          </x14:formula1>
          <xm:sqref>D19:D53 D95:D129 D57:D91 D133:D167 D171:D205</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4"/>
  <dimension ref="B1:CX96"/>
  <sheetViews>
    <sheetView zoomScale="70" zoomScaleNormal="70" workbookViewId="0">
      <selection activeCell="I10" sqref="I10"/>
    </sheetView>
  </sheetViews>
  <sheetFormatPr baseColWidth="10" defaultColWidth="11.5703125" defaultRowHeight="12.75"/>
  <cols>
    <col min="1" max="1" customWidth="true" style="14" width="3.140625" collapsed="false"/>
    <col min="2" max="2" customWidth="true" style="113" width="9.140625" collapsed="false"/>
    <col min="3" max="3" customWidth="true" style="102" width="18.5703125" collapsed="false"/>
    <col min="4" max="4" customWidth="true" style="14" width="59.28515625" collapsed="false"/>
    <col min="5" max="29" customWidth="true" style="14" width="16.42578125" collapsed="false"/>
    <col min="30" max="106" customWidth="true" style="14" width="19.5703125" collapsed="false"/>
    <col min="107" max="16384" style="14" width="11.5703125" collapsed="false"/>
  </cols>
  <sheetData>
    <row r="1" spans="2:65" ht="12.75" customHeight="1">
      <c r="B1" s="177"/>
      <c r="C1" s="2"/>
      <c r="D1" s="19"/>
      <c r="E1" s="19"/>
      <c r="F1" s="19"/>
      <c r="G1" s="19"/>
      <c r="H1" s="19"/>
      <c r="I1" s="19"/>
      <c r="J1" s="19"/>
      <c r="K1" s="19"/>
      <c r="L1" s="19"/>
      <c r="M1" s="19"/>
      <c r="N1" s="19"/>
      <c r="O1" s="19"/>
      <c r="P1" s="19"/>
      <c r="Q1" s="19"/>
      <c r="R1" s="19"/>
      <c r="S1" s="19"/>
      <c r="T1" s="19"/>
      <c r="U1" s="19"/>
      <c r="V1" s="19"/>
      <c r="W1" s="19"/>
      <c r="X1" s="19"/>
      <c r="Y1" s="19"/>
      <c r="Z1" s="19"/>
      <c r="AA1" s="19"/>
    </row>
    <row r="2" spans="2:65" ht="27" customHeight="1">
      <c r="B2" s="177"/>
      <c r="C2" s="64" t="s">
        <v>0</v>
      </c>
      <c r="D2" s="19"/>
      <c r="E2" s="19"/>
      <c r="F2" s="19"/>
      <c r="G2" s="19"/>
      <c r="H2" s="19"/>
      <c r="I2" s="19"/>
      <c r="J2" s="19"/>
      <c r="K2" s="19"/>
      <c r="L2" s="19"/>
      <c r="M2" s="19"/>
      <c r="N2" s="19"/>
      <c r="O2" s="19"/>
      <c r="P2" s="19"/>
      <c r="Q2" s="19"/>
      <c r="R2" s="19"/>
      <c r="S2" s="19"/>
      <c r="T2" s="19"/>
      <c r="U2" s="19"/>
      <c r="V2" s="19"/>
      <c r="W2" s="19"/>
      <c r="X2" s="19"/>
      <c r="Y2" s="19"/>
      <c r="Z2" s="19"/>
      <c r="AA2" s="19"/>
    </row>
    <row r="3" spans="2:65" ht="26.1" customHeight="1">
      <c r="B3" s="177"/>
      <c r="C3" s="65" t="s">
        <v>278</v>
      </c>
      <c r="D3" s="19"/>
      <c r="E3" s="19"/>
      <c r="F3" s="19"/>
      <c r="G3" s="19"/>
      <c r="H3" s="19"/>
      <c r="I3" s="19"/>
      <c r="J3" s="19"/>
      <c r="K3" s="19"/>
      <c r="L3" s="19"/>
      <c r="M3" s="19"/>
      <c r="N3" s="19"/>
      <c r="O3" s="19"/>
      <c r="P3" s="19"/>
      <c r="Q3" s="19"/>
      <c r="R3" s="19"/>
      <c r="S3" s="19"/>
      <c r="T3" s="19"/>
      <c r="U3" s="19"/>
      <c r="V3" s="19"/>
      <c r="W3" s="19"/>
      <c r="X3" s="19"/>
      <c r="Y3" s="19"/>
      <c r="Z3" s="19"/>
      <c r="AA3" s="19"/>
    </row>
    <row r="4" spans="2:65" ht="26.1" customHeight="1">
      <c r="B4" s="177"/>
      <c r="C4" s="88"/>
      <c r="D4" s="19"/>
      <c r="E4" s="19"/>
      <c r="F4" s="19"/>
      <c r="G4" s="19"/>
      <c r="H4" s="19"/>
      <c r="I4" s="19"/>
      <c r="J4" s="19"/>
      <c r="K4" s="19"/>
      <c r="L4" s="19"/>
      <c r="M4" s="19"/>
      <c r="N4" s="19"/>
      <c r="O4" s="19"/>
      <c r="P4" s="19"/>
      <c r="Q4" s="19"/>
      <c r="R4" s="19"/>
      <c r="S4" s="19"/>
      <c r="T4" s="19"/>
      <c r="U4" s="19"/>
      <c r="V4" s="19"/>
      <c r="W4" s="19"/>
      <c r="X4" s="19"/>
      <c r="Y4" s="19"/>
      <c r="Z4" s="19"/>
      <c r="AA4" s="19"/>
    </row>
    <row r="5" spans="2:65" ht="26.1" customHeight="1">
      <c r="C5" s="7" t="s">
        <v>39</v>
      </c>
      <c r="D5" s="7"/>
      <c r="E5" s="78"/>
      <c r="F5" s="78"/>
      <c r="G5" s="78"/>
      <c r="H5" s="78"/>
      <c r="I5" s="78"/>
      <c r="J5" s="78"/>
      <c r="K5" s="78"/>
      <c r="L5" s="78"/>
      <c r="M5" s="78"/>
      <c r="N5" s="78"/>
      <c r="O5" s="78"/>
      <c r="P5" s="78"/>
      <c r="Q5" s="78"/>
      <c r="R5" s="78"/>
      <c r="S5" s="78"/>
      <c r="T5" s="78"/>
      <c r="U5" s="78"/>
      <c r="V5" s="78"/>
      <c r="W5" s="78"/>
      <c r="X5" s="78"/>
      <c r="Y5" s="78"/>
      <c r="Z5" s="78"/>
      <c r="AA5" s="78"/>
      <c r="AB5" s="78"/>
      <c r="AC5" s="78"/>
      <c r="AD5" s="78"/>
      <c r="AE5" s="78"/>
      <c r="AF5" s="78"/>
      <c r="AG5" s="78"/>
      <c r="AH5" s="78"/>
      <c r="AI5" s="68"/>
      <c r="AJ5" s="68"/>
      <c r="AK5" s="68"/>
      <c r="AL5" s="68"/>
      <c r="AM5" s="68"/>
      <c r="AN5" s="68"/>
      <c r="AO5" s="68"/>
      <c r="AP5" s="68"/>
      <c r="AQ5" s="68"/>
      <c r="AR5" s="68"/>
      <c r="AS5" s="68"/>
      <c r="AT5" s="68"/>
      <c r="AU5" s="68"/>
      <c r="AV5" s="68"/>
      <c r="AW5" s="68"/>
      <c r="AX5" s="68"/>
      <c r="AY5" s="68"/>
      <c r="AZ5" s="68"/>
      <c r="BA5" s="68"/>
      <c r="BB5" s="68"/>
      <c r="BC5" s="68"/>
      <c r="BD5" s="68"/>
      <c r="BE5" s="68"/>
      <c r="BF5" s="68"/>
      <c r="BG5" s="68"/>
      <c r="BH5" s="68"/>
      <c r="BI5" s="68"/>
      <c r="BJ5" s="68"/>
      <c r="BK5" s="68"/>
      <c r="BL5" s="68"/>
      <c r="BM5" s="68"/>
    </row>
    <row r="6" spans="2:65" ht="19.149999999999999" customHeight="1" thickBot="1">
      <c r="B6" s="178"/>
      <c r="C6" s="67"/>
      <c r="D6" s="67"/>
      <c r="E6" s="67"/>
      <c r="F6" s="67"/>
      <c r="G6" s="67"/>
      <c r="H6" s="67"/>
      <c r="I6" s="67"/>
      <c r="J6" s="67"/>
      <c r="K6" s="266" t="s">
        <v>40</v>
      </c>
      <c r="L6" s="266"/>
      <c r="M6" s="266"/>
      <c r="N6" s="67"/>
      <c r="O6" s="266" t="s">
        <v>41</v>
      </c>
      <c r="P6" s="266"/>
      <c r="Q6" s="266"/>
      <c r="R6" s="67"/>
      <c r="S6" s="67"/>
      <c r="T6" s="67"/>
      <c r="U6" s="67"/>
      <c r="V6" s="67"/>
      <c r="W6" s="67"/>
      <c r="X6" s="67"/>
      <c r="Y6" s="67"/>
      <c r="Z6" s="67"/>
      <c r="AA6" s="67"/>
      <c r="AB6" s="68"/>
      <c r="AC6" s="68"/>
      <c r="AD6" s="68"/>
      <c r="AE6" s="68"/>
      <c r="AF6" s="68"/>
      <c r="AG6" s="68"/>
      <c r="AH6" s="68"/>
      <c r="AI6" s="68"/>
      <c r="AJ6" s="68"/>
      <c r="AK6" s="68"/>
      <c r="AL6" s="68"/>
      <c r="AM6" s="68"/>
      <c r="AN6" s="68"/>
      <c r="AO6" s="68"/>
      <c r="AP6" s="68"/>
      <c r="AQ6" s="68"/>
      <c r="AR6" s="68"/>
      <c r="AS6" s="68"/>
      <c r="AT6" s="68"/>
      <c r="AU6" s="68"/>
      <c r="AV6" s="68"/>
      <c r="AW6" s="68"/>
      <c r="AX6" s="68"/>
      <c r="AY6" s="68"/>
      <c r="AZ6" s="68"/>
      <c r="BA6" s="68"/>
      <c r="BB6" s="68"/>
      <c r="BC6" s="68"/>
      <c r="BD6" s="68"/>
      <c r="BE6" s="68"/>
      <c r="BF6" s="68"/>
      <c r="BG6" s="68"/>
      <c r="BH6" s="68"/>
      <c r="BI6" s="68"/>
      <c r="BJ6" s="68"/>
      <c r="BK6" s="68"/>
      <c r="BL6" s="68"/>
      <c r="BM6" s="68"/>
    </row>
    <row r="7" spans="2:65" ht="34.15" customHeight="1">
      <c r="C7" s="267" t="s">
        <v>152</v>
      </c>
      <c r="D7" s="268"/>
      <c r="E7" s="44" t="s">
        <v>42</v>
      </c>
      <c r="F7" s="44" t="s">
        <v>43</v>
      </c>
      <c r="G7" s="44" t="s">
        <v>31</v>
      </c>
      <c r="H7" s="44" t="s">
        <v>44</v>
      </c>
      <c r="I7" s="45" t="s">
        <v>45</v>
      </c>
      <c r="J7" s="235" t="s">
        <v>477</v>
      </c>
      <c r="K7" s="50" t="s">
        <v>46</v>
      </c>
      <c r="L7" s="141" t="s">
        <v>360</v>
      </c>
      <c r="M7" s="51" t="s">
        <v>24</v>
      </c>
      <c r="O7" s="50" t="s">
        <v>46</v>
      </c>
      <c r="P7" s="141" t="s">
        <v>360</v>
      </c>
      <c r="Q7" s="51" t="s">
        <v>24</v>
      </c>
      <c r="U7" s="67"/>
      <c r="V7" s="67"/>
      <c r="W7" s="67"/>
      <c r="X7" s="67"/>
      <c r="Y7" s="67"/>
      <c r="Z7" s="67"/>
      <c r="AA7" s="67"/>
      <c r="AB7" s="68"/>
      <c r="AC7" s="68"/>
      <c r="AD7" s="68"/>
      <c r="AE7" s="68"/>
      <c r="AF7" s="68"/>
      <c r="AG7" s="68"/>
      <c r="AH7" s="68"/>
      <c r="AI7" s="68"/>
      <c r="AJ7" s="68"/>
      <c r="AK7" s="68"/>
      <c r="AL7" s="68"/>
      <c r="AM7" s="68"/>
      <c r="AN7" s="68"/>
      <c r="AO7" s="68"/>
      <c r="AP7" s="68"/>
      <c r="AQ7" s="68"/>
      <c r="AR7" s="68"/>
      <c r="AS7" s="68"/>
      <c r="AT7" s="68"/>
      <c r="AU7" s="68"/>
      <c r="AV7" s="68"/>
      <c r="AW7" s="68"/>
      <c r="AX7" s="68"/>
      <c r="AY7" s="68"/>
      <c r="AZ7" s="68"/>
      <c r="BA7" s="68"/>
      <c r="BB7" s="68"/>
      <c r="BC7" s="68"/>
      <c r="BD7" s="68"/>
      <c r="BE7" s="68"/>
      <c r="BF7" s="68"/>
      <c r="BG7" s="68"/>
      <c r="BH7" s="68"/>
      <c r="BI7" s="68"/>
      <c r="BJ7" s="68"/>
      <c r="BK7" s="68"/>
      <c r="BL7" s="68"/>
      <c r="BM7" s="68"/>
    </row>
    <row r="8" spans="2:65" ht="19.149999999999999" customHeight="1">
      <c r="C8" s="269" t="s">
        <v>361</v>
      </c>
      <c r="D8" s="270"/>
      <c r="E8" s="46" t="str">
        <f ca="1">CONCATENATE(COUNTIF(E55:CR55,"CONFORME")," (",ROUND(COUNTIF(E55:CR55,"CONFORME")*100/COUNTA($E$19:CR$19),2)," %)")</f>
        <v>0 (0 %)</v>
      </c>
      <c r="F8" s="140" t="str">
        <f ca="1">CONCATENATE(COUNTIF(E55:CR55,"NO CONFORME")," (",ROUND(COUNTIF(E55:CR55,"NO CONFORME")*100/COUNTA($E$19:CR$19),2)," %)")</f>
        <v>1 (1.09 %)</v>
      </c>
      <c r="G8" s="47" t="str">
        <f ca="1">CONCATENATE(COUNTIF(E55:CR55,"N/A")," (",ROUND(COUNTIF(E55:CR55,"N/A")*100/COUNTA($E$19:CR$19),2)," %)")</f>
        <v>0 (0 %)</v>
      </c>
      <c r="H8" s="47" t="n">
        <f ca="1">COUNTIF(E55:CR55,"ERROR")</f>
        <v>0.0</v>
      </c>
      <c r="I8" s="48" t="n">
        <f ca="1">COUNTIF(E55:CR55,"EN CURSO")</f>
        <v>91.0</v>
      </c>
      <c r="J8" s="236" t="n">
        <f ca="1">SUM(VALUE(LEFT(E8,SEARCH(" ",E8)-1)),VALUE(LEFT(F8,SEARCH(" ",F8)-1)))</f>
        <v>1.0</v>
      </c>
      <c r="K8" s="52" t="s">
        <v>47</v>
      </c>
      <c r="L8" s="46" t="n">
        <f ca="1">COUNTIF( $E$20:INDIRECT("$CR$" &amp;  SUM(19,COUNTIFS(B20:B54,"&lt;&gt;"))),"Pasa")+ COUNTIF($E$61:INDIRECT("$AW$" &amp;  SUM(60,COUNTIFS(B61:B95,"&lt;&gt;"))),"Pasa")</f>
        <v>0.0</v>
      </c>
      <c r="M8" s="53" t="n">
        <f ca="1">IF(($L$11+$P$11)=0,0,L8/($L$11+$P$11))</f>
        <v>0.0</v>
      </c>
      <c r="N8" s="28"/>
      <c r="O8" s="52" t="s">
        <v>27</v>
      </c>
      <c r="P8" s="46" t="n">
        <f ca="1">COUNTIF( $E$20:INDIRECT("$CR$" &amp;  SUM(19,COUNTIFS(B20:B54,"&lt;&gt;"))),"N/D")+ COUNTIF($E$61:INDIRECT("$AW$" &amp;  SUM(60,COUNTIFS(B61:B95,"&lt;&gt;"))),"N/D")</f>
        <v>50.0</v>
      </c>
      <c r="Q8" s="53" t="n">
        <f ca="1">IF(($L$11+$P$11)=0,0,P8/($L$11+$P$11))</f>
        <v>0.18248175182481752</v>
      </c>
      <c r="U8" s="67"/>
      <c r="V8" s="67"/>
      <c r="W8" s="67"/>
      <c r="X8" s="67"/>
      <c r="Y8" s="67"/>
      <c r="Z8" s="67"/>
      <c r="AA8" s="67"/>
      <c r="AB8" s="68"/>
      <c r="AC8" s="68"/>
      <c r="AD8" s="68"/>
      <c r="AE8" s="68"/>
      <c r="AF8" s="68"/>
      <c r="AG8" s="68"/>
      <c r="AH8" s="68"/>
      <c r="AI8" s="68"/>
      <c r="AJ8" s="68"/>
      <c r="AK8" s="68"/>
      <c r="AL8" s="68"/>
      <c r="AM8" s="68"/>
      <c r="AN8" s="68"/>
      <c r="AO8" s="68"/>
      <c r="AP8" s="68"/>
      <c r="AQ8" s="68"/>
      <c r="AR8" s="68"/>
      <c r="AS8" s="68"/>
      <c r="AT8" s="68"/>
      <c r="AU8" s="68"/>
      <c r="AV8" s="68"/>
      <c r="AW8" s="68"/>
      <c r="AX8" s="68"/>
      <c r="AY8" s="68"/>
      <c r="AZ8" s="68"/>
      <c r="BA8" s="68"/>
      <c r="BB8" s="68"/>
      <c r="BC8" s="68"/>
      <c r="BD8" s="68"/>
      <c r="BE8" s="68"/>
      <c r="BF8" s="68"/>
      <c r="BG8" s="68"/>
      <c r="BH8" s="68"/>
      <c r="BI8" s="68"/>
      <c r="BJ8" s="68"/>
      <c r="BK8" s="68"/>
      <c r="BL8" s="68"/>
      <c r="BM8" s="68"/>
    </row>
    <row r="9" spans="2:65" ht="19.149999999999999" customHeight="1">
      <c r="B9" s="240"/>
      <c r="C9" s="275" t="s">
        <v>154</v>
      </c>
      <c r="D9" s="276"/>
      <c r="E9" s="184" t="str">
        <f ca="1">CONCATENATE(COUNTIF(E96:AW96,"CONFORME")," (",ROUND(COUNTIF(E96:AW96,"CONFORME")*100/COUNTA($E$60:AW$60),2)," %)")</f>
        <v>0 (0 %)</v>
      </c>
      <c r="F9" s="184" t="str">
        <f ca="1">CONCATENATE(COUNTIF(E96:AW96,"NO CONFORME")," (",ROUND(COUNTIF(E96:AW96,"NO CONFORME")*100/COUNTA($E$60:AW$60),2)," %)")</f>
        <v>3 (6.67 %)</v>
      </c>
      <c r="G9" s="238" t="str">
        <f ca="1">CONCATENATE(COUNTIF(E96:AW96,"N/A")," (",ROUND(COUNTIF(E96:AW96,"N/A")*100/COUNTA($E$60:AW$60),2)," %)")</f>
        <v>0 (0 %)</v>
      </c>
      <c r="H9" s="238" t="n">
        <f ca="1">COUNTIF(E96:AW96,"ERROR")</f>
        <v>0.0</v>
      </c>
      <c r="I9" s="239" t="n">
        <f ca="1">COUNTIF(E96:AW96,"EN CURSO")</f>
        <v>42.0</v>
      </c>
      <c r="J9" s="236" t="n">
        <f ca="1">SUM(VALUE(LEFT(E9,SEARCH(" ",E9)-1)),VALUE(LEFT(F9,SEARCH(" ",F9)-1)))</f>
        <v>3.0</v>
      </c>
      <c r="K9" s="52" t="s">
        <v>28</v>
      </c>
      <c r="L9" s="46" t="n">
        <f ca="1">COUNTIF( $E$20:INDIRECT("$CR$" &amp;  SUM(19,COUNTIFS(B20:B54,"&lt;&gt;"))),"Falla")+ COUNTIF($E$61:INDIRECT("$AW$" &amp;  SUM(60,COUNTIFS(B61:B95,"&lt;&gt;"))),"Falla")</f>
        <v>8.0</v>
      </c>
      <c r="M9" s="53" t="n">
        <f ca="1">IF(($L$11+$P$11)=0,0,L9/($L$11+$P$11))</f>
        <v>0.029197080291970802</v>
      </c>
      <c r="N9" s="28"/>
      <c r="O9" s="52" t="s">
        <v>29</v>
      </c>
      <c r="P9" s="46" t="n">
        <f ca="1">COUNTIF( $E$20:INDIRECT("$CR$" &amp;  SUM(19,COUNTIFS(B20:B54,"&lt;&gt;"))),"N/T")+ COUNTIF($E$61:INDIRECT("$AW$" &amp;  SUM(60,COUNTIFS(B61:B95,"&lt;&gt;"))),"N/T")</f>
        <v>216.0</v>
      </c>
      <c r="Q9" s="53" t="n">
        <f ca="1">IF(($L$11+$P$11)=0,0,P9/($L$11+$P$11))</f>
        <v>0.7883211678832117</v>
      </c>
      <c r="U9" s="67"/>
      <c r="V9" s="67"/>
      <c r="W9" s="67"/>
      <c r="X9" s="67"/>
      <c r="Y9" s="67"/>
      <c r="Z9" s="67"/>
      <c r="AA9" s="67"/>
      <c r="AB9" s="68"/>
      <c r="AC9" s="68"/>
      <c r="AD9" s="68"/>
      <c r="AE9" s="68"/>
      <c r="AF9" s="68"/>
      <c r="AG9" s="68"/>
      <c r="AH9" s="68"/>
      <c r="AI9" s="68"/>
      <c r="AJ9" s="68"/>
      <c r="AK9" s="68"/>
      <c r="AL9" s="68"/>
      <c r="AM9" s="68"/>
      <c r="AN9" s="68"/>
      <c r="AO9" s="68"/>
      <c r="AP9" s="68"/>
      <c r="AQ9" s="68"/>
      <c r="AR9" s="68"/>
      <c r="AS9" s="68"/>
      <c r="AT9" s="68"/>
      <c r="AU9" s="68"/>
      <c r="AV9" s="68"/>
      <c r="AW9" s="68"/>
      <c r="AX9" s="68"/>
      <c r="AY9" s="68"/>
      <c r="AZ9" s="68"/>
      <c r="BA9" s="68"/>
      <c r="BB9" s="68"/>
      <c r="BC9" s="68"/>
      <c r="BD9" s="68"/>
      <c r="BE9" s="68"/>
      <c r="BF9" s="68"/>
      <c r="BG9" s="68"/>
      <c r="BH9" s="68"/>
      <c r="BI9" s="68"/>
      <c r="BJ9" s="68"/>
      <c r="BK9" s="68"/>
      <c r="BL9" s="68"/>
      <c r="BM9" s="68"/>
    </row>
    <row r="10" spans="2:65" ht="19.149999999999999" customHeight="1" thickBot="1">
      <c r="C10" s="280" t="s">
        <v>340</v>
      </c>
      <c r="D10" s="281"/>
      <c r="E10" s="241" t="str">
        <f ca="1">CONCATENATE(ROUND(E11/137*100,2)," %")</f>
        <v>0 %</v>
      </c>
      <c r="F10" s="241" t="str">
        <f ca="1">CONCATENATE(ROUND(F11/137*100,2)," %")</f>
        <v>2.92 %</v>
      </c>
      <c r="G10" s="241" t="str">
        <f ca="1">CONCATENATE(ROUND(G11/137*100,2)," %")</f>
        <v>0 %</v>
      </c>
      <c r="H10" s="241" t="str">
        <f ca="1">CONCATENATE(ROUND(H11/137*100,2)," %")</f>
        <v>0 %</v>
      </c>
      <c r="I10" s="243" t="str">
        <f ca="1">CONCATENATE(ROUND(I11/137*100,2)," %")</f>
        <v>97.08 %</v>
      </c>
      <c r="J10" s="244"/>
      <c r="K10" s="52" t="s">
        <v>31</v>
      </c>
      <c r="L10" s="46" t="n">
        <f ca="1">COUNTIF( $E$20:INDIRECT("$CR$" &amp;  SUM(19,COUNTIFS(B20:B54,"&lt;&gt;"))),"N/A")+COUNTIF($E$61:INDIRECT("$AW$" &amp;  SUM(60,COUNTIFS(B61:B95,"&lt;&gt;"))),"N/A")</f>
        <v>0.0</v>
      </c>
      <c r="M10" s="53" t="n">
        <f ca="1">IF(($L$11+$P$11)=0,0,L10/($L$11+$P$11))</f>
        <v>0.0</v>
      </c>
      <c r="N10" s="28"/>
      <c r="O10" s="183" t="s">
        <v>474</v>
      </c>
      <c r="P10" s="184" t="n">
        <f ca="1">SUM(R5.Genéricos!K14,R6.Voz!K14,R7.Video!K14,R9.Web!K14,'R10.Documentos no web'!K14,R11.Software!K14,R12.ServiciosApoyo!K14)</f>
        <v>0.0</v>
      </c>
      <c r="Q10" s="53" t="n">
        <f ca="1">IF(($L$11+$P$11)=0,0,P10/($L$11+$P$11))</f>
        <v>0.0</v>
      </c>
      <c r="U10" s="67"/>
      <c r="V10" s="67"/>
      <c r="W10" s="67"/>
      <c r="X10" s="67"/>
      <c r="Y10" s="67"/>
      <c r="Z10" s="67"/>
      <c r="AA10" s="67"/>
      <c r="AB10" s="68"/>
      <c r="AC10" s="68"/>
      <c r="AD10" s="68"/>
      <c r="AE10" s="68"/>
      <c r="AF10" s="68"/>
      <c r="AG10" s="68"/>
      <c r="AH10" s="68"/>
      <c r="AI10" s="68"/>
      <c r="AJ10" s="68"/>
      <c r="AK10" s="68"/>
      <c r="AL10" s="68"/>
      <c r="AM10" s="68"/>
      <c r="AN10" s="68"/>
      <c r="AO10" s="68"/>
      <c r="AP10" s="68"/>
      <c r="AQ10" s="68"/>
      <c r="AR10" s="68"/>
      <c r="AS10" s="68"/>
      <c r="AT10" s="68"/>
      <c r="AU10" s="68"/>
      <c r="AV10" s="68"/>
      <c r="AW10" s="68"/>
      <c r="AX10" s="68"/>
      <c r="AY10" s="68"/>
      <c r="AZ10" s="68"/>
      <c r="BA10" s="68"/>
      <c r="BB10" s="68"/>
      <c r="BC10" s="68"/>
      <c r="BD10" s="68"/>
      <c r="BE10" s="68"/>
      <c r="BF10" s="68"/>
      <c r="BG10" s="68"/>
      <c r="BH10" s="68"/>
      <c r="BI10" s="68"/>
      <c r="BJ10" s="68"/>
      <c r="BK10" s="68"/>
      <c r="BL10" s="68"/>
      <c r="BM10" s="68"/>
    </row>
    <row r="11" spans="2:65" ht="19.149999999999999" customHeight="1" thickBot="1">
      <c r="C11" s="274"/>
      <c r="D11" s="274"/>
      <c r="E11" s="242" t="n">
        <f ca="1">SUM(VALUE(LEFT(E8,SEARCH(" ",E8)-1)),VALUE(LEFT(E9,SEARCH(" ",E9)-1)))</f>
        <v>0.0</v>
      </c>
      <c r="F11" s="242" t="n">
        <f ca="1">SUM(VALUE(LEFT(F8,SEARCH(" ",F8)-1)),VALUE(LEFT(F9,SEARCH(" ",F9)-1)))</f>
        <v>4.0</v>
      </c>
      <c r="G11" s="242" t="n">
        <f ca="1">SUM(VALUE(LEFT(G8,SEARCH(" ",G8)-1)),VALUE(LEFT(G9,SEARCH(" ",G9)-1)))</f>
        <v>0.0</v>
      </c>
      <c r="H11" s="242" t="n">
        <f ca="1">SUM(H8:H9)</f>
        <v>0.0</v>
      </c>
      <c r="I11" s="242" t="n">
        <f ca="1">SUM(I8:I9)</f>
        <v>133.0</v>
      </c>
      <c r="K11" s="54" t="s">
        <v>48</v>
      </c>
      <c r="L11" s="49" t="n">
        <f ca="1">SUM(L8:L10)</f>
        <v>8.0</v>
      </c>
      <c r="M11" s="55" t="n">
        <f ca="1">SUM(M8:M10)</f>
        <v>0.029197080291970802</v>
      </c>
      <c r="N11" s="28"/>
      <c r="O11" s="54" t="s">
        <v>48</v>
      </c>
      <c r="P11" s="49" t="n">
        <f ca="1">SUM(P8:P10)</f>
        <v>266.0</v>
      </c>
      <c r="Q11" s="55" t="n">
        <f ca="1">SUM(Q8:Q10)</f>
        <v>0.9708029197080292</v>
      </c>
      <c r="U11" s="67"/>
      <c r="V11" s="67"/>
      <c r="W11" s="67"/>
      <c r="X11" s="67"/>
      <c r="Y11" s="67"/>
      <c r="Z11" s="67"/>
      <c r="AA11" s="67"/>
      <c r="AB11" s="68"/>
      <c r="AC11" s="68"/>
      <c r="AD11" s="68"/>
      <c r="AE11" s="68"/>
      <c r="AF11" s="68"/>
      <c r="AG11" s="68"/>
      <c r="AH11" s="68"/>
      <c r="AI11" s="68"/>
      <c r="AJ11" s="68"/>
      <c r="AK11" s="68"/>
      <c r="AL11" s="68"/>
      <c r="AM11" s="68"/>
      <c r="AN11" s="68"/>
      <c r="AO11" s="68"/>
      <c r="AP11" s="68"/>
      <c r="AQ11" s="68"/>
      <c r="AR11" s="68"/>
      <c r="AS11" s="68"/>
      <c r="AT11" s="68"/>
      <c r="AU11" s="68"/>
      <c r="AV11" s="68"/>
      <c r="AW11" s="68"/>
      <c r="AX11" s="68"/>
      <c r="AY11" s="68"/>
      <c r="AZ11" s="68"/>
      <c r="BA11" s="68"/>
      <c r="BB11" s="68"/>
      <c r="BC11" s="68"/>
      <c r="BD11" s="68"/>
      <c r="BE11" s="68"/>
      <c r="BF11" s="68"/>
      <c r="BG11" s="68"/>
      <c r="BH11" s="68"/>
      <c r="BI11" s="68"/>
      <c r="BJ11" s="68"/>
      <c r="BK11" s="68"/>
      <c r="BL11" s="68"/>
      <c r="BM11" s="68"/>
    </row>
    <row r="12" spans="2:65" ht="19.149999999999999" customHeight="1" thickBot="1">
      <c r="B12" s="179"/>
      <c r="C12" s="29"/>
      <c r="D12" s="29"/>
      <c r="E12" s="29"/>
      <c r="F12" s="29"/>
      <c r="G12" s="29"/>
      <c r="H12" s="29"/>
      <c r="I12" s="29"/>
      <c r="J12" s="29"/>
      <c r="K12" s="29"/>
      <c r="L12" s="29"/>
      <c r="M12" s="29"/>
      <c r="N12" s="29"/>
      <c r="O12" s="29"/>
      <c r="P12" s="29"/>
      <c r="Q12" s="29"/>
      <c r="R12" s="89"/>
      <c r="S12" s="89"/>
      <c r="T12" s="89"/>
      <c r="U12" s="89"/>
      <c r="V12" s="89"/>
      <c r="W12" s="89"/>
      <c r="X12" s="89"/>
      <c r="Y12" s="89"/>
      <c r="Z12" s="89"/>
      <c r="AA12" s="89"/>
      <c r="AB12" s="90"/>
      <c r="AC12" s="90"/>
      <c r="AD12" s="90"/>
      <c r="AE12" s="90"/>
      <c r="AF12" s="90"/>
      <c r="AG12" s="90"/>
      <c r="AH12" s="90"/>
      <c r="AI12" s="90"/>
      <c r="AJ12" s="90"/>
      <c r="AK12" s="90"/>
      <c r="AL12" s="90"/>
      <c r="AM12" s="68"/>
      <c r="AN12" s="68"/>
      <c r="AO12" s="68"/>
      <c r="AP12" s="68"/>
      <c r="AQ12" s="68"/>
      <c r="AR12" s="68"/>
      <c r="AS12" s="68"/>
      <c r="AT12" s="68"/>
      <c r="AU12" s="68"/>
      <c r="AV12" s="68"/>
      <c r="AW12" s="68"/>
      <c r="AX12" s="68"/>
      <c r="AY12" s="68"/>
      <c r="AZ12" s="68"/>
      <c r="BA12" s="68"/>
      <c r="BB12" s="68"/>
      <c r="BC12" s="68"/>
      <c r="BD12" s="68"/>
      <c r="BE12" s="68"/>
      <c r="BF12" s="68"/>
      <c r="BG12" s="68"/>
      <c r="BH12" s="68"/>
      <c r="BI12" s="68"/>
      <c r="BJ12" s="68"/>
      <c r="BK12" s="68"/>
      <c r="BL12" s="68"/>
      <c r="BM12" s="68"/>
    </row>
    <row r="13" spans="2:65" ht="23.65" customHeight="1" thickTop="1">
      <c r="B13" s="180"/>
      <c r="C13" s="180"/>
      <c r="D13" s="182" t="s">
        <v>49</v>
      </c>
      <c r="E13" s="91"/>
      <c r="F13" s="277" t="s">
        <v>339</v>
      </c>
      <c r="G13" s="278"/>
      <c r="H13" s="278"/>
      <c r="I13" s="279"/>
      <c r="J13" s="91"/>
      <c r="K13" s="277" t="s">
        <v>273</v>
      </c>
      <c r="L13" s="279"/>
      <c r="M13" s="91"/>
      <c r="N13" s="91"/>
      <c r="O13" s="91"/>
      <c r="P13" s="91"/>
      <c r="Q13" s="91"/>
      <c r="R13" s="91"/>
      <c r="S13" s="91"/>
      <c r="T13" s="91"/>
      <c r="U13" s="91"/>
      <c r="V13" s="91"/>
      <c r="W13" s="91"/>
      <c r="X13" s="91"/>
      <c r="Y13" s="91"/>
      <c r="Z13" s="91"/>
      <c r="AA13" s="91"/>
      <c r="AB13" s="29"/>
      <c r="AC13" s="29"/>
      <c r="AD13" s="29"/>
      <c r="AE13" s="29"/>
      <c r="AF13" s="29"/>
      <c r="AG13" s="29"/>
      <c r="AH13" s="29"/>
      <c r="AI13" s="29"/>
      <c r="AJ13" s="29"/>
      <c r="AK13" s="29"/>
      <c r="AL13" s="29"/>
    </row>
    <row r="14" spans="2:65" ht="23.65" customHeight="1" thickBot="1">
      <c r="B14" s="180"/>
      <c r="C14" s="91"/>
      <c r="D14" s="209" t="str">
        <f>IF(COUNTIF('03.Muestra'!D8:D42,"Página Web")=0,"",IF(H11&gt;0,"Evaluación con errores",IF(OR(I11&gt;0,P11&gt;0),"Evaluación en curso",IF(F11=0,"Plenamente Conforme",IF(F11&gt;=(E11+F11)*'DATA - Oculta'!$C$26,"No Conforme","Parcialmente Conforme")))))</f>
        <v>Evaluación en curso</v>
      </c>
      <c r="E14" s="29"/>
      <c r="F14" s="271" t="str">
        <f>IF(AND(D14&lt;&gt;"Evaluación en curso",D14&lt;&gt;"Evaluación con errores",D14&lt;&gt;""), IF(J8=0,"", ROUND(((COUNT(B20:B54)/(COUNT(B20:B54)+COUNT(B61:B95)))*IF(J8=0,0,LEFT(E8,SEARCH(" ",E8)-1)/J8)+(COUNT(B61:B95)/(COUNT(B20:B54)+COUNT(B61:B95)))*IF(J9=0,0,LEFT(E9,SEARCH(" ",E9)-1)/J9))*10,2)),"")</f>
        <v/>
      </c>
      <c r="G14" s="272"/>
      <c r="H14" s="272"/>
      <c r="I14" s="273"/>
      <c r="J14" s="91"/>
      <c r="K14" s="271" t="str">
        <f>'03.Muestra'!D52</f>
        <v>NO</v>
      </c>
      <c r="L14" s="273"/>
      <c r="M14" s="91"/>
      <c r="N14" s="91"/>
      <c r="O14" s="91"/>
      <c r="P14" s="91"/>
      <c r="Q14" s="91"/>
      <c r="R14" s="91"/>
      <c r="S14" s="91"/>
      <c r="T14" s="91"/>
      <c r="U14" s="91"/>
      <c r="V14" s="91"/>
      <c r="W14" s="91"/>
      <c r="X14" s="91"/>
      <c r="Y14" s="91"/>
      <c r="Z14" s="91"/>
      <c r="AA14" s="91"/>
      <c r="AB14" s="29"/>
      <c r="AC14" s="29"/>
      <c r="AD14" s="29"/>
      <c r="AE14" s="29"/>
      <c r="AF14" s="29"/>
      <c r="AG14" s="29"/>
      <c r="AH14" s="29"/>
      <c r="AI14" s="29"/>
      <c r="AJ14" s="29"/>
      <c r="AK14" s="29"/>
      <c r="AL14" s="29"/>
    </row>
    <row r="15" spans="2:65" ht="12.2" customHeight="1" thickTop="1">
      <c r="B15" s="180"/>
      <c r="C15" s="91"/>
      <c r="D15" s="92"/>
      <c r="E15" s="91"/>
      <c r="F15" s="91"/>
      <c r="G15" s="91"/>
      <c r="H15" s="91"/>
      <c r="I15" s="91"/>
      <c r="J15" s="91"/>
      <c r="K15" s="91"/>
      <c r="L15" s="91"/>
      <c r="M15" s="91"/>
      <c r="N15" s="91"/>
      <c r="O15" s="91"/>
      <c r="P15" s="91"/>
      <c r="Q15" s="91"/>
      <c r="R15" s="91"/>
      <c r="S15" s="91"/>
      <c r="T15" s="91"/>
      <c r="U15" s="91"/>
      <c r="V15" s="91"/>
      <c r="W15" s="91"/>
      <c r="X15" s="91"/>
      <c r="Y15" s="91"/>
      <c r="Z15" s="91"/>
      <c r="AA15" s="91"/>
      <c r="AB15" s="29"/>
      <c r="AC15" s="29"/>
      <c r="AD15" s="29"/>
      <c r="AE15" s="29"/>
      <c r="AF15" s="29"/>
      <c r="AG15" s="29"/>
      <c r="AH15" s="29"/>
      <c r="AI15" s="29"/>
      <c r="AJ15" s="29"/>
      <c r="AK15" s="29"/>
      <c r="AL15" s="29"/>
    </row>
    <row r="16" spans="2:65" ht="12.2" customHeight="1">
      <c r="B16" s="180"/>
      <c r="C16" s="91"/>
      <c r="D16" s="92"/>
      <c r="E16" s="91"/>
      <c r="F16" s="91"/>
      <c r="G16" s="91"/>
      <c r="H16" s="91"/>
      <c r="I16" s="91"/>
      <c r="J16" s="91"/>
      <c r="K16" s="91"/>
      <c r="L16" s="91"/>
      <c r="M16" s="91"/>
      <c r="N16" s="91"/>
      <c r="O16" s="91"/>
      <c r="P16" s="91"/>
      <c r="Q16" s="91"/>
      <c r="R16" s="91"/>
      <c r="S16" s="91"/>
      <c r="T16" s="91"/>
      <c r="U16" s="91"/>
      <c r="V16" s="91"/>
      <c r="W16" s="91"/>
      <c r="X16" s="91"/>
      <c r="Y16" s="91"/>
      <c r="Z16" s="91"/>
      <c r="AA16" s="91"/>
      <c r="AB16" s="29"/>
      <c r="AC16" s="29"/>
      <c r="AD16" s="29"/>
      <c r="AE16" s="29"/>
      <c r="AF16" s="29"/>
      <c r="AG16" s="29"/>
      <c r="AH16" s="29"/>
      <c r="AI16" s="29"/>
      <c r="AJ16" s="29"/>
      <c r="AK16" s="29"/>
      <c r="AL16" s="29"/>
    </row>
    <row r="17" spans="2:102" ht="30.75" customHeight="1">
      <c r="B17" s="285" t="s">
        <v>361</v>
      </c>
      <c r="C17" s="286"/>
      <c r="D17" s="287"/>
      <c r="E17" s="91"/>
      <c r="F17" s="91"/>
      <c r="G17" s="91"/>
      <c r="H17" s="91"/>
      <c r="I17" s="91"/>
      <c r="J17" s="91"/>
      <c r="K17" s="91"/>
      <c r="L17" s="91"/>
      <c r="M17" s="91"/>
      <c r="N17" s="91"/>
      <c r="O17" s="91"/>
      <c r="P17" s="91"/>
      <c r="Q17" s="91"/>
      <c r="R17" s="91"/>
      <c r="S17" s="91"/>
      <c r="T17" s="91"/>
      <c r="U17" s="91"/>
      <c r="V17" s="91"/>
      <c r="W17" s="91"/>
      <c r="X17" s="91"/>
      <c r="Y17" s="91"/>
      <c r="Z17" s="91"/>
      <c r="AA17" s="91"/>
      <c r="AB17" s="29"/>
      <c r="AC17" s="29"/>
      <c r="AD17" s="29"/>
      <c r="AE17" s="29"/>
      <c r="AF17" s="29"/>
      <c r="AG17" s="29"/>
      <c r="AH17" s="29"/>
      <c r="AI17" s="29"/>
      <c r="AJ17" s="29"/>
      <c r="AK17" s="29"/>
      <c r="AL17" s="29"/>
    </row>
    <row r="18" spans="2:102" ht="23.25" customHeight="1">
      <c r="B18" s="282" t="s">
        <v>50</v>
      </c>
      <c r="C18" s="283"/>
      <c r="D18" s="284"/>
      <c r="E18" s="164"/>
      <c r="F18" s="164"/>
      <c r="G18" s="164"/>
      <c r="H18" s="94"/>
      <c r="I18" s="94"/>
      <c r="J18" s="94"/>
      <c r="K18" s="94"/>
      <c r="L18" s="94"/>
      <c r="M18" s="94"/>
      <c r="N18" s="94"/>
      <c r="O18" s="94"/>
      <c r="P18" s="94"/>
      <c r="Q18" s="94"/>
      <c r="R18" s="94"/>
      <c r="S18" s="94"/>
      <c r="T18" s="94"/>
      <c r="U18" s="94"/>
      <c r="V18" s="94"/>
      <c r="W18" s="94"/>
      <c r="X18" s="94"/>
      <c r="Y18" s="94"/>
      <c r="Z18" s="94"/>
      <c r="AA18" s="95"/>
      <c r="AB18" s="95"/>
      <c r="AC18" s="95"/>
      <c r="AD18" s="95"/>
      <c r="AE18" s="95"/>
      <c r="AF18" s="95"/>
      <c r="AG18" s="95"/>
      <c r="AH18" s="95"/>
      <c r="AI18" s="95"/>
      <c r="AJ18" s="172"/>
      <c r="AK18" s="172"/>
      <c r="AL18" s="172"/>
      <c r="AM18" s="172"/>
      <c r="AN18" s="172"/>
      <c r="AO18" s="172"/>
      <c r="AP18" s="172"/>
      <c r="AQ18" s="172"/>
      <c r="AR18" s="172"/>
      <c r="AS18" s="172"/>
      <c r="AT18" s="172"/>
      <c r="AU18" s="172"/>
      <c r="AV18" s="172"/>
      <c r="AW18" s="172"/>
      <c r="AX18" s="172"/>
      <c r="AY18" s="172"/>
      <c r="AZ18" s="172"/>
      <c r="BA18" s="172"/>
      <c r="BB18" s="172"/>
      <c r="BC18" s="172"/>
      <c r="BD18" s="172"/>
      <c r="BE18" s="172"/>
      <c r="BF18" s="172"/>
      <c r="BG18" s="172"/>
      <c r="BH18" s="172"/>
      <c r="BI18" s="172"/>
      <c r="BJ18" s="172"/>
      <c r="BK18" s="172"/>
      <c r="BL18" s="172"/>
      <c r="BM18" s="172"/>
      <c r="BN18" s="172"/>
      <c r="BO18" s="172"/>
      <c r="BP18" s="172"/>
      <c r="BQ18" s="172"/>
      <c r="BR18" s="172"/>
      <c r="BS18" s="172"/>
      <c r="BT18" s="172"/>
      <c r="BU18" s="172"/>
      <c r="BV18" s="172"/>
      <c r="BW18" s="172"/>
      <c r="BX18" s="172"/>
      <c r="BY18" s="172"/>
      <c r="BZ18" s="172"/>
      <c r="CA18" s="172"/>
      <c r="CB18" s="172"/>
      <c r="CC18" s="172"/>
      <c r="CD18" s="172"/>
      <c r="CE18" s="172"/>
      <c r="CF18" s="172"/>
      <c r="CG18" s="172"/>
      <c r="CH18" s="93"/>
      <c r="CI18" s="93"/>
      <c r="CJ18" s="93"/>
      <c r="CK18" s="93"/>
      <c r="CL18" s="93"/>
      <c r="CM18" s="93"/>
      <c r="CN18" s="169"/>
      <c r="CO18" s="169"/>
      <c r="CP18" s="169"/>
      <c r="CQ18" s="169"/>
      <c r="CR18" s="169"/>
      <c r="CU18" s="29"/>
      <c r="CV18" s="29"/>
      <c r="CW18" s="29"/>
      <c r="CX18" s="29"/>
    </row>
    <row r="19" spans="2:102" ht="21.75" customHeight="1">
      <c r="B19" s="96" t="s">
        <v>268</v>
      </c>
      <c r="C19" s="96" t="s">
        <v>129</v>
      </c>
      <c r="D19" s="96" t="s">
        <v>363</v>
      </c>
      <c r="E19" s="96" t="s">
        <v>98</v>
      </c>
      <c r="F19" s="96" t="s">
        <v>99</v>
      </c>
      <c r="G19" s="96" t="s">
        <v>100</v>
      </c>
      <c r="H19" s="96" t="s">
        <v>101</v>
      </c>
      <c r="I19" s="96" t="s">
        <v>323</v>
      </c>
      <c r="J19" s="96" t="s">
        <v>324</v>
      </c>
      <c r="K19" s="96" t="s">
        <v>325</v>
      </c>
      <c r="L19" s="96" t="s">
        <v>326</v>
      </c>
      <c r="M19" s="96" t="s">
        <v>327</v>
      </c>
      <c r="N19" s="96" t="s">
        <v>328</v>
      </c>
      <c r="O19" s="96" t="s">
        <v>329</v>
      </c>
      <c r="P19" s="96" t="s">
        <v>330</v>
      </c>
      <c r="Q19" s="96" t="s">
        <v>331</v>
      </c>
      <c r="R19" s="96" t="s">
        <v>332</v>
      </c>
      <c r="S19" s="96" t="s">
        <v>102</v>
      </c>
      <c r="T19" s="96" t="s">
        <v>103</v>
      </c>
      <c r="U19" s="96" t="s">
        <v>333</v>
      </c>
      <c r="V19" s="96" t="s">
        <v>104</v>
      </c>
      <c r="W19" s="96" t="s">
        <v>105</v>
      </c>
      <c r="X19" s="96" t="s">
        <v>334</v>
      </c>
      <c r="Y19" s="96" t="s">
        <v>335</v>
      </c>
      <c r="Z19" s="96" t="s">
        <v>336</v>
      </c>
      <c r="AA19" s="96" t="s">
        <v>106</v>
      </c>
      <c r="AB19" s="96" t="s">
        <v>107</v>
      </c>
      <c r="AC19" s="96" t="s">
        <v>108</v>
      </c>
      <c r="AD19" s="96" t="s">
        <v>337</v>
      </c>
      <c r="AE19" s="96" t="s">
        <v>338</v>
      </c>
      <c r="AF19" s="96" t="s">
        <v>109</v>
      </c>
      <c r="AG19" s="96" t="s">
        <v>110</v>
      </c>
      <c r="AH19" s="96" t="s">
        <v>111</v>
      </c>
      <c r="AI19" s="96" t="s">
        <v>112</v>
      </c>
      <c r="AJ19" s="96" t="s">
        <v>155</v>
      </c>
      <c r="AK19" s="96" t="s">
        <v>156</v>
      </c>
      <c r="AL19" s="96" t="s">
        <v>157</v>
      </c>
      <c r="AM19" s="96" t="s">
        <v>158</v>
      </c>
      <c r="AN19" s="96" t="s">
        <v>159</v>
      </c>
      <c r="AO19" s="96" t="s">
        <v>160</v>
      </c>
      <c r="AP19" s="96" t="s">
        <v>161</v>
      </c>
      <c r="AQ19" s="96" t="s">
        <v>162</v>
      </c>
      <c r="AR19" s="96" t="s">
        <v>163</v>
      </c>
      <c r="AS19" s="96" t="s">
        <v>164</v>
      </c>
      <c r="AT19" s="96" t="s">
        <v>165</v>
      </c>
      <c r="AU19" s="96" t="s">
        <v>166</v>
      </c>
      <c r="AV19" s="96" t="s">
        <v>167</v>
      </c>
      <c r="AW19" s="96" t="s">
        <v>168</v>
      </c>
      <c r="AX19" s="96" t="s">
        <v>169</v>
      </c>
      <c r="AY19" s="96" t="s">
        <v>170</v>
      </c>
      <c r="AZ19" s="96" t="s">
        <v>171</v>
      </c>
      <c r="BA19" s="96" t="s">
        <v>172</v>
      </c>
      <c r="BB19" s="96" t="s">
        <v>173</v>
      </c>
      <c r="BC19" s="96" t="s">
        <v>174</v>
      </c>
      <c r="BD19" s="96" t="s">
        <v>175</v>
      </c>
      <c r="BE19" s="96" t="s">
        <v>176</v>
      </c>
      <c r="BF19" s="96" t="s">
        <v>177</v>
      </c>
      <c r="BG19" s="96" t="s">
        <v>178</v>
      </c>
      <c r="BH19" s="96" t="s">
        <v>179</v>
      </c>
      <c r="BI19" s="96" t="s">
        <v>241</v>
      </c>
      <c r="BJ19" s="96" t="s">
        <v>242</v>
      </c>
      <c r="BK19" s="96" t="s">
        <v>180</v>
      </c>
      <c r="BL19" s="96" t="s">
        <v>181</v>
      </c>
      <c r="BM19" s="96" t="s">
        <v>243</v>
      </c>
      <c r="BN19" s="96" t="s">
        <v>182</v>
      </c>
      <c r="BO19" s="96" t="s">
        <v>183</v>
      </c>
      <c r="BP19" s="96" t="s">
        <v>184</v>
      </c>
      <c r="BQ19" s="96" t="s">
        <v>185</v>
      </c>
      <c r="BR19" s="96" t="s">
        <v>186</v>
      </c>
      <c r="BS19" s="96" t="s">
        <v>187</v>
      </c>
      <c r="BT19" s="96" t="s">
        <v>188</v>
      </c>
      <c r="BU19" s="96" t="s">
        <v>244</v>
      </c>
      <c r="BV19" s="96" t="s">
        <v>189</v>
      </c>
      <c r="BW19" s="96" t="s">
        <v>190</v>
      </c>
      <c r="BX19" s="96" t="s">
        <v>245</v>
      </c>
      <c r="BY19" s="96" t="s">
        <v>246</v>
      </c>
      <c r="BZ19" s="96" t="s">
        <v>191</v>
      </c>
      <c r="CA19" s="96" t="s">
        <v>192</v>
      </c>
      <c r="CB19" s="96" t="s">
        <v>193</v>
      </c>
      <c r="CC19" s="96" t="s">
        <v>194</v>
      </c>
      <c r="CD19" s="96" t="s">
        <v>195</v>
      </c>
      <c r="CE19" s="96" t="s">
        <v>196</v>
      </c>
      <c r="CF19" s="96" t="s">
        <v>247</v>
      </c>
      <c r="CG19" s="96" t="s">
        <v>467</v>
      </c>
      <c r="CH19" s="96" t="s">
        <v>113</v>
      </c>
      <c r="CI19" s="96" t="s">
        <v>114</v>
      </c>
      <c r="CJ19" s="96" t="s">
        <v>115</v>
      </c>
      <c r="CK19" s="96" t="s">
        <v>116</v>
      </c>
      <c r="CL19" s="96" t="s">
        <v>117</v>
      </c>
      <c r="CM19" s="96" t="s">
        <v>118</v>
      </c>
      <c r="CN19" s="96" t="s">
        <v>119</v>
      </c>
      <c r="CO19" s="96" t="s">
        <v>120</v>
      </c>
      <c r="CP19" s="96" t="s">
        <v>121</v>
      </c>
      <c r="CQ19" s="96" t="s">
        <v>122</v>
      </c>
      <c r="CR19" s="96" t="s">
        <v>123</v>
      </c>
      <c r="CU19" s="29"/>
      <c r="CV19" s="29"/>
      <c r="CW19" s="29"/>
      <c r="CX19" s="29"/>
    </row>
    <row r="20" spans="2:102" ht="20.25">
      <c r="B20" s="181" t="n" cm="1">
        <f t="array" ref="B20">IFERROR(INDEX('03.Muestra'!$B$8:$B$42,SMALL(IF("Página Web"='03.Muestra'!$D$8:$D$42,ROW('03.Muestra'!$B$8:$B$42)-MIN(ROW('03.Muestra'!$D$8:$D$42))+1,""),ROW()-19)),"")</f>
        <v>1.0</v>
      </c>
      <c r="C20" s="97" t="str" cm="1">
        <f t="array" ref="C20">IFERROR(INDEX('03.Muestra'!$C$8:$C$42,SMALL(IF("Página Web"='03.Muestra'!$D$8:$D$42,ROW('03.Muestra'!$C$8:$C$42)-MIN(ROW('03.Muestra'!$D$8:$D$42))+1,""),ROW()-19)),"")</f>
        <v>Home - PortCastelló</v>
      </c>
      <c r="D20" s="98" t="str" cm="1">
        <f t="array" ref="D20">IFERROR(INDEX('03.Muestra'!$F$8:$F$42,SMALL(IF("Página Web"='03.Muestra'!$D$8:$D$42,ROW('03.Muestra'!$F$8:$F$42)-MIN(ROW('03.Muestra'!$D$8:$D$42))+1,""),ROW()-19)),"")</f>
        <v>https://www.portcastello.com/</v>
      </c>
      <c r="E20" s="215" t="str" cm="1">
        <f t="array" aca="1" ref="E20" ca="1">IF($B20="","",IF(ISBLANK(INDIRECT("R5.Genéricos!D"&amp;SUM(18,38*0,1))),"",INDIRECT("R5.Genéricos!D"&amp;SUM(18,38*0,1))))</f>
        <v>N/T</v>
      </c>
      <c r="F20" s="215" t="str" cm="1">
        <f t="array" aca="1" ref="F20" ca="1">IF($B20="","",IF(ISBLANK(INDIRECT("R5.Genéricos!D"&amp;SUM(18,38*1,1))),"",INDIRECT("R5.Genéricos!D"&amp;SUM(18,38*1,1))))</f>
        <v>N/T</v>
      </c>
      <c r="G20" s="215" t="str" cm="1">
        <f t="array" aca="1" ref="G20" ca="1">IF($B20="","",IF(ISBLANK(INDIRECT("R5.Genéricos!D"&amp;SUM(18,38*2,1))),"",INDIRECT("R5.Genéricos!D"&amp;SUM(18,38*2,1))))</f>
        <v>N/T</v>
      </c>
      <c r="H20" s="215" t="str" cm="1">
        <f t="array" aca="1" ref="H20" ca="1">IF($B20="","",IF(ISBLANK(INDIRECT("R6.Voz!D"&amp;SUM(18,38*0,1))),"",INDIRECT("R6.Voz!D"&amp;SUM(18,38*0,1))))</f>
        <v>N/T</v>
      </c>
      <c r="I20" s="215" t="str" cm="1">
        <f t="array" aca="1" ref="I20" ca="1">IF($B20="","",IF(ISBLANK(INDIRECT("R6.Voz!D"&amp;SUM(18,38*1,1))),"",INDIRECT("R6.Voz!D"&amp;SUM(18,38*1,1))))</f>
        <v>N/T</v>
      </c>
      <c r="J20" s="215" t="str" cm="1">
        <f t="array" aca="1" ref="J20" ca="1">IF($B20="","",IF(ISBLANK(INDIRECT("R6.Voz!D"&amp;SUM(18,38*2,1))),"",INDIRECT("R6.Voz!D"&amp;SUM(18,38*2,1))))</f>
        <v>N/T</v>
      </c>
      <c r="K20" s="215" t="str" cm="1">
        <f t="array" aca="1" ref="K20" ca="1">IF($B20="","",IF(ISBLANK(INDIRECT("R6.Voz!D"&amp;SUM(18,38*3,1))),"",INDIRECT("R6.Voz!D"&amp;SUM(18,38*3,1))))</f>
        <v>N/T</v>
      </c>
      <c r="L20" s="215" t="str" cm="1">
        <f t="array" aca="1" ref="L20" ca="1">IF($B20="","",IF(ISBLANK(INDIRECT("R6.Voz!D"&amp;SUM(18,38*4,1))),"",INDIRECT("R6.Voz!D"&amp;SUM(18,38*4,1))))</f>
        <v>N/T</v>
      </c>
      <c r="M20" s="215" t="str" cm="1">
        <f t="array" aca="1" ref="M20" ca="1">IF($B20="","",IF(ISBLANK(INDIRECT("R6.Voz!D"&amp;SUM(18,38*5,1))),"",INDIRECT("R6.Voz!D"&amp;SUM(18,38*5,1))))</f>
        <v>N/T</v>
      </c>
      <c r="N20" s="215" t="str" cm="1">
        <f t="array" aca="1" ref="N20" ca="1">IF($B20="","",IF(ISBLANK(INDIRECT("R6.Voz!D"&amp;SUM(18,38*6,1))),"",INDIRECT("R6.Voz!D"&amp;SUM(18,38*6,1))))</f>
        <v>N/T</v>
      </c>
      <c r="O20" s="215" t="str" cm="1">
        <f t="array" aca="1" ref="O20" ca="1">IF($B20="","",IF(ISBLANK(INDIRECT("R6.Voz!D"&amp;SUM(18,38*7,1))),"",INDIRECT("R6.Voz!D"&amp;SUM(18,38*7,1))))</f>
        <v>N/T</v>
      </c>
      <c r="P20" s="215" t="str" cm="1">
        <f t="array" aca="1" ref="P20" ca="1">IF($B20="","",IF(ISBLANK(INDIRECT("R6.Voz!D"&amp;SUM(18,38*8,1))),"",INDIRECT("R6.Voz!D"&amp;SUM(18,38*8,1))))</f>
        <v>N/T</v>
      </c>
      <c r="Q20" s="215" t="str" cm="1">
        <f t="array" aca="1" ref="Q20" ca="1">IF($B20="","",IF(ISBLANK(INDIRECT("R6.Voz!D"&amp;SUM(18,38*9,1))),"",INDIRECT("R6.Voz!D"&amp;SUM(18,38*9,1))))</f>
        <v>N/T</v>
      </c>
      <c r="R20" s="215" t="str" cm="1">
        <f t="array" aca="1" ref="R20" ca="1">IF($B20="","",IF(ISBLANK(INDIRECT("R6.Voz!D"&amp;SUM(18,38*10,1))),"",INDIRECT("R6.Voz!D"&amp;SUM(18,38*10,1))))</f>
        <v>N/T</v>
      </c>
      <c r="S20" s="215" t="str" cm="1">
        <f t="array" aca="1" ref="S20" ca="1">IF($B20="","",IF(ISBLANK(INDIRECT("R6.Voz!D"&amp;SUM(18,38*11,1))),"",INDIRECT("R6.Voz!D"&amp;SUM(18,38*11,1))))</f>
        <v>N/T</v>
      </c>
      <c r="T20" s="215" t="str" cm="1">
        <f t="array" aca="1" ref="T20" ca="1">IF($B20="","",IF(ISBLANK(INDIRECT("R6.Voz!D"&amp;SUM(18,38*12,1))),"",INDIRECT("R6.Voz!D"&amp;SUM(18,38*12,1))))</f>
        <v>N/T</v>
      </c>
      <c r="U20" s="215" t="str" cm="1">
        <f t="array" aca="1" ref="U20" ca="1">IF($B20="","",IF(ISBLANK(INDIRECT("R6.Voz!D"&amp;SUM(18,38*13,1))),"",INDIRECT("R6.Voz!D"&amp;SUM(18,38*13,1))))</f>
        <v>N/T</v>
      </c>
      <c r="V20" s="215" t="str" cm="1">
        <f t="array" aca="1" ref="V20" ca="1">IF($B20="","",IF(ISBLANK(INDIRECT("R6.Voz!D"&amp;SUM(18,38*14,1))),"",INDIRECT("R6.Voz!D"&amp;SUM(18,38*14,1))))</f>
        <v>N/T</v>
      </c>
      <c r="W20" s="215" t="str" cm="1">
        <f t="array" aca="1" ref="W20" ca="1">IF($B20="","",IF(ISBLANK(INDIRECT("R6.Voz!D"&amp;SUM(18,38*15,1))),"",INDIRECT("R6.Voz!D"&amp;SUM(18,38*15,1))))</f>
        <v>N/T</v>
      </c>
      <c r="X20" s="215" t="str" cm="1">
        <f t="array" aca="1" ref="X20" ca="1">IF($B20="","",IF(ISBLANK(INDIRECT("R6.Voz!D"&amp;SUM(18,38*16,1))),"",INDIRECT("R6.Voz!D"&amp;SUM(18,38*16,1))))</f>
        <v>N/T</v>
      </c>
      <c r="Y20" s="215" t="str" cm="1">
        <f t="array" aca="1" ref="Y20" ca="1">IF($B20="","",IF(ISBLANK(INDIRECT("R6.Voz!D"&amp;SUM(18,38*17,1))),"",INDIRECT("R6.Voz!D"&amp;SUM(18,38*17,1))))</f>
        <v>N/T</v>
      </c>
      <c r="Z20" s="215" t="str" cm="1">
        <f t="array" aca="1" ref="Z20" ca="1">IF($B20="","",IF(ISBLANK(INDIRECT("R6.Voz!D"&amp;SUM(18,38*18,1))),"",INDIRECT("R6.Voz!D"&amp;SUM(18,38*18,1))))</f>
        <v>N/T</v>
      </c>
      <c r="AA20" s="215" t="str" cm="1">
        <f t="array" aca="1" ref="AA20" ca="1">IF($B20="","",IF(ISBLANK(INDIRECT("R7.Video!D"&amp;SUM(18,38*0,1))),"",INDIRECT("R7.Video!D"&amp;SUM(18,38*0,1))))</f>
        <v>N/T</v>
      </c>
      <c r="AB20" s="215" t="str" cm="1">
        <f t="array" aca="1" ref="AB20" ca="1">IF($B20="","",IF(ISBLANK(INDIRECT("R7.Video!D"&amp;SUM(18,38*1,1))),"",INDIRECT("R7.Video!D"&amp;SUM(18,38*1,1))))</f>
        <v>N/T</v>
      </c>
      <c r="AC20" s="215" t="str" cm="1">
        <f t="array" aca="1" ref="AC20" ca="1">IF($B20="","",IF(ISBLANK(INDIRECT("R7.Video!D"&amp;SUM(18,38*2,1))),"",INDIRECT("R7.Video!D"&amp;SUM(18,38*2,1))))</f>
        <v>N/T</v>
      </c>
      <c r="AD20" s="215" t="str" cm="1">
        <f t="array" aca="1" ref="AD20" ca="1">IF($B20="","",IF(ISBLANK(INDIRECT("R7.Video!D"&amp;SUM(18,38*3,1))),"",INDIRECT("R7.Video!D"&amp;SUM(18,38*3,1))))</f>
        <v>N/T</v>
      </c>
      <c r="AE20" s="215" t="str" cm="1">
        <f t="array" aca="1" ref="AE20" ca="1">IF($B20="","",IF(ISBLANK(INDIRECT("R7.Video!D"&amp;SUM(18,38*4,1))),"",INDIRECT("R7.Video!D"&amp;SUM(18,38*4,1))))</f>
        <v>N/T</v>
      </c>
      <c r="AF20" s="215" t="str" cm="1">
        <f t="array" aca="1" ref="AF20" ca="1">IF($B20="","",IF(ISBLANK(INDIRECT("R7.Video!D"&amp;SUM(18,38*5,1))),"",INDIRECT("R7.Video!D"&amp;SUM(18,38*5,1))))</f>
        <v>N/T</v>
      </c>
      <c r="AG20" s="215" t="str" cm="1">
        <f t="array" aca="1" ref="AG20" ca="1">IF($B20="","",IF(ISBLANK(INDIRECT("R7.Video!D"&amp;SUM(18,38*6,1))),"",INDIRECT("R7.Video!D"&amp;SUM(18,38*6,1))))</f>
        <v>N/T</v>
      </c>
      <c r="AH20" s="215" t="str" cm="1">
        <f t="array" aca="1" ref="AH20" ca="1">IF($B20="","",IF(ISBLANK(INDIRECT("R7.Video!D"&amp;SUM(18,38*7,1))),"",INDIRECT("R7.Video!D"&amp;SUM(18,38*7,1))))</f>
        <v>N/T</v>
      </c>
      <c r="AI20" s="215" t="str" cm="1">
        <f t="array" aca="1" ref="AI20" ca="1">IF($B20="","",IF(ISBLANK(INDIRECT("R7.Video!D"&amp;SUM(18,38*8,1))),"",INDIRECT("R7.Video!D"&amp;SUM(18,38*8,1))))</f>
        <v>N/T</v>
      </c>
      <c r="AJ20" s="215" t="str" cm="1">
        <f t="array" aca="1" ref="AJ20" ca="1">IF($B20="","",IF(ISBLANK(INDIRECT("R9.Web!D"&amp;SUM(18,38*0,1))),"",INDIRECT("R9.Web!D"&amp;SUM(18,38*0,1))))</f>
        <v>N/D</v>
      </c>
      <c r="AK20" s="215" t="str" cm="1">
        <f t="array" aca="1" ref="AK20" ca="1">IF($B20="","",IF(ISBLANK(INDIRECT("R9.Web!D"&amp;SUM(18,38*1,1))),"",INDIRECT("R9.Web!D"&amp;SUM(18,38*1,1))))</f>
        <v>N/T</v>
      </c>
      <c r="AL20" s="215" t="str" cm="1">
        <f t="array" aca="1" ref="AL20" ca="1">IF($B20="","",IF(ISBLANK(INDIRECT("R9.Web!D"&amp;SUM(18,38*2,1))),"",INDIRECT("R9.Web!D"&amp;SUM(18,38*2,1))))</f>
        <v>N/T</v>
      </c>
      <c r="AM20" s="215" t="str" cm="1">
        <f t="array" aca="1" ref="AM20" ca="1">IF($B20="","",IF(ISBLANK(INDIRECT("R9.Web!D"&amp;SUM(18,38*3,1))),"",INDIRECT("R9.Web!D"&amp;SUM(18,38*3,1))))</f>
        <v>N/T</v>
      </c>
      <c r="AN20" s="215" t="str" cm="1">
        <f t="array" aca="1" ref="AN20" ca="1">IF($B20="","",IF(ISBLANK(INDIRECT("R9.Web!D"&amp;SUM(18,38*4,1))),"",INDIRECT("R9.Web!D"&amp;SUM(18,38*4,1))))</f>
        <v>N/T</v>
      </c>
      <c r="AO20" s="215" t="str" cm="1">
        <f t="array" aca="1" ref="AO20" ca="1">IF($B20="","",IF(ISBLANK(INDIRECT("R9.Web!D"&amp;SUM(18,38*5,1))),"",INDIRECT("R9.Web!D"&amp;SUM(18,38*5,1))))</f>
        <v>N/D</v>
      </c>
      <c r="AP20" s="215" t="str" cm="1">
        <f t="array" aca="1" ref="AP20" ca="1">IF($B20="","",IF(ISBLANK(INDIRECT("R9.Web!D"&amp;SUM(18,38*6,1))),"",INDIRECT("R9.Web!D"&amp;SUM(18,38*6,1))))</f>
        <v>N/T</v>
      </c>
      <c r="AQ20" s="215" t="str" cm="1">
        <f t="array" aca="1" ref="AQ20" ca="1">IF($B20="","",IF(ISBLANK(INDIRECT("R9.Web!D"&amp;SUM(18,38*7,1))),"",INDIRECT("R9.Web!D"&amp;SUM(18,38*7,1))))</f>
        <v>N/T</v>
      </c>
      <c r="AR20" s="215" t="str" cm="1">
        <f t="array" aca="1" ref="AR20" ca="1">IF($B20="","",IF(ISBLANK(INDIRECT("R9.Web!D"&amp;SUM(18,38*8,1))),"",INDIRECT("R9.Web!D"&amp;SUM(18,38*8,1))))</f>
        <v>N/D</v>
      </c>
      <c r="AS20" s="215" t="str" cm="1">
        <f t="array" aca="1" ref="AS20" ca="1">IF($B20="","",IF(ISBLANK(INDIRECT("R9.Web!D"&amp;SUM(18,38*9,1))),"",INDIRECT("R9.Web!D"&amp;SUM(18,38*9,1))))</f>
        <v>N/D</v>
      </c>
      <c r="AT20" s="215" t="str" cm="1">
        <f t="array" aca="1" ref="AT20" ca="1">IF($B20="","",IF(ISBLANK(INDIRECT("R9.Web!D"&amp;SUM(18,38*10,1))),"",INDIRECT("R9.Web!D"&amp;SUM(18,38*10,1))))</f>
        <v>N/T</v>
      </c>
      <c r="AU20" s="215" t="str" cm="1">
        <f t="array" aca="1" ref="AU20" ca="1">IF($B20="","",IF(ISBLANK(INDIRECT("R9.Web!D"&amp;SUM(18,38*11,1))),"",INDIRECT("R9.Web!D"&amp;SUM(18,38*11,1))))</f>
        <v>N/T</v>
      </c>
      <c r="AV20" s="215" t="str" cm="1">
        <f t="array" aca="1" ref="AV20" ca="1">IF($B20="","",IF(ISBLANK(INDIRECT("R9.Web!D"&amp;SUM(18,38*12,1))),"",INDIRECT("R9.Web!D"&amp;SUM(18,38*12,1))))</f>
        <v>N/D</v>
      </c>
      <c r="AW20" s="215" t="str" cm="1">
        <f t="array" aca="1" ref="AW20" ca="1">IF($B20="","",IF(ISBLANK(INDIRECT("R9.Web!D"&amp;SUM(18,38*13,1))),"",INDIRECT("R9.Web!D"&amp;SUM(18,38*13,1))))</f>
        <v>N/T</v>
      </c>
      <c r="AX20" s="215" t="str" cm="1">
        <f t="array" aca="1" ref="AX20" ca="1">IF($B20="","",IF(ISBLANK(INDIRECT("R9.Web!D"&amp;SUM(18,38*14,1))),"",INDIRECT("R9.Web!D"&amp;SUM(18,38*14,1))))</f>
        <v>N/T</v>
      </c>
      <c r="AY20" s="215" t="str" cm="1">
        <f t="array" aca="1" ref="AY20" ca="1">IF($B20="","",IF(ISBLANK(INDIRECT("R9.Web!D"&amp;SUM(18,38*15,1))),"",INDIRECT("R9.Web!D"&amp;SUM(18,38*15,1))))</f>
        <v>N/D</v>
      </c>
      <c r="AZ20" s="215" t="str" cm="1">
        <f t="array" aca="1" ref="AZ20" ca="1">IF($B20="","",IF(ISBLANK(INDIRECT("R9.Web!D"&amp;SUM(18,38*16,1))),"",INDIRECT("R9.Web!D"&amp;SUM(18,38*16,1))))</f>
        <v>N/T</v>
      </c>
      <c r="BA20" s="215" t="str" cm="1">
        <f t="array" aca="1" ref="BA20" ca="1">IF($B20="","",IF(ISBLANK(INDIRECT("R9.Web!D"&amp;SUM(18,38*17,1))),"",INDIRECT("R9.Web!D"&amp;SUM(18,38*17,1))))</f>
        <v>N/D</v>
      </c>
      <c r="BB20" s="215" t="str" cm="1">
        <f t="array" aca="1" ref="BB20" ca="1">IF($B20="","",IF(ISBLANK(INDIRECT("R9.Web!D"&amp;SUM(18,38*18,1))),"",INDIRECT("R9.Web!D"&amp;SUM(18,38*18,1))))</f>
        <v>N/T</v>
      </c>
      <c r="BC20" s="215" t="str" cm="1">
        <f t="array" aca="1" ref="BC20" ca="1">IF($B20="","",IF(ISBLANK(INDIRECT("R9.Web!D"&amp;SUM(18,38*19,1))),"",INDIRECT("R9.Web!D"&amp;SUM(18,38*19,1))))</f>
        <v>N/D</v>
      </c>
      <c r="BD20" s="215" t="str" cm="1">
        <f t="array" aca="1" ref="BD20" ca="1">IF($B20="","",IF(ISBLANK(INDIRECT("R9.Web!D"&amp;SUM(18,38*20,1))),"",INDIRECT("R9.Web!D"&amp;SUM(18,38*20,1))))</f>
        <v>N/T</v>
      </c>
      <c r="BE20" s="215" t="str" cm="1">
        <f t="array" aca="1" ref="BE20" ca="1">IF($B20="","",IF(ISBLANK(INDIRECT("R9.Web!D"&amp;SUM(18,38*21,1))),"",INDIRECT("R9.Web!D"&amp;SUM(18,38*21,1))))</f>
        <v>N/T</v>
      </c>
      <c r="BF20" s="215" t="str" cm="1">
        <f t="array" aca="1" ref="BF20" ca="1">IF($B20="","",IF(ISBLANK(INDIRECT("R9.Web!D"&amp;SUM(18,38*22,1))),"",INDIRECT("R9.Web!D"&amp;SUM(18,38*22,1))))</f>
        <v>N/D</v>
      </c>
      <c r="BG20" s="215" t="str" cm="1">
        <f t="array" aca="1" ref="BG20" ca="1">IF($B20="","",IF(ISBLANK(INDIRECT("R9.Web!D"&amp;SUM(18,38*23,1))),"",INDIRECT("R9.Web!D"&amp;SUM(18,38*23,1))))</f>
        <v>N/D</v>
      </c>
      <c r="BH20" s="215" t="str" cm="1">
        <f t="array" aca="1" ref="BH20" ca="1">IF($B20="","",IF(ISBLANK(INDIRECT("R9.Web!D"&amp;SUM(18,38*24,1))),"",INDIRECT("R9.Web!D"&amp;SUM(18,38*24,1))))</f>
        <v>N/T</v>
      </c>
      <c r="BI20" s="215" t="str" cm="1">
        <f t="array" aca="1" ref="BI20" ca="1">IF($B20="","",IF(ISBLANK(INDIRECT("R9.Web!D"&amp;SUM(18,38*25,1))),"",INDIRECT("R9.Web!D"&amp;SUM(18,38*25,1))))</f>
        <v>N/D</v>
      </c>
      <c r="BJ20" s="215" t="str" cm="1">
        <f t="array" aca="1" ref="BJ20" ca="1">IF($B20="","",IF(ISBLANK(INDIRECT("R9.Web!D"&amp;SUM(18,38*26,1))),"",INDIRECT("R9.Web!D"&amp;SUM(18,38*26,1))))</f>
        <v>N/D</v>
      </c>
      <c r="BK20" s="215" t="str" cm="1">
        <f t="array" aca="1" ref="BK20" ca="1">IF($B20="","",IF(ISBLANK(INDIRECT("R9.Web!D"&amp;SUM(18,38*27,1))),"",INDIRECT("R9.Web!D"&amp;SUM(18,38*27,1))))</f>
        <v>N/D</v>
      </c>
      <c r="BL20" s="215" t="str" cm="1">
        <f t="array" aca="1" ref="BL20" ca="1">IF($B20="","",IF(ISBLANK(INDIRECT("R9.Web!D"&amp;SUM(18,38*28,1))),"",INDIRECT("R9.Web!D"&amp;SUM(18,38*28,1))))</f>
        <v>N/D</v>
      </c>
      <c r="BM20" s="215" t="str" cm="1">
        <f t="array" aca="1" ref="BM20" ca="1">IF($B20="","",IF(ISBLANK(INDIRECT("R9.Web!D"&amp;SUM(18,38*29,1))),"",INDIRECT("R9.Web!D"&amp;SUM(18,38*29,1))))</f>
        <v>N/D</v>
      </c>
      <c r="BN20" s="215" t="str" cm="1">
        <f t="array" aca="1" ref="BN20" ca="1">IF($B20="","",IF(ISBLANK(INDIRECT("R9.Web!D"&amp;SUM(18,38*30,1))),"",INDIRECT("R9.Web!D"&amp;SUM(18,38*30,1))))</f>
        <v>N/T</v>
      </c>
      <c r="BO20" s="215" t="str" cm="1">
        <f t="array" aca="1" ref="BO20" ca="1">IF($B20="","",IF(ISBLANK(INDIRECT("R9.Web!D"&amp;SUM(18,38*31,1))),"",INDIRECT("R9.Web!D"&amp;SUM(18,38*31,1))))</f>
        <v>Falla</v>
      </c>
      <c r="BP20" s="215" t="str" cm="1">
        <f t="array" aca="1" ref="BP20" ca="1">IF($B20="","",IF(ISBLANK(INDIRECT("R9.Web!D"&amp;SUM(18,38*32,1))),"",INDIRECT("R9.Web!D"&amp;SUM(18,38*32,1))))</f>
        <v>N/T</v>
      </c>
      <c r="BQ20" s="215" t="str" cm="1">
        <f t="array" aca="1" ref="BQ20" ca="1">IF($B20="","",IF(ISBLANK(INDIRECT("R9.Web!D"&amp;SUM(18,38*33,1))),"",INDIRECT("R9.Web!D"&amp;SUM(18,38*33,1))))</f>
        <v>N/T</v>
      </c>
      <c r="BR20" s="215" t="str" cm="1">
        <f t="array" aca="1" ref="BR20" ca="1">IF($B20="","",IF(ISBLANK(INDIRECT("R9.Web!D"&amp;SUM(18,38*34,1))),"",INDIRECT("R9.Web!D"&amp;SUM(18,38*34,1))))</f>
        <v>N/D</v>
      </c>
      <c r="BS20" s="215" t="str" cm="1">
        <f t="array" aca="1" ref="BS20" ca="1">IF($B20="","",IF(ISBLANK(INDIRECT("R9.Web!D"&amp;SUM(18,38*35,1))),"",INDIRECT("R9.Web!D"&amp;SUM(18,38*35,1))))</f>
        <v>N/T</v>
      </c>
      <c r="BT20" s="215" t="str" cm="1">
        <f t="array" aca="1" ref="BT20" ca="1">IF($B20="","",IF(ISBLANK(INDIRECT("R9.Web!D"&amp;SUM(18,38*36,1))),"",INDIRECT("R9.Web!D"&amp;SUM(18,38*36,1))))</f>
        <v>N/D</v>
      </c>
      <c r="BU20" s="215" t="str" cm="1">
        <f t="array" aca="1" ref="BU20" ca="1">IF($B20="","",IF(ISBLANK(INDIRECT("R9.Web!D"&amp;SUM(18,38*37,1))),"",INDIRECT("R9.Web!D"&amp;SUM(18,38*37,1))))</f>
        <v>N/D</v>
      </c>
      <c r="BV20" s="215" t="str" cm="1">
        <f t="array" aca="1" ref="BV20" ca="1">IF($B20="","",IF(ISBLANK(INDIRECT("R9.Web!D"&amp;SUM(18,38*38,1))),"",INDIRECT("R9.Web!D"&amp;SUM(18,38*38,1))))</f>
        <v>N/D</v>
      </c>
      <c r="BW20" s="215" t="str" cm="1">
        <f t="array" aca="1" ref="BW20" ca="1">IF($B20="","",IF(ISBLANK(INDIRECT("R9.Web!D"&amp;SUM(18,38*39,1))),"",INDIRECT("R9.Web!D"&amp;SUM(18,38*39,1))))</f>
        <v>N/D</v>
      </c>
      <c r="BX20" s="215" t="str" cm="1">
        <f t="array" aca="1" ref="BX20" ca="1">IF($B20="","",IF(ISBLANK(INDIRECT("R9.Web!D"&amp;SUM(18,38*40,1))),"",INDIRECT("R9.Web!D"&amp;SUM(18,38*40,1))))</f>
        <v>N/D</v>
      </c>
      <c r="BY20" s="215" t="str" cm="1">
        <f t="array" aca="1" ref="BY20" ca="1">IF($B20="","",IF(ISBLANK(INDIRECT("R9.Web!D"&amp;SUM(18,38*41,1))),"",INDIRECT("R9.Web!D"&amp;SUM(18,38*41,1))))</f>
        <v>N/T</v>
      </c>
      <c r="BZ20" s="215" t="str" cm="1">
        <f t="array" aca="1" ref="BZ20" ca="1">IF($B20="","",IF(ISBLANK(INDIRECT("R9.Web!D"&amp;SUM(18,38*42,1))),"",INDIRECT("R9.Web!D"&amp;SUM(18,38*42,1))))</f>
        <v>N/T</v>
      </c>
      <c r="CA20" s="215" t="str" cm="1">
        <f t="array" aca="1" ref="CA20" ca="1">IF($B20="","",IF(ISBLANK(INDIRECT("R9.Web!D"&amp;SUM(18,38*43,1))),"",INDIRECT("R9.Web!D"&amp;SUM(18,38*43,1))))</f>
        <v>N/D</v>
      </c>
      <c r="CB20" s="215" t="str" cm="1">
        <f t="array" aca="1" ref="CB20" ca="1">IF($B20="","",IF(ISBLANK(INDIRECT("R9.Web!D"&amp;SUM(18,38*44,1))),"",INDIRECT("R9.Web!D"&amp;SUM(18,38*44,1))))</f>
        <v>N/T</v>
      </c>
      <c r="CC20" s="215" t="str" cm="1">
        <f t="array" aca="1" ref="CC20" ca="1">IF($B20="","",IF(ISBLANK(INDIRECT("R9.Web!D"&amp;SUM(18,38*45,1))),"",INDIRECT("R9.Web!D"&amp;SUM(18,38*45,1))))</f>
        <v>N/T</v>
      </c>
      <c r="CD20" s="215" t="str" cm="1">
        <f t="array" aca="1" ref="CD20" ca="1">IF($B20="","",IF(ISBLANK(INDIRECT("R9.Web!D"&amp;SUM(18,38*46,1))),"",INDIRECT("R9.Web!D"&amp;SUM(18,38*46,1))))</f>
        <v>N/T</v>
      </c>
      <c r="CE20" s="215" t="str" cm="1">
        <f t="array" aca="1" ref="CE20" ca="1">IF($B20="","",IF(ISBLANK(INDIRECT("R9.Web!D"&amp;SUM(18,38*47,1))),"",INDIRECT("R9.Web!D"&amp;SUM(18,38*47,1))))</f>
        <v>N/D</v>
      </c>
      <c r="CF20" s="215" t="str" cm="1">
        <f t="array" aca="1" ref="CF20" ca="1">IF($B20="","",IF(ISBLANK(INDIRECT("R9.Web!D"&amp;SUM(18,38*48,1))),"",INDIRECT("R9.Web!D"&amp;SUM(18,38*48,1))))</f>
        <v>N/T</v>
      </c>
      <c r="CG20" s="215" t="str" cm="1">
        <f t="array" aca="1" ref="CG20" ca="1">IF($B20="","",IF(ISBLANK(INDIRECT("R9.Web!D"&amp;SUM(18,38*49,1))),"",INDIRECT("R9.Web!D"&amp;SUM(18,38*49,1))))</f>
        <v>N/T</v>
      </c>
      <c r="CH20" s="215" t="str" cm="1">
        <f t="array" aca="1" ref="CH20" ca="1">IF($B20="","",IF(ISBLANK(INDIRECT("R11.Software!D"&amp;SUM(18,38*0,1))),"",INDIRECT("R11.Software!D"&amp;SUM(18,38*0,1))))</f>
        <v>N/T</v>
      </c>
      <c r="CI20" s="215" t="str" cm="1">
        <f t="array" aca="1" ref="CI20" ca="1">IF($B20="","",IF(ISBLANK(INDIRECT("R11.Software!D"&amp;SUM(18,38*1,1))),"",INDIRECT("R11.Software!D"&amp;SUM(18,38*1,1))))</f>
        <v>N/T</v>
      </c>
      <c r="CJ20" s="215" t="str" cm="1">
        <f t="array" aca="1" ref="CJ20" ca="1">IF($B20="","",IF(ISBLANK(INDIRECT("R11.Software!D"&amp;SUM(18,38*2,1))),"",INDIRECT("R11.Software!D"&amp;SUM(18,38*2,1))))</f>
        <v>N/T</v>
      </c>
      <c r="CK20" s="215" t="str" cm="1">
        <f t="array" aca="1" ref="CK20" ca="1">IF($B20="","",IF(ISBLANK(INDIRECT("R11.Software!D"&amp;SUM(18,38*3,1))),"",INDIRECT("R11.Software!D"&amp;SUM(18,38*3,1))))</f>
        <v>N/T</v>
      </c>
      <c r="CL20" s="215" t="str" cm="1">
        <f t="array" aca="1" ref="CL20" ca="1">IF($B20="","",IF(ISBLANK(INDIRECT("R11.Software!D"&amp;SUM(18,38*4,1))),"",INDIRECT("R11.Software!D"&amp;SUM(18,38*4,1))))</f>
        <v>N/T</v>
      </c>
      <c r="CM20" s="215" t="str" cm="1">
        <f t="array" aca="1" ref="CM20" ca="1">IF($B20="","",IF(ISBLANK(INDIRECT("R11.Software!D"&amp;SUM(18,38*5,1))),"",INDIRECT("R11.Software!D"&amp;SUM(18,38*5,1))))</f>
        <v>N/T</v>
      </c>
      <c r="CN20" s="215" t="str" cm="1">
        <f t="array" aca="1" ref="CN20" ca="1">IF($B20="","",IF(ISBLANK(INDIRECT("R12.ServiciosApoyo!D"&amp;SUM(18,38*0,1))),"",INDIRECT("R12.ServiciosApoyo!D"&amp;SUM(18,38*0,1))))</f>
        <v>N/T</v>
      </c>
      <c r="CO20" s="215" t="str" cm="1">
        <f t="array" aca="1" ref="CO20" ca="1">IF($B20="","",IF(ISBLANK(INDIRECT("R12.ServiciosApoyo!D"&amp;SUM(18,38*1,1))),"",INDIRECT("R12.ServiciosApoyo!D"&amp;SUM(18,38*1,1))))</f>
        <v>N/T</v>
      </c>
      <c r="CP20" s="215" t="str" cm="1">
        <f t="array" aca="1" ref="CP20" ca="1">IF($B20="","",IF(ISBLANK(INDIRECT("R12.ServiciosApoyo!D"&amp;SUM(18,38*2,1))),"",INDIRECT("R12.ServiciosApoyo!D"&amp;SUM(18,38*2,1))))</f>
        <v>N/T</v>
      </c>
      <c r="CQ20" s="215" t="str" cm="1">
        <f t="array" aca="1" ref="CQ20" ca="1">IF($B20="","",IF(ISBLANK(INDIRECT("R12.ServiciosApoyo!D"&amp;SUM(18,38*3,1))),"",INDIRECT("R12.ServiciosApoyo!D"&amp;SUM(18,38*3,1))))</f>
        <v>N/T</v>
      </c>
      <c r="CR20" s="215" t="str" cm="1">
        <f t="array" aca="1" ref="CR20" ca="1">IF($B20="","",IF(ISBLANK(INDIRECT("R12.ServiciosApoyo!D"&amp;SUM(18,38*4,1))),"",INDIRECT("R12.ServiciosApoyo!D"&amp;SUM(18,38*4,1))))</f>
        <v>N/T</v>
      </c>
      <c r="CU20" s="31"/>
      <c r="CV20" s="29"/>
      <c r="CW20" s="29"/>
      <c r="CX20" s="29"/>
    </row>
    <row r="21" spans="2:102" ht="20.25">
      <c r="B21" s="181" t="n" cm="1">
        <f t="array" ref="B21">IFERROR(INDEX('03.Muestra'!$B$8:$B$42,SMALL(IF("Página Web"='03.Muestra'!$D$8:$D$42,ROW('03.Muestra'!$B$8:$B$42)-MIN(ROW('03.Muestra'!$D$8:$D$42))+1,""),ROW()-19)),"")</f>
        <v>1.0</v>
      </c>
      <c r="C21" s="97" t="str" cm="1">
        <f t="array" ref="C21">IFERROR(INDEX('03.Muestra'!$C$8:$C$42,SMALL(IF("Página Web"='03.Muestra'!$D$8:$D$42,ROW('03.Muestra'!$C$8:$C$42)-MIN(ROW('03.Muestra'!$D$8:$D$42))+1,""),ROW()-19)),"")</f>
        <v>Home - PortCastelló</v>
      </c>
      <c r="D21" s="98" t="str" cm="1">
        <f t="array" ref="D21">IFERROR(INDEX('03.Muestra'!$F$8:$F$42,SMALL(IF("Página Web"='03.Muestra'!$D$8:$D$42,ROW('03.Muestra'!$F$8:$F$42)-MIN(ROW('03.Muestra'!$D$8:$D$42))+1,""),ROW()-19)),"")</f>
        <v>https://www.portcastello.com/</v>
      </c>
      <c r="E21" s="215" t="str" cm="1">
        <f t="array" aca="1" ref="E21" ca="1">IF($B21="","",IF(ISBLANK(INDIRECT("R5.Genéricos!D"&amp;SUM(18,38*0,2))),"",INDIRECT("R5.Genéricos!D"&amp;SUM(18,38*0,2))))</f>
        <v>N/T</v>
      </c>
      <c r="F21" s="215" t="str" cm="1">
        <f t="array" aca="1" ref="F21" ca="1">IF($B21="","",IF(ISBLANK(INDIRECT("R5.Genéricos!D"&amp;SUM(18,38*1,2))),"",INDIRECT("R5.Genéricos!D"&amp;SUM(18,38*1,2))))</f>
        <v>N/T</v>
      </c>
      <c r="G21" s="215" t="str" cm="1">
        <f t="array" aca="1" ref="G21" ca="1">IF($B21="","",IF(ISBLANK(INDIRECT("R5.Genéricos!D"&amp;SUM(18,38*2,2))),"",INDIRECT("R5.Genéricos!D"&amp;SUM(18,38*2,2))))</f>
        <v>N/T</v>
      </c>
      <c r="H21" s="215" t="str" cm="1">
        <f t="array" aca="1" ref="H21" ca="1">IF($B21="","",IF(ISBLANK(INDIRECT("R6.Voz!D"&amp;SUM(18,38*0,2))),"",INDIRECT("R6.Voz!D"&amp;SUM(18,38*0,2))))</f>
        <v>N/T</v>
      </c>
      <c r="I21" s="215" t="str" cm="1">
        <f t="array" aca="1" ref="I21" ca="1">IF($B21="","",IF(ISBLANK(INDIRECT("R6.Voz!D"&amp;SUM(18,38*1,2))),"",INDIRECT("R6.Voz!D"&amp;SUM(18,38*1,2))))</f>
        <v>N/T</v>
      </c>
      <c r="J21" s="215" t="str" cm="1">
        <f t="array" aca="1" ref="J21" ca="1">IF($B21="","",IF(ISBLANK(INDIRECT("R6.Voz!D"&amp;SUM(18,38*2,2))),"",INDIRECT("R6.Voz!D"&amp;SUM(18,38*2,2))))</f>
        <v>N/T</v>
      </c>
      <c r="K21" s="215" t="str" cm="1">
        <f t="array" aca="1" ref="K21" ca="1">IF($B21="","",IF(ISBLANK(INDIRECT("R6.Voz!D"&amp;SUM(18,38*3,2))),"",INDIRECT("R6.Voz!D"&amp;SUM(18,38*3,2))))</f>
        <v>N/T</v>
      </c>
      <c r="L21" s="215" t="str" cm="1">
        <f t="array" aca="1" ref="L21" ca="1">IF($B21="","",IF(ISBLANK(INDIRECT("R6.Voz!D"&amp;SUM(18,38*4,2))),"",INDIRECT("R6.Voz!D"&amp;SUM(18,38*4,2))))</f>
        <v>N/T</v>
      </c>
      <c r="M21" s="215" t="str" cm="1">
        <f t="array" aca="1" ref="M21" ca="1">IF($B21="","",IF(ISBLANK(INDIRECT("R6.Voz!D"&amp;SUM(18,38*5,2))),"",INDIRECT("R6.Voz!D"&amp;SUM(18,38*5,2))))</f>
        <v>N/T</v>
      </c>
      <c r="N21" s="215" t="str" cm="1">
        <f t="array" aca="1" ref="N21" ca="1">IF($B21="","",IF(ISBLANK(INDIRECT("R6.Voz!D"&amp;SUM(18,38*6,2))),"",INDIRECT("R6.Voz!D"&amp;SUM(18,38*6,2))))</f>
        <v>N/T</v>
      </c>
      <c r="O21" s="215" t="str" cm="1">
        <f t="array" aca="1" ref="O21" ca="1">IF($B21="","",IF(ISBLANK(INDIRECT("R6.Voz!D"&amp;SUM(18,38*7,2))),"",INDIRECT("R6.Voz!D"&amp;SUM(18,38*7,2))))</f>
        <v>N/T</v>
      </c>
      <c r="P21" s="215" t="str" cm="1">
        <f t="array" aca="1" ref="P21" ca="1">IF($B21="","",IF(ISBLANK(INDIRECT("R6.Voz!D"&amp;SUM(18,38*8,2))),"",INDIRECT("R6.Voz!D"&amp;SUM(18,38*8,2))))</f>
        <v>N/T</v>
      </c>
      <c r="Q21" s="215" t="str" cm="1">
        <f t="array" aca="1" ref="Q21" ca="1">IF($B21="","",IF(ISBLANK(INDIRECT("R6.Voz!D"&amp;SUM(18,38*9,2))),"",INDIRECT("R6.Voz!D"&amp;SUM(18,38*9,2))))</f>
        <v>N/T</v>
      </c>
      <c r="R21" s="215" t="str" cm="1">
        <f t="array" aca="1" ref="R21" ca="1">IF($B21="","",IF(ISBLANK(INDIRECT("R6.Voz!D"&amp;SUM(18,38*10,2))),"",INDIRECT("R6.Voz!D"&amp;SUM(18,38*10,2))))</f>
        <v>N/T</v>
      </c>
      <c r="S21" s="215" t="str" cm="1">
        <f t="array" aca="1" ref="S21" ca="1">IF($B21="","",IF(ISBLANK(INDIRECT("R6.Voz!D"&amp;SUM(18,38*11,2))),"",INDIRECT("R6.Voz!D"&amp;SUM(18,38*11,2))))</f>
        <v>N/T</v>
      </c>
      <c r="T21" s="215" t="str" cm="1">
        <f t="array" aca="1" ref="T21" ca="1">IF($B21="","",IF(ISBLANK(INDIRECT("R6.Voz!D"&amp;SUM(18,38*12,2))),"",INDIRECT("R6.Voz!D"&amp;SUM(18,38*12,2))))</f>
        <v>N/T</v>
      </c>
      <c r="U21" s="215" t="str" cm="1">
        <f t="array" aca="1" ref="U21" ca="1">IF($B21="","",IF(ISBLANK(INDIRECT("R6.Voz!D"&amp;SUM(18,38*13,2))),"",INDIRECT("R6.Voz!D"&amp;SUM(18,38*13,2))))</f>
        <v>N/T</v>
      </c>
      <c r="V21" s="215" t="str" cm="1">
        <f t="array" aca="1" ref="V21" ca="1">IF($B21="","",IF(ISBLANK(INDIRECT("R6.Voz!D"&amp;SUM(18,38*14,2))),"",INDIRECT("R6.Voz!D"&amp;SUM(18,38*14,2))))</f>
        <v>N/T</v>
      </c>
      <c r="W21" s="215" t="str" cm="1">
        <f t="array" aca="1" ref="W21" ca="1">IF($B21="","",IF(ISBLANK(INDIRECT("R6.Voz!D"&amp;SUM(18,38*15,2))),"",INDIRECT("R6.Voz!D"&amp;SUM(18,38*15,2))))</f>
        <v>N/T</v>
      </c>
      <c r="X21" s="215" t="str" cm="1">
        <f t="array" aca="1" ref="X21" ca="1">IF($B21="","",IF(ISBLANK(INDIRECT("R6.Voz!D"&amp;SUM(18,38*16,2))),"",INDIRECT("R6.Voz!D"&amp;SUM(18,38*16,2))))</f>
        <v>N/T</v>
      </c>
      <c r="Y21" s="215" t="str" cm="1">
        <f t="array" aca="1" ref="Y21" ca="1">IF($B21="","",IF(ISBLANK(INDIRECT("R6.Voz!D"&amp;SUM(18,38*17,2))),"",INDIRECT("R6.Voz!D"&amp;SUM(18,38*17,2))))</f>
        <v>N/T</v>
      </c>
      <c r="Z21" s="215" t="str" cm="1">
        <f t="array" aca="1" ref="Z21" ca="1">IF($B21="","",IF(ISBLANK(INDIRECT("R6.Voz!D"&amp;SUM(18,38*18,2))),"",INDIRECT("R6.Voz!D"&amp;SUM(18,38*18,2))))</f>
        <v>N/T</v>
      </c>
      <c r="AA21" s="215" t="str" cm="1">
        <f t="array" aca="1" ref="AA21" ca="1">IF($B21="","",IF(ISBLANK(INDIRECT("R7.Video!D"&amp;SUM(18,38*0,2))),"",INDIRECT("R7.Video!D"&amp;SUM(18,38*0,2))))</f>
        <v>N/T</v>
      </c>
      <c r="AB21" s="215" t="str" cm="1">
        <f t="array" aca="1" ref="AB21" ca="1">IF($B21="","",IF(ISBLANK(INDIRECT("R7.Video!D"&amp;SUM(18,38*1,2))),"",INDIRECT("R7.Video!D"&amp;SUM(18,38*1,2))))</f>
        <v>N/T</v>
      </c>
      <c r="AC21" s="215" t="str" cm="1">
        <f t="array" aca="1" ref="AC21" ca="1">IF($B21="","",IF(ISBLANK(INDIRECT("R7.Video!D"&amp;SUM(18,38*2,2))),"",INDIRECT("R7.Video!D"&amp;SUM(18,38*2,2))))</f>
        <v>N/T</v>
      </c>
      <c r="AD21" s="215" t="str" cm="1">
        <f t="array" aca="1" ref="AD21" ca="1">IF($B21="","",IF(ISBLANK(INDIRECT("R7.Video!D"&amp;SUM(18,38*3,2))),"",INDIRECT("R7.Video!D"&amp;SUM(18,38*3,2))))</f>
        <v>N/T</v>
      </c>
      <c r="AE21" s="215" t="str" cm="1">
        <f t="array" aca="1" ref="AE21" ca="1">IF($B21="","",IF(ISBLANK(INDIRECT("R7.Video!D"&amp;SUM(18,38*4,2))),"",INDIRECT("R7.Video!D"&amp;SUM(18,38*4,2))))</f>
        <v>N/T</v>
      </c>
      <c r="AF21" s="215" t="str" cm="1">
        <f t="array" aca="1" ref="AF21" ca="1">IF($B21="","",IF(ISBLANK(INDIRECT("R7.Video!D"&amp;SUM(18,38*5,2))),"",INDIRECT("R7.Video!D"&amp;SUM(18,38*5,2))))</f>
        <v>N/T</v>
      </c>
      <c r="AG21" s="215" t="str" cm="1">
        <f t="array" aca="1" ref="AG21" ca="1">IF($B21="","",IF(ISBLANK(INDIRECT("R7.Video!D"&amp;SUM(18,38*6,2))),"",INDIRECT("R7.Video!D"&amp;SUM(18,38*6,2))))</f>
        <v>N/T</v>
      </c>
      <c r="AH21" s="215" t="str" cm="1">
        <f t="array" aca="1" ref="AH21" ca="1">IF($B21="","",IF(ISBLANK(INDIRECT("R7.Video!D"&amp;SUM(18,38*7,2))),"",INDIRECT("R7.Video!D"&amp;SUM(18,38*7,2))))</f>
        <v>N/T</v>
      </c>
      <c r="AI21" s="215" t="str" cm="1">
        <f t="array" aca="1" ref="AI21" ca="1">IF($B21="","",IF(ISBLANK(INDIRECT("R7.Video!D"&amp;SUM(18,38*8,2))),"",INDIRECT("R7.Video!D"&amp;SUM(18,38*8,2))))</f>
        <v>N/T</v>
      </c>
      <c r="AJ21" s="215" t="str" cm="1">
        <f t="array" aca="1" ref="AJ21" ca="1">IF($B21="","",IF(ISBLANK(INDIRECT("R9.Web!D"&amp;SUM(18,38*0,2))),"",INDIRECT("R9.Web!D"&amp;SUM(18,38*0,2))))</f>
        <v>N/D</v>
      </c>
      <c r="AK21" s="215" t="str" cm="1">
        <f t="array" aca="1" ref="AK21" ca="1">IF($B21="","",IF(ISBLANK(INDIRECT("R9.Web!D"&amp;SUM(18,38*1,2))),"",INDIRECT("R9.Web!D"&amp;SUM(18,38*1,2))))</f>
        <v>N/T</v>
      </c>
      <c r="AL21" s="215" t="str" cm="1">
        <f t="array" aca="1" ref="AL21" ca="1">IF($B21="","",IF(ISBLANK(INDIRECT("R9.Web!D"&amp;SUM(18,38*2,2))),"",INDIRECT("R9.Web!D"&amp;SUM(18,38*2,2))))</f>
        <v>N/T</v>
      </c>
      <c r="AM21" s="215" t="str" cm="1">
        <f t="array" aca="1" ref="AM21" ca="1">IF($B21="","",IF(ISBLANK(INDIRECT("R9.Web!D"&amp;SUM(18,38*3,2))),"",INDIRECT("R9.Web!D"&amp;SUM(18,38*3,2))))</f>
        <v>N/T</v>
      </c>
      <c r="AN21" s="215" t="str" cm="1">
        <f t="array" aca="1" ref="AN21" ca="1">IF($B21="","",IF(ISBLANK(INDIRECT("R9.Web!D"&amp;SUM(18,38*4,2))),"",INDIRECT("R9.Web!D"&amp;SUM(18,38*4,2))))</f>
        <v>N/T</v>
      </c>
      <c r="AO21" s="215" t="str" cm="1">
        <f t="array" aca="1" ref="AO21" ca="1">IF($B21="","",IF(ISBLANK(INDIRECT("R9.Web!D"&amp;SUM(18,38*5,2))),"",INDIRECT("R9.Web!D"&amp;SUM(18,38*5,2))))</f>
        <v>N/D</v>
      </c>
      <c r="AP21" s="215" t="str" cm="1">
        <f t="array" aca="1" ref="AP21" ca="1">IF($B21="","",IF(ISBLANK(INDIRECT("R9.Web!D"&amp;SUM(18,38*6,2))),"",INDIRECT("R9.Web!D"&amp;SUM(18,38*6,2))))</f>
        <v>N/T</v>
      </c>
      <c r="AQ21" s="215" t="str" cm="1">
        <f t="array" aca="1" ref="AQ21" ca="1">IF($B21="","",IF(ISBLANK(INDIRECT("R9.Web!D"&amp;SUM(18,38*7,2))),"",INDIRECT("R9.Web!D"&amp;SUM(18,38*7,2))))</f>
        <v>N/T</v>
      </c>
      <c r="AR21" s="215" t="str" cm="1">
        <f t="array" aca="1" ref="AR21" ca="1">IF($B21="","",IF(ISBLANK(INDIRECT("R9.Web!D"&amp;SUM(18,38*8,2))),"",INDIRECT("R9.Web!D"&amp;SUM(18,38*8,2))))</f>
        <v>N/D</v>
      </c>
      <c r="AS21" s="215" t="str" cm="1">
        <f t="array" aca="1" ref="AS21" ca="1">IF($B21="","",IF(ISBLANK(INDIRECT("R9.Web!D"&amp;SUM(18,38*9,2))),"",INDIRECT("R9.Web!D"&amp;SUM(18,38*9,2))))</f>
        <v>N/D</v>
      </c>
      <c r="AT21" s="215" t="str" cm="1">
        <f t="array" aca="1" ref="AT21" ca="1">IF($B21="","",IF(ISBLANK(INDIRECT("R9.Web!D"&amp;SUM(18,38*10,2))),"",INDIRECT("R9.Web!D"&amp;SUM(18,38*10,2))))</f>
        <v>N/T</v>
      </c>
      <c r="AU21" s="215" t="str" cm="1">
        <f t="array" aca="1" ref="AU21" ca="1">IF($B21="","",IF(ISBLANK(INDIRECT("R9.Web!D"&amp;SUM(18,38*11,2))),"",INDIRECT("R9.Web!D"&amp;SUM(18,38*11,2))))</f>
        <v>N/T</v>
      </c>
      <c r="AV21" s="215" t="str" cm="1">
        <f t="array" aca="1" ref="AV21" ca="1">IF($B21="","",IF(ISBLANK(INDIRECT("R9.Web!D"&amp;SUM(18,38*12,2))),"",INDIRECT("R9.Web!D"&amp;SUM(18,38*12,2))))</f>
        <v>N/D</v>
      </c>
      <c r="AW21" s="215" t="str" cm="1">
        <f t="array" aca="1" ref="AW21" ca="1">IF($B21="","",IF(ISBLANK(INDIRECT("R9.Web!D"&amp;SUM(18,38*13,2))),"",INDIRECT("R9.Web!D"&amp;SUM(18,38*13,2))))</f>
        <v>N/T</v>
      </c>
      <c r="AX21" s="215" t="str" cm="1">
        <f t="array" aca="1" ref="AX21" ca="1">IF($B21="","",IF(ISBLANK(INDIRECT("R9.Web!D"&amp;SUM(18,38*14,2))),"",INDIRECT("R9.Web!D"&amp;SUM(18,38*14,2))))</f>
        <v>N/T</v>
      </c>
      <c r="AY21" s="215" t="str" cm="1">
        <f t="array" aca="1" ref="AY21" ca="1">IF($B21="","",IF(ISBLANK(INDIRECT("R9.Web!D"&amp;SUM(18,38*15,2))),"",INDIRECT("R9.Web!D"&amp;SUM(18,38*15,2))))</f>
        <v>N/D</v>
      </c>
      <c r="AZ21" s="215" t="str" cm="1">
        <f t="array" aca="1" ref="AZ21" ca="1">IF($B21="","",IF(ISBLANK(INDIRECT("R9.Web!D"&amp;SUM(18,38*16,2))),"",INDIRECT("R9.Web!D"&amp;SUM(18,38*16,2))))</f>
        <v>N/T</v>
      </c>
      <c r="BA21" s="215" t="str" cm="1">
        <f t="array" aca="1" ref="BA21" ca="1">IF($B21="","",IF(ISBLANK(INDIRECT("R9.Web!D"&amp;SUM(18,38*17,2))),"",INDIRECT("R9.Web!D"&amp;SUM(18,38*17,2))))</f>
        <v>N/D</v>
      </c>
      <c r="BB21" s="215" t="str" cm="1">
        <f t="array" aca="1" ref="BB21" ca="1">IF($B21="","",IF(ISBLANK(INDIRECT("R9.Web!D"&amp;SUM(18,38*18,2))),"",INDIRECT("R9.Web!D"&amp;SUM(18,38*18,2))))</f>
        <v>N/T</v>
      </c>
      <c r="BC21" s="215" t="str" cm="1">
        <f t="array" aca="1" ref="BC21" ca="1">IF($B21="","",IF(ISBLANK(INDIRECT("R9.Web!D"&amp;SUM(18,38*19,2))),"",INDIRECT("R9.Web!D"&amp;SUM(18,38*19,2))))</f>
        <v>N/D</v>
      </c>
      <c r="BD21" s="215" t="str" cm="1">
        <f t="array" aca="1" ref="BD21" ca="1">IF($B21="","",IF(ISBLANK(INDIRECT("R9.Web!D"&amp;SUM(18,38*20,2))),"",INDIRECT("R9.Web!D"&amp;SUM(18,38*20,2))))</f>
        <v>N/T</v>
      </c>
      <c r="BE21" s="215" t="str" cm="1">
        <f t="array" aca="1" ref="BE21" ca="1">IF($B21="","",IF(ISBLANK(INDIRECT("R9.Web!D"&amp;SUM(18,38*21,2))),"",INDIRECT("R9.Web!D"&amp;SUM(18,38*21,2))))</f>
        <v>N/T</v>
      </c>
      <c r="BF21" s="215" t="str" cm="1">
        <f t="array" aca="1" ref="BF21" ca="1">IF($B21="","",IF(ISBLANK(INDIRECT("R9.Web!D"&amp;SUM(18,38*22,2))),"",INDIRECT("R9.Web!D"&amp;SUM(18,38*22,2))))</f>
        <v>N/D</v>
      </c>
      <c r="BG21" s="215" t="str" cm="1">
        <f t="array" aca="1" ref="BG21" ca="1">IF($B21="","",IF(ISBLANK(INDIRECT("R9.Web!D"&amp;SUM(18,38*23,2))),"",INDIRECT("R9.Web!D"&amp;SUM(18,38*23,2))))</f>
        <v>N/D</v>
      </c>
      <c r="BH21" s="215" t="str" cm="1">
        <f t="array" aca="1" ref="BH21" ca="1">IF($B21="","",IF(ISBLANK(INDIRECT("R9.Web!D"&amp;SUM(18,38*24,2))),"",INDIRECT("R9.Web!D"&amp;SUM(18,38*24,2))))</f>
        <v>N/T</v>
      </c>
      <c r="BI21" s="215" t="str" cm="1">
        <f t="array" aca="1" ref="BI21" ca="1">IF($B21="","",IF(ISBLANK(INDIRECT("R9.Web!D"&amp;SUM(18,38*25,2))),"",INDIRECT("R9.Web!D"&amp;SUM(18,38*25,2))))</f>
        <v>N/D</v>
      </c>
      <c r="BJ21" s="215" t="str" cm="1">
        <f t="array" aca="1" ref="BJ21" ca="1">IF($B21="","",IF(ISBLANK(INDIRECT("R9.Web!D"&amp;SUM(18,38*26,2))),"",INDIRECT("R9.Web!D"&amp;SUM(18,38*26,2))))</f>
        <v>N/D</v>
      </c>
      <c r="BK21" s="215" t="str" cm="1">
        <f t="array" aca="1" ref="BK21" ca="1">IF($B21="","",IF(ISBLANK(INDIRECT("R9.Web!D"&amp;SUM(18,38*27,2))),"",INDIRECT("R9.Web!D"&amp;SUM(18,38*27,2))))</f>
        <v>N/D</v>
      </c>
      <c r="BL21" s="215" t="str" cm="1">
        <f t="array" aca="1" ref="BL21" ca="1">IF($B21="","",IF(ISBLANK(INDIRECT("R9.Web!D"&amp;SUM(18,38*28,2))),"",INDIRECT("R9.Web!D"&amp;SUM(18,38*28,2))))</f>
        <v>N/D</v>
      </c>
      <c r="BM21" s="215" t="str" cm="1">
        <f t="array" aca="1" ref="BM21" ca="1">IF($B21="","",IF(ISBLANK(INDIRECT("R9.Web!D"&amp;SUM(18,38*29,2))),"",INDIRECT("R9.Web!D"&amp;SUM(18,38*29,2))))</f>
        <v>N/D</v>
      </c>
      <c r="BN21" s="215" t="str" cm="1">
        <f t="array" aca="1" ref="BN21" ca="1">IF($B21="","",IF(ISBLANK(INDIRECT("R9.Web!D"&amp;SUM(18,38*30,2))),"",INDIRECT("R9.Web!D"&amp;SUM(18,38*30,2))))</f>
        <v>N/T</v>
      </c>
      <c r="BO21" s="215" t="str" cm="1">
        <f t="array" aca="1" ref="BO21" ca="1">IF($B21="","",IF(ISBLANK(INDIRECT("R9.Web!D"&amp;SUM(18,38*31,2))),"",INDIRECT("R9.Web!D"&amp;SUM(18,38*31,2))))</f>
        <v>Falla</v>
      </c>
      <c r="BP21" s="215" t="str" cm="1">
        <f t="array" aca="1" ref="BP21" ca="1">IF($B21="","",IF(ISBLANK(INDIRECT("R9.Web!D"&amp;SUM(18,38*32,2))),"",INDIRECT("R9.Web!D"&amp;SUM(18,38*32,2))))</f>
        <v>N/T</v>
      </c>
      <c r="BQ21" s="215" t="str" cm="1">
        <f t="array" aca="1" ref="BQ21" ca="1">IF($B21="","",IF(ISBLANK(INDIRECT("R9.Web!D"&amp;SUM(18,38*33,2))),"",INDIRECT("R9.Web!D"&amp;SUM(18,38*33,2))))</f>
        <v>N/T</v>
      </c>
      <c r="BR21" s="215" t="str" cm="1">
        <f t="array" aca="1" ref="BR21" ca="1">IF($B21="","",IF(ISBLANK(INDIRECT("R9.Web!D"&amp;SUM(18,38*34,2))),"",INDIRECT("R9.Web!D"&amp;SUM(18,38*34,2))))</f>
        <v>N/D</v>
      </c>
      <c r="BS21" s="215" t="str" cm="1">
        <f t="array" aca="1" ref="BS21" ca="1">IF($B21="","",IF(ISBLANK(INDIRECT("R9.Web!D"&amp;SUM(18,38*35,2))),"",INDIRECT("R9.Web!D"&amp;SUM(18,38*35,2))))</f>
        <v>N/T</v>
      </c>
      <c r="BT21" s="215" t="str" cm="1">
        <f t="array" aca="1" ref="BT21" ca="1">IF($B21="","",IF(ISBLANK(INDIRECT("R9.Web!D"&amp;SUM(18,38*36,2))),"",INDIRECT("R9.Web!D"&amp;SUM(18,38*36,2))))</f>
        <v>N/D</v>
      </c>
      <c r="BU21" s="215" t="str" cm="1">
        <f t="array" aca="1" ref="BU21" ca="1">IF($B21="","",IF(ISBLANK(INDIRECT("R9.Web!D"&amp;SUM(18,38*37,2))),"",INDIRECT("R9.Web!D"&amp;SUM(18,38*37,2))))</f>
        <v>N/D</v>
      </c>
      <c r="BV21" s="215" t="str" cm="1">
        <f t="array" aca="1" ref="BV21" ca="1">IF($B21="","",IF(ISBLANK(INDIRECT("R9.Web!D"&amp;SUM(18,38*38,2))),"",INDIRECT("R9.Web!D"&amp;SUM(18,38*38,2))))</f>
        <v>N/D</v>
      </c>
      <c r="BW21" s="215" t="str" cm="1">
        <f t="array" aca="1" ref="BW21" ca="1">IF($B21="","",IF(ISBLANK(INDIRECT("R9.Web!D"&amp;SUM(18,38*39,2))),"",INDIRECT("R9.Web!D"&amp;SUM(18,38*39,2))))</f>
        <v>N/D</v>
      </c>
      <c r="BX21" s="215" t="str" cm="1">
        <f t="array" aca="1" ref="BX21" ca="1">IF($B21="","",IF(ISBLANK(INDIRECT("R9.Web!D"&amp;SUM(18,38*40,2))),"",INDIRECT("R9.Web!D"&amp;SUM(18,38*40,2))))</f>
        <v>N/D</v>
      </c>
      <c r="BY21" s="215" t="str" cm="1">
        <f t="array" aca="1" ref="BY21" ca="1">IF($B21="","",IF(ISBLANK(INDIRECT("R9.Web!D"&amp;SUM(18,38*41,2))),"",INDIRECT("R9.Web!D"&amp;SUM(18,38*41,2))))</f>
        <v>N/T</v>
      </c>
      <c r="BZ21" s="215" t="str" cm="1">
        <f t="array" aca="1" ref="BZ21" ca="1">IF($B21="","",IF(ISBLANK(INDIRECT("R9.Web!D"&amp;SUM(18,38*42,2))),"",INDIRECT("R9.Web!D"&amp;SUM(18,38*42,2))))</f>
        <v>N/T</v>
      </c>
      <c r="CA21" s="215" t="str" cm="1">
        <f t="array" aca="1" ref="CA21" ca="1">IF($B21="","",IF(ISBLANK(INDIRECT("R9.Web!D"&amp;SUM(18,38*43,2))),"",INDIRECT("R9.Web!D"&amp;SUM(18,38*43,2))))</f>
        <v>N/D</v>
      </c>
      <c r="CB21" s="215" t="str" cm="1">
        <f t="array" aca="1" ref="CB21" ca="1">IF($B21="","",IF(ISBLANK(INDIRECT("R9.Web!D"&amp;SUM(18,38*44,2))),"",INDIRECT("R9.Web!D"&amp;SUM(18,38*44,2))))</f>
        <v>N/T</v>
      </c>
      <c r="CC21" s="215" t="str" cm="1">
        <f t="array" aca="1" ref="CC21" ca="1">IF($B21="","",IF(ISBLANK(INDIRECT("R9.Web!D"&amp;SUM(18,38*45,2))),"",INDIRECT("R9.Web!D"&amp;SUM(18,38*45,2))))</f>
        <v>N/T</v>
      </c>
      <c r="CD21" s="215" t="str" cm="1">
        <f t="array" aca="1" ref="CD21" ca="1">IF($B21="","",IF(ISBLANK(INDIRECT("R9.Web!D"&amp;SUM(18,38*46,2))),"",INDIRECT("R9.Web!D"&amp;SUM(18,38*46,2))))</f>
        <v>N/T</v>
      </c>
      <c r="CE21" s="215" t="str" cm="1">
        <f t="array" aca="1" ref="CE21" ca="1">IF($B21="","",IF(ISBLANK(INDIRECT("R9.Web!D"&amp;SUM(18,38*47,2))),"",INDIRECT("R9.Web!D"&amp;SUM(18,38*47,2))))</f>
        <v>N/D</v>
      </c>
      <c r="CF21" s="215" t="str" cm="1">
        <f t="array" aca="1" ref="CF21" ca="1">IF($B21="","",IF(ISBLANK(INDIRECT("R9.Web!D"&amp;SUM(18,38*48,2))),"",INDIRECT("R9.Web!D"&amp;SUM(18,38*48,2))))</f>
        <v>N/T</v>
      </c>
      <c r="CG21" s="215" t="str" cm="1">
        <f t="array" aca="1" ref="CG21" ca="1">IF($B21="","",IF(ISBLANK(INDIRECT("R9.Web!D"&amp;SUM(18,38*49,2))),"",INDIRECT("R9.Web!D"&amp;SUM(18,38*49,2))))</f>
        <v>N/T</v>
      </c>
      <c r="CH21" s="215" t="str" cm="1">
        <f t="array" aca="1" ref="CH21" ca="1">IF($B21="","",IF(ISBLANK(INDIRECT("R11.Software!D"&amp;SUM(18,38*0,2))),"",INDIRECT("R11.Software!D"&amp;SUM(18,38*0,2))))</f>
        <v>N/T</v>
      </c>
      <c r="CI21" s="215" t="str" cm="1">
        <f t="array" aca="1" ref="CI21" ca="1">IF($B21="","",IF(ISBLANK(INDIRECT("R11.Software!D"&amp;SUM(18,38*1,2))),"",INDIRECT("R11.Software!D"&amp;SUM(18,38*1,2))))</f>
        <v>N/T</v>
      </c>
      <c r="CJ21" s="215" t="str" cm="1">
        <f t="array" aca="1" ref="CJ21" ca="1">IF($B21="","",IF(ISBLANK(INDIRECT("R11.Software!D"&amp;SUM(18,38*2,2))),"",INDIRECT("R11.Software!D"&amp;SUM(18,38*2,2))))</f>
        <v>N/T</v>
      </c>
      <c r="CK21" s="215" t="str" cm="1">
        <f t="array" aca="1" ref="CK21" ca="1">IF($B21="","",IF(ISBLANK(INDIRECT("R11.Software!D"&amp;SUM(18,38*3,2))),"",INDIRECT("R11.Software!D"&amp;SUM(18,38*3,2))))</f>
        <v>N/T</v>
      </c>
      <c r="CL21" s="215" t="str" cm="1">
        <f t="array" aca="1" ref="CL21" ca="1">IF($B21="","",IF(ISBLANK(INDIRECT("R11.Software!D"&amp;SUM(18,38*4,2))),"",INDIRECT("R11.Software!D"&amp;SUM(18,38*4,2))))</f>
        <v>N/T</v>
      </c>
      <c r="CM21" s="215" t="str" cm="1">
        <f t="array" aca="1" ref="CM21" ca="1">IF($B21="","",IF(ISBLANK(INDIRECT("R11.Software!D"&amp;SUM(18,38*5,2))),"",INDIRECT("R11.Software!D"&amp;SUM(18,38*5,2))))</f>
        <v>N/T</v>
      </c>
      <c r="CN21" s="215" t="str" cm="1">
        <f t="array" aca="1" ref="CN21" ca="1">IF($B21="","",IF(ISBLANK(INDIRECT("R12.ServiciosApoyo!D"&amp;SUM(18,38*0,2))),"",INDIRECT("R12.ServiciosApoyo!D"&amp;SUM(18,38*0,2))))</f>
        <v>N/T</v>
      </c>
      <c r="CO21" s="215" t="str" cm="1">
        <f t="array" aca="1" ref="CO21" ca="1">IF($B21="","",IF(ISBLANK(INDIRECT("R12.ServiciosApoyo!D"&amp;SUM(18,38*1,2))),"",INDIRECT("R12.ServiciosApoyo!D"&amp;SUM(18,38*1,2))))</f>
        <v>N/T</v>
      </c>
      <c r="CP21" s="215" t="str" cm="1">
        <f t="array" aca="1" ref="CP21" ca="1">IF($B21="","",IF(ISBLANK(INDIRECT("R12.ServiciosApoyo!D"&amp;SUM(18,38*2,2))),"",INDIRECT("R12.ServiciosApoyo!D"&amp;SUM(18,38*2,2))))</f>
        <v>N/T</v>
      </c>
      <c r="CQ21" s="215" t="str" cm="1">
        <f t="array" aca="1" ref="CQ21" ca="1">IF($B21="","",IF(ISBLANK(INDIRECT("R12.ServiciosApoyo!D"&amp;SUM(18,38*3,2))),"",INDIRECT("R12.ServiciosApoyo!D"&amp;SUM(18,38*3,2))))</f>
        <v>N/T</v>
      </c>
      <c r="CR21" s="215" t="str" cm="1">
        <f t="array" aca="1" ref="CR21" ca="1">IF($B21="","",IF(ISBLANK(INDIRECT("R12.ServiciosApoyo!D"&amp;SUM(18,38*4,2))),"",INDIRECT("R12.ServiciosApoyo!D"&amp;SUM(18,38*4,2))))</f>
        <v>N/T</v>
      </c>
      <c r="CU21" s="100"/>
      <c r="CV21" s="29"/>
      <c r="CW21" s="29"/>
      <c r="CX21" s="29"/>
    </row>
    <row r="22" spans="2:102" ht="20.25">
      <c r="B22" s="181" t="n" cm="1">
        <f t="array" ref="B22">IFERROR(INDEX('03.Muestra'!$B$8:$B$42,SMALL(IF("Página Web"='03.Muestra'!$D$8:$D$42,ROW('03.Muestra'!$B$8:$B$42)-MIN(ROW('03.Muestra'!$D$8:$D$42))+1,""),ROW()-19)),"")</f>
        <v>1.0</v>
      </c>
      <c r="C22" s="97" t="str" cm="1">
        <f t="array" ref="C22">IFERROR(INDEX('03.Muestra'!$C$8:$C$42,SMALL(IF("Página Web"='03.Muestra'!$D$8:$D$42,ROW('03.Muestra'!$C$8:$C$42)-MIN(ROW('03.Muestra'!$D$8:$D$42))+1,""),ROW()-19)),"")</f>
        <v>Home - PortCastelló</v>
      </c>
      <c r="D22" s="98" t="str" cm="1">
        <f t="array" ref="D22">IFERROR(INDEX('03.Muestra'!$F$8:$F$42,SMALL(IF("Página Web"='03.Muestra'!$D$8:$D$42,ROW('03.Muestra'!$F$8:$F$42)-MIN(ROW('03.Muestra'!$D$8:$D$42))+1,""),ROW()-19)),"")</f>
        <v>https://www.portcastello.com/</v>
      </c>
      <c r="E22" s="215" t="str" cm="1">
        <f t="array" aca="1" ref="E22" ca="1">IF($B22="","",IF(ISBLANK(INDIRECT("R5.Genéricos!D"&amp;SUM(18,38*0,3))),"",INDIRECT("R5.Genéricos!D"&amp;SUM(18,38*0,3))))</f>
        <v>N/T</v>
      </c>
      <c r="F22" s="215" t="str" cm="1">
        <f t="array" aca="1" ref="F22" ca="1">IF($B22="","",IF(ISBLANK(INDIRECT("R5.Genéricos!D"&amp;SUM(18,38*1,3))),"",INDIRECT("R5.Genéricos!D"&amp;SUM(18,38*1,3))))</f>
        <v>N/T</v>
      </c>
      <c r="G22" s="215" t="str" cm="1">
        <f t="array" aca="1" ref="G22" ca="1">IF($B22="","",IF(ISBLANK(INDIRECT("R5.Genéricos!D"&amp;SUM(18,38*2,3))),"",INDIRECT("R5.Genéricos!D"&amp;SUM(18,38*2,3))))</f>
        <v>N/T</v>
      </c>
      <c r="H22" s="215" t="str" cm="1">
        <f t="array" aca="1" ref="H22" ca="1">IF($B22="","",IF(ISBLANK(INDIRECT("R6.Voz!D"&amp;SUM(18,38*0,3))),"",INDIRECT("R6.Voz!D"&amp;SUM(18,38*0,3))))</f>
        <v>N/T</v>
      </c>
      <c r="I22" s="215" t="str" cm="1">
        <f t="array" aca="1" ref="I22" ca="1">IF($B22="","",IF(ISBLANK(INDIRECT("R6.Voz!D"&amp;SUM(18,38*1,3))),"",INDIRECT("R6.Voz!D"&amp;SUM(18,38*1,3))))</f>
        <v>N/T</v>
      </c>
      <c r="J22" s="215" t="str" cm="1">
        <f t="array" aca="1" ref="J22" ca="1">IF($B22="","",IF(ISBLANK(INDIRECT("R6.Voz!D"&amp;SUM(18,38*2,3))),"",INDIRECT("R6.Voz!D"&amp;SUM(18,38*2,3))))</f>
        <v>N/T</v>
      </c>
      <c r="K22" s="215" t="str" cm="1">
        <f t="array" aca="1" ref="K22" ca="1">IF($B22="","",IF(ISBLANK(INDIRECT("R6.Voz!D"&amp;SUM(18,38*3,3))),"",INDIRECT("R6.Voz!D"&amp;SUM(18,38*3,3))))</f>
        <v>N/T</v>
      </c>
      <c r="L22" s="215" t="str" cm="1">
        <f t="array" aca="1" ref="L22" ca="1">IF($B22="","",IF(ISBLANK(INDIRECT("R6.Voz!D"&amp;SUM(18,38*4,3))),"",INDIRECT("R6.Voz!D"&amp;SUM(18,38*4,3))))</f>
        <v>N/T</v>
      </c>
      <c r="M22" s="215" t="str" cm="1">
        <f t="array" aca="1" ref="M22" ca="1">IF($B22="","",IF(ISBLANK(INDIRECT("R6.Voz!D"&amp;SUM(18,38*5,3))),"",INDIRECT("R6.Voz!D"&amp;SUM(18,38*5,3))))</f>
        <v>N/T</v>
      </c>
      <c r="N22" s="215" t="str" cm="1">
        <f t="array" aca="1" ref="N22" ca="1">IF($B22="","",IF(ISBLANK(INDIRECT("R6.Voz!D"&amp;SUM(18,38*6,3))),"",INDIRECT("R6.Voz!D"&amp;SUM(18,38*6,3))))</f>
        <v>N/T</v>
      </c>
      <c r="O22" s="215" t="str" cm="1">
        <f t="array" aca="1" ref="O22" ca="1">IF($B22="","",IF(ISBLANK(INDIRECT("R6.Voz!D"&amp;SUM(18,38*7,3))),"",INDIRECT("R6.Voz!D"&amp;SUM(18,38*7,3))))</f>
        <v>N/T</v>
      </c>
      <c r="P22" s="215" t="str" cm="1">
        <f t="array" aca="1" ref="P22" ca="1">IF($B22="","",IF(ISBLANK(INDIRECT("R6.Voz!D"&amp;SUM(18,38*8,3))),"",INDIRECT("R6.Voz!D"&amp;SUM(18,38*8,3))))</f>
        <v>N/T</v>
      </c>
      <c r="Q22" s="215" t="str" cm="1">
        <f t="array" aca="1" ref="Q22" ca="1">IF($B22="","",IF(ISBLANK(INDIRECT("R6.Voz!D"&amp;SUM(18,38*9,3))),"",INDIRECT("R6.Voz!D"&amp;SUM(18,38*9,3))))</f>
        <v>N/T</v>
      </c>
      <c r="R22" s="215" t="str" cm="1">
        <f t="array" aca="1" ref="R22" ca="1">IF($B22="","",IF(ISBLANK(INDIRECT("R6.Voz!D"&amp;SUM(18,38*10,3))),"",INDIRECT("R6.Voz!D"&amp;SUM(18,38*10,3))))</f>
        <v>N/T</v>
      </c>
      <c r="S22" s="215" t="str" cm="1">
        <f t="array" aca="1" ref="S22" ca="1">IF($B22="","",IF(ISBLANK(INDIRECT("R6.Voz!D"&amp;SUM(18,38*11,3))),"",INDIRECT("R6.Voz!D"&amp;SUM(18,38*11,3))))</f>
        <v>N/T</v>
      </c>
      <c r="T22" s="215" t="str" cm="1">
        <f t="array" aca="1" ref="T22" ca="1">IF($B22="","",IF(ISBLANK(INDIRECT("R6.Voz!D"&amp;SUM(18,38*12,3))),"",INDIRECT("R6.Voz!D"&amp;SUM(18,38*12,3))))</f>
        <v>N/T</v>
      </c>
      <c r="U22" s="215" t="str" cm="1">
        <f t="array" aca="1" ref="U22" ca="1">IF($B22="","",IF(ISBLANK(INDIRECT("R6.Voz!D"&amp;SUM(18,38*13,3))),"",INDIRECT("R6.Voz!D"&amp;SUM(18,38*13,3))))</f>
        <v>N/T</v>
      </c>
      <c r="V22" s="215" t="str" cm="1">
        <f t="array" aca="1" ref="V22" ca="1">IF($B22="","",IF(ISBLANK(INDIRECT("R6.Voz!D"&amp;SUM(18,38*14,3))),"",INDIRECT("R6.Voz!D"&amp;SUM(18,38*14,3))))</f>
        <v>N/T</v>
      </c>
      <c r="W22" s="215" t="str" cm="1">
        <f t="array" aca="1" ref="W22" ca="1">IF($B22="","",IF(ISBLANK(INDIRECT("R6.Voz!D"&amp;SUM(18,38*15,3))),"",INDIRECT("R6.Voz!D"&amp;SUM(18,38*15,3))))</f>
        <v>N/T</v>
      </c>
      <c r="X22" s="215" t="str" cm="1">
        <f t="array" aca="1" ref="X22" ca="1">IF($B22="","",IF(ISBLANK(INDIRECT("R6.Voz!D"&amp;SUM(18,38*16,3))),"",INDIRECT("R6.Voz!D"&amp;SUM(18,38*16,3))))</f>
        <v>N/T</v>
      </c>
      <c r="Y22" s="215" t="str" cm="1">
        <f t="array" aca="1" ref="Y22" ca="1">IF($B22="","",IF(ISBLANK(INDIRECT("R6.Voz!D"&amp;SUM(18,38*17,3))),"",INDIRECT("R6.Voz!D"&amp;SUM(18,38*17,3))))</f>
        <v>N/T</v>
      </c>
      <c r="Z22" s="215" t="str" cm="1">
        <f t="array" aca="1" ref="Z22" ca="1">IF($B22="","",IF(ISBLANK(INDIRECT("R6.Voz!D"&amp;SUM(18,38*18,3))),"",INDIRECT("R6.Voz!D"&amp;SUM(18,38*18,3))))</f>
        <v>N/T</v>
      </c>
      <c r="AA22" s="215" t="str" cm="1">
        <f t="array" aca="1" ref="AA22" ca="1">IF($B22="","",IF(ISBLANK(INDIRECT("R7.Video!D"&amp;SUM(18,38*0,3))),"",INDIRECT("R7.Video!D"&amp;SUM(18,38*0,3))))</f>
        <v>N/T</v>
      </c>
      <c r="AB22" s="215" t="str" cm="1">
        <f t="array" aca="1" ref="AB22" ca="1">IF($B22="","",IF(ISBLANK(INDIRECT("R7.Video!D"&amp;SUM(18,38*1,3))),"",INDIRECT("R7.Video!D"&amp;SUM(18,38*1,3))))</f>
        <v>N/T</v>
      </c>
      <c r="AC22" s="215" t="str" cm="1">
        <f t="array" aca="1" ref="AC22" ca="1">IF($B22="","",IF(ISBLANK(INDIRECT("R7.Video!D"&amp;SUM(18,38*2,3))),"",INDIRECT("R7.Video!D"&amp;SUM(18,38*2,3))))</f>
        <v>N/T</v>
      </c>
      <c r="AD22" s="215" t="str" cm="1">
        <f t="array" aca="1" ref="AD22" ca="1">IF($B22="","",IF(ISBLANK(INDIRECT("R7.Video!D"&amp;SUM(18,38*3,3))),"",INDIRECT("R7.Video!D"&amp;SUM(18,38*3,3))))</f>
        <v>N/T</v>
      </c>
      <c r="AE22" s="215" t="str" cm="1">
        <f t="array" aca="1" ref="AE22" ca="1">IF($B22="","",IF(ISBLANK(INDIRECT("R7.Video!D"&amp;SUM(18,38*4,3))),"",INDIRECT("R7.Video!D"&amp;SUM(18,38*4,3))))</f>
        <v>N/T</v>
      </c>
      <c r="AF22" s="215" t="str" cm="1">
        <f t="array" aca="1" ref="AF22" ca="1">IF($B22="","",IF(ISBLANK(INDIRECT("R7.Video!D"&amp;SUM(18,38*5,3))),"",INDIRECT("R7.Video!D"&amp;SUM(18,38*5,3))))</f>
        <v>N/T</v>
      </c>
      <c r="AG22" s="215" t="str" cm="1">
        <f t="array" aca="1" ref="AG22" ca="1">IF($B22="","",IF(ISBLANK(INDIRECT("R7.Video!D"&amp;SUM(18,38*6,3))),"",INDIRECT("R7.Video!D"&amp;SUM(18,38*6,3))))</f>
        <v>N/T</v>
      </c>
      <c r="AH22" s="215" t="str" cm="1">
        <f t="array" aca="1" ref="AH22" ca="1">IF($B22="","",IF(ISBLANK(INDIRECT("R7.Video!D"&amp;SUM(18,38*7,3))),"",INDIRECT("R7.Video!D"&amp;SUM(18,38*7,3))))</f>
        <v>N/T</v>
      </c>
      <c r="AI22" s="215" t="str" cm="1">
        <f t="array" aca="1" ref="AI22" ca="1">IF($B22="","",IF(ISBLANK(INDIRECT("R7.Video!D"&amp;SUM(18,38*8,3))),"",INDIRECT("R7.Video!D"&amp;SUM(18,38*8,3))))</f>
        <v>N/T</v>
      </c>
      <c r="AJ22" s="215" t="str" cm="1">
        <f t="array" aca="1" ref="AJ22" ca="1">IF($B22="","",IF(ISBLANK(INDIRECT("R9.Web!D"&amp;SUM(18,38*0,3))),"",INDIRECT("R9.Web!D"&amp;SUM(18,38*0,3))))</f>
        <v>N/D</v>
      </c>
      <c r="AK22" s="215" t="str" cm="1">
        <f t="array" aca="1" ref="AK22" ca="1">IF($B22="","",IF(ISBLANK(INDIRECT("R9.Web!D"&amp;SUM(18,38*1,3))),"",INDIRECT("R9.Web!D"&amp;SUM(18,38*1,3))))</f>
        <v>N/T</v>
      </c>
      <c r="AL22" s="215" t="str" cm="1">
        <f t="array" aca="1" ref="AL22" ca="1">IF($B22="","",IF(ISBLANK(INDIRECT("R9.Web!D"&amp;SUM(18,38*2,3))),"",INDIRECT("R9.Web!D"&amp;SUM(18,38*2,3))))</f>
        <v>N/T</v>
      </c>
      <c r="AM22" s="215" t="str" cm="1">
        <f t="array" aca="1" ref="AM22" ca="1">IF($B22="","",IF(ISBLANK(INDIRECT("R9.Web!D"&amp;SUM(18,38*3,3))),"",INDIRECT("R9.Web!D"&amp;SUM(18,38*3,3))))</f>
        <v>N/T</v>
      </c>
      <c r="AN22" s="215" t="str" cm="1">
        <f t="array" aca="1" ref="AN22" ca="1">IF($B22="","",IF(ISBLANK(INDIRECT("R9.Web!D"&amp;SUM(18,38*4,3))),"",INDIRECT("R9.Web!D"&amp;SUM(18,38*4,3))))</f>
        <v>N/T</v>
      </c>
      <c r="AO22" s="215" t="str" cm="1">
        <f t="array" aca="1" ref="AO22" ca="1">IF($B22="","",IF(ISBLANK(INDIRECT("R9.Web!D"&amp;SUM(18,38*5,3))),"",INDIRECT("R9.Web!D"&amp;SUM(18,38*5,3))))</f>
        <v>N/D</v>
      </c>
      <c r="AP22" s="215" t="str" cm="1">
        <f t="array" aca="1" ref="AP22" ca="1">IF($B22="","",IF(ISBLANK(INDIRECT("R9.Web!D"&amp;SUM(18,38*6,3))),"",INDIRECT("R9.Web!D"&amp;SUM(18,38*6,3))))</f>
        <v>N/T</v>
      </c>
      <c r="AQ22" s="215" t="str" cm="1">
        <f t="array" aca="1" ref="AQ22" ca="1">IF($B22="","",IF(ISBLANK(INDIRECT("R9.Web!D"&amp;SUM(18,38*7,3))),"",INDIRECT("R9.Web!D"&amp;SUM(18,38*7,3))))</f>
        <v>N/T</v>
      </c>
      <c r="AR22" s="215" t="str" cm="1">
        <f t="array" aca="1" ref="AR22" ca="1">IF($B22="","",IF(ISBLANK(INDIRECT("R9.Web!D"&amp;SUM(18,38*8,3))),"",INDIRECT("R9.Web!D"&amp;SUM(18,38*8,3))))</f>
        <v>N/D</v>
      </c>
      <c r="AS22" s="215" t="str" cm="1">
        <f t="array" aca="1" ref="AS22" ca="1">IF($B22="","",IF(ISBLANK(INDIRECT("R9.Web!D"&amp;SUM(18,38*9,3))),"",INDIRECT("R9.Web!D"&amp;SUM(18,38*9,3))))</f>
        <v>N/D</v>
      </c>
      <c r="AT22" s="215" t="str" cm="1">
        <f t="array" aca="1" ref="AT22" ca="1">IF($B22="","",IF(ISBLANK(INDIRECT("R9.Web!D"&amp;SUM(18,38*10,3))),"",INDIRECT("R9.Web!D"&amp;SUM(18,38*10,3))))</f>
        <v>N/T</v>
      </c>
      <c r="AU22" s="215" t="str" cm="1">
        <f t="array" aca="1" ref="AU22" ca="1">IF($B22="","",IF(ISBLANK(INDIRECT("R9.Web!D"&amp;SUM(18,38*11,3))),"",INDIRECT("R9.Web!D"&amp;SUM(18,38*11,3))))</f>
        <v>N/T</v>
      </c>
      <c r="AV22" s="215" t="str" cm="1">
        <f t="array" aca="1" ref="AV22" ca="1">IF($B22="","",IF(ISBLANK(INDIRECT("R9.Web!D"&amp;SUM(18,38*12,3))),"",INDIRECT("R9.Web!D"&amp;SUM(18,38*12,3))))</f>
        <v>N/D</v>
      </c>
      <c r="AW22" s="215" t="str" cm="1">
        <f t="array" aca="1" ref="AW22" ca="1">IF($B22="","",IF(ISBLANK(INDIRECT("R9.Web!D"&amp;SUM(18,38*13,3))),"",INDIRECT("R9.Web!D"&amp;SUM(18,38*13,3))))</f>
        <v>N/T</v>
      </c>
      <c r="AX22" s="215" t="str" cm="1">
        <f t="array" aca="1" ref="AX22" ca="1">IF($B22="","",IF(ISBLANK(INDIRECT("R9.Web!D"&amp;SUM(18,38*14,3))),"",INDIRECT("R9.Web!D"&amp;SUM(18,38*14,3))))</f>
        <v>N/T</v>
      </c>
      <c r="AY22" s="215" t="str" cm="1">
        <f t="array" aca="1" ref="AY22" ca="1">IF($B22="","",IF(ISBLANK(INDIRECT("R9.Web!D"&amp;SUM(18,38*15,3))),"",INDIRECT("R9.Web!D"&amp;SUM(18,38*15,3))))</f>
        <v>N/D</v>
      </c>
      <c r="AZ22" s="215" t="str" cm="1">
        <f t="array" aca="1" ref="AZ22" ca="1">IF($B22="","",IF(ISBLANK(INDIRECT("R9.Web!D"&amp;SUM(18,38*16,3))),"",INDIRECT("R9.Web!D"&amp;SUM(18,38*16,3))))</f>
        <v>N/T</v>
      </c>
      <c r="BA22" s="215" t="str" cm="1">
        <f t="array" aca="1" ref="BA22" ca="1">IF($B22="","",IF(ISBLANK(INDIRECT("R9.Web!D"&amp;SUM(18,38*17,3))),"",INDIRECT("R9.Web!D"&amp;SUM(18,38*17,3))))</f>
        <v>N/D</v>
      </c>
      <c r="BB22" s="215" t="str" cm="1">
        <f t="array" aca="1" ref="BB22" ca="1">IF($B22="","",IF(ISBLANK(INDIRECT("R9.Web!D"&amp;SUM(18,38*18,3))),"",INDIRECT("R9.Web!D"&amp;SUM(18,38*18,3))))</f>
        <v>N/T</v>
      </c>
      <c r="BC22" s="215" t="str" cm="1">
        <f t="array" aca="1" ref="BC22" ca="1">IF($B22="","",IF(ISBLANK(INDIRECT("R9.Web!D"&amp;SUM(18,38*19,3))),"",INDIRECT("R9.Web!D"&amp;SUM(18,38*19,3))))</f>
        <v>N/D</v>
      </c>
      <c r="BD22" s="215" t="str" cm="1">
        <f t="array" aca="1" ref="BD22" ca="1">IF($B22="","",IF(ISBLANK(INDIRECT("R9.Web!D"&amp;SUM(18,38*20,3))),"",INDIRECT("R9.Web!D"&amp;SUM(18,38*20,3))))</f>
        <v>N/T</v>
      </c>
      <c r="BE22" s="215" t="str" cm="1">
        <f t="array" aca="1" ref="BE22" ca="1">IF($B22="","",IF(ISBLANK(INDIRECT("R9.Web!D"&amp;SUM(18,38*21,3))),"",INDIRECT("R9.Web!D"&amp;SUM(18,38*21,3))))</f>
        <v>N/T</v>
      </c>
      <c r="BF22" s="215" t="str" cm="1">
        <f t="array" aca="1" ref="BF22" ca="1">IF($B22="","",IF(ISBLANK(INDIRECT("R9.Web!D"&amp;SUM(18,38*22,3))),"",INDIRECT("R9.Web!D"&amp;SUM(18,38*22,3))))</f>
        <v>N/D</v>
      </c>
      <c r="BG22" s="215" t="str" cm="1">
        <f t="array" aca="1" ref="BG22" ca="1">IF($B22="","",IF(ISBLANK(INDIRECT("R9.Web!D"&amp;SUM(18,38*23,3))),"",INDIRECT("R9.Web!D"&amp;SUM(18,38*23,3))))</f>
        <v>N/D</v>
      </c>
      <c r="BH22" s="215" t="str" cm="1">
        <f t="array" aca="1" ref="BH22" ca="1">IF($B22="","",IF(ISBLANK(INDIRECT("R9.Web!D"&amp;SUM(18,38*24,3))),"",INDIRECT("R9.Web!D"&amp;SUM(18,38*24,3))))</f>
        <v>N/T</v>
      </c>
      <c r="BI22" s="215" t="str" cm="1">
        <f t="array" aca="1" ref="BI22" ca="1">IF($B22="","",IF(ISBLANK(INDIRECT("R9.Web!D"&amp;SUM(18,38*25,3))),"",INDIRECT("R9.Web!D"&amp;SUM(18,38*25,3))))</f>
        <v>N/D</v>
      </c>
      <c r="BJ22" s="215" t="str" cm="1">
        <f t="array" aca="1" ref="BJ22" ca="1">IF($B22="","",IF(ISBLANK(INDIRECT("R9.Web!D"&amp;SUM(18,38*26,3))),"",INDIRECT("R9.Web!D"&amp;SUM(18,38*26,3))))</f>
        <v>N/D</v>
      </c>
      <c r="BK22" s="215" t="str" cm="1">
        <f t="array" aca="1" ref="BK22" ca="1">IF($B22="","",IF(ISBLANK(INDIRECT("R9.Web!D"&amp;SUM(18,38*27,3))),"",INDIRECT("R9.Web!D"&amp;SUM(18,38*27,3))))</f>
        <v>N/D</v>
      </c>
      <c r="BL22" s="215" t="str" cm="1">
        <f t="array" aca="1" ref="BL22" ca="1">IF($B22="","",IF(ISBLANK(INDIRECT("R9.Web!D"&amp;SUM(18,38*28,3))),"",INDIRECT("R9.Web!D"&amp;SUM(18,38*28,3))))</f>
        <v>N/D</v>
      </c>
      <c r="BM22" s="215" t="str" cm="1">
        <f t="array" aca="1" ref="BM22" ca="1">IF($B22="","",IF(ISBLANK(INDIRECT("R9.Web!D"&amp;SUM(18,38*29,3))),"",INDIRECT("R9.Web!D"&amp;SUM(18,38*29,3))))</f>
        <v>N/D</v>
      </c>
      <c r="BN22" s="215" t="str" cm="1">
        <f t="array" aca="1" ref="BN22" ca="1">IF($B22="","",IF(ISBLANK(INDIRECT("R9.Web!D"&amp;SUM(18,38*30,3))),"",INDIRECT("R9.Web!D"&amp;SUM(18,38*30,3))))</f>
        <v>N/T</v>
      </c>
      <c r="BO22" s="215" t="str" cm="1">
        <f t="array" aca="1" ref="BO22" ca="1">IF($B22="","",IF(ISBLANK(INDIRECT("R9.Web!D"&amp;SUM(18,38*31,3))),"",INDIRECT("R9.Web!D"&amp;SUM(18,38*31,3))))</f>
        <v>Falla</v>
      </c>
      <c r="BP22" s="215" t="str" cm="1">
        <f t="array" aca="1" ref="BP22" ca="1">IF($B22="","",IF(ISBLANK(INDIRECT("R9.Web!D"&amp;SUM(18,38*32,3))),"",INDIRECT("R9.Web!D"&amp;SUM(18,38*32,3))))</f>
        <v>N/T</v>
      </c>
      <c r="BQ22" s="215" t="str" cm="1">
        <f t="array" aca="1" ref="BQ22" ca="1">IF($B22="","",IF(ISBLANK(INDIRECT("R9.Web!D"&amp;SUM(18,38*33,3))),"",INDIRECT("R9.Web!D"&amp;SUM(18,38*33,3))))</f>
        <v>N/T</v>
      </c>
      <c r="BR22" s="215" t="str" cm="1">
        <f t="array" aca="1" ref="BR22" ca="1">IF($B22="","",IF(ISBLANK(INDIRECT("R9.Web!D"&amp;SUM(18,38*34,3))),"",INDIRECT("R9.Web!D"&amp;SUM(18,38*34,3))))</f>
        <v>N/D</v>
      </c>
      <c r="BS22" s="215" t="str" cm="1">
        <f t="array" aca="1" ref="BS22" ca="1">IF($B22="","",IF(ISBLANK(INDIRECT("R9.Web!D"&amp;SUM(18,38*35,3))),"",INDIRECT("R9.Web!D"&amp;SUM(18,38*35,3))))</f>
        <v>N/T</v>
      </c>
      <c r="BT22" s="215" t="str" cm="1">
        <f t="array" aca="1" ref="BT22" ca="1">IF($B22="","",IF(ISBLANK(INDIRECT("R9.Web!D"&amp;SUM(18,38*36,3))),"",INDIRECT("R9.Web!D"&amp;SUM(18,38*36,3))))</f>
        <v>N/D</v>
      </c>
      <c r="BU22" s="215" t="str" cm="1">
        <f t="array" aca="1" ref="BU22" ca="1">IF($B22="","",IF(ISBLANK(INDIRECT("R9.Web!D"&amp;SUM(18,38*37,3))),"",INDIRECT("R9.Web!D"&amp;SUM(18,38*37,3))))</f>
        <v>N/D</v>
      </c>
      <c r="BV22" s="215" t="str" cm="1">
        <f t="array" aca="1" ref="BV22" ca="1">IF($B22="","",IF(ISBLANK(INDIRECT("R9.Web!D"&amp;SUM(18,38*38,3))),"",INDIRECT("R9.Web!D"&amp;SUM(18,38*38,3))))</f>
        <v>N/D</v>
      </c>
      <c r="BW22" s="215" t="str" cm="1">
        <f t="array" aca="1" ref="BW22" ca="1">IF($B22="","",IF(ISBLANK(INDIRECT("R9.Web!D"&amp;SUM(18,38*39,3))),"",INDIRECT("R9.Web!D"&amp;SUM(18,38*39,3))))</f>
        <v>N/D</v>
      </c>
      <c r="BX22" s="215" t="str" cm="1">
        <f t="array" aca="1" ref="BX22" ca="1">IF($B22="","",IF(ISBLANK(INDIRECT("R9.Web!D"&amp;SUM(18,38*40,3))),"",INDIRECT("R9.Web!D"&amp;SUM(18,38*40,3))))</f>
        <v>N/D</v>
      </c>
      <c r="BY22" s="215" t="str" cm="1">
        <f t="array" aca="1" ref="BY22" ca="1">IF($B22="","",IF(ISBLANK(INDIRECT("R9.Web!D"&amp;SUM(18,38*41,3))),"",INDIRECT("R9.Web!D"&amp;SUM(18,38*41,3))))</f>
        <v>N/T</v>
      </c>
      <c r="BZ22" s="215" t="str" cm="1">
        <f t="array" aca="1" ref="BZ22" ca="1">IF($B22="","",IF(ISBLANK(INDIRECT("R9.Web!D"&amp;SUM(18,38*42,3))),"",INDIRECT("R9.Web!D"&amp;SUM(18,38*42,3))))</f>
        <v>N/T</v>
      </c>
      <c r="CA22" s="215" t="str" cm="1">
        <f t="array" aca="1" ref="CA22" ca="1">IF($B22="","",IF(ISBLANK(INDIRECT("R9.Web!D"&amp;SUM(18,38*43,3))),"",INDIRECT("R9.Web!D"&amp;SUM(18,38*43,3))))</f>
        <v>N/D</v>
      </c>
      <c r="CB22" s="215" t="str" cm="1">
        <f t="array" aca="1" ref="CB22" ca="1">IF($B22="","",IF(ISBLANK(INDIRECT("R9.Web!D"&amp;SUM(18,38*44,3))),"",INDIRECT("R9.Web!D"&amp;SUM(18,38*44,3))))</f>
        <v>N/T</v>
      </c>
      <c r="CC22" s="215" t="str" cm="1">
        <f t="array" aca="1" ref="CC22" ca="1">IF($B22="","",IF(ISBLANK(INDIRECT("R9.Web!D"&amp;SUM(18,38*45,3))),"",INDIRECT("R9.Web!D"&amp;SUM(18,38*45,3))))</f>
        <v>N/T</v>
      </c>
      <c r="CD22" s="215" t="str" cm="1">
        <f t="array" aca="1" ref="CD22" ca="1">IF($B22="","",IF(ISBLANK(INDIRECT("R9.Web!D"&amp;SUM(18,38*46,3))),"",INDIRECT("R9.Web!D"&amp;SUM(18,38*46,3))))</f>
        <v>N/T</v>
      </c>
      <c r="CE22" s="215" t="str" cm="1">
        <f t="array" aca="1" ref="CE22" ca="1">IF($B22="","",IF(ISBLANK(INDIRECT("R9.Web!D"&amp;SUM(18,38*47,3))),"",INDIRECT("R9.Web!D"&amp;SUM(18,38*47,3))))</f>
        <v>N/D</v>
      </c>
      <c r="CF22" s="215" t="str" cm="1">
        <f t="array" aca="1" ref="CF22" ca="1">IF($B22="","",IF(ISBLANK(INDIRECT("R9.Web!D"&amp;SUM(18,38*48,3))),"",INDIRECT("R9.Web!D"&amp;SUM(18,38*48,3))))</f>
        <v>N/T</v>
      </c>
      <c r="CG22" s="215" t="str" cm="1">
        <f t="array" aca="1" ref="CG22" ca="1">IF($B22="","",IF(ISBLANK(INDIRECT("R9.Web!D"&amp;SUM(18,38*49,3))),"",INDIRECT("R9.Web!D"&amp;SUM(18,38*49,3))))</f>
        <v>N/T</v>
      </c>
      <c r="CH22" s="215" t="str" cm="1">
        <f t="array" aca="1" ref="CH22" ca="1">IF($B22="","",IF(ISBLANK(INDIRECT("R11.Software!D"&amp;SUM(18,38*0,3))),"",INDIRECT("R11.Software!D"&amp;SUM(18,38*0,3))))</f>
        <v>N/T</v>
      </c>
      <c r="CI22" s="215" t="str" cm="1">
        <f t="array" aca="1" ref="CI22" ca="1">IF($B22="","",IF(ISBLANK(INDIRECT("R11.Software!D"&amp;SUM(18,38*1,3))),"",INDIRECT("R11.Software!D"&amp;SUM(18,38*1,3))))</f>
        <v>N/T</v>
      </c>
      <c r="CJ22" s="215" t="str" cm="1">
        <f t="array" aca="1" ref="CJ22" ca="1">IF($B22="","",IF(ISBLANK(INDIRECT("R11.Software!D"&amp;SUM(18,38*2,3))),"",INDIRECT("R11.Software!D"&amp;SUM(18,38*2,3))))</f>
        <v>N/T</v>
      </c>
      <c r="CK22" s="215" t="str" cm="1">
        <f t="array" aca="1" ref="CK22" ca="1">IF($B22="","",IF(ISBLANK(INDIRECT("R11.Software!D"&amp;SUM(18,38*3,3))),"",INDIRECT("R11.Software!D"&amp;SUM(18,38*3,3))))</f>
        <v>N/T</v>
      </c>
      <c r="CL22" s="215" t="str" cm="1">
        <f t="array" aca="1" ref="CL22" ca="1">IF($B22="","",IF(ISBLANK(INDIRECT("R11.Software!D"&amp;SUM(18,38*4,3))),"",INDIRECT("R11.Software!D"&amp;SUM(18,38*4,3))))</f>
        <v>N/T</v>
      </c>
      <c r="CM22" s="215" t="str" cm="1">
        <f t="array" aca="1" ref="CM22" ca="1">IF($B22="","",IF(ISBLANK(INDIRECT("R11.Software!D"&amp;SUM(18,38*5,3))),"",INDIRECT("R11.Software!D"&amp;SUM(18,38*5,3))))</f>
        <v>N/T</v>
      </c>
      <c r="CN22" s="215" t="str" cm="1">
        <f t="array" aca="1" ref="CN22" ca="1">IF($B22="","",IF(ISBLANK(INDIRECT("R12.ServiciosApoyo!D"&amp;SUM(18,38*0,3))),"",INDIRECT("R12.ServiciosApoyo!D"&amp;SUM(18,38*0,3))))</f>
        <v>N/T</v>
      </c>
      <c r="CO22" s="215" t="str" cm="1">
        <f t="array" aca="1" ref="CO22" ca="1">IF($B22="","",IF(ISBLANK(INDIRECT("R12.ServiciosApoyo!D"&amp;SUM(18,38*1,3))),"",INDIRECT("R12.ServiciosApoyo!D"&amp;SUM(18,38*1,3))))</f>
        <v>N/T</v>
      </c>
      <c r="CP22" s="215" t="str" cm="1">
        <f t="array" aca="1" ref="CP22" ca="1">IF($B22="","",IF(ISBLANK(INDIRECT("R12.ServiciosApoyo!D"&amp;SUM(18,38*2,3))),"",INDIRECT("R12.ServiciosApoyo!D"&amp;SUM(18,38*2,3))))</f>
        <v>N/T</v>
      </c>
      <c r="CQ22" s="215" t="str" cm="1">
        <f t="array" aca="1" ref="CQ22" ca="1">IF($B22="","",IF(ISBLANK(INDIRECT("R12.ServiciosApoyo!D"&amp;SUM(18,38*3,3))),"",INDIRECT("R12.ServiciosApoyo!D"&amp;SUM(18,38*3,3))))</f>
        <v>N/T</v>
      </c>
      <c r="CR22" s="215" t="str" cm="1">
        <f t="array" aca="1" ref="CR22" ca="1">IF($B22="","",IF(ISBLANK(INDIRECT("R12.ServiciosApoyo!D"&amp;SUM(18,38*4,3))),"",INDIRECT("R12.ServiciosApoyo!D"&amp;SUM(18,38*4,3))))</f>
        <v>N/T</v>
      </c>
      <c r="CU22" s="100"/>
      <c r="CV22" s="29"/>
      <c r="CW22" s="29"/>
      <c r="CX22" s="29"/>
    </row>
    <row r="23" spans="2:102" ht="20.25">
      <c r="B23" s="181" t="n" cm="1">
        <f t="array" ref="B23">IFERROR(INDEX('03.Muestra'!$B$8:$B$42,SMALL(IF("Página Web"='03.Muestra'!$D$8:$D$42,ROW('03.Muestra'!$B$8:$B$42)-MIN(ROW('03.Muestra'!$D$8:$D$42))+1,""),ROW()-19)),"")</f>
        <v>1.0</v>
      </c>
      <c r="C23" s="97" t="str" cm="1">
        <f t="array" ref="C23">IFERROR(INDEX('03.Muestra'!$C$8:$C$42,SMALL(IF("Página Web"='03.Muestra'!$D$8:$D$42,ROW('03.Muestra'!$C$8:$C$42)-MIN(ROW('03.Muestra'!$D$8:$D$42))+1,""),ROW()-19)),"")</f>
        <v>Home - PortCastelló</v>
      </c>
      <c r="D23" s="98" t="str" cm="1">
        <f t="array" ref="D23">IFERROR(INDEX('03.Muestra'!$F$8:$F$42,SMALL(IF("Página Web"='03.Muestra'!$D$8:$D$42,ROW('03.Muestra'!$F$8:$F$42)-MIN(ROW('03.Muestra'!$D$8:$D$42))+1,""),ROW()-19)),"")</f>
        <v>https://www.portcastello.com/</v>
      </c>
      <c r="E23" s="215" t="str" cm="1">
        <f t="array" aca="1" ref="E23" ca="1">IF($B23="","",IF(ISBLANK(INDIRECT("R5.Genéricos!D"&amp;SUM(18,38*0,4))),"",INDIRECT("R5.Genéricos!D"&amp;SUM(18,38*0,4))))</f>
        <v>N/T</v>
      </c>
      <c r="F23" s="215" t="str" cm="1">
        <f t="array" aca="1" ref="F23" ca="1">IF($B23="","",IF(ISBLANK(INDIRECT("R5.Genéricos!D"&amp;SUM(18,38*1,4))),"",INDIRECT("R5.Genéricos!D"&amp;SUM(18,38*1,4))))</f>
        <v>N/T</v>
      </c>
      <c r="G23" s="215" t="str" cm="1">
        <f t="array" aca="1" ref="G23" ca="1">IF($B23="","",IF(ISBLANK(INDIRECT("R5.Genéricos!D"&amp;SUM(18,38*2,4))),"",INDIRECT("R5.Genéricos!D"&amp;SUM(18,38*2,4))))</f>
        <v>N/T</v>
      </c>
      <c r="H23" s="215" t="str" cm="1">
        <f t="array" aca="1" ref="H23" ca="1">IF($B23="","",IF(ISBLANK(INDIRECT("R6.Voz!D"&amp;SUM(18,38*0,4))),"",INDIRECT("R6.Voz!D"&amp;SUM(18,38*0,4))))</f>
        <v>N/T</v>
      </c>
      <c r="I23" s="215" t="str" cm="1">
        <f t="array" aca="1" ref="I23" ca="1">IF($B23="","",IF(ISBLANK(INDIRECT("R6.Voz!D"&amp;SUM(18,38*1,4))),"",INDIRECT("R6.Voz!D"&amp;SUM(18,38*1,4))))</f>
        <v>N/T</v>
      </c>
      <c r="J23" s="215" t="str" cm="1">
        <f t="array" aca="1" ref="J23" ca="1">IF($B23="","",IF(ISBLANK(INDIRECT("R6.Voz!D"&amp;SUM(18,38*2,4))),"",INDIRECT("R6.Voz!D"&amp;SUM(18,38*2,4))))</f>
        <v>N/T</v>
      </c>
      <c r="K23" s="215" t="str" cm="1">
        <f t="array" aca="1" ref="K23" ca="1">IF($B23="","",IF(ISBLANK(INDIRECT("R6.Voz!D"&amp;SUM(18,38*3,4))),"",INDIRECT("R6.Voz!D"&amp;SUM(18,38*3,4))))</f>
        <v>N/T</v>
      </c>
      <c r="L23" s="215" t="str" cm="1">
        <f t="array" aca="1" ref="L23" ca="1">IF($B23="","",IF(ISBLANK(INDIRECT("R6.Voz!D"&amp;SUM(18,38*4,4))),"",INDIRECT("R6.Voz!D"&amp;SUM(18,38*4,4))))</f>
        <v>N/T</v>
      </c>
      <c r="M23" s="215" t="str" cm="1">
        <f t="array" aca="1" ref="M23" ca="1">IF($B23="","",IF(ISBLANK(INDIRECT("R6.Voz!D"&amp;SUM(18,38*5,4))),"",INDIRECT("R6.Voz!D"&amp;SUM(18,38*5,4))))</f>
        <v>N/T</v>
      </c>
      <c r="N23" s="215" t="str" cm="1">
        <f t="array" aca="1" ref="N23" ca="1">IF($B23="","",IF(ISBLANK(INDIRECT("R6.Voz!D"&amp;SUM(18,38*6,4))),"",INDIRECT("R6.Voz!D"&amp;SUM(18,38*6,4))))</f>
        <v>N/T</v>
      </c>
      <c r="O23" s="215" t="str" cm="1">
        <f t="array" aca="1" ref="O23" ca="1">IF($B23="","",IF(ISBLANK(INDIRECT("R6.Voz!D"&amp;SUM(18,38*7,4))),"",INDIRECT("R6.Voz!D"&amp;SUM(18,38*7,4))))</f>
        <v>N/T</v>
      </c>
      <c r="P23" s="215" t="str" cm="1">
        <f t="array" aca="1" ref="P23" ca="1">IF($B23="","",IF(ISBLANK(INDIRECT("R6.Voz!D"&amp;SUM(18,38*8,4))),"",INDIRECT("R6.Voz!D"&amp;SUM(18,38*8,4))))</f>
        <v>N/T</v>
      </c>
      <c r="Q23" s="215" t="str" cm="1">
        <f t="array" aca="1" ref="Q23" ca="1">IF($B23="","",IF(ISBLANK(INDIRECT("R6.Voz!D"&amp;SUM(18,38*9,4))),"",INDIRECT("R6.Voz!D"&amp;SUM(18,38*9,4))))</f>
        <v>N/T</v>
      </c>
      <c r="R23" s="215" t="str" cm="1">
        <f t="array" aca="1" ref="R23" ca="1">IF($B23="","",IF(ISBLANK(INDIRECT("R6.Voz!D"&amp;SUM(18,38*10,4))),"",INDIRECT("R6.Voz!D"&amp;SUM(18,38*10,4))))</f>
        <v>N/T</v>
      </c>
      <c r="S23" s="215" t="str" cm="1">
        <f t="array" aca="1" ref="S23" ca="1">IF($B23="","",IF(ISBLANK(INDIRECT("R6.Voz!D"&amp;SUM(18,38*11,4))),"",INDIRECT("R6.Voz!D"&amp;SUM(18,38*11,4))))</f>
        <v>N/T</v>
      </c>
      <c r="T23" s="215" t="str" cm="1">
        <f t="array" aca="1" ref="T23" ca="1">IF($B23="","",IF(ISBLANK(INDIRECT("R6.Voz!D"&amp;SUM(18,38*12,4))),"",INDIRECT("R6.Voz!D"&amp;SUM(18,38*12,4))))</f>
        <v>N/T</v>
      </c>
      <c r="U23" s="215" t="str" cm="1">
        <f t="array" aca="1" ref="U23" ca="1">IF($B23="","",IF(ISBLANK(INDIRECT("R6.Voz!D"&amp;SUM(18,38*13,4))),"",INDIRECT("R6.Voz!D"&amp;SUM(18,38*13,4))))</f>
        <v>N/T</v>
      </c>
      <c r="V23" s="215" t="str" cm="1">
        <f t="array" aca="1" ref="V23" ca="1">IF($B23="","",IF(ISBLANK(INDIRECT("R6.Voz!D"&amp;SUM(18,38*14,4))),"",INDIRECT("R6.Voz!D"&amp;SUM(18,38*14,4))))</f>
        <v>N/T</v>
      </c>
      <c r="W23" s="215" t="str" cm="1">
        <f t="array" aca="1" ref="W23" ca="1">IF($B23="","",IF(ISBLANK(INDIRECT("R6.Voz!D"&amp;SUM(18,38*15,4))),"",INDIRECT("R6.Voz!D"&amp;SUM(18,38*15,4))))</f>
        <v>N/T</v>
      </c>
      <c r="X23" s="215" t="str" cm="1">
        <f t="array" aca="1" ref="X23" ca="1">IF($B23="","",IF(ISBLANK(INDIRECT("R6.Voz!D"&amp;SUM(18,38*16,4))),"",INDIRECT("R6.Voz!D"&amp;SUM(18,38*16,4))))</f>
        <v>N/T</v>
      </c>
      <c r="Y23" s="215" t="str" cm="1">
        <f t="array" aca="1" ref="Y23" ca="1">IF($B23="","",IF(ISBLANK(INDIRECT("R6.Voz!D"&amp;SUM(18,38*17,4))),"",INDIRECT("R6.Voz!D"&amp;SUM(18,38*17,4))))</f>
        <v>N/T</v>
      </c>
      <c r="Z23" s="215" t="str" cm="1">
        <f t="array" aca="1" ref="Z23" ca="1">IF($B23="","",IF(ISBLANK(INDIRECT("R6.Voz!D"&amp;SUM(18,38*18,4))),"",INDIRECT("R6.Voz!D"&amp;SUM(18,38*18,4))))</f>
        <v>N/T</v>
      </c>
      <c r="AA23" s="215" t="str" cm="1">
        <f t="array" aca="1" ref="AA23" ca="1">IF($B23="","",IF(ISBLANK(INDIRECT("R7.Video!D"&amp;SUM(18,38*0,4))),"",INDIRECT("R7.Video!D"&amp;SUM(18,38*0,4))))</f>
        <v>N/T</v>
      </c>
      <c r="AB23" s="215" t="str" cm="1">
        <f t="array" aca="1" ref="AB23" ca="1">IF($B23="","",IF(ISBLANK(INDIRECT("R7.Video!D"&amp;SUM(18,38*1,4))),"",INDIRECT("R7.Video!D"&amp;SUM(18,38*1,4))))</f>
        <v>N/T</v>
      </c>
      <c r="AC23" s="215" t="str" cm="1">
        <f t="array" aca="1" ref="AC23" ca="1">IF($B23="","",IF(ISBLANK(INDIRECT("R7.Video!D"&amp;SUM(18,38*2,4))),"",INDIRECT("R7.Video!D"&amp;SUM(18,38*2,4))))</f>
        <v>N/T</v>
      </c>
      <c r="AD23" s="215" t="str" cm="1">
        <f t="array" aca="1" ref="AD23" ca="1">IF($B23="","",IF(ISBLANK(INDIRECT("R7.Video!D"&amp;SUM(18,38*3,4))),"",INDIRECT("R7.Video!D"&amp;SUM(18,38*3,4))))</f>
        <v>N/T</v>
      </c>
      <c r="AE23" s="215" t="str" cm="1">
        <f t="array" aca="1" ref="AE23" ca="1">IF($B23="","",IF(ISBLANK(INDIRECT("R7.Video!D"&amp;SUM(18,38*4,4))),"",INDIRECT("R7.Video!D"&amp;SUM(18,38*4,4))))</f>
        <v>N/T</v>
      </c>
      <c r="AF23" s="215" t="str" cm="1">
        <f t="array" aca="1" ref="AF23" ca="1">IF($B23="","",IF(ISBLANK(INDIRECT("R7.Video!D"&amp;SUM(18,38*5,4))),"",INDIRECT("R7.Video!D"&amp;SUM(18,38*5,4))))</f>
        <v>N/T</v>
      </c>
      <c r="AG23" s="215" t="str" cm="1">
        <f t="array" aca="1" ref="AG23" ca="1">IF($B23="","",IF(ISBLANK(INDIRECT("R7.Video!D"&amp;SUM(18,38*6,4))),"",INDIRECT("R7.Video!D"&amp;SUM(18,38*6,4))))</f>
        <v>N/T</v>
      </c>
      <c r="AH23" s="215" t="str" cm="1">
        <f t="array" aca="1" ref="AH23" ca="1">IF($B23="","",IF(ISBLANK(INDIRECT("R7.Video!D"&amp;SUM(18,38*7,4))),"",INDIRECT("R7.Video!D"&amp;SUM(18,38*7,4))))</f>
        <v>N/T</v>
      </c>
      <c r="AI23" s="215" t="str" cm="1">
        <f t="array" aca="1" ref="AI23" ca="1">IF($B23="","",IF(ISBLANK(INDIRECT("R7.Video!D"&amp;SUM(18,38*8,4))),"",INDIRECT("R7.Video!D"&amp;SUM(18,38*8,4))))</f>
        <v>N/T</v>
      </c>
      <c r="AJ23" s="215" t="str" cm="1">
        <f t="array" aca="1" ref="AJ23" ca="1">IF($B23="","",IF(ISBLANK(INDIRECT("R9.Web!D"&amp;SUM(18,38*0,4))),"",INDIRECT("R9.Web!D"&amp;SUM(18,38*0,4))))</f>
        <v>N/D</v>
      </c>
      <c r="AK23" s="215" t="str" cm="1">
        <f t="array" aca="1" ref="AK23" ca="1">IF($B23="","",IF(ISBLANK(INDIRECT("R9.Web!D"&amp;SUM(18,38*1,4))),"",INDIRECT("R9.Web!D"&amp;SUM(18,38*1,4))))</f>
        <v>N/T</v>
      </c>
      <c r="AL23" s="215" t="str" cm="1">
        <f t="array" aca="1" ref="AL23" ca="1">IF($B23="","",IF(ISBLANK(INDIRECT("R9.Web!D"&amp;SUM(18,38*2,4))),"",INDIRECT("R9.Web!D"&amp;SUM(18,38*2,4))))</f>
        <v>N/T</v>
      </c>
      <c r="AM23" s="215" t="str" cm="1">
        <f t="array" aca="1" ref="AM23" ca="1">IF($B23="","",IF(ISBLANK(INDIRECT("R9.Web!D"&amp;SUM(18,38*3,4))),"",INDIRECT("R9.Web!D"&amp;SUM(18,38*3,4))))</f>
        <v>N/T</v>
      </c>
      <c r="AN23" s="215" t="str" cm="1">
        <f t="array" aca="1" ref="AN23" ca="1">IF($B23="","",IF(ISBLANK(INDIRECT("R9.Web!D"&amp;SUM(18,38*4,4))),"",INDIRECT("R9.Web!D"&amp;SUM(18,38*4,4))))</f>
        <v>N/T</v>
      </c>
      <c r="AO23" s="215" t="str" cm="1">
        <f t="array" aca="1" ref="AO23" ca="1">IF($B23="","",IF(ISBLANK(INDIRECT("R9.Web!D"&amp;SUM(18,38*5,4))),"",INDIRECT("R9.Web!D"&amp;SUM(18,38*5,4))))</f>
        <v>N/D</v>
      </c>
      <c r="AP23" s="215" t="str" cm="1">
        <f t="array" aca="1" ref="AP23" ca="1">IF($B23="","",IF(ISBLANK(INDIRECT("R9.Web!D"&amp;SUM(18,38*6,4))),"",INDIRECT("R9.Web!D"&amp;SUM(18,38*6,4))))</f>
        <v>N/T</v>
      </c>
      <c r="AQ23" s="215" t="str" cm="1">
        <f t="array" aca="1" ref="AQ23" ca="1">IF($B23="","",IF(ISBLANK(INDIRECT("R9.Web!D"&amp;SUM(18,38*7,4))),"",INDIRECT("R9.Web!D"&amp;SUM(18,38*7,4))))</f>
        <v>N/T</v>
      </c>
      <c r="AR23" s="215" t="str" cm="1">
        <f t="array" aca="1" ref="AR23" ca="1">IF($B23="","",IF(ISBLANK(INDIRECT("R9.Web!D"&amp;SUM(18,38*8,4))),"",INDIRECT("R9.Web!D"&amp;SUM(18,38*8,4))))</f>
        <v>N/D</v>
      </c>
      <c r="AS23" s="215" t="str" cm="1">
        <f t="array" aca="1" ref="AS23" ca="1">IF($B23="","",IF(ISBLANK(INDIRECT("R9.Web!D"&amp;SUM(18,38*9,4))),"",INDIRECT("R9.Web!D"&amp;SUM(18,38*9,4))))</f>
        <v>N/D</v>
      </c>
      <c r="AT23" s="215" t="str" cm="1">
        <f t="array" aca="1" ref="AT23" ca="1">IF($B23="","",IF(ISBLANK(INDIRECT("R9.Web!D"&amp;SUM(18,38*10,4))),"",INDIRECT("R9.Web!D"&amp;SUM(18,38*10,4))))</f>
        <v>N/T</v>
      </c>
      <c r="AU23" s="215" t="str" cm="1">
        <f t="array" aca="1" ref="AU23" ca="1">IF($B23="","",IF(ISBLANK(INDIRECT("R9.Web!D"&amp;SUM(18,38*11,4))),"",INDIRECT("R9.Web!D"&amp;SUM(18,38*11,4))))</f>
        <v>N/T</v>
      </c>
      <c r="AV23" s="215" t="str" cm="1">
        <f t="array" aca="1" ref="AV23" ca="1">IF($B23="","",IF(ISBLANK(INDIRECT("R9.Web!D"&amp;SUM(18,38*12,4))),"",INDIRECT("R9.Web!D"&amp;SUM(18,38*12,4))))</f>
        <v>N/D</v>
      </c>
      <c r="AW23" s="215" t="str" cm="1">
        <f t="array" aca="1" ref="AW23" ca="1">IF($B23="","",IF(ISBLANK(INDIRECT("R9.Web!D"&amp;SUM(18,38*13,4))),"",INDIRECT("R9.Web!D"&amp;SUM(18,38*13,4))))</f>
        <v>N/T</v>
      </c>
      <c r="AX23" s="215" t="str" cm="1">
        <f t="array" aca="1" ref="AX23" ca="1">IF($B23="","",IF(ISBLANK(INDIRECT("R9.Web!D"&amp;SUM(18,38*14,4))),"",INDIRECT("R9.Web!D"&amp;SUM(18,38*14,4))))</f>
        <v>N/T</v>
      </c>
      <c r="AY23" s="215" t="str" cm="1">
        <f t="array" aca="1" ref="AY23" ca="1">IF($B23="","",IF(ISBLANK(INDIRECT("R9.Web!D"&amp;SUM(18,38*15,4))),"",INDIRECT("R9.Web!D"&amp;SUM(18,38*15,4))))</f>
        <v>N/D</v>
      </c>
      <c r="AZ23" s="215" t="str" cm="1">
        <f t="array" aca="1" ref="AZ23" ca="1">IF($B23="","",IF(ISBLANK(INDIRECT("R9.Web!D"&amp;SUM(18,38*16,4))),"",INDIRECT("R9.Web!D"&amp;SUM(18,38*16,4))))</f>
        <v>N/T</v>
      </c>
      <c r="BA23" s="215" t="str" cm="1">
        <f t="array" aca="1" ref="BA23" ca="1">IF($B23="","",IF(ISBLANK(INDIRECT("R9.Web!D"&amp;SUM(18,38*17,4))),"",INDIRECT("R9.Web!D"&amp;SUM(18,38*17,4))))</f>
        <v>N/D</v>
      </c>
      <c r="BB23" s="215" t="str" cm="1">
        <f t="array" aca="1" ref="BB23" ca="1">IF($B23="","",IF(ISBLANK(INDIRECT("R9.Web!D"&amp;SUM(18,38*18,4))),"",INDIRECT("R9.Web!D"&amp;SUM(18,38*18,4))))</f>
        <v>N/T</v>
      </c>
      <c r="BC23" s="215" t="str" cm="1">
        <f t="array" aca="1" ref="BC23" ca="1">IF($B23="","",IF(ISBLANK(INDIRECT("R9.Web!D"&amp;SUM(18,38*19,4))),"",INDIRECT("R9.Web!D"&amp;SUM(18,38*19,4))))</f>
        <v>N/D</v>
      </c>
      <c r="BD23" s="215" t="str" cm="1">
        <f t="array" aca="1" ref="BD23" ca="1">IF($B23="","",IF(ISBLANK(INDIRECT("R9.Web!D"&amp;SUM(18,38*20,4))),"",INDIRECT("R9.Web!D"&amp;SUM(18,38*20,4))))</f>
        <v>N/T</v>
      </c>
      <c r="BE23" s="215" t="str" cm="1">
        <f t="array" aca="1" ref="BE23" ca="1">IF($B23="","",IF(ISBLANK(INDIRECT("R9.Web!D"&amp;SUM(18,38*21,4))),"",INDIRECT("R9.Web!D"&amp;SUM(18,38*21,4))))</f>
        <v>N/T</v>
      </c>
      <c r="BF23" s="215" t="str" cm="1">
        <f t="array" aca="1" ref="BF23" ca="1">IF($B23="","",IF(ISBLANK(INDIRECT("R9.Web!D"&amp;SUM(18,38*22,4))),"",INDIRECT("R9.Web!D"&amp;SUM(18,38*22,4))))</f>
        <v>N/D</v>
      </c>
      <c r="BG23" s="215" t="str" cm="1">
        <f t="array" aca="1" ref="BG23" ca="1">IF($B23="","",IF(ISBLANK(INDIRECT("R9.Web!D"&amp;SUM(18,38*23,4))),"",INDIRECT("R9.Web!D"&amp;SUM(18,38*23,4))))</f>
        <v>N/D</v>
      </c>
      <c r="BH23" s="215" t="str" cm="1">
        <f t="array" aca="1" ref="BH23" ca="1">IF($B23="","",IF(ISBLANK(INDIRECT("R9.Web!D"&amp;SUM(18,38*24,4))),"",INDIRECT("R9.Web!D"&amp;SUM(18,38*24,4))))</f>
        <v>N/T</v>
      </c>
      <c r="BI23" s="215" t="str" cm="1">
        <f t="array" aca="1" ref="BI23" ca="1">IF($B23="","",IF(ISBLANK(INDIRECT("R9.Web!D"&amp;SUM(18,38*25,4))),"",INDIRECT("R9.Web!D"&amp;SUM(18,38*25,4))))</f>
        <v>N/D</v>
      </c>
      <c r="BJ23" s="215" t="str" cm="1">
        <f t="array" aca="1" ref="BJ23" ca="1">IF($B23="","",IF(ISBLANK(INDIRECT("R9.Web!D"&amp;SUM(18,38*26,4))),"",INDIRECT("R9.Web!D"&amp;SUM(18,38*26,4))))</f>
        <v>N/D</v>
      </c>
      <c r="BK23" s="215" t="str" cm="1">
        <f t="array" aca="1" ref="BK23" ca="1">IF($B23="","",IF(ISBLANK(INDIRECT("R9.Web!D"&amp;SUM(18,38*27,4))),"",INDIRECT("R9.Web!D"&amp;SUM(18,38*27,4))))</f>
        <v>N/D</v>
      </c>
      <c r="BL23" s="215" t="str" cm="1">
        <f t="array" aca="1" ref="BL23" ca="1">IF($B23="","",IF(ISBLANK(INDIRECT("R9.Web!D"&amp;SUM(18,38*28,4))),"",INDIRECT("R9.Web!D"&amp;SUM(18,38*28,4))))</f>
        <v>N/D</v>
      </c>
      <c r="BM23" s="215" t="str" cm="1">
        <f t="array" aca="1" ref="BM23" ca="1">IF($B23="","",IF(ISBLANK(INDIRECT("R9.Web!D"&amp;SUM(18,38*29,4))),"",INDIRECT("R9.Web!D"&amp;SUM(18,38*29,4))))</f>
        <v>N/D</v>
      </c>
      <c r="BN23" s="215" t="str" cm="1">
        <f t="array" aca="1" ref="BN23" ca="1">IF($B23="","",IF(ISBLANK(INDIRECT("R9.Web!D"&amp;SUM(18,38*30,4))),"",INDIRECT("R9.Web!D"&amp;SUM(18,38*30,4))))</f>
        <v>N/T</v>
      </c>
      <c r="BO23" s="215" t="str" cm="1">
        <f t="array" aca="1" ref="BO23" ca="1">IF($B23="","",IF(ISBLANK(INDIRECT("R9.Web!D"&amp;SUM(18,38*31,4))),"",INDIRECT("R9.Web!D"&amp;SUM(18,38*31,4))))</f>
        <v>Falla</v>
      </c>
      <c r="BP23" s="215" t="str" cm="1">
        <f t="array" aca="1" ref="BP23" ca="1">IF($B23="","",IF(ISBLANK(INDIRECT("R9.Web!D"&amp;SUM(18,38*32,4))),"",INDIRECT("R9.Web!D"&amp;SUM(18,38*32,4))))</f>
        <v>N/T</v>
      </c>
      <c r="BQ23" s="215" t="str" cm="1">
        <f t="array" aca="1" ref="BQ23" ca="1">IF($B23="","",IF(ISBLANK(INDIRECT("R9.Web!D"&amp;SUM(18,38*33,4))),"",INDIRECT("R9.Web!D"&amp;SUM(18,38*33,4))))</f>
        <v>N/T</v>
      </c>
      <c r="BR23" s="215" t="str" cm="1">
        <f t="array" aca="1" ref="BR23" ca="1">IF($B23="","",IF(ISBLANK(INDIRECT("R9.Web!D"&amp;SUM(18,38*34,4))),"",INDIRECT("R9.Web!D"&amp;SUM(18,38*34,4))))</f>
        <v>N/D</v>
      </c>
      <c r="BS23" s="215" t="str" cm="1">
        <f t="array" aca="1" ref="BS23" ca="1">IF($B23="","",IF(ISBLANK(INDIRECT("R9.Web!D"&amp;SUM(18,38*35,4))),"",INDIRECT("R9.Web!D"&amp;SUM(18,38*35,4))))</f>
        <v>N/T</v>
      </c>
      <c r="BT23" s="215" t="str" cm="1">
        <f t="array" aca="1" ref="BT23" ca="1">IF($B23="","",IF(ISBLANK(INDIRECT("R9.Web!D"&amp;SUM(18,38*36,4))),"",INDIRECT("R9.Web!D"&amp;SUM(18,38*36,4))))</f>
        <v>N/D</v>
      </c>
      <c r="BU23" s="215" t="str" cm="1">
        <f t="array" aca="1" ref="BU23" ca="1">IF($B23="","",IF(ISBLANK(INDIRECT("R9.Web!D"&amp;SUM(18,38*37,4))),"",INDIRECT("R9.Web!D"&amp;SUM(18,38*37,4))))</f>
        <v>N/D</v>
      </c>
      <c r="BV23" s="215" t="str" cm="1">
        <f t="array" aca="1" ref="BV23" ca="1">IF($B23="","",IF(ISBLANK(INDIRECT("R9.Web!D"&amp;SUM(18,38*38,4))),"",INDIRECT("R9.Web!D"&amp;SUM(18,38*38,4))))</f>
        <v>N/D</v>
      </c>
      <c r="BW23" s="215" t="str" cm="1">
        <f t="array" aca="1" ref="BW23" ca="1">IF($B23="","",IF(ISBLANK(INDIRECT("R9.Web!D"&amp;SUM(18,38*39,4))),"",INDIRECT("R9.Web!D"&amp;SUM(18,38*39,4))))</f>
        <v>N/D</v>
      </c>
      <c r="BX23" s="215" t="str" cm="1">
        <f t="array" aca="1" ref="BX23" ca="1">IF($B23="","",IF(ISBLANK(INDIRECT("R9.Web!D"&amp;SUM(18,38*40,4))),"",INDIRECT("R9.Web!D"&amp;SUM(18,38*40,4))))</f>
        <v>N/D</v>
      </c>
      <c r="BY23" s="215" t="str" cm="1">
        <f t="array" aca="1" ref="BY23" ca="1">IF($B23="","",IF(ISBLANK(INDIRECT("R9.Web!D"&amp;SUM(18,38*41,4))),"",INDIRECT("R9.Web!D"&amp;SUM(18,38*41,4))))</f>
        <v>N/T</v>
      </c>
      <c r="BZ23" s="215" t="str" cm="1">
        <f t="array" aca="1" ref="BZ23" ca="1">IF($B23="","",IF(ISBLANK(INDIRECT("R9.Web!D"&amp;SUM(18,38*42,4))),"",INDIRECT("R9.Web!D"&amp;SUM(18,38*42,4))))</f>
        <v>N/T</v>
      </c>
      <c r="CA23" s="215" t="str" cm="1">
        <f t="array" aca="1" ref="CA23" ca="1">IF($B23="","",IF(ISBLANK(INDIRECT("R9.Web!D"&amp;SUM(18,38*43,4))),"",INDIRECT("R9.Web!D"&amp;SUM(18,38*43,4))))</f>
        <v>N/D</v>
      </c>
      <c r="CB23" s="215" t="str" cm="1">
        <f t="array" aca="1" ref="CB23" ca="1">IF($B23="","",IF(ISBLANK(INDIRECT("R9.Web!D"&amp;SUM(18,38*44,4))),"",INDIRECT("R9.Web!D"&amp;SUM(18,38*44,4))))</f>
        <v>N/T</v>
      </c>
      <c r="CC23" s="215" t="str" cm="1">
        <f t="array" aca="1" ref="CC23" ca="1">IF($B23="","",IF(ISBLANK(INDIRECT("R9.Web!D"&amp;SUM(18,38*45,4))),"",INDIRECT("R9.Web!D"&amp;SUM(18,38*45,4))))</f>
        <v>N/T</v>
      </c>
      <c r="CD23" s="215" t="str" cm="1">
        <f t="array" aca="1" ref="CD23" ca="1">IF($B23="","",IF(ISBLANK(INDIRECT("R9.Web!D"&amp;SUM(18,38*46,4))),"",INDIRECT("R9.Web!D"&amp;SUM(18,38*46,4))))</f>
        <v>N/T</v>
      </c>
      <c r="CE23" s="215" t="str" cm="1">
        <f t="array" aca="1" ref="CE23" ca="1">IF($B23="","",IF(ISBLANK(INDIRECT("R9.Web!D"&amp;SUM(18,38*47,4))),"",INDIRECT("R9.Web!D"&amp;SUM(18,38*47,4))))</f>
        <v>N/D</v>
      </c>
      <c r="CF23" s="215" t="str" cm="1">
        <f t="array" aca="1" ref="CF23" ca="1">IF($B23="","",IF(ISBLANK(INDIRECT("R9.Web!D"&amp;SUM(18,38*48,4))),"",INDIRECT("R9.Web!D"&amp;SUM(18,38*48,4))))</f>
        <v>N/T</v>
      </c>
      <c r="CG23" s="215" t="str" cm="1">
        <f t="array" aca="1" ref="CG23" ca="1">IF($B23="","",IF(ISBLANK(INDIRECT("R9.Web!D"&amp;SUM(18,38*49,4))),"",INDIRECT("R9.Web!D"&amp;SUM(18,38*49,4))))</f>
        <v>N/T</v>
      </c>
      <c r="CH23" s="215" t="str" cm="1">
        <f t="array" aca="1" ref="CH23" ca="1">IF($B23="","",IF(ISBLANK(INDIRECT("R11.Software!D"&amp;SUM(18,38*0,4))),"",INDIRECT("R11.Software!D"&amp;SUM(18,38*0,4))))</f>
        <v>N/T</v>
      </c>
      <c r="CI23" s="215" t="str" cm="1">
        <f t="array" aca="1" ref="CI23" ca="1">IF($B23="","",IF(ISBLANK(INDIRECT("R11.Software!D"&amp;SUM(18,38*1,4))),"",INDIRECT("R11.Software!D"&amp;SUM(18,38*1,4))))</f>
        <v>N/T</v>
      </c>
      <c r="CJ23" s="215" t="str" cm="1">
        <f t="array" aca="1" ref="CJ23" ca="1">IF($B23="","",IF(ISBLANK(INDIRECT("R11.Software!D"&amp;SUM(18,38*2,4))),"",INDIRECT("R11.Software!D"&amp;SUM(18,38*2,4))))</f>
        <v>N/T</v>
      </c>
      <c r="CK23" s="215" t="str" cm="1">
        <f t="array" aca="1" ref="CK23" ca="1">IF($B23="","",IF(ISBLANK(INDIRECT("R11.Software!D"&amp;SUM(18,38*3,4))),"",INDIRECT("R11.Software!D"&amp;SUM(18,38*3,4))))</f>
        <v>N/T</v>
      </c>
      <c r="CL23" s="215" t="str" cm="1">
        <f t="array" aca="1" ref="CL23" ca="1">IF($B23="","",IF(ISBLANK(INDIRECT("R11.Software!D"&amp;SUM(18,38*4,4))),"",INDIRECT("R11.Software!D"&amp;SUM(18,38*4,4))))</f>
        <v>N/T</v>
      </c>
      <c r="CM23" s="215" t="str" cm="1">
        <f t="array" aca="1" ref="CM23" ca="1">IF($B23="","",IF(ISBLANK(INDIRECT("R11.Software!D"&amp;SUM(18,38*5,4))),"",INDIRECT("R11.Software!D"&amp;SUM(18,38*5,4))))</f>
        <v>N/T</v>
      </c>
      <c r="CN23" s="215" t="str" cm="1">
        <f t="array" aca="1" ref="CN23" ca="1">IF($B23="","",IF(ISBLANK(INDIRECT("R12.ServiciosApoyo!D"&amp;SUM(18,38*0,4))),"",INDIRECT("R12.ServiciosApoyo!D"&amp;SUM(18,38*0,4))))</f>
        <v>N/T</v>
      </c>
      <c r="CO23" s="215" t="str" cm="1">
        <f t="array" aca="1" ref="CO23" ca="1">IF($B23="","",IF(ISBLANK(INDIRECT("R12.ServiciosApoyo!D"&amp;SUM(18,38*1,4))),"",INDIRECT("R12.ServiciosApoyo!D"&amp;SUM(18,38*1,4))))</f>
        <v>N/T</v>
      </c>
      <c r="CP23" s="215" t="str" cm="1">
        <f t="array" aca="1" ref="CP23" ca="1">IF($B23="","",IF(ISBLANK(INDIRECT("R12.ServiciosApoyo!D"&amp;SUM(18,38*2,4))),"",INDIRECT("R12.ServiciosApoyo!D"&amp;SUM(18,38*2,4))))</f>
        <v>N/T</v>
      </c>
      <c r="CQ23" s="215" t="str" cm="1">
        <f t="array" aca="1" ref="CQ23" ca="1">IF($B23="","",IF(ISBLANK(INDIRECT("R12.ServiciosApoyo!D"&amp;SUM(18,38*3,4))),"",INDIRECT("R12.ServiciosApoyo!D"&amp;SUM(18,38*3,4))))</f>
        <v>N/T</v>
      </c>
      <c r="CR23" s="215" t="str" cm="1">
        <f t="array" aca="1" ref="CR23" ca="1">IF($B23="","",IF(ISBLANK(INDIRECT("R12.ServiciosApoyo!D"&amp;SUM(18,38*4,4))),"",INDIRECT("R12.ServiciosApoyo!D"&amp;SUM(18,38*4,4))))</f>
        <v>N/T</v>
      </c>
      <c r="CU23" s="100"/>
      <c r="CV23" s="29"/>
      <c r="CW23" s="29"/>
      <c r="CX23" s="29"/>
    </row>
    <row r="24" spans="2:102" ht="20.25">
      <c r="B24" s="181" t="n" cm="1">
        <f t="array" ref="B24">IFERROR(INDEX('03.Muestra'!$B$8:$B$42,SMALL(IF("Página Web"='03.Muestra'!$D$8:$D$42,ROW('03.Muestra'!$B$8:$B$42)-MIN(ROW('03.Muestra'!$D$8:$D$42))+1,""),ROW()-19)),"")</f>
        <v>1.0</v>
      </c>
      <c r="C24" s="97" t="str" cm="1">
        <f t="array" ref="C24">IFERROR(INDEX('03.Muestra'!$C$8:$C$42,SMALL(IF("Página Web"='03.Muestra'!$D$8:$D$42,ROW('03.Muestra'!$C$8:$C$42)-MIN(ROW('03.Muestra'!$D$8:$D$42))+1,""),ROW()-19)),"")</f>
        <v>Home - PortCastelló</v>
      </c>
      <c r="D24" s="98" t="str" cm="1">
        <f t="array" ref="D24">IFERROR(INDEX('03.Muestra'!$F$8:$F$42,SMALL(IF("Página Web"='03.Muestra'!$D$8:$D$42,ROW('03.Muestra'!$F$8:$F$42)-MIN(ROW('03.Muestra'!$D$8:$D$42))+1,""),ROW()-19)),"")</f>
        <v>https://www.portcastello.com/</v>
      </c>
      <c r="E24" s="215" t="str" cm="1">
        <f t="array" aca="1" ref="E24" ca="1">IF($B24="","",IF(ISBLANK(INDIRECT("R5.Genéricos!D"&amp;SUM(18,38*0,5))),"",INDIRECT("R5.Genéricos!D"&amp;SUM(18,38*0,5))))</f>
        <v>N/T</v>
      </c>
      <c r="F24" s="215" t="str" cm="1">
        <f t="array" aca="1" ref="F24" ca="1">IF($B24="","",IF(ISBLANK(INDIRECT("R5.Genéricos!D"&amp;SUM(18,38*1,5))),"",INDIRECT("R5.Genéricos!D"&amp;SUM(18,38*1,5))))</f>
        <v>N/T</v>
      </c>
      <c r="G24" s="215" t="str" cm="1">
        <f t="array" aca="1" ref="G24" ca="1">IF($B24="","",IF(ISBLANK(INDIRECT("R5.Genéricos!D"&amp;SUM(18,38*2,5))),"",INDIRECT("R5.Genéricos!D"&amp;SUM(18,38*2,5))))</f>
        <v>N/T</v>
      </c>
      <c r="H24" s="215" t="str" cm="1">
        <f t="array" aca="1" ref="H24" ca="1">IF($B24="","",IF(ISBLANK(INDIRECT("R6.Voz!D"&amp;SUM(18,38*0,5))),"",INDIRECT("R6.Voz!D"&amp;SUM(18,38*0,5))))</f>
        <v>N/T</v>
      </c>
      <c r="I24" s="215" t="str" cm="1">
        <f t="array" aca="1" ref="I24" ca="1">IF($B24="","",IF(ISBLANK(INDIRECT("R6.Voz!D"&amp;SUM(18,38*1,5))),"",INDIRECT("R6.Voz!D"&amp;SUM(18,38*1,5))))</f>
        <v>N/T</v>
      </c>
      <c r="J24" s="215" t="str" cm="1">
        <f t="array" aca="1" ref="J24" ca="1">IF($B24="","",IF(ISBLANK(INDIRECT("R6.Voz!D"&amp;SUM(18,38*2,5))),"",INDIRECT("R6.Voz!D"&amp;SUM(18,38*2,5))))</f>
        <v>N/T</v>
      </c>
      <c r="K24" s="215" t="str" cm="1">
        <f t="array" aca="1" ref="K24" ca="1">IF($B24="","",IF(ISBLANK(INDIRECT("R6.Voz!D"&amp;SUM(18,38*3,5))),"",INDIRECT("R6.Voz!D"&amp;SUM(18,38*3,5))))</f>
        <v>N/T</v>
      </c>
      <c r="L24" s="215" t="str" cm="1">
        <f t="array" aca="1" ref="L24" ca="1">IF($B24="","",IF(ISBLANK(INDIRECT("R6.Voz!D"&amp;SUM(18,38*4,5))),"",INDIRECT("R6.Voz!D"&amp;SUM(18,38*4,5))))</f>
        <v>N/T</v>
      </c>
      <c r="M24" s="215" t="str" cm="1">
        <f t="array" aca="1" ref="M24" ca="1">IF($B24="","",IF(ISBLANK(INDIRECT("R6.Voz!D"&amp;SUM(18,38*5,5))),"",INDIRECT("R6.Voz!D"&amp;SUM(18,38*5,5))))</f>
        <v>N/T</v>
      </c>
      <c r="N24" s="215" t="str" cm="1">
        <f t="array" aca="1" ref="N24" ca="1">IF($B24="","",IF(ISBLANK(INDIRECT("R6.Voz!D"&amp;SUM(18,38*6,5))),"",INDIRECT("R6.Voz!D"&amp;SUM(18,38*6,5))))</f>
        <v>N/T</v>
      </c>
      <c r="O24" s="215" t="str" cm="1">
        <f t="array" aca="1" ref="O24" ca="1">IF($B24="","",IF(ISBLANK(INDIRECT("R6.Voz!D"&amp;SUM(18,38*7,5))),"",INDIRECT("R6.Voz!D"&amp;SUM(18,38*7,5))))</f>
        <v>N/T</v>
      </c>
      <c r="P24" s="215" t="str" cm="1">
        <f t="array" aca="1" ref="P24" ca="1">IF($B24="","",IF(ISBLANK(INDIRECT("R6.Voz!D"&amp;SUM(18,38*8,5))),"",INDIRECT("R6.Voz!D"&amp;SUM(18,38*8,5))))</f>
        <v>N/T</v>
      </c>
      <c r="Q24" s="215" t="str" cm="1">
        <f t="array" aca="1" ref="Q24" ca="1">IF($B24="","",IF(ISBLANK(INDIRECT("R6.Voz!D"&amp;SUM(18,38*9,5))),"",INDIRECT("R6.Voz!D"&amp;SUM(18,38*9,5))))</f>
        <v>N/T</v>
      </c>
      <c r="R24" s="215" t="str" cm="1">
        <f t="array" aca="1" ref="R24" ca="1">IF($B24="","",IF(ISBLANK(INDIRECT("R6.Voz!D"&amp;SUM(18,38*10,5))),"",INDIRECT("R6.Voz!D"&amp;SUM(18,38*10,5))))</f>
        <v>N/T</v>
      </c>
      <c r="S24" s="215" t="str" cm="1">
        <f t="array" aca="1" ref="S24" ca="1">IF($B24="","",IF(ISBLANK(INDIRECT("R6.Voz!D"&amp;SUM(18,38*11,5))),"",INDIRECT("R6.Voz!D"&amp;SUM(18,38*11,5))))</f>
        <v>N/T</v>
      </c>
      <c r="T24" s="215" t="str" cm="1">
        <f t="array" aca="1" ref="T24" ca="1">IF($B24="","",IF(ISBLANK(INDIRECT("R6.Voz!D"&amp;SUM(18,38*12,5))),"",INDIRECT("R6.Voz!D"&amp;SUM(18,38*12,5))))</f>
        <v>N/T</v>
      </c>
      <c r="U24" s="215" t="str" cm="1">
        <f t="array" aca="1" ref="U24" ca="1">IF($B24="","",IF(ISBLANK(INDIRECT("R6.Voz!D"&amp;SUM(18,38*13,5))),"",INDIRECT("R6.Voz!D"&amp;SUM(18,38*13,5))))</f>
        <v>N/T</v>
      </c>
      <c r="V24" s="215" t="str" cm="1">
        <f t="array" aca="1" ref="V24" ca="1">IF($B24="","",IF(ISBLANK(INDIRECT("R6.Voz!D"&amp;SUM(18,38*14,5))),"",INDIRECT("R6.Voz!D"&amp;SUM(18,38*14,5))))</f>
        <v>N/T</v>
      </c>
      <c r="W24" s="215" t="str" cm="1">
        <f t="array" aca="1" ref="W24" ca="1">IF($B24="","",IF(ISBLANK(INDIRECT("R6.Voz!D"&amp;SUM(18,38*15,5))),"",INDIRECT("R6.Voz!D"&amp;SUM(18,38*15,5))))</f>
        <v>N/T</v>
      </c>
      <c r="X24" s="215" t="str" cm="1">
        <f t="array" aca="1" ref="X24" ca="1">IF($B24="","",IF(ISBLANK(INDIRECT("R6.Voz!D"&amp;SUM(18,38*16,5))),"",INDIRECT("R6.Voz!D"&amp;SUM(18,38*16,5))))</f>
        <v>N/T</v>
      </c>
      <c r="Y24" s="215" t="str" cm="1">
        <f t="array" aca="1" ref="Y24" ca="1">IF($B24="","",IF(ISBLANK(INDIRECT("R6.Voz!D"&amp;SUM(18,38*17,5))),"",INDIRECT("R6.Voz!D"&amp;SUM(18,38*17,5))))</f>
        <v>N/T</v>
      </c>
      <c r="Z24" s="215" t="str" cm="1">
        <f t="array" aca="1" ref="Z24" ca="1">IF($B24="","",IF(ISBLANK(INDIRECT("R6.Voz!D"&amp;SUM(18,38*18,5))),"",INDIRECT("R6.Voz!D"&amp;SUM(18,38*18,5))))</f>
        <v>N/T</v>
      </c>
      <c r="AA24" s="215" t="str" cm="1">
        <f t="array" aca="1" ref="AA24" ca="1">IF($B24="","",IF(ISBLANK(INDIRECT("R7.Video!D"&amp;SUM(18,38*0,5))),"",INDIRECT("R7.Video!D"&amp;SUM(18,38*0,5))))</f>
        <v>N/T</v>
      </c>
      <c r="AB24" s="215" t="str" cm="1">
        <f t="array" aca="1" ref="AB24" ca="1">IF($B24="","",IF(ISBLANK(INDIRECT("R7.Video!D"&amp;SUM(18,38*1,5))),"",INDIRECT("R7.Video!D"&amp;SUM(18,38*1,5))))</f>
        <v>N/T</v>
      </c>
      <c r="AC24" s="215" t="str" cm="1">
        <f t="array" aca="1" ref="AC24" ca="1">IF($B24="","",IF(ISBLANK(INDIRECT("R7.Video!D"&amp;SUM(18,38*2,5))),"",INDIRECT("R7.Video!D"&amp;SUM(18,38*2,5))))</f>
        <v>N/T</v>
      </c>
      <c r="AD24" s="215" t="str" cm="1">
        <f t="array" aca="1" ref="AD24" ca="1">IF($B24="","",IF(ISBLANK(INDIRECT("R7.Video!D"&amp;SUM(18,38*3,5))),"",INDIRECT("R7.Video!D"&amp;SUM(18,38*3,5))))</f>
        <v>N/T</v>
      </c>
      <c r="AE24" s="215" t="str" cm="1">
        <f t="array" aca="1" ref="AE24" ca="1">IF($B24="","",IF(ISBLANK(INDIRECT("R7.Video!D"&amp;SUM(18,38*4,5))),"",INDIRECT("R7.Video!D"&amp;SUM(18,38*4,5))))</f>
        <v>N/T</v>
      </c>
      <c r="AF24" s="215" t="str" cm="1">
        <f t="array" aca="1" ref="AF24" ca="1">IF($B24="","",IF(ISBLANK(INDIRECT("R7.Video!D"&amp;SUM(18,38*5,5))),"",INDIRECT("R7.Video!D"&amp;SUM(18,38*5,5))))</f>
        <v>N/T</v>
      </c>
      <c r="AG24" s="215" t="str" cm="1">
        <f t="array" aca="1" ref="AG24" ca="1">IF($B24="","",IF(ISBLANK(INDIRECT("R7.Video!D"&amp;SUM(18,38*6,5))),"",INDIRECT("R7.Video!D"&amp;SUM(18,38*6,5))))</f>
        <v>N/T</v>
      </c>
      <c r="AH24" s="215" t="str" cm="1">
        <f t="array" aca="1" ref="AH24" ca="1">IF($B24="","",IF(ISBLANK(INDIRECT("R7.Video!D"&amp;SUM(18,38*7,5))),"",INDIRECT("R7.Video!D"&amp;SUM(18,38*7,5))))</f>
        <v>N/T</v>
      </c>
      <c r="AI24" s="215" t="str" cm="1">
        <f t="array" aca="1" ref="AI24" ca="1">IF($B24="","",IF(ISBLANK(INDIRECT("R7.Video!D"&amp;SUM(18,38*8,5))),"",INDIRECT("R7.Video!D"&amp;SUM(18,38*8,5))))</f>
        <v>N/T</v>
      </c>
      <c r="AJ24" s="215" t="str" cm="1">
        <f t="array" aca="1" ref="AJ24" ca="1">IF($B24="","",IF(ISBLANK(INDIRECT("R9.Web!D"&amp;SUM(18,38*0,5))),"",INDIRECT("R9.Web!D"&amp;SUM(18,38*0,5))))</f>
        <v>N/D</v>
      </c>
      <c r="AK24" s="215" t="str" cm="1">
        <f t="array" aca="1" ref="AK24" ca="1">IF($B24="","",IF(ISBLANK(INDIRECT("R9.Web!D"&amp;SUM(18,38*1,5))),"",INDIRECT("R9.Web!D"&amp;SUM(18,38*1,5))))</f>
        <v>N/T</v>
      </c>
      <c r="AL24" s="215" t="str" cm="1">
        <f t="array" aca="1" ref="AL24" ca="1">IF($B24="","",IF(ISBLANK(INDIRECT("R9.Web!D"&amp;SUM(18,38*2,5))),"",INDIRECT("R9.Web!D"&amp;SUM(18,38*2,5))))</f>
        <v>N/T</v>
      </c>
      <c r="AM24" s="215" t="str" cm="1">
        <f t="array" aca="1" ref="AM24" ca="1">IF($B24="","",IF(ISBLANK(INDIRECT("R9.Web!D"&amp;SUM(18,38*3,5))),"",INDIRECT("R9.Web!D"&amp;SUM(18,38*3,5))))</f>
        <v>N/T</v>
      </c>
      <c r="AN24" s="215" t="str" cm="1">
        <f t="array" aca="1" ref="AN24" ca="1">IF($B24="","",IF(ISBLANK(INDIRECT("R9.Web!D"&amp;SUM(18,38*4,5))),"",INDIRECT("R9.Web!D"&amp;SUM(18,38*4,5))))</f>
        <v>N/T</v>
      </c>
      <c r="AO24" s="215" t="str" cm="1">
        <f t="array" aca="1" ref="AO24" ca="1">IF($B24="","",IF(ISBLANK(INDIRECT("R9.Web!D"&amp;SUM(18,38*5,5))),"",INDIRECT("R9.Web!D"&amp;SUM(18,38*5,5))))</f>
        <v>N/D</v>
      </c>
      <c r="AP24" s="215" t="str" cm="1">
        <f t="array" aca="1" ref="AP24" ca="1">IF($B24="","",IF(ISBLANK(INDIRECT("R9.Web!D"&amp;SUM(18,38*6,5))),"",INDIRECT("R9.Web!D"&amp;SUM(18,38*6,5))))</f>
        <v>N/T</v>
      </c>
      <c r="AQ24" s="215" t="str" cm="1">
        <f t="array" aca="1" ref="AQ24" ca="1">IF($B24="","",IF(ISBLANK(INDIRECT("R9.Web!D"&amp;SUM(18,38*7,5))),"",INDIRECT("R9.Web!D"&amp;SUM(18,38*7,5))))</f>
        <v>N/T</v>
      </c>
      <c r="AR24" s="215" t="str" cm="1">
        <f t="array" aca="1" ref="AR24" ca="1">IF($B24="","",IF(ISBLANK(INDIRECT("R9.Web!D"&amp;SUM(18,38*8,5))),"",INDIRECT("R9.Web!D"&amp;SUM(18,38*8,5))))</f>
        <v>N/D</v>
      </c>
      <c r="AS24" s="215" t="str" cm="1">
        <f t="array" aca="1" ref="AS24" ca="1">IF($B24="","",IF(ISBLANK(INDIRECT("R9.Web!D"&amp;SUM(18,38*9,5))),"",INDIRECT("R9.Web!D"&amp;SUM(18,38*9,5))))</f>
        <v>N/D</v>
      </c>
      <c r="AT24" s="215" t="str" cm="1">
        <f t="array" aca="1" ref="AT24" ca="1">IF($B24="","",IF(ISBLANK(INDIRECT("R9.Web!D"&amp;SUM(18,38*10,5))),"",INDIRECT("R9.Web!D"&amp;SUM(18,38*10,5))))</f>
        <v>N/T</v>
      </c>
      <c r="AU24" s="215" t="str" cm="1">
        <f t="array" aca="1" ref="AU24" ca="1">IF($B24="","",IF(ISBLANK(INDIRECT("R9.Web!D"&amp;SUM(18,38*11,5))),"",INDIRECT("R9.Web!D"&amp;SUM(18,38*11,5))))</f>
        <v>N/T</v>
      </c>
      <c r="AV24" s="215" t="str" cm="1">
        <f t="array" aca="1" ref="AV24" ca="1">IF($B24="","",IF(ISBLANK(INDIRECT("R9.Web!D"&amp;SUM(18,38*12,5))),"",INDIRECT("R9.Web!D"&amp;SUM(18,38*12,5))))</f>
        <v>N/D</v>
      </c>
      <c r="AW24" s="215" t="str" cm="1">
        <f t="array" aca="1" ref="AW24" ca="1">IF($B24="","",IF(ISBLANK(INDIRECT("R9.Web!D"&amp;SUM(18,38*13,5))),"",INDIRECT("R9.Web!D"&amp;SUM(18,38*13,5))))</f>
        <v>N/T</v>
      </c>
      <c r="AX24" s="215" t="str" cm="1">
        <f t="array" aca="1" ref="AX24" ca="1">IF($B24="","",IF(ISBLANK(INDIRECT("R9.Web!D"&amp;SUM(18,38*14,5))),"",INDIRECT("R9.Web!D"&amp;SUM(18,38*14,5))))</f>
        <v>N/T</v>
      </c>
      <c r="AY24" s="215" t="str" cm="1">
        <f t="array" aca="1" ref="AY24" ca="1">IF($B24="","",IF(ISBLANK(INDIRECT("R9.Web!D"&amp;SUM(18,38*15,5))),"",INDIRECT("R9.Web!D"&amp;SUM(18,38*15,5))))</f>
        <v>N/D</v>
      </c>
      <c r="AZ24" s="215" t="str" cm="1">
        <f t="array" aca="1" ref="AZ24" ca="1">IF($B24="","",IF(ISBLANK(INDIRECT("R9.Web!D"&amp;SUM(18,38*16,5))),"",INDIRECT("R9.Web!D"&amp;SUM(18,38*16,5))))</f>
        <v>N/T</v>
      </c>
      <c r="BA24" s="215" t="str" cm="1">
        <f t="array" aca="1" ref="BA24" ca="1">IF($B24="","",IF(ISBLANK(INDIRECT("R9.Web!D"&amp;SUM(18,38*17,5))),"",INDIRECT("R9.Web!D"&amp;SUM(18,38*17,5))))</f>
        <v>N/D</v>
      </c>
      <c r="BB24" s="215" t="str" cm="1">
        <f t="array" aca="1" ref="BB24" ca="1">IF($B24="","",IF(ISBLANK(INDIRECT("R9.Web!D"&amp;SUM(18,38*18,5))),"",INDIRECT("R9.Web!D"&amp;SUM(18,38*18,5))))</f>
        <v>N/T</v>
      </c>
      <c r="BC24" s="215" t="str" cm="1">
        <f t="array" aca="1" ref="BC24" ca="1">IF($B24="","",IF(ISBLANK(INDIRECT("R9.Web!D"&amp;SUM(18,38*19,5))),"",INDIRECT("R9.Web!D"&amp;SUM(18,38*19,5))))</f>
        <v>N/D</v>
      </c>
      <c r="BD24" s="215" t="str" cm="1">
        <f t="array" aca="1" ref="BD24" ca="1">IF($B24="","",IF(ISBLANK(INDIRECT("R9.Web!D"&amp;SUM(18,38*20,5))),"",INDIRECT("R9.Web!D"&amp;SUM(18,38*20,5))))</f>
        <v>N/T</v>
      </c>
      <c r="BE24" s="215" t="str" cm="1">
        <f t="array" aca="1" ref="BE24" ca="1">IF($B24="","",IF(ISBLANK(INDIRECT("R9.Web!D"&amp;SUM(18,38*21,5))),"",INDIRECT("R9.Web!D"&amp;SUM(18,38*21,5))))</f>
        <v>N/T</v>
      </c>
      <c r="BF24" s="215" t="str" cm="1">
        <f t="array" aca="1" ref="BF24" ca="1">IF($B24="","",IF(ISBLANK(INDIRECT("R9.Web!D"&amp;SUM(18,38*22,5))),"",INDIRECT("R9.Web!D"&amp;SUM(18,38*22,5))))</f>
        <v>N/D</v>
      </c>
      <c r="BG24" s="215" t="str" cm="1">
        <f t="array" aca="1" ref="BG24" ca="1">IF($B24="","",IF(ISBLANK(INDIRECT("R9.Web!D"&amp;SUM(18,38*23,5))),"",INDIRECT("R9.Web!D"&amp;SUM(18,38*23,5))))</f>
        <v>N/D</v>
      </c>
      <c r="BH24" s="215" t="str" cm="1">
        <f t="array" aca="1" ref="BH24" ca="1">IF($B24="","",IF(ISBLANK(INDIRECT("R9.Web!D"&amp;SUM(18,38*24,5))),"",INDIRECT("R9.Web!D"&amp;SUM(18,38*24,5))))</f>
        <v>N/T</v>
      </c>
      <c r="BI24" s="215" t="str" cm="1">
        <f t="array" aca="1" ref="BI24" ca="1">IF($B24="","",IF(ISBLANK(INDIRECT("R9.Web!D"&amp;SUM(18,38*25,5))),"",INDIRECT("R9.Web!D"&amp;SUM(18,38*25,5))))</f>
        <v>N/D</v>
      </c>
      <c r="BJ24" s="215" t="str" cm="1">
        <f t="array" aca="1" ref="BJ24" ca="1">IF($B24="","",IF(ISBLANK(INDIRECT("R9.Web!D"&amp;SUM(18,38*26,5))),"",INDIRECT("R9.Web!D"&amp;SUM(18,38*26,5))))</f>
        <v>N/D</v>
      </c>
      <c r="BK24" s="215" t="str" cm="1">
        <f t="array" aca="1" ref="BK24" ca="1">IF($B24="","",IF(ISBLANK(INDIRECT("R9.Web!D"&amp;SUM(18,38*27,5))),"",INDIRECT("R9.Web!D"&amp;SUM(18,38*27,5))))</f>
        <v>N/D</v>
      </c>
      <c r="BL24" s="215" t="str" cm="1">
        <f t="array" aca="1" ref="BL24" ca="1">IF($B24="","",IF(ISBLANK(INDIRECT("R9.Web!D"&amp;SUM(18,38*28,5))),"",INDIRECT("R9.Web!D"&amp;SUM(18,38*28,5))))</f>
        <v>Falla</v>
      </c>
      <c r="BM24" s="215" t="str" cm="1">
        <f t="array" aca="1" ref="BM24" ca="1">IF($B24="","",IF(ISBLANK(INDIRECT("R9.Web!D"&amp;SUM(18,38*29,5))),"",INDIRECT("R9.Web!D"&amp;SUM(18,38*29,5))))</f>
        <v>N/D</v>
      </c>
      <c r="BN24" s="215" t="str" cm="1">
        <f t="array" aca="1" ref="BN24" ca="1">IF($B24="","",IF(ISBLANK(INDIRECT("R9.Web!D"&amp;SUM(18,38*30,5))),"",INDIRECT("R9.Web!D"&amp;SUM(18,38*30,5))))</f>
        <v>N/T</v>
      </c>
      <c r="BO24" s="215" t="str" cm="1">
        <f t="array" aca="1" ref="BO24" ca="1">IF($B24="","",IF(ISBLANK(INDIRECT("R9.Web!D"&amp;SUM(18,38*31,5))),"",INDIRECT("R9.Web!D"&amp;SUM(18,38*31,5))))</f>
        <v>Falla</v>
      </c>
      <c r="BP24" s="215" t="str" cm="1">
        <f t="array" aca="1" ref="BP24" ca="1">IF($B24="","",IF(ISBLANK(INDIRECT("R9.Web!D"&amp;SUM(18,38*32,5))),"",INDIRECT("R9.Web!D"&amp;SUM(18,38*32,5))))</f>
        <v>N/T</v>
      </c>
      <c r="BQ24" s="215" t="str" cm="1">
        <f t="array" aca="1" ref="BQ24" ca="1">IF($B24="","",IF(ISBLANK(INDIRECT("R9.Web!D"&amp;SUM(18,38*33,5))),"",INDIRECT("R9.Web!D"&amp;SUM(18,38*33,5))))</f>
        <v>N/T</v>
      </c>
      <c r="BR24" s="215" t="str" cm="1">
        <f t="array" aca="1" ref="BR24" ca="1">IF($B24="","",IF(ISBLANK(INDIRECT("R9.Web!D"&amp;SUM(18,38*34,5))),"",INDIRECT("R9.Web!D"&amp;SUM(18,38*34,5))))</f>
        <v>N/D</v>
      </c>
      <c r="BS24" s="215" t="str" cm="1">
        <f t="array" aca="1" ref="BS24" ca="1">IF($B24="","",IF(ISBLANK(INDIRECT("R9.Web!D"&amp;SUM(18,38*35,5))),"",INDIRECT("R9.Web!D"&amp;SUM(18,38*35,5))))</f>
        <v>N/T</v>
      </c>
      <c r="BT24" s="215" t="str" cm="1">
        <f t="array" aca="1" ref="BT24" ca="1">IF($B24="","",IF(ISBLANK(INDIRECT("R9.Web!D"&amp;SUM(18,38*36,5))),"",INDIRECT("R9.Web!D"&amp;SUM(18,38*36,5))))</f>
        <v>N/D</v>
      </c>
      <c r="BU24" s="215" t="str" cm="1">
        <f t="array" aca="1" ref="BU24" ca="1">IF($B24="","",IF(ISBLANK(INDIRECT("R9.Web!D"&amp;SUM(18,38*37,5))),"",INDIRECT("R9.Web!D"&amp;SUM(18,38*37,5))))</f>
        <v>N/D</v>
      </c>
      <c r="BV24" s="215" t="str" cm="1">
        <f t="array" aca="1" ref="BV24" ca="1">IF($B24="","",IF(ISBLANK(INDIRECT("R9.Web!D"&amp;SUM(18,38*38,5))),"",INDIRECT("R9.Web!D"&amp;SUM(18,38*38,5))))</f>
        <v>N/D</v>
      </c>
      <c r="BW24" s="215" t="str" cm="1">
        <f t="array" aca="1" ref="BW24" ca="1">IF($B24="","",IF(ISBLANK(INDIRECT("R9.Web!D"&amp;SUM(18,38*39,5))),"",INDIRECT("R9.Web!D"&amp;SUM(18,38*39,5))))</f>
        <v>N/D</v>
      </c>
      <c r="BX24" s="215" t="str" cm="1">
        <f t="array" aca="1" ref="BX24" ca="1">IF($B24="","",IF(ISBLANK(INDIRECT("R9.Web!D"&amp;SUM(18,38*40,5))),"",INDIRECT("R9.Web!D"&amp;SUM(18,38*40,5))))</f>
        <v>N/D</v>
      </c>
      <c r="BY24" s="215" t="str" cm="1">
        <f t="array" aca="1" ref="BY24" ca="1">IF($B24="","",IF(ISBLANK(INDIRECT("R9.Web!D"&amp;SUM(18,38*41,5))),"",INDIRECT("R9.Web!D"&amp;SUM(18,38*41,5))))</f>
        <v>N/T</v>
      </c>
      <c r="BZ24" s="215" t="str" cm="1">
        <f t="array" aca="1" ref="BZ24" ca="1">IF($B24="","",IF(ISBLANK(INDIRECT("R9.Web!D"&amp;SUM(18,38*42,5))),"",INDIRECT("R9.Web!D"&amp;SUM(18,38*42,5))))</f>
        <v>N/T</v>
      </c>
      <c r="CA24" s="215" t="str" cm="1">
        <f t="array" aca="1" ref="CA24" ca="1">IF($B24="","",IF(ISBLANK(INDIRECT("R9.Web!D"&amp;SUM(18,38*43,5))),"",INDIRECT("R9.Web!D"&amp;SUM(18,38*43,5))))</f>
        <v>N/D</v>
      </c>
      <c r="CB24" s="215" t="str" cm="1">
        <f t="array" aca="1" ref="CB24" ca="1">IF($B24="","",IF(ISBLANK(INDIRECT("R9.Web!D"&amp;SUM(18,38*44,5))),"",INDIRECT("R9.Web!D"&amp;SUM(18,38*44,5))))</f>
        <v>N/T</v>
      </c>
      <c r="CC24" s="215" t="str" cm="1">
        <f t="array" aca="1" ref="CC24" ca="1">IF($B24="","",IF(ISBLANK(INDIRECT("R9.Web!D"&amp;SUM(18,38*45,5))),"",INDIRECT("R9.Web!D"&amp;SUM(18,38*45,5))))</f>
        <v>N/T</v>
      </c>
      <c r="CD24" s="215" t="str" cm="1">
        <f t="array" aca="1" ref="CD24" ca="1">IF($B24="","",IF(ISBLANK(INDIRECT("R9.Web!D"&amp;SUM(18,38*46,5))),"",INDIRECT("R9.Web!D"&amp;SUM(18,38*46,5))))</f>
        <v>N/T</v>
      </c>
      <c r="CE24" s="215" t="str" cm="1">
        <f t="array" aca="1" ref="CE24" ca="1">IF($B24="","",IF(ISBLANK(INDIRECT("R9.Web!D"&amp;SUM(18,38*47,5))),"",INDIRECT("R9.Web!D"&amp;SUM(18,38*47,5))))</f>
        <v>N/D</v>
      </c>
      <c r="CF24" s="215" t="str" cm="1">
        <f t="array" aca="1" ref="CF24" ca="1">IF($B24="","",IF(ISBLANK(INDIRECT("R9.Web!D"&amp;SUM(18,38*48,5))),"",INDIRECT("R9.Web!D"&amp;SUM(18,38*48,5))))</f>
        <v>N/T</v>
      </c>
      <c r="CG24" s="215" t="str" cm="1">
        <f t="array" aca="1" ref="CG24" ca="1">IF($B24="","",IF(ISBLANK(INDIRECT("R9.Web!D"&amp;SUM(18,38*49,5))),"",INDIRECT("R9.Web!D"&amp;SUM(18,38*49,5))))</f>
        <v>N/T</v>
      </c>
      <c r="CH24" s="215" t="str" cm="1">
        <f t="array" aca="1" ref="CH24" ca="1">IF($B24="","",IF(ISBLANK(INDIRECT("R11.Software!D"&amp;SUM(18,38*0,5))),"",INDIRECT("R11.Software!D"&amp;SUM(18,38*0,5))))</f>
        <v>N/T</v>
      </c>
      <c r="CI24" s="215" t="str" cm="1">
        <f t="array" aca="1" ref="CI24" ca="1">IF($B24="","",IF(ISBLANK(INDIRECT("R11.Software!D"&amp;SUM(18,38*1,5))),"",INDIRECT("R11.Software!D"&amp;SUM(18,38*1,5))))</f>
        <v>N/T</v>
      </c>
      <c r="CJ24" s="215" t="str" cm="1">
        <f t="array" aca="1" ref="CJ24" ca="1">IF($B24="","",IF(ISBLANK(INDIRECT("R11.Software!D"&amp;SUM(18,38*2,5))),"",INDIRECT("R11.Software!D"&amp;SUM(18,38*2,5))))</f>
        <v>N/T</v>
      </c>
      <c r="CK24" s="215" t="str" cm="1">
        <f t="array" aca="1" ref="CK24" ca="1">IF($B24="","",IF(ISBLANK(INDIRECT("R11.Software!D"&amp;SUM(18,38*3,5))),"",INDIRECT("R11.Software!D"&amp;SUM(18,38*3,5))))</f>
        <v>N/T</v>
      </c>
      <c r="CL24" s="215" t="str" cm="1">
        <f t="array" aca="1" ref="CL24" ca="1">IF($B24="","",IF(ISBLANK(INDIRECT("R11.Software!D"&amp;SUM(18,38*4,5))),"",INDIRECT("R11.Software!D"&amp;SUM(18,38*4,5))))</f>
        <v>N/T</v>
      </c>
      <c r="CM24" s="215" t="str" cm="1">
        <f t="array" aca="1" ref="CM24" ca="1">IF($B24="","",IF(ISBLANK(INDIRECT("R11.Software!D"&amp;SUM(18,38*5,5))),"",INDIRECT("R11.Software!D"&amp;SUM(18,38*5,5))))</f>
        <v>N/T</v>
      </c>
      <c r="CN24" s="215" t="str" cm="1">
        <f t="array" aca="1" ref="CN24" ca="1">IF($B24="","",IF(ISBLANK(INDIRECT("R12.ServiciosApoyo!D"&amp;SUM(18,38*0,5))),"",INDIRECT("R12.ServiciosApoyo!D"&amp;SUM(18,38*0,5))))</f>
        <v>N/T</v>
      </c>
      <c r="CO24" s="215" t="str" cm="1">
        <f t="array" aca="1" ref="CO24" ca="1">IF($B24="","",IF(ISBLANK(INDIRECT("R12.ServiciosApoyo!D"&amp;SUM(18,38*1,5))),"",INDIRECT("R12.ServiciosApoyo!D"&amp;SUM(18,38*1,5))))</f>
        <v>N/T</v>
      </c>
      <c r="CP24" s="215" t="str" cm="1">
        <f t="array" aca="1" ref="CP24" ca="1">IF($B24="","",IF(ISBLANK(INDIRECT("R12.ServiciosApoyo!D"&amp;SUM(18,38*2,5))),"",INDIRECT("R12.ServiciosApoyo!D"&amp;SUM(18,38*2,5))))</f>
        <v>N/T</v>
      </c>
      <c r="CQ24" s="215" t="str" cm="1">
        <f t="array" aca="1" ref="CQ24" ca="1">IF($B24="","",IF(ISBLANK(INDIRECT("R12.ServiciosApoyo!D"&amp;SUM(18,38*3,5))),"",INDIRECT("R12.ServiciosApoyo!D"&amp;SUM(18,38*3,5))))</f>
        <v>N/T</v>
      </c>
      <c r="CR24" s="215" t="str" cm="1">
        <f t="array" aca="1" ref="CR24" ca="1">IF($B24="","",IF(ISBLANK(INDIRECT("R12.ServiciosApoyo!D"&amp;SUM(18,38*4,5))),"",INDIRECT("R12.ServiciosApoyo!D"&amp;SUM(18,38*4,5))))</f>
        <v>N/T</v>
      </c>
      <c r="CU24" s="100"/>
      <c r="CV24" s="29"/>
      <c r="CW24" s="29"/>
      <c r="CX24" s="29"/>
    </row>
    <row r="25" spans="2:102" ht="20.25">
      <c r="B25" s="181" t="n" cm="1">
        <f t="array" ref="B25">IFERROR(INDEX('03.Muestra'!$B$8:$B$42,SMALL(IF("Página Web"='03.Muestra'!$D$8:$D$42,ROW('03.Muestra'!$B$8:$B$42)-MIN(ROW('03.Muestra'!$D$8:$D$42))+1,""),ROW()-19)),"")</f>
        <v>1.0</v>
      </c>
      <c r="C25" s="97" t="str" cm="1">
        <f t="array" ref="C25">IFERROR(INDEX('03.Muestra'!$C$8:$C$42,SMALL(IF("Página Web"='03.Muestra'!$D$8:$D$42,ROW('03.Muestra'!$C$8:$C$42)-MIN(ROW('03.Muestra'!$D$8:$D$42))+1,""),ROW()-19)),"")</f>
        <v>Home - PortCastelló</v>
      </c>
      <c r="D25" s="98" t="str" cm="1">
        <f t="array" ref="D25">IFERROR(INDEX('03.Muestra'!$F$8:$F$42,SMALL(IF("Página Web"='03.Muestra'!$D$8:$D$42,ROW('03.Muestra'!$F$8:$F$42)-MIN(ROW('03.Muestra'!$D$8:$D$42))+1,""),ROW()-19)),"")</f>
        <v>https://www.portcastello.com/</v>
      </c>
      <c r="E25" s="215" t="str" cm="1">
        <f t="array" aca="1" ref="E25" ca="1">IF($B25="","",IF(ISBLANK(INDIRECT("R5.Genéricos!D"&amp;SUM(18,38*0,6))),"",INDIRECT("R5.Genéricos!D"&amp;SUM(18,38*0,6))))</f>
        <v>N/T</v>
      </c>
      <c r="F25" s="215" t="str" cm="1">
        <f t="array" aca="1" ref="F25" ca="1">IF($B25="","",IF(ISBLANK(INDIRECT("R5.Genéricos!D"&amp;SUM(18,38*1,6))),"",INDIRECT("R5.Genéricos!D"&amp;SUM(18,38*1,6))))</f>
        <v>N/T</v>
      </c>
      <c r="G25" s="215" t="str" cm="1">
        <f t="array" aca="1" ref="G25" ca="1">IF($B25="","",IF(ISBLANK(INDIRECT("R5.Genéricos!D"&amp;SUM(18,38*2,6))),"",INDIRECT("R5.Genéricos!D"&amp;SUM(18,38*2,6))))</f>
        <v>N/T</v>
      </c>
      <c r="H25" s="215" t="str" cm="1">
        <f t="array" aca="1" ref="H25" ca="1">IF($B25="","",IF(ISBLANK(INDIRECT("R6.Voz!D"&amp;SUM(18,38*0,6))),"",INDIRECT("R6.Voz!D"&amp;SUM(18,38*0,6))))</f>
        <v>N/T</v>
      </c>
      <c r="I25" s="215" t="str" cm="1">
        <f t="array" aca="1" ref="I25" ca="1">IF($B25="","",IF(ISBLANK(INDIRECT("R6.Voz!D"&amp;SUM(18,38*1,6))),"",INDIRECT("R6.Voz!D"&amp;SUM(18,38*1,6))))</f>
        <v>N/T</v>
      </c>
      <c r="J25" s="215" t="str" cm="1">
        <f t="array" aca="1" ref="J25" ca="1">IF($B25="","",IF(ISBLANK(INDIRECT("R6.Voz!D"&amp;SUM(18,38*2,6))),"",INDIRECT("R6.Voz!D"&amp;SUM(18,38*2,6))))</f>
        <v>N/T</v>
      </c>
      <c r="K25" s="215" t="str" cm="1">
        <f t="array" aca="1" ref="K25" ca="1">IF($B25="","",IF(ISBLANK(INDIRECT("R6.Voz!D"&amp;SUM(18,38*3,6))),"",INDIRECT("R6.Voz!D"&amp;SUM(18,38*3,6))))</f>
        <v>N/T</v>
      </c>
      <c r="L25" s="215" t="str" cm="1">
        <f t="array" aca="1" ref="L25" ca="1">IF($B25="","",IF(ISBLANK(INDIRECT("R6.Voz!D"&amp;SUM(18,38*4,6))),"",INDIRECT("R6.Voz!D"&amp;SUM(18,38*4,6))))</f>
        <v>N/T</v>
      </c>
      <c r="M25" s="215" t="str" cm="1">
        <f t="array" aca="1" ref="M25" ca="1">IF($B25="","",IF(ISBLANK(INDIRECT("R6.Voz!D"&amp;SUM(18,38*5,6))),"",INDIRECT("R6.Voz!D"&amp;SUM(18,38*5,6))))</f>
        <v>N/T</v>
      </c>
      <c r="N25" s="215" t="str" cm="1">
        <f t="array" aca="1" ref="N25" ca="1">IF($B25="","",IF(ISBLANK(INDIRECT("R6.Voz!D"&amp;SUM(18,38*6,6))),"",INDIRECT("R6.Voz!D"&amp;SUM(18,38*6,6))))</f>
        <v>N/T</v>
      </c>
      <c r="O25" s="215" t="str" cm="1">
        <f t="array" aca="1" ref="O25" ca="1">IF($B25="","",IF(ISBLANK(INDIRECT("R6.Voz!D"&amp;SUM(18,38*7,6))),"",INDIRECT("R6.Voz!D"&amp;SUM(18,38*7,6))))</f>
        <v>N/T</v>
      </c>
      <c r="P25" s="215" t="str" cm="1">
        <f t="array" aca="1" ref="P25" ca="1">IF($B25="","",IF(ISBLANK(INDIRECT("R6.Voz!D"&amp;SUM(18,38*8,6))),"",INDIRECT("R6.Voz!D"&amp;SUM(18,38*8,6))))</f>
        <v>N/T</v>
      </c>
      <c r="Q25" s="215" t="str" cm="1">
        <f t="array" aca="1" ref="Q25" ca="1">IF($B25="","",IF(ISBLANK(INDIRECT("R6.Voz!D"&amp;SUM(18,38*9,6))),"",INDIRECT("R6.Voz!D"&amp;SUM(18,38*9,6))))</f>
        <v>N/T</v>
      </c>
      <c r="R25" s="215" t="str" cm="1">
        <f t="array" aca="1" ref="R25" ca="1">IF($B25="","",IF(ISBLANK(INDIRECT("R6.Voz!D"&amp;SUM(18,38*10,6))),"",INDIRECT("R6.Voz!D"&amp;SUM(18,38*10,6))))</f>
        <v>N/T</v>
      </c>
      <c r="S25" s="215" t="str" cm="1">
        <f t="array" aca="1" ref="S25" ca="1">IF($B25="","",IF(ISBLANK(INDIRECT("R6.Voz!D"&amp;SUM(18,38*11,6))),"",INDIRECT("R6.Voz!D"&amp;SUM(18,38*11,6))))</f>
        <v>N/T</v>
      </c>
      <c r="T25" s="215" t="str" cm="1">
        <f t="array" aca="1" ref="T25" ca="1">IF($B25="","",IF(ISBLANK(INDIRECT("R6.Voz!D"&amp;SUM(18,38*12,6))),"",INDIRECT("R6.Voz!D"&amp;SUM(18,38*12,6))))</f>
        <v>N/T</v>
      </c>
      <c r="U25" s="215" t="str" cm="1">
        <f t="array" aca="1" ref="U25" ca="1">IF($B25="","",IF(ISBLANK(INDIRECT("R6.Voz!D"&amp;SUM(18,38*13,6))),"",INDIRECT("R6.Voz!D"&amp;SUM(18,38*13,6))))</f>
        <v>N/T</v>
      </c>
      <c r="V25" s="215" t="str" cm="1">
        <f t="array" aca="1" ref="V25" ca="1">IF($B25="","",IF(ISBLANK(INDIRECT("R6.Voz!D"&amp;SUM(18,38*14,6))),"",INDIRECT("R6.Voz!D"&amp;SUM(18,38*14,6))))</f>
        <v>N/T</v>
      </c>
      <c r="W25" s="215" t="str" cm="1">
        <f t="array" aca="1" ref="W25" ca="1">IF($B25="","",IF(ISBLANK(INDIRECT("R6.Voz!D"&amp;SUM(18,38*15,6))),"",INDIRECT("R6.Voz!D"&amp;SUM(18,38*15,6))))</f>
        <v>N/T</v>
      </c>
      <c r="X25" s="215" t="str" cm="1">
        <f t="array" aca="1" ref="X25" ca="1">IF($B25="","",IF(ISBLANK(INDIRECT("R6.Voz!D"&amp;SUM(18,38*16,6))),"",INDIRECT("R6.Voz!D"&amp;SUM(18,38*16,6))))</f>
        <v>N/T</v>
      </c>
      <c r="Y25" s="215" t="str" cm="1">
        <f t="array" aca="1" ref="Y25" ca="1">IF($B25="","",IF(ISBLANK(INDIRECT("R6.Voz!D"&amp;SUM(18,38*17,6))),"",INDIRECT("R6.Voz!D"&amp;SUM(18,38*17,6))))</f>
        <v>N/T</v>
      </c>
      <c r="Z25" s="215" t="str" cm="1">
        <f t="array" aca="1" ref="Z25" ca="1">IF($B25="","",IF(ISBLANK(INDIRECT("R6.Voz!D"&amp;SUM(18,38*18,6))),"",INDIRECT("R6.Voz!D"&amp;SUM(18,38*18,6))))</f>
        <v>N/T</v>
      </c>
      <c r="AA25" s="215" t="str" cm="1">
        <f t="array" aca="1" ref="AA25" ca="1">IF($B25="","",IF(ISBLANK(INDIRECT("R7.Video!D"&amp;SUM(18,38*0,6))),"",INDIRECT("R7.Video!D"&amp;SUM(18,38*0,6))))</f>
        <v>N/T</v>
      </c>
      <c r="AB25" s="215" t="str" cm="1">
        <f t="array" aca="1" ref="AB25" ca="1">IF($B25="","",IF(ISBLANK(INDIRECT("R7.Video!D"&amp;SUM(18,38*1,6))),"",INDIRECT("R7.Video!D"&amp;SUM(18,38*1,6))))</f>
        <v>N/T</v>
      </c>
      <c r="AC25" s="215" t="str" cm="1">
        <f t="array" aca="1" ref="AC25" ca="1">IF($B25="","",IF(ISBLANK(INDIRECT("R7.Video!D"&amp;SUM(18,38*2,6))),"",INDIRECT("R7.Video!D"&amp;SUM(18,38*2,6))))</f>
        <v>N/T</v>
      </c>
      <c r="AD25" s="215" t="str" cm="1">
        <f t="array" aca="1" ref="AD25" ca="1">IF($B25="","",IF(ISBLANK(INDIRECT("R7.Video!D"&amp;SUM(18,38*3,6))),"",INDIRECT("R7.Video!D"&amp;SUM(18,38*3,6))))</f>
        <v>N/T</v>
      </c>
      <c r="AE25" s="215" t="str" cm="1">
        <f t="array" aca="1" ref="AE25" ca="1">IF($B25="","",IF(ISBLANK(INDIRECT("R7.Video!D"&amp;SUM(18,38*4,6))),"",INDIRECT("R7.Video!D"&amp;SUM(18,38*4,6))))</f>
        <v>N/T</v>
      </c>
      <c r="AF25" s="215" t="str" cm="1">
        <f t="array" aca="1" ref="AF25" ca="1">IF($B25="","",IF(ISBLANK(INDIRECT("R7.Video!D"&amp;SUM(18,38*5,6))),"",INDIRECT("R7.Video!D"&amp;SUM(18,38*5,6))))</f>
        <v>N/T</v>
      </c>
      <c r="AG25" s="215" t="str" cm="1">
        <f t="array" aca="1" ref="AG25" ca="1">IF($B25="","",IF(ISBLANK(INDIRECT("R7.Video!D"&amp;SUM(18,38*6,6))),"",INDIRECT("R7.Video!D"&amp;SUM(18,38*6,6))))</f>
        <v>N/T</v>
      </c>
      <c r="AH25" s="215" t="str" cm="1">
        <f t="array" aca="1" ref="AH25" ca="1">IF($B25="","",IF(ISBLANK(INDIRECT("R7.Video!D"&amp;SUM(18,38*7,6))),"",INDIRECT("R7.Video!D"&amp;SUM(18,38*7,6))))</f>
        <v>N/T</v>
      </c>
      <c r="AI25" s="215" t="str" cm="1">
        <f t="array" aca="1" ref="AI25" ca="1">IF($B25="","",IF(ISBLANK(INDIRECT("R7.Video!D"&amp;SUM(18,38*8,6))),"",INDIRECT("R7.Video!D"&amp;SUM(18,38*8,6))))</f>
        <v>N/T</v>
      </c>
      <c r="AJ25" s="215" t="str" cm="1">
        <f t="array" aca="1" ref="AJ25" ca="1">IF($B25="","",IF(ISBLANK(INDIRECT("R9.Web!D"&amp;SUM(18,38*0,6))),"",INDIRECT("R9.Web!D"&amp;SUM(18,38*0,6))))</f>
        <v>N/D</v>
      </c>
      <c r="AK25" s="215" t="str" cm="1">
        <f t="array" aca="1" ref="AK25" ca="1">IF($B25="","",IF(ISBLANK(INDIRECT("R9.Web!D"&amp;SUM(18,38*1,6))),"",INDIRECT("R9.Web!D"&amp;SUM(18,38*1,6))))</f>
        <v>N/T</v>
      </c>
      <c r="AL25" s="215" t="str" cm="1">
        <f t="array" aca="1" ref="AL25" ca="1">IF($B25="","",IF(ISBLANK(INDIRECT("R9.Web!D"&amp;SUM(18,38*2,6))),"",INDIRECT("R9.Web!D"&amp;SUM(18,38*2,6))))</f>
        <v>N/T</v>
      </c>
      <c r="AM25" s="215" t="str" cm="1">
        <f t="array" aca="1" ref="AM25" ca="1">IF($B25="","",IF(ISBLANK(INDIRECT("R9.Web!D"&amp;SUM(18,38*3,6))),"",INDIRECT("R9.Web!D"&amp;SUM(18,38*3,6))))</f>
        <v>N/T</v>
      </c>
      <c r="AN25" s="215" t="str" cm="1">
        <f t="array" aca="1" ref="AN25" ca="1">IF($B25="","",IF(ISBLANK(INDIRECT("R9.Web!D"&amp;SUM(18,38*4,6))),"",INDIRECT("R9.Web!D"&amp;SUM(18,38*4,6))))</f>
        <v>N/T</v>
      </c>
      <c r="AO25" s="215" t="str" cm="1">
        <f t="array" aca="1" ref="AO25" ca="1">IF($B25="","",IF(ISBLANK(INDIRECT("R9.Web!D"&amp;SUM(18,38*5,6))),"",INDIRECT("R9.Web!D"&amp;SUM(18,38*5,6))))</f>
        <v>N/D</v>
      </c>
      <c r="AP25" s="215" t="str" cm="1">
        <f t="array" aca="1" ref="AP25" ca="1">IF($B25="","",IF(ISBLANK(INDIRECT("R9.Web!D"&amp;SUM(18,38*6,6))),"",INDIRECT("R9.Web!D"&amp;SUM(18,38*6,6))))</f>
        <v>N/T</v>
      </c>
      <c r="AQ25" s="215" t="str" cm="1">
        <f t="array" aca="1" ref="AQ25" ca="1">IF($B25="","",IF(ISBLANK(INDIRECT("R9.Web!D"&amp;SUM(18,38*7,6))),"",INDIRECT("R9.Web!D"&amp;SUM(18,38*7,6))))</f>
        <v>N/T</v>
      </c>
      <c r="AR25" s="215" t="str" cm="1">
        <f t="array" aca="1" ref="AR25" ca="1">IF($B25="","",IF(ISBLANK(INDIRECT("R9.Web!D"&amp;SUM(18,38*8,6))),"",INDIRECT("R9.Web!D"&amp;SUM(18,38*8,6))))</f>
        <v>N/D</v>
      </c>
      <c r="AS25" s="215" t="str" cm="1">
        <f t="array" aca="1" ref="AS25" ca="1">IF($B25="","",IF(ISBLANK(INDIRECT("R9.Web!D"&amp;SUM(18,38*9,6))),"",INDIRECT("R9.Web!D"&amp;SUM(18,38*9,6))))</f>
        <v>N/D</v>
      </c>
      <c r="AT25" s="215" t="str" cm="1">
        <f t="array" aca="1" ref="AT25" ca="1">IF($B25="","",IF(ISBLANK(INDIRECT("R9.Web!D"&amp;SUM(18,38*10,6))),"",INDIRECT("R9.Web!D"&amp;SUM(18,38*10,6))))</f>
        <v>N/T</v>
      </c>
      <c r="AU25" s="215" t="str" cm="1">
        <f t="array" aca="1" ref="AU25" ca="1">IF($B25="","",IF(ISBLANK(INDIRECT("R9.Web!D"&amp;SUM(18,38*11,6))),"",INDIRECT("R9.Web!D"&amp;SUM(18,38*11,6))))</f>
        <v>N/T</v>
      </c>
      <c r="AV25" s="215" t="str" cm="1">
        <f t="array" aca="1" ref="AV25" ca="1">IF($B25="","",IF(ISBLANK(INDIRECT("R9.Web!D"&amp;SUM(18,38*12,6))),"",INDIRECT("R9.Web!D"&amp;SUM(18,38*12,6))))</f>
        <v>N/D</v>
      </c>
      <c r="AW25" s="215" t="str" cm="1">
        <f t="array" aca="1" ref="AW25" ca="1">IF($B25="","",IF(ISBLANK(INDIRECT("R9.Web!D"&amp;SUM(18,38*13,6))),"",INDIRECT("R9.Web!D"&amp;SUM(18,38*13,6))))</f>
        <v>N/T</v>
      </c>
      <c r="AX25" s="215" t="str" cm="1">
        <f t="array" aca="1" ref="AX25" ca="1">IF($B25="","",IF(ISBLANK(INDIRECT("R9.Web!D"&amp;SUM(18,38*14,6))),"",INDIRECT("R9.Web!D"&amp;SUM(18,38*14,6))))</f>
        <v>N/T</v>
      </c>
      <c r="AY25" s="215" t="str" cm="1">
        <f t="array" aca="1" ref="AY25" ca="1">IF($B25="","",IF(ISBLANK(INDIRECT("R9.Web!D"&amp;SUM(18,38*15,6))),"",INDIRECT("R9.Web!D"&amp;SUM(18,38*15,6))))</f>
        <v>N/D</v>
      </c>
      <c r="AZ25" s="215" t="str" cm="1">
        <f t="array" aca="1" ref="AZ25" ca="1">IF($B25="","",IF(ISBLANK(INDIRECT("R9.Web!D"&amp;SUM(18,38*16,6))),"",INDIRECT("R9.Web!D"&amp;SUM(18,38*16,6))))</f>
        <v>N/T</v>
      </c>
      <c r="BA25" s="215" t="str" cm="1">
        <f t="array" aca="1" ref="BA25" ca="1">IF($B25="","",IF(ISBLANK(INDIRECT("R9.Web!D"&amp;SUM(18,38*17,6))),"",INDIRECT("R9.Web!D"&amp;SUM(18,38*17,6))))</f>
        <v>N/D</v>
      </c>
      <c r="BB25" s="215" t="str" cm="1">
        <f t="array" aca="1" ref="BB25" ca="1">IF($B25="","",IF(ISBLANK(INDIRECT("R9.Web!D"&amp;SUM(18,38*18,6))),"",INDIRECT("R9.Web!D"&amp;SUM(18,38*18,6))))</f>
        <v>N/T</v>
      </c>
      <c r="BC25" s="215" t="str" cm="1">
        <f t="array" aca="1" ref="BC25" ca="1">IF($B25="","",IF(ISBLANK(INDIRECT("R9.Web!D"&amp;SUM(18,38*19,6))),"",INDIRECT("R9.Web!D"&amp;SUM(18,38*19,6))))</f>
        <v>N/D</v>
      </c>
      <c r="BD25" s="215" t="str" cm="1">
        <f t="array" aca="1" ref="BD25" ca="1">IF($B25="","",IF(ISBLANK(INDIRECT("R9.Web!D"&amp;SUM(18,38*20,6))),"",INDIRECT("R9.Web!D"&amp;SUM(18,38*20,6))))</f>
        <v>N/T</v>
      </c>
      <c r="BE25" s="215" t="str" cm="1">
        <f t="array" aca="1" ref="BE25" ca="1">IF($B25="","",IF(ISBLANK(INDIRECT("R9.Web!D"&amp;SUM(18,38*21,6))),"",INDIRECT("R9.Web!D"&amp;SUM(18,38*21,6))))</f>
        <v>N/T</v>
      </c>
      <c r="BF25" s="215" t="str" cm="1">
        <f t="array" aca="1" ref="BF25" ca="1">IF($B25="","",IF(ISBLANK(INDIRECT("R9.Web!D"&amp;SUM(18,38*22,6))),"",INDIRECT("R9.Web!D"&amp;SUM(18,38*22,6))))</f>
        <v>N/D</v>
      </c>
      <c r="BG25" s="215" t="str" cm="1">
        <f t="array" aca="1" ref="BG25" ca="1">IF($B25="","",IF(ISBLANK(INDIRECT("R9.Web!D"&amp;SUM(18,38*23,6))),"",INDIRECT("R9.Web!D"&amp;SUM(18,38*23,6))))</f>
        <v>N/D</v>
      </c>
      <c r="BH25" s="215" t="str" cm="1">
        <f t="array" aca="1" ref="BH25" ca="1">IF($B25="","",IF(ISBLANK(INDIRECT("R9.Web!D"&amp;SUM(18,38*24,6))),"",INDIRECT("R9.Web!D"&amp;SUM(18,38*24,6))))</f>
        <v>N/T</v>
      </c>
      <c r="BI25" s="215" t="str" cm="1">
        <f t="array" aca="1" ref="BI25" ca="1">IF($B25="","",IF(ISBLANK(INDIRECT("R9.Web!D"&amp;SUM(18,38*25,6))),"",INDIRECT("R9.Web!D"&amp;SUM(18,38*25,6))))</f>
        <v>N/D</v>
      </c>
      <c r="BJ25" s="215" t="str" cm="1">
        <f t="array" aca="1" ref="BJ25" ca="1">IF($B25="","",IF(ISBLANK(INDIRECT("R9.Web!D"&amp;SUM(18,38*26,6))),"",INDIRECT("R9.Web!D"&amp;SUM(18,38*26,6))))</f>
        <v>N/D</v>
      </c>
      <c r="BK25" s="215" t="str" cm="1">
        <f t="array" aca="1" ref="BK25" ca="1">IF($B25="","",IF(ISBLANK(INDIRECT("R9.Web!D"&amp;SUM(18,38*27,6))),"",INDIRECT("R9.Web!D"&amp;SUM(18,38*27,6))))</f>
        <v>N/D</v>
      </c>
      <c r="BL25" s="215" t="str" cm="1">
        <f t="array" aca="1" ref="BL25" ca="1">IF($B25="","",IF(ISBLANK(INDIRECT("R9.Web!D"&amp;SUM(18,38*28,6))),"",INDIRECT("R9.Web!D"&amp;SUM(18,38*28,6))))</f>
        <v>N/D</v>
      </c>
      <c r="BM25" s="215" t="str" cm="1">
        <f t="array" aca="1" ref="BM25" ca="1">IF($B25="","",IF(ISBLANK(INDIRECT("R9.Web!D"&amp;SUM(18,38*29,6))),"",INDIRECT("R9.Web!D"&amp;SUM(18,38*29,6))))</f>
        <v>N/D</v>
      </c>
      <c r="BN25" s="215" t="str" cm="1">
        <f t="array" aca="1" ref="BN25" ca="1">IF($B25="","",IF(ISBLANK(INDIRECT("R9.Web!D"&amp;SUM(18,38*30,6))),"",INDIRECT("R9.Web!D"&amp;SUM(18,38*30,6))))</f>
        <v>N/T</v>
      </c>
      <c r="BO25" s="215" t="str" cm="1">
        <f t="array" aca="1" ref="BO25" ca="1">IF($B25="","",IF(ISBLANK(INDIRECT("R9.Web!D"&amp;SUM(18,38*31,6))),"",INDIRECT("R9.Web!D"&amp;SUM(18,38*31,6))))</f>
        <v>Falla</v>
      </c>
      <c r="BP25" s="215" t="str" cm="1">
        <f t="array" aca="1" ref="BP25" ca="1">IF($B25="","",IF(ISBLANK(INDIRECT("R9.Web!D"&amp;SUM(18,38*32,6))),"",INDIRECT("R9.Web!D"&amp;SUM(18,38*32,6))))</f>
        <v>N/T</v>
      </c>
      <c r="BQ25" s="215" t="str" cm="1">
        <f t="array" aca="1" ref="BQ25" ca="1">IF($B25="","",IF(ISBLANK(INDIRECT("R9.Web!D"&amp;SUM(18,38*33,6))),"",INDIRECT("R9.Web!D"&amp;SUM(18,38*33,6))))</f>
        <v>N/T</v>
      </c>
      <c r="BR25" s="215" t="str" cm="1">
        <f t="array" aca="1" ref="BR25" ca="1">IF($B25="","",IF(ISBLANK(INDIRECT("R9.Web!D"&amp;SUM(18,38*34,6))),"",INDIRECT("R9.Web!D"&amp;SUM(18,38*34,6))))</f>
        <v>N/D</v>
      </c>
      <c r="BS25" s="215" t="str" cm="1">
        <f t="array" aca="1" ref="BS25" ca="1">IF($B25="","",IF(ISBLANK(INDIRECT("R9.Web!D"&amp;SUM(18,38*35,6))),"",INDIRECT("R9.Web!D"&amp;SUM(18,38*35,6))))</f>
        <v>N/T</v>
      </c>
      <c r="BT25" s="215" t="str" cm="1">
        <f t="array" aca="1" ref="BT25" ca="1">IF($B25="","",IF(ISBLANK(INDIRECT("R9.Web!D"&amp;SUM(18,38*36,6))),"",INDIRECT("R9.Web!D"&amp;SUM(18,38*36,6))))</f>
        <v>N/D</v>
      </c>
      <c r="BU25" s="215" t="str" cm="1">
        <f t="array" aca="1" ref="BU25" ca="1">IF($B25="","",IF(ISBLANK(INDIRECT("R9.Web!D"&amp;SUM(18,38*37,6))),"",INDIRECT("R9.Web!D"&amp;SUM(18,38*37,6))))</f>
        <v>N/D</v>
      </c>
      <c r="BV25" s="215" t="str" cm="1">
        <f t="array" aca="1" ref="BV25" ca="1">IF($B25="","",IF(ISBLANK(INDIRECT("R9.Web!D"&amp;SUM(18,38*38,6))),"",INDIRECT("R9.Web!D"&amp;SUM(18,38*38,6))))</f>
        <v>N/D</v>
      </c>
      <c r="BW25" s="215" t="str" cm="1">
        <f t="array" aca="1" ref="BW25" ca="1">IF($B25="","",IF(ISBLANK(INDIRECT("R9.Web!D"&amp;SUM(18,38*39,6))),"",INDIRECT("R9.Web!D"&amp;SUM(18,38*39,6))))</f>
        <v>N/D</v>
      </c>
      <c r="BX25" s="215" t="str" cm="1">
        <f t="array" aca="1" ref="BX25" ca="1">IF($B25="","",IF(ISBLANK(INDIRECT("R9.Web!D"&amp;SUM(18,38*40,6))),"",INDIRECT("R9.Web!D"&amp;SUM(18,38*40,6))))</f>
        <v>N/D</v>
      </c>
      <c r="BY25" s="215" t="str" cm="1">
        <f t="array" aca="1" ref="BY25" ca="1">IF($B25="","",IF(ISBLANK(INDIRECT("R9.Web!D"&amp;SUM(18,38*41,6))),"",INDIRECT("R9.Web!D"&amp;SUM(18,38*41,6))))</f>
        <v>N/T</v>
      </c>
      <c r="BZ25" s="215" t="str" cm="1">
        <f t="array" aca="1" ref="BZ25" ca="1">IF($B25="","",IF(ISBLANK(INDIRECT("R9.Web!D"&amp;SUM(18,38*42,6))),"",INDIRECT("R9.Web!D"&amp;SUM(18,38*42,6))))</f>
        <v>N/T</v>
      </c>
      <c r="CA25" s="215" t="str" cm="1">
        <f t="array" aca="1" ref="CA25" ca="1">IF($B25="","",IF(ISBLANK(INDIRECT("R9.Web!D"&amp;SUM(18,38*43,6))),"",INDIRECT("R9.Web!D"&amp;SUM(18,38*43,6))))</f>
        <v>N/D</v>
      </c>
      <c r="CB25" s="215" t="str" cm="1">
        <f t="array" aca="1" ref="CB25" ca="1">IF($B25="","",IF(ISBLANK(INDIRECT("R9.Web!D"&amp;SUM(18,38*44,6))),"",INDIRECT("R9.Web!D"&amp;SUM(18,38*44,6))))</f>
        <v>N/T</v>
      </c>
      <c r="CC25" s="215" t="str" cm="1">
        <f t="array" aca="1" ref="CC25" ca="1">IF($B25="","",IF(ISBLANK(INDIRECT("R9.Web!D"&amp;SUM(18,38*45,6))),"",INDIRECT("R9.Web!D"&amp;SUM(18,38*45,6))))</f>
        <v>N/T</v>
      </c>
      <c r="CD25" s="215" t="str" cm="1">
        <f t="array" aca="1" ref="CD25" ca="1">IF($B25="","",IF(ISBLANK(INDIRECT("R9.Web!D"&amp;SUM(18,38*46,6))),"",INDIRECT("R9.Web!D"&amp;SUM(18,38*46,6))))</f>
        <v>N/T</v>
      </c>
      <c r="CE25" s="215" t="str" cm="1">
        <f t="array" aca="1" ref="CE25" ca="1">IF($B25="","",IF(ISBLANK(INDIRECT("R9.Web!D"&amp;SUM(18,38*47,6))),"",INDIRECT("R9.Web!D"&amp;SUM(18,38*47,6))))</f>
        <v>N/D</v>
      </c>
      <c r="CF25" s="215" t="str" cm="1">
        <f t="array" aca="1" ref="CF25" ca="1">IF($B25="","",IF(ISBLANK(INDIRECT("R9.Web!D"&amp;SUM(18,38*48,6))),"",INDIRECT("R9.Web!D"&amp;SUM(18,38*48,6))))</f>
        <v>N/T</v>
      </c>
      <c r="CG25" s="215" t="str" cm="1">
        <f t="array" aca="1" ref="CG25" ca="1">IF($B25="","",IF(ISBLANK(INDIRECT("R9.Web!D"&amp;SUM(18,38*49,6))),"",INDIRECT("R9.Web!D"&amp;SUM(18,38*49,6))))</f>
        <v>N/T</v>
      </c>
      <c r="CH25" s="215" t="str" cm="1">
        <f t="array" aca="1" ref="CH25" ca="1">IF($B25="","",IF(ISBLANK(INDIRECT("R11.Software!D"&amp;SUM(18,38*0,6))),"",INDIRECT("R11.Software!D"&amp;SUM(18,38*0,6))))</f>
        <v>N/T</v>
      </c>
      <c r="CI25" s="215" t="str" cm="1">
        <f t="array" aca="1" ref="CI25" ca="1">IF($B25="","",IF(ISBLANK(INDIRECT("R11.Software!D"&amp;SUM(18,38*1,6))),"",INDIRECT("R11.Software!D"&amp;SUM(18,38*1,6))))</f>
        <v>N/T</v>
      </c>
      <c r="CJ25" s="215" t="str" cm="1">
        <f t="array" aca="1" ref="CJ25" ca="1">IF($B25="","",IF(ISBLANK(INDIRECT("R11.Software!D"&amp;SUM(18,38*2,6))),"",INDIRECT("R11.Software!D"&amp;SUM(18,38*2,6))))</f>
        <v>N/T</v>
      </c>
      <c r="CK25" s="215" t="str" cm="1">
        <f t="array" aca="1" ref="CK25" ca="1">IF($B25="","",IF(ISBLANK(INDIRECT("R11.Software!D"&amp;SUM(18,38*3,6))),"",INDIRECT("R11.Software!D"&amp;SUM(18,38*3,6))))</f>
        <v>N/T</v>
      </c>
      <c r="CL25" s="215" t="str" cm="1">
        <f t="array" aca="1" ref="CL25" ca="1">IF($B25="","",IF(ISBLANK(INDIRECT("R11.Software!D"&amp;SUM(18,38*4,6))),"",INDIRECT("R11.Software!D"&amp;SUM(18,38*4,6))))</f>
        <v>N/T</v>
      </c>
      <c r="CM25" s="215" t="str" cm="1">
        <f t="array" aca="1" ref="CM25" ca="1">IF($B25="","",IF(ISBLANK(INDIRECT("R11.Software!D"&amp;SUM(18,38*5,6))),"",INDIRECT("R11.Software!D"&amp;SUM(18,38*5,6))))</f>
        <v>N/T</v>
      </c>
      <c r="CN25" s="215" t="str" cm="1">
        <f t="array" aca="1" ref="CN25" ca="1">IF($B25="","",IF(ISBLANK(INDIRECT("R12.ServiciosApoyo!D"&amp;SUM(18,38*0,6))),"",INDIRECT("R12.ServiciosApoyo!D"&amp;SUM(18,38*0,6))))</f>
        <v>N/T</v>
      </c>
      <c r="CO25" s="215" t="str" cm="1">
        <f t="array" aca="1" ref="CO25" ca="1">IF($B25="","",IF(ISBLANK(INDIRECT("R12.ServiciosApoyo!D"&amp;SUM(18,38*1,6))),"",INDIRECT("R12.ServiciosApoyo!D"&amp;SUM(18,38*1,6))))</f>
        <v>N/T</v>
      </c>
      <c r="CP25" s="215" t="str" cm="1">
        <f t="array" aca="1" ref="CP25" ca="1">IF($B25="","",IF(ISBLANK(INDIRECT("R12.ServiciosApoyo!D"&amp;SUM(18,38*2,6))),"",INDIRECT("R12.ServiciosApoyo!D"&amp;SUM(18,38*2,6))))</f>
        <v>N/T</v>
      </c>
      <c r="CQ25" s="215" t="str" cm="1">
        <f t="array" aca="1" ref="CQ25" ca="1">IF($B25="","",IF(ISBLANK(INDIRECT("R12.ServiciosApoyo!D"&amp;SUM(18,38*3,6))),"",INDIRECT("R12.ServiciosApoyo!D"&amp;SUM(18,38*3,6))))</f>
        <v>N/T</v>
      </c>
      <c r="CR25" s="215" t="str" cm="1">
        <f t="array" aca="1" ref="CR25" ca="1">IF($B25="","",IF(ISBLANK(INDIRECT("R12.ServiciosApoyo!D"&amp;SUM(18,38*4,6))),"",INDIRECT("R12.ServiciosApoyo!D"&amp;SUM(18,38*4,6))))</f>
        <v>N/T</v>
      </c>
      <c r="CU25" s="100"/>
      <c r="CV25" s="29"/>
      <c r="CW25" s="29"/>
      <c r="CX25" s="29"/>
    </row>
    <row r="26" spans="2:102" ht="20.25">
      <c r="B26" s="181" t="n" cm="1">
        <f t="array" ref="B26">IFERROR(INDEX('03.Muestra'!$B$8:$B$42,SMALL(IF("Página Web"='03.Muestra'!$D$8:$D$42,ROW('03.Muestra'!$B$8:$B$42)-MIN(ROW('03.Muestra'!$D$8:$D$42))+1,""),ROW()-19)),"")</f>
        <v>1.0</v>
      </c>
      <c r="C26" s="97" t="str" cm="1">
        <f t="array" ref="C26">IFERROR(INDEX('03.Muestra'!$C$8:$C$42,SMALL(IF("Página Web"='03.Muestra'!$D$8:$D$42,ROW('03.Muestra'!$C$8:$C$42)-MIN(ROW('03.Muestra'!$D$8:$D$42))+1,""),ROW()-19)),"")</f>
        <v>Home - PortCastelló</v>
      </c>
      <c r="D26" s="98" t="str" cm="1">
        <f t="array" ref="D26">IFERROR(INDEX('03.Muestra'!$F$8:$F$42,SMALL(IF("Página Web"='03.Muestra'!$D$8:$D$42,ROW('03.Muestra'!$F$8:$F$42)-MIN(ROW('03.Muestra'!$D$8:$D$42))+1,""),ROW()-19)),"")</f>
        <v>https://www.portcastello.com/</v>
      </c>
      <c r="E26" s="215" t="str" cm="1">
        <f t="array" aca="1" ref="E26" ca="1">IF($B26="","",IF(ISBLANK(INDIRECT("R5.Genéricos!D"&amp;SUM(18,38*0,7))),"",INDIRECT("R5.Genéricos!D"&amp;SUM(18,38*0,7))))</f>
        <v>N/T</v>
      </c>
      <c r="F26" s="215" t="str" cm="1">
        <f t="array" aca="1" ref="F26" ca="1">IF($B26="","",IF(ISBLANK(INDIRECT("R5.Genéricos!D"&amp;SUM(18,38*1,7))),"",INDIRECT("R5.Genéricos!D"&amp;SUM(18,38*1,7))))</f>
        <v>N/T</v>
      </c>
      <c r="G26" s="215" t="str" cm="1">
        <f t="array" aca="1" ref="G26" ca="1">IF($B26="","",IF(ISBLANK(INDIRECT("R5.Genéricos!D"&amp;SUM(18,38*2,7))),"",INDIRECT("R5.Genéricos!D"&amp;SUM(18,38*2,7))))</f>
        <v>N/T</v>
      </c>
      <c r="H26" s="215" t="str" cm="1">
        <f t="array" aca="1" ref="H26" ca="1">IF($B26="","",IF(ISBLANK(INDIRECT("R6.Voz!D"&amp;SUM(18,38*0,7))),"",INDIRECT("R6.Voz!D"&amp;SUM(18,38*0,7))))</f>
        <v>N/T</v>
      </c>
      <c r="I26" s="215" t="str" cm="1">
        <f t="array" aca="1" ref="I26" ca="1">IF($B26="","",IF(ISBLANK(INDIRECT("R6.Voz!D"&amp;SUM(18,38*1,7))),"",INDIRECT("R6.Voz!D"&amp;SUM(18,38*1,7))))</f>
        <v>N/T</v>
      </c>
      <c r="J26" s="215" t="str" cm="1">
        <f t="array" aca="1" ref="J26" ca="1">IF($B26="","",IF(ISBLANK(INDIRECT("R6.Voz!D"&amp;SUM(18,38*2,7))),"",INDIRECT("R6.Voz!D"&amp;SUM(18,38*2,7))))</f>
        <v>N/T</v>
      </c>
      <c r="K26" s="215" t="str" cm="1">
        <f t="array" aca="1" ref="K26" ca="1">IF($B26="","",IF(ISBLANK(INDIRECT("R6.Voz!D"&amp;SUM(18,38*3,7))),"",INDIRECT("R6.Voz!D"&amp;SUM(18,38*3,7))))</f>
        <v>N/T</v>
      </c>
      <c r="L26" s="215" t="str" cm="1">
        <f t="array" aca="1" ref="L26" ca="1">IF($B26="","",IF(ISBLANK(INDIRECT("R6.Voz!D"&amp;SUM(18,38*4,7))),"",INDIRECT("R6.Voz!D"&amp;SUM(18,38*4,7))))</f>
        <v>N/T</v>
      </c>
      <c r="M26" s="215" t="str" cm="1">
        <f t="array" aca="1" ref="M26" ca="1">IF($B26="","",IF(ISBLANK(INDIRECT("R6.Voz!D"&amp;SUM(18,38*5,7))),"",INDIRECT("R6.Voz!D"&amp;SUM(18,38*5,7))))</f>
        <v>N/T</v>
      </c>
      <c r="N26" s="215" t="str" cm="1">
        <f t="array" aca="1" ref="N26" ca="1">IF($B26="","",IF(ISBLANK(INDIRECT("R6.Voz!D"&amp;SUM(18,38*6,7))),"",INDIRECT("R6.Voz!D"&amp;SUM(18,38*6,7))))</f>
        <v>N/T</v>
      </c>
      <c r="O26" s="215" t="str" cm="1">
        <f t="array" aca="1" ref="O26" ca="1">IF($B26="","",IF(ISBLANK(INDIRECT("R6.Voz!D"&amp;SUM(18,38*7,7))),"",INDIRECT("R6.Voz!D"&amp;SUM(18,38*7,7))))</f>
        <v>N/T</v>
      </c>
      <c r="P26" s="215" t="str" cm="1">
        <f t="array" aca="1" ref="P26" ca="1">IF($B26="","",IF(ISBLANK(INDIRECT("R6.Voz!D"&amp;SUM(18,38*8,7))),"",INDIRECT("R6.Voz!D"&amp;SUM(18,38*8,7))))</f>
        <v>N/T</v>
      </c>
      <c r="Q26" s="215" t="str" cm="1">
        <f t="array" aca="1" ref="Q26" ca="1">IF($B26="","",IF(ISBLANK(INDIRECT("R6.Voz!D"&amp;SUM(18,38*9,7))),"",INDIRECT("R6.Voz!D"&amp;SUM(18,38*9,7))))</f>
        <v>N/T</v>
      </c>
      <c r="R26" s="215" t="str" cm="1">
        <f t="array" aca="1" ref="R26" ca="1">IF($B26="","",IF(ISBLANK(INDIRECT("R6.Voz!D"&amp;SUM(18,38*10,7))),"",INDIRECT("R6.Voz!D"&amp;SUM(18,38*10,7))))</f>
        <v>N/T</v>
      </c>
      <c r="S26" s="215" t="str" cm="1">
        <f t="array" aca="1" ref="S26" ca="1">IF($B26="","",IF(ISBLANK(INDIRECT("R6.Voz!D"&amp;SUM(18,38*11,7))),"",INDIRECT("R6.Voz!D"&amp;SUM(18,38*11,7))))</f>
        <v>N/T</v>
      </c>
      <c r="T26" s="215" t="str" cm="1">
        <f t="array" aca="1" ref="T26" ca="1">IF($B26="","",IF(ISBLANK(INDIRECT("R6.Voz!D"&amp;SUM(18,38*12,7))),"",INDIRECT("R6.Voz!D"&amp;SUM(18,38*12,7))))</f>
        <v>N/T</v>
      </c>
      <c r="U26" s="215" t="str" cm="1">
        <f t="array" aca="1" ref="U26" ca="1">IF($B26="","",IF(ISBLANK(INDIRECT("R6.Voz!D"&amp;SUM(18,38*13,7))),"",INDIRECT("R6.Voz!D"&amp;SUM(18,38*13,7))))</f>
        <v>N/T</v>
      </c>
      <c r="V26" s="215" t="str" cm="1">
        <f t="array" aca="1" ref="V26" ca="1">IF($B26="","",IF(ISBLANK(INDIRECT("R6.Voz!D"&amp;SUM(18,38*14,7))),"",INDIRECT("R6.Voz!D"&amp;SUM(18,38*14,7))))</f>
        <v>N/T</v>
      </c>
      <c r="W26" s="215" t="str" cm="1">
        <f t="array" aca="1" ref="W26" ca="1">IF($B26="","",IF(ISBLANK(INDIRECT("R6.Voz!D"&amp;SUM(18,38*15,7))),"",INDIRECT("R6.Voz!D"&amp;SUM(18,38*15,7))))</f>
        <v>N/T</v>
      </c>
      <c r="X26" s="215" t="str" cm="1">
        <f t="array" aca="1" ref="X26" ca="1">IF($B26="","",IF(ISBLANK(INDIRECT("R6.Voz!D"&amp;SUM(18,38*16,7))),"",INDIRECT("R6.Voz!D"&amp;SUM(18,38*16,7))))</f>
        <v>N/T</v>
      </c>
      <c r="Y26" s="215" t="str" cm="1">
        <f t="array" aca="1" ref="Y26" ca="1">IF($B26="","",IF(ISBLANK(INDIRECT("R6.Voz!D"&amp;SUM(18,38*17,7))),"",INDIRECT("R6.Voz!D"&amp;SUM(18,38*17,7))))</f>
        <v>N/T</v>
      </c>
      <c r="Z26" s="215" t="str" cm="1">
        <f t="array" aca="1" ref="Z26" ca="1">IF($B26="","",IF(ISBLANK(INDIRECT("R6.Voz!D"&amp;SUM(18,38*18,7))),"",INDIRECT("R6.Voz!D"&amp;SUM(18,38*18,7))))</f>
        <v>N/T</v>
      </c>
      <c r="AA26" s="215" t="str" cm="1">
        <f t="array" aca="1" ref="AA26" ca="1">IF($B26="","",IF(ISBLANK(INDIRECT("R7.Video!D"&amp;SUM(18,38*0,7))),"",INDIRECT("R7.Video!D"&amp;SUM(18,38*0,7))))</f>
        <v>N/T</v>
      </c>
      <c r="AB26" s="215" t="str" cm="1">
        <f t="array" aca="1" ref="AB26" ca="1">IF($B26="","",IF(ISBLANK(INDIRECT("R7.Video!D"&amp;SUM(18,38*1,7))),"",INDIRECT("R7.Video!D"&amp;SUM(18,38*1,7))))</f>
        <v>N/T</v>
      </c>
      <c r="AC26" s="215" t="str" cm="1">
        <f t="array" aca="1" ref="AC26" ca="1">IF($B26="","",IF(ISBLANK(INDIRECT("R7.Video!D"&amp;SUM(18,38*2,7))),"",INDIRECT("R7.Video!D"&amp;SUM(18,38*2,7))))</f>
        <v>N/T</v>
      </c>
      <c r="AD26" s="215" t="str" cm="1">
        <f t="array" aca="1" ref="AD26" ca="1">IF($B26="","",IF(ISBLANK(INDIRECT("R7.Video!D"&amp;SUM(18,38*3,7))),"",INDIRECT("R7.Video!D"&amp;SUM(18,38*3,7))))</f>
        <v>N/T</v>
      </c>
      <c r="AE26" s="215" t="str" cm="1">
        <f t="array" aca="1" ref="AE26" ca="1">IF($B26="","",IF(ISBLANK(INDIRECT("R7.Video!D"&amp;SUM(18,38*4,7))),"",INDIRECT("R7.Video!D"&amp;SUM(18,38*4,7))))</f>
        <v>N/T</v>
      </c>
      <c r="AF26" s="215" t="str" cm="1">
        <f t="array" aca="1" ref="AF26" ca="1">IF($B26="","",IF(ISBLANK(INDIRECT("R7.Video!D"&amp;SUM(18,38*5,7))),"",INDIRECT("R7.Video!D"&amp;SUM(18,38*5,7))))</f>
        <v>N/T</v>
      </c>
      <c r="AG26" s="215" t="str" cm="1">
        <f t="array" aca="1" ref="AG26" ca="1">IF($B26="","",IF(ISBLANK(INDIRECT("R7.Video!D"&amp;SUM(18,38*6,7))),"",INDIRECT("R7.Video!D"&amp;SUM(18,38*6,7))))</f>
        <v>N/T</v>
      </c>
      <c r="AH26" s="215" t="str" cm="1">
        <f t="array" aca="1" ref="AH26" ca="1">IF($B26="","",IF(ISBLANK(INDIRECT("R7.Video!D"&amp;SUM(18,38*7,7))),"",INDIRECT("R7.Video!D"&amp;SUM(18,38*7,7))))</f>
        <v>N/T</v>
      </c>
      <c r="AI26" s="215" t="str" cm="1">
        <f t="array" aca="1" ref="AI26" ca="1">IF($B26="","",IF(ISBLANK(INDIRECT("R7.Video!D"&amp;SUM(18,38*8,7))),"",INDIRECT("R7.Video!D"&amp;SUM(18,38*8,7))))</f>
        <v>N/T</v>
      </c>
      <c r="AJ26" s="215" t="str" cm="1">
        <f t="array" aca="1" ref="AJ26" ca="1">IF($B26="","",IF(ISBLANK(INDIRECT("R9.Web!D"&amp;SUM(18,38*0,7))),"",INDIRECT("R9.Web!D"&amp;SUM(18,38*0,7))))</f>
        <v>N/D</v>
      </c>
      <c r="AK26" s="215" t="str" cm="1">
        <f t="array" aca="1" ref="AK26" ca="1">IF($B26="","",IF(ISBLANK(INDIRECT("R9.Web!D"&amp;SUM(18,38*1,7))),"",INDIRECT("R9.Web!D"&amp;SUM(18,38*1,7))))</f>
        <v>N/T</v>
      </c>
      <c r="AL26" s="215" t="str" cm="1">
        <f t="array" aca="1" ref="AL26" ca="1">IF($B26="","",IF(ISBLANK(INDIRECT("R9.Web!D"&amp;SUM(18,38*2,7))),"",INDIRECT("R9.Web!D"&amp;SUM(18,38*2,7))))</f>
        <v>N/T</v>
      </c>
      <c r="AM26" s="215" t="str" cm="1">
        <f t="array" aca="1" ref="AM26" ca="1">IF($B26="","",IF(ISBLANK(INDIRECT("R9.Web!D"&amp;SUM(18,38*3,7))),"",INDIRECT("R9.Web!D"&amp;SUM(18,38*3,7))))</f>
        <v>N/T</v>
      </c>
      <c r="AN26" s="215" t="str" cm="1">
        <f t="array" aca="1" ref="AN26" ca="1">IF($B26="","",IF(ISBLANK(INDIRECT("R9.Web!D"&amp;SUM(18,38*4,7))),"",INDIRECT("R9.Web!D"&amp;SUM(18,38*4,7))))</f>
        <v>N/T</v>
      </c>
      <c r="AO26" s="215" t="str" cm="1">
        <f t="array" aca="1" ref="AO26" ca="1">IF($B26="","",IF(ISBLANK(INDIRECT("R9.Web!D"&amp;SUM(18,38*5,7))),"",INDIRECT("R9.Web!D"&amp;SUM(18,38*5,7))))</f>
        <v>N/D</v>
      </c>
      <c r="AP26" s="215" t="str" cm="1">
        <f t="array" aca="1" ref="AP26" ca="1">IF($B26="","",IF(ISBLANK(INDIRECT("R9.Web!D"&amp;SUM(18,38*6,7))),"",INDIRECT("R9.Web!D"&amp;SUM(18,38*6,7))))</f>
        <v>N/T</v>
      </c>
      <c r="AQ26" s="215" t="str" cm="1">
        <f t="array" aca="1" ref="AQ26" ca="1">IF($B26="","",IF(ISBLANK(INDIRECT("R9.Web!D"&amp;SUM(18,38*7,7))),"",INDIRECT("R9.Web!D"&amp;SUM(18,38*7,7))))</f>
        <v>N/T</v>
      </c>
      <c r="AR26" s="215" t="str" cm="1">
        <f t="array" aca="1" ref="AR26" ca="1">IF($B26="","",IF(ISBLANK(INDIRECT("R9.Web!D"&amp;SUM(18,38*8,7))),"",INDIRECT("R9.Web!D"&amp;SUM(18,38*8,7))))</f>
        <v>N/D</v>
      </c>
      <c r="AS26" s="215" t="str" cm="1">
        <f t="array" aca="1" ref="AS26" ca="1">IF($B26="","",IF(ISBLANK(INDIRECT("R9.Web!D"&amp;SUM(18,38*9,7))),"",INDIRECT("R9.Web!D"&amp;SUM(18,38*9,7))))</f>
        <v>N/D</v>
      </c>
      <c r="AT26" s="215" t="str" cm="1">
        <f t="array" aca="1" ref="AT26" ca="1">IF($B26="","",IF(ISBLANK(INDIRECT("R9.Web!D"&amp;SUM(18,38*10,7))),"",INDIRECT("R9.Web!D"&amp;SUM(18,38*10,7))))</f>
        <v>N/T</v>
      </c>
      <c r="AU26" s="215" t="str" cm="1">
        <f t="array" aca="1" ref="AU26" ca="1">IF($B26="","",IF(ISBLANK(INDIRECT("R9.Web!D"&amp;SUM(18,38*11,7))),"",INDIRECT("R9.Web!D"&amp;SUM(18,38*11,7))))</f>
        <v>N/T</v>
      </c>
      <c r="AV26" s="215" t="str" cm="1">
        <f t="array" aca="1" ref="AV26" ca="1">IF($B26="","",IF(ISBLANK(INDIRECT("R9.Web!D"&amp;SUM(18,38*12,7))),"",INDIRECT("R9.Web!D"&amp;SUM(18,38*12,7))))</f>
        <v>N/D</v>
      </c>
      <c r="AW26" s="215" t="str" cm="1">
        <f t="array" aca="1" ref="AW26" ca="1">IF($B26="","",IF(ISBLANK(INDIRECT("R9.Web!D"&amp;SUM(18,38*13,7))),"",INDIRECT("R9.Web!D"&amp;SUM(18,38*13,7))))</f>
        <v>N/T</v>
      </c>
      <c r="AX26" s="215" t="str" cm="1">
        <f t="array" aca="1" ref="AX26" ca="1">IF($B26="","",IF(ISBLANK(INDIRECT("R9.Web!D"&amp;SUM(18,38*14,7))),"",INDIRECT("R9.Web!D"&amp;SUM(18,38*14,7))))</f>
        <v>N/T</v>
      </c>
      <c r="AY26" s="215" t="str" cm="1">
        <f t="array" aca="1" ref="AY26" ca="1">IF($B26="","",IF(ISBLANK(INDIRECT("R9.Web!D"&amp;SUM(18,38*15,7))),"",INDIRECT("R9.Web!D"&amp;SUM(18,38*15,7))))</f>
        <v>N/D</v>
      </c>
      <c r="AZ26" s="215" t="str" cm="1">
        <f t="array" aca="1" ref="AZ26" ca="1">IF($B26="","",IF(ISBLANK(INDIRECT("R9.Web!D"&amp;SUM(18,38*16,7))),"",INDIRECT("R9.Web!D"&amp;SUM(18,38*16,7))))</f>
        <v>N/T</v>
      </c>
      <c r="BA26" s="215" t="str" cm="1">
        <f t="array" aca="1" ref="BA26" ca="1">IF($B26="","",IF(ISBLANK(INDIRECT("R9.Web!D"&amp;SUM(18,38*17,7))),"",INDIRECT("R9.Web!D"&amp;SUM(18,38*17,7))))</f>
        <v>N/D</v>
      </c>
      <c r="BB26" s="215" t="str" cm="1">
        <f t="array" aca="1" ref="BB26" ca="1">IF($B26="","",IF(ISBLANK(INDIRECT("R9.Web!D"&amp;SUM(18,38*18,7))),"",INDIRECT("R9.Web!D"&amp;SUM(18,38*18,7))))</f>
        <v>N/T</v>
      </c>
      <c r="BC26" s="215" t="str" cm="1">
        <f t="array" aca="1" ref="BC26" ca="1">IF($B26="","",IF(ISBLANK(INDIRECT("R9.Web!D"&amp;SUM(18,38*19,7))),"",INDIRECT("R9.Web!D"&amp;SUM(18,38*19,7))))</f>
        <v>N/D</v>
      </c>
      <c r="BD26" s="215" t="str" cm="1">
        <f t="array" aca="1" ref="BD26" ca="1">IF($B26="","",IF(ISBLANK(INDIRECT("R9.Web!D"&amp;SUM(18,38*20,7))),"",INDIRECT("R9.Web!D"&amp;SUM(18,38*20,7))))</f>
        <v>N/T</v>
      </c>
      <c r="BE26" s="215" t="str" cm="1">
        <f t="array" aca="1" ref="BE26" ca="1">IF($B26="","",IF(ISBLANK(INDIRECT("R9.Web!D"&amp;SUM(18,38*21,7))),"",INDIRECT("R9.Web!D"&amp;SUM(18,38*21,7))))</f>
        <v>N/T</v>
      </c>
      <c r="BF26" s="215" t="str" cm="1">
        <f t="array" aca="1" ref="BF26" ca="1">IF($B26="","",IF(ISBLANK(INDIRECT("R9.Web!D"&amp;SUM(18,38*22,7))),"",INDIRECT("R9.Web!D"&amp;SUM(18,38*22,7))))</f>
        <v>N/D</v>
      </c>
      <c r="BG26" s="215" t="str" cm="1">
        <f t="array" aca="1" ref="BG26" ca="1">IF($B26="","",IF(ISBLANK(INDIRECT("R9.Web!D"&amp;SUM(18,38*23,7))),"",INDIRECT("R9.Web!D"&amp;SUM(18,38*23,7))))</f>
        <v>N/D</v>
      </c>
      <c r="BH26" s="215" t="str" cm="1">
        <f t="array" aca="1" ref="BH26" ca="1">IF($B26="","",IF(ISBLANK(INDIRECT("R9.Web!D"&amp;SUM(18,38*24,7))),"",INDIRECT("R9.Web!D"&amp;SUM(18,38*24,7))))</f>
        <v>N/T</v>
      </c>
      <c r="BI26" s="215" t="str" cm="1">
        <f t="array" aca="1" ref="BI26" ca="1">IF($B26="","",IF(ISBLANK(INDIRECT("R9.Web!D"&amp;SUM(18,38*25,7))),"",INDIRECT("R9.Web!D"&amp;SUM(18,38*25,7))))</f>
        <v>N/D</v>
      </c>
      <c r="BJ26" s="215" t="str" cm="1">
        <f t="array" aca="1" ref="BJ26" ca="1">IF($B26="","",IF(ISBLANK(INDIRECT("R9.Web!D"&amp;SUM(18,38*26,7))),"",INDIRECT("R9.Web!D"&amp;SUM(18,38*26,7))))</f>
        <v>N/D</v>
      </c>
      <c r="BK26" s="215" t="str" cm="1">
        <f t="array" aca="1" ref="BK26" ca="1">IF($B26="","",IF(ISBLANK(INDIRECT("R9.Web!D"&amp;SUM(18,38*27,7))),"",INDIRECT("R9.Web!D"&amp;SUM(18,38*27,7))))</f>
        <v>N/D</v>
      </c>
      <c r="BL26" s="215" t="str" cm="1">
        <f t="array" aca="1" ref="BL26" ca="1">IF($B26="","",IF(ISBLANK(INDIRECT("R9.Web!D"&amp;SUM(18,38*28,7))),"",INDIRECT("R9.Web!D"&amp;SUM(18,38*28,7))))</f>
        <v>N/D</v>
      </c>
      <c r="BM26" s="215" t="str" cm="1">
        <f t="array" aca="1" ref="BM26" ca="1">IF($B26="","",IF(ISBLANK(INDIRECT("R9.Web!D"&amp;SUM(18,38*29,7))),"",INDIRECT("R9.Web!D"&amp;SUM(18,38*29,7))))</f>
        <v>N/D</v>
      </c>
      <c r="BN26" s="215" t="str" cm="1">
        <f t="array" aca="1" ref="BN26" ca="1">IF($B26="","",IF(ISBLANK(INDIRECT("R9.Web!D"&amp;SUM(18,38*30,7))),"",INDIRECT("R9.Web!D"&amp;SUM(18,38*30,7))))</f>
        <v>N/T</v>
      </c>
      <c r="BO26" s="215" t="str" cm="1">
        <f t="array" aca="1" ref="BO26" ca="1">IF($B26="","",IF(ISBLANK(INDIRECT("R9.Web!D"&amp;SUM(18,38*31,7))),"",INDIRECT("R9.Web!D"&amp;SUM(18,38*31,7))))</f>
        <v>Falla</v>
      </c>
      <c r="BP26" s="215" t="str" cm="1">
        <f t="array" aca="1" ref="BP26" ca="1">IF($B26="","",IF(ISBLANK(INDIRECT("R9.Web!D"&amp;SUM(18,38*32,7))),"",INDIRECT("R9.Web!D"&amp;SUM(18,38*32,7))))</f>
        <v>N/T</v>
      </c>
      <c r="BQ26" s="215" t="str" cm="1">
        <f t="array" aca="1" ref="BQ26" ca="1">IF($B26="","",IF(ISBLANK(INDIRECT("R9.Web!D"&amp;SUM(18,38*33,7))),"",INDIRECT("R9.Web!D"&amp;SUM(18,38*33,7))))</f>
        <v>N/T</v>
      </c>
      <c r="BR26" s="215" t="str" cm="1">
        <f t="array" aca="1" ref="BR26" ca="1">IF($B26="","",IF(ISBLANK(INDIRECT("R9.Web!D"&amp;SUM(18,38*34,7))),"",INDIRECT("R9.Web!D"&amp;SUM(18,38*34,7))))</f>
        <v>N/D</v>
      </c>
      <c r="BS26" s="215" t="str" cm="1">
        <f t="array" aca="1" ref="BS26" ca="1">IF($B26="","",IF(ISBLANK(INDIRECT("R9.Web!D"&amp;SUM(18,38*35,7))),"",INDIRECT("R9.Web!D"&amp;SUM(18,38*35,7))))</f>
        <v>N/T</v>
      </c>
      <c r="BT26" s="215" t="str" cm="1">
        <f t="array" aca="1" ref="BT26" ca="1">IF($B26="","",IF(ISBLANK(INDIRECT("R9.Web!D"&amp;SUM(18,38*36,7))),"",INDIRECT("R9.Web!D"&amp;SUM(18,38*36,7))))</f>
        <v>N/D</v>
      </c>
      <c r="BU26" s="215" t="str" cm="1">
        <f t="array" aca="1" ref="BU26" ca="1">IF($B26="","",IF(ISBLANK(INDIRECT("R9.Web!D"&amp;SUM(18,38*37,7))),"",INDIRECT("R9.Web!D"&amp;SUM(18,38*37,7))))</f>
        <v>N/D</v>
      </c>
      <c r="BV26" s="215" t="str" cm="1">
        <f t="array" aca="1" ref="BV26" ca="1">IF($B26="","",IF(ISBLANK(INDIRECT("R9.Web!D"&amp;SUM(18,38*38,7))),"",INDIRECT("R9.Web!D"&amp;SUM(18,38*38,7))))</f>
        <v>N/D</v>
      </c>
      <c r="BW26" s="215" t="str" cm="1">
        <f t="array" aca="1" ref="BW26" ca="1">IF($B26="","",IF(ISBLANK(INDIRECT("R9.Web!D"&amp;SUM(18,38*39,7))),"",INDIRECT("R9.Web!D"&amp;SUM(18,38*39,7))))</f>
        <v>N/D</v>
      </c>
      <c r="BX26" s="215" t="str" cm="1">
        <f t="array" aca="1" ref="BX26" ca="1">IF($B26="","",IF(ISBLANK(INDIRECT("R9.Web!D"&amp;SUM(18,38*40,7))),"",INDIRECT("R9.Web!D"&amp;SUM(18,38*40,7))))</f>
        <v>N/D</v>
      </c>
      <c r="BY26" s="215" t="str" cm="1">
        <f t="array" aca="1" ref="BY26" ca="1">IF($B26="","",IF(ISBLANK(INDIRECT("R9.Web!D"&amp;SUM(18,38*41,7))),"",INDIRECT("R9.Web!D"&amp;SUM(18,38*41,7))))</f>
        <v>N/T</v>
      </c>
      <c r="BZ26" s="215" t="str" cm="1">
        <f t="array" aca="1" ref="BZ26" ca="1">IF($B26="","",IF(ISBLANK(INDIRECT("R9.Web!D"&amp;SUM(18,38*42,7))),"",INDIRECT("R9.Web!D"&amp;SUM(18,38*42,7))))</f>
        <v>N/T</v>
      </c>
      <c r="CA26" s="215" t="str" cm="1">
        <f t="array" aca="1" ref="CA26" ca="1">IF($B26="","",IF(ISBLANK(INDIRECT("R9.Web!D"&amp;SUM(18,38*43,7))),"",INDIRECT("R9.Web!D"&amp;SUM(18,38*43,7))))</f>
        <v>N/D</v>
      </c>
      <c r="CB26" s="215" t="str" cm="1">
        <f t="array" aca="1" ref="CB26" ca="1">IF($B26="","",IF(ISBLANK(INDIRECT("R9.Web!D"&amp;SUM(18,38*44,7))),"",INDIRECT("R9.Web!D"&amp;SUM(18,38*44,7))))</f>
        <v>N/T</v>
      </c>
      <c r="CC26" s="215" t="str" cm="1">
        <f t="array" aca="1" ref="CC26" ca="1">IF($B26="","",IF(ISBLANK(INDIRECT("R9.Web!D"&amp;SUM(18,38*45,7))),"",INDIRECT("R9.Web!D"&amp;SUM(18,38*45,7))))</f>
        <v>N/T</v>
      </c>
      <c r="CD26" s="215" t="str" cm="1">
        <f t="array" aca="1" ref="CD26" ca="1">IF($B26="","",IF(ISBLANK(INDIRECT("R9.Web!D"&amp;SUM(18,38*46,7))),"",INDIRECT("R9.Web!D"&amp;SUM(18,38*46,7))))</f>
        <v>N/T</v>
      </c>
      <c r="CE26" s="215" t="str" cm="1">
        <f t="array" aca="1" ref="CE26" ca="1">IF($B26="","",IF(ISBLANK(INDIRECT("R9.Web!D"&amp;SUM(18,38*47,7))),"",INDIRECT("R9.Web!D"&amp;SUM(18,38*47,7))))</f>
        <v>N/D</v>
      </c>
      <c r="CF26" s="215" t="str" cm="1">
        <f t="array" aca="1" ref="CF26" ca="1">IF($B26="","",IF(ISBLANK(INDIRECT("R9.Web!D"&amp;SUM(18,38*48,7))),"",INDIRECT("R9.Web!D"&amp;SUM(18,38*48,7))))</f>
        <v>N/T</v>
      </c>
      <c r="CG26" s="215" t="str" cm="1">
        <f t="array" aca="1" ref="CG26" ca="1">IF($B26="","",IF(ISBLANK(INDIRECT("R9.Web!D"&amp;SUM(18,38*49,7))),"",INDIRECT("R9.Web!D"&amp;SUM(18,38*49,7))))</f>
        <v>N/T</v>
      </c>
      <c r="CH26" s="215" t="str" cm="1">
        <f t="array" aca="1" ref="CH26" ca="1">IF($B26="","",IF(ISBLANK(INDIRECT("R11.Software!D"&amp;SUM(18,38*0,7))),"",INDIRECT("R11.Software!D"&amp;SUM(18,38*0,7))))</f>
        <v>N/T</v>
      </c>
      <c r="CI26" s="215" t="str" cm="1">
        <f t="array" aca="1" ref="CI26" ca="1">IF($B26="","",IF(ISBLANK(INDIRECT("R11.Software!D"&amp;SUM(18,38*1,7))),"",INDIRECT("R11.Software!D"&amp;SUM(18,38*1,7))))</f>
        <v>N/T</v>
      </c>
      <c r="CJ26" s="215" t="str" cm="1">
        <f t="array" aca="1" ref="CJ26" ca="1">IF($B26="","",IF(ISBLANK(INDIRECT("R11.Software!D"&amp;SUM(18,38*2,7))),"",INDIRECT("R11.Software!D"&amp;SUM(18,38*2,7))))</f>
        <v>N/T</v>
      </c>
      <c r="CK26" s="215" t="str" cm="1">
        <f t="array" aca="1" ref="CK26" ca="1">IF($B26="","",IF(ISBLANK(INDIRECT("R11.Software!D"&amp;SUM(18,38*3,7))),"",INDIRECT("R11.Software!D"&amp;SUM(18,38*3,7))))</f>
        <v>N/T</v>
      </c>
      <c r="CL26" s="215" t="str" cm="1">
        <f t="array" aca="1" ref="CL26" ca="1">IF($B26="","",IF(ISBLANK(INDIRECT("R11.Software!D"&amp;SUM(18,38*4,7))),"",INDIRECT("R11.Software!D"&amp;SUM(18,38*4,7))))</f>
        <v>N/T</v>
      </c>
      <c r="CM26" s="215" t="str" cm="1">
        <f t="array" aca="1" ref="CM26" ca="1">IF($B26="","",IF(ISBLANK(INDIRECT("R11.Software!D"&amp;SUM(18,38*5,7))),"",INDIRECT("R11.Software!D"&amp;SUM(18,38*5,7))))</f>
        <v>N/T</v>
      </c>
      <c r="CN26" s="215" t="str" cm="1">
        <f t="array" aca="1" ref="CN26" ca="1">IF($B26="","",IF(ISBLANK(INDIRECT("R12.ServiciosApoyo!D"&amp;SUM(18,38*0,7))),"",INDIRECT("R12.ServiciosApoyo!D"&amp;SUM(18,38*0,7))))</f>
        <v>N/T</v>
      </c>
      <c r="CO26" s="215" t="str" cm="1">
        <f t="array" aca="1" ref="CO26" ca="1">IF($B26="","",IF(ISBLANK(INDIRECT("R12.ServiciosApoyo!D"&amp;SUM(18,38*1,7))),"",INDIRECT("R12.ServiciosApoyo!D"&amp;SUM(18,38*1,7))))</f>
        <v>N/T</v>
      </c>
      <c r="CP26" s="215" t="str" cm="1">
        <f t="array" aca="1" ref="CP26" ca="1">IF($B26="","",IF(ISBLANK(INDIRECT("R12.ServiciosApoyo!D"&amp;SUM(18,38*2,7))),"",INDIRECT("R12.ServiciosApoyo!D"&amp;SUM(18,38*2,7))))</f>
        <v>N/T</v>
      </c>
      <c r="CQ26" s="215" t="str" cm="1">
        <f t="array" aca="1" ref="CQ26" ca="1">IF($B26="","",IF(ISBLANK(INDIRECT("R12.ServiciosApoyo!D"&amp;SUM(18,38*3,7))),"",INDIRECT("R12.ServiciosApoyo!D"&amp;SUM(18,38*3,7))))</f>
        <v>N/T</v>
      </c>
      <c r="CR26" s="215" t="str" cm="1">
        <f t="array" aca="1" ref="CR26" ca="1">IF($B26="","",IF(ISBLANK(INDIRECT("R12.ServiciosApoyo!D"&amp;SUM(18,38*4,7))),"",INDIRECT("R12.ServiciosApoyo!D"&amp;SUM(18,38*4,7))))</f>
        <v>N/T</v>
      </c>
      <c r="CU26" s="100"/>
      <c r="CV26" s="29"/>
      <c r="CW26" s="29"/>
      <c r="CX26" s="29"/>
    </row>
    <row r="27" spans="2:102" ht="20.25">
      <c r="B27" s="181" t="n" cm="1">
        <f t="array" ref="B27">IFERROR(INDEX('03.Muestra'!$B$8:$B$42,SMALL(IF("Página Web"='03.Muestra'!$D$8:$D$42,ROW('03.Muestra'!$B$8:$B$42)-MIN(ROW('03.Muestra'!$D$8:$D$42))+1,""),ROW()-19)),"")</f>
        <v>1.0</v>
      </c>
      <c r="C27" s="97" t="str" cm="1">
        <f t="array" ref="C27">IFERROR(INDEX('03.Muestra'!$C$8:$C$42,SMALL(IF("Página Web"='03.Muestra'!$D$8:$D$42,ROW('03.Muestra'!$C$8:$C$42)-MIN(ROW('03.Muestra'!$D$8:$D$42))+1,""),ROW()-19)),"")</f>
        <v>Home - PortCastelló</v>
      </c>
      <c r="D27" s="98" t="str" cm="1">
        <f t="array" ref="D27">IFERROR(INDEX('03.Muestra'!$F$8:$F$42,SMALL(IF("Página Web"='03.Muestra'!$D$8:$D$42,ROW('03.Muestra'!$F$8:$F$42)-MIN(ROW('03.Muestra'!$D$8:$D$42))+1,""),ROW()-19)),"")</f>
        <v>https://www.portcastello.com/</v>
      </c>
      <c r="E27" s="215" t="str" cm="1">
        <f t="array" aca="1" ref="E27" ca="1">IF($B27="","",IF(ISBLANK(INDIRECT("R5.Genéricos!D"&amp;SUM(18,38*0,8))),"",INDIRECT("R5.Genéricos!D"&amp;SUM(18,38*0,8))))</f>
        <v>N/T</v>
      </c>
      <c r="F27" s="215" t="str" cm="1">
        <f t="array" aca="1" ref="F27" ca="1">IF($B27="","",IF(ISBLANK(INDIRECT("R5.Genéricos!D"&amp;SUM(18,38*1,8))),"",INDIRECT("R5.Genéricos!D"&amp;SUM(18,38*1,8))))</f>
        <v>N/T</v>
      </c>
      <c r="G27" s="215" t="str" cm="1">
        <f t="array" aca="1" ref="G27" ca="1">IF($B27="","",IF(ISBLANK(INDIRECT("R5.Genéricos!D"&amp;SUM(18,38*2,8))),"",INDIRECT("R5.Genéricos!D"&amp;SUM(18,38*2,8))))</f>
        <v>N/T</v>
      </c>
      <c r="H27" s="215" t="str" cm="1">
        <f t="array" aca="1" ref="H27" ca="1">IF($B27="","",IF(ISBLANK(INDIRECT("R6.Voz!D"&amp;SUM(18,38*0,8))),"",INDIRECT("R6.Voz!D"&amp;SUM(18,38*0,8))))</f>
        <v>N/T</v>
      </c>
      <c r="I27" s="215" t="str" cm="1">
        <f t="array" aca="1" ref="I27" ca="1">IF($B27="","",IF(ISBLANK(INDIRECT("R6.Voz!D"&amp;SUM(18,38*1,8))),"",INDIRECT("R6.Voz!D"&amp;SUM(18,38*1,8))))</f>
        <v>N/T</v>
      </c>
      <c r="J27" s="215" t="str" cm="1">
        <f t="array" aca="1" ref="J27" ca="1">IF($B27="","",IF(ISBLANK(INDIRECT("R6.Voz!D"&amp;SUM(18,38*2,8))),"",INDIRECT("R6.Voz!D"&amp;SUM(18,38*2,8))))</f>
        <v>N/T</v>
      </c>
      <c r="K27" s="215" t="str" cm="1">
        <f t="array" aca="1" ref="K27" ca="1">IF($B27="","",IF(ISBLANK(INDIRECT("R6.Voz!D"&amp;SUM(18,38*3,8))),"",INDIRECT("R6.Voz!D"&amp;SUM(18,38*3,8))))</f>
        <v>N/T</v>
      </c>
      <c r="L27" s="215" t="str" cm="1">
        <f t="array" aca="1" ref="L27" ca="1">IF($B27="","",IF(ISBLANK(INDIRECT("R6.Voz!D"&amp;SUM(18,38*4,8))),"",INDIRECT("R6.Voz!D"&amp;SUM(18,38*4,8))))</f>
        <v>N/T</v>
      </c>
      <c r="M27" s="215" t="str" cm="1">
        <f t="array" aca="1" ref="M27" ca="1">IF($B27="","",IF(ISBLANK(INDIRECT("R6.Voz!D"&amp;SUM(18,38*5,8))),"",INDIRECT("R6.Voz!D"&amp;SUM(18,38*5,8))))</f>
        <v>N/T</v>
      </c>
      <c r="N27" s="215" t="str" cm="1">
        <f t="array" aca="1" ref="N27" ca="1">IF($B27="","",IF(ISBLANK(INDIRECT("R6.Voz!D"&amp;SUM(18,38*6,8))),"",INDIRECT("R6.Voz!D"&amp;SUM(18,38*6,8))))</f>
        <v>N/T</v>
      </c>
      <c r="O27" s="215" t="str" cm="1">
        <f t="array" aca="1" ref="O27" ca="1">IF($B27="","",IF(ISBLANK(INDIRECT("R6.Voz!D"&amp;SUM(18,38*7,8))),"",INDIRECT("R6.Voz!D"&amp;SUM(18,38*7,8))))</f>
        <v>N/T</v>
      </c>
      <c r="P27" s="215" t="str" cm="1">
        <f t="array" aca="1" ref="P27" ca="1">IF($B27="","",IF(ISBLANK(INDIRECT("R6.Voz!D"&amp;SUM(18,38*8,8))),"",INDIRECT("R6.Voz!D"&amp;SUM(18,38*8,8))))</f>
        <v>N/T</v>
      </c>
      <c r="Q27" s="215" t="str" cm="1">
        <f t="array" aca="1" ref="Q27" ca="1">IF($B27="","",IF(ISBLANK(INDIRECT("R6.Voz!D"&amp;SUM(18,38*9,8))),"",INDIRECT("R6.Voz!D"&amp;SUM(18,38*9,8))))</f>
        <v>N/T</v>
      </c>
      <c r="R27" s="215" t="str" cm="1">
        <f t="array" aca="1" ref="R27" ca="1">IF($B27="","",IF(ISBLANK(INDIRECT("R6.Voz!D"&amp;SUM(18,38*10,8))),"",INDIRECT("R6.Voz!D"&amp;SUM(18,38*10,8))))</f>
        <v>N/T</v>
      </c>
      <c r="S27" s="215" t="str" cm="1">
        <f t="array" aca="1" ref="S27" ca="1">IF($B27="","",IF(ISBLANK(INDIRECT("R6.Voz!D"&amp;SUM(18,38*11,8))),"",INDIRECT("R6.Voz!D"&amp;SUM(18,38*11,8))))</f>
        <v>N/T</v>
      </c>
      <c r="T27" s="215" t="str" cm="1">
        <f t="array" aca="1" ref="T27" ca="1">IF($B27="","",IF(ISBLANK(INDIRECT("R6.Voz!D"&amp;SUM(18,38*12,8))),"",INDIRECT("R6.Voz!D"&amp;SUM(18,38*12,8))))</f>
        <v>N/T</v>
      </c>
      <c r="U27" s="215" t="str" cm="1">
        <f t="array" aca="1" ref="U27" ca="1">IF($B27="","",IF(ISBLANK(INDIRECT("R6.Voz!D"&amp;SUM(18,38*13,8))),"",INDIRECT("R6.Voz!D"&amp;SUM(18,38*13,8))))</f>
        <v>N/T</v>
      </c>
      <c r="V27" s="215" t="str" cm="1">
        <f t="array" aca="1" ref="V27" ca="1">IF($B27="","",IF(ISBLANK(INDIRECT("R6.Voz!D"&amp;SUM(18,38*14,8))),"",INDIRECT("R6.Voz!D"&amp;SUM(18,38*14,8))))</f>
        <v>N/T</v>
      </c>
      <c r="W27" s="215" t="str" cm="1">
        <f t="array" aca="1" ref="W27" ca="1">IF($B27="","",IF(ISBLANK(INDIRECT("R6.Voz!D"&amp;SUM(18,38*15,8))),"",INDIRECT("R6.Voz!D"&amp;SUM(18,38*15,8))))</f>
        <v>N/T</v>
      </c>
      <c r="X27" s="215" t="str" cm="1">
        <f t="array" aca="1" ref="X27" ca="1">IF($B27="","",IF(ISBLANK(INDIRECT("R6.Voz!D"&amp;SUM(18,38*16,8))),"",INDIRECT("R6.Voz!D"&amp;SUM(18,38*16,8))))</f>
        <v>N/T</v>
      </c>
      <c r="Y27" s="215" t="str" cm="1">
        <f t="array" aca="1" ref="Y27" ca="1">IF($B27="","",IF(ISBLANK(INDIRECT("R6.Voz!D"&amp;SUM(18,38*17,8))),"",INDIRECT("R6.Voz!D"&amp;SUM(18,38*17,8))))</f>
        <v>N/T</v>
      </c>
      <c r="Z27" s="215" t="str" cm="1">
        <f t="array" aca="1" ref="Z27" ca="1">IF($B27="","",IF(ISBLANK(INDIRECT("R6.Voz!D"&amp;SUM(18,38*18,8))),"",INDIRECT("R6.Voz!D"&amp;SUM(18,38*18,8))))</f>
        <v>N/T</v>
      </c>
      <c r="AA27" s="215" t="str" cm="1">
        <f t="array" aca="1" ref="AA27" ca="1">IF($B27="","",IF(ISBLANK(INDIRECT("R7.Video!D"&amp;SUM(18,38*0,8))),"",INDIRECT("R7.Video!D"&amp;SUM(18,38*0,8))))</f>
        <v>N/T</v>
      </c>
      <c r="AB27" s="215" t="str" cm="1">
        <f t="array" aca="1" ref="AB27" ca="1">IF($B27="","",IF(ISBLANK(INDIRECT("R7.Video!D"&amp;SUM(18,38*1,8))),"",INDIRECT("R7.Video!D"&amp;SUM(18,38*1,8))))</f>
        <v>N/T</v>
      </c>
      <c r="AC27" s="215" t="str" cm="1">
        <f t="array" aca="1" ref="AC27" ca="1">IF($B27="","",IF(ISBLANK(INDIRECT("R7.Video!D"&amp;SUM(18,38*2,8))),"",INDIRECT("R7.Video!D"&amp;SUM(18,38*2,8))))</f>
        <v>N/T</v>
      </c>
      <c r="AD27" s="215" t="str" cm="1">
        <f t="array" aca="1" ref="AD27" ca="1">IF($B27="","",IF(ISBLANK(INDIRECT("R7.Video!D"&amp;SUM(18,38*3,8))),"",INDIRECT("R7.Video!D"&amp;SUM(18,38*3,8))))</f>
        <v>N/T</v>
      </c>
      <c r="AE27" s="215" t="str" cm="1">
        <f t="array" aca="1" ref="AE27" ca="1">IF($B27="","",IF(ISBLANK(INDIRECT("R7.Video!D"&amp;SUM(18,38*4,8))),"",INDIRECT("R7.Video!D"&amp;SUM(18,38*4,8))))</f>
        <v>N/T</v>
      </c>
      <c r="AF27" s="215" t="str" cm="1">
        <f t="array" aca="1" ref="AF27" ca="1">IF($B27="","",IF(ISBLANK(INDIRECT("R7.Video!D"&amp;SUM(18,38*5,8))),"",INDIRECT("R7.Video!D"&amp;SUM(18,38*5,8))))</f>
        <v>N/T</v>
      </c>
      <c r="AG27" s="215" t="str" cm="1">
        <f t="array" aca="1" ref="AG27" ca="1">IF($B27="","",IF(ISBLANK(INDIRECT("R7.Video!D"&amp;SUM(18,38*6,8))),"",INDIRECT("R7.Video!D"&amp;SUM(18,38*6,8))))</f>
        <v>N/T</v>
      </c>
      <c r="AH27" s="215" t="str" cm="1">
        <f t="array" aca="1" ref="AH27" ca="1">IF($B27="","",IF(ISBLANK(INDIRECT("R7.Video!D"&amp;SUM(18,38*7,8))),"",INDIRECT("R7.Video!D"&amp;SUM(18,38*7,8))))</f>
        <v>N/T</v>
      </c>
      <c r="AI27" s="215" t="str" cm="1">
        <f t="array" aca="1" ref="AI27" ca="1">IF($B27="","",IF(ISBLANK(INDIRECT("R7.Video!D"&amp;SUM(18,38*8,8))),"",INDIRECT("R7.Video!D"&amp;SUM(18,38*8,8))))</f>
        <v>N/T</v>
      </c>
      <c r="AJ27" s="215" t="str" cm="1">
        <f t="array" aca="1" ref="AJ27" ca="1">IF($B27="","",IF(ISBLANK(INDIRECT("R9.Web!D"&amp;SUM(18,38*0,8))),"",INDIRECT("R9.Web!D"&amp;SUM(18,38*0,8))))</f>
        <v>N/D</v>
      </c>
      <c r="AK27" s="215" t="str" cm="1">
        <f t="array" aca="1" ref="AK27" ca="1">IF($B27="","",IF(ISBLANK(INDIRECT("R9.Web!D"&amp;SUM(18,38*1,8))),"",INDIRECT("R9.Web!D"&amp;SUM(18,38*1,8))))</f>
        <v>N/T</v>
      </c>
      <c r="AL27" s="215" t="str" cm="1">
        <f t="array" aca="1" ref="AL27" ca="1">IF($B27="","",IF(ISBLANK(INDIRECT("R9.Web!D"&amp;SUM(18,38*2,8))),"",INDIRECT("R9.Web!D"&amp;SUM(18,38*2,8))))</f>
        <v>N/T</v>
      </c>
      <c r="AM27" s="215" t="str" cm="1">
        <f t="array" aca="1" ref="AM27" ca="1">IF($B27="","",IF(ISBLANK(INDIRECT("R9.Web!D"&amp;SUM(18,38*3,8))),"",INDIRECT("R9.Web!D"&amp;SUM(18,38*3,8))))</f>
        <v>N/T</v>
      </c>
      <c r="AN27" s="215" t="str" cm="1">
        <f t="array" aca="1" ref="AN27" ca="1">IF($B27="","",IF(ISBLANK(INDIRECT("R9.Web!D"&amp;SUM(18,38*4,8))),"",INDIRECT("R9.Web!D"&amp;SUM(18,38*4,8))))</f>
        <v>N/T</v>
      </c>
      <c r="AO27" s="215" t="str" cm="1">
        <f t="array" aca="1" ref="AO27" ca="1">IF($B27="","",IF(ISBLANK(INDIRECT("R9.Web!D"&amp;SUM(18,38*5,8))),"",INDIRECT("R9.Web!D"&amp;SUM(18,38*5,8))))</f>
        <v>N/D</v>
      </c>
      <c r="AP27" s="215" t="str" cm="1">
        <f t="array" aca="1" ref="AP27" ca="1">IF($B27="","",IF(ISBLANK(INDIRECT("R9.Web!D"&amp;SUM(18,38*6,8))),"",INDIRECT("R9.Web!D"&amp;SUM(18,38*6,8))))</f>
        <v>N/T</v>
      </c>
      <c r="AQ27" s="215" t="str" cm="1">
        <f t="array" aca="1" ref="AQ27" ca="1">IF($B27="","",IF(ISBLANK(INDIRECT("R9.Web!D"&amp;SUM(18,38*7,8))),"",INDIRECT("R9.Web!D"&amp;SUM(18,38*7,8))))</f>
        <v>N/T</v>
      </c>
      <c r="AR27" s="215" t="str" cm="1">
        <f t="array" aca="1" ref="AR27" ca="1">IF($B27="","",IF(ISBLANK(INDIRECT("R9.Web!D"&amp;SUM(18,38*8,8))),"",INDIRECT("R9.Web!D"&amp;SUM(18,38*8,8))))</f>
        <v>N/D</v>
      </c>
      <c r="AS27" s="215" t="str" cm="1">
        <f t="array" aca="1" ref="AS27" ca="1">IF($B27="","",IF(ISBLANK(INDIRECT("R9.Web!D"&amp;SUM(18,38*9,8))),"",INDIRECT("R9.Web!D"&amp;SUM(18,38*9,8))))</f>
        <v>N/D</v>
      </c>
      <c r="AT27" s="215" t="str" cm="1">
        <f t="array" aca="1" ref="AT27" ca="1">IF($B27="","",IF(ISBLANK(INDIRECT("R9.Web!D"&amp;SUM(18,38*10,8))),"",INDIRECT("R9.Web!D"&amp;SUM(18,38*10,8))))</f>
        <v>N/T</v>
      </c>
      <c r="AU27" s="215" t="str" cm="1">
        <f t="array" aca="1" ref="AU27" ca="1">IF($B27="","",IF(ISBLANK(INDIRECT("R9.Web!D"&amp;SUM(18,38*11,8))),"",INDIRECT("R9.Web!D"&amp;SUM(18,38*11,8))))</f>
        <v>N/T</v>
      </c>
      <c r="AV27" s="215" t="str" cm="1">
        <f t="array" aca="1" ref="AV27" ca="1">IF($B27="","",IF(ISBLANK(INDIRECT("R9.Web!D"&amp;SUM(18,38*12,8))),"",INDIRECT("R9.Web!D"&amp;SUM(18,38*12,8))))</f>
        <v>N/D</v>
      </c>
      <c r="AW27" s="215" t="str" cm="1">
        <f t="array" aca="1" ref="AW27" ca="1">IF($B27="","",IF(ISBLANK(INDIRECT("R9.Web!D"&amp;SUM(18,38*13,8))),"",INDIRECT("R9.Web!D"&amp;SUM(18,38*13,8))))</f>
        <v>N/T</v>
      </c>
      <c r="AX27" s="215" t="str" cm="1">
        <f t="array" aca="1" ref="AX27" ca="1">IF($B27="","",IF(ISBLANK(INDIRECT("R9.Web!D"&amp;SUM(18,38*14,8))),"",INDIRECT("R9.Web!D"&amp;SUM(18,38*14,8))))</f>
        <v>N/T</v>
      </c>
      <c r="AY27" s="215" t="str" cm="1">
        <f t="array" aca="1" ref="AY27" ca="1">IF($B27="","",IF(ISBLANK(INDIRECT("R9.Web!D"&amp;SUM(18,38*15,8))),"",INDIRECT("R9.Web!D"&amp;SUM(18,38*15,8))))</f>
        <v>N/D</v>
      </c>
      <c r="AZ27" s="215" t="str" cm="1">
        <f t="array" aca="1" ref="AZ27" ca="1">IF($B27="","",IF(ISBLANK(INDIRECT("R9.Web!D"&amp;SUM(18,38*16,8))),"",INDIRECT("R9.Web!D"&amp;SUM(18,38*16,8))))</f>
        <v>N/T</v>
      </c>
      <c r="BA27" s="215" t="str" cm="1">
        <f t="array" aca="1" ref="BA27" ca="1">IF($B27="","",IF(ISBLANK(INDIRECT("R9.Web!D"&amp;SUM(18,38*17,8))),"",INDIRECT("R9.Web!D"&amp;SUM(18,38*17,8))))</f>
        <v>N/D</v>
      </c>
      <c r="BB27" s="215" t="str" cm="1">
        <f t="array" aca="1" ref="BB27" ca="1">IF($B27="","",IF(ISBLANK(INDIRECT("R9.Web!D"&amp;SUM(18,38*18,8))),"",INDIRECT("R9.Web!D"&amp;SUM(18,38*18,8))))</f>
        <v>N/T</v>
      </c>
      <c r="BC27" s="215" t="str" cm="1">
        <f t="array" aca="1" ref="BC27" ca="1">IF($B27="","",IF(ISBLANK(INDIRECT("R9.Web!D"&amp;SUM(18,38*19,8))),"",INDIRECT("R9.Web!D"&amp;SUM(18,38*19,8))))</f>
        <v>N/D</v>
      </c>
      <c r="BD27" s="215" t="str" cm="1">
        <f t="array" aca="1" ref="BD27" ca="1">IF($B27="","",IF(ISBLANK(INDIRECT("R9.Web!D"&amp;SUM(18,38*20,8))),"",INDIRECT("R9.Web!D"&amp;SUM(18,38*20,8))))</f>
        <v>N/T</v>
      </c>
      <c r="BE27" s="215" t="str" cm="1">
        <f t="array" aca="1" ref="BE27" ca="1">IF($B27="","",IF(ISBLANK(INDIRECT("R9.Web!D"&amp;SUM(18,38*21,8))),"",INDIRECT("R9.Web!D"&amp;SUM(18,38*21,8))))</f>
        <v>N/T</v>
      </c>
      <c r="BF27" s="215" t="str" cm="1">
        <f t="array" aca="1" ref="BF27" ca="1">IF($B27="","",IF(ISBLANK(INDIRECT("R9.Web!D"&amp;SUM(18,38*22,8))),"",INDIRECT("R9.Web!D"&amp;SUM(18,38*22,8))))</f>
        <v>N/D</v>
      </c>
      <c r="BG27" s="215" t="str" cm="1">
        <f t="array" aca="1" ref="BG27" ca="1">IF($B27="","",IF(ISBLANK(INDIRECT("R9.Web!D"&amp;SUM(18,38*23,8))),"",INDIRECT("R9.Web!D"&amp;SUM(18,38*23,8))))</f>
        <v>N/D</v>
      </c>
      <c r="BH27" s="215" t="str" cm="1">
        <f t="array" aca="1" ref="BH27" ca="1">IF($B27="","",IF(ISBLANK(INDIRECT("R9.Web!D"&amp;SUM(18,38*24,8))),"",INDIRECT("R9.Web!D"&amp;SUM(18,38*24,8))))</f>
        <v>N/T</v>
      </c>
      <c r="BI27" s="215" t="str" cm="1">
        <f t="array" aca="1" ref="BI27" ca="1">IF($B27="","",IF(ISBLANK(INDIRECT("R9.Web!D"&amp;SUM(18,38*25,8))),"",INDIRECT("R9.Web!D"&amp;SUM(18,38*25,8))))</f>
        <v>N/D</v>
      </c>
      <c r="BJ27" s="215" t="str" cm="1">
        <f t="array" aca="1" ref="BJ27" ca="1">IF($B27="","",IF(ISBLANK(INDIRECT("R9.Web!D"&amp;SUM(18,38*26,8))),"",INDIRECT("R9.Web!D"&amp;SUM(18,38*26,8))))</f>
        <v>N/D</v>
      </c>
      <c r="BK27" s="215" t="str" cm="1">
        <f t="array" aca="1" ref="BK27" ca="1">IF($B27="","",IF(ISBLANK(INDIRECT("R9.Web!D"&amp;SUM(18,38*27,8))),"",INDIRECT("R9.Web!D"&amp;SUM(18,38*27,8))))</f>
        <v>N/D</v>
      </c>
      <c r="BL27" s="215" t="str" cm="1">
        <f t="array" aca="1" ref="BL27" ca="1">IF($B27="","",IF(ISBLANK(INDIRECT("R9.Web!D"&amp;SUM(18,38*28,8))),"",INDIRECT("R9.Web!D"&amp;SUM(18,38*28,8))))</f>
        <v>N/D</v>
      </c>
      <c r="BM27" s="215" t="str" cm="1">
        <f t="array" aca="1" ref="BM27" ca="1">IF($B27="","",IF(ISBLANK(INDIRECT("R9.Web!D"&amp;SUM(18,38*29,8))),"",INDIRECT("R9.Web!D"&amp;SUM(18,38*29,8))))</f>
        <v>N/D</v>
      </c>
      <c r="BN27" s="215" t="str" cm="1">
        <f t="array" aca="1" ref="BN27" ca="1">IF($B27="","",IF(ISBLANK(INDIRECT("R9.Web!D"&amp;SUM(18,38*30,8))),"",INDIRECT("R9.Web!D"&amp;SUM(18,38*30,8))))</f>
        <v>N/T</v>
      </c>
      <c r="BO27" s="215" t="str" cm="1">
        <f t="array" aca="1" ref="BO27" ca="1">IF($B27="","",IF(ISBLANK(INDIRECT("R9.Web!D"&amp;SUM(18,38*31,8))),"",INDIRECT("R9.Web!D"&amp;SUM(18,38*31,8))))</f>
        <v>Falla</v>
      </c>
      <c r="BP27" s="215" t="str" cm="1">
        <f t="array" aca="1" ref="BP27" ca="1">IF($B27="","",IF(ISBLANK(INDIRECT("R9.Web!D"&amp;SUM(18,38*32,8))),"",INDIRECT("R9.Web!D"&amp;SUM(18,38*32,8))))</f>
        <v>N/T</v>
      </c>
      <c r="BQ27" s="215" t="str" cm="1">
        <f t="array" aca="1" ref="BQ27" ca="1">IF($B27="","",IF(ISBLANK(INDIRECT("R9.Web!D"&amp;SUM(18,38*33,8))),"",INDIRECT("R9.Web!D"&amp;SUM(18,38*33,8))))</f>
        <v>N/T</v>
      </c>
      <c r="BR27" s="215" t="str" cm="1">
        <f t="array" aca="1" ref="BR27" ca="1">IF($B27="","",IF(ISBLANK(INDIRECT("R9.Web!D"&amp;SUM(18,38*34,8))),"",INDIRECT("R9.Web!D"&amp;SUM(18,38*34,8))))</f>
        <v>N/D</v>
      </c>
      <c r="BS27" s="215" t="str" cm="1">
        <f t="array" aca="1" ref="BS27" ca="1">IF($B27="","",IF(ISBLANK(INDIRECT("R9.Web!D"&amp;SUM(18,38*35,8))),"",INDIRECT("R9.Web!D"&amp;SUM(18,38*35,8))))</f>
        <v>N/T</v>
      </c>
      <c r="BT27" s="215" t="str" cm="1">
        <f t="array" aca="1" ref="BT27" ca="1">IF($B27="","",IF(ISBLANK(INDIRECT("R9.Web!D"&amp;SUM(18,38*36,8))),"",INDIRECT("R9.Web!D"&amp;SUM(18,38*36,8))))</f>
        <v>N/D</v>
      </c>
      <c r="BU27" s="215" t="str" cm="1">
        <f t="array" aca="1" ref="BU27" ca="1">IF($B27="","",IF(ISBLANK(INDIRECT("R9.Web!D"&amp;SUM(18,38*37,8))),"",INDIRECT("R9.Web!D"&amp;SUM(18,38*37,8))))</f>
        <v>N/D</v>
      </c>
      <c r="BV27" s="215" t="str" cm="1">
        <f t="array" aca="1" ref="BV27" ca="1">IF($B27="","",IF(ISBLANK(INDIRECT("R9.Web!D"&amp;SUM(18,38*38,8))),"",INDIRECT("R9.Web!D"&amp;SUM(18,38*38,8))))</f>
        <v>N/D</v>
      </c>
      <c r="BW27" s="215" t="str" cm="1">
        <f t="array" aca="1" ref="BW27" ca="1">IF($B27="","",IF(ISBLANK(INDIRECT("R9.Web!D"&amp;SUM(18,38*39,8))),"",INDIRECT("R9.Web!D"&amp;SUM(18,38*39,8))))</f>
        <v>N/D</v>
      </c>
      <c r="BX27" s="215" t="str" cm="1">
        <f t="array" aca="1" ref="BX27" ca="1">IF($B27="","",IF(ISBLANK(INDIRECT("R9.Web!D"&amp;SUM(18,38*40,8))),"",INDIRECT("R9.Web!D"&amp;SUM(18,38*40,8))))</f>
        <v>N/D</v>
      </c>
      <c r="BY27" s="215" t="str" cm="1">
        <f t="array" aca="1" ref="BY27" ca="1">IF($B27="","",IF(ISBLANK(INDIRECT("R9.Web!D"&amp;SUM(18,38*41,8))),"",INDIRECT("R9.Web!D"&amp;SUM(18,38*41,8))))</f>
        <v>N/T</v>
      </c>
      <c r="BZ27" s="215" t="str" cm="1">
        <f t="array" aca="1" ref="BZ27" ca="1">IF($B27="","",IF(ISBLANK(INDIRECT("R9.Web!D"&amp;SUM(18,38*42,8))),"",INDIRECT("R9.Web!D"&amp;SUM(18,38*42,8))))</f>
        <v>N/T</v>
      </c>
      <c r="CA27" s="215" t="str" cm="1">
        <f t="array" aca="1" ref="CA27" ca="1">IF($B27="","",IF(ISBLANK(INDIRECT("R9.Web!D"&amp;SUM(18,38*43,8))),"",INDIRECT("R9.Web!D"&amp;SUM(18,38*43,8))))</f>
        <v>N/D</v>
      </c>
      <c r="CB27" s="215" t="str" cm="1">
        <f t="array" aca="1" ref="CB27" ca="1">IF($B27="","",IF(ISBLANK(INDIRECT("R9.Web!D"&amp;SUM(18,38*44,8))),"",INDIRECT("R9.Web!D"&amp;SUM(18,38*44,8))))</f>
        <v>N/T</v>
      </c>
      <c r="CC27" s="215" t="str" cm="1">
        <f t="array" aca="1" ref="CC27" ca="1">IF($B27="","",IF(ISBLANK(INDIRECT("R9.Web!D"&amp;SUM(18,38*45,8))),"",INDIRECT("R9.Web!D"&amp;SUM(18,38*45,8))))</f>
        <v>N/T</v>
      </c>
      <c r="CD27" s="215" t="str" cm="1">
        <f t="array" aca="1" ref="CD27" ca="1">IF($B27="","",IF(ISBLANK(INDIRECT("R9.Web!D"&amp;SUM(18,38*46,8))),"",INDIRECT("R9.Web!D"&amp;SUM(18,38*46,8))))</f>
        <v>N/T</v>
      </c>
      <c r="CE27" s="215" t="str" cm="1">
        <f t="array" aca="1" ref="CE27" ca="1">IF($B27="","",IF(ISBLANK(INDIRECT("R9.Web!D"&amp;SUM(18,38*47,8))),"",INDIRECT("R9.Web!D"&amp;SUM(18,38*47,8))))</f>
        <v>N/D</v>
      </c>
      <c r="CF27" s="215" t="str" cm="1">
        <f t="array" aca="1" ref="CF27" ca="1">IF($B27="","",IF(ISBLANK(INDIRECT("R9.Web!D"&amp;SUM(18,38*48,8))),"",INDIRECT("R9.Web!D"&amp;SUM(18,38*48,8))))</f>
        <v>N/T</v>
      </c>
      <c r="CG27" s="215" t="str" cm="1">
        <f t="array" aca="1" ref="CG27" ca="1">IF($B27="","",IF(ISBLANK(INDIRECT("R9.Web!D"&amp;SUM(18,38*49,8))),"",INDIRECT("R9.Web!D"&amp;SUM(18,38*49,8))))</f>
        <v>N/T</v>
      </c>
      <c r="CH27" s="215" t="str" cm="1">
        <f t="array" aca="1" ref="CH27" ca="1">IF($B27="","",IF(ISBLANK(INDIRECT("R11.Software!D"&amp;SUM(18,38*0,8))),"",INDIRECT("R11.Software!D"&amp;SUM(18,38*0,8))))</f>
        <v>N/T</v>
      </c>
      <c r="CI27" s="215" t="str" cm="1">
        <f t="array" aca="1" ref="CI27" ca="1">IF($B27="","",IF(ISBLANK(INDIRECT("R11.Software!D"&amp;SUM(18,38*1,8))),"",INDIRECT("R11.Software!D"&amp;SUM(18,38*1,8))))</f>
        <v>N/T</v>
      </c>
      <c r="CJ27" s="215" t="str" cm="1">
        <f t="array" aca="1" ref="CJ27" ca="1">IF($B27="","",IF(ISBLANK(INDIRECT("R11.Software!D"&amp;SUM(18,38*2,8))),"",INDIRECT("R11.Software!D"&amp;SUM(18,38*2,8))))</f>
        <v>N/T</v>
      </c>
      <c r="CK27" s="215" t="str" cm="1">
        <f t="array" aca="1" ref="CK27" ca="1">IF($B27="","",IF(ISBLANK(INDIRECT("R11.Software!D"&amp;SUM(18,38*3,8))),"",INDIRECT("R11.Software!D"&amp;SUM(18,38*3,8))))</f>
        <v>N/T</v>
      </c>
      <c r="CL27" s="215" t="str" cm="1">
        <f t="array" aca="1" ref="CL27" ca="1">IF($B27="","",IF(ISBLANK(INDIRECT("R11.Software!D"&amp;SUM(18,38*4,8))),"",INDIRECT("R11.Software!D"&amp;SUM(18,38*4,8))))</f>
        <v>N/T</v>
      </c>
      <c r="CM27" s="215" t="str" cm="1">
        <f t="array" aca="1" ref="CM27" ca="1">IF($B27="","",IF(ISBLANK(INDIRECT("R11.Software!D"&amp;SUM(18,38*5,8))),"",INDIRECT("R11.Software!D"&amp;SUM(18,38*5,8))))</f>
        <v>N/T</v>
      </c>
      <c r="CN27" s="215" t="str" cm="1">
        <f t="array" aca="1" ref="CN27" ca="1">IF($B27="","",IF(ISBLANK(INDIRECT("R12.ServiciosApoyo!D"&amp;SUM(18,38*0,8))),"",INDIRECT("R12.ServiciosApoyo!D"&amp;SUM(18,38*0,8))))</f>
        <v>N/T</v>
      </c>
      <c r="CO27" s="215" t="str" cm="1">
        <f t="array" aca="1" ref="CO27" ca="1">IF($B27="","",IF(ISBLANK(INDIRECT("R12.ServiciosApoyo!D"&amp;SUM(18,38*1,8))),"",INDIRECT("R12.ServiciosApoyo!D"&amp;SUM(18,38*1,8))))</f>
        <v>N/T</v>
      </c>
      <c r="CP27" s="215" t="str" cm="1">
        <f t="array" aca="1" ref="CP27" ca="1">IF($B27="","",IF(ISBLANK(INDIRECT("R12.ServiciosApoyo!D"&amp;SUM(18,38*2,8))),"",INDIRECT("R12.ServiciosApoyo!D"&amp;SUM(18,38*2,8))))</f>
        <v>N/T</v>
      </c>
      <c r="CQ27" s="215" t="str" cm="1">
        <f t="array" aca="1" ref="CQ27" ca="1">IF($B27="","",IF(ISBLANK(INDIRECT("R12.ServiciosApoyo!D"&amp;SUM(18,38*3,8))),"",INDIRECT("R12.ServiciosApoyo!D"&amp;SUM(18,38*3,8))))</f>
        <v>N/T</v>
      </c>
      <c r="CR27" s="215" t="str" cm="1">
        <f t="array" aca="1" ref="CR27" ca="1">IF($B27="","",IF(ISBLANK(INDIRECT("R12.ServiciosApoyo!D"&amp;SUM(18,38*4,8))),"",INDIRECT("R12.ServiciosApoyo!D"&amp;SUM(18,38*4,8))))</f>
        <v>N/T</v>
      </c>
      <c r="CU27" s="100"/>
      <c r="CV27" s="29"/>
      <c r="CW27" s="29"/>
      <c r="CX27" s="29"/>
    </row>
    <row r="28" spans="2:102" ht="20.25">
      <c r="B28" s="181" t="n" cm="1">
        <f t="array" ref="B28">IFERROR(INDEX('03.Muestra'!$B$8:$B$42,SMALL(IF("Página Web"='03.Muestra'!$D$8:$D$42,ROW('03.Muestra'!$B$8:$B$42)-MIN(ROW('03.Muestra'!$D$8:$D$42))+1,""),ROW()-19)),"")</f>
        <v>1.0</v>
      </c>
      <c r="C28" s="97" t="str" cm="1">
        <f t="array" ref="C28">IFERROR(INDEX('03.Muestra'!$C$8:$C$42,SMALL(IF("Página Web"='03.Muestra'!$D$8:$D$42,ROW('03.Muestra'!$C$8:$C$42)-MIN(ROW('03.Muestra'!$D$8:$D$42))+1,""),ROW()-19)),"")</f>
        <v>Home - PortCastelló</v>
      </c>
      <c r="D28" s="98" t="str" cm="1">
        <f t="array" ref="D28">IFERROR(INDEX('03.Muestra'!$F$8:$F$42,SMALL(IF("Página Web"='03.Muestra'!$D$8:$D$42,ROW('03.Muestra'!$F$8:$F$42)-MIN(ROW('03.Muestra'!$D$8:$D$42))+1,""),ROW()-19)),"")</f>
        <v>https://www.portcastello.com/</v>
      </c>
      <c r="E28" s="215" t="str" cm="1">
        <f t="array" aca="1" ref="E28" ca="1">IF($B28="","",IF(ISBLANK(INDIRECT("R5.Genéricos!D"&amp;SUM(18,38*0,9))),"",INDIRECT("R5.Genéricos!D"&amp;SUM(18,38*0,9))))</f>
        <v>N/T</v>
      </c>
      <c r="F28" s="215" t="str" cm="1">
        <f t="array" aca="1" ref="F28" ca="1">IF($B28="","",IF(ISBLANK(INDIRECT("R5.Genéricos!D"&amp;SUM(18,38*1,9))),"",INDIRECT("R5.Genéricos!D"&amp;SUM(18,38*1,9))))</f>
        <v>N/T</v>
      </c>
      <c r="G28" s="215" t="str" cm="1">
        <f t="array" aca="1" ref="G28" ca="1">IF($B28="","",IF(ISBLANK(INDIRECT("R5.Genéricos!D"&amp;SUM(18,38*2,9))),"",INDIRECT("R5.Genéricos!D"&amp;SUM(18,38*2,9))))</f>
        <v>N/T</v>
      </c>
      <c r="H28" s="215" t="str" cm="1">
        <f t="array" aca="1" ref="H28" ca="1">IF($B28="","",IF(ISBLANK(INDIRECT("R6.Voz!D"&amp;SUM(18,38*0,9))),"",INDIRECT("R6.Voz!D"&amp;SUM(18,38*0,9))))</f>
        <v>N/T</v>
      </c>
      <c r="I28" s="215" t="str" cm="1">
        <f t="array" aca="1" ref="I28" ca="1">IF($B28="","",IF(ISBLANK(INDIRECT("R6.Voz!D"&amp;SUM(18,38*1,9))),"",INDIRECT("R6.Voz!D"&amp;SUM(18,38*1,9))))</f>
        <v>N/T</v>
      </c>
      <c r="J28" s="215" t="str" cm="1">
        <f t="array" aca="1" ref="J28" ca="1">IF($B28="","",IF(ISBLANK(INDIRECT("R6.Voz!D"&amp;SUM(18,38*2,9))),"",INDIRECT("R6.Voz!D"&amp;SUM(18,38*2,9))))</f>
        <v>N/T</v>
      </c>
      <c r="K28" s="215" t="str" cm="1">
        <f t="array" aca="1" ref="K28" ca="1">IF($B28="","",IF(ISBLANK(INDIRECT("R6.Voz!D"&amp;SUM(18,38*3,9))),"",INDIRECT("R6.Voz!D"&amp;SUM(18,38*3,9))))</f>
        <v>N/T</v>
      </c>
      <c r="L28" s="215" t="str" cm="1">
        <f t="array" aca="1" ref="L28" ca="1">IF($B28="","",IF(ISBLANK(INDIRECT("R6.Voz!D"&amp;SUM(18,38*4,9))),"",INDIRECT("R6.Voz!D"&amp;SUM(18,38*4,9))))</f>
        <v>N/T</v>
      </c>
      <c r="M28" s="215" t="str" cm="1">
        <f t="array" aca="1" ref="M28" ca="1">IF($B28="","",IF(ISBLANK(INDIRECT("R6.Voz!D"&amp;SUM(18,38*5,9))),"",INDIRECT("R6.Voz!D"&amp;SUM(18,38*5,9))))</f>
        <v>N/T</v>
      </c>
      <c r="N28" s="215" t="str" cm="1">
        <f t="array" aca="1" ref="N28" ca="1">IF($B28="","",IF(ISBLANK(INDIRECT("R6.Voz!D"&amp;SUM(18,38*6,9))),"",INDIRECT("R6.Voz!D"&amp;SUM(18,38*6,9))))</f>
        <v>N/T</v>
      </c>
      <c r="O28" s="215" t="str" cm="1">
        <f t="array" aca="1" ref="O28" ca="1">IF($B28="","",IF(ISBLANK(INDIRECT("R6.Voz!D"&amp;SUM(18,38*7,9))),"",INDIRECT("R6.Voz!D"&amp;SUM(18,38*7,9))))</f>
        <v>N/T</v>
      </c>
      <c r="P28" s="215" t="str" cm="1">
        <f t="array" aca="1" ref="P28" ca="1">IF($B28="","",IF(ISBLANK(INDIRECT("R6.Voz!D"&amp;SUM(18,38*8,9))),"",INDIRECT("R6.Voz!D"&amp;SUM(18,38*8,9))))</f>
        <v>N/T</v>
      </c>
      <c r="Q28" s="215" t="str" cm="1">
        <f t="array" aca="1" ref="Q28" ca="1">IF($B28="","",IF(ISBLANK(INDIRECT("R6.Voz!D"&amp;SUM(18,38*9,9))),"",INDIRECT("R6.Voz!D"&amp;SUM(18,38*9,9))))</f>
        <v>N/T</v>
      </c>
      <c r="R28" s="215" t="str" cm="1">
        <f t="array" aca="1" ref="R28" ca="1">IF($B28="","",IF(ISBLANK(INDIRECT("R6.Voz!D"&amp;SUM(18,38*10,9))),"",INDIRECT("R6.Voz!D"&amp;SUM(18,38*10,9))))</f>
        <v>N/T</v>
      </c>
      <c r="S28" s="215" t="str" cm="1">
        <f t="array" aca="1" ref="S28" ca="1">IF($B28="","",IF(ISBLANK(INDIRECT("R6.Voz!D"&amp;SUM(18,38*11,9))),"",INDIRECT("R6.Voz!D"&amp;SUM(18,38*11,9))))</f>
        <v>N/T</v>
      </c>
      <c r="T28" s="215" t="str" cm="1">
        <f t="array" aca="1" ref="T28" ca="1">IF($B28="","",IF(ISBLANK(INDIRECT("R6.Voz!D"&amp;SUM(18,38*12,9))),"",INDIRECT("R6.Voz!D"&amp;SUM(18,38*12,9))))</f>
        <v>N/T</v>
      </c>
      <c r="U28" s="215" t="str" cm="1">
        <f t="array" aca="1" ref="U28" ca="1">IF($B28="","",IF(ISBLANK(INDIRECT("R6.Voz!D"&amp;SUM(18,38*13,9))),"",INDIRECT("R6.Voz!D"&amp;SUM(18,38*13,9))))</f>
        <v>N/T</v>
      </c>
      <c r="V28" s="215" t="str" cm="1">
        <f t="array" aca="1" ref="V28" ca="1">IF($B28="","",IF(ISBLANK(INDIRECT("R6.Voz!D"&amp;SUM(18,38*14,9))),"",INDIRECT("R6.Voz!D"&amp;SUM(18,38*14,9))))</f>
        <v>N/T</v>
      </c>
      <c r="W28" s="215" t="str" cm="1">
        <f t="array" aca="1" ref="W28" ca="1">IF($B28="","",IF(ISBLANK(INDIRECT("R6.Voz!D"&amp;SUM(18,38*15,9))),"",INDIRECT("R6.Voz!D"&amp;SUM(18,38*15,9))))</f>
        <v>N/T</v>
      </c>
      <c r="X28" s="215" t="str" cm="1">
        <f t="array" aca="1" ref="X28" ca="1">IF($B28="","",IF(ISBLANK(INDIRECT("R6.Voz!D"&amp;SUM(18,38*16,9))),"",INDIRECT("R6.Voz!D"&amp;SUM(18,38*16,9))))</f>
        <v>N/T</v>
      </c>
      <c r="Y28" s="215" t="str" cm="1">
        <f t="array" aca="1" ref="Y28" ca="1">IF($B28="","",IF(ISBLANK(INDIRECT("R6.Voz!D"&amp;SUM(18,38*17,9))),"",INDIRECT("R6.Voz!D"&amp;SUM(18,38*17,9))))</f>
        <v>N/T</v>
      </c>
      <c r="Z28" s="215" t="str" cm="1">
        <f t="array" aca="1" ref="Z28" ca="1">IF($B28="","",IF(ISBLANK(INDIRECT("R6.Voz!D"&amp;SUM(18,38*18,9))),"",INDIRECT("R6.Voz!D"&amp;SUM(18,38*18,9))))</f>
        <v>N/T</v>
      </c>
      <c r="AA28" s="215" t="str" cm="1">
        <f t="array" aca="1" ref="AA28" ca="1">IF($B28="","",IF(ISBLANK(INDIRECT("R7.Video!D"&amp;SUM(18,38*0,9))),"",INDIRECT("R7.Video!D"&amp;SUM(18,38*0,9))))</f>
        <v>N/T</v>
      </c>
      <c r="AB28" s="215" t="str" cm="1">
        <f t="array" aca="1" ref="AB28" ca="1">IF($B28="","",IF(ISBLANK(INDIRECT("R7.Video!D"&amp;SUM(18,38*1,9))),"",INDIRECT("R7.Video!D"&amp;SUM(18,38*1,9))))</f>
        <v>N/T</v>
      </c>
      <c r="AC28" s="215" t="str" cm="1">
        <f t="array" aca="1" ref="AC28" ca="1">IF($B28="","",IF(ISBLANK(INDIRECT("R7.Video!D"&amp;SUM(18,38*2,9))),"",INDIRECT("R7.Video!D"&amp;SUM(18,38*2,9))))</f>
        <v>N/T</v>
      </c>
      <c r="AD28" s="215" t="str" cm="1">
        <f t="array" aca="1" ref="AD28" ca="1">IF($B28="","",IF(ISBLANK(INDIRECT("R7.Video!D"&amp;SUM(18,38*3,9))),"",INDIRECT("R7.Video!D"&amp;SUM(18,38*3,9))))</f>
        <v>N/T</v>
      </c>
      <c r="AE28" s="215" t="str" cm="1">
        <f t="array" aca="1" ref="AE28" ca="1">IF($B28="","",IF(ISBLANK(INDIRECT("R7.Video!D"&amp;SUM(18,38*4,9))),"",INDIRECT("R7.Video!D"&amp;SUM(18,38*4,9))))</f>
        <v>N/T</v>
      </c>
      <c r="AF28" s="215" t="str" cm="1">
        <f t="array" aca="1" ref="AF28" ca="1">IF($B28="","",IF(ISBLANK(INDIRECT("R7.Video!D"&amp;SUM(18,38*5,9))),"",INDIRECT("R7.Video!D"&amp;SUM(18,38*5,9))))</f>
        <v>N/T</v>
      </c>
      <c r="AG28" s="215" t="str" cm="1">
        <f t="array" aca="1" ref="AG28" ca="1">IF($B28="","",IF(ISBLANK(INDIRECT("R7.Video!D"&amp;SUM(18,38*6,9))),"",INDIRECT("R7.Video!D"&amp;SUM(18,38*6,9))))</f>
        <v>N/T</v>
      </c>
      <c r="AH28" s="215" t="str" cm="1">
        <f t="array" aca="1" ref="AH28" ca="1">IF($B28="","",IF(ISBLANK(INDIRECT("R7.Video!D"&amp;SUM(18,38*7,9))),"",INDIRECT("R7.Video!D"&amp;SUM(18,38*7,9))))</f>
        <v>N/T</v>
      </c>
      <c r="AI28" s="215" t="str" cm="1">
        <f t="array" aca="1" ref="AI28" ca="1">IF($B28="","",IF(ISBLANK(INDIRECT("R7.Video!D"&amp;SUM(18,38*8,9))),"",INDIRECT("R7.Video!D"&amp;SUM(18,38*8,9))))</f>
        <v>N/T</v>
      </c>
      <c r="AJ28" s="215" t="str" cm="1">
        <f t="array" aca="1" ref="AJ28" ca="1">IF($B28="","",IF(ISBLANK(INDIRECT("R9.Web!D"&amp;SUM(18,38*0,9))),"",INDIRECT("R9.Web!D"&amp;SUM(18,38*0,9))))</f>
        <v>N/D</v>
      </c>
      <c r="AK28" s="215" t="str" cm="1">
        <f t="array" aca="1" ref="AK28" ca="1">IF($B28="","",IF(ISBLANK(INDIRECT("R9.Web!D"&amp;SUM(18,38*1,9))),"",INDIRECT("R9.Web!D"&amp;SUM(18,38*1,9))))</f>
        <v>N/T</v>
      </c>
      <c r="AL28" s="215" t="str" cm="1">
        <f t="array" aca="1" ref="AL28" ca="1">IF($B28="","",IF(ISBLANK(INDIRECT("R9.Web!D"&amp;SUM(18,38*2,9))),"",INDIRECT("R9.Web!D"&amp;SUM(18,38*2,9))))</f>
        <v>N/T</v>
      </c>
      <c r="AM28" s="215" t="str" cm="1">
        <f t="array" aca="1" ref="AM28" ca="1">IF($B28="","",IF(ISBLANK(INDIRECT("R9.Web!D"&amp;SUM(18,38*3,9))),"",INDIRECT("R9.Web!D"&amp;SUM(18,38*3,9))))</f>
        <v>N/T</v>
      </c>
      <c r="AN28" s="215" t="str" cm="1">
        <f t="array" aca="1" ref="AN28" ca="1">IF($B28="","",IF(ISBLANK(INDIRECT("R9.Web!D"&amp;SUM(18,38*4,9))),"",INDIRECT("R9.Web!D"&amp;SUM(18,38*4,9))))</f>
        <v>N/T</v>
      </c>
      <c r="AO28" s="215" t="str" cm="1">
        <f t="array" aca="1" ref="AO28" ca="1">IF($B28="","",IF(ISBLANK(INDIRECT("R9.Web!D"&amp;SUM(18,38*5,9))),"",INDIRECT("R9.Web!D"&amp;SUM(18,38*5,9))))</f>
        <v>N/D</v>
      </c>
      <c r="AP28" s="215" t="str" cm="1">
        <f t="array" aca="1" ref="AP28" ca="1">IF($B28="","",IF(ISBLANK(INDIRECT("R9.Web!D"&amp;SUM(18,38*6,9))),"",INDIRECT("R9.Web!D"&amp;SUM(18,38*6,9))))</f>
        <v>N/T</v>
      </c>
      <c r="AQ28" s="215" t="str" cm="1">
        <f t="array" aca="1" ref="AQ28" ca="1">IF($B28="","",IF(ISBLANK(INDIRECT("R9.Web!D"&amp;SUM(18,38*7,9))),"",INDIRECT("R9.Web!D"&amp;SUM(18,38*7,9))))</f>
        <v>N/T</v>
      </c>
      <c r="AR28" s="215" t="str" cm="1">
        <f t="array" aca="1" ref="AR28" ca="1">IF($B28="","",IF(ISBLANK(INDIRECT("R9.Web!D"&amp;SUM(18,38*8,9))),"",INDIRECT("R9.Web!D"&amp;SUM(18,38*8,9))))</f>
        <v>N/D</v>
      </c>
      <c r="AS28" s="215" t="str" cm="1">
        <f t="array" aca="1" ref="AS28" ca="1">IF($B28="","",IF(ISBLANK(INDIRECT("R9.Web!D"&amp;SUM(18,38*9,9))),"",INDIRECT("R9.Web!D"&amp;SUM(18,38*9,9))))</f>
        <v>N/D</v>
      </c>
      <c r="AT28" s="215" t="str" cm="1">
        <f t="array" aca="1" ref="AT28" ca="1">IF($B28="","",IF(ISBLANK(INDIRECT("R9.Web!D"&amp;SUM(18,38*10,9))),"",INDIRECT("R9.Web!D"&amp;SUM(18,38*10,9))))</f>
        <v>N/T</v>
      </c>
      <c r="AU28" s="215" t="str" cm="1">
        <f t="array" aca="1" ref="AU28" ca="1">IF($B28="","",IF(ISBLANK(INDIRECT("R9.Web!D"&amp;SUM(18,38*11,9))),"",INDIRECT("R9.Web!D"&amp;SUM(18,38*11,9))))</f>
        <v>N/T</v>
      </c>
      <c r="AV28" s="215" t="str" cm="1">
        <f t="array" aca="1" ref="AV28" ca="1">IF($B28="","",IF(ISBLANK(INDIRECT("R9.Web!D"&amp;SUM(18,38*12,9))),"",INDIRECT("R9.Web!D"&amp;SUM(18,38*12,9))))</f>
        <v>N/D</v>
      </c>
      <c r="AW28" s="215" t="str" cm="1">
        <f t="array" aca="1" ref="AW28" ca="1">IF($B28="","",IF(ISBLANK(INDIRECT("R9.Web!D"&amp;SUM(18,38*13,9))),"",INDIRECT("R9.Web!D"&amp;SUM(18,38*13,9))))</f>
        <v>N/T</v>
      </c>
      <c r="AX28" s="215" t="str" cm="1">
        <f t="array" aca="1" ref="AX28" ca="1">IF($B28="","",IF(ISBLANK(INDIRECT("R9.Web!D"&amp;SUM(18,38*14,9))),"",INDIRECT("R9.Web!D"&amp;SUM(18,38*14,9))))</f>
        <v>N/T</v>
      </c>
      <c r="AY28" s="215" t="str" cm="1">
        <f t="array" aca="1" ref="AY28" ca="1">IF($B28="","",IF(ISBLANK(INDIRECT("R9.Web!D"&amp;SUM(18,38*15,9))),"",INDIRECT("R9.Web!D"&amp;SUM(18,38*15,9))))</f>
        <v>N/D</v>
      </c>
      <c r="AZ28" s="215" t="str" cm="1">
        <f t="array" aca="1" ref="AZ28" ca="1">IF($B28="","",IF(ISBLANK(INDIRECT("R9.Web!D"&amp;SUM(18,38*16,9))),"",INDIRECT("R9.Web!D"&amp;SUM(18,38*16,9))))</f>
        <v>N/T</v>
      </c>
      <c r="BA28" s="215" t="str" cm="1">
        <f t="array" aca="1" ref="BA28" ca="1">IF($B28="","",IF(ISBLANK(INDIRECT("R9.Web!D"&amp;SUM(18,38*17,9))),"",INDIRECT("R9.Web!D"&amp;SUM(18,38*17,9))))</f>
        <v>N/D</v>
      </c>
      <c r="BB28" s="215" t="str" cm="1">
        <f t="array" aca="1" ref="BB28" ca="1">IF($B28="","",IF(ISBLANK(INDIRECT("R9.Web!D"&amp;SUM(18,38*18,9))),"",INDIRECT("R9.Web!D"&amp;SUM(18,38*18,9))))</f>
        <v>N/T</v>
      </c>
      <c r="BC28" s="215" t="str" cm="1">
        <f t="array" aca="1" ref="BC28" ca="1">IF($B28="","",IF(ISBLANK(INDIRECT("R9.Web!D"&amp;SUM(18,38*19,9))),"",INDIRECT("R9.Web!D"&amp;SUM(18,38*19,9))))</f>
        <v>N/D</v>
      </c>
      <c r="BD28" s="215" t="str" cm="1">
        <f t="array" aca="1" ref="BD28" ca="1">IF($B28="","",IF(ISBLANK(INDIRECT("R9.Web!D"&amp;SUM(18,38*20,9))),"",INDIRECT("R9.Web!D"&amp;SUM(18,38*20,9))))</f>
        <v>N/T</v>
      </c>
      <c r="BE28" s="215" t="str" cm="1">
        <f t="array" aca="1" ref="BE28" ca="1">IF($B28="","",IF(ISBLANK(INDIRECT("R9.Web!D"&amp;SUM(18,38*21,9))),"",INDIRECT("R9.Web!D"&amp;SUM(18,38*21,9))))</f>
        <v>N/T</v>
      </c>
      <c r="BF28" s="215" t="str" cm="1">
        <f t="array" aca="1" ref="BF28" ca="1">IF($B28="","",IF(ISBLANK(INDIRECT("R9.Web!D"&amp;SUM(18,38*22,9))),"",INDIRECT("R9.Web!D"&amp;SUM(18,38*22,9))))</f>
        <v>N/D</v>
      </c>
      <c r="BG28" s="215" t="str" cm="1">
        <f t="array" aca="1" ref="BG28" ca="1">IF($B28="","",IF(ISBLANK(INDIRECT("R9.Web!D"&amp;SUM(18,38*23,9))),"",INDIRECT("R9.Web!D"&amp;SUM(18,38*23,9))))</f>
        <v>N/D</v>
      </c>
      <c r="BH28" s="215" t="str" cm="1">
        <f t="array" aca="1" ref="BH28" ca="1">IF($B28="","",IF(ISBLANK(INDIRECT("R9.Web!D"&amp;SUM(18,38*24,9))),"",INDIRECT("R9.Web!D"&amp;SUM(18,38*24,9))))</f>
        <v>N/T</v>
      </c>
      <c r="BI28" s="215" t="str" cm="1">
        <f t="array" aca="1" ref="BI28" ca="1">IF($B28="","",IF(ISBLANK(INDIRECT("R9.Web!D"&amp;SUM(18,38*25,9))),"",INDIRECT("R9.Web!D"&amp;SUM(18,38*25,9))))</f>
        <v>N/D</v>
      </c>
      <c r="BJ28" s="215" t="str" cm="1">
        <f t="array" aca="1" ref="BJ28" ca="1">IF($B28="","",IF(ISBLANK(INDIRECT("R9.Web!D"&amp;SUM(18,38*26,9))),"",INDIRECT("R9.Web!D"&amp;SUM(18,38*26,9))))</f>
        <v>N/D</v>
      </c>
      <c r="BK28" s="215" t="str" cm="1">
        <f t="array" aca="1" ref="BK28" ca="1">IF($B28="","",IF(ISBLANK(INDIRECT("R9.Web!D"&amp;SUM(18,38*27,9))),"",INDIRECT("R9.Web!D"&amp;SUM(18,38*27,9))))</f>
        <v>N/D</v>
      </c>
      <c r="BL28" s="215" t="str" cm="1">
        <f t="array" aca="1" ref="BL28" ca="1">IF($B28="","",IF(ISBLANK(INDIRECT("R9.Web!D"&amp;SUM(18,38*28,9))),"",INDIRECT("R9.Web!D"&amp;SUM(18,38*28,9))))</f>
        <v>N/D</v>
      </c>
      <c r="BM28" s="215" t="str" cm="1">
        <f t="array" aca="1" ref="BM28" ca="1">IF($B28="","",IF(ISBLANK(INDIRECT("R9.Web!D"&amp;SUM(18,38*29,9))),"",INDIRECT("R9.Web!D"&amp;SUM(18,38*29,9))))</f>
        <v>N/D</v>
      </c>
      <c r="BN28" s="215" t="str" cm="1">
        <f t="array" aca="1" ref="BN28" ca="1">IF($B28="","",IF(ISBLANK(INDIRECT("R9.Web!D"&amp;SUM(18,38*30,9))),"",INDIRECT("R9.Web!D"&amp;SUM(18,38*30,9))))</f>
        <v>N/T</v>
      </c>
      <c r="BO28" s="215" t="str" cm="1">
        <f t="array" aca="1" ref="BO28" ca="1">IF($B28="","",IF(ISBLANK(INDIRECT("R9.Web!D"&amp;SUM(18,38*31,9))),"",INDIRECT("R9.Web!D"&amp;SUM(18,38*31,9))))</f>
        <v>Falla</v>
      </c>
      <c r="BP28" s="215" t="str" cm="1">
        <f t="array" aca="1" ref="BP28" ca="1">IF($B28="","",IF(ISBLANK(INDIRECT("R9.Web!D"&amp;SUM(18,38*32,9))),"",INDIRECT("R9.Web!D"&amp;SUM(18,38*32,9))))</f>
        <v>N/T</v>
      </c>
      <c r="BQ28" s="215" t="str" cm="1">
        <f t="array" aca="1" ref="BQ28" ca="1">IF($B28="","",IF(ISBLANK(INDIRECT("R9.Web!D"&amp;SUM(18,38*33,9))),"",INDIRECT("R9.Web!D"&amp;SUM(18,38*33,9))))</f>
        <v>N/T</v>
      </c>
      <c r="BR28" s="215" t="str" cm="1">
        <f t="array" aca="1" ref="BR28" ca="1">IF($B28="","",IF(ISBLANK(INDIRECT("R9.Web!D"&amp;SUM(18,38*34,9))),"",INDIRECT("R9.Web!D"&amp;SUM(18,38*34,9))))</f>
        <v>N/D</v>
      </c>
      <c r="BS28" s="215" t="str" cm="1">
        <f t="array" aca="1" ref="BS28" ca="1">IF($B28="","",IF(ISBLANK(INDIRECT("R9.Web!D"&amp;SUM(18,38*35,9))),"",INDIRECT("R9.Web!D"&amp;SUM(18,38*35,9))))</f>
        <v>N/T</v>
      </c>
      <c r="BT28" s="215" t="str" cm="1">
        <f t="array" aca="1" ref="BT28" ca="1">IF($B28="","",IF(ISBLANK(INDIRECT("R9.Web!D"&amp;SUM(18,38*36,9))),"",INDIRECT("R9.Web!D"&amp;SUM(18,38*36,9))))</f>
        <v>N/D</v>
      </c>
      <c r="BU28" s="215" t="str" cm="1">
        <f t="array" aca="1" ref="BU28" ca="1">IF($B28="","",IF(ISBLANK(INDIRECT("R9.Web!D"&amp;SUM(18,38*37,9))),"",INDIRECT("R9.Web!D"&amp;SUM(18,38*37,9))))</f>
        <v>N/D</v>
      </c>
      <c r="BV28" s="215" t="str" cm="1">
        <f t="array" aca="1" ref="BV28" ca="1">IF($B28="","",IF(ISBLANK(INDIRECT("R9.Web!D"&amp;SUM(18,38*38,9))),"",INDIRECT("R9.Web!D"&amp;SUM(18,38*38,9))))</f>
        <v>N/D</v>
      </c>
      <c r="BW28" s="215" t="str" cm="1">
        <f t="array" aca="1" ref="BW28" ca="1">IF($B28="","",IF(ISBLANK(INDIRECT("R9.Web!D"&amp;SUM(18,38*39,9))),"",INDIRECT("R9.Web!D"&amp;SUM(18,38*39,9))))</f>
        <v>N/D</v>
      </c>
      <c r="BX28" s="215" t="str" cm="1">
        <f t="array" aca="1" ref="BX28" ca="1">IF($B28="","",IF(ISBLANK(INDIRECT("R9.Web!D"&amp;SUM(18,38*40,9))),"",INDIRECT("R9.Web!D"&amp;SUM(18,38*40,9))))</f>
        <v>N/D</v>
      </c>
      <c r="BY28" s="215" t="str" cm="1">
        <f t="array" aca="1" ref="BY28" ca="1">IF($B28="","",IF(ISBLANK(INDIRECT("R9.Web!D"&amp;SUM(18,38*41,9))),"",INDIRECT("R9.Web!D"&amp;SUM(18,38*41,9))))</f>
        <v>N/T</v>
      </c>
      <c r="BZ28" s="215" t="str" cm="1">
        <f t="array" aca="1" ref="BZ28" ca="1">IF($B28="","",IF(ISBLANK(INDIRECT("R9.Web!D"&amp;SUM(18,38*42,9))),"",INDIRECT("R9.Web!D"&amp;SUM(18,38*42,9))))</f>
        <v>N/T</v>
      </c>
      <c r="CA28" s="215" t="str" cm="1">
        <f t="array" aca="1" ref="CA28" ca="1">IF($B28="","",IF(ISBLANK(INDIRECT("R9.Web!D"&amp;SUM(18,38*43,9))),"",INDIRECT("R9.Web!D"&amp;SUM(18,38*43,9))))</f>
        <v>N/D</v>
      </c>
      <c r="CB28" s="215" t="str" cm="1">
        <f t="array" aca="1" ref="CB28" ca="1">IF($B28="","",IF(ISBLANK(INDIRECT("R9.Web!D"&amp;SUM(18,38*44,9))),"",INDIRECT("R9.Web!D"&amp;SUM(18,38*44,9))))</f>
        <v>N/T</v>
      </c>
      <c r="CC28" s="215" t="str" cm="1">
        <f t="array" aca="1" ref="CC28" ca="1">IF($B28="","",IF(ISBLANK(INDIRECT("R9.Web!D"&amp;SUM(18,38*45,9))),"",INDIRECT("R9.Web!D"&amp;SUM(18,38*45,9))))</f>
        <v>N/T</v>
      </c>
      <c r="CD28" s="215" t="str" cm="1">
        <f t="array" aca="1" ref="CD28" ca="1">IF($B28="","",IF(ISBLANK(INDIRECT("R9.Web!D"&amp;SUM(18,38*46,9))),"",INDIRECT("R9.Web!D"&amp;SUM(18,38*46,9))))</f>
        <v>N/T</v>
      </c>
      <c r="CE28" s="215" t="str" cm="1">
        <f t="array" aca="1" ref="CE28" ca="1">IF($B28="","",IF(ISBLANK(INDIRECT("R9.Web!D"&amp;SUM(18,38*47,9))),"",INDIRECT("R9.Web!D"&amp;SUM(18,38*47,9))))</f>
        <v>N/D</v>
      </c>
      <c r="CF28" s="215" t="str" cm="1">
        <f t="array" aca="1" ref="CF28" ca="1">IF($B28="","",IF(ISBLANK(INDIRECT("R9.Web!D"&amp;SUM(18,38*48,9))),"",INDIRECT("R9.Web!D"&amp;SUM(18,38*48,9))))</f>
        <v>N/T</v>
      </c>
      <c r="CG28" s="215" t="str" cm="1">
        <f t="array" aca="1" ref="CG28" ca="1">IF($B28="","",IF(ISBLANK(INDIRECT("R9.Web!D"&amp;SUM(18,38*49,9))),"",INDIRECT("R9.Web!D"&amp;SUM(18,38*49,9))))</f>
        <v>N/T</v>
      </c>
      <c r="CH28" s="215" t="str" cm="1">
        <f t="array" aca="1" ref="CH28" ca="1">IF($B28="","",IF(ISBLANK(INDIRECT("R11.Software!D"&amp;SUM(18,38*0,9))),"",INDIRECT("R11.Software!D"&amp;SUM(18,38*0,9))))</f>
        <v>N/T</v>
      </c>
      <c r="CI28" s="215" t="str" cm="1">
        <f t="array" aca="1" ref="CI28" ca="1">IF($B28="","",IF(ISBLANK(INDIRECT("R11.Software!D"&amp;SUM(18,38*1,9))),"",INDIRECT("R11.Software!D"&amp;SUM(18,38*1,9))))</f>
        <v>N/T</v>
      </c>
      <c r="CJ28" s="215" t="str" cm="1">
        <f t="array" aca="1" ref="CJ28" ca="1">IF($B28="","",IF(ISBLANK(INDIRECT("R11.Software!D"&amp;SUM(18,38*2,9))),"",INDIRECT("R11.Software!D"&amp;SUM(18,38*2,9))))</f>
        <v>N/T</v>
      </c>
      <c r="CK28" s="215" t="str" cm="1">
        <f t="array" aca="1" ref="CK28" ca="1">IF($B28="","",IF(ISBLANK(INDIRECT("R11.Software!D"&amp;SUM(18,38*3,9))),"",INDIRECT("R11.Software!D"&amp;SUM(18,38*3,9))))</f>
        <v>N/T</v>
      </c>
      <c r="CL28" s="215" t="str" cm="1">
        <f t="array" aca="1" ref="CL28" ca="1">IF($B28="","",IF(ISBLANK(INDIRECT("R11.Software!D"&amp;SUM(18,38*4,9))),"",INDIRECT("R11.Software!D"&amp;SUM(18,38*4,9))))</f>
        <v>N/T</v>
      </c>
      <c r="CM28" s="215" t="str" cm="1">
        <f t="array" aca="1" ref="CM28" ca="1">IF($B28="","",IF(ISBLANK(INDIRECT("R11.Software!D"&amp;SUM(18,38*5,9))),"",INDIRECT("R11.Software!D"&amp;SUM(18,38*5,9))))</f>
        <v>N/T</v>
      </c>
      <c r="CN28" s="215" t="str" cm="1">
        <f t="array" aca="1" ref="CN28" ca="1">IF($B28="","",IF(ISBLANK(INDIRECT("R12.ServiciosApoyo!D"&amp;SUM(18,38*0,9))),"",INDIRECT("R12.ServiciosApoyo!D"&amp;SUM(18,38*0,9))))</f>
        <v>N/T</v>
      </c>
      <c r="CO28" s="215" t="str" cm="1">
        <f t="array" aca="1" ref="CO28" ca="1">IF($B28="","",IF(ISBLANK(INDIRECT("R12.ServiciosApoyo!D"&amp;SUM(18,38*1,9))),"",INDIRECT("R12.ServiciosApoyo!D"&amp;SUM(18,38*1,9))))</f>
        <v>N/T</v>
      </c>
      <c r="CP28" s="215" t="str" cm="1">
        <f t="array" aca="1" ref="CP28" ca="1">IF($B28="","",IF(ISBLANK(INDIRECT("R12.ServiciosApoyo!D"&amp;SUM(18,38*2,9))),"",INDIRECT("R12.ServiciosApoyo!D"&amp;SUM(18,38*2,9))))</f>
        <v>N/T</v>
      </c>
      <c r="CQ28" s="215" t="str" cm="1">
        <f t="array" aca="1" ref="CQ28" ca="1">IF($B28="","",IF(ISBLANK(INDIRECT("R12.ServiciosApoyo!D"&amp;SUM(18,38*3,9))),"",INDIRECT("R12.ServiciosApoyo!D"&amp;SUM(18,38*3,9))))</f>
        <v>N/T</v>
      </c>
      <c r="CR28" s="215" t="str" cm="1">
        <f t="array" aca="1" ref="CR28" ca="1">IF($B28="","",IF(ISBLANK(INDIRECT("R12.ServiciosApoyo!D"&amp;SUM(18,38*4,9))),"",INDIRECT("R12.ServiciosApoyo!D"&amp;SUM(18,38*4,9))))</f>
        <v>N/T</v>
      </c>
      <c r="CU28" s="100"/>
      <c r="CV28" s="29"/>
      <c r="CW28" s="29"/>
      <c r="CX28" s="29"/>
    </row>
    <row r="29" spans="2:102" ht="20.25">
      <c r="B29" s="181" t="n" cm="1">
        <f t="array" ref="B29">IFERROR(INDEX('03.Muestra'!$B$8:$B$42,SMALL(IF("Página Web"='03.Muestra'!$D$8:$D$42,ROW('03.Muestra'!$B$8:$B$42)-MIN(ROW('03.Muestra'!$D$8:$D$42))+1,""),ROW()-19)),"")</f>
        <v>1.0</v>
      </c>
      <c r="C29" s="97" t="str" cm="1">
        <f t="array" ref="C29">IFERROR(INDEX('03.Muestra'!$C$8:$C$42,SMALL(IF("Página Web"='03.Muestra'!$D$8:$D$42,ROW('03.Muestra'!$C$8:$C$42)-MIN(ROW('03.Muestra'!$D$8:$D$42))+1,""),ROW()-19)),"")</f>
        <v>Home - PortCastelló</v>
      </c>
      <c r="D29" s="98" t="str" cm="1">
        <f t="array" ref="D29">IFERROR(INDEX('03.Muestra'!$F$8:$F$42,SMALL(IF("Página Web"='03.Muestra'!$D$8:$D$42,ROW('03.Muestra'!$F$8:$F$42)-MIN(ROW('03.Muestra'!$D$8:$D$42))+1,""),ROW()-19)),"")</f>
        <v>https://www.portcastello.com/</v>
      </c>
      <c r="E29" s="215" t="str" cm="1">
        <f t="array" aca="1" ref="E29" ca="1">IF($B29="","",IF(ISBLANK(INDIRECT("R5.Genéricos!D"&amp;SUM(18,38*0,10))),"",INDIRECT("R5.Genéricos!D"&amp;SUM(18,38*0,10))))</f>
        <v>N/T</v>
      </c>
      <c r="F29" s="215" t="str" cm="1">
        <f t="array" aca="1" ref="F29" ca="1">IF($B29="","",IF(ISBLANK(INDIRECT("R5.Genéricos!D"&amp;SUM(18,38*1,10))),"",INDIRECT("R5.Genéricos!D"&amp;SUM(18,38*1,10))))</f>
        <v>N/T</v>
      </c>
      <c r="G29" s="215" t="str" cm="1">
        <f t="array" aca="1" ref="G29" ca="1">IF($B29="","",IF(ISBLANK(INDIRECT("R5.Genéricos!D"&amp;SUM(18,38*2,10))),"",INDIRECT("R5.Genéricos!D"&amp;SUM(18,38*2,10))))</f>
        <v>N/T</v>
      </c>
      <c r="H29" s="215" t="str" cm="1">
        <f t="array" aca="1" ref="H29" ca="1">IF($B29="","",IF(ISBLANK(INDIRECT("R6.Voz!D"&amp;SUM(18,38*0,10))),"",INDIRECT("R6.Voz!D"&amp;SUM(18,38*0,10))))</f>
        <v>N/T</v>
      </c>
      <c r="I29" s="215" t="str" cm="1">
        <f t="array" aca="1" ref="I29" ca="1">IF($B29="","",IF(ISBLANK(INDIRECT("R6.Voz!D"&amp;SUM(18,38*1,10))),"",INDIRECT("R6.Voz!D"&amp;SUM(18,38*1,10))))</f>
        <v>N/T</v>
      </c>
      <c r="J29" s="215" t="str" cm="1">
        <f t="array" aca="1" ref="J29" ca="1">IF($B29="","",IF(ISBLANK(INDIRECT("R6.Voz!D"&amp;SUM(18,38*2,10))),"",INDIRECT("R6.Voz!D"&amp;SUM(18,38*2,10))))</f>
        <v>N/T</v>
      </c>
      <c r="K29" s="215" t="str" cm="1">
        <f t="array" aca="1" ref="K29" ca="1">IF($B29="","",IF(ISBLANK(INDIRECT("R6.Voz!D"&amp;SUM(18,38*3,10))),"",INDIRECT("R6.Voz!D"&amp;SUM(18,38*3,10))))</f>
        <v>N/T</v>
      </c>
      <c r="L29" s="215" t="str" cm="1">
        <f t="array" aca="1" ref="L29" ca="1">IF($B29="","",IF(ISBLANK(INDIRECT("R6.Voz!D"&amp;SUM(18,38*4,10))),"",INDIRECT("R6.Voz!D"&amp;SUM(18,38*4,10))))</f>
        <v>N/T</v>
      </c>
      <c r="M29" s="215" t="str" cm="1">
        <f t="array" aca="1" ref="M29" ca="1">IF($B29="","",IF(ISBLANK(INDIRECT("R6.Voz!D"&amp;SUM(18,38*5,10))),"",INDIRECT("R6.Voz!D"&amp;SUM(18,38*5,10))))</f>
        <v>N/T</v>
      </c>
      <c r="N29" s="215" t="str" cm="1">
        <f t="array" aca="1" ref="N29" ca="1">IF($B29="","",IF(ISBLANK(INDIRECT("R6.Voz!D"&amp;SUM(18,38*6,10))),"",INDIRECT("R6.Voz!D"&amp;SUM(18,38*6,10))))</f>
        <v>N/T</v>
      </c>
      <c r="O29" s="215" t="str" cm="1">
        <f t="array" aca="1" ref="O29" ca="1">IF($B29="","",IF(ISBLANK(INDIRECT("R6.Voz!D"&amp;SUM(18,38*7,10))),"",INDIRECT("R6.Voz!D"&amp;SUM(18,38*7,10))))</f>
        <v>N/T</v>
      </c>
      <c r="P29" s="215" t="str" cm="1">
        <f t="array" aca="1" ref="P29" ca="1">IF($B29="","",IF(ISBLANK(INDIRECT("R6.Voz!D"&amp;SUM(18,38*8,10))),"",INDIRECT("R6.Voz!D"&amp;SUM(18,38*8,10))))</f>
        <v>N/T</v>
      </c>
      <c r="Q29" s="215" t="str" cm="1">
        <f t="array" aca="1" ref="Q29" ca="1">IF($B29="","",IF(ISBLANK(INDIRECT("R6.Voz!D"&amp;SUM(18,38*9,10))),"",INDIRECT("R6.Voz!D"&amp;SUM(18,38*9,10))))</f>
        <v>N/T</v>
      </c>
      <c r="R29" s="215" t="str" cm="1">
        <f t="array" aca="1" ref="R29" ca="1">IF($B29="","",IF(ISBLANK(INDIRECT("R6.Voz!D"&amp;SUM(18,38*10,10))),"",INDIRECT("R6.Voz!D"&amp;SUM(18,38*10,10))))</f>
        <v>N/T</v>
      </c>
      <c r="S29" s="215" t="str" cm="1">
        <f t="array" aca="1" ref="S29" ca="1">IF($B29="","",IF(ISBLANK(INDIRECT("R6.Voz!D"&amp;SUM(18,38*11,10))),"",INDIRECT("R6.Voz!D"&amp;SUM(18,38*11,10))))</f>
        <v>N/T</v>
      </c>
      <c r="T29" s="215" t="str" cm="1">
        <f t="array" aca="1" ref="T29" ca="1">IF($B29="","",IF(ISBLANK(INDIRECT("R6.Voz!D"&amp;SUM(18,38*12,10))),"",INDIRECT("R6.Voz!D"&amp;SUM(18,38*12,10))))</f>
        <v>N/T</v>
      </c>
      <c r="U29" s="215" t="str" cm="1">
        <f t="array" aca="1" ref="U29" ca="1">IF($B29="","",IF(ISBLANK(INDIRECT("R6.Voz!D"&amp;SUM(18,38*13,10))),"",INDIRECT("R6.Voz!D"&amp;SUM(18,38*13,10))))</f>
        <v>N/T</v>
      </c>
      <c r="V29" s="215" t="str" cm="1">
        <f t="array" aca="1" ref="V29" ca="1">IF($B29="","",IF(ISBLANK(INDIRECT("R6.Voz!D"&amp;SUM(18,38*14,10))),"",INDIRECT("R6.Voz!D"&amp;SUM(18,38*14,10))))</f>
        <v>N/T</v>
      </c>
      <c r="W29" s="215" t="str" cm="1">
        <f t="array" aca="1" ref="W29" ca="1">IF($B29="","",IF(ISBLANK(INDIRECT("R6.Voz!D"&amp;SUM(18,38*15,10))),"",INDIRECT("R6.Voz!D"&amp;SUM(18,38*15,10))))</f>
        <v>N/T</v>
      </c>
      <c r="X29" s="215" t="str" cm="1">
        <f t="array" aca="1" ref="X29" ca="1">IF($B29="","",IF(ISBLANK(INDIRECT("R6.Voz!D"&amp;SUM(18,38*16,10))),"",INDIRECT("R6.Voz!D"&amp;SUM(18,38*16,10))))</f>
        <v>N/T</v>
      </c>
      <c r="Y29" s="215" t="str" cm="1">
        <f t="array" aca="1" ref="Y29" ca="1">IF($B29="","",IF(ISBLANK(INDIRECT("R6.Voz!D"&amp;SUM(18,38*17,10))),"",INDIRECT("R6.Voz!D"&amp;SUM(18,38*17,10))))</f>
        <v>N/T</v>
      </c>
      <c r="Z29" s="215" t="str" cm="1">
        <f t="array" aca="1" ref="Z29" ca="1">IF($B29="","",IF(ISBLANK(INDIRECT("R6.Voz!D"&amp;SUM(18,38*18,10))),"",INDIRECT("R6.Voz!D"&amp;SUM(18,38*18,10))))</f>
        <v>N/T</v>
      </c>
      <c r="AA29" s="215" t="str" cm="1">
        <f t="array" aca="1" ref="AA29" ca="1">IF($B29="","",IF(ISBLANK(INDIRECT("R7.Video!D"&amp;SUM(18,38*0,10))),"",INDIRECT("R7.Video!D"&amp;SUM(18,38*0,10))))</f>
        <v>N/T</v>
      </c>
      <c r="AB29" s="215" t="str" cm="1">
        <f t="array" aca="1" ref="AB29" ca="1">IF($B29="","",IF(ISBLANK(INDIRECT("R7.Video!D"&amp;SUM(18,38*1,10))),"",INDIRECT("R7.Video!D"&amp;SUM(18,38*1,10))))</f>
        <v>N/T</v>
      </c>
      <c r="AC29" s="215" t="str" cm="1">
        <f t="array" aca="1" ref="AC29" ca="1">IF($B29="","",IF(ISBLANK(INDIRECT("R7.Video!D"&amp;SUM(18,38*2,10))),"",INDIRECT("R7.Video!D"&amp;SUM(18,38*2,10))))</f>
        <v>N/T</v>
      </c>
      <c r="AD29" s="215" t="str" cm="1">
        <f t="array" aca="1" ref="AD29" ca="1">IF($B29="","",IF(ISBLANK(INDIRECT("R7.Video!D"&amp;SUM(18,38*3,10))),"",INDIRECT("R7.Video!D"&amp;SUM(18,38*3,10))))</f>
        <v>N/T</v>
      </c>
      <c r="AE29" s="215" t="str" cm="1">
        <f t="array" aca="1" ref="AE29" ca="1">IF($B29="","",IF(ISBLANK(INDIRECT("R7.Video!D"&amp;SUM(18,38*4,10))),"",INDIRECT("R7.Video!D"&amp;SUM(18,38*4,10))))</f>
        <v>N/T</v>
      </c>
      <c r="AF29" s="215" t="str" cm="1">
        <f t="array" aca="1" ref="AF29" ca="1">IF($B29="","",IF(ISBLANK(INDIRECT("R7.Video!D"&amp;SUM(18,38*5,10))),"",INDIRECT("R7.Video!D"&amp;SUM(18,38*5,10))))</f>
        <v>N/T</v>
      </c>
      <c r="AG29" s="215" t="str" cm="1">
        <f t="array" aca="1" ref="AG29" ca="1">IF($B29="","",IF(ISBLANK(INDIRECT("R7.Video!D"&amp;SUM(18,38*6,10))),"",INDIRECT("R7.Video!D"&amp;SUM(18,38*6,10))))</f>
        <v>N/T</v>
      </c>
      <c r="AH29" s="215" t="str" cm="1">
        <f t="array" aca="1" ref="AH29" ca="1">IF($B29="","",IF(ISBLANK(INDIRECT("R7.Video!D"&amp;SUM(18,38*7,10))),"",INDIRECT("R7.Video!D"&amp;SUM(18,38*7,10))))</f>
        <v>N/T</v>
      </c>
      <c r="AI29" s="215" t="str" cm="1">
        <f t="array" aca="1" ref="AI29" ca="1">IF($B29="","",IF(ISBLANK(INDIRECT("R7.Video!D"&amp;SUM(18,38*8,10))),"",INDIRECT("R7.Video!D"&amp;SUM(18,38*8,10))))</f>
        <v>N/T</v>
      </c>
      <c r="AJ29" s="215" t="str" cm="1">
        <f t="array" aca="1" ref="AJ29" ca="1">IF($B29="","",IF(ISBLANK(INDIRECT("R9.Web!D"&amp;SUM(18,38*0,10))),"",INDIRECT("R9.Web!D"&amp;SUM(18,38*0,10))))</f>
        <v>N/D</v>
      </c>
      <c r="AK29" s="215" t="str" cm="1">
        <f t="array" aca="1" ref="AK29" ca="1">IF($B29="","",IF(ISBLANK(INDIRECT("R9.Web!D"&amp;SUM(18,38*1,10))),"",INDIRECT("R9.Web!D"&amp;SUM(18,38*1,10))))</f>
        <v>N/T</v>
      </c>
      <c r="AL29" s="215" t="str" cm="1">
        <f t="array" aca="1" ref="AL29" ca="1">IF($B29="","",IF(ISBLANK(INDIRECT("R9.Web!D"&amp;SUM(18,38*2,10))),"",INDIRECT("R9.Web!D"&amp;SUM(18,38*2,10))))</f>
        <v>N/T</v>
      </c>
      <c r="AM29" s="215" t="str" cm="1">
        <f t="array" aca="1" ref="AM29" ca="1">IF($B29="","",IF(ISBLANK(INDIRECT("R9.Web!D"&amp;SUM(18,38*3,10))),"",INDIRECT("R9.Web!D"&amp;SUM(18,38*3,10))))</f>
        <v>N/T</v>
      </c>
      <c r="AN29" s="215" t="str" cm="1">
        <f t="array" aca="1" ref="AN29" ca="1">IF($B29="","",IF(ISBLANK(INDIRECT("R9.Web!D"&amp;SUM(18,38*4,10))),"",INDIRECT("R9.Web!D"&amp;SUM(18,38*4,10))))</f>
        <v>N/T</v>
      </c>
      <c r="AO29" s="215" t="str" cm="1">
        <f t="array" aca="1" ref="AO29" ca="1">IF($B29="","",IF(ISBLANK(INDIRECT("R9.Web!D"&amp;SUM(18,38*5,10))),"",INDIRECT("R9.Web!D"&amp;SUM(18,38*5,10))))</f>
        <v>N/D</v>
      </c>
      <c r="AP29" s="215" t="str" cm="1">
        <f t="array" aca="1" ref="AP29" ca="1">IF($B29="","",IF(ISBLANK(INDIRECT("R9.Web!D"&amp;SUM(18,38*6,10))),"",INDIRECT("R9.Web!D"&amp;SUM(18,38*6,10))))</f>
        <v>N/T</v>
      </c>
      <c r="AQ29" s="215" t="str" cm="1">
        <f t="array" aca="1" ref="AQ29" ca="1">IF($B29="","",IF(ISBLANK(INDIRECT("R9.Web!D"&amp;SUM(18,38*7,10))),"",INDIRECT("R9.Web!D"&amp;SUM(18,38*7,10))))</f>
        <v>N/T</v>
      </c>
      <c r="AR29" s="215" t="str" cm="1">
        <f t="array" aca="1" ref="AR29" ca="1">IF($B29="","",IF(ISBLANK(INDIRECT("R9.Web!D"&amp;SUM(18,38*8,10))),"",INDIRECT("R9.Web!D"&amp;SUM(18,38*8,10))))</f>
        <v>N/D</v>
      </c>
      <c r="AS29" s="215" t="str" cm="1">
        <f t="array" aca="1" ref="AS29" ca="1">IF($B29="","",IF(ISBLANK(INDIRECT("R9.Web!D"&amp;SUM(18,38*9,10))),"",INDIRECT("R9.Web!D"&amp;SUM(18,38*9,10))))</f>
        <v>N/D</v>
      </c>
      <c r="AT29" s="215" t="str" cm="1">
        <f t="array" aca="1" ref="AT29" ca="1">IF($B29="","",IF(ISBLANK(INDIRECT("R9.Web!D"&amp;SUM(18,38*10,10))),"",INDIRECT("R9.Web!D"&amp;SUM(18,38*10,10))))</f>
        <v>N/T</v>
      </c>
      <c r="AU29" s="215" t="str" cm="1">
        <f t="array" aca="1" ref="AU29" ca="1">IF($B29="","",IF(ISBLANK(INDIRECT("R9.Web!D"&amp;SUM(18,38*11,10))),"",INDIRECT("R9.Web!D"&amp;SUM(18,38*11,10))))</f>
        <v>N/T</v>
      </c>
      <c r="AV29" s="215" t="str" cm="1">
        <f t="array" aca="1" ref="AV29" ca="1">IF($B29="","",IF(ISBLANK(INDIRECT("R9.Web!D"&amp;SUM(18,38*12,10))),"",INDIRECT("R9.Web!D"&amp;SUM(18,38*12,10))))</f>
        <v>N/D</v>
      </c>
      <c r="AW29" s="215" t="str" cm="1">
        <f t="array" aca="1" ref="AW29" ca="1">IF($B29="","",IF(ISBLANK(INDIRECT("R9.Web!D"&amp;SUM(18,38*13,10))),"",INDIRECT("R9.Web!D"&amp;SUM(18,38*13,10))))</f>
        <v>N/T</v>
      </c>
      <c r="AX29" s="215" t="str" cm="1">
        <f t="array" aca="1" ref="AX29" ca="1">IF($B29="","",IF(ISBLANK(INDIRECT("R9.Web!D"&amp;SUM(18,38*14,10))),"",INDIRECT("R9.Web!D"&amp;SUM(18,38*14,10))))</f>
        <v>N/T</v>
      </c>
      <c r="AY29" s="215" t="str" cm="1">
        <f t="array" aca="1" ref="AY29" ca="1">IF($B29="","",IF(ISBLANK(INDIRECT("R9.Web!D"&amp;SUM(18,38*15,10))),"",INDIRECT("R9.Web!D"&amp;SUM(18,38*15,10))))</f>
        <v>N/D</v>
      </c>
      <c r="AZ29" s="215" t="str" cm="1">
        <f t="array" aca="1" ref="AZ29" ca="1">IF($B29="","",IF(ISBLANK(INDIRECT("R9.Web!D"&amp;SUM(18,38*16,10))),"",INDIRECT("R9.Web!D"&amp;SUM(18,38*16,10))))</f>
        <v>N/T</v>
      </c>
      <c r="BA29" s="215" t="str" cm="1">
        <f t="array" aca="1" ref="BA29" ca="1">IF($B29="","",IF(ISBLANK(INDIRECT("R9.Web!D"&amp;SUM(18,38*17,10))),"",INDIRECT("R9.Web!D"&amp;SUM(18,38*17,10))))</f>
        <v>N/D</v>
      </c>
      <c r="BB29" s="215" t="str" cm="1">
        <f t="array" aca="1" ref="BB29" ca="1">IF($B29="","",IF(ISBLANK(INDIRECT("R9.Web!D"&amp;SUM(18,38*18,10))),"",INDIRECT("R9.Web!D"&amp;SUM(18,38*18,10))))</f>
        <v>N/T</v>
      </c>
      <c r="BC29" s="215" t="str" cm="1">
        <f t="array" aca="1" ref="BC29" ca="1">IF($B29="","",IF(ISBLANK(INDIRECT("R9.Web!D"&amp;SUM(18,38*19,10))),"",INDIRECT("R9.Web!D"&amp;SUM(18,38*19,10))))</f>
        <v>N/D</v>
      </c>
      <c r="BD29" s="215" t="str" cm="1">
        <f t="array" aca="1" ref="BD29" ca="1">IF($B29="","",IF(ISBLANK(INDIRECT("R9.Web!D"&amp;SUM(18,38*20,10))),"",INDIRECT("R9.Web!D"&amp;SUM(18,38*20,10))))</f>
        <v>N/T</v>
      </c>
      <c r="BE29" s="215" t="str" cm="1">
        <f t="array" aca="1" ref="BE29" ca="1">IF($B29="","",IF(ISBLANK(INDIRECT("R9.Web!D"&amp;SUM(18,38*21,10))),"",INDIRECT("R9.Web!D"&amp;SUM(18,38*21,10))))</f>
        <v>N/T</v>
      </c>
      <c r="BF29" s="215" t="str" cm="1">
        <f t="array" aca="1" ref="BF29" ca="1">IF($B29="","",IF(ISBLANK(INDIRECT("R9.Web!D"&amp;SUM(18,38*22,10))),"",INDIRECT("R9.Web!D"&amp;SUM(18,38*22,10))))</f>
        <v>N/D</v>
      </c>
      <c r="BG29" s="215" t="str" cm="1">
        <f t="array" aca="1" ref="BG29" ca="1">IF($B29="","",IF(ISBLANK(INDIRECT("R9.Web!D"&amp;SUM(18,38*23,10))),"",INDIRECT("R9.Web!D"&amp;SUM(18,38*23,10))))</f>
        <v>N/D</v>
      </c>
      <c r="BH29" s="215" t="str" cm="1">
        <f t="array" aca="1" ref="BH29" ca="1">IF($B29="","",IF(ISBLANK(INDIRECT("R9.Web!D"&amp;SUM(18,38*24,10))),"",INDIRECT("R9.Web!D"&amp;SUM(18,38*24,10))))</f>
        <v>N/T</v>
      </c>
      <c r="BI29" s="215" t="str" cm="1">
        <f t="array" aca="1" ref="BI29" ca="1">IF($B29="","",IF(ISBLANK(INDIRECT("R9.Web!D"&amp;SUM(18,38*25,10))),"",INDIRECT("R9.Web!D"&amp;SUM(18,38*25,10))))</f>
        <v>N/D</v>
      </c>
      <c r="BJ29" s="215" t="str" cm="1">
        <f t="array" aca="1" ref="BJ29" ca="1">IF($B29="","",IF(ISBLANK(INDIRECT("R9.Web!D"&amp;SUM(18,38*26,10))),"",INDIRECT("R9.Web!D"&amp;SUM(18,38*26,10))))</f>
        <v>N/D</v>
      </c>
      <c r="BK29" s="215" t="str" cm="1">
        <f t="array" aca="1" ref="BK29" ca="1">IF($B29="","",IF(ISBLANK(INDIRECT("R9.Web!D"&amp;SUM(18,38*27,10))),"",INDIRECT("R9.Web!D"&amp;SUM(18,38*27,10))))</f>
        <v>N/D</v>
      </c>
      <c r="BL29" s="215" t="str" cm="1">
        <f t="array" aca="1" ref="BL29" ca="1">IF($B29="","",IF(ISBLANK(INDIRECT("R9.Web!D"&amp;SUM(18,38*28,10))),"",INDIRECT("R9.Web!D"&amp;SUM(18,38*28,10))))</f>
        <v>N/D</v>
      </c>
      <c r="BM29" s="215" t="str" cm="1">
        <f t="array" aca="1" ref="BM29" ca="1">IF($B29="","",IF(ISBLANK(INDIRECT("R9.Web!D"&amp;SUM(18,38*29,10))),"",INDIRECT("R9.Web!D"&amp;SUM(18,38*29,10))))</f>
        <v>N/D</v>
      </c>
      <c r="BN29" s="215" t="str" cm="1">
        <f t="array" aca="1" ref="BN29" ca="1">IF($B29="","",IF(ISBLANK(INDIRECT("R9.Web!D"&amp;SUM(18,38*30,10))),"",INDIRECT("R9.Web!D"&amp;SUM(18,38*30,10))))</f>
        <v>N/T</v>
      </c>
      <c r="BO29" s="215" t="str" cm="1">
        <f t="array" aca="1" ref="BO29" ca="1">IF($B29="","",IF(ISBLANK(INDIRECT("R9.Web!D"&amp;SUM(18,38*31,10))),"",INDIRECT("R9.Web!D"&amp;SUM(18,38*31,10))))</f>
        <v>Falla</v>
      </c>
      <c r="BP29" s="215" t="str" cm="1">
        <f t="array" aca="1" ref="BP29" ca="1">IF($B29="","",IF(ISBLANK(INDIRECT("R9.Web!D"&amp;SUM(18,38*32,10))),"",INDIRECT("R9.Web!D"&amp;SUM(18,38*32,10))))</f>
        <v>N/T</v>
      </c>
      <c r="BQ29" s="215" t="str" cm="1">
        <f t="array" aca="1" ref="BQ29" ca="1">IF($B29="","",IF(ISBLANK(INDIRECT("R9.Web!D"&amp;SUM(18,38*33,10))),"",INDIRECT("R9.Web!D"&amp;SUM(18,38*33,10))))</f>
        <v>N/T</v>
      </c>
      <c r="BR29" s="215" t="str" cm="1">
        <f t="array" aca="1" ref="BR29" ca="1">IF($B29="","",IF(ISBLANK(INDIRECT("R9.Web!D"&amp;SUM(18,38*34,10))),"",INDIRECT("R9.Web!D"&amp;SUM(18,38*34,10))))</f>
        <v>N/D</v>
      </c>
      <c r="BS29" s="215" t="str" cm="1">
        <f t="array" aca="1" ref="BS29" ca="1">IF($B29="","",IF(ISBLANK(INDIRECT("R9.Web!D"&amp;SUM(18,38*35,10))),"",INDIRECT("R9.Web!D"&amp;SUM(18,38*35,10))))</f>
        <v>N/T</v>
      </c>
      <c r="BT29" s="215" t="str" cm="1">
        <f t="array" aca="1" ref="BT29" ca="1">IF($B29="","",IF(ISBLANK(INDIRECT("R9.Web!D"&amp;SUM(18,38*36,10))),"",INDIRECT("R9.Web!D"&amp;SUM(18,38*36,10))))</f>
        <v>N/D</v>
      </c>
      <c r="BU29" s="215" t="str" cm="1">
        <f t="array" aca="1" ref="BU29" ca="1">IF($B29="","",IF(ISBLANK(INDIRECT("R9.Web!D"&amp;SUM(18,38*37,10))),"",INDIRECT("R9.Web!D"&amp;SUM(18,38*37,10))))</f>
        <v>N/D</v>
      </c>
      <c r="BV29" s="215" t="str" cm="1">
        <f t="array" aca="1" ref="BV29" ca="1">IF($B29="","",IF(ISBLANK(INDIRECT("R9.Web!D"&amp;SUM(18,38*38,10))),"",INDIRECT("R9.Web!D"&amp;SUM(18,38*38,10))))</f>
        <v>N/D</v>
      </c>
      <c r="BW29" s="215" t="str" cm="1">
        <f t="array" aca="1" ref="BW29" ca="1">IF($B29="","",IF(ISBLANK(INDIRECT("R9.Web!D"&amp;SUM(18,38*39,10))),"",INDIRECT("R9.Web!D"&amp;SUM(18,38*39,10))))</f>
        <v>N/D</v>
      </c>
      <c r="BX29" s="215" t="str" cm="1">
        <f t="array" aca="1" ref="BX29" ca="1">IF($B29="","",IF(ISBLANK(INDIRECT("R9.Web!D"&amp;SUM(18,38*40,10))),"",INDIRECT("R9.Web!D"&amp;SUM(18,38*40,10))))</f>
        <v>N/D</v>
      </c>
      <c r="BY29" s="215" t="str" cm="1">
        <f t="array" aca="1" ref="BY29" ca="1">IF($B29="","",IF(ISBLANK(INDIRECT("R9.Web!D"&amp;SUM(18,38*41,10))),"",INDIRECT("R9.Web!D"&amp;SUM(18,38*41,10))))</f>
        <v>N/T</v>
      </c>
      <c r="BZ29" s="215" t="str" cm="1">
        <f t="array" aca="1" ref="BZ29" ca="1">IF($B29="","",IF(ISBLANK(INDIRECT("R9.Web!D"&amp;SUM(18,38*42,10))),"",INDIRECT("R9.Web!D"&amp;SUM(18,38*42,10))))</f>
        <v>N/T</v>
      </c>
      <c r="CA29" s="215" t="str" cm="1">
        <f t="array" aca="1" ref="CA29" ca="1">IF($B29="","",IF(ISBLANK(INDIRECT("R9.Web!D"&amp;SUM(18,38*43,10))),"",INDIRECT("R9.Web!D"&amp;SUM(18,38*43,10))))</f>
        <v>N/D</v>
      </c>
      <c r="CB29" s="215" t="str" cm="1">
        <f t="array" aca="1" ref="CB29" ca="1">IF($B29="","",IF(ISBLANK(INDIRECT("R9.Web!D"&amp;SUM(18,38*44,10))),"",INDIRECT("R9.Web!D"&amp;SUM(18,38*44,10))))</f>
        <v>N/T</v>
      </c>
      <c r="CC29" s="215" t="str" cm="1">
        <f t="array" aca="1" ref="CC29" ca="1">IF($B29="","",IF(ISBLANK(INDIRECT("R9.Web!D"&amp;SUM(18,38*45,10))),"",INDIRECT("R9.Web!D"&amp;SUM(18,38*45,10))))</f>
        <v>N/T</v>
      </c>
      <c r="CD29" s="215" t="str" cm="1">
        <f t="array" aca="1" ref="CD29" ca="1">IF($B29="","",IF(ISBLANK(INDIRECT("R9.Web!D"&amp;SUM(18,38*46,10))),"",INDIRECT("R9.Web!D"&amp;SUM(18,38*46,10))))</f>
        <v>N/T</v>
      </c>
      <c r="CE29" s="215" t="str" cm="1">
        <f t="array" aca="1" ref="CE29" ca="1">IF($B29="","",IF(ISBLANK(INDIRECT("R9.Web!D"&amp;SUM(18,38*47,10))),"",INDIRECT("R9.Web!D"&amp;SUM(18,38*47,10))))</f>
        <v>N/D</v>
      </c>
      <c r="CF29" s="215" t="str" cm="1">
        <f t="array" aca="1" ref="CF29" ca="1">IF($B29="","",IF(ISBLANK(INDIRECT("R9.Web!D"&amp;SUM(18,38*48,10))),"",INDIRECT("R9.Web!D"&amp;SUM(18,38*48,10))))</f>
        <v>N/T</v>
      </c>
      <c r="CG29" s="215" t="str" cm="1">
        <f t="array" aca="1" ref="CG29" ca="1">IF($B29="","",IF(ISBLANK(INDIRECT("R9.Web!D"&amp;SUM(18,38*49,10))),"",INDIRECT("R9.Web!D"&amp;SUM(18,38*49,10))))</f>
        <v>N/T</v>
      </c>
      <c r="CH29" s="215" t="str" cm="1">
        <f t="array" aca="1" ref="CH29" ca="1">IF($B29="","",IF(ISBLANK(INDIRECT("R11.Software!D"&amp;SUM(18,38*0,10))),"",INDIRECT("R11.Software!D"&amp;SUM(18,38*0,10))))</f>
        <v>N/T</v>
      </c>
      <c r="CI29" s="215" t="str" cm="1">
        <f t="array" aca="1" ref="CI29" ca="1">IF($B29="","",IF(ISBLANK(INDIRECT("R11.Software!D"&amp;SUM(18,38*1,10))),"",INDIRECT("R11.Software!D"&amp;SUM(18,38*1,10))))</f>
        <v>N/T</v>
      </c>
      <c r="CJ29" s="215" t="str" cm="1">
        <f t="array" aca="1" ref="CJ29" ca="1">IF($B29="","",IF(ISBLANK(INDIRECT("R11.Software!D"&amp;SUM(18,38*2,10))),"",INDIRECT("R11.Software!D"&amp;SUM(18,38*2,10))))</f>
        <v>N/T</v>
      </c>
      <c r="CK29" s="215" t="str" cm="1">
        <f t="array" aca="1" ref="CK29" ca="1">IF($B29="","",IF(ISBLANK(INDIRECT("R11.Software!D"&amp;SUM(18,38*3,10))),"",INDIRECT("R11.Software!D"&amp;SUM(18,38*3,10))))</f>
        <v>N/T</v>
      </c>
      <c r="CL29" s="215" t="str" cm="1">
        <f t="array" aca="1" ref="CL29" ca="1">IF($B29="","",IF(ISBLANK(INDIRECT("R11.Software!D"&amp;SUM(18,38*4,10))),"",INDIRECT("R11.Software!D"&amp;SUM(18,38*4,10))))</f>
        <v>N/T</v>
      </c>
      <c r="CM29" s="215" t="str" cm="1">
        <f t="array" aca="1" ref="CM29" ca="1">IF($B29="","",IF(ISBLANK(INDIRECT("R11.Software!D"&amp;SUM(18,38*5,10))),"",INDIRECT("R11.Software!D"&amp;SUM(18,38*5,10))))</f>
        <v>N/T</v>
      </c>
      <c r="CN29" s="215" t="str" cm="1">
        <f t="array" aca="1" ref="CN29" ca="1">IF($B29="","",IF(ISBLANK(INDIRECT("R12.ServiciosApoyo!D"&amp;SUM(18,38*0,10))),"",INDIRECT("R12.ServiciosApoyo!D"&amp;SUM(18,38*0,10))))</f>
        <v>N/T</v>
      </c>
      <c r="CO29" s="215" t="str" cm="1">
        <f t="array" aca="1" ref="CO29" ca="1">IF($B29="","",IF(ISBLANK(INDIRECT("R12.ServiciosApoyo!D"&amp;SUM(18,38*1,10))),"",INDIRECT("R12.ServiciosApoyo!D"&amp;SUM(18,38*1,10))))</f>
        <v>N/T</v>
      </c>
      <c r="CP29" s="215" t="str" cm="1">
        <f t="array" aca="1" ref="CP29" ca="1">IF($B29="","",IF(ISBLANK(INDIRECT("R12.ServiciosApoyo!D"&amp;SUM(18,38*2,10))),"",INDIRECT("R12.ServiciosApoyo!D"&amp;SUM(18,38*2,10))))</f>
        <v>N/T</v>
      </c>
      <c r="CQ29" s="215" t="str" cm="1">
        <f t="array" aca="1" ref="CQ29" ca="1">IF($B29="","",IF(ISBLANK(INDIRECT("R12.ServiciosApoyo!D"&amp;SUM(18,38*3,10))),"",INDIRECT("R12.ServiciosApoyo!D"&amp;SUM(18,38*3,10))))</f>
        <v>N/T</v>
      </c>
      <c r="CR29" s="215" t="str" cm="1">
        <f t="array" aca="1" ref="CR29" ca="1">IF($B29="","",IF(ISBLANK(INDIRECT("R12.ServiciosApoyo!D"&amp;SUM(18,38*4,10))),"",INDIRECT("R12.ServiciosApoyo!D"&amp;SUM(18,38*4,10))))</f>
        <v>N/T</v>
      </c>
      <c r="CU29" s="100"/>
      <c r="CV29" s="29"/>
      <c r="CW29" s="29"/>
      <c r="CX29" s="29"/>
    </row>
    <row r="30" spans="2:102" ht="20.25">
      <c r="B30" s="181" t="n" cm="1">
        <f t="array" ref="B30">IFERROR(INDEX('03.Muestra'!$B$8:$B$42,SMALL(IF("Página Web"='03.Muestra'!$D$8:$D$42,ROW('03.Muestra'!$B$8:$B$42)-MIN(ROW('03.Muestra'!$D$8:$D$42))+1,""),ROW()-19)),"")</f>
        <v>1.0</v>
      </c>
      <c r="C30" s="97" t="str" cm="1">
        <f t="array" ref="C30">IFERROR(INDEX('03.Muestra'!$C$8:$C$42,SMALL(IF("Página Web"='03.Muestra'!$D$8:$D$42,ROW('03.Muestra'!$C$8:$C$42)-MIN(ROW('03.Muestra'!$D$8:$D$42))+1,""),ROW()-19)),"")</f>
        <v>Home - PortCastelló</v>
      </c>
      <c r="D30" s="98" t="str" cm="1">
        <f t="array" ref="D30">IFERROR(INDEX('03.Muestra'!$F$8:$F$42,SMALL(IF("Página Web"='03.Muestra'!$D$8:$D$42,ROW('03.Muestra'!$F$8:$F$42)-MIN(ROW('03.Muestra'!$D$8:$D$42))+1,""),ROW()-19)),"")</f>
        <v>https://www.portcastello.com/</v>
      </c>
      <c r="E30" s="215" t="str" cm="1">
        <f t="array" aca="1" ref="E30" ca="1">IF($B30="","",IF(ISBLANK(INDIRECT("R5.Genéricos!D"&amp;SUM(18,38*0,11))),"",INDIRECT("R5.Genéricos!D"&amp;SUM(18,38*0,11))))</f>
        <v>N/T</v>
      </c>
      <c r="F30" s="215" t="str" cm="1">
        <f t="array" aca="1" ref="F30" ca="1">IF($B30="","",IF(ISBLANK(INDIRECT("R5.Genéricos!D"&amp;SUM(18,38*1,11))),"",INDIRECT("R5.Genéricos!D"&amp;SUM(18,38*1,11))))</f>
        <v>N/T</v>
      </c>
      <c r="G30" s="215" t="str" cm="1">
        <f t="array" aca="1" ref="G30" ca="1">IF($B30="","",IF(ISBLANK(INDIRECT("R5.Genéricos!D"&amp;SUM(18,38*2,11))),"",INDIRECT("R5.Genéricos!D"&amp;SUM(18,38*2,11))))</f>
        <v>N/T</v>
      </c>
      <c r="H30" s="215" t="str" cm="1">
        <f t="array" aca="1" ref="H30" ca="1">IF($B30="","",IF(ISBLANK(INDIRECT("R6.Voz!D"&amp;SUM(18,38*0,11))),"",INDIRECT("R6.Voz!D"&amp;SUM(18,38*0,11))))</f>
        <v>N/T</v>
      </c>
      <c r="I30" s="215" t="str" cm="1">
        <f t="array" aca="1" ref="I30" ca="1">IF($B30="","",IF(ISBLANK(INDIRECT("R6.Voz!D"&amp;SUM(18,38*1,11))),"",INDIRECT("R6.Voz!D"&amp;SUM(18,38*1,11))))</f>
        <v>N/T</v>
      </c>
      <c r="J30" s="215" t="str" cm="1">
        <f t="array" aca="1" ref="J30" ca="1">IF($B30="","",IF(ISBLANK(INDIRECT("R6.Voz!D"&amp;SUM(18,38*2,11))),"",INDIRECT("R6.Voz!D"&amp;SUM(18,38*2,11))))</f>
        <v>N/T</v>
      </c>
      <c r="K30" s="215" t="str" cm="1">
        <f t="array" aca="1" ref="K30" ca="1">IF($B30="","",IF(ISBLANK(INDIRECT("R6.Voz!D"&amp;SUM(18,38*3,11))),"",INDIRECT("R6.Voz!D"&amp;SUM(18,38*3,11))))</f>
        <v>N/T</v>
      </c>
      <c r="L30" s="215" t="str" cm="1">
        <f t="array" aca="1" ref="L30" ca="1">IF($B30="","",IF(ISBLANK(INDIRECT("R6.Voz!D"&amp;SUM(18,38*4,11))),"",INDIRECT("R6.Voz!D"&amp;SUM(18,38*4,11))))</f>
        <v>N/T</v>
      </c>
      <c r="M30" s="215" t="str" cm="1">
        <f t="array" aca="1" ref="M30" ca="1">IF($B30="","",IF(ISBLANK(INDIRECT("R6.Voz!D"&amp;SUM(18,38*5,11))),"",INDIRECT("R6.Voz!D"&amp;SUM(18,38*5,11))))</f>
        <v>N/T</v>
      </c>
      <c r="N30" s="215" t="str" cm="1">
        <f t="array" aca="1" ref="N30" ca="1">IF($B30="","",IF(ISBLANK(INDIRECT("R6.Voz!D"&amp;SUM(18,38*6,11))),"",INDIRECT("R6.Voz!D"&amp;SUM(18,38*6,11))))</f>
        <v>N/T</v>
      </c>
      <c r="O30" s="215" t="str" cm="1">
        <f t="array" aca="1" ref="O30" ca="1">IF($B30="","",IF(ISBLANK(INDIRECT("R6.Voz!D"&amp;SUM(18,38*7,11))),"",INDIRECT("R6.Voz!D"&amp;SUM(18,38*7,11))))</f>
        <v>N/T</v>
      </c>
      <c r="P30" s="215" t="str" cm="1">
        <f t="array" aca="1" ref="P30" ca="1">IF($B30="","",IF(ISBLANK(INDIRECT("R6.Voz!D"&amp;SUM(18,38*8,11))),"",INDIRECT("R6.Voz!D"&amp;SUM(18,38*8,11))))</f>
        <v>N/T</v>
      </c>
      <c r="Q30" s="215" t="str" cm="1">
        <f t="array" aca="1" ref="Q30" ca="1">IF($B30="","",IF(ISBLANK(INDIRECT("R6.Voz!D"&amp;SUM(18,38*9,11))),"",INDIRECT("R6.Voz!D"&amp;SUM(18,38*9,11))))</f>
        <v>N/T</v>
      </c>
      <c r="R30" s="215" t="str" cm="1">
        <f t="array" aca="1" ref="R30" ca="1">IF($B30="","",IF(ISBLANK(INDIRECT("R6.Voz!D"&amp;SUM(18,38*10,11))),"",INDIRECT("R6.Voz!D"&amp;SUM(18,38*10,11))))</f>
        <v>N/T</v>
      </c>
      <c r="S30" s="215" t="str" cm="1">
        <f t="array" aca="1" ref="S30" ca="1">IF($B30="","",IF(ISBLANK(INDIRECT("R6.Voz!D"&amp;SUM(18,38*11,11))),"",INDIRECT("R6.Voz!D"&amp;SUM(18,38*11,11))))</f>
        <v>N/T</v>
      </c>
      <c r="T30" s="215" t="str" cm="1">
        <f t="array" aca="1" ref="T30" ca="1">IF($B30="","",IF(ISBLANK(INDIRECT("R6.Voz!D"&amp;SUM(18,38*12,11))),"",INDIRECT("R6.Voz!D"&amp;SUM(18,38*12,11))))</f>
        <v>N/T</v>
      </c>
      <c r="U30" s="215" t="str" cm="1">
        <f t="array" aca="1" ref="U30" ca="1">IF($B30="","",IF(ISBLANK(INDIRECT("R6.Voz!D"&amp;SUM(18,38*13,11))),"",INDIRECT("R6.Voz!D"&amp;SUM(18,38*13,11))))</f>
        <v>N/T</v>
      </c>
      <c r="V30" s="215" t="str" cm="1">
        <f t="array" aca="1" ref="V30" ca="1">IF($B30="","",IF(ISBLANK(INDIRECT("R6.Voz!D"&amp;SUM(18,38*14,11))),"",INDIRECT("R6.Voz!D"&amp;SUM(18,38*14,11))))</f>
        <v>N/T</v>
      </c>
      <c r="W30" s="215" t="str" cm="1">
        <f t="array" aca="1" ref="W30" ca="1">IF($B30="","",IF(ISBLANK(INDIRECT("R6.Voz!D"&amp;SUM(18,38*15,11))),"",INDIRECT("R6.Voz!D"&amp;SUM(18,38*15,11))))</f>
        <v>N/T</v>
      </c>
      <c r="X30" s="215" t="str" cm="1">
        <f t="array" aca="1" ref="X30" ca="1">IF($B30="","",IF(ISBLANK(INDIRECT("R6.Voz!D"&amp;SUM(18,38*16,11))),"",INDIRECT("R6.Voz!D"&amp;SUM(18,38*16,11))))</f>
        <v>N/T</v>
      </c>
      <c r="Y30" s="215" t="str" cm="1">
        <f t="array" aca="1" ref="Y30" ca="1">IF($B30="","",IF(ISBLANK(INDIRECT("R6.Voz!D"&amp;SUM(18,38*17,11))),"",INDIRECT("R6.Voz!D"&amp;SUM(18,38*17,11))))</f>
        <v>N/T</v>
      </c>
      <c r="Z30" s="215" t="str" cm="1">
        <f t="array" aca="1" ref="Z30" ca="1">IF($B30="","",IF(ISBLANK(INDIRECT("R6.Voz!D"&amp;SUM(18,38*18,11))),"",INDIRECT("R6.Voz!D"&amp;SUM(18,38*18,11))))</f>
        <v>N/T</v>
      </c>
      <c r="AA30" s="215" t="str" cm="1">
        <f t="array" aca="1" ref="AA30" ca="1">IF($B30="","",IF(ISBLANK(INDIRECT("R7.Video!D"&amp;SUM(18,38*0,11))),"",INDIRECT("R7.Video!D"&amp;SUM(18,38*0,11))))</f>
        <v>N/T</v>
      </c>
      <c r="AB30" s="215" t="str" cm="1">
        <f t="array" aca="1" ref="AB30" ca="1">IF($B30="","",IF(ISBLANK(INDIRECT("R7.Video!D"&amp;SUM(18,38*1,11))),"",INDIRECT("R7.Video!D"&amp;SUM(18,38*1,11))))</f>
        <v>N/T</v>
      </c>
      <c r="AC30" s="215" t="str" cm="1">
        <f t="array" aca="1" ref="AC30" ca="1">IF($B30="","",IF(ISBLANK(INDIRECT("R7.Video!D"&amp;SUM(18,38*2,11))),"",INDIRECT("R7.Video!D"&amp;SUM(18,38*2,11))))</f>
        <v>N/T</v>
      </c>
      <c r="AD30" s="215" t="str" cm="1">
        <f t="array" aca="1" ref="AD30" ca="1">IF($B30="","",IF(ISBLANK(INDIRECT("R7.Video!D"&amp;SUM(18,38*3,11))),"",INDIRECT("R7.Video!D"&amp;SUM(18,38*3,11))))</f>
        <v>N/T</v>
      </c>
      <c r="AE30" s="215" t="str" cm="1">
        <f t="array" aca="1" ref="AE30" ca="1">IF($B30="","",IF(ISBLANK(INDIRECT("R7.Video!D"&amp;SUM(18,38*4,11))),"",INDIRECT("R7.Video!D"&amp;SUM(18,38*4,11))))</f>
        <v>N/T</v>
      </c>
      <c r="AF30" s="215" t="str" cm="1">
        <f t="array" aca="1" ref="AF30" ca="1">IF($B30="","",IF(ISBLANK(INDIRECT("R7.Video!D"&amp;SUM(18,38*5,11))),"",INDIRECT("R7.Video!D"&amp;SUM(18,38*5,11))))</f>
        <v>N/T</v>
      </c>
      <c r="AG30" s="215" t="str" cm="1">
        <f t="array" aca="1" ref="AG30" ca="1">IF($B30="","",IF(ISBLANK(INDIRECT("R7.Video!D"&amp;SUM(18,38*6,11))),"",INDIRECT("R7.Video!D"&amp;SUM(18,38*6,11))))</f>
        <v>N/T</v>
      </c>
      <c r="AH30" s="215" t="str" cm="1">
        <f t="array" aca="1" ref="AH30" ca="1">IF($B30="","",IF(ISBLANK(INDIRECT("R7.Video!D"&amp;SUM(18,38*7,11))),"",INDIRECT("R7.Video!D"&amp;SUM(18,38*7,11))))</f>
        <v>N/T</v>
      </c>
      <c r="AI30" s="215" t="str" cm="1">
        <f t="array" aca="1" ref="AI30" ca="1">IF($B30="","",IF(ISBLANK(INDIRECT("R7.Video!D"&amp;SUM(18,38*8,11))),"",INDIRECT("R7.Video!D"&amp;SUM(18,38*8,11))))</f>
        <v>N/T</v>
      </c>
      <c r="AJ30" s="215" t="str" cm="1">
        <f t="array" aca="1" ref="AJ30" ca="1">IF($B30="","",IF(ISBLANK(INDIRECT("R9.Web!D"&amp;SUM(18,38*0,11))),"",INDIRECT("R9.Web!D"&amp;SUM(18,38*0,11))))</f>
        <v>N/D</v>
      </c>
      <c r="AK30" s="215" t="str" cm="1">
        <f t="array" aca="1" ref="AK30" ca="1">IF($B30="","",IF(ISBLANK(INDIRECT("R9.Web!D"&amp;SUM(18,38*1,11))),"",INDIRECT("R9.Web!D"&amp;SUM(18,38*1,11))))</f>
        <v>N/T</v>
      </c>
      <c r="AL30" s="215" t="str" cm="1">
        <f t="array" aca="1" ref="AL30" ca="1">IF($B30="","",IF(ISBLANK(INDIRECT("R9.Web!D"&amp;SUM(18,38*2,11))),"",INDIRECT("R9.Web!D"&amp;SUM(18,38*2,11))))</f>
        <v>N/T</v>
      </c>
      <c r="AM30" s="215" t="str" cm="1">
        <f t="array" aca="1" ref="AM30" ca="1">IF($B30="","",IF(ISBLANK(INDIRECT("R9.Web!D"&amp;SUM(18,38*3,11))),"",INDIRECT("R9.Web!D"&amp;SUM(18,38*3,11))))</f>
        <v>N/T</v>
      </c>
      <c r="AN30" s="215" t="str" cm="1">
        <f t="array" aca="1" ref="AN30" ca="1">IF($B30="","",IF(ISBLANK(INDIRECT("R9.Web!D"&amp;SUM(18,38*4,11))),"",INDIRECT("R9.Web!D"&amp;SUM(18,38*4,11))))</f>
        <v>N/T</v>
      </c>
      <c r="AO30" s="215" t="str" cm="1">
        <f t="array" aca="1" ref="AO30" ca="1">IF($B30="","",IF(ISBLANK(INDIRECT("R9.Web!D"&amp;SUM(18,38*5,11))),"",INDIRECT("R9.Web!D"&amp;SUM(18,38*5,11))))</f>
        <v>N/D</v>
      </c>
      <c r="AP30" s="215" t="str" cm="1">
        <f t="array" aca="1" ref="AP30" ca="1">IF($B30="","",IF(ISBLANK(INDIRECT("R9.Web!D"&amp;SUM(18,38*6,11))),"",INDIRECT("R9.Web!D"&amp;SUM(18,38*6,11))))</f>
        <v>N/T</v>
      </c>
      <c r="AQ30" s="215" t="str" cm="1">
        <f t="array" aca="1" ref="AQ30" ca="1">IF($B30="","",IF(ISBLANK(INDIRECT("R9.Web!D"&amp;SUM(18,38*7,11))),"",INDIRECT("R9.Web!D"&amp;SUM(18,38*7,11))))</f>
        <v>N/T</v>
      </c>
      <c r="AR30" s="215" t="str" cm="1">
        <f t="array" aca="1" ref="AR30" ca="1">IF($B30="","",IF(ISBLANK(INDIRECT("R9.Web!D"&amp;SUM(18,38*8,11))),"",INDIRECT("R9.Web!D"&amp;SUM(18,38*8,11))))</f>
        <v>N/D</v>
      </c>
      <c r="AS30" s="215" t="str" cm="1">
        <f t="array" aca="1" ref="AS30" ca="1">IF($B30="","",IF(ISBLANK(INDIRECT("R9.Web!D"&amp;SUM(18,38*9,11))),"",INDIRECT("R9.Web!D"&amp;SUM(18,38*9,11))))</f>
        <v>N/D</v>
      </c>
      <c r="AT30" s="215" t="str" cm="1">
        <f t="array" aca="1" ref="AT30" ca="1">IF($B30="","",IF(ISBLANK(INDIRECT("R9.Web!D"&amp;SUM(18,38*10,11))),"",INDIRECT("R9.Web!D"&amp;SUM(18,38*10,11))))</f>
        <v>N/T</v>
      </c>
      <c r="AU30" s="215" t="str" cm="1">
        <f t="array" aca="1" ref="AU30" ca="1">IF($B30="","",IF(ISBLANK(INDIRECT("R9.Web!D"&amp;SUM(18,38*11,11))),"",INDIRECT("R9.Web!D"&amp;SUM(18,38*11,11))))</f>
        <v>N/T</v>
      </c>
      <c r="AV30" s="215" t="str" cm="1">
        <f t="array" aca="1" ref="AV30" ca="1">IF($B30="","",IF(ISBLANK(INDIRECT("R9.Web!D"&amp;SUM(18,38*12,11))),"",INDIRECT("R9.Web!D"&amp;SUM(18,38*12,11))))</f>
        <v>N/D</v>
      </c>
      <c r="AW30" s="215" t="str" cm="1">
        <f t="array" aca="1" ref="AW30" ca="1">IF($B30="","",IF(ISBLANK(INDIRECT("R9.Web!D"&amp;SUM(18,38*13,11))),"",INDIRECT("R9.Web!D"&amp;SUM(18,38*13,11))))</f>
        <v>N/T</v>
      </c>
      <c r="AX30" s="215" t="str" cm="1">
        <f t="array" aca="1" ref="AX30" ca="1">IF($B30="","",IF(ISBLANK(INDIRECT("R9.Web!D"&amp;SUM(18,38*14,11))),"",INDIRECT("R9.Web!D"&amp;SUM(18,38*14,11))))</f>
        <v>N/T</v>
      </c>
      <c r="AY30" s="215" t="str" cm="1">
        <f t="array" aca="1" ref="AY30" ca="1">IF($B30="","",IF(ISBLANK(INDIRECT("R9.Web!D"&amp;SUM(18,38*15,11))),"",INDIRECT("R9.Web!D"&amp;SUM(18,38*15,11))))</f>
        <v>N/D</v>
      </c>
      <c r="AZ30" s="215" t="str" cm="1">
        <f t="array" aca="1" ref="AZ30" ca="1">IF($B30="","",IF(ISBLANK(INDIRECT("R9.Web!D"&amp;SUM(18,38*16,11))),"",INDIRECT("R9.Web!D"&amp;SUM(18,38*16,11))))</f>
        <v>N/T</v>
      </c>
      <c r="BA30" s="215" t="str" cm="1">
        <f t="array" aca="1" ref="BA30" ca="1">IF($B30="","",IF(ISBLANK(INDIRECT("R9.Web!D"&amp;SUM(18,38*17,11))),"",INDIRECT("R9.Web!D"&amp;SUM(18,38*17,11))))</f>
        <v>N/D</v>
      </c>
      <c r="BB30" s="215" t="str" cm="1">
        <f t="array" aca="1" ref="BB30" ca="1">IF($B30="","",IF(ISBLANK(INDIRECT("R9.Web!D"&amp;SUM(18,38*18,11))),"",INDIRECT("R9.Web!D"&amp;SUM(18,38*18,11))))</f>
        <v>N/T</v>
      </c>
      <c r="BC30" s="215" t="str" cm="1">
        <f t="array" aca="1" ref="BC30" ca="1">IF($B30="","",IF(ISBLANK(INDIRECT("R9.Web!D"&amp;SUM(18,38*19,11))),"",INDIRECT("R9.Web!D"&amp;SUM(18,38*19,11))))</f>
        <v>N/D</v>
      </c>
      <c r="BD30" s="215" t="str" cm="1">
        <f t="array" aca="1" ref="BD30" ca="1">IF($B30="","",IF(ISBLANK(INDIRECT("R9.Web!D"&amp;SUM(18,38*20,11))),"",INDIRECT("R9.Web!D"&amp;SUM(18,38*20,11))))</f>
        <v>N/T</v>
      </c>
      <c r="BE30" s="215" t="str" cm="1">
        <f t="array" aca="1" ref="BE30" ca="1">IF($B30="","",IF(ISBLANK(INDIRECT("R9.Web!D"&amp;SUM(18,38*21,11))),"",INDIRECT("R9.Web!D"&amp;SUM(18,38*21,11))))</f>
        <v>N/T</v>
      </c>
      <c r="BF30" s="215" t="str" cm="1">
        <f t="array" aca="1" ref="BF30" ca="1">IF($B30="","",IF(ISBLANK(INDIRECT("R9.Web!D"&amp;SUM(18,38*22,11))),"",INDIRECT("R9.Web!D"&amp;SUM(18,38*22,11))))</f>
        <v>N/D</v>
      </c>
      <c r="BG30" s="215" t="str" cm="1">
        <f t="array" aca="1" ref="BG30" ca="1">IF($B30="","",IF(ISBLANK(INDIRECT("R9.Web!D"&amp;SUM(18,38*23,11))),"",INDIRECT("R9.Web!D"&amp;SUM(18,38*23,11))))</f>
        <v>N/D</v>
      </c>
      <c r="BH30" s="215" t="str" cm="1">
        <f t="array" aca="1" ref="BH30" ca="1">IF($B30="","",IF(ISBLANK(INDIRECT("R9.Web!D"&amp;SUM(18,38*24,11))),"",INDIRECT("R9.Web!D"&amp;SUM(18,38*24,11))))</f>
        <v>N/T</v>
      </c>
      <c r="BI30" s="215" t="str" cm="1">
        <f t="array" aca="1" ref="BI30" ca="1">IF($B30="","",IF(ISBLANK(INDIRECT("R9.Web!D"&amp;SUM(18,38*25,11))),"",INDIRECT("R9.Web!D"&amp;SUM(18,38*25,11))))</f>
        <v>N/D</v>
      </c>
      <c r="BJ30" s="215" t="str" cm="1">
        <f t="array" aca="1" ref="BJ30" ca="1">IF($B30="","",IF(ISBLANK(INDIRECT("R9.Web!D"&amp;SUM(18,38*26,11))),"",INDIRECT("R9.Web!D"&amp;SUM(18,38*26,11))))</f>
        <v>N/D</v>
      </c>
      <c r="BK30" s="215" t="str" cm="1">
        <f t="array" aca="1" ref="BK30" ca="1">IF($B30="","",IF(ISBLANK(INDIRECT("R9.Web!D"&amp;SUM(18,38*27,11))),"",INDIRECT("R9.Web!D"&amp;SUM(18,38*27,11))))</f>
        <v>N/D</v>
      </c>
      <c r="BL30" s="215" t="str" cm="1">
        <f t="array" aca="1" ref="BL30" ca="1">IF($B30="","",IF(ISBLANK(INDIRECT("R9.Web!D"&amp;SUM(18,38*28,11))),"",INDIRECT("R9.Web!D"&amp;SUM(18,38*28,11))))</f>
        <v>N/D</v>
      </c>
      <c r="BM30" s="215" t="str" cm="1">
        <f t="array" aca="1" ref="BM30" ca="1">IF($B30="","",IF(ISBLANK(INDIRECT("R9.Web!D"&amp;SUM(18,38*29,11))),"",INDIRECT("R9.Web!D"&amp;SUM(18,38*29,11))))</f>
        <v>N/D</v>
      </c>
      <c r="BN30" s="215" t="str" cm="1">
        <f t="array" aca="1" ref="BN30" ca="1">IF($B30="","",IF(ISBLANK(INDIRECT("R9.Web!D"&amp;SUM(18,38*30,11))),"",INDIRECT("R9.Web!D"&amp;SUM(18,38*30,11))))</f>
        <v>N/T</v>
      </c>
      <c r="BO30" s="215" t="str" cm="1">
        <f t="array" aca="1" ref="BO30" ca="1">IF($B30="","",IF(ISBLANK(INDIRECT("R9.Web!D"&amp;SUM(18,38*31,11))),"",INDIRECT("R9.Web!D"&amp;SUM(18,38*31,11))))</f>
        <v>Falla</v>
      </c>
      <c r="BP30" s="215" t="str" cm="1">
        <f t="array" aca="1" ref="BP30" ca="1">IF($B30="","",IF(ISBLANK(INDIRECT("R9.Web!D"&amp;SUM(18,38*32,11))),"",INDIRECT("R9.Web!D"&amp;SUM(18,38*32,11))))</f>
        <v>N/T</v>
      </c>
      <c r="BQ30" s="215" t="str" cm="1">
        <f t="array" aca="1" ref="BQ30" ca="1">IF($B30="","",IF(ISBLANK(INDIRECT("R9.Web!D"&amp;SUM(18,38*33,11))),"",INDIRECT("R9.Web!D"&amp;SUM(18,38*33,11))))</f>
        <v>N/T</v>
      </c>
      <c r="BR30" s="215" t="str" cm="1">
        <f t="array" aca="1" ref="BR30" ca="1">IF($B30="","",IF(ISBLANK(INDIRECT("R9.Web!D"&amp;SUM(18,38*34,11))),"",INDIRECT("R9.Web!D"&amp;SUM(18,38*34,11))))</f>
        <v>N/D</v>
      </c>
      <c r="BS30" s="215" t="str" cm="1">
        <f t="array" aca="1" ref="BS30" ca="1">IF($B30="","",IF(ISBLANK(INDIRECT("R9.Web!D"&amp;SUM(18,38*35,11))),"",INDIRECT("R9.Web!D"&amp;SUM(18,38*35,11))))</f>
        <v>N/T</v>
      </c>
      <c r="BT30" s="215" t="str" cm="1">
        <f t="array" aca="1" ref="BT30" ca="1">IF($B30="","",IF(ISBLANK(INDIRECT("R9.Web!D"&amp;SUM(18,38*36,11))),"",INDIRECT("R9.Web!D"&amp;SUM(18,38*36,11))))</f>
        <v>N/D</v>
      </c>
      <c r="BU30" s="215" t="str" cm="1">
        <f t="array" aca="1" ref="BU30" ca="1">IF($B30="","",IF(ISBLANK(INDIRECT("R9.Web!D"&amp;SUM(18,38*37,11))),"",INDIRECT("R9.Web!D"&amp;SUM(18,38*37,11))))</f>
        <v>N/D</v>
      </c>
      <c r="BV30" s="215" t="str" cm="1">
        <f t="array" aca="1" ref="BV30" ca="1">IF($B30="","",IF(ISBLANK(INDIRECT("R9.Web!D"&amp;SUM(18,38*38,11))),"",INDIRECT("R9.Web!D"&amp;SUM(18,38*38,11))))</f>
        <v>N/D</v>
      </c>
      <c r="BW30" s="215" t="str" cm="1">
        <f t="array" aca="1" ref="BW30" ca="1">IF($B30="","",IF(ISBLANK(INDIRECT("R9.Web!D"&amp;SUM(18,38*39,11))),"",INDIRECT("R9.Web!D"&amp;SUM(18,38*39,11))))</f>
        <v>N/D</v>
      </c>
      <c r="BX30" s="215" t="str" cm="1">
        <f t="array" aca="1" ref="BX30" ca="1">IF($B30="","",IF(ISBLANK(INDIRECT("R9.Web!D"&amp;SUM(18,38*40,11))),"",INDIRECT("R9.Web!D"&amp;SUM(18,38*40,11))))</f>
        <v>N/D</v>
      </c>
      <c r="BY30" s="215" t="str" cm="1">
        <f t="array" aca="1" ref="BY30" ca="1">IF($B30="","",IF(ISBLANK(INDIRECT("R9.Web!D"&amp;SUM(18,38*41,11))),"",INDIRECT("R9.Web!D"&amp;SUM(18,38*41,11))))</f>
        <v>N/T</v>
      </c>
      <c r="BZ30" s="215" t="str" cm="1">
        <f t="array" aca="1" ref="BZ30" ca="1">IF($B30="","",IF(ISBLANK(INDIRECT("R9.Web!D"&amp;SUM(18,38*42,11))),"",INDIRECT("R9.Web!D"&amp;SUM(18,38*42,11))))</f>
        <v>N/T</v>
      </c>
      <c r="CA30" s="215" t="str" cm="1">
        <f t="array" aca="1" ref="CA30" ca="1">IF($B30="","",IF(ISBLANK(INDIRECT("R9.Web!D"&amp;SUM(18,38*43,11))),"",INDIRECT("R9.Web!D"&amp;SUM(18,38*43,11))))</f>
        <v>N/D</v>
      </c>
      <c r="CB30" s="215" t="str" cm="1">
        <f t="array" aca="1" ref="CB30" ca="1">IF($B30="","",IF(ISBLANK(INDIRECT("R9.Web!D"&amp;SUM(18,38*44,11))),"",INDIRECT("R9.Web!D"&amp;SUM(18,38*44,11))))</f>
        <v>N/T</v>
      </c>
      <c r="CC30" s="215" t="str" cm="1">
        <f t="array" aca="1" ref="CC30" ca="1">IF($B30="","",IF(ISBLANK(INDIRECT("R9.Web!D"&amp;SUM(18,38*45,11))),"",INDIRECT("R9.Web!D"&amp;SUM(18,38*45,11))))</f>
        <v>N/T</v>
      </c>
      <c r="CD30" s="215" t="str" cm="1">
        <f t="array" aca="1" ref="CD30" ca="1">IF($B30="","",IF(ISBLANK(INDIRECT("R9.Web!D"&amp;SUM(18,38*46,11))),"",INDIRECT("R9.Web!D"&amp;SUM(18,38*46,11))))</f>
        <v>N/T</v>
      </c>
      <c r="CE30" s="215" t="str" cm="1">
        <f t="array" aca="1" ref="CE30" ca="1">IF($B30="","",IF(ISBLANK(INDIRECT("R9.Web!D"&amp;SUM(18,38*47,11))),"",INDIRECT("R9.Web!D"&amp;SUM(18,38*47,11))))</f>
        <v>N/D</v>
      </c>
      <c r="CF30" s="215" t="str" cm="1">
        <f t="array" aca="1" ref="CF30" ca="1">IF($B30="","",IF(ISBLANK(INDIRECT("R9.Web!D"&amp;SUM(18,38*48,11))),"",INDIRECT("R9.Web!D"&amp;SUM(18,38*48,11))))</f>
        <v>N/T</v>
      </c>
      <c r="CG30" s="215" t="str" cm="1">
        <f t="array" aca="1" ref="CG30" ca="1">IF($B30="","",IF(ISBLANK(INDIRECT("R9.Web!D"&amp;SUM(18,38*49,11))),"",INDIRECT("R9.Web!D"&amp;SUM(18,38*49,11))))</f>
        <v>N/T</v>
      </c>
      <c r="CH30" s="215" t="str" cm="1">
        <f t="array" aca="1" ref="CH30" ca="1">IF($B30="","",IF(ISBLANK(INDIRECT("R11.Software!D"&amp;SUM(18,38*0,11))),"",INDIRECT("R11.Software!D"&amp;SUM(18,38*0,11))))</f>
        <v>N/T</v>
      </c>
      <c r="CI30" s="215" t="str" cm="1">
        <f t="array" aca="1" ref="CI30" ca="1">IF($B30="","",IF(ISBLANK(INDIRECT("R11.Software!D"&amp;SUM(18,38*1,11))),"",INDIRECT("R11.Software!D"&amp;SUM(18,38*1,11))))</f>
        <v>N/T</v>
      </c>
      <c r="CJ30" s="215" t="str" cm="1">
        <f t="array" aca="1" ref="CJ30" ca="1">IF($B30="","",IF(ISBLANK(INDIRECT("R11.Software!D"&amp;SUM(18,38*2,11))),"",INDIRECT("R11.Software!D"&amp;SUM(18,38*2,11))))</f>
        <v>N/T</v>
      </c>
      <c r="CK30" s="215" t="str" cm="1">
        <f t="array" aca="1" ref="CK30" ca="1">IF($B30="","",IF(ISBLANK(INDIRECT("R11.Software!D"&amp;SUM(18,38*3,11))),"",INDIRECT("R11.Software!D"&amp;SUM(18,38*3,11))))</f>
        <v>N/T</v>
      </c>
      <c r="CL30" s="215" t="str" cm="1">
        <f t="array" aca="1" ref="CL30" ca="1">IF($B30="","",IF(ISBLANK(INDIRECT("R11.Software!D"&amp;SUM(18,38*4,11))),"",INDIRECT("R11.Software!D"&amp;SUM(18,38*4,11))))</f>
        <v>N/T</v>
      </c>
      <c r="CM30" s="215" t="str" cm="1">
        <f t="array" aca="1" ref="CM30" ca="1">IF($B30="","",IF(ISBLANK(INDIRECT("R11.Software!D"&amp;SUM(18,38*5,11))),"",INDIRECT("R11.Software!D"&amp;SUM(18,38*5,11))))</f>
        <v>N/T</v>
      </c>
      <c r="CN30" s="215" t="str" cm="1">
        <f t="array" aca="1" ref="CN30" ca="1">IF($B30="","",IF(ISBLANK(INDIRECT("R12.ServiciosApoyo!D"&amp;SUM(18,38*0,11))),"",INDIRECT("R12.ServiciosApoyo!D"&amp;SUM(18,38*0,11))))</f>
        <v>N/T</v>
      </c>
      <c r="CO30" s="215" t="str" cm="1">
        <f t="array" aca="1" ref="CO30" ca="1">IF($B30="","",IF(ISBLANK(INDIRECT("R12.ServiciosApoyo!D"&amp;SUM(18,38*1,11))),"",INDIRECT("R12.ServiciosApoyo!D"&amp;SUM(18,38*1,11))))</f>
        <v>N/T</v>
      </c>
      <c r="CP30" s="215" t="str" cm="1">
        <f t="array" aca="1" ref="CP30" ca="1">IF($B30="","",IF(ISBLANK(INDIRECT("R12.ServiciosApoyo!D"&amp;SUM(18,38*2,11))),"",INDIRECT("R12.ServiciosApoyo!D"&amp;SUM(18,38*2,11))))</f>
        <v>N/T</v>
      </c>
      <c r="CQ30" s="215" t="str" cm="1">
        <f t="array" aca="1" ref="CQ30" ca="1">IF($B30="","",IF(ISBLANK(INDIRECT("R12.ServiciosApoyo!D"&amp;SUM(18,38*3,11))),"",INDIRECT("R12.ServiciosApoyo!D"&amp;SUM(18,38*3,11))))</f>
        <v>N/T</v>
      </c>
      <c r="CR30" s="215" t="str" cm="1">
        <f t="array" aca="1" ref="CR30" ca="1">IF($B30="","",IF(ISBLANK(INDIRECT("R12.ServiciosApoyo!D"&amp;SUM(18,38*4,11))),"",INDIRECT("R12.ServiciosApoyo!D"&amp;SUM(18,38*4,11))))</f>
        <v>N/T</v>
      </c>
      <c r="CU30" s="100"/>
      <c r="CV30" s="101"/>
      <c r="CW30" s="29"/>
      <c r="CX30" s="29"/>
    </row>
    <row r="31" spans="2:102" ht="20.25">
      <c r="B31" s="181" t="n" cm="1">
        <f t="array" ref="B31">IFERROR(INDEX('03.Muestra'!$B$8:$B$42,SMALL(IF("Página Web"='03.Muestra'!$D$8:$D$42,ROW('03.Muestra'!$B$8:$B$42)-MIN(ROW('03.Muestra'!$D$8:$D$42))+1,""),ROW()-19)),"")</f>
        <v>1.0</v>
      </c>
      <c r="C31" s="97" t="str" cm="1">
        <f t="array" ref="C31">IFERROR(INDEX('03.Muestra'!$C$8:$C$42,SMALL(IF("Página Web"='03.Muestra'!$D$8:$D$42,ROW('03.Muestra'!$C$8:$C$42)-MIN(ROW('03.Muestra'!$D$8:$D$42))+1,""),ROW()-19)),"")</f>
        <v>Home - PortCastelló</v>
      </c>
      <c r="D31" s="98" t="str" cm="1">
        <f t="array" ref="D31">IFERROR(INDEX('03.Muestra'!$F$8:$F$42,SMALL(IF("Página Web"='03.Muestra'!$D$8:$D$42,ROW('03.Muestra'!$F$8:$F$42)-MIN(ROW('03.Muestra'!$D$8:$D$42))+1,""),ROW()-19)),"")</f>
        <v>https://www.portcastello.com/</v>
      </c>
      <c r="E31" s="215" t="str" cm="1">
        <f t="array" aca="1" ref="E31" ca="1">IF($B31="","",IF(ISBLANK(INDIRECT("R5.Genéricos!D"&amp;SUM(18,38*0,12))),"",INDIRECT("R5.Genéricos!D"&amp;SUM(18,38*0,12))))</f>
        <v>N/T</v>
      </c>
      <c r="F31" s="215" t="str" cm="1">
        <f t="array" aca="1" ref="F31" ca="1">IF($B31="","",IF(ISBLANK(INDIRECT("R5.Genéricos!D"&amp;SUM(18,38*1,12))),"",INDIRECT("R5.Genéricos!D"&amp;SUM(18,38*1,12))))</f>
        <v>N/T</v>
      </c>
      <c r="G31" s="215" t="str" cm="1">
        <f t="array" aca="1" ref="G31" ca="1">IF($B31="","",IF(ISBLANK(INDIRECT("R5.Genéricos!D"&amp;SUM(18,38*2,12))),"",INDIRECT("R5.Genéricos!D"&amp;SUM(18,38*2,12))))</f>
        <v>N/T</v>
      </c>
      <c r="H31" s="215" t="str" cm="1">
        <f t="array" aca="1" ref="H31" ca="1">IF($B31="","",IF(ISBLANK(INDIRECT("R6.Voz!D"&amp;SUM(18,38*0,12))),"",INDIRECT("R6.Voz!D"&amp;SUM(18,38*0,12))))</f>
        <v>N/T</v>
      </c>
      <c r="I31" s="215" t="str" cm="1">
        <f t="array" aca="1" ref="I31" ca="1">IF($B31="","",IF(ISBLANK(INDIRECT("R6.Voz!D"&amp;SUM(18,38*1,12))),"",INDIRECT("R6.Voz!D"&amp;SUM(18,38*1,12))))</f>
        <v>N/T</v>
      </c>
      <c r="J31" s="215" t="str" cm="1">
        <f t="array" aca="1" ref="J31" ca="1">IF($B31="","",IF(ISBLANK(INDIRECT("R6.Voz!D"&amp;SUM(18,38*2,12))),"",INDIRECT("R6.Voz!D"&amp;SUM(18,38*2,12))))</f>
        <v>N/T</v>
      </c>
      <c r="K31" s="215" t="str" cm="1">
        <f t="array" aca="1" ref="K31" ca="1">IF($B31="","",IF(ISBLANK(INDIRECT("R6.Voz!D"&amp;SUM(18,38*3,12))),"",INDIRECT("R6.Voz!D"&amp;SUM(18,38*3,12))))</f>
        <v>N/T</v>
      </c>
      <c r="L31" s="215" t="str" cm="1">
        <f t="array" aca="1" ref="L31" ca="1">IF($B31="","",IF(ISBLANK(INDIRECT("R6.Voz!D"&amp;SUM(18,38*4,12))),"",INDIRECT("R6.Voz!D"&amp;SUM(18,38*4,12))))</f>
        <v>N/T</v>
      </c>
      <c r="M31" s="215" t="str" cm="1">
        <f t="array" aca="1" ref="M31" ca="1">IF($B31="","",IF(ISBLANK(INDIRECT("R6.Voz!D"&amp;SUM(18,38*5,12))),"",INDIRECT("R6.Voz!D"&amp;SUM(18,38*5,12))))</f>
        <v>N/T</v>
      </c>
      <c r="N31" s="215" t="str" cm="1">
        <f t="array" aca="1" ref="N31" ca="1">IF($B31="","",IF(ISBLANK(INDIRECT("R6.Voz!D"&amp;SUM(18,38*6,12))),"",INDIRECT("R6.Voz!D"&amp;SUM(18,38*6,12))))</f>
        <v>N/T</v>
      </c>
      <c r="O31" s="215" t="str" cm="1">
        <f t="array" aca="1" ref="O31" ca="1">IF($B31="","",IF(ISBLANK(INDIRECT("R6.Voz!D"&amp;SUM(18,38*7,12))),"",INDIRECT("R6.Voz!D"&amp;SUM(18,38*7,12))))</f>
        <v>N/T</v>
      </c>
      <c r="P31" s="215" t="str" cm="1">
        <f t="array" aca="1" ref="P31" ca="1">IF($B31="","",IF(ISBLANK(INDIRECT("R6.Voz!D"&amp;SUM(18,38*8,12))),"",INDIRECT("R6.Voz!D"&amp;SUM(18,38*8,12))))</f>
        <v>N/T</v>
      </c>
      <c r="Q31" s="215" t="str" cm="1">
        <f t="array" aca="1" ref="Q31" ca="1">IF($B31="","",IF(ISBLANK(INDIRECT("R6.Voz!D"&amp;SUM(18,38*9,12))),"",INDIRECT("R6.Voz!D"&amp;SUM(18,38*9,12))))</f>
        <v>N/T</v>
      </c>
      <c r="R31" s="215" t="str" cm="1">
        <f t="array" aca="1" ref="R31" ca="1">IF($B31="","",IF(ISBLANK(INDIRECT("R6.Voz!D"&amp;SUM(18,38*10,12))),"",INDIRECT("R6.Voz!D"&amp;SUM(18,38*10,12))))</f>
        <v>N/T</v>
      </c>
      <c r="S31" s="215" t="str" cm="1">
        <f t="array" aca="1" ref="S31" ca="1">IF($B31="","",IF(ISBLANK(INDIRECT("R6.Voz!D"&amp;SUM(18,38*11,12))),"",INDIRECT("R6.Voz!D"&amp;SUM(18,38*11,12))))</f>
        <v>N/T</v>
      </c>
      <c r="T31" s="215" t="str" cm="1">
        <f t="array" aca="1" ref="T31" ca="1">IF($B31="","",IF(ISBLANK(INDIRECT("R6.Voz!D"&amp;SUM(18,38*12,12))),"",INDIRECT("R6.Voz!D"&amp;SUM(18,38*12,12))))</f>
        <v>N/T</v>
      </c>
      <c r="U31" s="215" t="str" cm="1">
        <f t="array" aca="1" ref="U31" ca="1">IF($B31="","",IF(ISBLANK(INDIRECT("R6.Voz!D"&amp;SUM(18,38*13,12))),"",INDIRECT("R6.Voz!D"&amp;SUM(18,38*13,12))))</f>
        <v>N/T</v>
      </c>
      <c r="V31" s="215" t="str" cm="1">
        <f t="array" aca="1" ref="V31" ca="1">IF($B31="","",IF(ISBLANK(INDIRECT("R6.Voz!D"&amp;SUM(18,38*14,12))),"",INDIRECT("R6.Voz!D"&amp;SUM(18,38*14,12))))</f>
        <v>N/T</v>
      </c>
      <c r="W31" s="215" t="str" cm="1">
        <f t="array" aca="1" ref="W31" ca="1">IF($B31="","",IF(ISBLANK(INDIRECT("R6.Voz!D"&amp;SUM(18,38*15,12))),"",INDIRECT("R6.Voz!D"&amp;SUM(18,38*15,12))))</f>
        <v>N/T</v>
      </c>
      <c r="X31" s="215" t="str" cm="1">
        <f t="array" aca="1" ref="X31" ca="1">IF($B31="","",IF(ISBLANK(INDIRECT("R6.Voz!D"&amp;SUM(18,38*16,12))),"",INDIRECT("R6.Voz!D"&amp;SUM(18,38*16,12))))</f>
        <v>N/T</v>
      </c>
      <c r="Y31" s="215" t="str" cm="1">
        <f t="array" aca="1" ref="Y31" ca="1">IF($B31="","",IF(ISBLANK(INDIRECT("R6.Voz!D"&amp;SUM(18,38*17,12))),"",INDIRECT("R6.Voz!D"&amp;SUM(18,38*17,12))))</f>
        <v>N/T</v>
      </c>
      <c r="Z31" s="215" t="str" cm="1">
        <f t="array" aca="1" ref="Z31" ca="1">IF($B31="","",IF(ISBLANK(INDIRECT("R6.Voz!D"&amp;SUM(18,38*18,12))),"",INDIRECT("R6.Voz!D"&amp;SUM(18,38*18,12))))</f>
        <v>N/T</v>
      </c>
      <c r="AA31" s="215" t="str" cm="1">
        <f t="array" aca="1" ref="AA31" ca="1">IF($B31="","",IF(ISBLANK(INDIRECT("R7.Video!D"&amp;SUM(18,38*0,12))),"",INDIRECT("R7.Video!D"&amp;SUM(18,38*0,12))))</f>
        <v>N/T</v>
      </c>
      <c r="AB31" s="215" t="str" cm="1">
        <f t="array" aca="1" ref="AB31" ca="1">IF($B31="","",IF(ISBLANK(INDIRECT("R7.Video!D"&amp;SUM(18,38*1,12))),"",INDIRECT("R7.Video!D"&amp;SUM(18,38*1,12))))</f>
        <v>N/T</v>
      </c>
      <c r="AC31" s="215" t="str" cm="1">
        <f t="array" aca="1" ref="AC31" ca="1">IF($B31="","",IF(ISBLANK(INDIRECT("R7.Video!D"&amp;SUM(18,38*2,12))),"",INDIRECT("R7.Video!D"&amp;SUM(18,38*2,12))))</f>
        <v>N/T</v>
      </c>
      <c r="AD31" s="215" t="str" cm="1">
        <f t="array" aca="1" ref="AD31" ca="1">IF($B31="","",IF(ISBLANK(INDIRECT("R7.Video!D"&amp;SUM(18,38*3,12))),"",INDIRECT("R7.Video!D"&amp;SUM(18,38*3,12))))</f>
        <v>N/T</v>
      </c>
      <c r="AE31" s="215" t="str" cm="1">
        <f t="array" aca="1" ref="AE31" ca="1">IF($B31="","",IF(ISBLANK(INDIRECT("R7.Video!D"&amp;SUM(18,38*4,12))),"",INDIRECT("R7.Video!D"&amp;SUM(18,38*4,12))))</f>
        <v>N/T</v>
      </c>
      <c r="AF31" s="215" t="str" cm="1">
        <f t="array" aca="1" ref="AF31" ca="1">IF($B31="","",IF(ISBLANK(INDIRECT("R7.Video!D"&amp;SUM(18,38*5,12))),"",INDIRECT("R7.Video!D"&amp;SUM(18,38*5,12))))</f>
        <v>N/T</v>
      </c>
      <c r="AG31" s="215" t="str" cm="1">
        <f t="array" aca="1" ref="AG31" ca="1">IF($B31="","",IF(ISBLANK(INDIRECT("R7.Video!D"&amp;SUM(18,38*6,12))),"",INDIRECT("R7.Video!D"&amp;SUM(18,38*6,12))))</f>
        <v>N/T</v>
      </c>
      <c r="AH31" s="215" t="str" cm="1">
        <f t="array" aca="1" ref="AH31" ca="1">IF($B31="","",IF(ISBLANK(INDIRECT("R7.Video!D"&amp;SUM(18,38*7,12))),"",INDIRECT("R7.Video!D"&amp;SUM(18,38*7,12))))</f>
        <v>N/T</v>
      </c>
      <c r="AI31" s="215" t="str" cm="1">
        <f t="array" aca="1" ref="AI31" ca="1">IF($B31="","",IF(ISBLANK(INDIRECT("R7.Video!D"&amp;SUM(18,38*8,12))),"",INDIRECT("R7.Video!D"&amp;SUM(18,38*8,12))))</f>
        <v>N/T</v>
      </c>
      <c r="AJ31" s="215" t="str" cm="1">
        <f t="array" aca="1" ref="AJ31" ca="1">IF($B31="","",IF(ISBLANK(INDIRECT("R9.Web!D"&amp;SUM(18,38*0,12))),"",INDIRECT("R9.Web!D"&amp;SUM(18,38*0,12))))</f>
        <v>N/D</v>
      </c>
      <c r="AK31" s="215" t="str" cm="1">
        <f t="array" aca="1" ref="AK31" ca="1">IF($B31="","",IF(ISBLANK(INDIRECT("R9.Web!D"&amp;SUM(18,38*1,12))),"",INDIRECT("R9.Web!D"&amp;SUM(18,38*1,12))))</f>
        <v>N/T</v>
      </c>
      <c r="AL31" s="215" t="str" cm="1">
        <f t="array" aca="1" ref="AL31" ca="1">IF($B31="","",IF(ISBLANK(INDIRECT("R9.Web!D"&amp;SUM(18,38*2,12))),"",INDIRECT("R9.Web!D"&amp;SUM(18,38*2,12))))</f>
        <v>N/T</v>
      </c>
      <c r="AM31" s="215" t="str" cm="1">
        <f t="array" aca="1" ref="AM31" ca="1">IF($B31="","",IF(ISBLANK(INDIRECT("R9.Web!D"&amp;SUM(18,38*3,12))),"",INDIRECT("R9.Web!D"&amp;SUM(18,38*3,12))))</f>
        <v>N/T</v>
      </c>
      <c r="AN31" s="215" t="str" cm="1">
        <f t="array" aca="1" ref="AN31" ca="1">IF($B31="","",IF(ISBLANK(INDIRECT("R9.Web!D"&amp;SUM(18,38*4,12))),"",INDIRECT("R9.Web!D"&amp;SUM(18,38*4,12))))</f>
        <v>N/T</v>
      </c>
      <c r="AO31" s="215" t="str" cm="1">
        <f t="array" aca="1" ref="AO31" ca="1">IF($B31="","",IF(ISBLANK(INDIRECT("R9.Web!D"&amp;SUM(18,38*5,12))),"",INDIRECT("R9.Web!D"&amp;SUM(18,38*5,12))))</f>
        <v>N/D</v>
      </c>
      <c r="AP31" s="215" t="str" cm="1">
        <f t="array" aca="1" ref="AP31" ca="1">IF($B31="","",IF(ISBLANK(INDIRECT("R9.Web!D"&amp;SUM(18,38*6,12))),"",INDIRECT("R9.Web!D"&amp;SUM(18,38*6,12))))</f>
        <v>N/T</v>
      </c>
      <c r="AQ31" s="215" t="str" cm="1">
        <f t="array" aca="1" ref="AQ31" ca="1">IF($B31="","",IF(ISBLANK(INDIRECT("R9.Web!D"&amp;SUM(18,38*7,12))),"",INDIRECT("R9.Web!D"&amp;SUM(18,38*7,12))))</f>
        <v>N/T</v>
      </c>
      <c r="AR31" s="215" t="str" cm="1">
        <f t="array" aca="1" ref="AR31" ca="1">IF($B31="","",IF(ISBLANK(INDIRECT("R9.Web!D"&amp;SUM(18,38*8,12))),"",INDIRECT("R9.Web!D"&amp;SUM(18,38*8,12))))</f>
        <v>N/D</v>
      </c>
      <c r="AS31" s="215" t="str" cm="1">
        <f t="array" aca="1" ref="AS31" ca="1">IF($B31="","",IF(ISBLANK(INDIRECT("R9.Web!D"&amp;SUM(18,38*9,12))),"",INDIRECT("R9.Web!D"&amp;SUM(18,38*9,12))))</f>
        <v>N/D</v>
      </c>
      <c r="AT31" s="215" t="str" cm="1">
        <f t="array" aca="1" ref="AT31" ca="1">IF($B31="","",IF(ISBLANK(INDIRECT("R9.Web!D"&amp;SUM(18,38*10,12))),"",INDIRECT("R9.Web!D"&amp;SUM(18,38*10,12))))</f>
        <v>N/T</v>
      </c>
      <c r="AU31" s="215" t="str" cm="1">
        <f t="array" aca="1" ref="AU31" ca="1">IF($B31="","",IF(ISBLANK(INDIRECT("R9.Web!D"&amp;SUM(18,38*11,12))),"",INDIRECT("R9.Web!D"&amp;SUM(18,38*11,12))))</f>
        <v>N/T</v>
      </c>
      <c r="AV31" s="215" t="str" cm="1">
        <f t="array" aca="1" ref="AV31" ca="1">IF($B31="","",IF(ISBLANK(INDIRECT("R9.Web!D"&amp;SUM(18,38*12,12))),"",INDIRECT("R9.Web!D"&amp;SUM(18,38*12,12))))</f>
        <v>N/D</v>
      </c>
      <c r="AW31" s="215" t="str" cm="1">
        <f t="array" aca="1" ref="AW31" ca="1">IF($B31="","",IF(ISBLANK(INDIRECT("R9.Web!D"&amp;SUM(18,38*13,12))),"",INDIRECT("R9.Web!D"&amp;SUM(18,38*13,12))))</f>
        <v>N/T</v>
      </c>
      <c r="AX31" s="215" t="str" cm="1">
        <f t="array" aca="1" ref="AX31" ca="1">IF($B31="","",IF(ISBLANK(INDIRECT("R9.Web!D"&amp;SUM(18,38*14,12))),"",INDIRECT("R9.Web!D"&amp;SUM(18,38*14,12))))</f>
        <v>N/T</v>
      </c>
      <c r="AY31" s="215" t="str" cm="1">
        <f t="array" aca="1" ref="AY31" ca="1">IF($B31="","",IF(ISBLANK(INDIRECT("R9.Web!D"&amp;SUM(18,38*15,12))),"",INDIRECT("R9.Web!D"&amp;SUM(18,38*15,12))))</f>
        <v>N/D</v>
      </c>
      <c r="AZ31" s="215" t="str" cm="1">
        <f t="array" aca="1" ref="AZ31" ca="1">IF($B31="","",IF(ISBLANK(INDIRECT("R9.Web!D"&amp;SUM(18,38*16,12))),"",INDIRECT("R9.Web!D"&amp;SUM(18,38*16,12))))</f>
        <v>N/T</v>
      </c>
      <c r="BA31" s="215" t="str" cm="1">
        <f t="array" aca="1" ref="BA31" ca="1">IF($B31="","",IF(ISBLANK(INDIRECT("R9.Web!D"&amp;SUM(18,38*17,12))),"",INDIRECT("R9.Web!D"&amp;SUM(18,38*17,12))))</f>
        <v>N/D</v>
      </c>
      <c r="BB31" s="215" t="str" cm="1">
        <f t="array" aca="1" ref="BB31" ca="1">IF($B31="","",IF(ISBLANK(INDIRECT("R9.Web!D"&amp;SUM(18,38*18,12))),"",INDIRECT("R9.Web!D"&amp;SUM(18,38*18,12))))</f>
        <v>N/T</v>
      </c>
      <c r="BC31" s="215" t="str" cm="1">
        <f t="array" aca="1" ref="BC31" ca="1">IF($B31="","",IF(ISBLANK(INDIRECT("R9.Web!D"&amp;SUM(18,38*19,12))),"",INDIRECT("R9.Web!D"&amp;SUM(18,38*19,12))))</f>
        <v>N/D</v>
      </c>
      <c r="BD31" s="215" t="str" cm="1">
        <f t="array" aca="1" ref="BD31" ca="1">IF($B31="","",IF(ISBLANK(INDIRECT("R9.Web!D"&amp;SUM(18,38*20,12))),"",INDIRECT("R9.Web!D"&amp;SUM(18,38*20,12))))</f>
        <v>N/T</v>
      </c>
      <c r="BE31" s="215" t="str" cm="1">
        <f t="array" aca="1" ref="BE31" ca="1">IF($B31="","",IF(ISBLANK(INDIRECT("R9.Web!D"&amp;SUM(18,38*21,12))),"",INDIRECT("R9.Web!D"&amp;SUM(18,38*21,12))))</f>
        <v>N/T</v>
      </c>
      <c r="BF31" s="215" t="str" cm="1">
        <f t="array" aca="1" ref="BF31" ca="1">IF($B31="","",IF(ISBLANK(INDIRECT("R9.Web!D"&amp;SUM(18,38*22,12))),"",INDIRECT("R9.Web!D"&amp;SUM(18,38*22,12))))</f>
        <v>N/D</v>
      </c>
      <c r="BG31" s="215" t="str" cm="1">
        <f t="array" aca="1" ref="BG31" ca="1">IF($B31="","",IF(ISBLANK(INDIRECT("R9.Web!D"&amp;SUM(18,38*23,12))),"",INDIRECT("R9.Web!D"&amp;SUM(18,38*23,12))))</f>
        <v>N/D</v>
      </c>
      <c r="BH31" s="215" t="str" cm="1">
        <f t="array" aca="1" ref="BH31" ca="1">IF($B31="","",IF(ISBLANK(INDIRECT("R9.Web!D"&amp;SUM(18,38*24,12))),"",INDIRECT("R9.Web!D"&amp;SUM(18,38*24,12))))</f>
        <v>N/T</v>
      </c>
      <c r="BI31" s="215" t="str" cm="1">
        <f t="array" aca="1" ref="BI31" ca="1">IF($B31="","",IF(ISBLANK(INDIRECT("R9.Web!D"&amp;SUM(18,38*25,12))),"",INDIRECT("R9.Web!D"&amp;SUM(18,38*25,12))))</f>
        <v>N/D</v>
      </c>
      <c r="BJ31" s="215" t="str" cm="1">
        <f t="array" aca="1" ref="BJ31" ca="1">IF($B31="","",IF(ISBLANK(INDIRECT("R9.Web!D"&amp;SUM(18,38*26,12))),"",INDIRECT("R9.Web!D"&amp;SUM(18,38*26,12))))</f>
        <v>N/D</v>
      </c>
      <c r="BK31" s="215" t="str" cm="1">
        <f t="array" aca="1" ref="BK31" ca="1">IF($B31="","",IF(ISBLANK(INDIRECT("R9.Web!D"&amp;SUM(18,38*27,12))),"",INDIRECT("R9.Web!D"&amp;SUM(18,38*27,12))))</f>
        <v>N/D</v>
      </c>
      <c r="BL31" s="215" t="str" cm="1">
        <f t="array" aca="1" ref="BL31" ca="1">IF($B31="","",IF(ISBLANK(INDIRECT("R9.Web!D"&amp;SUM(18,38*28,12))),"",INDIRECT("R9.Web!D"&amp;SUM(18,38*28,12))))</f>
        <v>N/D</v>
      </c>
      <c r="BM31" s="215" t="str" cm="1">
        <f t="array" aca="1" ref="BM31" ca="1">IF($B31="","",IF(ISBLANK(INDIRECT("R9.Web!D"&amp;SUM(18,38*29,12))),"",INDIRECT("R9.Web!D"&amp;SUM(18,38*29,12))))</f>
        <v>N/D</v>
      </c>
      <c r="BN31" s="215" t="str" cm="1">
        <f t="array" aca="1" ref="BN31" ca="1">IF($B31="","",IF(ISBLANK(INDIRECT("R9.Web!D"&amp;SUM(18,38*30,12))),"",INDIRECT("R9.Web!D"&amp;SUM(18,38*30,12))))</f>
        <v>N/T</v>
      </c>
      <c r="BO31" s="215" t="str" cm="1">
        <f t="array" aca="1" ref="BO31" ca="1">IF($B31="","",IF(ISBLANK(INDIRECT("R9.Web!D"&amp;SUM(18,38*31,12))),"",INDIRECT("R9.Web!D"&amp;SUM(18,38*31,12))))</f>
        <v>Falla</v>
      </c>
      <c r="BP31" s="215" t="str" cm="1">
        <f t="array" aca="1" ref="BP31" ca="1">IF($B31="","",IF(ISBLANK(INDIRECT("R9.Web!D"&amp;SUM(18,38*32,12))),"",INDIRECT("R9.Web!D"&amp;SUM(18,38*32,12))))</f>
        <v>N/T</v>
      </c>
      <c r="BQ31" s="215" t="str" cm="1">
        <f t="array" aca="1" ref="BQ31" ca="1">IF($B31="","",IF(ISBLANK(INDIRECT("R9.Web!D"&amp;SUM(18,38*33,12))),"",INDIRECT("R9.Web!D"&amp;SUM(18,38*33,12))))</f>
        <v>N/T</v>
      </c>
      <c r="BR31" s="215" t="str" cm="1">
        <f t="array" aca="1" ref="BR31" ca="1">IF($B31="","",IF(ISBLANK(INDIRECT("R9.Web!D"&amp;SUM(18,38*34,12))),"",INDIRECT("R9.Web!D"&amp;SUM(18,38*34,12))))</f>
        <v>N/D</v>
      </c>
      <c r="BS31" s="215" t="str" cm="1">
        <f t="array" aca="1" ref="BS31" ca="1">IF($B31="","",IF(ISBLANK(INDIRECT("R9.Web!D"&amp;SUM(18,38*35,12))),"",INDIRECT("R9.Web!D"&amp;SUM(18,38*35,12))))</f>
        <v>N/T</v>
      </c>
      <c r="BT31" s="215" t="str" cm="1">
        <f t="array" aca="1" ref="BT31" ca="1">IF($B31="","",IF(ISBLANK(INDIRECT("R9.Web!D"&amp;SUM(18,38*36,12))),"",INDIRECT("R9.Web!D"&amp;SUM(18,38*36,12))))</f>
        <v>N/D</v>
      </c>
      <c r="BU31" s="215" t="str" cm="1">
        <f t="array" aca="1" ref="BU31" ca="1">IF($B31="","",IF(ISBLANK(INDIRECT("R9.Web!D"&amp;SUM(18,38*37,12))),"",INDIRECT("R9.Web!D"&amp;SUM(18,38*37,12))))</f>
        <v>Falla</v>
      </c>
      <c r="BV31" s="215" t="str" cm="1">
        <f t="array" aca="1" ref="BV31" ca="1">IF($B31="","",IF(ISBLANK(INDIRECT("R9.Web!D"&amp;SUM(18,38*38,12))),"",INDIRECT("R9.Web!D"&amp;SUM(18,38*38,12))))</f>
        <v>N/D</v>
      </c>
      <c r="BW31" s="215" t="str" cm="1">
        <f t="array" aca="1" ref="BW31" ca="1">IF($B31="","",IF(ISBLANK(INDIRECT("R9.Web!D"&amp;SUM(18,38*39,12))),"",INDIRECT("R9.Web!D"&amp;SUM(18,38*39,12))))</f>
        <v>N/D</v>
      </c>
      <c r="BX31" s="215" t="str" cm="1">
        <f t="array" aca="1" ref="BX31" ca="1">IF($B31="","",IF(ISBLANK(INDIRECT("R9.Web!D"&amp;SUM(18,38*40,12))),"",INDIRECT("R9.Web!D"&amp;SUM(18,38*40,12))))</f>
        <v>N/D</v>
      </c>
      <c r="BY31" s="215" t="str" cm="1">
        <f t="array" aca="1" ref="BY31" ca="1">IF($B31="","",IF(ISBLANK(INDIRECT("R9.Web!D"&amp;SUM(18,38*41,12))),"",INDIRECT("R9.Web!D"&amp;SUM(18,38*41,12))))</f>
        <v>N/T</v>
      </c>
      <c r="BZ31" s="215" t="str" cm="1">
        <f t="array" aca="1" ref="BZ31" ca="1">IF($B31="","",IF(ISBLANK(INDIRECT("R9.Web!D"&amp;SUM(18,38*42,12))),"",INDIRECT("R9.Web!D"&amp;SUM(18,38*42,12))))</f>
        <v>N/T</v>
      </c>
      <c r="CA31" s="215" t="str" cm="1">
        <f t="array" aca="1" ref="CA31" ca="1">IF($B31="","",IF(ISBLANK(INDIRECT("R9.Web!D"&amp;SUM(18,38*43,12))),"",INDIRECT("R9.Web!D"&amp;SUM(18,38*43,12))))</f>
        <v>N/D</v>
      </c>
      <c r="CB31" s="215" t="str" cm="1">
        <f t="array" aca="1" ref="CB31" ca="1">IF($B31="","",IF(ISBLANK(INDIRECT("R9.Web!D"&amp;SUM(18,38*44,12))),"",INDIRECT("R9.Web!D"&amp;SUM(18,38*44,12))))</f>
        <v>N/T</v>
      </c>
      <c r="CC31" s="215" t="str" cm="1">
        <f t="array" aca="1" ref="CC31" ca="1">IF($B31="","",IF(ISBLANK(INDIRECT("R9.Web!D"&amp;SUM(18,38*45,12))),"",INDIRECT("R9.Web!D"&amp;SUM(18,38*45,12))))</f>
        <v>N/T</v>
      </c>
      <c r="CD31" s="215" t="str" cm="1">
        <f t="array" aca="1" ref="CD31" ca="1">IF($B31="","",IF(ISBLANK(INDIRECT("R9.Web!D"&amp;SUM(18,38*46,12))),"",INDIRECT("R9.Web!D"&amp;SUM(18,38*46,12))))</f>
        <v>N/T</v>
      </c>
      <c r="CE31" s="215" t="str" cm="1">
        <f t="array" aca="1" ref="CE31" ca="1">IF($B31="","",IF(ISBLANK(INDIRECT("R9.Web!D"&amp;SUM(18,38*47,12))),"",INDIRECT("R9.Web!D"&amp;SUM(18,38*47,12))))</f>
        <v>N/D</v>
      </c>
      <c r="CF31" s="215" t="str" cm="1">
        <f t="array" aca="1" ref="CF31" ca="1">IF($B31="","",IF(ISBLANK(INDIRECT("R9.Web!D"&amp;SUM(18,38*48,12))),"",INDIRECT("R9.Web!D"&amp;SUM(18,38*48,12))))</f>
        <v>N/T</v>
      </c>
      <c r="CG31" s="215" t="str" cm="1">
        <f t="array" aca="1" ref="CG31" ca="1">IF($B31="","",IF(ISBLANK(INDIRECT("R9.Web!D"&amp;SUM(18,38*49,12))),"",INDIRECT("R9.Web!D"&amp;SUM(18,38*49,12))))</f>
        <v>N/T</v>
      </c>
      <c r="CH31" s="215" t="str" cm="1">
        <f t="array" aca="1" ref="CH31" ca="1">IF($B31="","",IF(ISBLANK(INDIRECT("R11.Software!D"&amp;SUM(18,38*0,12))),"",INDIRECT("R11.Software!D"&amp;SUM(18,38*0,12))))</f>
        <v>N/T</v>
      </c>
      <c r="CI31" s="215" t="str" cm="1">
        <f t="array" aca="1" ref="CI31" ca="1">IF($B31="","",IF(ISBLANK(INDIRECT("R11.Software!D"&amp;SUM(18,38*1,12))),"",INDIRECT("R11.Software!D"&amp;SUM(18,38*1,12))))</f>
        <v>N/T</v>
      </c>
      <c r="CJ31" s="215" t="str" cm="1">
        <f t="array" aca="1" ref="CJ31" ca="1">IF($B31="","",IF(ISBLANK(INDIRECT("R11.Software!D"&amp;SUM(18,38*2,12))),"",INDIRECT("R11.Software!D"&amp;SUM(18,38*2,12))))</f>
        <v>N/T</v>
      </c>
      <c r="CK31" s="215" t="str" cm="1">
        <f t="array" aca="1" ref="CK31" ca="1">IF($B31="","",IF(ISBLANK(INDIRECT("R11.Software!D"&amp;SUM(18,38*3,12))),"",INDIRECT("R11.Software!D"&amp;SUM(18,38*3,12))))</f>
        <v>N/T</v>
      </c>
      <c r="CL31" s="215" t="str" cm="1">
        <f t="array" aca="1" ref="CL31" ca="1">IF($B31="","",IF(ISBLANK(INDIRECT("R11.Software!D"&amp;SUM(18,38*4,12))),"",INDIRECT("R11.Software!D"&amp;SUM(18,38*4,12))))</f>
        <v>N/T</v>
      </c>
      <c r="CM31" s="215" t="str" cm="1">
        <f t="array" aca="1" ref="CM31" ca="1">IF($B31="","",IF(ISBLANK(INDIRECT("R11.Software!D"&amp;SUM(18,38*5,12))),"",INDIRECT("R11.Software!D"&amp;SUM(18,38*5,12))))</f>
        <v>N/T</v>
      </c>
      <c r="CN31" s="215" t="str" cm="1">
        <f t="array" aca="1" ref="CN31" ca="1">IF($B31="","",IF(ISBLANK(INDIRECT("R12.ServiciosApoyo!D"&amp;SUM(18,38*0,12))),"",INDIRECT("R12.ServiciosApoyo!D"&amp;SUM(18,38*0,12))))</f>
        <v>N/T</v>
      </c>
      <c r="CO31" s="215" t="str" cm="1">
        <f t="array" aca="1" ref="CO31" ca="1">IF($B31="","",IF(ISBLANK(INDIRECT("R12.ServiciosApoyo!D"&amp;SUM(18,38*1,12))),"",INDIRECT("R12.ServiciosApoyo!D"&amp;SUM(18,38*1,12))))</f>
        <v>N/T</v>
      </c>
      <c r="CP31" s="215" t="str" cm="1">
        <f t="array" aca="1" ref="CP31" ca="1">IF($B31="","",IF(ISBLANK(INDIRECT("R12.ServiciosApoyo!D"&amp;SUM(18,38*2,12))),"",INDIRECT("R12.ServiciosApoyo!D"&amp;SUM(18,38*2,12))))</f>
        <v>N/T</v>
      </c>
      <c r="CQ31" s="215" t="str" cm="1">
        <f t="array" aca="1" ref="CQ31" ca="1">IF($B31="","",IF(ISBLANK(INDIRECT("R12.ServiciosApoyo!D"&amp;SUM(18,38*3,12))),"",INDIRECT("R12.ServiciosApoyo!D"&amp;SUM(18,38*3,12))))</f>
        <v>N/T</v>
      </c>
      <c r="CR31" s="215" t="str" cm="1">
        <f t="array" aca="1" ref="CR31" ca="1">IF($B31="","",IF(ISBLANK(INDIRECT("R12.ServiciosApoyo!D"&amp;SUM(18,38*4,12))),"",INDIRECT("R12.ServiciosApoyo!D"&amp;SUM(18,38*4,12))))</f>
        <v>N/T</v>
      </c>
      <c r="CU31" s="100"/>
      <c r="CV31" s="29"/>
      <c r="CW31" s="29"/>
      <c r="CX31" s="29"/>
    </row>
    <row r="32" spans="2:102" ht="20.25">
      <c r="B32" s="181" t="n" cm="1">
        <f t="array" ref="B32">IFERROR(INDEX('03.Muestra'!$B$8:$B$42,SMALL(IF("Página Web"='03.Muestra'!$D$8:$D$42,ROW('03.Muestra'!$B$8:$B$42)-MIN(ROW('03.Muestra'!$D$8:$D$42))+1,""),ROW()-19)),"")</f>
        <v>1.0</v>
      </c>
      <c r="C32" s="97" t="str" cm="1">
        <f t="array" ref="C32">IFERROR(INDEX('03.Muestra'!$C$8:$C$42,SMALL(IF("Página Web"='03.Muestra'!$D$8:$D$42,ROW('03.Muestra'!$C$8:$C$42)-MIN(ROW('03.Muestra'!$D$8:$D$42))+1,""),ROW()-19)),"")</f>
        <v>Home - PortCastelló</v>
      </c>
      <c r="D32" s="98" t="str" cm="1">
        <f t="array" ref="D32">IFERROR(INDEX('03.Muestra'!$F$8:$F$42,SMALL(IF("Página Web"='03.Muestra'!$D$8:$D$42,ROW('03.Muestra'!$F$8:$F$42)-MIN(ROW('03.Muestra'!$D$8:$D$42))+1,""),ROW()-19)),"")</f>
        <v>https://www.portcastello.com/</v>
      </c>
      <c r="E32" s="215" t="str" cm="1">
        <f t="array" aca="1" ref="E32" ca="1">IF($B32="","",IF(ISBLANK(INDIRECT("R5.Genéricos!D"&amp;SUM(18,38*0,13))),"",INDIRECT("R5.Genéricos!D"&amp;SUM(18,38*0,13))))</f>
        <v>N/T</v>
      </c>
      <c r="F32" s="215" t="str" cm="1">
        <f t="array" aca="1" ref="F32" ca="1">IF($B32="","",IF(ISBLANK(INDIRECT("R5.Genéricos!D"&amp;SUM(18,38*1,13))),"",INDIRECT("R5.Genéricos!D"&amp;SUM(18,38*1,13))))</f>
        <v>N/T</v>
      </c>
      <c r="G32" s="215" t="str" cm="1">
        <f t="array" aca="1" ref="G32" ca="1">IF($B32="","",IF(ISBLANK(INDIRECT("R5.Genéricos!D"&amp;SUM(18,38*2,13))),"",INDIRECT("R5.Genéricos!D"&amp;SUM(18,38*2,13))))</f>
        <v>N/T</v>
      </c>
      <c r="H32" s="215" t="str" cm="1">
        <f t="array" aca="1" ref="H32" ca="1">IF($B32="","",IF(ISBLANK(INDIRECT("R6.Voz!D"&amp;SUM(18,38*0,13))),"",INDIRECT("R6.Voz!D"&amp;SUM(18,38*0,13))))</f>
        <v>N/T</v>
      </c>
      <c r="I32" s="215" t="str" cm="1">
        <f t="array" aca="1" ref="I32" ca="1">IF($B32="","",IF(ISBLANK(INDIRECT("R6.Voz!D"&amp;SUM(18,38*1,13))),"",INDIRECT("R6.Voz!D"&amp;SUM(18,38*1,13))))</f>
        <v>N/T</v>
      </c>
      <c r="J32" s="215" t="str" cm="1">
        <f t="array" aca="1" ref="J32" ca="1">IF($B32="","",IF(ISBLANK(INDIRECT("R6.Voz!D"&amp;SUM(18,38*2,13))),"",INDIRECT("R6.Voz!D"&amp;SUM(18,38*2,13))))</f>
        <v>N/T</v>
      </c>
      <c r="K32" s="215" t="str" cm="1">
        <f t="array" aca="1" ref="K32" ca="1">IF($B32="","",IF(ISBLANK(INDIRECT("R6.Voz!D"&amp;SUM(18,38*3,13))),"",INDIRECT("R6.Voz!D"&amp;SUM(18,38*3,13))))</f>
        <v>N/T</v>
      </c>
      <c r="L32" s="215" t="str" cm="1">
        <f t="array" aca="1" ref="L32" ca="1">IF($B32="","",IF(ISBLANK(INDIRECT("R6.Voz!D"&amp;SUM(18,38*4,13))),"",INDIRECT("R6.Voz!D"&amp;SUM(18,38*4,13))))</f>
        <v>N/T</v>
      </c>
      <c r="M32" s="215" t="str" cm="1">
        <f t="array" aca="1" ref="M32" ca="1">IF($B32="","",IF(ISBLANK(INDIRECT("R6.Voz!D"&amp;SUM(18,38*5,13))),"",INDIRECT("R6.Voz!D"&amp;SUM(18,38*5,13))))</f>
        <v>N/T</v>
      </c>
      <c r="N32" s="215" t="str" cm="1">
        <f t="array" aca="1" ref="N32" ca="1">IF($B32="","",IF(ISBLANK(INDIRECT("R6.Voz!D"&amp;SUM(18,38*6,13))),"",INDIRECT("R6.Voz!D"&amp;SUM(18,38*6,13))))</f>
        <v>N/T</v>
      </c>
      <c r="O32" s="215" t="str" cm="1">
        <f t="array" aca="1" ref="O32" ca="1">IF($B32="","",IF(ISBLANK(INDIRECT("R6.Voz!D"&amp;SUM(18,38*7,13))),"",INDIRECT("R6.Voz!D"&amp;SUM(18,38*7,13))))</f>
        <v>N/T</v>
      </c>
      <c r="P32" s="215" t="str" cm="1">
        <f t="array" aca="1" ref="P32" ca="1">IF($B32="","",IF(ISBLANK(INDIRECT("R6.Voz!D"&amp;SUM(18,38*8,13))),"",INDIRECT("R6.Voz!D"&amp;SUM(18,38*8,13))))</f>
        <v>N/T</v>
      </c>
      <c r="Q32" s="215" t="str" cm="1">
        <f t="array" aca="1" ref="Q32" ca="1">IF($B32="","",IF(ISBLANK(INDIRECT("R6.Voz!D"&amp;SUM(18,38*9,13))),"",INDIRECT("R6.Voz!D"&amp;SUM(18,38*9,13))))</f>
        <v>N/T</v>
      </c>
      <c r="R32" s="215" t="str" cm="1">
        <f t="array" aca="1" ref="R32" ca="1">IF($B32="","",IF(ISBLANK(INDIRECT("R6.Voz!D"&amp;SUM(18,38*10,13))),"",INDIRECT("R6.Voz!D"&amp;SUM(18,38*10,13))))</f>
        <v>N/T</v>
      </c>
      <c r="S32" s="215" t="str" cm="1">
        <f t="array" aca="1" ref="S32" ca="1">IF($B32="","",IF(ISBLANK(INDIRECT("R6.Voz!D"&amp;SUM(18,38*11,13))),"",INDIRECT("R6.Voz!D"&amp;SUM(18,38*11,13))))</f>
        <v>N/T</v>
      </c>
      <c r="T32" s="215" t="str" cm="1">
        <f t="array" aca="1" ref="T32" ca="1">IF($B32="","",IF(ISBLANK(INDIRECT("R6.Voz!D"&amp;SUM(18,38*12,13))),"",INDIRECT("R6.Voz!D"&amp;SUM(18,38*12,13))))</f>
        <v>N/T</v>
      </c>
      <c r="U32" s="215" t="str" cm="1">
        <f t="array" aca="1" ref="U32" ca="1">IF($B32="","",IF(ISBLANK(INDIRECT("R6.Voz!D"&amp;SUM(18,38*13,13))),"",INDIRECT("R6.Voz!D"&amp;SUM(18,38*13,13))))</f>
        <v>N/T</v>
      </c>
      <c r="V32" s="215" t="str" cm="1">
        <f t="array" aca="1" ref="V32" ca="1">IF($B32="","",IF(ISBLANK(INDIRECT("R6.Voz!D"&amp;SUM(18,38*14,13))),"",INDIRECT("R6.Voz!D"&amp;SUM(18,38*14,13))))</f>
        <v>N/T</v>
      </c>
      <c r="W32" s="215" t="str" cm="1">
        <f t="array" aca="1" ref="W32" ca="1">IF($B32="","",IF(ISBLANK(INDIRECT("R6.Voz!D"&amp;SUM(18,38*15,13))),"",INDIRECT("R6.Voz!D"&amp;SUM(18,38*15,13))))</f>
        <v>N/T</v>
      </c>
      <c r="X32" s="215" t="str" cm="1">
        <f t="array" aca="1" ref="X32" ca="1">IF($B32="","",IF(ISBLANK(INDIRECT("R6.Voz!D"&amp;SUM(18,38*16,13))),"",INDIRECT("R6.Voz!D"&amp;SUM(18,38*16,13))))</f>
        <v>N/T</v>
      </c>
      <c r="Y32" s="215" t="str" cm="1">
        <f t="array" aca="1" ref="Y32" ca="1">IF($B32="","",IF(ISBLANK(INDIRECT("R6.Voz!D"&amp;SUM(18,38*17,13))),"",INDIRECT("R6.Voz!D"&amp;SUM(18,38*17,13))))</f>
        <v>N/T</v>
      </c>
      <c r="Z32" s="215" t="str" cm="1">
        <f t="array" aca="1" ref="Z32" ca="1">IF($B32="","",IF(ISBLANK(INDIRECT("R6.Voz!D"&amp;SUM(18,38*18,13))),"",INDIRECT("R6.Voz!D"&amp;SUM(18,38*18,13))))</f>
        <v>N/T</v>
      </c>
      <c r="AA32" s="215" t="str" cm="1">
        <f t="array" aca="1" ref="AA32" ca="1">IF($B32="","",IF(ISBLANK(INDIRECT("R7.Video!D"&amp;SUM(18,38*0,13))),"",INDIRECT("R7.Video!D"&amp;SUM(18,38*0,13))))</f>
        <v>N/T</v>
      </c>
      <c r="AB32" s="215" t="str" cm="1">
        <f t="array" aca="1" ref="AB32" ca="1">IF($B32="","",IF(ISBLANK(INDIRECT("R7.Video!D"&amp;SUM(18,38*1,13))),"",INDIRECT("R7.Video!D"&amp;SUM(18,38*1,13))))</f>
        <v>N/T</v>
      </c>
      <c r="AC32" s="215" t="str" cm="1">
        <f t="array" aca="1" ref="AC32" ca="1">IF($B32="","",IF(ISBLANK(INDIRECT("R7.Video!D"&amp;SUM(18,38*2,13))),"",INDIRECT("R7.Video!D"&amp;SUM(18,38*2,13))))</f>
        <v>N/T</v>
      </c>
      <c r="AD32" s="215" t="str" cm="1">
        <f t="array" aca="1" ref="AD32" ca="1">IF($B32="","",IF(ISBLANK(INDIRECT("R7.Video!D"&amp;SUM(18,38*3,13))),"",INDIRECT("R7.Video!D"&amp;SUM(18,38*3,13))))</f>
        <v>N/T</v>
      </c>
      <c r="AE32" s="215" t="str" cm="1">
        <f t="array" aca="1" ref="AE32" ca="1">IF($B32="","",IF(ISBLANK(INDIRECT("R7.Video!D"&amp;SUM(18,38*4,13))),"",INDIRECT("R7.Video!D"&amp;SUM(18,38*4,13))))</f>
        <v>N/T</v>
      </c>
      <c r="AF32" s="215" t="str" cm="1">
        <f t="array" aca="1" ref="AF32" ca="1">IF($B32="","",IF(ISBLANK(INDIRECT("R7.Video!D"&amp;SUM(18,38*5,13))),"",INDIRECT("R7.Video!D"&amp;SUM(18,38*5,13))))</f>
        <v>N/T</v>
      </c>
      <c r="AG32" s="215" t="str" cm="1">
        <f t="array" aca="1" ref="AG32" ca="1">IF($B32="","",IF(ISBLANK(INDIRECT("R7.Video!D"&amp;SUM(18,38*6,13))),"",INDIRECT("R7.Video!D"&amp;SUM(18,38*6,13))))</f>
        <v>N/T</v>
      </c>
      <c r="AH32" s="215" t="str" cm="1">
        <f t="array" aca="1" ref="AH32" ca="1">IF($B32="","",IF(ISBLANK(INDIRECT("R7.Video!D"&amp;SUM(18,38*7,13))),"",INDIRECT("R7.Video!D"&amp;SUM(18,38*7,13))))</f>
        <v>N/T</v>
      </c>
      <c r="AI32" s="215" t="str" cm="1">
        <f t="array" aca="1" ref="AI32" ca="1">IF($B32="","",IF(ISBLANK(INDIRECT("R7.Video!D"&amp;SUM(18,38*8,13))),"",INDIRECT("R7.Video!D"&amp;SUM(18,38*8,13))))</f>
        <v>N/T</v>
      </c>
      <c r="AJ32" s="215" t="str" cm="1">
        <f t="array" aca="1" ref="AJ32" ca="1">IF($B32="","",IF(ISBLANK(INDIRECT("R9.Web!D"&amp;SUM(18,38*0,13))),"",INDIRECT("R9.Web!D"&amp;SUM(18,38*0,13))))</f>
        <v>N/D</v>
      </c>
      <c r="AK32" s="215" t="str" cm="1">
        <f t="array" aca="1" ref="AK32" ca="1">IF($B32="","",IF(ISBLANK(INDIRECT("R9.Web!D"&amp;SUM(18,38*1,13))),"",INDIRECT("R9.Web!D"&amp;SUM(18,38*1,13))))</f>
        <v>N/T</v>
      </c>
      <c r="AL32" s="215" t="str" cm="1">
        <f t="array" aca="1" ref="AL32" ca="1">IF($B32="","",IF(ISBLANK(INDIRECT("R9.Web!D"&amp;SUM(18,38*2,13))),"",INDIRECT("R9.Web!D"&amp;SUM(18,38*2,13))))</f>
        <v>N/T</v>
      </c>
      <c r="AM32" s="215" t="str" cm="1">
        <f t="array" aca="1" ref="AM32" ca="1">IF($B32="","",IF(ISBLANK(INDIRECT("R9.Web!D"&amp;SUM(18,38*3,13))),"",INDIRECT("R9.Web!D"&amp;SUM(18,38*3,13))))</f>
        <v>N/T</v>
      </c>
      <c r="AN32" s="215" t="str" cm="1">
        <f t="array" aca="1" ref="AN32" ca="1">IF($B32="","",IF(ISBLANK(INDIRECT("R9.Web!D"&amp;SUM(18,38*4,13))),"",INDIRECT("R9.Web!D"&amp;SUM(18,38*4,13))))</f>
        <v>N/T</v>
      </c>
      <c r="AO32" s="215" t="str" cm="1">
        <f t="array" aca="1" ref="AO32" ca="1">IF($B32="","",IF(ISBLANK(INDIRECT("R9.Web!D"&amp;SUM(18,38*5,13))),"",INDIRECT("R9.Web!D"&amp;SUM(18,38*5,13))))</f>
        <v>N/D</v>
      </c>
      <c r="AP32" s="215" t="str" cm="1">
        <f t="array" aca="1" ref="AP32" ca="1">IF($B32="","",IF(ISBLANK(INDIRECT("R9.Web!D"&amp;SUM(18,38*6,13))),"",INDIRECT("R9.Web!D"&amp;SUM(18,38*6,13))))</f>
        <v>N/T</v>
      </c>
      <c r="AQ32" s="215" t="str" cm="1">
        <f t="array" aca="1" ref="AQ32" ca="1">IF($B32="","",IF(ISBLANK(INDIRECT("R9.Web!D"&amp;SUM(18,38*7,13))),"",INDIRECT("R9.Web!D"&amp;SUM(18,38*7,13))))</f>
        <v>N/T</v>
      </c>
      <c r="AR32" s="215" t="str" cm="1">
        <f t="array" aca="1" ref="AR32" ca="1">IF($B32="","",IF(ISBLANK(INDIRECT("R9.Web!D"&amp;SUM(18,38*8,13))),"",INDIRECT("R9.Web!D"&amp;SUM(18,38*8,13))))</f>
        <v>N/D</v>
      </c>
      <c r="AS32" s="215" t="str" cm="1">
        <f t="array" aca="1" ref="AS32" ca="1">IF($B32="","",IF(ISBLANK(INDIRECT("R9.Web!D"&amp;SUM(18,38*9,13))),"",INDIRECT("R9.Web!D"&amp;SUM(18,38*9,13))))</f>
        <v>N/D</v>
      </c>
      <c r="AT32" s="215" t="str" cm="1">
        <f t="array" aca="1" ref="AT32" ca="1">IF($B32="","",IF(ISBLANK(INDIRECT("R9.Web!D"&amp;SUM(18,38*10,13))),"",INDIRECT("R9.Web!D"&amp;SUM(18,38*10,13))))</f>
        <v>N/T</v>
      </c>
      <c r="AU32" s="215" t="str" cm="1">
        <f t="array" aca="1" ref="AU32" ca="1">IF($B32="","",IF(ISBLANK(INDIRECT("R9.Web!D"&amp;SUM(18,38*11,13))),"",INDIRECT("R9.Web!D"&amp;SUM(18,38*11,13))))</f>
        <v>N/T</v>
      </c>
      <c r="AV32" s="215" t="str" cm="1">
        <f t="array" aca="1" ref="AV32" ca="1">IF($B32="","",IF(ISBLANK(INDIRECT("R9.Web!D"&amp;SUM(18,38*12,13))),"",INDIRECT("R9.Web!D"&amp;SUM(18,38*12,13))))</f>
        <v>N/D</v>
      </c>
      <c r="AW32" s="215" t="str" cm="1">
        <f t="array" aca="1" ref="AW32" ca="1">IF($B32="","",IF(ISBLANK(INDIRECT("R9.Web!D"&amp;SUM(18,38*13,13))),"",INDIRECT("R9.Web!D"&amp;SUM(18,38*13,13))))</f>
        <v>N/T</v>
      </c>
      <c r="AX32" s="215" t="str" cm="1">
        <f t="array" aca="1" ref="AX32" ca="1">IF($B32="","",IF(ISBLANK(INDIRECT("R9.Web!D"&amp;SUM(18,38*14,13))),"",INDIRECT("R9.Web!D"&amp;SUM(18,38*14,13))))</f>
        <v>N/T</v>
      </c>
      <c r="AY32" s="215" t="str" cm="1">
        <f t="array" aca="1" ref="AY32" ca="1">IF($B32="","",IF(ISBLANK(INDIRECT("R9.Web!D"&amp;SUM(18,38*15,13))),"",INDIRECT("R9.Web!D"&amp;SUM(18,38*15,13))))</f>
        <v>N/D</v>
      </c>
      <c r="AZ32" s="215" t="str" cm="1">
        <f t="array" aca="1" ref="AZ32" ca="1">IF($B32="","",IF(ISBLANK(INDIRECT("R9.Web!D"&amp;SUM(18,38*16,13))),"",INDIRECT("R9.Web!D"&amp;SUM(18,38*16,13))))</f>
        <v>N/T</v>
      </c>
      <c r="BA32" s="215" t="str" cm="1">
        <f t="array" aca="1" ref="BA32" ca="1">IF($B32="","",IF(ISBLANK(INDIRECT("R9.Web!D"&amp;SUM(18,38*17,13))),"",INDIRECT("R9.Web!D"&amp;SUM(18,38*17,13))))</f>
        <v>N/D</v>
      </c>
      <c r="BB32" s="215" t="str" cm="1">
        <f t="array" aca="1" ref="BB32" ca="1">IF($B32="","",IF(ISBLANK(INDIRECT("R9.Web!D"&amp;SUM(18,38*18,13))),"",INDIRECT("R9.Web!D"&amp;SUM(18,38*18,13))))</f>
        <v>N/T</v>
      </c>
      <c r="BC32" s="215" t="str" cm="1">
        <f t="array" aca="1" ref="BC32" ca="1">IF($B32="","",IF(ISBLANK(INDIRECT("R9.Web!D"&amp;SUM(18,38*19,13))),"",INDIRECT("R9.Web!D"&amp;SUM(18,38*19,13))))</f>
        <v>N/D</v>
      </c>
      <c r="BD32" s="215" t="str" cm="1">
        <f t="array" aca="1" ref="BD32" ca="1">IF($B32="","",IF(ISBLANK(INDIRECT("R9.Web!D"&amp;SUM(18,38*20,13))),"",INDIRECT("R9.Web!D"&amp;SUM(18,38*20,13))))</f>
        <v>N/T</v>
      </c>
      <c r="BE32" s="215" t="str" cm="1">
        <f t="array" aca="1" ref="BE32" ca="1">IF($B32="","",IF(ISBLANK(INDIRECT("R9.Web!D"&amp;SUM(18,38*21,13))),"",INDIRECT("R9.Web!D"&amp;SUM(18,38*21,13))))</f>
        <v>N/T</v>
      </c>
      <c r="BF32" s="215" t="str" cm="1">
        <f t="array" aca="1" ref="BF32" ca="1">IF($B32="","",IF(ISBLANK(INDIRECT("R9.Web!D"&amp;SUM(18,38*22,13))),"",INDIRECT("R9.Web!D"&amp;SUM(18,38*22,13))))</f>
        <v>N/D</v>
      </c>
      <c r="BG32" s="215" t="str" cm="1">
        <f t="array" aca="1" ref="BG32" ca="1">IF($B32="","",IF(ISBLANK(INDIRECT("R9.Web!D"&amp;SUM(18,38*23,13))),"",INDIRECT("R9.Web!D"&amp;SUM(18,38*23,13))))</f>
        <v>N/D</v>
      </c>
      <c r="BH32" s="215" t="str" cm="1">
        <f t="array" aca="1" ref="BH32" ca="1">IF($B32="","",IF(ISBLANK(INDIRECT("R9.Web!D"&amp;SUM(18,38*24,13))),"",INDIRECT("R9.Web!D"&amp;SUM(18,38*24,13))))</f>
        <v>N/T</v>
      </c>
      <c r="BI32" s="215" t="str" cm="1">
        <f t="array" aca="1" ref="BI32" ca="1">IF($B32="","",IF(ISBLANK(INDIRECT("R9.Web!D"&amp;SUM(18,38*25,13))),"",INDIRECT("R9.Web!D"&amp;SUM(18,38*25,13))))</f>
        <v>N/D</v>
      </c>
      <c r="BJ32" s="215" t="str" cm="1">
        <f t="array" aca="1" ref="BJ32" ca="1">IF($B32="","",IF(ISBLANK(INDIRECT("R9.Web!D"&amp;SUM(18,38*26,13))),"",INDIRECT("R9.Web!D"&amp;SUM(18,38*26,13))))</f>
        <v>N/D</v>
      </c>
      <c r="BK32" s="215" t="str" cm="1">
        <f t="array" aca="1" ref="BK32" ca="1">IF($B32="","",IF(ISBLANK(INDIRECT("R9.Web!D"&amp;SUM(18,38*27,13))),"",INDIRECT("R9.Web!D"&amp;SUM(18,38*27,13))))</f>
        <v>N/D</v>
      </c>
      <c r="BL32" s="215" t="str" cm="1">
        <f t="array" aca="1" ref="BL32" ca="1">IF($B32="","",IF(ISBLANK(INDIRECT("R9.Web!D"&amp;SUM(18,38*28,13))),"",INDIRECT("R9.Web!D"&amp;SUM(18,38*28,13))))</f>
        <v>N/D</v>
      </c>
      <c r="BM32" s="215" t="str" cm="1">
        <f t="array" aca="1" ref="BM32" ca="1">IF($B32="","",IF(ISBLANK(INDIRECT("R9.Web!D"&amp;SUM(18,38*29,13))),"",INDIRECT("R9.Web!D"&amp;SUM(18,38*29,13))))</f>
        <v>N/D</v>
      </c>
      <c r="BN32" s="215" t="str" cm="1">
        <f t="array" aca="1" ref="BN32" ca="1">IF($B32="","",IF(ISBLANK(INDIRECT("R9.Web!D"&amp;SUM(18,38*30,13))),"",INDIRECT("R9.Web!D"&amp;SUM(18,38*30,13))))</f>
        <v>N/T</v>
      </c>
      <c r="BO32" s="215" t="str" cm="1">
        <f t="array" aca="1" ref="BO32" ca="1">IF($B32="","",IF(ISBLANK(INDIRECT("R9.Web!D"&amp;SUM(18,38*31,13))),"",INDIRECT("R9.Web!D"&amp;SUM(18,38*31,13))))</f>
        <v>Falla</v>
      </c>
      <c r="BP32" s="215" t="str" cm="1">
        <f t="array" aca="1" ref="BP32" ca="1">IF($B32="","",IF(ISBLANK(INDIRECT("R9.Web!D"&amp;SUM(18,38*32,13))),"",INDIRECT("R9.Web!D"&amp;SUM(18,38*32,13))))</f>
        <v>N/T</v>
      </c>
      <c r="BQ32" s="215" t="str" cm="1">
        <f t="array" aca="1" ref="BQ32" ca="1">IF($B32="","",IF(ISBLANK(INDIRECT("R9.Web!D"&amp;SUM(18,38*33,13))),"",INDIRECT("R9.Web!D"&amp;SUM(18,38*33,13))))</f>
        <v>N/T</v>
      </c>
      <c r="BR32" s="215" t="str" cm="1">
        <f t="array" aca="1" ref="BR32" ca="1">IF($B32="","",IF(ISBLANK(INDIRECT("R9.Web!D"&amp;SUM(18,38*34,13))),"",INDIRECT("R9.Web!D"&amp;SUM(18,38*34,13))))</f>
        <v>N/D</v>
      </c>
      <c r="BS32" s="215" t="str" cm="1">
        <f t="array" aca="1" ref="BS32" ca="1">IF($B32="","",IF(ISBLANK(INDIRECT("R9.Web!D"&amp;SUM(18,38*35,13))),"",INDIRECT("R9.Web!D"&amp;SUM(18,38*35,13))))</f>
        <v>N/T</v>
      </c>
      <c r="BT32" s="215" t="str" cm="1">
        <f t="array" aca="1" ref="BT32" ca="1">IF($B32="","",IF(ISBLANK(INDIRECT("R9.Web!D"&amp;SUM(18,38*36,13))),"",INDIRECT("R9.Web!D"&amp;SUM(18,38*36,13))))</f>
        <v>N/D</v>
      </c>
      <c r="BU32" s="215" t="str" cm="1">
        <f t="array" aca="1" ref="BU32" ca="1">IF($B32="","",IF(ISBLANK(INDIRECT("R9.Web!D"&amp;SUM(18,38*37,13))),"",INDIRECT("R9.Web!D"&amp;SUM(18,38*37,13))))</f>
        <v>N/D</v>
      </c>
      <c r="BV32" s="215" t="str" cm="1">
        <f t="array" aca="1" ref="BV32" ca="1">IF($B32="","",IF(ISBLANK(INDIRECT("R9.Web!D"&amp;SUM(18,38*38,13))),"",INDIRECT("R9.Web!D"&amp;SUM(18,38*38,13))))</f>
        <v>N/D</v>
      </c>
      <c r="BW32" s="215" t="str" cm="1">
        <f t="array" aca="1" ref="BW32" ca="1">IF($B32="","",IF(ISBLANK(INDIRECT("R9.Web!D"&amp;SUM(18,38*39,13))),"",INDIRECT("R9.Web!D"&amp;SUM(18,38*39,13))))</f>
        <v>N/D</v>
      </c>
      <c r="BX32" s="215" t="str" cm="1">
        <f t="array" aca="1" ref="BX32" ca="1">IF($B32="","",IF(ISBLANK(INDIRECT("R9.Web!D"&amp;SUM(18,38*40,13))),"",INDIRECT("R9.Web!D"&amp;SUM(18,38*40,13))))</f>
        <v>N/D</v>
      </c>
      <c r="BY32" s="215" t="str" cm="1">
        <f t="array" aca="1" ref="BY32" ca="1">IF($B32="","",IF(ISBLANK(INDIRECT("R9.Web!D"&amp;SUM(18,38*41,13))),"",INDIRECT("R9.Web!D"&amp;SUM(18,38*41,13))))</f>
        <v>N/T</v>
      </c>
      <c r="BZ32" s="215" t="str" cm="1">
        <f t="array" aca="1" ref="BZ32" ca="1">IF($B32="","",IF(ISBLANK(INDIRECT("R9.Web!D"&amp;SUM(18,38*42,13))),"",INDIRECT("R9.Web!D"&amp;SUM(18,38*42,13))))</f>
        <v>N/T</v>
      </c>
      <c r="CA32" s="215" t="str" cm="1">
        <f t="array" aca="1" ref="CA32" ca="1">IF($B32="","",IF(ISBLANK(INDIRECT("R9.Web!D"&amp;SUM(18,38*43,13))),"",INDIRECT("R9.Web!D"&amp;SUM(18,38*43,13))))</f>
        <v>N/D</v>
      </c>
      <c r="CB32" s="215" t="str" cm="1">
        <f t="array" aca="1" ref="CB32" ca="1">IF($B32="","",IF(ISBLANK(INDIRECT("R9.Web!D"&amp;SUM(18,38*44,13))),"",INDIRECT("R9.Web!D"&amp;SUM(18,38*44,13))))</f>
        <v>N/T</v>
      </c>
      <c r="CC32" s="215" t="str" cm="1">
        <f t="array" aca="1" ref="CC32" ca="1">IF($B32="","",IF(ISBLANK(INDIRECT("R9.Web!D"&amp;SUM(18,38*45,13))),"",INDIRECT("R9.Web!D"&amp;SUM(18,38*45,13))))</f>
        <v>N/T</v>
      </c>
      <c r="CD32" s="215" t="str" cm="1">
        <f t="array" aca="1" ref="CD32" ca="1">IF($B32="","",IF(ISBLANK(INDIRECT("R9.Web!D"&amp;SUM(18,38*46,13))),"",INDIRECT("R9.Web!D"&amp;SUM(18,38*46,13))))</f>
        <v>N/T</v>
      </c>
      <c r="CE32" s="215" t="str" cm="1">
        <f t="array" aca="1" ref="CE32" ca="1">IF($B32="","",IF(ISBLANK(INDIRECT("R9.Web!D"&amp;SUM(18,38*47,13))),"",INDIRECT("R9.Web!D"&amp;SUM(18,38*47,13))))</f>
        <v>N/D</v>
      </c>
      <c r="CF32" s="215" t="str" cm="1">
        <f t="array" aca="1" ref="CF32" ca="1">IF($B32="","",IF(ISBLANK(INDIRECT("R9.Web!D"&amp;SUM(18,38*48,13))),"",INDIRECT("R9.Web!D"&amp;SUM(18,38*48,13))))</f>
        <v>N/T</v>
      </c>
      <c r="CG32" s="215" t="str" cm="1">
        <f t="array" aca="1" ref="CG32" ca="1">IF($B32="","",IF(ISBLANK(INDIRECT("R9.Web!D"&amp;SUM(18,38*49,13))),"",INDIRECT("R9.Web!D"&amp;SUM(18,38*49,13))))</f>
        <v>N/T</v>
      </c>
      <c r="CH32" s="215" t="str" cm="1">
        <f t="array" aca="1" ref="CH32" ca="1">IF($B32="","",IF(ISBLANK(INDIRECT("R11.Software!D"&amp;SUM(18,38*0,13))),"",INDIRECT("R11.Software!D"&amp;SUM(18,38*0,13))))</f>
        <v>N/T</v>
      </c>
      <c r="CI32" s="215" t="str" cm="1">
        <f t="array" aca="1" ref="CI32" ca="1">IF($B32="","",IF(ISBLANK(INDIRECT("R11.Software!D"&amp;SUM(18,38*1,13))),"",INDIRECT("R11.Software!D"&amp;SUM(18,38*1,13))))</f>
        <v>N/T</v>
      </c>
      <c r="CJ32" s="215" t="str" cm="1">
        <f t="array" aca="1" ref="CJ32" ca="1">IF($B32="","",IF(ISBLANK(INDIRECT("R11.Software!D"&amp;SUM(18,38*2,13))),"",INDIRECT("R11.Software!D"&amp;SUM(18,38*2,13))))</f>
        <v>N/T</v>
      </c>
      <c r="CK32" s="215" t="str" cm="1">
        <f t="array" aca="1" ref="CK32" ca="1">IF($B32="","",IF(ISBLANK(INDIRECT("R11.Software!D"&amp;SUM(18,38*3,13))),"",INDIRECT("R11.Software!D"&amp;SUM(18,38*3,13))))</f>
        <v>N/T</v>
      </c>
      <c r="CL32" s="215" t="str" cm="1">
        <f t="array" aca="1" ref="CL32" ca="1">IF($B32="","",IF(ISBLANK(INDIRECT("R11.Software!D"&amp;SUM(18,38*4,13))),"",INDIRECT("R11.Software!D"&amp;SUM(18,38*4,13))))</f>
        <v>N/T</v>
      </c>
      <c r="CM32" s="215" t="str" cm="1">
        <f t="array" aca="1" ref="CM32" ca="1">IF($B32="","",IF(ISBLANK(INDIRECT("R11.Software!D"&amp;SUM(18,38*5,13))),"",INDIRECT("R11.Software!D"&amp;SUM(18,38*5,13))))</f>
        <v>N/T</v>
      </c>
      <c r="CN32" s="215" t="str" cm="1">
        <f t="array" aca="1" ref="CN32" ca="1">IF($B32="","",IF(ISBLANK(INDIRECT("R12.ServiciosApoyo!D"&amp;SUM(18,38*0,13))),"",INDIRECT("R12.ServiciosApoyo!D"&amp;SUM(18,38*0,13))))</f>
        <v>N/T</v>
      </c>
      <c r="CO32" s="215" t="str" cm="1">
        <f t="array" aca="1" ref="CO32" ca="1">IF($B32="","",IF(ISBLANK(INDIRECT("R12.ServiciosApoyo!D"&amp;SUM(18,38*1,13))),"",INDIRECT("R12.ServiciosApoyo!D"&amp;SUM(18,38*1,13))))</f>
        <v>N/T</v>
      </c>
      <c r="CP32" s="215" t="str" cm="1">
        <f t="array" aca="1" ref="CP32" ca="1">IF($B32="","",IF(ISBLANK(INDIRECT("R12.ServiciosApoyo!D"&amp;SUM(18,38*2,13))),"",INDIRECT("R12.ServiciosApoyo!D"&amp;SUM(18,38*2,13))))</f>
        <v>N/T</v>
      </c>
      <c r="CQ32" s="215" t="str" cm="1">
        <f t="array" aca="1" ref="CQ32" ca="1">IF($B32="","",IF(ISBLANK(INDIRECT("R12.ServiciosApoyo!D"&amp;SUM(18,38*3,13))),"",INDIRECT("R12.ServiciosApoyo!D"&amp;SUM(18,38*3,13))))</f>
        <v>N/T</v>
      </c>
      <c r="CR32" s="215" t="str" cm="1">
        <f t="array" aca="1" ref="CR32" ca="1">IF($B32="","",IF(ISBLANK(INDIRECT("R12.ServiciosApoyo!D"&amp;SUM(18,38*4,13))),"",INDIRECT("R12.ServiciosApoyo!D"&amp;SUM(18,38*4,13))))</f>
        <v>N/T</v>
      </c>
      <c r="CU32" s="100"/>
      <c r="CV32" s="29"/>
      <c r="CW32" s="29"/>
      <c r="CX32" s="29"/>
    </row>
    <row r="33" spans="2:102" ht="20.25">
      <c r="B33" s="181" t="n" cm="1">
        <f t="array" ref="B33">IFERROR(INDEX('03.Muestra'!$B$8:$B$42,SMALL(IF("Página Web"='03.Muestra'!$D$8:$D$42,ROW('03.Muestra'!$B$8:$B$42)-MIN(ROW('03.Muestra'!$D$8:$D$42))+1,""),ROW()-19)),"")</f>
        <v>1.0</v>
      </c>
      <c r="C33" s="97" t="str" cm="1">
        <f t="array" ref="C33">IFERROR(INDEX('03.Muestra'!$C$8:$C$42,SMALL(IF("Página Web"='03.Muestra'!$D$8:$D$42,ROW('03.Muestra'!$C$8:$C$42)-MIN(ROW('03.Muestra'!$D$8:$D$42))+1,""),ROW()-19)),"")</f>
        <v>Home - PortCastelló</v>
      </c>
      <c r="D33" s="98" t="str" cm="1">
        <f t="array" ref="D33">IFERROR(INDEX('03.Muestra'!$F$8:$F$42,SMALL(IF("Página Web"='03.Muestra'!$D$8:$D$42,ROW('03.Muestra'!$F$8:$F$42)-MIN(ROW('03.Muestra'!$D$8:$D$42))+1,""),ROW()-19)),"")</f>
        <v>https://www.portcastello.com/</v>
      </c>
      <c r="E33" s="215" t="str" cm="1">
        <f t="array" aca="1" ref="E33" ca="1">IF($B33="","",IF(ISBLANK(INDIRECT("R5.Genéricos!D"&amp;SUM(18,38*0,14))),"",INDIRECT("R5.Genéricos!D"&amp;SUM(18,38*0,14))))</f>
        <v>N/T</v>
      </c>
      <c r="F33" s="215" t="str" cm="1">
        <f t="array" aca="1" ref="F33" ca="1">IF($B33="","",IF(ISBLANK(INDIRECT("R5.Genéricos!D"&amp;SUM(18,38*1,14))),"",INDIRECT("R5.Genéricos!D"&amp;SUM(18,38*1,14))))</f>
        <v>N/T</v>
      </c>
      <c r="G33" s="215" t="str" cm="1">
        <f t="array" aca="1" ref="G33" ca="1">IF($B33="","",IF(ISBLANK(INDIRECT("R5.Genéricos!D"&amp;SUM(18,38*2,14))),"",INDIRECT("R5.Genéricos!D"&amp;SUM(18,38*2,14))))</f>
        <v>N/T</v>
      </c>
      <c r="H33" s="215" t="str" cm="1">
        <f t="array" aca="1" ref="H33" ca="1">IF($B33="","",IF(ISBLANK(INDIRECT("R6.Voz!D"&amp;SUM(18,38*0,14))),"",INDIRECT("R6.Voz!D"&amp;SUM(18,38*0,14))))</f>
        <v>N/T</v>
      </c>
      <c r="I33" s="215" t="str" cm="1">
        <f t="array" aca="1" ref="I33" ca="1">IF($B33="","",IF(ISBLANK(INDIRECT("R6.Voz!D"&amp;SUM(18,38*1,14))),"",INDIRECT("R6.Voz!D"&amp;SUM(18,38*1,14))))</f>
        <v>N/T</v>
      </c>
      <c r="J33" s="215" t="str" cm="1">
        <f t="array" aca="1" ref="J33" ca="1">IF($B33="","",IF(ISBLANK(INDIRECT("R6.Voz!D"&amp;SUM(18,38*2,14))),"",INDIRECT("R6.Voz!D"&amp;SUM(18,38*2,14))))</f>
        <v>N/T</v>
      </c>
      <c r="K33" s="215" t="str" cm="1">
        <f t="array" aca="1" ref="K33" ca="1">IF($B33="","",IF(ISBLANK(INDIRECT("R6.Voz!D"&amp;SUM(18,38*3,14))),"",INDIRECT("R6.Voz!D"&amp;SUM(18,38*3,14))))</f>
        <v>N/T</v>
      </c>
      <c r="L33" s="215" t="str" cm="1">
        <f t="array" aca="1" ref="L33" ca="1">IF($B33="","",IF(ISBLANK(INDIRECT("R6.Voz!D"&amp;SUM(18,38*4,14))),"",INDIRECT("R6.Voz!D"&amp;SUM(18,38*4,14))))</f>
        <v>N/T</v>
      </c>
      <c r="M33" s="215" t="str" cm="1">
        <f t="array" aca="1" ref="M33" ca="1">IF($B33="","",IF(ISBLANK(INDIRECT("R6.Voz!D"&amp;SUM(18,38*5,14))),"",INDIRECT("R6.Voz!D"&amp;SUM(18,38*5,14))))</f>
        <v>N/T</v>
      </c>
      <c r="N33" s="215" t="str" cm="1">
        <f t="array" aca="1" ref="N33" ca="1">IF($B33="","",IF(ISBLANK(INDIRECT("R6.Voz!D"&amp;SUM(18,38*6,14))),"",INDIRECT("R6.Voz!D"&amp;SUM(18,38*6,14))))</f>
        <v>N/T</v>
      </c>
      <c r="O33" s="215" t="str" cm="1">
        <f t="array" aca="1" ref="O33" ca="1">IF($B33="","",IF(ISBLANK(INDIRECT("R6.Voz!D"&amp;SUM(18,38*7,14))),"",INDIRECT("R6.Voz!D"&amp;SUM(18,38*7,14))))</f>
        <v>N/T</v>
      </c>
      <c r="P33" s="215" t="str" cm="1">
        <f t="array" aca="1" ref="P33" ca="1">IF($B33="","",IF(ISBLANK(INDIRECT("R6.Voz!D"&amp;SUM(18,38*8,14))),"",INDIRECT("R6.Voz!D"&amp;SUM(18,38*8,14))))</f>
        <v>N/T</v>
      </c>
      <c r="Q33" s="215" t="str" cm="1">
        <f t="array" aca="1" ref="Q33" ca="1">IF($B33="","",IF(ISBLANK(INDIRECT("R6.Voz!D"&amp;SUM(18,38*9,14))),"",INDIRECT("R6.Voz!D"&amp;SUM(18,38*9,14))))</f>
        <v>N/T</v>
      </c>
      <c r="R33" s="215" t="str" cm="1">
        <f t="array" aca="1" ref="R33" ca="1">IF($B33="","",IF(ISBLANK(INDIRECT("R6.Voz!D"&amp;SUM(18,38*10,14))),"",INDIRECT("R6.Voz!D"&amp;SUM(18,38*10,14))))</f>
        <v>N/T</v>
      </c>
      <c r="S33" s="215" t="str" cm="1">
        <f t="array" aca="1" ref="S33" ca="1">IF($B33="","",IF(ISBLANK(INDIRECT("R6.Voz!D"&amp;SUM(18,38*11,14))),"",INDIRECT("R6.Voz!D"&amp;SUM(18,38*11,14))))</f>
        <v>N/T</v>
      </c>
      <c r="T33" s="215" t="str" cm="1">
        <f t="array" aca="1" ref="T33" ca="1">IF($B33="","",IF(ISBLANK(INDIRECT("R6.Voz!D"&amp;SUM(18,38*12,14))),"",INDIRECT("R6.Voz!D"&amp;SUM(18,38*12,14))))</f>
        <v>N/T</v>
      </c>
      <c r="U33" s="215" t="str" cm="1">
        <f t="array" aca="1" ref="U33" ca="1">IF($B33="","",IF(ISBLANK(INDIRECT("R6.Voz!D"&amp;SUM(18,38*13,14))),"",INDIRECT("R6.Voz!D"&amp;SUM(18,38*13,14))))</f>
        <v>N/T</v>
      </c>
      <c r="V33" s="215" t="str" cm="1">
        <f t="array" aca="1" ref="V33" ca="1">IF($B33="","",IF(ISBLANK(INDIRECT("R6.Voz!D"&amp;SUM(18,38*14,14))),"",INDIRECT("R6.Voz!D"&amp;SUM(18,38*14,14))))</f>
        <v>N/T</v>
      </c>
      <c r="W33" s="215" t="str" cm="1">
        <f t="array" aca="1" ref="W33" ca="1">IF($B33="","",IF(ISBLANK(INDIRECT("R6.Voz!D"&amp;SUM(18,38*15,14))),"",INDIRECT("R6.Voz!D"&amp;SUM(18,38*15,14))))</f>
        <v>N/T</v>
      </c>
      <c r="X33" s="215" t="str" cm="1">
        <f t="array" aca="1" ref="X33" ca="1">IF($B33="","",IF(ISBLANK(INDIRECT("R6.Voz!D"&amp;SUM(18,38*16,14))),"",INDIRECT("R6.Voz!D"&amp;SUM(18,38*16,14))))</f>
        <v>N/T</v>
      </c>
      <c r="Y33" s="215" t="str" cm="1">
        <f t="array" aca="1" ref="Y33" ca="1">IF($B33="","",IF(ISBLANK(INDIRECT("R6.Voz!D"&amp;SUM(18,38*17,14))),"",INDIRECT("R6.Voz!D"&amp;SUM(18,38*17,14))))</f>
        <v>N/T</v>
      </c>
      <c r="Z33" s="215" t="str" cm="1">
        <f t="array" aca="1" ref="Z33" ca="1">IF($B33="","",IF(ISBLANK(INDIRECT("R6.Voz!D"&amp;SUM(18,38*18,14))),"",INDIRECT("R6.Voz!D"&amp;SUM(18,38*18,14))))</f>
        <v>N/T</v>
      </c>
      <c r="AA33" s="215" t="str" cm="1">
        <f t="array" aca="1" ref="AA33" ca="1">IF($B33="","",IF(ISBLANK(INDIRECT("R7.Video!D"&amp;SUM(18,38*0,14))),"",INDIRECT("R7.Video!D"&amp;SUM(18,38*0,14))))</f>
        <v>N/T</v>
      </c>
      <c r="AB33" s="215" t="str" cm="1">
        <f t="array" aca="1" ref="AB33" ca="1">IF($B33="","",IF(ISBLANK(INDIRECT("R7.Video!D"&amp;SUM(18,38*1,14))),"",INDIRECT("R7.Video!D"&amp;SUM(18,38*1,14))))</f>
        <v>N/T</v>
      </c>
      <c r="AC33" s="215" t="str" cm="1">
        <f t="array" aca="1" ref="AC33" ca="1">IF($B33="","",IF(ISBLANK(INDIRECT("R7.Video!D"&amp;SUM(18,38*2,14))),"",INDIRECT("R7.Video!D"&amp;SUM(18,38*2,14))))</f>
        <v>N/T</v>
      </c>
      <c r="AD33" s="215" t="str" cm="1">
        <f t="array" aca="1" ref="AD33" ca="1">IF($B33="","",IF(ISBLANK(INDIRECT("R7.Video!D"&amp;SUM(18,38*3,14))),"",INDIRECT("R7.Video!D"&amp;SUM(18,38*3,14))))</f>
        <v>N/T</v>
      </c>
      <c r="AE33" s="215" t="str" cm="1">
        <f t="array" aca="1" ref="AE33" ca="1">IF($B33="","",IF(ISBLANK(INDIRECT("R7.Video!D"&amp;SUM(18,38*4,14))),"",INDIRECT("R7.Video!D"&amp;SUM(18,38*4,14))))</f>
        <v>N/T</v>
      </c>
      <c r="AF33" s="215" t="str" cm="1">
        <f t="array" aca="1" ref="AF33" ca="1">IF($B33="","",IF(ISBLANK(INDIRECT("R7.Video!D"&amp;SUM(18,38*5,14))),"",INDIRECT("R7.Video!D"&amp;SUM(18,38*5,14))))</f>
        <v>N/T</v>
      </c>
      <c r="AG33" s="215" t="str" cm="1">
        <f t="array" aca="1" ref="AG33" ca="1">IF($B33="","",IF(ISBLANK(INDIRECT("R7.Video!D"&amp;SUM(18,38*6,14))),"",INDIRECT("R7.Video!D"&amp;SUM(18,38*6,14))))</f>
        <v>N/T</v>
      </c>
      <c r="AH33" s="215" t="str" cm="1">
        <f t="array" aca="1" ref="AH33" ca="1">IF($B33="","",IF(ISBLANK(INDIRECT("R7.Video!D"&amp;SUM(18,38*7,14))),"",INDIRECT("R7.Video!D"&amp;SUM(18,38*7,14))))</f>
        <v>N/T</v>
      </c>
      <c r="AI33" s="215" t="str" cm="1">
        <f t="array" aca="1" ref="AI33" ca="1">IF($B33="","",IF(ISBLANK(INDIRECT("R7.Video!D"&amp;SUM(18,38*8,14))),"",INDIRECT("R7.Video!D"&amp;SUM(18,38*8,14))))</f>
        <v>N/T</v>
      </c>
      <c r="AJ33" s="215" t="str" cm="1">
        <f t="array" aca="1" ref="AJ33" ca="1">IF($B33="","",IF(ISBLANK(INDIRECT("R9.Web!D"&amp;SUM(18,38*0,14))),"",INDIRECT("R9.Web!D"&amp;SUM(18,38*0,14))))</f>
        <v>N/D</v>
      </c>
      <c r="AK33" s="215" t="str" cm="1">
        <f t="array" aca="1" ref="AK33" ca="1">IF($B33="","",IF(ISBLANK(INDIRECT("R9.Web!D"&amp;SUM(18,38*1,14))),"",INDIRECT("R9.Web!D"&amp;SUM(18,38*1,14))))</f>
        <v>N/T</v>
      </c>
      <c r="AL33" s="215" t="str" cm="1">
        <f t="array" aca="1" ref="AL33" ca="1">IF($B33="","",IF(ISBLANK(INDIRECT("R9.Web!D"&amp;SUM(18,38*2,14))),"",INDIRECT("R9.Web!D"&amp;SUM(18,38*2,14))))</f>
        <v>N/T</v>
      </c>
      <c r="AM33" s="215" t="str" cm="1">
        <f t="array" aca="1" ref="AM33" ca="1">IF($B33="","",IF(ISBLANK(INDIRECT("R9.Web!D"&amp;SUM(18,38*3,14))),"",INDIRECT("R9.Web!D"&amp;SUM(18,38*3,14))))</f>
        <v>N/T</v>
      </c>
      <c r="AN33" s="215" t="str" cm="1">
        <f t="array" aca="1" ref="AN33" ca="1">IF($B33="","",IF(ISBLANK(INDIRECT("R9.Web!D"&amp;SUM(18,38*4,14))),"",INDIRECT("R9.Web!D"&amp;SUM(18,38*4,14))))</f>
        <v>N/T</v>
      </c>
      <c r="AO33" s="215" t="str" cm="1">
        <f t="array" aca="1" ref="AO33" ca="1">IF($B33="","",IF(ISBLANK(INDIRECT("R9.Web!D"&amp;SUM(18,38*5,14))),"",INDIRECT("R9.Web!D"&amp;SUM(18,38*5,14))))</f>
        <v>N/D</v>
      </c>
      <c r="AP33" s="215" t="str" cm="1">
        <f t="array" aca="1" ref="AP33" ca="1">IF($B33="","",IF(ISBLANK(INDIRECT("R9.Web!D"&amp;SUM(18,38*6,14))),"",INDIRECT("R9.Web!D"&amp;SUM(18,38*6,14))))</f>
        <v>N/T</v>
      </c>
      <c r="AQ33" s="215" t="str" cm="1">
        <f t="array" aca="1" ref="AQ33" ca="1">IF($B33="","",IF(ISBLANK(INDIRECT("R9.Web!D"&amp;SUM(18,38*7,14))),"",INDIRECT("R9.Web!D"&amp;SUM(18,38*7,14))))</f>
        <v>N/T</v>
      </c>
      <c r="AR33" s="215" t="str" cm="1">
        <f t="array" aca="1" ref="AR33" ca="1">IF($B33="","",IF(ISBLANK(INDIRECT("R9.Web!D"&amp;SUM(18,38*8,14))),"",INDIRECT("R9.Web!D"&amp;SUM(18,38*8,14))))</f>
        <v>N/D</v>
      </c>
      <c r="AS33" s="215" t="str" cm="1">
        <f t="array" aca="1" ref="AS33" ca="1">IF($B33="","",IF(ISBLANK(INDIRECT("R9.Web!D"&amp;SUM(18,38*9,14))),"",INDIRECT("R9.Web!D"&amp;SUM(18,38*9,14))))</f>
        <v>N/D</v>
      </c>
      <c r="AT33" s="215" t="str" cm="1">
        <f t="array" aca="1" ref="AT33" ca="1">IF($B33="","",IF(ISBLANK(INDIRECT("R9.Web!D"&amp;SUM(18,38*10,14))),"",INDIRECT("R9.Web!D"&amp;SUM(18,38*10,14))))</f>
        <v>N/T</v>
      </c>
      <c r="AU33" s="215" t="str" cm="1">
        <f t="array" aca="1" ref="AU33" ca="1">IF($B33="","",IF(ISBLANK(INDIRECT("R9.Web!D"&amp;SUM(18,38*11,14))),"",INDIRECT("R9.Web!D"&amp;SUM(18,38*11,14))))</f>
        <v>N/T</v>
      </c>
      <c r="AV33" s="215" t="str" cm="1">
        <f t="array" aca="1" ref="AV33" ca="1">IF($B33="","",IF(ISBLANK(INDIRECT("R9.Web!D"&amp;SUM(18,38*12,14))),"",INDIRECT("R9.Web!D"&amp;SUM(18,38*12,14))))</f>
        <v>N/D</v>
      </c>
      <c r="AW33" s="215" t="str" cm="1">
        <f t="array" aca="1" ref="AW33" ca="1">IF($B33="","",IF(ISBLANK(INDIRECT("R9.Web!D"&amp;SUM(18,38*13,14))),"",INDIRECT("R9.Web!D"&amp;SUM(18,38*13,14))))</f>
        <v>N/T</v>
      </c>
      <c r="AX33" s="215" t="str" cm="1">
        <f t="array" aca="1" ref="AX33" ca="1">IF($B33="","",IF(ISBLANK(INDIRECT("R9.Web!D"&amp;SUM(18,38*14,14))),"",INDIRECT("R9.Web!D"&amp;SUM(18,38*14,14))))</f>
        <v>N/T</v>
      </c>
      <c r="AY33" s="215" t="str" cm="1">
        <f t="array" aca="1" ref="AY33" ca="1">IF($B33="","",IF(ISBLANK(INDIRECT("R9.Web!D"&amp;SUM(18,38*15,14))),"",INDIRECT("R9.Web!D"&amp;SUM(18,38*15,14))))</f>
        <v>N/D</v>
      </c>
      <c r="AZ33" s="215" t="str" cm="1">
        <f t="array" aca="1" ref="AZ33" ca="1">IF($B33="","",IF(ISBLANK(INDIRECT("R9.Web!D"&amp;SUM(18,38*16,14))),"",INDIRECT("R9.Web!D"&amp;SUM(18,38*16,14))))</f>
        <v>N/T</v>
      </c>
      <c r="BA33" s="215" t="str" cm="1">
        <f t="array" aca="1" ref="BA33" ca="1">IF($B33="","",IF(ISBLANK(INDIRECT("R9.Web!D"&amp;SUM(18,38*17,14))),"",INDIRECT("R9.Web!D"&amp;SUM(18,38*17,14))))</f>
        <v>N/D</v>
      </c>
      <c r="BB33" s="215" t="str" cm="1">
        <f t="array" aca="1" ref="BB33" ca="1">IF($B33="","",IF(ISBLANK(INDIRECT("R9.Web!D"&amp;SUM(18,38*18,14))),"",INDIRECT("R9.Web!D"&amp;SUM(18,38*18,14))))</f>
        <v>N/T</v>
      </c>
      <c r="BC33" s="215" t="str" cm="1">
        <f t="array" aca="1" ref="BC33" ca="1">IF($B33="","",IF(ISBLANK(INDIRECT("R9.Web!D"&amp;SUM(18,38*19,14))),"",INDIRECT("R9.Web!D"&amp;SUM(18,38*19,14))))</f>
        <v>N/D</v>
      </c>
      <c r="BD33" s="215" t="str" cm="1">
        <f t="array" aca="1" ref="BD33" ca="1">IF($B33="","",IF(ISBLANK(INDIRECT("R9.Web!D"&amp;SUM(18,38*20,14))),"",INDIRECT("R9.Web!D"&amp;SUM(18,38*20,14))))</f>
        <v>N/T</v>
      </c>
      <c r="BE33" s="215" t="str" cm="1">
        <f t="array" aca="1" ref="BE33" ca="1">IF($B33="","",IF(ISBLANK(INDIRECT("R9.Web!D"&amp;SUM(18,38*21,14))),"",INDIRECT("R9.Web!D"&amp;SUM(18,38*21,14))))</f>
        <v>N/T</v>
      </c>
      <c r="BF33" s="215" t="str" cm="1">
        <f t="array" aca="1" ref="BF33" ca="1">IF($B33="","",IF(ISBLANK(INDIRECT("R9.Web!D"&amp;SUM(18,38*22,14))),"",INDIRECT("R9.Web!D"&amp;SUM(18,38*22,14))))</f>
        <v>N/D</v>
      </c>
      <c r="BG33" s="215" t="str" cm="1">
        <f t="array" aca="1" ref="BG33" ca="1">IF($B33="","",IF(ISBLANK(INDIRECT("R9.Web!D"&amp;SUM(18,38*23,14))),"",INDIRECT("R9.Web!D"&amp;SUM(18,38*23,14))))</f>
        <v>N/D</v>
      </c>
      <c r="BH33" s="215" t="str" cm="1">
        <f t="array" aca="1" ref="BH33" ca="1">IF($B33="","",IF(ISBLANK(INDIRECT("R9.Web!D"&amp;SUM(18,38*24,14))),"",INDIRECT("R9.Web!D"&amp;SUM(18,38*24,14))))</f>
        <v>N/T</v>
      </c>
      <c r="BI33" s="215" t="str" cm="1">
        <f t="array" aca="1" ref="BI33" ca="1">IF($B33="","",IF(ISBLANK(INDIRECT("R9.Web!D"&amp;SUM(18,38*25,14))),"",INDIRECT("R9.Web!D"&amp;SUM(18,38*25,14))))</f>
        <v>N/D</v>
      </c>
      <c r="BJ33" s="215" t="str" cm="1">
        <f t="array" aca="1" ref="BJ33" ca="1">IF($B33="","",IF(ISBLANK(INDIRECT("R9.Web!D"&amp;SUM(18,38*26,14))),"",INDIRECT("R9.Web!D"&amp;SUM(18,38*26,14))))</f>
        <v>N/D</v>
      </c>
      <c r="BK33" s="215" t="str" cm="1">
        <f t="array" aca="1" ref="BK33" ca="1">IF($B33="","",IF(ISBLANK(INDIRECT("R9.Web!D"&amp;SUM(18,38*27,14))),"",INDIRECT("R9.Web!D"&amp;SUM(18,38*27,14))))</f>
        <v>N/D</v>
      </c>
      <c r="BL33" s="215" t="str" cm="1">
        <f t="array" aca="1" ref="BL33" ca="1">IF($B33="","",IF(ISBLANK(INDIRECT("R9.Web!D"&amp;SUM(18,38*28,14))),"",INDIRECT("R9.Web!D"&amp;SUM(18,38*28,14))))</f>
        <v>N/D</v>
      </c>
      <c r="BM33" s="215" t="str" cm="1">
        <f t="array" aca="1" ref="BM33" ca="1">IF($B33="","",IF(ISBLANK(INDIRECT("R9.Web!D"&amp;SUM(18,38*29,14))),"",INDIRECT("R9.Web!D"&amp;SUM(18,38*29,14))))</f>
        <v>N/D</v>
      </c>
      <c r="BN33" s="215" t="str" cm="1">
        <f t="array" aca="1" ref="BN33" ca="1">IF($B33="","",IF(ISBLANK(INDIRECT("R9.Web!D"&amp;SUM(18,38*30,14))),"",INDIRECT("R9.Web!D"&amp;SUM(18,38*30,14))))</f>
        <v>N/T</v>
      </c>
      <c r="BO33" s="215" t="str" cm="1">
        <f t="array" aca="1" ref="BO33" ca="1">IF($B33="","",IF(ISBLANK(INDIRECT("R9.Web!D"&amp;SUM(18,38*31,14))),"",INDIRECT("R9.Web!D"&amp;SUM(18,38*31,14))))</f>
        <v>Falla</v>
      </c>
      <c r="BP33" s="215" t="str" cm="1">
        <f t="array" aca="1" ref="BP33" ca="1">IF($B33="","",IF(ISBLANK(INDIRECT("R9.Web!D"&amp;SUM(18,38*32,14))),"",INDIRECT("R9.Web!D"&amp;SUM(18,38*32,14))))</f>
        <v>N/T</v>
      </c>
      <c r="BQ33" s="215" t="str" cm="1">
        <f t="array" aca="1" ref="BQ33" ca="1">IF($B33="","",IF(ISBLANK(INDIRECT("R9.Web!D"&amp;SUM(18,38*33,14))),"",INDIRECT("R9.Web!D"&amp;SUM(18,38*33,14))))</f>
        <v>N/T</v>
      </c>
      <c r="BR33" s="215" t="str" cm="1">
        <f t="array" aca="1" ref="BR33" ca="1">IF($B33="","",IF(ISBLANK(INDIRECT("R9.Web!D"&amp;SUM(18,38*34,14))),"",INDIRECT("R9.Web!D"&amp;SUM(18,38*34,14))))</f>
        <v>N/D</v>
      </c>
      <c r="BS33" s="215" t="str" cm="1">
        <f t="array" aca="1" ref="BS33" ca="1">IF($B33="","",IF(ISBLANK(INDIRECT("R9.Web!D"&amp;SUM(18,38*35,14))),"",INDIRECT("R9.Web!D"&amp;SUM(18,38*35,14))))</f>
        <v>N/T</v>
      </c>
      <c r="BT33" s="215" t="str" cm="1">
        <f t="array" aca="1" ref="BT33" ca="1">IF($B33="","",IF(ISBLANK(INDIRECT("R9.Web!D"&amp;SUM(18,38*36,14))),"",INDIRECT("R9.Web!D"&amp;SUM(18,38*36,14))))</f>
        <v>N/D</v>
      </c>
      <c r="BU33" s="215" t="str" cm="1">
        <f t="array" aca="1" ref="BU33" ca="1">IF($B33="","",IF(ISBLANK(INDIRECT("R9.Web!D"&amp;SUM(18,38*37,14))),"",INDIRECT("R9.Web!D"&amp;SUM(18,38*37,14))))</f>
        <v>N/D</v>
      </c>
      <c r="BV33" s="215" t="str" cm="1">
        <f t="array" aca="1" ref="BV33" ca="1">IF($B33="","",IF(ISBLANK(INDIRECT("R9.Web!D"&amp;SUM(18,38*38,14))),"",INDIRECT("R9.Web!D"&amp;SUM(18,38*38,14))))</f>
        <v>N/D</v>
      </c>
      <c r="BW33" s="215" t="str" cm="1">
        <f t="array" aca="1" ref="BW33" ca="1">IF($B33="","",IF(ISBLANK(INDIRECT("R9.Web!D"&amp;SUM(18,38*39,14))),"",INDIRECT("R9.Web!D"&amp;SUM(18,38*39,14))))</f>
        <v>N/D</v>
      </c>
      <c r="BX33" s="215" t="str" cm="1">
        <f t="array" aca="1" ref="BX33" ca="1">IF($B33="","",IF(ISBLANK(INDIRECT("R9.Web!D"&amp;SUM(18,38*40,14))),"",INDIRECT("R9.Web!D"&amp;SUM(18,38*40,14))))</f>
        <v>N/D</v>
      </c>
      <c r="BY33" s="215" t="str" cm="1">
        <f t="array" aca="1" ref="BY33" ca="1">IF($B33="","",IF(ISBLANK(INDIRECT("R9.Web!D"&amp;SUM(18,38*41,14))),"",INDIRECT("R9.Web!D"&amp;SUM(18,38*41,14))))</f>
        <v>N/T</v>
      </c>
      <c r="BZ33" s="215" t="str" cm="1">
        <f t="array" aca="1" ref="BZ33" ca="1">IF($B33="","",IF(ISBLANK(INDIRECT("R9.Web!D"&amp;SUM(18,38*42,14))),"",INDIRECT("R9.Web!D"&amp;SUM(18,38*42,14))))</f>
        <v>N/T</v>
      </c>
      <c r="CA33" s="215" t="str" cm="1">
        <f t="array" aca="1" ref="CA33" ca="1">IF($B33="","",IF(ISBLANK(INDIRECT("R9.Web!D"&amp;SUM(18,38*43,14))),"",INDIRECT("R9.Web!D"&amp;SUM(18,38*43,14))))</f>
        <v>N/D</v>
      </c>
      <c r="CB33" s="215" t="str" cm="1">
        <f t="array" aca="1" ref="CB33" ca="1">IF($B33="","",IF(ISBLANK(INDIRECT("R9.Web!D"&amp;SUM(18,38*44,14))),"",INDIRECT("R9.Web!D"&amp;SUM(18,38*44,14))))</f>
        <v>N/T</v>
      </c>
      <c r="CC33" s="215" t="str" cm="1">
        <f t="array" aca="1" ref="CC33" ca="1">IF($B33="","",IF(ISBLANK(INDIRECT("R9.Web!D"&amp;SUM(18,38*45,14))),"",INDIRECT("R9.Web!D"&amp;SUM(18,38*45,14))))</f>
        <v>N/T</v>
      </c>
      <c r="CD33" s="215" t="str" cm="1">
        <f t="array" aca="1" ref="CD33" ca="1">IF($B33="","",IF(ISBLANK(INDIRECT("R9.Web!D"&amp;SUM(18,38*46,14))),"",INDIRECT("R9.Web!D"&amp;SUM(18,38*46,14))))</f>
        <v>N/T</v>
      </c>
      <c r="CE33" s="215" t="str" cm="1">
        <f t="array" aca="1" ref="CE33" ca="1">IF($B33="","",IF(ISBLANK(INDIRECT("R9.Web!D"&amp;SUM(18,38*47,14))),"",INDIRECT("R9.Web!D"&amp;SUM(18,38*47,14))))</f>
        <v>N/D</v>
      </c>
      <c r="CF33" s="215" t="str" cm="1">
        <f t="array" aca="1" ref="CF33" ca="1">IF($B33="","",IF(ISBLANK(INDIRECT("R9.Web!D"&amp;SUM(18,38*48,14))),"",INDIRECT("R9.Web!D"&amp;SUM(18,38*48,14))))</f>
        <v>N/T</v>
      </c>
      <c r="CG33" s="215" t="str" cm="1">
        <f t="array" aca="1" ref="CG33" ca="1">IF($B33="","",IF(ISBLANK(INDIRECT("R9.Web!D"&amp;SUM(18,38*49,14))),"",INDIRECT("R9.Web!D"&amp;SUM(18,38*49,14))))</f>
        <v>N/T</v>
      </c>
      <c r="CH33" s="215" t="str" cm="1">
        <f t="array" aca="1" ref="CH33" ca="1">IF($B33="","",IF(ISBLANK(INDIRECT("R11.Software!D"&amp;SUM(18,38*0,14))),"",INDIRECT("R11.Software!D"&amp;SUM(18,38*0,14))))</f>
        <v>N/T</v>
      </c>
      <c r="CI33" s="215" t="str" cm="1">
        <f t="array" aca="1" ref="CI33" ca="1">IF($B33="","",IF(ISBLANK(INDIRECT("R11.Software!D"&amp;SUM(18,38*1,14))),"",INDIRECT("R11.Software!D"&amp;SUM(18,38*1,14))))</f>
        <v>N/T</v>
      </c>
      <c r="CJ33" s="215" t="str" cm="1">
        <f t="array" aca="1" ref="CJ33" ca="1">IF($B33="","",IF(ISBLANK(INDIRECT("R11.Software!D"&amp;SUM(18,38*2,14))),"",INDIRECT("R11.Software!D"&amp;SUM(18,38*2,14))))</f>
        <v>N/T</v>
      </c>
      <c r="CK33" s="215" t="str" cm="1">
        <f t="array" aca="1" ref="CK33" ca="1">IF($B33="","",IF(ISBLANK(INDIRECT("R11.Software!D"&amp;SUM(18,38*3,14))),"",INDIRECT("R11.Software!D"&amp;SUM(18,38*3,14))))</f>
        <v>N/T</v>
      </c>
      <c r="CL33" s="215" t="str" cm="1">
        <f t="array" aca="1" ref="CL33" ca="1">IF($B33="","",IF(ISBLANK(INDIRECT("R11.Software!D"&amp;SUM(18,38*4,14))),"",INDIRECT("R11.Software!D"&amp;SUM(18,38*4,14))))</f>
        <v>N/T</v>
      </c>
      <c r="CM33" s="215" t="str" cm="1">
        <f t="array" aca="1" ref="CM33" ca="1">IF($B33="","",IF(ISBLANK(INDIRECT("R11.Software!D"&amp;SUM(18,38*5,14))),"",INDIRECT("R11.Software!D"&amp;SUM(18,38*5,14))))</f>
        <v>N/T</v>
      </c>
      <c r="CN33" s="215" t="str" cm="1">
        <f t="array" aca="1" ref="CN33" ca="1">IF($B33="","",IF(ISBLANK(INDIRECT("R12.ServiciosApoyo!D"&amp;SUM(18,38*0,14))),"",INDIRECT("R12.ServiciosApoyo!D"&amp;SUM(18,38*0,14))))</f>
        <v>N/T</v>
      </c>
      <c r="CO33" s="215" t="str" cm="1">
        <f t="array" aca="1" ref="CO33" ca="1">IF($B33="","",IF(ISBLANK(INDIRECT("R12.ServiciosApoyo!D"&amp;SUM(18,38*1,14))),"",INDIRECT("R12.ServiciosApoyo!D"&amp;SUM(18,38*1,14))))</f>
        <v>N/T</v>
      </c>
      <c r="CP33" s="215" t="str" cm="1">
        <f t="array" aca="1" ref="CP33" ca="1">IF($B33="","",IF(ISBLANK(INDIRECT("R12.ServiciosApoyo!D"&amp;SUM(18,38*2,14))),"",INDIRECT("R12.ServiciosApoyo!D"&amp;SUM(18,38*2,14))))</f>
        <v>N/T</v>
      </c>
      <c r="CQ33" s="215" t="str" cm="1">
        <f t="array" aca="1" ref="CQ33" ca="1">IF($B33="","",IF(ISBLANK(INDIRECT("R12.ServiciosApoyo!D"&amp;SUM(18,38*3,14))),"",INDIRECT("R12.ServiciosApoyo!D"&amp;SUM(18,38*3,14))))</f>
        <v>N/T</v>
      </c>
      <c r="CR33" s="215" t="str" cm="1">
        <f t="array" aca="1" ref="CR33" ca="1">IF($B33="","",IF(ISBLANK(INDIRECT("R12.ServiciosApoyo!D"&amp;SUM(18,38*4,14))),"",INDIRECT("R12.ServiciosApoyo!D"&amp;SUM(18,38*4,14))))</f>
        <v>N/T</v>
      </c>
      <c r="CU33" s="100"/>
      <c r="CV33" s="29"/>
      <c r="CW33" s="29"/>
      <c r="CX33" s="29"/>
    </row>
    <row r="34" spans="2:102" ht="20.25">
      <c r="B34" s="181" t="n" cm="1">
        <f t="array" ref="B34">IFERROR(INDEX('03.Muestra'!$B$8:$B$42,SMALL(IF("Página Web"='03.Muestra'!$D$8:$D$42,ROW('03.Muestra'!$B$8:$B$42)-MIN(ROW('03.Muestra'!$D$8:$D$42))+1,""),ROW()-19)),"")</f>
        <v>1.0</v>
      </c>
      <c r="C34" s="97" t="str" cm="1">
        <f t="array" ref="C34">IFERROR(INDEX('03.Muestra'!$C$8:$C$42,SMALL(IF("Página Web"='03.Muestra'!$D$8:$D$42,ROW('03.Muestra'!$C$8:$C$42)-MIN(ROW('03.Muestra'!$D$8:$D$42))+1,""),ROW()-19)),"")</f>
        <v>Home - PortCastelló</v>
      </c>
      <c r="D34" s="98" t="str" cm="1">
        <f t="array" ref="D34">IFERROR(INDEX('03.Muestra'!$F$8:$F$42,SMALL(IF("Página Web"='03.Muestra'!$D$8:$D$42,ROW('03.Muestra'!$F$8:$F$42)-MIN(ROW('03.Muestra'!$D$8:$D$42))+1,""),ROW()-19)),"")</f>
        <v>https://www.portcastello.com/</v>
      </c>
      <c r="E34" s="215" t="str" cm="1">
        <f t="array" aca="1" ref="E34" ca="1">IF($B34="","",IF(ISBLANK(INDIRECT("R5.Genéricos!D"&amp;SUM(18,38*0,15))),"",INDIRECT("R5.Genéricos!D"&amp;SUM(18,38*0,15))))</f>
        <v>N/T</v>
      </c>
      <c r="F34" s="215" t="str" cm="1">
        <f t="array" aca="1" ref="F34" ca="1">IF($B34="","",IF(ISBLANK(INDIRECT("R5.Genéricos!D"&amp;SUM(18,38*1,15))),"",INDIRECT("R5.Genéricos!D"&amp;SUM(18,38*1,15))))</f>
        <v>N/T</v>
      </c>
      <c r="G34" s="215" t="str" cm="1">
        <f t="array" aca="1" ref="G34" ca="1">IF($B34="","",IF(ISBLANK(INDIRECT("R5.Genéricos!D"&amp;SUM(18,38*2,15))),"",INDIRECT("R5.Genéricos!D"&amp;SUM(18,38*2,15))))</f>
        <v>N/T</v>
      </c>
      <c r="H34" s="215" t="str" cm="1">
        <f t="array" aca="1" ref="H34" ca="1">IF($B34="","",IF(ISBLANK(INDIRECT("R6.Voz!D"&amp;SUM(18,38*0,15))),"",INDIRECT("R6.Voz!D"&amp;SUM(18,38*0,15))))</f>
        <v>N/T</v>
      </c>
      <c r="I34" s="215" t="str" cm="1">
        <f t="array" aca="1" ref="I34" ca="1">IF($B34="","",IF(ISBLANK(INDIRECT("R6.Voz!D"&amp;SUM(18,38*1,15))),"",INDIRECT("R6.Voz!D"&amp;SUM(18,38*1,15))))</f>
        <v>N/T</v>
      </c>
      <c r="J34" s="215" t="str" cm="1">
        <f t="array" aca="1" ref="J34" ca="1">IF($B34="","",IF(ISBLANK(INDIRECT("R6.Voz!D"&amp;SUM(18,38*2,15))),"",INDIRECT("R6.Voz!D"&amp;SUM(18,38*2,15))))</f>
        <v>N/T</v>
      </c>
      <c r="K34" s="215" t="str" cm="1">
        <f t="array" aca="1" ref="K34" ca="1">IF($B34="","",IF(ISBLANK(INDIRECT("R6.Voz!D"&amp;SUM(18,38*3,15))),"",INDIRECT("R6.Voz!D"&amp;SUM(18,38*3,15))))</f>
        <v>N/T</v>
      </c>
      <c r="L34" s="215" t="str" cm="1">
        <f t="array" aca="1" ref="L34" ca="1">IF($B34="","",IF(ISBLANK(INDIRECT("R6.Voz!D"&amp;SUM(18,38*4,15))),"",INDIRECT("R6.Voz!D"&amp;SUM(18,38*4,15))))</f>
        <v>N/T</v>
      </c>
      <c r="M34" s="215" t="str" cm="1">
        <f t="array" aca="1" ref="M34" ca="1">IF($B34="","",IF(ISBLANK(INDIRECT("R6.Voz!D"&amp;SUM(18,38*5,15))),"",INDIRECT("R6.Voz!D"&amp;SUM(18,38*5,15))))</f>
        <v>N/T</v>
      </c>
      <c r="N34" s="215" t="str" cm="1">
        <f t="array" aca="1" ref="N34" ca="1">IF($B34="","",IF(ISBLANK(INDIRECT("R6.Voz!D"&amp;SUM(18,38*6,15))),"",INDIRECT("R6.Voz!D"&amp;SUM(18,38*6,15))))</f>
        <v>N/T</v>
      </c>
      <c r="O34" s="215" t="str" cm="1">
        <f t="array" aca="1" ref="O34" ca="1">IF($B34="","",IF(ISBLANK(INDIRECT("R6.Voz!D"&amp;SUM(18,38*7,15))),"",INDIRECT("R6.Voz!D"&amp;SUM(18,38*7,15))))</f>
        <v>N/T</v>
      </c>
      <c r="P34" s="215" t="str" cm="1">
        <f t="array" aca="1" ref="P34" ca="1">IF($B34="","",IF(ISBLANK(INDIRECT("R6.Voz!D"&amp;SUM(18,38*8,15))),"",INDIRECT("R6.Voz!D"&amp;SUM(18,38*8,15))))</f>
        <v>N/T</v>
      </c>
      <c r="Q34" s="215" t="str" cm="1">
        <f t="array" aca="1" ref="Q34" ca="1">IF($B34="","",IF(ISBLANK(INDIRECT("R6.Voz!D"&amp;SUM(18,38*9,15))),"",INDIRECT("R6.Voz!D"&amp;SUM(18,38*9,15))))</f>
        <v>N/T</v>
      </c>
      <c r="R34" s="215" t="str" cm="1">
        <f t="array" aca="1" ref="R34" ca="1">IF($B34="","",IF(ISBLANK(INDIRECT("R6.Voz!D"&amp;SUM(18,38*10,15))),"",INDIRECT("R6.Voz!D"&amp;SUM(18,38*10,15))))</f>
        <v>N/T</v>
      </c>
      <c r="S34" s="215" t="str" cm="1">
        <f t="array" aca="1" ref="S34" ca="1">IF($B34="","",IF(ISBLANK(INDIRECT("R6.Voz!D"&amp;SUM(18,38*11,15))),"",INDIRECT("R6.Voz!D"&amp;SUM(18,38*11,15))))</f>
        <v>N/T</v>
      </c>
      <c r="T34" s="215" t="str" cm="1">
        <f t="array" aca="1" ref="T34" ca="1">IF($B34="","",IF(ISBLANK(INDIRECT("R6.Voz!D"&amp;SUM(18,38*12,15))),"",INDIRECT("R6.Voz!D"&amp;SUM(18,38*12,15))))</f>
        <v>N/T</v>
      </c>
      <c r="U34" s="215" t="str" cm="1">
        <f t="array" aca="1" ref="U34" ca="1">IF($B34="","",IF(ISBLANK(INDIRECT("R6.Voz!D"&amp;SUM(18,38*13,15))),"",INDIRECT("R6.Voz!D"&amp;SUM(18,38*13,15))))</f>
        <v>N/T</v>
      </c>
      <c r="V34" s="215" t="str" cm="1">
        <f t="array" aca="1" ref="V34" ca="1">IF($B34="","",IF(ISBLANK(INDIRECT("R6.Voz!D"&amp;SUM(18,38*14,15))),"",INDIRECT("R6.Voz!D"&amp;SUM(18,38*14,15))))</f>
        <v>N/T</v>
      </c>
      <c r="W34" s="215" t="str" cm="1">
        <f t="array" aca="1" ref="W34" ca="1">IF($B34="","",IF(ISBLANK(INDIRECT("R6.Voz!D"&amp;SUM(18,38*15,15))),"",INDIRECT("R6.Voz!D"&amp;SUM(18,38*15,15))))</f>
        <v>N/T</v>
      </c>
      <c r="X34" s="215" t="str" cm="1">
        <f t="array" aca="1" ref="X34" ca="1">IF($B34="","",IF(ISBLANK(INDIRECT("R6.Voz!D"&amp;SUM(18,38*16,15))),"",INDIRECT("R6.Voz!D"&amp;SUM(18,38*16,15))))</f>
        <v>N/T</v>
      </c>
      <c r="Y34" s="215" t="str" cm="1">
        <f t="array" aca="1" ref="Y34" ca="1">IF($B34="","",IF(ISBLANK(INDIRECT("R6.Voz!D"&amp;SUM(18,38*17,15))),"",INDIRECT("R6.Voz!D"&amp;SUM(18,38*17,15))))</f>
        <v>N/T</v>
      </c>
      <c r="Z34" s="215" t="str" cm="1">
        <f t="array" aca="1" ref="Z34" ca="1">IF($B34="","",IF(ISBLANK(INDIRECT("R6.Voz!D"&amp;SUM(18,38*18,15))),"",INDIRECT("R6.Voz!D"&amp;SUM(18,38*18,15))))</f>
        <v>N/T</v>
      </c>
      <c r="AA34" s="215" t="str" cm="1">
        <f t="array" aca="1" ref="AA34" ca="1">IF($B34="","",IF(ISBLANK(INDIRECT("R7.Video!D"&amp;SUM(18,38*0,15))),"",INDIRECT("R7.Video!D"&amp;SUM(18,38*0,15))))</f>
        <v>N/T</v>
      </c>
      <c r="AB34" s="215" t="str" cm="1">
        <f t="array" aca="1" ref="AB34" ca="1">IF($B34="","",IF(ISBLANK(INDIRECT("R7.Video!D"&amp;SUM(18,38*1,15))),"",INDIRECT("R7.Video!D"&amp;SUM(18,38*1,15))))</f>
        <v>N/T</v>
      </c>
      <c r="AC34" s="215" t="str" cm="1">
        <f t="array" aca="1" ref="AC34" ca="1">IF($B34="","",IF(ISBLANK(INDIRECT("R7.Video!D"&amp;SUM(18,38*2,15))),"",INDIRECT("R7.Video!D"&amp;SUM(18,38*2,15))))</f>
        <v>N/T</v>
      </c>
      <c r="AD34" s="215" t="str" cm="1">
        <f t="array" aca="1" ref="AD34" ca="1">IF($B34="","",IF(ISBLANK(INDIRECT("R7.Video!D"&amp;SUM(18,38*3,15))),"",INDIRECT("R7.Video!D"&amp;SUM(18,38*3,15))))</f>
        <v>N/T</v>
      </c>
      <c r="AE34" s="215" t="str" cm="1">
        <f t="array" aca="1" ref="AE34" ca="1">IF($B34="","",IF(ISBLANK(INDIRECT("R7.Video!D"&amp;SUM(18,38*4,15))),"",INDIRECT("R7.Video!D"&amp;SUM(18,38*4,15))))</f>
        <v>N/T</v>
      </c>
      <c r="AF34" s="215" t="str" cm="1">
        <f t="array" aca="1" ref="AF34" ca="1">IF($B34="","",IF(ISBLANK(INDIRECT("R7.Video!D"&amp;SUM(18,38*5,15))),"",INDIRECT("R7.Video!D"&amp;SUM(18,38*5,15))))</f>
        <v>N/T</v>
      </c>
      <c r="AG34" s="215" t="str" cm="1">
        <f t="array" aca="1" ref="AG34" ca="1">IF($B34="","",IF(ISBLANK(INDIRECT("R7.Video!D"&amp;SUM(18,38*6,15))),"",INDIRECT("R7.Video!D"&amp;SUM(18,38*6,15))))</f>
        <v>N/T</v>
      </c>
      <c r="AH34" s="215" t="str" cm="1">
        <f t="array" aca="1" ref="AH34" ca="1">IF($B34="","",IF(ISBLANK(INDIRECT("R7.Video!D"&amp;SUM(18,38*7,15))),"",INDIRECT("R7.Video!D"&amp;SUM(18,38*7,15))))</f>
        <v>N/T</v>
      </c>
      <c r="AI34" s="215" t="str" cm="1">
        <f t="array" aca="1" ref="AI34" ca="1">IF($B34="","",IF(ISBLANK(INDIRECT("R7.Video!D"&amp;SUM(18,38*8,15))),"",INDIRECT("R7.Video!D"&amp;SUM(18,38*8,15))))</f>
        <v>N/T</v>
      </c>
      <c r="AJ34" s="215" t="str" cm="1">
        <f t="array" aca="1" ref="AJ34" ca="1">IF($B34="","",IF(ISBLANK(INDIRECT("R9.Web!D"&amp;SUM(18,38*0,15))),"",INDIRECT("R9.Web!D"&amp;SUM(18,38*0,15))))</f>
        <v>N/D</v>
      </c>
      <c r="AK34" s="215" t="str" cm="1">
        <f t="array" aca="1" ref="AK34" ca="1">IF($B34="","",IF(ISBLANK(INDIRECT("R9.Web!D"&amp;SUM(18,38*1,15))),"",INDIRECT("R9.Web!D"&amp;SUM(18,38*1,15))))</f>
        <v>N/T</v>
      </c>
      <c r="AL34" s="215" t="str" cm="1">
        <f t="array" aca="1" ref="AL34" ca="1">IF($B34="","",IF(ISBLANK(INDIRECT("R9.Web!D"&amp;SUM(18,38*2,15))),"",INDIRECT("R9.Web!D"&amp;SUM(18,38*2,15))))</f>
        <v>N/T</v>
      </c>
      <c r="AM34" s="215" t="str" cm="1">
        <f t="array" aca="1" ref="AM34" ca="1">IF($B34="","",IF(ISBLANK(INDIRECT("R9.Web!D"&amp;SUM(18,38*3,15))),"",INDIRECT("R9.Web!D"&amp;SUM(18,38*3,15))))</f>
        <v>N/T</v>
      </c>
      <c r="AN34" s="215" t="str" cm="1">
        <f t="array" aca="1" ref="AN34" ca="1">IF($B34="","",IF(ISBLANK(INDIRECT("R9.Web!D"&amp;SUM(18,38*4,15))),"",INDIRECT("R9.Web!D"&amp;SUM(18,38*4,15))))</f>
        <v>N/T</v>
      </c>
      <c r="AO34" s="215" t="str" cm="1">
        <f t="array" aca="1" ref="AO34" ca="1">IF($B34="","",IF(ISBLANK(INDIRECT("R9.Web!D"&amp;SUM(18,38*5,15))),"",INDIRECT("R9.Web!D"&amp;SUM(18,38*5,15))))</f>
        <v>N/D</v>
      </c>
      <c r="AP34" s="215" t="str" cm="1">
        <f t="array" aca="1" ref="AP34" ca="1">IF($B34="","",IF(ISBLANK(INDIRECT("R9.Web!D"&amp;SUM(18,38*6,15))),"",INDIRECT("R9.Web!D"&amp;SUM(18,38*6,15))))</f>
        <v>N/T</v>
      </c>
      <c r="AQ34" s="215" t="str" cm="1">
        <f t="array" aca="1" ref="AQ34" ca="1">IF($B34="","",IF(ISBLANK(INDIRECT("R9.Web!D"&amp;SUM(18,38*7,15))),"",INDIRECT("R9.Web!D"&amp;SUM(18,38*7,15))))</f>
        <v>N/T</v>
      </c>
      <c r="AR34" s="215" t="str" cm="1">
        <f t="array" aca="1" ref="AR34" ca="1">IF($B34="","",IF(ISBLANK(INDIRECT("R9.Web!D"&amp;SUM(18,38*8,15))),"",INDIRECT("R9.Web!D"&amp;SUM(18,38*8,15))))</f>
        <v>N/D</v>
      </c>
      <c r="AS34" s="215" t="str" cm="1">
        <f t="array" aca="1" ref="AS34" ca="1">IF($B34="","",IF(ISBLANK(INDIRECT("R9.Web!D"&amp;SUM(18,38*9,15))),"",INDIRECT("R9.Web!D"&amp;SUM(18,38*9,15))))</f>
        <v>N/D</v>
      </c>
      <c r="AT34" s="215" t="str" cm="1">
        <f t="array" aca="1" ref="AT34" ca="1">IF($B34="","",IF(ISBLANK(INDIRECT("R9.Web!D"&amp;SUM(18,38*10,15))),"",INDIRECT("R9.Web!D"&amp;SUM(18,38*10,15))))</f>
        <v>N/T</v>
      </c>
      <c r="AU34" s="215" t="str" cm="1">
        <f t="array" aca="1" ref="AU34" ca="1">IF($B34="","",IF(ISBLANK(INDIRECT("R9.Web!D"&amp;SUM(18,38*11,15))),"",INDIRECT("R9.Web!D"&amp;SUM(18,38*11,15))))</f>
        <v>N/T</v>
      </c>
      <c r="AV34" s="215" t="str" cm="1">
        <f t="array" aca="1" ref="AV34" ca="1">IF($B34="","",IF(ISBLANK(INDIRECT("R9.Web!D"&amp;SUM(18,38*12,15))),"",INDIRECT("R9.Web!D"&amp;SUM(18,38*12,15))))</f>
        <v>N/D</v>
      </c>
      <c r="AW34" s="215" t="str" cm="1">
        <f t="array" aca="1" ref="AW34" ca="1">IF($B34="","",IF(ISBLANK(INDIRECT("R9.Web!D"&amp;SUM(18,38*13,15))),"",INDIRECT("R9.Web!D"&amp;SUM(18,38*13,15))))</f>
        <v>N/T</v>
      </c>
      <c r="AX34" s="215" t="str" cm="1">
        <f t="array" aca="1" ref="AX34" ca="1">IF($B34="","",IF(ISBLANK(INDIRECT("R9.Web!D"&amp;SUM(18,38*14,15))),"",INDIRECT("R9.Web!D"&amp;SUM(18,38*14,15))))</f>
        <v>N/T</v>
      </c>
      <c r="AY34" s="215" t="str" cm="1">
        <f t="array" aca="1" ref="AY34" ca="1">IF($B34="","",IF(ISBLANK(INDIRECT("R9.Web!D"&amp;SUM(18,38*15,15))),"",INDIRECT("R9.Web!D"&amp;SUM(18,38*15,15))))</f>
        <v>N/D</v>
      </c>
      <c r="AZ34" s="215" t="str" cm="1">
        <f t="array" aca="1" ref="AZ34" ca="1">IF($B34="","",IF(ISBLANK(INDIRECT("R9.Web!D"&amp;SUM(18,38*16,15))),"",INDIRECT("R9.Web!D"&amp;SUM(18,38*16,15))))</f>
        <v>N/T</v>
      </c>
      <c r="BA34" s="215" t="str" cm="1">
        <f t="array" aca="1" ref="BA34" ca="1">IF($B34="","",IF(ISBLANK(INDIRECT("R9.Web!D"&amp;SUM(18,38*17,15))),"",INDIRECT("R9.Web!D"&amp;SUM(18,38*17,15))))</f>
        <v>N/D</v>
      </c>
      <c r="BB34" s="215" t="str" cm="1">
        <f t="array" aca="1" ref="BB34" ca="1">IF($B34="","",IF(ISBLANK(INDIRECT("R9.Web!D"&amp;SUM(18,38*18,15))),"",INDIRECT("R9.Web!D"&amp;SUM(18,38*18,15))))</f>
        <v>N/T</v>
      </c>
      <c r="BC34" s="215" t="str" cm="1">
        <f t="array" aca="1" ref="BC34" ca="1">IF($B34="","",IF(ISBLANK(INDIRECT("R9.Web!D"&amp;SUM(18,38*19,15))),"",INDIRECT("R9.Web!D"&amp;SUM(18,38*19,15))))</f>
        <v>N/D</v>
      </c>
      <c r="BD34" s="215" t="str" cm="1">
        <f t="array" aca="1" ref="BD34" ca="1">IF($B34="","",IF(ISBLANK(INDIRECT("R9.Web!D"&amp;SUM(18,38*20,15))),"",INDIRECT("R9.Web!D"&amp;SUM(18,38*20,15))))</f>
        <v>N/T</v>
      </c>
      <c r="BE34" s="215" t="str" cm="1">
        <f t="array" aca="1" ref="BE34" ca="1">IF($B34="","",IF(ISBLANK(INDIRECT("R9.Web!D"&amp;SUM(18,38*21,15))),"",INDIRECT("R9.Web!D"&amp;SUM(18,38*21,15))))</f>
        <v>N/T</v>
      </c>
      <c r="BF34" s="215" t="str" cm="1">
        <f t="array" aca="1" ref="BF34" ca="1">IF($B34="","",IF(ISBLANK(INDIRECT("R9.Web!D"&amp;SUM(18,38*22,15))),"",INDIRECT("R9.Web!D"&amp;SUM(18,38*22,15))))</f>
        <v>N/D</v>
      </c>
      <c r="BG34" s="215" t="str" cm="1">
        <f t="array" aca="1" ref="BG34" ca="1">IF($B34="","",IF(ISBLANK(INDIRECT("R9.Web!D"&amp;SUM(18,38*23,15))),"",INDIRECT("R9.Web!D"&amp;SUM(18,38*23,15))))</f>
        <v>N/D</v>
      </c>
      <c r="BH34" s="215" t="str" cm="1">
        <f t="array" aca="1" ref="BH34" ca="1">IF($B34="","",IF(ISBLANK(INDIRECT("R9.Web!D"&amp;SUM(18,38*24,15))),"",INDIRECT("R9.Web!D"&amp;SUM(18,38*24,15))))</f>
        <v>N/T</v>
      </c>
      <c r="BI34" s="215" t="str" cm="1">
        <f t="array" aca="1" ref="BI34" ca="1">IF($B34="","",IF(ISBLANK(INDIRECT("R9.Web!D"&amp;SUM(18,38*25,15))),"",INDIRECT("R9.Web!D"&amp;SUM(18,38*25,15))))</f>
        <v>N/D</v>
      </c>
      <c r="BJ34" s="215" t="str" cm="1">
        <f t="array" aca="1" ref="BJ34" ca="1">IF($B34="","",IF(ISBLANK(INDIRECT("R9.Web!D"&amp;SUM(18,38*26,15))),"",INDIRECT("R9.Web!D"&amp;SUM(18,38*26,15))))</f>
        <v>N/D</v>
      </c>
      <c r="BK34" s="215" t="str" cm="1">
        <f t="array" aca="1" ref="BK34" ca="1">IF($B34="","",IF(ISBLANK(INDIRECT("R9.Web!D"&amp;SUM(18,38*27,15))),"",INDIRECT("R9.Web!D"&amp;SUM(18,38*27,15))))</f>
        <v>N/D</v>
      </c>
      <c r="BL34" s="215" t="str" cm="1">
        <f t="array" aca="1" ref="BL34" ca="1">IF($B34="","",IF(ISBLANK(INDIRECT("R9.Web!D"&amp;SUM(18,38*28,15))),"",INDIRECT("R9.Web!D"&amp;SUM(18,38*28,15))))</f>
        <v>N/D</v>
      </c>
      <c r="BM34" s="215" t="str" cm="1">
        <f t="array" aca="1" ref="BM34" ca="1">IF($B34="","",IF(ISBLANK(INDIRECT("R9.Web!D"&amp;SUM(18,38*29,15))),"",INDIRECT("R9.Web!D"&amp;SUM(18,38*29,15))))</f>
        <v>N/D</v>
      </c>
      <c r="BN34" s="215" t="str" cm="1">
        <f t="array" aca="1" ref="BN34" ca="1">IF($B34="","",IF(ISBLANK(INDIRECT("R9.Web!D"&amp;SUM(18,38*30,15))),"",INDIRECT("R9.Web!D"&amp;SUM(18,38*30,15))))</f>
        <v>N/T</v>
      </c>
      <c r="BO34" s="215" t="str" cm="1">
        <f t="array" aca="1" ref="BO34" ca="1">IF($B34="","",IF(ISBLANK(INDIRECT("R9.Web!D"&amp;SUM(18,38*31,15))),"",INDIRECT("R9.Web!D"&amp;SUM(18,38*31,15))))</f>
        <v>Falla</v>
      </c>
      <c r="BP34" s="215" t="str" cm="1">
        <f t="array" aca="1" ref="BP34" ca="1">IF($B34="","",IF(ISBLANK(INDIRECT("R9.Web!D"&amp;SUM(18,38*32,15))),"",INDIRECT("R9.Web!D"&amp;SUM(18,38*32,15))))</f>
        <v>N/T</v>
      </c>
      <c r="BQ34" s="215" t="str" cm="1">
        <f t="array" aca="1" ref="BQ34" ca="1">IF($B34="","",IF(ISBLANK(INDIRECT("R9.Web!D"&amp;SUM(18,38*33,15))),"",INDIRECT("R9.Web!D"&amp;SUM(18,38*33,15))))</f>
        <v>N/T</v>
      </c>
      <c r="BR34" s="215" t="str" cm="1">
        <f t="array" aca="1" ref="BR34" ca="1">IF($B34="","",IF(ISBLANK(INDIRECT("R9.Web!D"&amp;SUM(18,38*34,15))),"",INDIRECT("R9.Web!D"&amp;SUM(18,38*34,15))))</f>
        <v>N/D</v>
      </c>
      <c r="BS34" s="215" t="str" cm="1">
        <f t="array" aca="1" ref="BS34" ca="1">IF($B34="","",IF(ISBLANK(INDIRECT("R9.Web!D"&amp;SUM(18,38*35,15))),"",INDIRECT("R9.Web!D"&amp;SUM(18,38*35,15))))</f>
        <v>N/T</v>
      </c>
      <c r="BT34" s="215" t="str" cm="1">
        <f t="array" aca="1" ref="BT34" ca="1">IF($B34="","",IF(ISBLANK(INDIRECT("R9.Web!D"&amp;SUM(18,38*36,15))),"",INDIRECT("R9.Web!D"&amp;SUM(18,38*36,15))))</f>
        <v>N/D</v>
      </c>
      <c r="BU34" s="215" t="str" cm="1">
        <f t="array" aca="1" ref="BU34" ca="1">IF($B34="","",IF(ISBLANK(INDIRECT("R9.Web!D"&amp;SUM(18,38*37,15))),"",INDIRECT("R9.Web!D"&amp;SUM(18,38*37,15))))</f>
        <v>N/D</v>
      </c>
      <c r="BV34" s="215" t="str" cm="1">
        <f t="array" aca="1" ref="BV34" ca="1">IF($B34="","",IF(ISBLANK(INDIRECT("R9.Web!D"&amp;SUM(18,38*38,15))),"",INDIRECT("R9.Web!D"&amp;SUM(18,38*38,15))))</f>
        <v>N/D</v>
      </c>
      <c r="BW34" s="215" t="str" cm="1">
        <f t="array" aca="1" ref="BW34" ca="1">IF($B34="","",IF(ISBLANK(INDIRECT("R9.Web!D"&amp;SUM(18,38*39,15))),"",INDIRECT("R9.Web!D"&amp;SUM(18,38*39,15))))</f>
        <v>N/D</v>
      </c>
      <c r="BX34" s="215" t="str" cm="1">
        <f t="array" aca="1" ref="BX34" ca="1">IF($B34="","",IF(ISBLANK(INDIRECT("R9.Web!D"&amp;SUM(18,38*40,15))),"",INDIRECT("R9.Web!D"&amp;SUM(18,38*40,15))))</f>
        <v>N/D</v>
      </c>
      <c r="BY34" s="215" t="str" cm="1">
        <f t="array" aca="1" ref="BY34" ca="1">IF($B34="","",IF(ISBLANK(INDIRECT("R9.Web!D"&amp;SUM(18,38*41,15))),"",INDIRECT("R9.Web!D"&amp;SUM(18,38*41,15))))</f>
        <v>N/T</v>
      </c>
      <c r="BZ34" s="215" t="str" cm="1">
        <f t="array" aca="1" ref="BZ34" ca="1">IF($B34="","",IF(ISBLANK(INDIRECT("R9.Web!D"&amp;SUM(18,38*42,15))),"",INDIRECT("R9.Web!D"&amp;SUM(18,38*42,15))))</f>
        <v>N/T</v>
      </c>
      <c r="CA34" s="215" t="str" cm="1">
        <f t="array" aca="1" ref="CA34" ca="1">IF($B34="","",IF(ISBLANK(INDIRECT("R9.Web!D"&amp;SUM(18,38*43,15))),"",INDIRECT("R9.Web!D"&amp;SUM(18,38*43,15))))</f>
        <v>N/D</v>
      </c>
      <c r="CB34" s="215" t="str" cm="1">
        <f t="array" aca="1" ref="CB34" ca="1">IF($B34="","",IF(ISBLANK(INDIRECT("R9.Web!D"&amp;SUM(18,38*44,15))),"",INDIRECT("R9.Web!D"&amp;SUM(18,38*44,15))))</f>
        <v>N/T</v>
      </c>
      <c r="CC34" s="215" t="str" cm="1">
        <f t="array" aca="1" ref="CC34" ca="1">IF($B34="","",IF(ISBLANK(INDIRECT("R9.Web!D"&amp;SUM(18,38*45,15))),"",INDIRECT("R9.Web!D"&amp;SUM(18,38*45,15))))</f>
        <v>N/T</v>
      </c>
      <c r="CD34" s="215" t="str" cm="1">
        <f t="array" aca="1" ref="CD34" ca="1">IF($B34="","",IF(ISBLANK(INDIRECT("R9.Web!D"&amp;SUM(18,38*46,15))),"",INDIRECT("R9.Web!D"&amp;SUM(18,38*46,15))))</f>
        <v>N/T</v>
      </c>
      <c r="CE34" s="215" t="str" cm="1">
        <f t="array" aca="1" ref="CE34" ca="1">IF($B34="","",IF(ISBLANK(INDIRECT("R9.Web!D"&amp;SUM(18,38*47,15))),"",INDIRECT("R9.Web!D"&amp;SUM(18,38*47,15))))</f>
        <v>N/D</v>
      </c>
      <c r="CF34" s="215" t="str" cm="1">
        <f t="array" aca="1" ref="CF34" ca="1">IF($B34="","",IF(ISBLANK(INDIRECT("R9.Web!D"&amp;SUM(18,38*48,15))),"",INDIRECT("R9.Web!D"&amp;SUM(18,38*48,15))))</f>
        <v>N/T</v>
      </c>
      <c r="CG34" s="215" t="str" cm="1">
        <f t="array" aca="1" ref="CG34" ca="1">IF($B34="","",IF(ISBLANK(INDIRECT("R9.Web!D"&amp;SUM(18,38*49,15))),"",INDIRECT("R9.Web!D"&amp;SUM(18,38*49,15))))</f>
        <v>N/T</v>
      </c>
      <c r="CH34" s="215" t="str" cm="1">
        <f t="array" aca="1" ref="CH34" ca="1">IF($B34="","",IF(ISBLANK(INDIRECT("R11.Software!D"&amp;SUM(18,38*0,15))),"",INDIRECT("R11.Software!D"&amp;SUM(18,38*0,15))))</f>
        <v>N/T</v>
      </c>
      <c r="CI34" s="215" t="str" cm="1">
        <f t="array" aca="1" ref="CI34" ca="1">IF($B34="","",IF(ISBLANK(INDIRECT("R11.Software!D"&amp;SUM(18,38*1,15))),"",INDIRECT("R11.Software!D"&amp;SUM(18,38*1,15))))</f>
        <v>N/T</v>
      </c>
      <c r="CJ34" s="215" t="str" cm="1">
        <f t="array" aca="1" ref="CJ34" ca="1">IF($B34="","",IF(ISBLANK(INDIRECT("R11.Software!D"&amp;SUM(18,38*2,15))),"",INDIRECT("R11.Software!D"&amp;SUM(18,38*2,15))))</f>
        <v>N/T</v>
      </c>
      <c r="CK34" s="215" t="str" cm="1">
        <f t="array" aca="1" ref="CK34" ca="1">IF($B34="","",IF(ISBLANK(INDIRECT("R11.Software!D"&amp;SUM(18,38*3,15))),"",INDIRECT("R11.Software!D"&amp;SUM(18,38*3,15))))</f>
        <v>N/T</v>
      </c>
      <c r="CL34" s="215" t="str" cm="1">
        <f t="array" aca="1" ref="CL34" ca="1">IF($B34="","",IF(ISBLANK(INDIRECT("R11.Software!D"&amp;SUM(18,38*4,15))),"",INDIRECT("R11.Software!D"&amp;SUM(18,38*4,15))))</f>
        <v>N/T</v>
      </c>
      <c r="CM34" s="215" t="str" cm="1">
        <f t="array" aca="1" ref="CM34" ca="1">IF($B34="","",IF(ISBLANK(INDIRECT("R11.Software!D"&amp;SUM(18,38*5,15))),"",INDIRECT("R11.Software!D"&amp;SUM(18,38*5,15))))</f>
        <v>N/T</v>
      </c>
      <c r="CN34" s="215" t="str" cm="1">
        <f t="array" aca="1" ref="CN34" ca="1">IF($B34="","",IF(ISBLANK(INDIRECT("R12.ServiciosApoyo!D"&amp;SUM(18,38*0,15))),"",INDIRECT("R12.ServiciosApoyo!D"&amp;SUM(18,38*0,15))))</f>
        <v>N/T</v>
      </c>
      <c r="CO34" s="215" t="str" cm="1">
        <f t="array" aca="1" ref="CO34" ca="1">IF($B34="","",IF(ISBLANK(INDIRECT("R12.ServiciosApoyo!D"&amp;SUM(18,38*1,15))),"",INDIRECT("R12.ServiciosApoyo!D"&amp;SUM(18,38*1,15))))</f>
        <v>N/T</v>
      </c>
      <c r="CP34" s="215" t="str" cm="1">
        <f t="array" aca="1" ref="CP34" ca="1">IF($B34="","",IF(ISBLANK(INDIRECT("R12.ServiciosApoyo!D"&amp;SUM(18,38*2,15))),"",INDIRECT("R12.ServiciosApoyo!D"&amp;SUM(18,38*2,15))))</f>
        <v>N/T</v>
      </c>
      <c r="CQ34" s="215" t="str" cm="1">
        <f t="array" aca="1" ref="CQ34" ca="1">IF($B34="","",IF(ISBLANK(INDIRECT("R12.ServiciosApoyo!D"&amp;SUM(18,38*3,15))),"",INDIRECT("R12.ServiciosApoyo!D"&amp;SUM(18,38*3,15))))</f>
        <v>N/T</v>
      </c>
      <c r="CR34" s="215" t="str" cm="1">
        <f t="array" aca="1" ref="CR34" ca="1">IF($B34="","",IF(ISBLANK(INDIRECT("R12.ServiciosApoyo!D"&amp;SUM(18,38*4,15))),"",INDIRECT("R12.ServiciosApoyo!D"&amp;SUM(18,38*4,15))))</f>
        <v>N/T</v>
      </c>
      <c r="CU34" s="100"/>
      <c r="CV34" s="29"/>
      <c r="CW34" s="29"/>
      <c r="CX34" s="29"/>
    </row>
    <row r="35" spans="2:102" ht="20.25">
      <c r="B35" s="181" t="n" cm="1">
        <f t="array" ref="B35">IFERROR(INDEX('03.Muestra'!$B$8:$B$42,SMALL(IF("Página Web"='03.Muestra'!$D$8:$D$42,ROW('03.Muestra'!$B$8:$B$42)-MIN(ROW('03.Muestra'!$D$8:$D$42))+1,""),ROW()-19)),"")</f>
        <v>1.0</v>
      </c>
      <c r="C35" s="97" t="str" cm="1">
        <f t="array" ref="C35">IFERROR(INDEX('03.Muestra'!$C$8:$C$42,SMALL(IF("Página Web"='03.Muestra'!$D$8:$D$42,ROW('03.Muestra'!$C$8:$C$42)-MIN(ROW('03.Muestra'!$D$8:$D$42))+1,""),ROW()-19)),"")</f>
        <v>Home - PortCastelló</v>
      </c>
      <c r="D35" s="98" t="str" cm="1">
        <f t="array" ref="D35">IFERROR(INDEX('03.Muestra'!$F$8:$F$42,SMALL(IF("Página Web"='03.Muestra'!$D$8:$D$42,ROW('03.Muestra'!$F$8:$F$42)-MIN(ROW('03.Muestra'!$D$8:$D$42))+1,""),ROW()-19)),"")</f>
        <v>https://www.portcastello.com/</v>
      </c>
      <c r="E35" s="215" t="str" cm="1">
        <f t="array" aca="1" ref="E35" ca="1">IF($B35="","",IF(ISBLANK(INDIRECT("R5.Genéricos!D"&amp;SUM(18,38*0,16))),"",INDIRECT("R5.Genéricos!D"&amp;SUM(18,38*0,16))))</f>
        <v>N/T</v>
      </c>
      <c r="F35" s="215" t="str" cm="1">
        <f t="array" aca="1" ref="F35" ca="1">IF($B35="","",IF(ISBLANK(INDIRECT("R5.Genéricos!D"&amp;SUM(18,38*1,16))),"",INDIRECT("R5.Genéricos!D"&amp;SUM(18,38*1,16))))</f>
        <v>N/T</v>
      </c>
      <c r="G35" s="215" t="str" cm="1">
        <f t="array" aca="1" ref="G35" ca="1">IF($B35="","",IF(ISBLANK(INDIRECT("R5.Genéricos!D"&amp;SUM(18,38*2,16))),"",INDIRECT("R5.Genéricos!D"&amp;SUM(18,38*2,16))))</f>
        <v>N/T</v>
      </c>
      <c r="H35" s="215" t="str" cm="1">
        <f t="array" aca="1" ref="H35" ca="1">IF($B35="","",IF(ISBLANK(INDIRECT("R6.Voz!D"&amp;SUM(18,38*0,16))),"",INDIRECT("R6.Voz!D"&amp;SUM(18,38*0,16))))</f>
        <v>N/T</v>
      </c>
      <c r="I35" s="215" t="str" cm="1">
        <f t="array" aca="1" ref="I35" ca="1">IF($B35="","",IF(ISBLANK(INDIRECT("R6.Voz!D"&amp;SUM(18,38*1,16))),"",INDIRECT("R6.Voz!D"&amp;SUM(18,38*1,16))))</f>
        <v>N/T</v>
      </c>
      <c r="J35" s="215" t="str" cm="1">
        <f t="array" aca="1" ref="J35" ca="1">IF($B35="","",IF(ISBLANK(INDIRECT("R6.Voz!D"&amp;SUM(18,38*2,16))),"",INDIRECT("R6.Voz!D"&amp;SUM(18,38*2,16))))</f>
        <v>N/T</v>
      </c>
      <c r="K35" s="215" t="str" cm="1">
        <f t="array" aca="1" ref="K35" ca="1">IF($B35="","",IF(ISBLANK(INDIRECT("R6.Voz!D"&amp;SUM(18,38*3,16))),"",INDIRECT("R6.Voz!D"&amp;SUM(18,38*3,16))))</f>
        <v>N/T</v>
      </c>
      <c r="L35" s="215" t="str" cm="1">
        <f t="array" aca="1" ref="L35" ca="1">IF($B35="","",IF(ISBLANK(INDIRECT("R6.Voz!D"&amp;SUM(18,38*4,16))),"",INDIRECT("R6.Voz!D"&amp;SUM(18,38*4,16))))</f>
        <v>N/T</v>
      </c>
      <c r="M35" s="215" t="str" cm="1">
        <f t="array" aca="1" ref="M35" ca="1">IF($B35="","",IF(ISBLANK(INDIRECT("R6.Voz!D"&amp;SUM(18,38*5,16))),"",INDIRECT("R6.Voz!D"&amp;SUM(18,38*5,16))))</f>
        <v>N/T</v>
      </c>
      <c r="N35" s="215" t="str" cm="1">
        <f t="array" aca="1" ref="N35" ca="1">IF($B35="","",IF(ISBLANK(INDIRECT("R6.Voz!D"&amp;SUM(18,38*6,16))),"",INDIRECT("R6.Voz!D"&amp;SUM(18,38*6,16))))</f>
        <v>N/T</v>
      </c>
      <c r="O35" s="215" t="str" cm="1">
        <f t="array" aca="1" ref="O35" ca="1">IF($B35="","",IF(ISBLANK(INDIRECT("R6.Voz!D"&amp;SUM(18,38*7,16))),"",INDIRECT("R6.Voz!D"&amp;SUM(18,38*7,16))))</f>
        <v>N/T</v>
      </c>
      <c r="P35" s="215" t="str" cm="1">
        <f t="array" aca="1" ref="P35" ca="1">IF($B35="","",IF(ISBLANK(INDIRECT("R6.Voz!D"&amp;SUM(18,38*8,16))),"",INDIRECT("R6.Voz!D"&amp;SUM(18,38*8,16))))</f>
        <v>N/T</v>
      </c>
      <c r="Q35" s="215" t="str" cm="1">
        <f t="array" aca="1" ref="Q35" ca="1">IF($B35="","",IF(ISBLANK(INDIRECT("R6.Voz!D"&amp;SUM(18,38*9,16))),"",INDIRECT("R6.Voz!D"&amp;SUM(18,38*9,16))))</f>
        <v>N/T</v>
      </c>
      <c r="R35" s="215" t="str" cm="1">
        <f t="array" aca="1" ref="R35" ca="1">IF($B35="","",IF(ISBLANK(INDIRECT("R6.Voz!D"&amp;SUM(18,38*10,16))),"",INDIRECT("R6.Voz!D"&amp;SUM(18,38*10,16))))</f>
        <v>N/T</v>
      </c>
      <c r="S35" s="215" t="str" cm="1">
        <f t="array" aca="1" ref="S35" ca="1">IF($B35="","",IF(ISBLANK(INDIRECT("R6.Voz!D"&amp;SUM(18,38*11,16))),"",INDIRECT("R6.Voz!D"&amp;SUM(18,38*11,16))))</f>
        <v>N/T</v>
      </c>
      <c r="T35" s="215" t="str" cm="1">
        <f t="array" aca="1" ref="T35" ca="1">IF($B35="","",IF(ISBLANK(INDIRECT("R6.Voz!D"&amp;SUM(18,38*12,16))),"",INDIRECT("R6.Voz!D"&amp;SUM(18,38*12,16))))</f>
        <v>N/T</v>
      </c>
      <c r="U35" s="215" t="str" cm="1">
        <f t="array" aca="1" ref="U35" ca="1">IF($B35="","",IF(ISBLANK(INDIRECT("R6.Voz!D"&amp;SUM(18,38*13,16))),"",INDIRECT("R6.Voz!D"&amp;SUM(18,38*13,16))))</f>
        <v>N/T</v>
      </c>
      <c r="V35" s="215" t="str" cm="1">
        <f t="array" aca="1" ref="V35" ca="1">IF($B35="","",IF(ISBLANK(INDIRECT("R6.Voz!D"&amp;SUM(18,38*14,16))),"",INDIRECT("R6.Voz!D"&amp;SUM(18,38*14,16))))</f>
        <v>N/T</v>
      </c>
      <c r="W35" s="215" t="str" cm="1">
        <f t="array" aca="1" ref="W35" ca="1">IF($B35="","",IF(ISBLANK(INDIRECT("R6.Voz!D"&amp;SUM(18,38*15,16))),"",INDIRECT("R6.Voz!D"&amp;SUM(18,38*15,16))))</f>
        <v>N/T</v>
      </c>
      <c r="X35" s="215" t="str" cm="1">
        <f t="array" aca="1" ref="X35" ca="1">IF($B35="","",IF(ISBLANK(INDIRECT("R6.Voz!D"&amp;SUM(18,38*16,16))),"",INDIRECT("R6.Voz!D"&amp;SUM(18,38*16,16))))</f>
        <v>N/T</v>
      </c>
      <c r="Y35" s="215" t="str" cm="1">
        <f t="array" aca="1" ref="Y35" ca="1">IF($B35="","",IF(ISBLANK(INDIRECT("R6.Voz!D"&amp;SUM(18,38*17,16))),"",INDIRECT("R6.Voz!D"&amp;SUM(18,38*17,16))))</f>
        <v>N/T</v>
      </c>
      <c r="Z35" s="215" t="str" cm="1">
        <f t="array" aca="1" ref="Z35" ca="1">IF($B35="","",IF(ISBLANK(INDIRECT("R6.Voz!D"&amp;SUM(18,38*18,16))),"",INDIRECT("R6.Voz!D"&amp;SUM(18,38*18,16))))</f>
        <v>N/T</v>
      </c>
      <c r="AA35" s="215" t="str" cm="1">
        <f t="array" aca="1" ref="AA35" ca="1">IF($B35="","",IF(ISBLANK(INDIRECT("R7.Video!D"&amp;SUM(18,38*0,16))),"",INDIRECT("R7.Video!D"&amp;SUM(18,38*0,16))))</f>
        <v>N/T</v>
      </c>
      <c r="AB35" s="215" t="str" cm="1">
        <f t="array" aca="1" ref="AB35" ca="1">IF($B35="","",IF(ISBLANK(INDIRECT("R7.Video!D"&amp;SUM(18,38*1,16))),"",INDIRECT("R7.Video!D"&amp;SUM(18,38*1,16))))</f>
        <v>N/T</v>
      </c>
      <c r="AC35" s="215" t="str" cm="1">
        <f t="array" aca="1" ref="AC35" ca="1">IF($B35="","",IF(ISBLANK(INDIRECT("R7.Video!D"&amp;SUM(18,38*2,16))),"",INDIRECT("R7.Video!D"&amp;SUM(18,38*2,16))))</f>
        <v>N/T</v>
      </c>
      <c r="AD35" s="215" t="str" cm="1">
        <f t="array" aca="1" ref="AD35" ca="1">IF($B35="","",IF(ISBLANK(INDIRECT("R7.Video!D"&amp;SUM(18,38*3,16))),"",INDIRECT("R7.Video!D"&amp;SUM(18,38*3,16))))</f>
        <v>N/T</v>
      </c>
      <c r="AE35" s="215" t="str" cm="1">
        <f t="array" aca="1" ref="AE35" ca="1">IF($B35="","",IF(ISBLANK(INDIRECT("R7.Video!D"&amp;SUM(18,38*4,16))),"",INDIRECT("R7.Video!D"&amp;SUM(18,38*4,16))))</f>
        <v>N/T</v>
      </c>
      <c r="AF35" s="215" t="str" cm="1">
        <f t="array" aca="1" ref="AF35" ca="1">IF($B35="","",IF(ISBLANK(INDIRECT("R7.Video!D"&amp;SUM(18,38*5,16))),"",INDIRECT("R7.Video!D"&amp;SUM(18,38*5,16))))</f>
        <v>N/T</v>
      </c>
      <c r="AG35" s="215" t="str" cm="1">
        <f t="array" aca="1" ref="AG35" ca="1">IF($B35="","",IF(ISBLANK(INDIRECT("R7.Video!D"&amp;SUM(18,38*6,16))),"",INDIRECT("R7.Video!D"&amp;SUM(18,38*6,16))))</f>
        <v>N/T</v>
      </c>
      <c r="AH35" s="215" t="str" cm="1">
        <f t="array" aca="1" ref="AH35" ca="1">IF($B35="","",IF(ISBLANK(INDIRECT("R7.Video!D"&amp;SUM(18,38*7,16))),"",INDIRECT("R7.Video!D"&amp;SUM(18,38*7,16))))</f>
        <v>N/T</v>
      </c>
      <c r="AI35" s="215" t="str" cm="1">
        <f t="array" aca="1" ref="AI35" ca="1">IF($B35="","",IF(ISBLANK(INDIRECT("R7.Video!D"&amp;SUM(18,38*8,16))),"",INDIRECT("R7.Video!D"&amp;SUM(18,38*8,16))))</f>
        <v>N/T</v>
      </c>
      <c r="AJ35" s="215" t="str" cm="1">
        <f t="array" aca="1" ref="AJ35" ca="1">IF($B35="","",IF(ISBLANK(INDIRECT("R9.Web!D"&amp;SUM(18,38*0,16))),"",INDIRECT("R9.Web!D"&amp;SUM(18,38*0,16))))</f>
        <v>N/D</v>
      </c>
      <c r="AK35" s="215" t="str" cm="1">
        <f t="array" aca="1" ref="AK35" ca="1">IF($B35="","",IF(ISBLANK(INDIRECT("R9.Web!D"&amp;SUM(18,38*1,16))),"",INDIRECT("R9.Web!D"&amp;SUM(18,38*1,16))))</f>
        <v>N/T</v>
      </c>
      <c r="AL35" s="215" t="str" cm="1">
        <f t="array" aca="1" ref="AL35" ca="1">IF($B35="","",IF(ISBLANK(INDIRECT("R9.Web!D"&amp;SUM(18,38*2,16))),"",INDIRECT("R9.Web!D"&amp;SUM(18,38*2,16))))</f>
        <v>N/T</v>
      </c>
      <c r="AM35" s="215" t="str" cm="1">
        <f t="array" aca="1" ref="AM35" ca="1">IF($B35="","",IF(ISBLANK(INDIRECT("R9.Web!D"&amp;SUM(18,38*3,16))),"",INDIRECT("R9.Web!D"&amp;SUM(18,38*3,16))))</f>
        <v>N/T</v>
      </c>
      <c r="AN35" s="215" t="str" cm="1">
        <f t="array" aca="1" ref="AN35" ca="1">IF($B35="","",IF(ISBLANK(INDIRECT("R9.Web!D"&amp;SUM(18,38*4,16))),"",INDIRECT("R9.Web!D"&amp;SUM(18,38*4,16))))</f>
        <v>N/T</v>
      </c>
      <c r="AO35" s="215" t="str" cm="1">
        <f t="array" aca="1" ref="AO35" ca="1">IF($B35="","",IF(ISBLANK(INDIRECT("R9.Web!D"&amp;SUM(18,38*5,16))),"",INDIRECT("R9.Web!D"&amp;SUM(18,38*5,16))))</f>
        <v>N/D</v>
      </c>
      <c r="AP35" s="215" t="str" cm="1">
        <f t="array" aca="1" ref="AP35" ca="1">IF($B35="","",IF(ISBLANK(INDIRECT("R9.Web!D"&amp;SUM(18,38*6,16))),"",INDIRECT("R9.Web!D"&amp;SUM(18,38*6,16))))</f>
        <v>N/T</v>
      </c>
      <c r="AQ35" s="215" t="str" cm="1">
        <f t="array" aca="1" ref="AQ35" ca="1">IF($B35="","",IF(ISBLANK(INDIRECT("R9.Web!D"&amp;SUM(18,38*7,16))),"",INDIRECT("R9.Web!D"&amp;SUM(18,38*7,16))))</f>
        <v>N/T</v>
      </c>
      <c r="AR35" s="215" t="str" cm="1">
        <f t="array" aca="1" ref="AR35" ca="1">IF($B35="","",IF(ISBLANK(INDIRECT("R9.Web!D"&amp;SUM(18,38*8,16))),"",INDIRECT("R9.Web!D"&amp;SUM(18,38*8,16))))</f>
        <v>N/D</v>
      </c>
      <c r="AS35" s="215" t="str" cm="1">
        <f t="array" aca="1" ref="AS35" ca="1">IF($B35="","",IF(ISBLANK(INDIRECT("R9.Web!D"&amp;SUM(18,38*9,16))),"",INDIRECT("R9.Web!D"&amp;SUM(18,38*9,16))))</f>
        <v>N/D</v>
      </c>
      <c r="AT35" s="215" t="str" cm="1">
        <f t="array" aca="1" ref="AT35" ca="1">IF($B35="","",IF(ISBLANK(INDIRECT("R9.Web!D"&amp;SUM(18,38*10,16))),"",INDIRECT("R9.Web!D"&amp;SUM(18,38*10,16))))</f>
        <v>N/T</v>
      </c>
      <c r="AU35" s="215" t="str" cm="1">
        <f t="array" aca="1" ref="AU35" ca="1">IF($B35="","",IF(ISBLANK(INDIRECT("R9.Web!D"&amp;SUM(18,38*11,16))),"",INDIRECT("R9.Web!D"&amp;SUM(18,38*11,16))))</f>
        <v>N/T</v>
      </c>
      <c r="AV35" s="215" t="str" cm="1">
        <f t="array" aca="1" ref="AV35" ca="1">IF($B35="","",IF(ISBLANK(INDIRECT("R9.Web!D"&amp;SUM(18,38*12,16))),"",INDIRECT("R9.Web!D"&amp;SUM(18,38*12,16))))</f>
        <v>Falla</v>
      </c>
      <c r="AW35" s="215" t="str" cm="1">
        <f t="array" aca="1" ref="AW35" ca="1">IF($B35="","",IF(ISBLANK(INDIRECT("R9.Web!D"&amp;SUM(18,38*13,16))),"",INDIRECT("R9.Web!D"&amp;SUM(18,38*13,16))))</f>
        <v>N/T</v>
      </c>
      <c r="AX35" s="215" t="str" cm="1">
        <f t="array" aca="1" ref="AX35" ca="1">IF($B35="","",IF(ISBLANK(INDIRECT("R9.Web!D"&amp;SUM(18,38*14,16))),"",INDIRECT("R9.Web!D"&amp;SUM(18,38*14,16))))</f>
        <v>N/T</v>
      </c>
      <c r="AY35" s="215" t="str" cm="1">
        <f t="array" aca="1" ref="AY35" ca="1">IF($B35="","",IF(ISBLANK(INDIRECT("R9.Web!D"&amp;SUM(18,38*15,16))),"",INDIRECT("R9.Web!D"&amp;SUM(18,38*15,16))))</f>
        <v>N/D</v>
      </c>
      <c r="AZ35" s="215" t="str" cm="1">
        <f t="array" aca="1" ref="AZ35" ca="1">IF($B35="","",IF(ISBLANK(INDIRECT("R9.Web!D"&amp;SUM(18,38*16,16))),"",INDIRECT("R9.Web!D"&amp;SUM(18,38*16,16))))</f>
        <v>N/T</v>
      </c>
      <c r="BA35" s="215" t="str" cm="1">
        <f t="array" aca="1" ref="BA35" ca="1">IF($B35="","",IF(ISBLANK(INDIRECT("R9.Web!D"&amp;SUM(18,38*17,16))),"",INDIRECT("R9.Web!D"&amp;SUM(18,38*17,16))))</f>
        <v>N/D</v>
      </c>
      <c r="BB35" s="215" t="str" cm="1">
        <f t="array" aca="1" ref="BB35" ca="1">IF($B35="","",IF(ISBLANK(INDIRECT("R9.Web!D"&amp;SUM(18,38*18,16))),"",INDIRECT("R9.Web!D"&amp;SUM(18,38*18,16))))</f>
        <v>N/T</v>
      </c>
      <c r="BC35" s="215" t="str" cm="1">
        <f t="array" aca="1" ref="BC35" ca="1">IF($B35="","",IF(ISBLANK(INDIRECT("R9.Web!D"&amp;SUM(18,38*19,16))),"",INDIRECT("R9.Web!D"&amp;SUM(18,38*19,16))))</f>
        <v>N/D</v>
      </c>
      <c r="BD35" s="215" t="str" cm="1">
        <f t="array" aca="1" ref="BD35" ca="1">IF($B35="","",IF(ISBLANK(INDIRECT("R9.Web!D"&amp;SUM(18,38*20,16))),"",INDIRECT("R9.Web!D"&amp;SUM(18,38*20,16))))</f>
        <v>N/T</v>
      </c>
      <c r="BE35" s="215" t="str" cm="1">
        <f t="array" aca="1" ref="BE35" ca="1">IF($B35="","",IF(ISBLANK(INDIRECT("R9.Web!D"&amp;SUM(18,38*21,16))),"",INDIRECT("R9.Web!D"&amp;SUM(18,38*21,16))))</f>
        <v>N/T</v>
      </c>
      <c r="BF35" s="215" t="str" cm="1">
        <f t="array" aca="1" ref="BF35" ca="1">IF($B35="","",IF(ISBLANK(INDIRECT("R9.Web!D"&amp;SUM(18,38*22,16))),"",INDIRECT("R9.Web!D"&amp;SUM(18,38*22,16))))</f>
        <v>N/D</v>
      </c>
      <c r="BG35" s="215" t="str" cm="1">
        <f t="array" aca="1" ref="BG35" ca="1">IF($B35="","",IF(ISBLANK(INDIRECT("R9.Web!D"&amp;SUM(18,38*23,16))),"",INDIRECT("R9.Web!D"&amp;SUM(18,38*23,16))))</f>
        <v>N/D</v>
      </c>
      <c r="BH35" s="215" t="str" cm="1">
        <f t="array" aca="1" ref="BH35" ca="1">IF($B35="","",IF(ISBLANK(INDIRECT("R9.Web!D"&amp;SUM(18,38*24,16))),"",INDIRECT("R9.Web!D"&amp;SUM(18,38*24,16))))</f>
        <v>N/T</v>
      </c>
      <c r="BI35" s="215" t="str" cm="1">
        <f t="array" aca="1" ref="BI35" ca="1">IF($B35="","",IF(ISBLANK(INDIRECT("R9.Web!D"&amp;SUM(18,38*25,16))),"",INDIRECT("R9.Web!D"&amp;SUM(18,38*25,16))))</f>
        <v>N/D</v>
      </c>
      <c r="BJ35" s="215" t="str" cm="1">
        <f t="array" aca="1" ref="BJ35" ca="1">IF($B35="","",IF(ISBLANK(INDIRECT("R9.Web!D"&amp;SUM(18,38*26,16))),"",INDIRECT("R9.Web!D"&amp;SUM(18,38*26,16))))</f>
        <v>N/D</v>
      </c>
      <c r="BK35" s="215" t="str" cm="1">
        <f t="array" aca="1" ref="BK35" ca="1">IF($B35="","",IF(ISBLANK(INDIRECT("R9.Web!D"&amp;SUM(18,38*27,16))),"",INDIRECT("R9.Web!D"&amp;SUM(18,38*27,16))))</f>
        <v>N/D</v>
      </c>
      <c r="BL35" s="215" t="str" cm="1">
        <f t="array" aca="1" ref="BL35" ca="1">IF($B35="","",IF(ISBLANK(INDIRECT("R9.Web!D"&amp;SUM(18,38*28,16))),"",INDIRECT("R9.Web!D"&amp;SUM(18,38*28,16))))</f>
        <v>N/D</v>
      </c>
      <c r="BM35" s="215" t="str" cm="1">
        <f t="array" aca="1" ref="BM35" ca="1">IF($B35="","",IF(ISBLANK(INDIRECT("R9.Web!D"&amp;SUM(18,38*29,16))),"",INDIRECT("R9.Web!D"&amp;SUM(18,38*29,16))))</f>
        <v>N/D</v>
      </c>
      <c r="BN35" s="215" t="str" cm="1">
        <f t="array" aca="1" ref="BN35" ca="1">IF($B35="","",IF(ISBLANK(INDIRECT("R9.Web!D"&amp;SUM(18,38*30,16))),"",INDIRECT("R9.Web!D"&amp;SUM(18,38*30,16))))</f>
        <v>N/T</v>
      </c>
      <c r="BO35" s="215" t="str" cm="1">
        <f t="array" aca="1" ref="BO35" ca="1">IF($B35="","",IF(ISBLANK(INDIRECT("R9.Web!D"&amp;SUM(18,38*31,16))),"",INDIRECT("R9.Web!D"&amp;SUM(18,38*31,16))))</f>
        <v>Falla</v>
      </c>
      <c r="BP35" s="215" t="str" cm="1">
        <f t="array" aca="1" ref="BP35" ca="1">IF($B35="","",IF(ISBLANK(INDIRECT("R9.Web!D"&amp;SUM(18,38*32,16))),"",INDIRECT("R9.Web!D"&amp;SUM(18,38*32,16))))</f>
        <v>N/T</v>
      </c>
      <c r="BQ35" s="215" t="str" cm="1">
        <f t="array" aca="1" ref="BQ35" ca="1">IF($B35="","",IF(ISBLANK(INDIRECT("R9.Web!D"&amp;SUM(18,38*33,16))),"",INDIRECT("R9.Web!D"&amp;SUM(18,38*33,16))))</f>
        <v>N/T</v>
      </c>
      <c r="BR35" s="215" t="str" cm="1">
        <f t="array" aca="1" ref="BR35" ca="1">IF($B35="","",IF(ISBLANK(INDIRECT("R9.Web!D"&amp;SUM(18,38*34,16))),"",INDIRECT("R9.Web!D"&amp;SUM(18,38*34,16))))</f>
        <v>N/D</v>
      </c>
      <c r="BS35" s="215" t="str" cm="1">
        <f t="array" aca="1" ref="BS35" ca="1">IF($B35="","",IF(ISBLANK(INDIRECT("R9.Web!D"&amp;SUM(18,38*35,16))),"",INDIRECT("R9.Web!D"&amp;SUM(18,38*35,16))))</f>
        <v>N/T</v>
      </c>
      <c r="BT35" s="215" t="str" cm="1">
        <f t="array" aca="1" ref="BT35" ca="1">IF($B35="","",IF(ISBLANK(INDIRECT("R9.Web!D"&amp;SUM(18,38*36,16))),"",INDIRECT("R9.Web!D"&amp;SUM(18,38*36,16))))</f>
        <v>N/D</v>
      </c>
      <c r="BU35" s="215" t="str" cm="1">
        <f t="array" aca="1" ref="BU35" ca="1">IF($B35="","",IF(ISBLANK(INDIRECT("R9.Web!D"&amp;SUM(18,38*37,16))),"",INDIRECT("R9.Web!D"&amp;SUM(18,38*37,16))))</f>
        <v>N/D</v>
      </c>
      <c r="BV35" s="215" t="str" cm="1">
        <f t="array" aca="1" ref="BV35" ca="1">IF($B35="","",IF(ISBLANK(INDIRECT("R9.Web!D"&amp;SUM(18,38*38,16))),"",INDIRECT("R9.Web!D"&amp;SUM(18,38*38,16))))</f>
        <v>N/D</v>
      </c>
      <c r="BW35" s="215" t="str" cm="1">
        <f t="array" aca="1" ref="BW35" ca="1">IF($B35="","",IF(ISBLANK(INDIRECT("R9.Web!D"&amp;SUM(18,38*39,16))),"",INDIRECT("R9.Web!D"&amp;SUM(18,38*39,16))))</f>
        <v>N/D</v>
      </c>
      <c r="BX35" s="215" t="str" cm="1">
        <f t="array" aca="1" ref="BX35" ca="1">IF($B35="","",IF(ISBLANK(INDIRECT("R9.Web!D"&amp;SUM(18,38*40,16))),"",INDIRECT("R9.Web!D"&amp;SUM(18,38*40,16))))</f>
        <v>N/D</v>
      </c>
      <c r="BY35" s="215" t="str" cm="1">
        <f t="array" aca="1" ref="BY35" ca="1">IF($B35="","",IF(ISBLANK(INDIRECT("R9.Web!D"&amp;SUM(18,38*41,16))),"",INDIRECT("R9.Web!D"&amp;SUM(18,38*41,16))))</f>
        <v>N/T</v>
      </c>
      <c r="BZ35" s="215" t="str" cm="1">
        <f t="array" aca="1" ref="BZ35" ca="1">IF($B35="","",IF(ISBLANK(INDIRECT("R9.Web!D"&amp;SUM(18,38*42,16))),"",INDIRECT("R9.Web!D"&amp;SUM(18,38*42,16))))</f>
        <v>N/T</v>
      </c>
      <c r="CA35" s="215" t="str" cm="1">
        <f t="array" aca="1" ref="CA35" ca="1">IF($B35="","",IF(ISBLANK(INDIRECT("R9.Web!D"&amp;SUM(18,38*43,16))),"",INDIRECT("R9.Web!D"&amp;SUM(18,38*43,16))))</f>
        <v>N/D</v>
      </c>
      <c r="CB35" s="215" t="str" cm="1">
        <f t="array" aca="1" ref="CB35" ca="1">IF($B35="","",IF(ISBLANK(INDIRECT("R9.Web!D"&amp;SUM(18,38*44,16))),"",INDIRECT("R9.Web!D"&amp;SUM(18,38*44,16))))</f>
        <v>N/T</v>
      </c>
      <c r="CC35" s="215" t="str" cm="1">
        <f t="array" aca="1" ref="CC35" ca="1">IF($B35="","",IF(ISBLANK(INDIRECT("R9.Web!D"&amp;SUM(18,38*45,16))),"",INDIRECT("R9.Web!D"&amp;SUM(18,38*45,16))))</f>
        <v>N/T</v>
      </c>
      <c r="CD35" s="215" t="str" cm="1">
        <f t="array" aca="1" ref="CD35" ca="1">IF($B35="","",IF(ISBLANK(INDIRECT("R9.Web!D"&amp;SUM(18,38*46,16))),"",INDIRECT("R9.Web!D"&amp;SUM(18,38*46,16))))</f>
        <v>N/T</v>
      </c>
      <c r="CE35" s="215" t="str" cm="1">
        <f t="array" aca="1" ref="CE35" ca="1">IF($B35="","",IF(ISBLANK(INDIRECT("R9.Web!D"&amp;SUM(18,38*47,16))),"",INDIRECT("R9.Web!D"&amp;SUM(18,38*47,16))))</f>
        <v>N/D</v>
      </c>
      <c r="CF35" s="215" t="str" cm="1">
        <f t="array" aca="1" ref="CF35" ca="1">IF($B35="","",IF(ISBLANK(INDIRECT("R9.Web!D"&amp;SUM(18,38*48,16))),"",INDIRECT("R9.Web!D"&amp;SUM(18,38*48,16))))</f>
        <v>N/T</v>
      </c>
      <c r="CG35" s="215" t="str" cm="1">
        <f t="array" aca="1" ref="CG35" ca="1">IF($B35="","",IF(ISBLANK(INDIRECT("R9.Web!D"&amp;SUM(18,38*49,16))),"",INDIRECT("R9.Web!D"&amp;SUM(18,38*49,16))))</f>
        <v>N/T</v>
      </c>
      <c r="CH35" s="215" t="str" cm="1">
        <f t="array" aca="1" ref="CH35" ca="1">IF($B35="","",IF(ISBLANK(INDIRECT("R11.Software!D"&amp;SUM(18,38*0,16))),"",INDIRECT("R11.Software!D"&amp;SUM(18,38*0,16))))</f>
        <v>N/T</v>
      </c>
      <c r="CI35" s="215" t="str" cm="1">
        <f t="array" aca="1" ref="CI35" ca="1">IF($B35="","",IF(ISBLANK(INDIRECT("R11.Software!D"&amp;SUM(18,38*1,16))),"",INDIRECT("R11.Software!D"&amp;SUM(18,38*1,16))))</f>
        <v>N/T</v>
      </c>
      <c r="CJ35" s="215" t="str" cm="1">
        <f t="array" aca="1" ref="CJ35" ca="1">IF($B35="","",IF(ISBLANK(INDIRECT("R11.Software!D"&amp;SUM(18,38*2,16))),"",INDIRECT("R11.Software!D"&amp;SUM(18,38*2,16))))</f>
        <v>N/T</v>
      </c>
      <c r="CK35" s="215" t="str" cm="1">
        <f t="array" aca="1" ref="CK35" ca="1">IF($B35="","",IF(ISBLANK(INDIRECT("R11.Software!D"&amp;SUM(18,38*3,16))),"",INDIRECT("R11.Software!D"&amp;SUM(18,38*3,16))))</f>
        <v>N/T</v>
      </c>
      <c r="CL35" s="215" t="str" cm="1">
        <f t="array" aca="1" ref="CL35" ca="1">IF($B35="","",IF(ISBLANK(INDIRECT("R11.Software!D"&amp;SUM(18,38*4,16))),"",INDIRECT("R11.Software!D"&amp;SUM(18,38*4,16))))</f>
        <v>N/T</v>
      </c>
      <c r="CM35" s="215" t="str" cm="1">
        <f t="array" aca="1" ref="CM35" ca="1">IF($B35="","",IF(ISBLANK(INDIRECT("R11.Software!D"&amp;SUM(18,38*5,16))),"",INDIRECT("R11.Software!D"&amp;SUM(18,38*5,16))))</f>
        <v>N/T</v>
      </c>
      <c r="CN35" s="215" t="str" cm="1">
        <f t="array" aca="1" ref="CN35" ca="1">IF($B35="","",IF(ISBLANK(INDIRECT("R12.ServiciosApoyo!D"&amp;SUM(18,38*0,16))),"",INDIRECT("R12.ServiciosApoyo!D"&amp;SUM(18,38*0,16))))</f>
        <v>N/T</v>
      </c>
      <c r="CO35" s="215" t="str" cm="1">
        <f t="array" aca="1" ref="CO35" ca="1">IF($B35="","",IF(ISBLANK(INDIRECT("R12.ServiciosApoyo!D"&amp;SUM(18,38*1,16))),"",INDIRECT("R12.ServiciosApoyo!D"&amp;SUM(18,38*1,16))))</f>
        <v>N/T</v>
      </c>
      <c r="CP35" s="215" t="str" cm="1">
        <f t="array" aca="1" ref="CP35" ca="1">IF($B35="","",IF(ISBLANK(INDIRECT("R12.ServiciosApoyo!D"&amp;SUM(18,38*2,16))),"",INDIRECT("R12.ServiciosApoyo!D"&amp;SUM(18,38*2,16))))</f>
        <v>N/T</v>
      </c>
      <c r="CQ35" s="215" t="str" cm="1">
        <f t="array" aca="1" ref="CQ35" ca="1">IF($B35="","",IF(ISBLANK(INDIRECT("R12.ServiciosApoyo!D"&amp;SUM(18,38*3,16))),"",INDIRECT("R12.ServiciosApoyo!D"&amp;SUM(18,38*3,16))))</f>
        <v>N/T</v>
      </c>
      <c r="CR35" s="215" t="str" cm="1">
        <f t="array" aca="1" ref="CR35" ca="1">IF($B35="","",IF(ISBLANK(INDIRECT("R12.ServiciosApoyo!D"&amp;SUM(18,38*4,16))),"",INDIRECT("R12.ServiciosApoyo!D"&amp;SUM(18,38*4,16))))</f>
        <v>N/T</v>
      </c>
      <c r="CU35" s="100"/>
      <c r="CV35" s="29"/>
      <c r="CW35" s="29"/>
      <c r="CX35" s="29"/>
    </row>
    <row r="36" spans="2:102" ht="20.25">
      <c r="B36" s="181" t="n" cm="1">
        <f t="array" ref="B36">IFERROR(INDEX('03.Muestra'!$B$8:$B$42,SMALL(IF("Página Web"='03.Muestra'!$D$8:$D$42,ROW('03.Muestra'!$B$8:$B$42)-MIN(ROW('03.Muestra'!$D$8:$D$42))+1,""),ROW()-19)),"")</f>
        <v>1.0</v>
      </c>
      <c r="C36" s="97" t="str" cm="1">
        <f t="array" ref="C36">IFERROR(INDEX('03.Muestra'!$C$8:$C$42,SMALL(IF("Página Web"='03.Muestra'!$D$8:$D$42,ROW('03.Muestra'!$C$8:$C$42)-MIN(ROW('03.Muestra'!$D$8:$D$42))+1,""),ROW()-19)),"")</f>
        <v>Home - PortCastelló</v>
      </c>
      <c r="D36" s="98" t="str" cm="1">
        <f t="array" ref="D36">IFERROR(INDEX('03.Muestra'!$F$8:$F$42,SMALL(IF("Página Web"='03.Muestra'!$D$8:$D$42,ROW('03.Muestra'!$F$8:$F$42)-MIN(ROW('03.Muestra'!$D$8:$D$42))+1,""),ROW()-19)),"")</f>
        <v>https://www.portcastello.com/</v>
      </c>
      <c r="E36" s="215" t="str" cm="1">
        <f t="array" aca="1" ref="E36" ca="1">IF($B36="","",IF(ISBLANK(INDIRECT("R5.Genéricos!D"&amp;SUM(18,38*0,17))),"",INDIRECT("R5.Genéricos!D"&amp;SUM(18,38*0,17))))</f>
        <v>N/T</v>
      </c>
      <c r="F36" s="215" t="str" cm="1">
        <f t="array" aca="1" ref="F36" ca="1">IF($B36="","",IF(ISBLANK(INDIRECT("R5.Genéricos!D"&amp;SUM(18,38*1,17))),"",INDIRECT("R5.Genéricos!D"&amp;SUM(18,38*1,17))))</f>
        <v>N/T</v>
      </c>
      <c r="G36" s="215" t="str" cm="1">
        <f t="array" aca="1" ref="G36" ca="1">IF($B36="","",IF(ISBLANK(INDIRECT("R5.Genéricos!D"&amp;SUM(18,38*2,17))),"",INDIRECT("R5.Genéricos!D"&amp;SUM(18,38*2,17))))</f>
        <v>N/T</v>
      </c>
      <c r="H36" s="215" t="str" cm="1">
        <f t="array" aca="1" ref="H36" ca="1">IF($B36="","",IF(ISBLANK(INDIRECT("R6.Voz!D"&amp;SUM(18,38*0,17))),"",INDIRECT("R6.Voz!D"&amp;SUM(18,38*0,17))))</f>
        <v>N/T</v>
      </c>
      <c r="I36" s="215" t="str" cm="1">
        <f t="array" aca="1" ref="I36" ca="1">IF($B36="","",IF(ISBLANK(INDIRECT("R6.Voz!D"&amp;SUM(18,38*1,17))),"",INDIRECT("R6.Voz!D"&amp;SUM(18,38*1,17))))</f>
        <v>N/T</v>
      </c>
      <c r="J36" s="215" t="str" cm="1">
        <f t="array" aca="1" ref="J36" ca="1">IF($B36="","",IF(ISBLANK(INDIRECT("R6.Voz!D"&amp;SUM(18,38*2,17))),"",INDIRECT("R6.Voz!D"&amp;SUM(18,38*2,17))))</f>
        <v>N/T</v>
      </c>
      <c r="K36" s="215" t="str" cm="1">
        <f t="array" aca="1" ref="K36" ca="1">IF($B36="","",IF(ISBLANK(INDIRECT("R6.Voz!D"&amp;SUM(18,38*3,17))),"",INDIRECT("R6.Voz!D"&amp;SUM(18,38*3,17))))</f>
        <v>N/T</v>
      </c>
      <c r="L36" s="215" t="str" cm="1">
        <f t="array" aca="1" ref="L36" ca="1">IF($B36="","",IF(ISBLANK(INDIRECT("R6.Voz!D"&amp;SUM(18,38*4,17))),"",INDIRECT("R6.Voz!D"&amp;SUM(18,38*4,17))))</f>
        <v>N/T</v>
      </c>
      <c r="M36" s="215" t="str" cm="1">
        <f t="array" aca="1" ref="M36" ca="1">IF($B36="","",IF(ISBLANK(INDIRECT("R6.Voz!D"&amp;SUM(18,38*5,17))),"",INDIRECT("R6.Voz!D"&amp;SUM(18,38*5,17))))</f>
        <v>N/T</v>
      </c>
      <c r="N36" s="215" t="str" cm="1">
        <f t="array" aca="1" ref="N36" ca="1">IF($B36="","",IF(ISBLANK(INDIRECT("R6.Voz!D"&amp;SUM(18,38*6,17))),"",INDIRECT("R6.Voz!D"&amp;SUM(18,38*6,17))))</f>
        <v>N/T</v>
      </c>
      <c r="O36" s="215" t="str" cm="1">
        <f t="array" aca="1" ref="O36" ca="1">IF($B36="","",IF(ISBLANK(INDIRECT("R6.Voz!D"&amp;SUM(18,38*7,17))),"",INDIRECT("R6.Voz!D"&amp;SUM(18,38*7,17))))</f>
        <v>N/T</v>
      </c>
      <c r="P36" s="215" t="str" cm="1">
        <f t="array" aca="1" ref="P36" ca="1">IF($B36="","",IF(ISBLANK(INDIRECT("R6.Voz!D"&amp;SUM(18,38*8,17))),"",INDIRECT("R6.Voz!D"&amp;SUM(18,38*8,17))))</f>
        <v>N/T</v>
      </c>
      <c r="Q36" s="215" t="str" cm="1">
        <f t="array" aca="1" ref="Q36" ca="1">IF($B36="","",IF(ISBLANK(INDIRECT("R6.Voz!D"&amp;SUM(18,38*9,17))),"",INDIRECT("R6.Voz!D"&amp;SUM(18,38*9,17))))</f>
        <v>N/T</v>
      </c>
      <c r="R36" s="215" t="str" cm="1">
        <f t="array" aca="1" ref="R36" ca="1">IF($B36="","",IF(ISBLANK(INDIRECT("R6.Voz!D"&amp;SUM(18,38*10,17))),"",INDIRECT("R6.Voz!D"&amp;SUM(18,38*10,17))))</f>
        <v>N/T</v>
      </c>
      <c r="S36" s="215" t="str" cm="1">
        <f t="array" aca="1" ref="S36" ca="1">IF($B36="","",IF(ISBLANK(INDIRECT("R6.Voz!D"&amp;SUM(18,38*11,17))),"",INDIRECT("R6.Voz!D"&amp;SUM(18,38*11,17))))</f>
        <v>N/T</v>
      </c>
      <c r="T36" s="215" t="str" cm="1">
        <f t="array" aca="1" ref="T36" ca="1">IF($B36="","",IF(ISBLANK(INDIRECT("R6.Voz!D"&amp;SUM(18,38*12,17))),"",INDIRECT("R6.Voz!D"&amp;SUM(18,38*12,17))))</f>
        <v>N/T</v>
      </c>
      <c r="U36" s="215" t="str" cm="1">
        <f t="array" aca="1" ref="U36" ca="1">IF($B36="","",IF(ISBLANK(INDIRECT("R6.Voz!D"&amp;SUM(18,38*13,17))),"",INDIRECT("R6.Voz!D"&amp;SUM(18,38*13,17))))</f>
        <v>N/T</v>
      </c>
      <c r="V36" s="215" t="str" cm="1">
        <f t="array" aca="1" ref="V36" ca="1">IF($B36="","",IF(ISBLANK(INDIRECT("R6.Voz!D"&amp;SUM(18,38*14,17))),"",INDIRECT("R6.Voz!D"&amp;SUM(18,38*14,17))))</f>
        <v>N/T</v>
      </c>
      <c r="W36" s="215" t="str" cm="1">
        <f t="array" aca="1" ref="W36" ca="1">IF($B36="","",IF(ISBLANK(INDIRECT("R6.Voz!D"&amp;SUM(18,38*15,17))),"",INDIRECT("R6.Voz!D"&amp;SUM(18,38*15,17))))</f>
        <v>N/T</v>
      </c>
      <c r="X36" s="215" t="str" cm="1">
        <f t="array" aca="1" ref="X36" ca="1">IF($B36="","",IF(ISBLANK(INDIRECT("R6.Voz!D"&amp;SUM(18,38*16,17))),"",INDIRECT("R6.Voz!D"&amp;SUM(18,38*16,17))))</f>
        <v>N/T</v>
      </c>
      <c r="Y36" s="215" t="str" cm="1">
        <f t="array" aca="1" ref="Y36" ca="1">IF($B36="","",IF(ISBLANK(INDIRECT("R6.Voz!D"&amp;SUM(18,38*17,17))),"",INDIRECT("R6.Voz!D"&amp;SUM(18,38*17,17))))</f>
        <v>N/T</v>
      </c>
      <c r="Z36" s="215" t="str" cm="1">
        <f t="array" aca="1" ref="Z36" ca="1">IF($B36="","",IF(ISBLANK(INDIRECT("R6.Voz!D"&amp;SUM(18,38*18,17))),"",INDIRECT("R6.Voz!D"&amp;SUM(18,38*18,17))))</f>
        <v>N/T</v>
      </c>
      <c r="AA36" s="215" t="str" cm="1">
        <f t="array" aca="1" ref="AA36" ca="1">IF($B36="","",IF(ISBLANK(INDIRECT("R7.Video!D"&amp;SUM(18,38*0,17))),"",INDIRECT("R7.Video!D"&amp;SUM(18,38*0,17))))</f>
        <v>N/T</v>
      </c>
      <c r="AB36" s="215" t="str" cm="1">
        <f t="array" aca="1" ref="AB36" ca="1">IF($B36="","",IF(ISBLANK(INDIRECT("R7.Video!D"&amp;SUM(18,38*1,17))),"",INDIRECT("R7.Video!D"&amp;SUM(18,38*1,17))))</f>
        <v>N/T</v>
      </c>
      <c r="AC36" s="215" t="str" cm="1">
        <f t="array" aca="1" ref="AC36" ca="1">IF($B36="","",IF(ISBLANK(INDIRECT("R7.Video!D"&amp;SUM(18,38*2,17))),"",INDIRECT("R7.Video!D"&amp;SUM(18,38*2,17))))</f>
        <v>N/T</v>
      </c>
      <c r="AD36" s="215" t="str" cm="1">
        <f t="array" aca="1" ref="AD36" ca="1">IF($B36="","",IF(ISBLANK(INDIRECT("R7.Video!D"&amp;SUM(18,38*3,17))),"",INDIRECT("R7.Video!D"&amp;SUM(18,38*3,17))))</f>
        <v>N/T</v>
      </c>
      <c r="AE36" s="215" t="str" cm="1">
        <f t="array" aca="1" ref="AE36" ca="1">IF($B36="","",IF(ISBLANK(INDIRECT("R7.Video!D"&amp;SUM(18,38*4,17))),"",INDIRECT("R7.Video!D"&amp;SUM(18,38*4,17))))</f>
        <v>N/T</v>
      </c>
      <c r="AF36" s="215" t="str" cm="1">
        <f t="array" aca="1" ref="AF36" ca="1">IF($B36="","",IF(ISBLANK(INDIRECT("R7.Video!D"&amp;SUM(18,38*5,17))),"",INDIRECT("R7.Video!D"&amp;SUM(18,38*5,17))))</f>
        <v>N/T</v>
      </c>
      <c r="AG36" s="215" t="str" cm="1">
        <f t="array" aca="1" ref="AG36" ca="1">IF($B36="","",IF(ISBLANK(INDIRECT("R7.Video!D"&amp;SUM(18,38*6,17))),"",INDIRECT("R7.Video!D"&amp;SUM(18,38*6,17))))</f>
        <v>N/T</v>
      </c>
      <c r="AH36" s="215" t="str" cm="1">
        <f t="array" aca="1" ref="AH36" ca="1">IF($B36="","",IF(ISBLANK(INDIRECT("R7.Video!D"&amp;SUM(18,38*7,17))),"",INDIRECT("R7.Video!D"&amp;SUM(18,38*7,17))))</f>
        <v>N/T</v>
      </c>
      <c r="AI36" s="215" t="str" cm="1">
        <f t="array" aca="1" ref="AI36" ca="1">IF($B36="","",IF(ISBLANK(INDIRECT("R7.Video!D"&amp;SUM(18,38*8,17))),"",INDIRECT("R7.Video!D"&amp;SUM(18,38*8,17))))</f>
        <v>N/T</v>
      </c>
      <c r="AJ36" s="215" t="str" cm="1">
        <f t="array" aca="1" ref="AJ36" ca="1">IF($B36="","",IF(ISBLANK(INDIRECT("R9.Web!D"&amp;SUM(18,38*0,17))),"",INDIRECT("R9.Web!D"&amp;SUM(18,38*0,17))))</f>
        <v>N/D</v>
      </c>
      <c r="AK36" s="215" t="str" cm="1">
        <f t="array" aca="1" ref="AK36" ca="1">IF($B36="","",IF(ISBLANK(INDIRECT("R9.Web!D"&amp;SUM(18,38*1,17))),"",INDIRECT("R9.Web!D"&amp;SUM(18,38*1,17))))</f>
        <v>N/T</v>
      </c>
      <c r="AL36" s="215" t="str" cm="1">
        <f t="array" aca="1" ref="AL36" ca="1">IF($B36="","",IF(ISBLANK(INDIRECT("R9.Web!D"&amp;SUM(18,38*2,17))),"",INDIRECT("R9.Web!D"&amp;SUM(18,38*2,17))))</f>
        <v>N/T</v>
      </c>
      <c r="AM36" s="215" t="str" cm="1">
        <f t="array" aca="1" ref="AM36" ca="1">IF($B36="","",IF(ISBLANK(INDIRECT("R9.Web!D"&amp;SUM(18,38*3,17))),"",INDIRECT("R9.Web!D"&amp;SUM(18,38*3,17))))</f>
        <v>N/T</v>
      </c>
      <c r="AN36" s="215" t="str" cm="1">
        <f t="array" aca="1" ref="AN36" ca="1">IF($B36="","",IF(ISBLANK(INDIRECT("R9.Web!D"&amp;SUM(18,38*4,17))),"",INDIRECT("R9.Web!D"&amp;SUM(18,38*4,17))))</f>
        <v>N/T</v>
      </c>
      <c r="AO36" s="215" t="str" cm="1">
        <f t="array" aca="1" ref="AO36" ca="1">IF($B36="","",IF(ISBLANK(INDIRECT("R9.Web!D"&amp;SUM(18,38*5,17))),"",INDIRECT("R9.Web!D"&amp;SUM(18,38*5,17))))</f>
        <v>N/D</v>
      </c>
      <c r="AP36" s="215" t="str" cm="1">
        <f t="array" aca="1" ref="AP36" ca="1">IF($B36="","",IF(ISBLANK(INDIRECT("R9.Web!D"&amp;SUM(18,38*6,17))),"",INDIRECT("R9.Web!D"&amp;SUM(18,38*6,17))))</f>
        <v>N/T</v>
      </c>
      <c r="AQ36" s="215" t="str" cm="1">
        <f t="array" aca="1" ref="AQ36" ca="1">IF($B36="","",IF(ISBLANK(INDIRECT("R9.Web!D"&amp;SUM(18,38*7,17))),"",INDIRECT("R9.Web!D"&amp;SUM(18,38*7,17))))</f>
        <v>N/T</v>
      </c>
      <c r="AR36" s="215" t="str" cm="1">
        <f t="array" aca="1" ref="AR36" ca="1">IF($B36="","",IF(ISBLANK(INDIRECT("R9.Web!D"&amp;SUM(18,38*8,17))),"",INDIRECT("R9.Web!D"&amp;SUM(18,38*8,17))))</f>
        <v>N/D</v>
      </c>
      <c r="AS36" s="215" t="str" cm="1">
        <f t="array" aca="1" ref="AS36" ca="1">IF($B36="","",IF(ISBLANK(INDIRECT("R9.Web!D"&amp;SUM(18,38*9,17))),"",INDIRECT("R9.Web!D"&amp;SUM(18,38*9,17))))</f>
        <v>N/D</v>
      </c>
      <c r="AT36" s="215" t="str" cm="1">
        <f t="array" aca="1" ref="AT36" ca="1">IF($B36="","",IF(ISBLANK(INDIRECT("R9.Web!D"&amp;SUM(18,38*10,17))),"",INDIRECT("R9.Web!D"&amp;SUM(18,38*10,17))))</f>
        <v>N/T</v>
      </c>
      <c r="AU36" s="215" t="str" cm="1">
        <f t="array" aca="1" ref="AU36" ca="1">IF($B36="","",IF(ISBLANK(INDIRECT("R9.Web!D"&amp;SUM(18,38*11,17))),"",INDIRECT("R9.Web!D"&amp;SUM(18,38*11,17))))</f>
        <v>N/T</v>
      </c>
      <c r="AV36" s="215" t="str" cm="1">
        <f t="array" aca="1" ref="AV36" ca="1">IF($B36="","",IF(ISBLANK(INDIRECT("R9.Web!D"&amp;SUM(18,38*12,17))),"",INDIRECT("R9.Web!D"&amp;SUM(18,38*12,17))))</f>
        <v>N/D</v>
      </c>
      <c r="AW36" s="215" t="str" cm="1">
        <f t="array" aca="1" ref="AW36" ca="1">IF($B36="","",IF(ISBLANK(INDIRECT("R9.Web!D"&amp;SUM(18,38*13,17))),"",INDIRECT("R9.Web!D"&amp;SUM(18,38*13,17))))</f>
        <v>N/T</v>
      </c>
      <c r="AX36" s="215" t="str" cm="1">
        <f t="array" aca="1" ref="AX36" ca="1">IF($B36="","",IF(ISBLANK(INDIRECT("R9.Web!D"&amp;SUM(18,38*14,17))),"",INDIRECT("R9.Web!D"&amp;SUM(18,38*14,17))))</f>
        <v>N/T</v>
      </c>
      <c r="AY36" s="215" t="str" cm="1">
        <f t="array" aca="1" ref="AY36" ca="1">IF($B36="","",IF(ISBLANK(INDIRECT("R9.Web!D"&amp;SUM(18,38*15,17))),"",INDIRECT("R9.Web!D"&amp;SUM(18,38*15,17))))</f>
        <v>N/D</v>
      </c>
      <c r="AZ36" s="215" t="str" cm="1">
        <f t="array" aca="1" ref="AZ36" ca="1">IF($B36="","",IF(ISBLANK(INDIRECT("R9.Web!D"&amp;SUM(18,38*16,17))),"",INDIRECT("R9.Web!D"&amp;SUM(18,38*16,17))))</f>
        <v>N/T</v>
      </c>
      <c r="BA36" s="215" t="str" cm="1">
        <f t="array" aca="1" ref="BA36" ca="1">IF($B36="","",IF(ISBLANK(INDIRECT("R9.Web!D"&amp;SUM(18,38*17,17))),"",INDIRECT("R9.Web!D"&amp;SUM(18,38*17,17))))</f>
        <v>N/D</v>
      </c>
      <c r="BB36" s="215" t="str" cm="1">
        <f t="array" aca="1" ref="BB36" ca="1">IF($B36="","",IF(ISBLANK(INDIRECT("R9.Web!D"&amp;SUM(18,38*18,17))),"",INDIRECT("R9.Web!D"&amp;SUM(18,38*18,17))))</f>
        <v>N/T</v>
      </c>
      <c r="BC36" s="215" t="str" cm="1">
        <f t="array" aca="1" ref="BC36" ca="1">IF($B36="","",IF(ISBLANK(INDIRECT("R9.Web!D"&amp;SUM(18,38*19,17))),"",INDIRECT("R9.Web!D"&amp;SUM(18,38*19,17))))</f>
        <v>N/D</v>
      </c>
      <c r="BD36" s="215" t="str" cm="1">
        <f t="array" aca="1" ref="BD36" ca="1">IF($B36="","",IF(ISBLANK(INDIRECT("R9.Web!D"&amp;SUM(18,38*20,17))),"",INDIRECT("R9.Web!D"&amp;SUM(18,38*20,17))))</f>
        <v>N/T</v>
      </c>
      <c r="BE36" s="215" t="str" cm="1">
        <f t="array" aca="1" ref="BE36" ca="1">IF($B36="","",IF(ISBLANK(INDIRECT("R9.Web!D"&amp;SUM(18,38*21,17))),"",INDIRECT("R9.Web!D"&amp;SUM(18,38*21,17))))</f>
        <v>N/T</v>
      </c>
      <c r="BF36" s="215" t="str" cm="1">
        <f t="array" aca="1" ref="BF36" ca="1">IF($B36="","",IF(ISBLANK(INDIRECT("R9.Web!D"&amp;SUM(18,38*22,17))),"",INDIRECT("R9.Web!D"&amp;SUM(18,38*22,17))))</f>
        <v>N/D</v>
      </c>
      <c r="BG36" s="215" t="str" cm="1">
        <f t="array" aca="1" ref="BG36" ca="1">IF($B36="","",IF(ISBLANK(INDIRECT("R9.Web!D"&amp;SUM(18,38*23,17))),"",INDIRECT("R9.Web!D"&amp;SUM(18,38*23,17))))</f>
        <v>N/D</v>
      </c>
      <c r="BH36" s="215" t="str" cm="1">
        <f t="array" aca="1" ref="BH36" ca="1">IF($B36="","",IF(ISBLANK(INDIRECT("R9.Web!D"&amp;SUM(18,38*24,17))),"",INDIRECT("R9.Web!D"&amp;SUM(18,38*24,17))))</f>
        <v>N/T</v>
      </c>
      <c r="BI36" s="215" t="str" cm="1">
        <f t="array" aca="1" ref="BI36" ca="1">IF($B36="","",IF(ISBLANK(INDIRECT("R9.Web!D"&amp;SUM(18,38*25,17))),"",INDIRECT("R9.Web!D"&amp;SUM(18,38*25,17))))</f>
        <v>N/D</v>
      </c>
      <c r="BJ36" s="215" t="str" cm="1">
        <f t="array" aca="1" ref="BJ36" ca="1">IF($B36="","",IF(ISBLANK(INDIRECT("R9.Web!D"&amp;SUM(18,38*26,17))),"",INDIRECT("R9.Web!D"&amp;SUM(18,38*26,17))))</f>
        <v>N/D</v>
      </c>
      <c r="BK36" s="215" t="str" cm="1">
        <f t="array" aca="1" ref="BK36" ca="1">IF($B36="","",IF(ISBLANK(INDIRECT("R9.Web!D"&amp;SUM(18,38*27,17))),"",INDIRECT("R9.Web!D"&amp;SUM(18,38*27,17))))</f>
        <v>N/D</v>
      </c>
      <c r="BL36" s="215" t="str" cm="1">
        <f t="array" aca="1" ref="BL36" ca="1">IF($B36="","",IF(ISBLANK(INDIRECT("R9.Web!D"&amp;SUM(18,38*28,17))),"",INDIRECT("R9.Web!D"&amp;SUM(18,38*28,17))))</f>
        <v>N/D</v>
      </c>
      <c r="BM36" s="215" t="str" cm="1">
        <f t="array" aca="1" ref="BM36" ca="1">IF($B36="","",IF(ISBLANK(INDIRECT("R9.Web!D"&amp;SUM(18,38*29,17))),"",INDIRECT("R9.Web!D"&amp;SUM(18,38*29,17))))</f>
        <v>N/D</v>
      </c>
      <c r="BN36" s="215" t="str" cm="1">
        <f t="array" aca="1" ref="BN36" ca="1">IF($B36="","",IF(ISBLANK(INDIRECT("R9.Web!D"&amp;SUM(18,38*30,17))),"",INDIRECT("R9.Web!D"&amp;SUM(18,38*30,17))))</f>
        <v>N/T</v>
      </c>
      <c r="BO36" s="215" t="str" cm="1">
        <f t="array" aca="1" ref="BO36" ca="1">IF($B36="","",IF(ISBLANK(INDIRECT("R9.Web!D"&amp;SUM(18,38*31,17))),"",INDIRECT("R9.Web!D"&amp;SUM(18,38*31,17))))</f>
        <v>Falla</v>
      </c>
      <c r="BP36" s="215" t="str" cm="1">
        <f t="array" aca="1" ref="BP36" ca="1">IF($B36="","",IF(ISBLANK(INDIRECT("R9.Web!D"&amp;SUM(18,38*32,17))),"",INDIRECT("R9.Web!D"&amp;SUM(18,38*32,17))))</f>
        <v>N/T</v>
      </c>
      <c r="BQ36" s="215" t="str" cm="1">
        <f t="array" aca="1" ref="BQ36" ca="1">IF($B36="","",IF(ISBLANK(INDIRECT("R9.Web!D"&amp;SUM(18,38*33,17))),"",INDIRECT("R9.Web!D"&amp;SUM(18,38*33,17))))</f>
        <v>N/T</v>
      </c>
      <c r="BR36" s="215" t="str" cm="1">
        <f t="array" aca="1" ref="BR36" ca="1">IF($B36="","",IF(ISBLANK(INDIRECT("R9.Web!D"&amp;SUM(18,38*34,17))),"",INDIRECT("R9.Web!D"&amp;SUM(18,38*34,17))))</f>
        <v>N/D</v>
      </c>
      <c r="BS36" s="215" t="str" cm="1">
        <f t="array" aca="1" ref="BS36" ca="1">IF($B36="","",IF(ISBLANK(INDIRECT("R9.Web!D"&amp;SUM(18,38*35,17))),"",INDIRECT("R9.Web!D"&amp;SUM(18,38*35,17))))</f>
        <v>N/T</v>
      </c>
      <c r="BT36" s="215" t="str" cm="1">
        <f t="array" aca="1" ref="BT36" ca="1">IF($B36="","",IF(ISBLANK(INDIRECT("R9.Web!D"&amp;SUM(18,38*36,17))),"",INDIRECT("R9.Web!D"&amp;SUM(18,38*36,17))))</f>
        <v>N/D</v>
      </c>
      <c r="BU36" s="215" t="str" cm="1">
        <f t="array" aca="1" ref="BU36" ca="1">IF($B36="","",IF(ISBLANK(INDIRECT("R9.Web!D"&amp;SUM(18,38*37,17))),"",INDIRECT("R9.Web!D"&amp;SUM(18,38*37,17))))</f>
        <v>N/D</v>
      </c>
      <c r="BV36" s="215" t="str" cm="1">
        <f t="array" aca="1" ref="BV36" ca="1">IF($B36="","",IF(ISBLANK(INDIRECT("R9.Web!D"&amp;SUM(18,38*38,17))),"",INDIRECT("R9.Web!D"&amp;SUM(18,38*38,17))))</f>
        <v>N/D</v>
      </c>
      <c r="BW36" s="215" t="str" cm="1">
        <f t="array" aca="1" ref="BW36" ca="1">IF($B36="","",IF(ISBLANK(INDIRECT("R9.Web!D"&amp;SUM(18,38*39,17))),"",INDIRECT("R9.Web!D"&amp;SUM(18,38*39,17))))</f>
        <v>N/D</v>
      </c>
      <c r="BX36" s="215" t="str" cm="1">
        <f t="array" aca="1" ref="BX36" ca="1">IF($B36="","",IF(ISBLANK(INDIRECT("R9.Web!D"&amp;SUM(18,38*40,17))),"",INDIRECT("R9.Web!D"&amp;SUM(18,38*40,17))))</f>
        <v>N/D</v>
      </c>
      <c r="BY36" s="215" t="str" cm="1">
        <f t="array" aca="1" ref="BY36" ca="1">IF($B36="","",IF(ISBLANK(INDIRECT("R9.Web!D"&amp;SUM(18,38*41,17))),"",INDIRECT("R9.Web!D"&amp;SUM(18,38*41,17))))</f>
        <v>N/T</v>
      </c>
      <c r="BZ36" s="215" t="str" cm="1">
        <f t="array" aca="1" ref="BZ36" ca="1">IF($B36="","",IF(ISBLANK(INDIRECT("R9.Web!D"&amp;SUM(18,38*42,17))),"",INDIRECT("R9.Web!D"&amp;SUM(18,38*42,17))))</f>
        <v>N/T</v>
      </c>
      <c r="CA36" s="215" t="str" cm="1">
        <f t="array" aca="1" ref="CA36" ca="1">IF($B36="","",IF(ISBLANK(INDIRECT("R9.Web!D"&amp;SUM(18,38*43,17))),"",INDIRECT("R9.Web!D"&amp;SUM(18,38*43,17))))</f>
        <v>N/D</v>
      </c>
      <c r="CB36" s="215" t="str" cm="1">
        <f t="array" aca="1" ref="CB36" ca="1">IF($B36="","",IF(ISBLANK(INDIRECT("R9.Web!D"&amp;SUM(18,38*44,17))),"",INDIRECT("R9.Web!D"&amp;SUM(18,38*44,17))))</f>
        <v>N/T</v>
      </c>
      <c r="CC36" s="215" t="str" cm="1">
        <f t="array" aca="1" ref="CC36" ca="1">IF($B36="","",IF(ISBLANK(INDIRECT("R9.Web!D"&amp;SUM(18,38*45,17))),"",INDIRECT("R9.Web!D"&amp;SUM(18,38*45,17))))</f>
        <v>N/T</v>
      </c>
      <c r="CD36" s="215" t="str" cm="1">
        <f t="array" aca="1" ref="CD36" ca="1">IF($B36="","",IF(ISBLANK(INDIRECT("R9.Web!D"&amp;SUM(18,38*46,17))),"",INDIRECT("R9.Web!D"&amp;SUM(18,38*46,17))))</f>
        <v>N/T</v>
      </c>
      <c r="CE36" s="215" t="str" cm="1">
        <f t="array" aca="1" ref="CE36" ca="1">IF($B36="","",IF(ISBLANK(INDIRECT("R9.Web!D"&amp;SUM(18,38*47,17))),"",INDIRECT("R9.Web!D"&amp;SUM(18,38*47,17))))</f>
        <v>N/D</v>
      </c>
      <c r="CF36" s="215" t="str" cm="1">
        <f t="array" aca="1" ref="CF36" ca="1">IF($B36="","",IF(ISBLANK(INDIRECT("R9.Web!D"&amp;SUM(18,38*48,17))),"",INDIRECT("R9.Web!D"&amp;SUM(18,38*48,17))))</f>
        <v>N/T</v>
      </c>
      <c r="CG36" s="215" t="str" cm="1">
        <f t="array" aca="1" ref="CG36" ca="1">IF($B36="","",IF(ISBLANK(INDIRECT("R9.Web!D"&amp;SUM(18,38*49,17))),"",INDIRECT("R9.Web!D"&amp;SUM(18,38*49,17))))</f>
        <v>N/T</v>
      </c>
      <c r="CH36" s="215" t="str" cm="1">
        <f t="array" aca="1" ref="CH36" ca="1">IF($B36="","",IF(ISBLANK(INDIRECT("R11.Software!D"&amp;SUM(18,38*0,17))),"",INDIRECT("R11.Software!D"&amp;SUM(18,38*0,17))))</f>
        <v>N/T</v>
      </c>
      <c r="CI36" s="215" t="str" cm="1">
        <f t="array" aca="1" ref="CI36" ca="1">IF($B36="","",IF(ISBLANK(INDIRECT("R11.Software!D"&amp;SUM(18,38*1,17))),"",INDIRECT("R11.Software!D"&amp;SUM(18,38*1,17))))</f>
        <v>N/T</v>
      </c>
      <c r="CJ36" s="215" t="str" cm="1">
        <f t="array" aca="1" ref="CJ36" ca="1">IF($B36="","",IF(ISBLANK(INDIRECT("R11.Software!D"&amp;SUM(18,38*2,17))),"",INDIRECT("R11.Software!D"&amp;SUM(18,38*2,17))))</f>
        <v>N/T</v>
      </c>
      <c r="CK36" s="215" t="str" cm="1">
        <f t="array" aca="1" ref="CK36" ca="1">IF($B36="","",IF(ISBLANK(INDIRECT("R11.Software!D"&amp;SUM(18,38*3,17))),"",INDIRECT("R11.Software!D"&amp;SUM(18,38*3,17))))</f>
        <v>N/T</v>
      </c>
      <c r="CL36" s="215" t="str" cm="1">
        <f t="array" aca="1" ref="CL36" ca="1">IF($B36="","",IF(ISBLANK(INDIRECT("R11.Software!D"&amp;SUM(18,38*4,17))),"",INDIRECT("R11.Software!D"&amp;SUM(18,38*4,17))))</f>
        <v>N/T</v>
      </c>
      <c r="CM36" s="215" t="str" cm="1">
        <f t="array" aca="1" ref="CM36" ca="1">IF($B36="","",IF(ISBLANK(INDIRECT("R11.Software!D"&amp;SUM(18,38*5,17))),"",INDIRECT("R11.Software!D"&amp;SUM(18,38*5,17))))</f>
        <v>N/T</v>
      </c>
      <c r="CN36" s="215" t="str" cm="1">
        <f t="array" aca="1" ref="CN36" ca="1">IF($B36="","",IF(ISBLANK(INDIRECT("R12.ServiciosApoyo!D"&amp;SUM(18,38*0,17))),"",INDIRECT("R12.ServiciosApoyo!D"&amp;SUM(18,38*0,17))))</f>
        <v>N/T</v>
      </c>
      <c r="CO36" s="215" t="str" cm="1">
        <f t="array" aca="1" ref="CO36" ca="1">IF($B36="","",IF(ISBLANK(INDIRECT("R12.ServiciosApoyo!D"&amp;SUM(18,38*1,17))),"",INDIRECT("R12.ServiciosApoyo!D"&amp;SUM(18,38*1,17))))</f>
        <v>N/T</v>
      </c>
      <c r="CP36" s="215" t="str" cm="1">
        <f t="array" aca="1" ref="CP36" ca="1">IF($B36="","",IF(ISBLANK(INDIRECT("R12.ServiciosApoyo!D"&amp;SUM(18,38*2,17))),"",INDIRECT("R12.ServiciosApoyo!D"&amp;SUM(18,38*2,17))))</f>
        <v>N/T</v>
      </c>
      <c r="CQ36" s="215" t="str" cm="1">
        <f t="array" aca="1" ref="CQ36" ca="1">IF($B36="","",IF(ISBLANK(INDIRECT("R12.ServiciosApoyo!D"&amp;SUM(18,38*3,17))),"",INDIRECT("R12.ServiciosApoyo!D"&amp;SUM(18,38*3,17))))</f>
        <v>N/T</v>
      </c>
      <c r="CR36" s="215" t="str" cm="1">
        <f t="array" aca="1" ref="CR36" ca="1">IF($B36="","",IF(ISBLANK(INDIRECT("R12.ServiciosApoyo!D"&amp;SUM(18,38*4,17))),"",INDIRECT("R12.ServiciosApoyo!D"&amp;SUM(18,38*4,17))))</f>
        <v>N/T</v>
      </c>
      <c r="CU36" s="100"/>
      <c r="CV36" s="29"/>
      <c r="CW36" s="29"/>
      <c r="CX36" s="29"/>
    </row>
    <row r="37" spans="2:102" ht="20.25">
      <c r="B37" s="181" t="n" cm="1">
        <f t="array" ref="B37">IFERROR(INDEX('03.Muestra'!$B$8:$B$42,SMALL(IF("Página Web"='03.Muestra'!$D$8:$D$42,ROW('03.Muestra'!$B$8:$B$42)-MIN(ROW('03.Muestra'!$D$8:$D$42))+1,""),ROW()-19)),"")</f>
        <v>1.0</v>
      </c>
      <c r="C37" s="97" t="str" cm="1">
        <f t="array" ref="C37">IFERROR(INDEX('03.Muestra'!$C$8:$C$42,SMALL(IF("Página Web"='03.Muestra'!$D$8:$D$42,ROW('03.Muestra'!$C$8:$C$42)-MIN(ROW('03.Muestra'!$D$8:$D$42))+1,""),ROW()-19)),"")</f>
        <v>Home - PortCastelló</v>
      </c>
      <c r="D37" s="98" t="str" cm="1">
        <f t="array" ref="D37">IFERROR(INDEX('03.Muestra'!$F$8:$F$42,SMALL(IF("Página Web"='03.Muestra'!$D$8:$D$42,ROW('03.Muestra'!$F$8:$F$42)-MIN(ROW('03.Muestra'!$D$8:$D$42))+1,""),ROW()-19)),"")</f>
        <v>https://www.portcastello.com/</v>
      </c>
      <c r="E37" s="215" t="str" cm="1">
        <f t="array" aca="1" ref="E37" ca="1">IF($B37="","",IF(ISBLANK(INDIRECT("R5.Genéricos!D"&amp;SUM(18,38*0,18))),"",INDIRECT("R5.Genéricos!D"&amp;SUM(18,38*0,18))))</f>
        <v>N/T</v>
      </c>
      <c r="F37" s="215" t="str" cm="1">
        <f t="array" aca="1" ref="F37" ca="1">IF($B37="","",IF(ISBLANK(INDIRECT("R5.Genéricos!D"&amp;SUM(18,38*1,18))),"",INDIRECT("R5.Genéricos!D"&amp;SUM(18,38*1,18))))</f>
        <v>N/T</v>
      </c>
      <c r="G37" s="215" t="str" cm="1">
        <f t="array" aca="1" ref="G37" ca="1">IF($B37="","",IF(ISBLANK(INDIRECT("R5.Genéricos!D"&amp;SUM(18,38*2,18))),"",INDIRECT("R5.Genéricos!D"&amp;SUM(18,38*2,18))))</f>
        <v>N/T</v>
      </c>
      <c r="H37" s="215" t="str" cm="1">
        <f t="array" aca="1" ref="H37" ca="1">IF($B37="","",IF(ISBLANK(INDIRECT("R6.Voz!D"&amp;SUM(18,38*0,18))),"",INDIRECT("R6.Voz!D"&amp;SUM(18,38*0,18))))</f>
        <v>N/T</v>
      </c>
      <c r="I37" s="215" t="str" cm="1">
        <f t="array" aca="1" ref="I37" ca="1">IF($B37="","",IF(ISBLANK(INDIRECT("R6.Voz!D"&amp;SUM(18,38*1,18))),"",INDIRECT("R6.Voz!D"&amp;SUM(18,38*1,18))))</f>
        <v>N/T</v>
      </c>
      <c r="J37" s="215" t="str" cm="1">
        <f t="array" aca="1" ref="J37" ca="1">IF($B37="","",IF(ISBLANK(INDIRECT("R6.Voz!D"&amp;SUM(18,38*2,18))),"",INDIRECT("R6.Voz!D"&amp;SUM(18,38*2,18))))</f>
        <v>N/T</v>
      </c>
      <c r="K37" s="215" t="str" cm="1">
        <f t="array" aca="1" ref="K37" ca="1">IF($B37="","",IF(ISBLANK(INDIRECT("R6.Voz!D"&amp;SUM(18,38*3,18))),"",INDIRECT("R6.Voz!D"&amp;SUM(18,38*3,18))))</f>
        <v>N/T</v>
      </c>
      <c r="L37" s="215" t="str" cm="1">
        <f t="array" aca="1" ref="L37" ca="1">IF($B37="","",IF(ISBLANK(INDIRECT("R6.Voz!D"&amp;SUM(18,38*4,18))),"",INDIRECT("R6.Voz!D"&amp;SUM(18,38*4,18))))</f>
        <v>N/T</v>
      </c>
      <c r="M37" s="215" t="str" cm="1">
        <f t="array" aca="1" ref="M37" ca="1">IF($B37="","",IF(ISBLANK(INDIRECT("R6.Voz!D"&amp;SUM(18,38*5,18))),"",INDIRECT("R6.Voz!D"&amp;SUM(18,38*5,18))))</f>
        <v>N/T</v>
      </c>
      <c r="N37" s="215" t="str" cm="1">
        <f t="array" aca="1" ref="N37" ca="1">IF($B37="","",IF(ISBLANK(INDIRECT("R6.Voz!D"&amp;SUM(18,38*6,18))),"",INDIRECT("R6.Voz!D"&amp;SUM(18,38*6,18))))</f>
        <v>N/T</v>
      </c>
      <c r="O37" s="215" t="str" cm="1">
        <f t="array" aca="1" ref="O37" ca="1">IF($B37="","",IF(ISBLANK(INDIRECT("R6.Voz!D"&amp;SUM(18,38*7,18))),"",INDIRECT("R6.Voz!D"&amp;SUM(18,38*7,18))))</f>
        <v>N/T</v>
      </c>
      <c r="P37" s="215" t="str" cm="1">
        <f t="array" aca="1" ref="P37" ca="1">IF($B37="","",IF(ISBLANK(INDIRECT("R6.Voz!D"&amp;SUM(18,38*8,18))),"",INDIRECT("R6.Voz!D"&amp;SUM(18,38*8,18))))</f>
        <v>N/T</v>
      </c>
      <c r="Q37" s="215" t="str" cm="1">
        <f t="array" aca="1" ref="Q37" ca="1">IF($B37="","",IF(ISBLANK(INDIRECT("R6.Voz!D"&amp;SUM(18,38*9,18))),"",INDIRECT("R6.Voz!D"&amp;SUM(18,38*9,18))))</f>
        <v>N/T</v>
      </c>
      <c r="R37" s="215" t="str" cm="1">
        <f t="array" aca="1" ref="R37" ca="1">IF($B37="","",IF(ISBLANK(INDIRECT("R6.Voz!D"&amp;SUM(18,38*10,18))),"",INDIRECT("R6.Voz!D"&amp;SUM(18,38*10,18))))</f>
        <v>N/T</v>
      </c>
      <c r="S37" s="215" t="str" cm="1">
        <f t="array" aca="1" ref="S37" ca="1">IF($B37="","",IF(ISBLANK(INDIRECT("R6.Voz!D"&amp;SUM(18,38*11,18))),"",INDIRECT("R6.Voz!D"&amp;SUM(18,38*11,18))))</f>
        <v>N/T</v>
      </c>
      <c r="T37" s="215" t="str" cm="1">
        <f t="array" aca="1" ref="T37" ca="1">IF($B37="","",IF(ISBLANK(INDIRECT("R6.Voz!D"&amp;SUM(18,38*12,18))),"",INDIRECT("R6.Voz!D"&amp;SUM(18,38*12,18))))</f>
        <v>N/T</v>
      </c>
      <c r="U37" s="215" t="str" cm="1">
        <f t="array" aca="1" ref="U37" ca="1">IF($B37="","",IF(ISBLANK(INDIRECT("R6.Voz!D"&amp;SUM(18,38*13,18))),"",INDIRECT("R6.Voz!D"&amp;SUM(18,38*13,18))))</f>
        <v>N/T</v>
      </c>
      <c r="V37" s="215" t="str" cm="1">
        <f t="array" aca="1" ref="V37" ca="1">IF($B37="","",IF(ISBLANK(INDIRECT("R6.Voz!D"&amp;SUM(18,38*14,18))),"",INDIRECT("R6.Voz!D"&amp;SUM(18,38*14,18))))</f>
        <v>N/T</v>
      </c>
      <c r="W37" s="215" t="str" cm="1">
        <f t="array" aca="1" ref="W37" ca="1">IF($B37="","",IF(ISBLANK(INDIRECT("R6.Voz!D"&amp;SUM(18,38*15,18))),"",INDIRECT("R6.Voz!D"&amp;SUM(18,38*15,18))))</f>
        <v>N/T</v>
      </c>
      <c r="X37" s="215" t="str" cm="1">
        <f t="array" aca="1" ref="X37" ca="1">IF($B37="","",IF(ISBLANK(INDIRECT("R6.Voz!D"&amp;SUM(18,38*16,18))),"",INDIRECT("R6.Voz!D"&amp;SUM(18,38*16,18))))</f>
        <v>N/T</v>
      </c>
      <c r="Y37" s="215" t="str" cm="1">
        <f t="array" aca="1" ref="Y37" ca="1">IF($B37="","",IF(ISBLANK(INDIRECT("R6.Voz!D"&amp;SUM(18,38*17,18))),"",INDIRECT("R6.Voz!D"&amp;SUM(18,38*17,18))))</f>
        <v>N/T</v>
      </c>
      <c r="Z37" s="215" t="str" cm="1">
        <f t="array" aca="1" ref="Z37" ca="1">IF($B37="","",IF(ISBLANK(INDIRECT("R6.Voz!D"&amp;SUM(18,38*18,18))),"",INDIRECT("R6.Voz!D"&amp;SUM(18,38*18,18))))</f>
        <v>N/T</v>
      </c>
      <c r="AA37" s="215" t="str" cm="1">
        <f t="array" aca="1" ref="AA37" ca="1">IF($B37="","",IF(ISBLANK(INDIRECT("R7.Video!D"&amp;SUM(18,38*0,18))),"",INDIRECT("R7.Video!D"&amp;SUM(18,38*0,18))))</f>
        <v>N/T</v>
      </c>
      <c r="AB37" s="215" t="str" cm="1">
        <f t="array" aca="1" ref="AB37" ca="1">IF($B37="","",IF(ISBLANK(INDIRECT("R7.Video!D"&amp;SUM(18,38*1,18))),"",INDIRECT("R7.Video!D"&amp;SUM(18,38*1,18))))</f>
        <v>N/T</v>
      </c>
      <c r="AC37" s="215" t="str" cm="1">
        <f t="array" aca="1" ref="AC37" ca="1">IF($B37="","",IF(ISBLANK(INDIRECT("R7.Video!D"&amp;SUM(18,38*2,18))),"",INDIRECT("R7.Video!D"&amp;SUM(18,38*2,18))))</f>
        <v>N/T</v>
      </c>
      <c r="AD37" s="215" t="str" cm="1">
        <f t="array" aca="1" ref="AD37" ca="1">IF($B37="","",IF(ISBLANK(INDIRECT("R7.Video!D"&amp;SUM(18,38*3,18))),"",INDIRECT("R7.Video!D"&amp;SUM(18,38*3,18))))</f>
        <v>N/T</v>
      </c>
      <c r="AE37" s="215" t="str" cm="1">
        <f t="array" aca="1" ref="AE37" ca="1">IF($B37="","",IF(ISBLANK(INDIRECT("R7.Video!D"&amp;SUM(18,38*4,18))),"",INDIRECT("R7.Video!D"&amp;SUM(18,38*4,18))))</f>
        <v>N/T</v>
      </c>
      <c r="AF37" s="215" t="str" cm="1">
        <f t="array" aca="1" ref="AF37" ca="1">IF($B37="","",IF(ISBLANK(INDIRECT("R7.Video!D"&amp;SUM(18,38*5,18))),"",INDIRECT("R7.Video!D"&amp;SUM(18,38*5,18))))</f>
        <v>N/T</v>
      </c>
      <c r="AG37" s="215" t="str" cm="1">
        <f t="array" aca="1" ref="AG37" ca="1">IF($B37="","",IF(ISBLANK(INDIRECT("R7.Video!D"&amp;SUM(18,38*6,18))),"",INDIRECT("R7.Video!D"&amp;SUM(18,38*6,18))))</f>
        <v>N/T</v>
      </c>
      <c r="AH37" s="215" t="str" cm="1">
        <f t="array" aca="1" ref="AH37" ca="1">IF($B37="","",IF(ISBLANK(INDIRECT("R7.Video!D"&amp;SUM(18,38*7,18))),"",INDIRECT("R7.Video!D"&amp;SUM(18,38*7,18))))</f>
        <v>N/T</v>
      </c>
      <c r="AI37" s="215" t="str" cm="1">
        <f t="array" aca="1" ref="AI37" ca="1">IF($B37="","",IF(ISBLANK(INDIRECT("R7.Video!D"&amp;SUM(18,38*8,18))),"",INDIRECT("R7.Video!D"&amp;SUM(18,38*8,18))))</f>
        <v>N/T</v>
      </c>
      <c r="AJ37" s="215" t="str" cm="1">
        <f t="array" aca="1" ref="AJ37" ca="1">IF($B37="","",IF(ISBLANK(INDIRECT("R9.Web!D"&amp;SUM(18,38*0,18))),"",INDIRECT("R9.Web!D"&amp;SUM(18,38*0,18))))</f>
        <v>N/D</v>
      </c>
      <c r="AK37" s="215" t="str" cm="1">
        <f t="array" aca="1" ref="AK37" ca="1">IF($B37="","",IF(ISBLANK(INDIRECT("R9.Web!D"&amp;SUM(18,38*1,18))),"",INDIRECT("R9.Web!D"&amp;SUM(18,38*1,18))))</f>
        <v>N/T</v>
      </c>
      <c r="AL37" s="215" t="str" cm="1">
        <f t="array" aca="1" ref="AL37" ca="1">IF($B37="","",IF(ISBLANK(INDIRECT("R9.Web!D"&amp;SUM(18,38*2,18))),"",INDIRECT("R9.Web!D"&amp;SUM(18,38*2,18))))</f>
        <v>N/T</v>
      </c>
      <c r="AM37" s="215" t="str" cm="1">
        <f t="array" aca="1" ref="AM37" ca="1">IF($B37="","",IF(ISBLANK(INDIRECT("R9.Web!D"&amp;SUM(18,38*3,18))),"",INDIRECT("R9.Web!D"&amp;SUM(18,38*3,18))))</f>
        <v>N/T</v>
      </c>
      <c r="AN37" s="215" t="str" cm="1">
        <f t="array" aca="1" ref="AN37" ca="1">IF($B37="","",IF(ISBLANK(INDIRECT("R9.Web!D"&amp;SUM(18,38*4,18))),"",INDIRECT("R9.Web!D"&amp;SUM(18,38*4,18))))</f>
        <v>N/T</v>
      </c>
      <c r="AO37" s="215" t="str" cm="1">
        <f t="array" aca="1" ref="AO37" ca="1">IF($B37="","",IF(ISBLANK(INDIRECT("R9.Web!D"&amp;SUM(18,38*5,18))),"",INDIRECT("R9.Web!D"&amp;SUM(18,38*5,18))))</f>
        <v>N/D</v>
      </c>
      <c r="AP37" s="215" t="str" cm="1">
        <f t="array" aca="1" ref="AP37" ca="1">IF($B37="","",IF(ISBLANK(INDIRECT("R9.Web!D"&amp;SUM(18,38*6,18))),"",INDIRECT("R9.Web!D"&amp;SUM(18,38*6,18))))</f>
        <v>N/T</v>
      </c>
      <c r="AQ37" s="215" t="str" cm="1">
        <f t="array" aca="1" ref="AQ37" ca="1">IF($B37="","",IF(ISBLANK(INDIRECT("R9.Web!D"&amp;SUM(18,38*7,18))),"",INDIRECT("R9.Web!D"&amp;SUM(18,38*7,18))))</f>
        <v>N/T</v>
      </c>
      <c r="AR37" s="215" t="str" cm="1">
        <f t="array" aca="1" ref="AR37" ca="1">IF($B37="","",IF(ISBLANK(INDIRECT("R9.Web!D"&amp;SUM(18,38*8,18))),"",INDIRECT("R9.Web!D"&amp;SUM(18,38*8,18))))</f>
        <v>N/D</v>
      </c>
      <c r="AS37" s="215" t="str" cm="1">
        <f t="array" aca="1" ref="AS37" ca="1">IF($B37="","",IF(ISBLANK(INDIRECT("R9.Web!D"&amp;SUM(18,38*9,18))),"",INDIRECT("R9.Web!D"&amp;SUM(18,38*9,18))))</f>
        <v>N/D</v>
      </c>
      <c r="AT37" s="215" t="str" cm="1">
        <f t="array" aca="1" ref="AT37" ca="1">IF($B37="","",IF(ISBLANK(INDIRECT("R9.Web!D"&amp;SUM(18,38*10,18))),"",INDIRECT("R9.Web!D"&amp;SUM(18,38*10,18))))</f>
        <v>N/T</v>
      </c>
      <c r="AU37" s="215" t="str" cm="1">
        <f t="array" aca="1" ref="AU37" ca="1">IF($B37="","",IF(ISBLANK(INDIRECT("R9.Web!D"&amp;SUM(18,38*11,18))),"",INDIRECT("R9.Web!D"&amp;SUM(18,38*11,18))))</f>
        <v>N/T</v>
      </c>
      <c r="AV37" s="215" t="str" cm="1">
        <f t="array" aca="1" ref="AV37" ca="1">IF($B37="","",IF(ISBLANK(INDIRECT("R9.Web!D"&amp;SUM(18,38*12,18))),"",INDIRECT("R9.Web!D"&amp;SUM(18,38*12,18))))</f>
        <v>N/D</v>
      </c>
      <c r="AW37" s="215" t="str" cm="1">
        <f t="array" aca="1" ref="AW37" ca="1">IF($B37="","",IF(ISBLANK(INDIRECT("R9.Web!D"&amp;SUM(18,38*13,18))),"",INDIRECT("R9.Web!D"&amp;SUM(18,38*13,18))))</f>
        <v>N/T</v>
      </c>
      <c r="AX37" s="215" t="str" cm="1">
        <f t="array" aca="1" ref="AX37" ca="1">IF($B37="","",IF(ISBLANK(INDIRECT("R9.Web!D"&amp;SUM(18,38*14,18))),"",INDIRECT("R9.Web!D"&amp;SUM(18,38*14,18))))</f>
        <v>N/T</v>
      </c>
      <c r="AY37" s="215" t="str" cm="1">
        <f t="array" aca="1" ref="AY37" ca="1">IF($B37="","",IF(ISBLANK(INDIRECT("R9.Web!D"&amp;SUM(18,38*15,18))),"",INDIRECT("R9.Web!D"&amp;SUM(18,38*15,18))))</f>
        <v>N/D</v>
      </c>
      <c r="AZ37" s="215" t="str" cm="1">
        <f t="array" aca="1" ref="AZ37" ca="1">IF($B37="","",IF(ISBLANK(INDIRECT("R9.Web!D"&amp;SUM(18,38*16,18))),"",INDIRECT("R9.Web!D"&amp;SUM(18,38*16,18))))</f>
        <v>N/T</v>
      </c>
      <c r="BA37" s="215" t="str" cm="1">
        <f t="array" aca="1" ref="BA37" ca="1">IF($B37="","",IF(ISBLANK(INDIRECT("R9.Web!D"&amp;SUM(18,38*17,18))),"",INDIRECT("R9.Web!D"&amp;SUM(18,38*17,18))))</f>
        <v>N/D</v>
      </c>
      <c r="BB37" s="215" t="str" cm="1">
        <f t="array" aca="1" ref="BB37" ca="1">IF($B37="","",IF(ISBLANK(INDIRECT("R9.Web!D"&amp;SUM(18,38*18,18))),"",INDIRECT("R9.Web!D"&amp;SUM(18,38*18,18))))</f>
        <v>N/T</v>
      </c>
      <c r="BC37" s="215" t="str" cm="1">
        <f t="array" aca="1" ref="BC37" ca="1">IF($B37="","",IF(ISBLANK(INDIRECT("R9.Web!D"&amp;SUM(18,38*19,18))),"",INDIRECT("R9.Web!D"&amp;SUM(18,38*19,18))))</f>
        <v>N/D</v>
      </c>
      <c r="BD37" s="215" t="str" cm="1">
        <f t="array" aca="1" ref="BD37" ca="1">IF($B37="","",IF(ISBLANK(INDIRECT("R9.Web!D"&amp;SUM(18,38*20,18))),"",INDIRECT("R9.Web!D"&amp;SUM(18,38*20,18))))</f>
        <v>N/T</v>
      </c>
      <c r="BE37" s="215" t="str" cm="1">
        <f t="array" aca="1" ref="BE37" ca="1">IF($B37="","",IF(ISBLANK(INDIRECT("R9.Web!D"&amp;SUM(18,38*21,18))),"",INDIRECT("R9.Web!D"&amp;SUM(18,38*21,18))))</f>
        <v>N/T</v>
      </c>
      <c r="BF37" s="215" t="str" cm="1">
        <f t="array" aca="1" ref="BF37" ca="1">IF($B37="","",IF(ISBLANK(INDIRECT("R9.Web!D"&amp;SUM(18,38*22,18))),"",INDIRECT("R9.Web!D"&amp;SUM(18,38*22,18))))</f>
        <v>N/D</v>
      </c>
      <c r="BG37" s="215" t="str" cm="1">
        <f t="array" aca="1" ref="BG37" ca="1">IF($B37="","",IF(ISBLANK(INDIRECT("R9.Web!D"&amp;SUM(18,38*23,18))),"",INDIRECT("R9.Web!D"&amp;SUM(18,38*23,18))))</f>
        <v>N/D</v>
      </c>
      <c r="BH37" s="215" t="str" cm="1">
        <f t="array" aca="1" ref="BH37" ca="1">IF($B37="","",IF(ISBLANK(INDIRECT("R9.Web!D"&amp;SUM(18,38*24,18))),"",INDIRECT("R9.Web!D"&amp;SUM(18,38*24,18))))</f>
        <v>N/T</v>
      </c>
      <c r="BI37" s="215" t="str" cm="1">
        <f t="array" aca="1" ref="BI37" ca="1">IF($B37="","",IF(ISBLANK(INDIRECT("R9.Web!D"&amp;SUM(18,38*25,18))),"",INDIRECT("R9.Web!D"&amp;SUM(18,38*25,18))))</f>
        <v>N/D</v>
      </c>
      <c r="BJ37" s="215" t="str" cm="1">
        <f t="array" aca="1" ref="BJ37" ca="1">IF($B37="","",IF(ISBLANK(INDIRECT("R9.Web!D"&amp;SUM(18,38*26,18))),"",INDIRECT("R9.Web!D"&amp;SUM(18,38*26,18))))</f>
        <v>N/D</v>
      </c>
      <c r="BK37" s="215" t="str" cm="1">
        <f t="array" aca="1" ref="BK37" ca="1">IF($B37="","",IF(ISBLANK(INDIRECT("R9.Web!D"&amp;SUM(18,38*27,18))),"",INDIRECT("R9.Web!D"&amp;SUM(18,38*27,18))))</f>
        <v>N/D</v>
      </c>
      <c r="BL37" s="215" t="str" cm="1">
        <f t="array" aca="1" ref="BL37" ca="1">IF($B37="","",IF(ISBLANK(INDIRECT("R9.Web!D"&amp;SUM(18,38*28,18))),"",INDIRECT("R9.Web!D"&amp;SUM(18,38*28,18))))</f>
        <v>N/D</v>
      </c>
      <c r="BM37" s="215" t="str" cm="1">
        <f t="array" aca="1" ref="BM37" ca="1">IF($B37="","",IF(ISBLANK(INDIRECT("R9.Web!D"&amp;SUM(18,38*29,18))),"",INDIRECT("R9.Web!D"&amp;SUM(18,38*29,18))))</f>
        <v>N/D</v>
      </c>
      <c r="BN37" s="215" t="str" cm="1">
        <f t="array" aca="1" ref="BN37" ca="1">IF($B37="","",IF(ISBLANK(INDIRECT("R9.Web!D"&amp;SUM(18,38*30,18))),"",INDIRECT("R9.Web!D"&amp;SUM(18,38*30,18))))</f>
        <v>N/T</v>
      </c>
      <c r="BO37" s="215" t="str" cm="1">
        <f t="array" aca="1" ref="BO37" ca="1">IF($B37="","",IF(ISBLANK(INDIRECT("R9.Web!D"&amp;SUM(18,38*31,18))),"",INDIRECT("R9.Web!D"&amp;SUM(18,38*31,18))))</f>
        <v>Falla</v>
      </c>
      <c r="BP37" s="215" t="str" cm="1">
        <f t="array" aca="1" ref="BP37" ca="1">IF($B37="","",IF(ISBLANK(INDIRECT("R9.Web!D"&amp;SUM(18,38*32,18))),"",INDIRECT("R9.Web!D"&amp;SUM(18,38*32,18))))</f>
        <v>N/T</v>
      </c>
      <c r="BQ37" s="215" t="str" cm="1">
        <f t="array" aca="1" ref="BQ37" ca="1">IF($B37="","",IF(ISBLANK(INDIRECT("R9.Web!D"&amp;SUM(18,38*33,18))),"",INDIRECT("R9.Web!D"&amp;SUM(18,38*33,18))))</f>
        <v>N/T</v>
      </c>
      <c r="BR37" s="215" t="str" cm="1">
        <f t="array" aca="1" ref="BR37" ca="1">IF($B37="","",IF(ISBLANK(INDIRECT("R9.Web!D"&amp;SUM(18,38*34,18))),"",INDIRECT("R9.Web!D"&amp;SUM(18,38*34,18))))</f>
        <v>N/D</v>
      </c>
      <c r="BS37" s="215" t="str" cm="1">
        <f t="array" aca="1" ref="BS37" ca="1">IF($B37="","",IF(ISBLANK(INDIRECT("R9.Web!D"&amp;SUM(18,38*35,18))),"",INDIRECT("R9.Web!D"&amp;SUM(18,38*35,18))))</f>
        <v>N/T</v>
      </c>
      <c r="BT37" s="215" t="str" cm="1">
        <f t="array" aca="1" ref="BT37" ca="1">IF($B37="","",IF(ISBLANK(INDIRECT("R9.Web!D"&amp;SUM(18,38*36,18))),"",INDIRECT("R9.Web!D"&amp;SUM(18,38*36,18))))</f>
        <v>N/D</v>
      </c>
      <c r="BU37" s="215" t="str" cm="1">
        <f t="array" aca="1" ref="BU37" ca="1">IF($B37="","",IF(ISBLANK(INDIRECT("R9.Web!D"&amp;SUM(18,38*37,18))),"",INDIRECT("R9.Web!D"&amp;SUM(18,38*37,18))))</f>
        <v>N/D</v>
      </c>
      <c r="BV37" s="215" t="str" cm="1">
        <f t="array" aca="1" ref="BV37" ca="1">IF($B37="","",IF(ISBLANK(INDIRECT("R9.Web!D"&amp;SUM(18,38*38,18))),"",INDIRECT("R9.Web!D"&amp;SUM(18,38*38,18))))</f>
        <v>N/D</v>
      </c>
      <c r="BW37" s="215" t="str" cm="1">
        <f t="array" aca="1" ref="BW37" ca="1">IF($B37="","",IF(ISBLANK(INDIRECT("R9.Web!D"&amp;SUM(18,38*39,18))),"",INDIRECT("R9.Web!D"&amp;SUM(18,38*39,18))))</f>
        <v>N/D</v>
      </c>
      <c r="BX37" s="215" t="str" cm="1">
        <f t="array" aca="1" ref="BX37" ca="1">IF($B37="","",IF(ISBLANK(INDIRECT("R9.Web!D"&amp;SUM(18,38*40,18))),"",INDIRECT("R9.Web!D"&amp;SUM(18,38*40,18))))</f>
        <v>N/D</v>
      </c>
      <c r="BY37" s="215" t="str" cm="1">
        <f t="array" aca="1" ref="BY37" ca="1">IF($B37="","",IF(ISBLANK(INDIRECT("R9.Web!D"&amp;SUM(18,38*41,18))),"",INDIRECT("R9.Web!D"&amp;SUM(18,38*41,18))))</f>
        <v>N/T</v>
      </c>
      <c r="BZ37" s="215" t="str" cm="1">
        <f t="array" aca="1" ref="BZ37" ca="1">IF($B37="","",IF(ISBLANK(INDIRECT("R9.Web!D"&amp;SUM(18,38*42,18))),"",INDIRECT("R9.Web!D"&amp;SUM(18,38*42,18))))</f>
        <v>N/T</v>
      </c>
      <c r="CA37" s="215" t="str" cm="1">
        <f t="array" aca="1" ref="CA37" ca="1">IF($B37="","",IF(ISBLANK(INDIRECT("R9.Web!D"&amp;SUM(18,38*43,18))),"",INDIRECT("R9.Web!D"&amp;SUM(18,38*43,18))))</f>
        <v>N/D</v>
      </c>
      <c r="CB37" s="215" t="str" cm="1">
        <f t="array" aca="1" ref="CB37" ca="1">IF($B37="","",IF(ISBLANK(INDIRECT("R9.Web!D"&amp;SUM(18,38*44,18))),"",INDIRECT("R9.Web!D"&amp;SUM(18,38*44,18))))</f>
        <v>N/T</v>
      </c>
      <c r="CC37" s="215" t="str" cm="1">
        <f t="array" aca="1" ref="CC37" ca="1">IF($B37="","",IF(ISBLANK(INDIRECT("R9.Web!D"&amp;SUM(18,38*45,18))),"",INDIRECT("R9.Web!D"&amp;SUM(18,38*45,18))))</f>
        <v>N/T</v>
      </c>
      <c r="CD37" s="215" t="str" cm="1">
        <f t="array" aca="1" ref="CD37" ca="1">IF($B37="","",IF(ISBLANK(INDIRECT("R9.Web!D"&amp;SUM(18,38*46,18))),"",INDIRECT("R9.Web!D"&amp;SUM(18,38*46,18))))</f>
        <v>N/T</v>
      </c>
      <c r="CE37" s="215" t="str" cm="1">
        <f t="array" aca="1" ref="CE37" ca="1">IF($B37="","",IF(ISBLANK(INDIRECT("R9.Web!D"&amp;SUM(18,38*47,18))),"",INDIRECT("R9.Web!D"&amp;SUM(18,38*47,18))))</f>
        <v>N/D</v>
      </c>
      <c r="CF37" s="215" t="str" cm="1">
        <f t="array" aca="1" ref="CF37" ca="1">IF($B37="","",IF(ISBLANK(INDIRECT("R9.Web!D"&amp;SUM(18,38*48,18))),"",INDIRECT("R9.Web!D"&amp;SUM(18,38*48,18))))</f>
        <v>N/T</v>
      </c>
      <c r="CG37" s="215" t="str" cm="1">
        <f t="array" aca="1" ref="CG37" ca="1">IF($B37="","",IF(ISBLANK(INDIRECT("R9.Web!D"&amp;SUM(18,38*49,18))),"",INDIRECT("R9.Web!D"&amp;SUM(18,38*49,18))))</f>
        <v>N/T</v>
      </c>
      <c r="CH37" s="215" t="str" cm="1">
        <f t="array" aca="1" ref="CH37" ca="1">IF($B37="","",IF(ISBLANK(INDIRECT("R11.Software!D"&amp;SUM(18,38*0,18))),"",INDIRECT("R11.Software!D"&amp;SUM(18,38*0,18))))</f>
        <v>N/T</v>
      </c>
      <c r="CI37" s="215" t="str" cm="1">
        <f t="array" aca="1" ref="CI37" ca="1">IF($B37="","",IF(ISBLANK(INDIRECT("R11.Software!D"&amp;SUM(18,38*1,18))),"",INDIRECT("R11.Software!D"&amp;SUM(18,38*1,18))))</f>
        <v>N/T</v>
      </c>
      <c r="CJ37" s="215" t="str" cm="1">
        <f t="array" aca="1" ref="CJ37" ca="1">IF($B37="","",IF(ISBLANK(INDIRECT("R11.Software!D"&amp;SUM(18,38*2,18))),"",INDIRECT("R11.Software!D"&amp;SUM(18,38*2,18))))</f>
        <v>N/T</v>
      </c>
      <c r="CK37" s="215" t="str" cm="1">
        <f t="array" aca="1" ref="CK37" ca="1">IF($B37="","",IF(ISBLANK(INDIRECT("R11.Software!D"&amp;SUM(18,38*3,18))),"",INDIRECT("R11.Software!D"&amp;SUM(18,38*3,18))))</f>
        <v>N/T</v>
      </c>
      <c r="CL37" s="215" t="str" cm="1">
        <f t="array" aca="1" ref="CL37" ca="1">IF($B37="","",IF(ISBLANK(INDIRECT("R11.Software!D"&amp;SUM(18,38*4,18))),"",INDIRECT("R11.Software!D"&amp;SUM(18,38*4,18))))</f>
        <v>N/T</v>
      </c>
      <c r="CM37" s="215" t="str" cm="1">
        <f t="array" aca="1" ref="CM37" ca="1">IF($B37="","",IF(ISBLANK(INDIRECT("R11.Software!D"&amp;SUM(18,38*5,18))),"",INDIRECT("R11.Software!D"&amp;SUM(18,38*5,18))))</f>
        <v>N/T</v>
      </c>
      <c r="CN37" s="215" t="str" cm="1">
        <f t="array" aca="1" ref="CN37" ca="1">IF($B37="","",IF(ISBLANK(INDIRECT("R12.ServiciosApoyo!D"&amp;SUM(18,38*0,18))),"",INDIRECT("R12.ServiciosApoyo!D"&amp;SUM(18,38*0,18))))</f>
        <v>N/T</v>
      </c>
      <c r="CO37" s="215" t="str" cm="1">
        <f t="array" aca="1" ref="CO37" ca="1">IF($B37="","",IF(ISBLANK(INDIRECT("R12.ServiciosApoyo!D"&amp;SUM(18,38*1,18))),"",INDIRECT("R12.ServiciosApoyo!D"&amp;SUM(18,38*1,18))))</f>
        <v>N/T</v>
      </c>
      <c r="CP37" s="215" t="str" cm="1">
        <f t="array" aca="1" ref="CP37" ca="1">IF($B37="","",IF(ISBLANK(INDIRECT("R12.ServiciosApoyo!D"&amp;SUM(18,38*2,18))),"",INDIRECT("R12.ServiciosApoyo!D"&amp;SUM(18,38*2,18))))</f>
        <v>N/T</v>
      </c>
      <c r="CQ37" s="215" t="str" cm="1">
        <f t="array" aca="1" ref="CQ37" ca="1">IF($B37="","",IF(ISBLANK(INDIRECT("R12.ServiciosApoyo!D"&amp;SUM(18,38*3,18))),"",INDIRECT("R12.ServiciosApoyo!D"&amp;SUM(18,38*3,18))))</f>
        <v>N/T</v>
      </c>
      <c r="CR37" s="215" t="str" cm="1">
        <f t="array" aca="1" ref="CR37" ca="1">IF($B37="","",IF(ISBLANK(INDIRECT("R12.ServiciosApoyo!D"&amp;SUM(18,38*4,18))),"",INDIRECT("R12.ServiciosApoyo!D"&amp;SUM(18,38*4,18))))</f>
        <v>N/T</v>
      </c>
      <c r="CU37" s="100"/>
      <c r="CV37" s="29"/>
      <c r="CW37" s="29"/>
      <c r="CX37" s="29"/>
    </row>
    <row r="38" spans="2:102" ht="20.25">
      <c r="B38" s="181" t="n" cm="1">
        <f t="array" ref="B38">IFERROR(INDEX('03.Muestra'!$B$8:$B$42,SMALL(IF("Página Web"='03.Muestra'!$D$8:$D$42,ROW('03.Muestra'!$B$8:$B$42)-MIN(ROW('03.Muestra'!$D$8:$D$42))+1,""),ROW()-19)),"")</f>
        <v>1.0</v>
      </c>
      <c r="C38" s="97" t="str" cm="1">
        <f t="array" ref="C38">IFERROR(INDEX('03.Muestra'!$C$8:$C$42,SMALL(IF("Página Web"='03.Muestra'!$D$8:$D$42,ROW('03.Muestra'!$C$8:$C$42)-MIN(ROW('03.Muestra'!$D$8:$D$42))+1,""),ROW()-19)),"")</f>
        <v>Home - PortCastelló</v>
      </c>
      <c r="D38" s="98" t="str" cm="1">
        <f t="array" ref="D38">IFERROR(INDEX('03.Muestra'!$F$8:$F$42,SMALL(IF("Página Web"='03.Muestra'!$D$8:$D$42,ROW('03.Muestra'!$F$8:$F$42)-MIN(ROW('03.Muestra'!$D$8:$D$42))+1,""),ROW()-19)),"")</f>
        <v>https://www.portcastello.com/</v>
      </c>
      <c r="E38" s="215" t="str" cm="1">
        <f t="array" aca="1" ref="E38" ca="1">IF($B38="","",IF(ISBLANK(INDIRECT("R5.Genéricos!D"&amp;SUM(18,38*0,19))),"",INDIRECT("R5.Genéricos!D"&amp;SUM(18,38*0,19))))</f>
        <v>N/T</v>
      </c>
      <c r="F38" s="215" t="str" cm="1">
        <f t="array" aca="1" ref="F38" ca="1">IF($B38="","",IF(ISBLANK(INDIRECT("R5.Genéricos!D"&amp;SUM(18,38*1,19))),"",INDIRECT("R5.Genéricos!D"&amp;SUM(18,38*1,19))))</f>
        <v>N/T</v>
      </c>
      <c r="G38" s="215" t="str" cm="1">
        <f t="array" aca="1" ref="G38" ca="1">IF($B38="","",IF(ISBLANK(INDIRECT("R5.Genéricos!D"&amp;SUM(18,38*2,19))),"",INDIRECT("R5.Genéricos!D"&amp;SUM(18,38*2,19))))</f>
        <v>N/T</v>
      </c>
      <c r="H38" s="215" t="str" cm="1">
        <f t="array" aca="1" ref="H38" ca="1">IF($B38="","",IF(ISBLANK(INDIRECT("R6.Voz!D"&amp;SUM(18,38*0,19))),"",INDIRECT("R6.Voz!D"&amp;SUM(18,38*0,19))))</f>
        <v>N/T</v>
      </c>
      <c r="I38" s="215" t="str" cm="1">
        <f t="array" aca="1" ref="I38" ca="1">IF($B38="","",IF(ISBLANK(INDIRECT("R6.Voz!D"&amp;SUM(18,38*1,19))),"",INDIRECT("R6.Voz!D"&amp;SUM(18,38*1,19))))</f>
        <v>N/T</v>
      </c>
      <c r="J38" s="215" t="str" cm="1">
        <f t="array" aca="1" ref="J38" ca="1">IF($B38="","",IF(ISBLANK(INDIRECT("R6.Voz!D"&amp;SUM(18,38*2,19))),"",INDIRECT("R6.Voz!D"&amp;SUM(18,38*2,19))))</f>
        <v>N/T</v>
      </c>
      <c r="K38" s="215" t="str" cm="1">
        <f t="array" aca="1" ref="K38" ca="1">IF($B38="","",IF(ISBLANK(INDIRECT("R6.Voz!D"&amp;SUM(18,38*3,19))),"",INDIRECT("R6.Voz!D"&amp;SUM(18,38*3,19))))</f>
        <v>N/T</v>
      </c>
      <c r="L38" s="215" t="str" cm="1">
        <f t="array" aca="1" ref="L38" ca="1">IF($B38="","",IF(ISBLANK(INDIRECT("R6.Voz!D"&amp;SUM(18,38*4,19))),"",INDIRECT("R6.Voz!D"&amp;SUM(18,38*4,19))))</f>
        <v>N/T</v>
      </c>
      <c r="M38" s="215" t="str" cm="1">
        <f t="array" aca="1" ref="M38" ca="1">IF($B38="","",IF(ISBLANK(INDIRECT("R6.Voz!D"&amp;SUM(18,38*5,19))),"",INDIRECT("R6.Voz!D"&amp;SUM(18,38*5,19))))</f>
        <v>N/T</v>
      </c>
      <c r="N38" s="215" t="str" cm="1">
        <f t="array" aca="1" ref="N38" ca="1">IF($B38="","",IF(ISBLANK(INDIRECT("R6.Voz!D"&amp;SUM(18,38*6,19))),"",INDIRECT("R6.Voz!D"&amp;SUM(18,38*6,19))))</f>
        <v>N/T</v>
      </c>
      <c r="O38" s="215" t="str" cm="1">
        <f t="array" aca="1" ref="O38" ca="1">IF($B38="","",IF(ISBLANK(INDIRECT("R6.Voz!D"&amp;SUM(18,38*7,19))),"",INDIRECT("R6.Voz!D"&amp;SUM(18,38*7,19))))</f>
        <v>N/T</v>
      </c>
      <c r="P38" s="215" t="str" cm="1">
        <f t="array" aca="1" ref="P38" ca="1">IF($B38="","",IF(ISBLANK(INDIRECT("R6.Voz!D"&amp;SUM(18,38*8,19))),"",INDIRECT("R6.Voz!D"&amp;SUM(18,38*8,19))))</f>
        <v>N/T</v>
      </c>
      <c r="Q38" s="215" t="str" cm="1">
        <f t="array" aca="1" ref="Q38" ca="1">IF($B38="","",IF(ISBLANK(INDIRECT("R6.Voz!D"&amp;SUM(18,38*9,19))),"",INDIRECT("R6.Voz!D"&amp;SUM(18,38*9,19))))</f>
        <v>N/T</v>
      </c>
      <c r="R38" s="215" t="str" cm="1">
        <f t="array" aca="1" ref="R38" ca="1">IF($B38="","",IF(ISBLANK(INDIRECT("R6.Voz!D"&amp;SUM(18,38*10,19))),"",INDIRECT("R6.Voz!D"&amp;SUM(18,38*10,19))))</f>
        <v>N/T</v>
      </c>
      <c r="S38" s="215" t="str" cm="1">
        <f t="array" aca="1" ref="S38" ca="1">IF($B38="","",IF(ISBLANK(INDIRECT("R6.Voz!D"&amp;SUM(18,38*11,19))),"",INDIRECT("R6.Voz!D"&amp;SUM(18,38*11,19))))</f>
        <v>N/T</v>
      </c>
      <c r="T38" s="215" t="str" cm="1">
        <f t="array" aca="1" ref="T38" ca="1">IF($B38="","",IF(ISBLANK(INDIRECT("R6.Voz!D"&amp;SUM(18,38*12,19))),"",INDIRECT("R6.Voz!D"&amp;SUM(18,38*12,19))))</f>
        <v>N/T</v>
      </c>
      <c r="U38" s="215" t="str" cm="1">
        <f t="array" aca="1" ref="U38" ca="1">IF($B38="","",IF(ISBLANK(INDIRECT("R6.Voz!D"&amp;SUM(18,38*13,19))),"",INDIRECT("R6.Voz!D"&amp;SUM(18,38*13,19))))</f>
        <v>N/T</v>
      </c>
      <c r="V38" s="215" t="str" cm="1">
        <f t="array" aca="1" ref="V38" ca="1">IF($B38="","",IF(ISBLANK(INDIRECT("R6.Voz!D"&amp;SUM(18,38*14,19))),"",INDIRECT("R6.Voz!D"&amp;SUM(18,38*14,19))))</f>
        <v>N/T</v>
      </c>
      <c r="W38" s="215" t="str" cm="1">
        <f t="array" aca="1" ref="W38" ca="1">IF($B38="","",IF(ISBLANK(INDIRECT("R6.Voz!D"&amp;SUM(18,38*15,19))),"",INDIRECT("R6.Voz!D"&amp;SUM(18,38*15,19))))</f>
        <v>N/T</v>
      </c>
      <c r="X38" s="215" t="str" cm="1">
        <f t="array" aca="1" ref="X38" ca="1">IF($B38="","",IF(ISBLANK(INDIRECT("R6.Voz!D"&amp;SUM(18,38*16,19))),"",INDIRECT("R6.Voz!D"&amp;SUM(18,38*16,19))))</f>
        <v>N/T</v>
      </c>
      <c r="Y38" s="215" t="str" cm="1">
        <f t="array" aca="1" ref="Y38" ca="1">IF($B38="","",IF(ISBLANK(INDIRECT("R6.Voz!D"&amp;SUM(18,38*17,19))),"",INDIRECT("R6.Voz!D"&amp;SUM(18,38*17,19))))</f>
        <v>N/T</v>
      </c>
      <c r="Z38" s="215" t="str" cm="1">
        <f t="array" aca="1" ref="Z38" ca="1">IF($B38="","",IF(ISBLANK(INDIRECT("R6.Voz!D"&amp;SUM(18,38*18,19))),"",INDIRECT("R6.Voz!D"&amp;SUM(18,38*18,19))))</f>
        <v>N/T</v>
      </c>
      <c r="AA38" s="215" t="str" cm="1">
        <f t="array" aca="1" ref="AA38" ca="1">IF($B38="","",IF(ISBLANK(INDIRECT("R7.Video!D"&amp;SUM(18,38*0,19))),"",INDIRECT("R7.Video!D"&amp;SUM(18,38*0,19))))</f>
        <v>N/T</v>
      </c>
      <c r="AB38" s="215" t="str" cm="1">
        <f t="array" aca="1" ref="AB38" ca="1">IF($B38="","",IF(ISBLANK(INDIRECT("R7.Video!D"&amp;SUM(18,38*1,19))),"",INDIRECT("R7.Video!D"&amp;SUM(18,38*1,19))))</f>
        <v>N/T</v>
      </c>
      <c r="AC38" s="215" t="str" cm="1">
        <f t="array" aca="1" ref="AC38" ca="1">IF($B38="","",IF(ISBLANK(INDIRECT("R7.Video!D"&amp;SUM(18,38*2,19))),"",INDIRECT("R7.Video!D"&amp;SUM(18,38*2,19))))</f>
        <v>N/T</v>
      </c>
      <c r="AD38" s="215" t="str" cm="1">
        <f t="array" aca="1" ref="AD38" ca="1">IF($B38="","",IF(ISBLANK(INDIRECT("R7.Video!D"&amp;SUM(18,38*3,19))),"",INDIRECT("R7.Video!D"&amp;SUM(18,38*3,19))))</f>
        <v>N/T</v>
      </c>
      <c r="AE38" s="215" t="str" cm="1">
        <f t="array" aca="1" ref="AE38" ca="1">IF($B38="","",IF(ISBLANK(INDIRECT("R7.Video!D"&amp;SUM(18,38*4,19))),"",INDIRECT("R7.Video!D"&amp;SUM(18,38*4,19))))</f>
        <v>N/T</v>
      </c>
      <c r="AF38" s="215" t="str" cm="1">
        <f t="array" aca="1" ref="AF38" ca="1">IF($B38="","",IF(ISBLANK(INDIRECT("R7.Video!D"&amp;SUM(18,38*5,19))),"",INDIRECT("R7.Video!D"&amp;SUM(18,38*5,19))))</f>
        <v>N/T</v>
      </c>
      <c r="AG38" s="215" t="str" cm="1">
        <f t="array" aca="1" ref="AG38" ca="1">IF($B38="","",IF(ISBLANK(INDIRECT("R7.Video!D"&amp;SUM(18,38*6,19))),"",INDIRECT("R7.Video!D"&amp;SUM(18,38*6,19))))</f>
        <v>N/T</v>
      </c>
      <c r="AH38" s="215" t="str" cm="1">
        <f t="array" aca="1" ref="AH38" ca="1">IF($B38="","",IF(ISBLANK(INDIRECT("R7.Video!D"&amp;SUM(18,38*7,19))),"",INDIRECT("R7.Video!D"&amp;SUM(18,38*7,19))))</f>
        <v>N/T</v>
      </c>
      <c r="AI38" s="215" t="str" cm="1">
        <f t="array" aca="1" ref="AI38" ca="1">IF($B38="","",IF(ISBLANK(INDIRECT("R7.Video!D"&amp;SUM(18,38*8,19))),"",INDIRECT("R7.Video!D"&amp;SUM(18,38*8,19))))</f>
        <v>N/T</v>
      </c>
      <c r="AJ38" s="215" t="str" cm="1">
        <f t="array" aca="1" ref="AJ38" ca="1">IF($B38="","",IF(ISBLANK(INDIRECT("R9.Web!D"&amp;SUM(18,38*0,19))),"",INDIRECT("R9.Web!D"&amp;SUM(18,38*0,19))))</f>
        <v>N/D</v>
      </c>
      <c r="AK38" s="215" t="str" cm="1">
        <f t="array" aca="1" ref="AK38" ca="1">IF($B38="","",IF(ISBLANK(INDIRECT("R9.Web!D"&amp;SUM(18,38*1,19))),"",INDIRECT("R9.Web!D"&amp;SUM(18,38*1,19))))</f>
        <v>N/T</v>
      </c>
      <c r="AL38" s="215" t="str" cm="1">
        <f t="array" aca="1" ref="AL38" ca="1">IF($B38="","",IF(ISBLANK(INDIRECT("R9.Web!D"&amp;SUM(18,38*2,19))),"",INDIRECT("R9.Web!D"&amp;SUM(18,38*2,19))))</f>
        <v>N/T</v>
      </c>
      <c r="AM38" s="215" t="str" cm="1">
        <f t="array" aca="1" ref="AM38" ca="1">IF($B38="","",IF(ISBLANK(INDIRECT("R9.Web!D"&amp;SUM(18,38*3,19))),"",INDIRECT("R9.Web!D"&amp;SUM(18,38*3,19))))</f>
        <v>N/T</v>
      </c>
      <c r="AN38" s="215" t="str" cm="1">
        <f t="array" aca="1" ref="AN38" ca="1">IF($B38="","",IF(ISBLANK(INDIRECT("R9.Web!D"&amp;SUM(18,38*4,19))),"",INDIRECT("R9.Web!D"&amp;SUM(18,38*4,19))))</f>
        <v>N/T</v>
      </c>
      <c r="AO38" s="215" t="str" cm="1">
        <f t="array" aca="1" ref="AO38" ca="1">IF($B38="","",IF(ISBLANK(INDIRECT("R9.Web!D"&amp;SUM(18,38*5,19))),"",INDIRECT("R9.Web!D"&amp;SUM(18,38*5,19))))</f>
        <v>N/D</v>
      </c>
      <c r="AP38" s="215" t="str" cm="1">
        <f t="array" aca="1" ref="AP38" ca="1">IF($B38="","",IF(ISBLANK(INDIRECT("R9.Web!D"&amp;SUM(18,38*6,19))),"",INDIRECT("R9.Web!D"&amp;SUM(18,38*6,19))))</f>
        <v>N/T</v>
      </c>
      <c r="AQ38" s="215" t="str" cm="1">
        <f t="array" aca="1" ref="AQ38" ca="1">IF($B38="","",IF(ISBLANK(INDIRECT("R9.Web!D"&amp;SUM(18,38*7,19))),"",INDIRECT("R9.Web!D"&amp;SUM(18,38*7,19))))</f>
        <v>N/T</v>
      </c>
      <c r="AR38" s="215" t="str" cm="1">
        <f t="array" aca="1" ref="AR38" ca="1">IF($B38="","",IF(ISBLANK(INDIRECT("R9.Web!D"&amp;SUM(18,38*8,19))),"",INDIRECT("R9.Web!D"&amp;SUM(18,38*8,19))))</f>
        <v>N/D</v>
      </c>
      <c r="AS38" s="215" t="str" cm="1">
        <f t="array" aca="1" ref="AS38" ca="1">IF($B38="","",IF(ISBLANK(INDIRECT("R9.Web!D"&amp;SUM(18,38*9,19))),"",INDIRECT("R9.Web!D"&amp;SUM(18,38*9,19))))</f>
        <v>N/D</v>
      </c>
      <c r="AT38" s="215" t="str" cm="1">
        <f t="array" aca="1" ref="AT38" ca="1">IF($B38="","",IF(ISBLANK(INDIRECT("R9.Web!D"&amp;SUM(18,38*10,19))),"",INDIRECT("R9.Web!D"&amp;SUM(18,38*10,19))))</f>
        <v>N/T</v>
      </c>
      <c r="AU38" s="215" t="str" cm="1">
        <f t="array" aca="1" ref="AU38" ca="1">IF($B38="","",IF(ISBLANK(INDIRECT("R9.Web!D"&amp;SUM(18,38*11,19))),"",INDIRECT("R9.Web!D"&amp;SUM(18,38*11,19))))</f>
        <v>N/T</v>
      </c>
      <c r="AV38" s="215" t="str" cm="1">
        <f t="array" aca="1" ref="AV38" ca="1">IF($B38="","",IF(ISBLANK(INDIRECT("R9.Web!D"&amp;SUM(18,38*12,19))),"",INDIRECT("R9.Web!D"&amp;SUM(18,38*12,19))))</f>
        <v>N/D</v>
      </c>
      <c r="AW38" s="215" t="str" cm="1">
        <f t="array" aca="1" ref="AW38" ca="1">IF($B38="","",IF(ISBLANK(INDIRECT("R9.Web!D"&amp;SUM(18,38*13,19))),"",INDIRECT("R9.Web!D"&amp;SUM(18,38*13,19))))</f>
        <v>N/T</v>
      </c>
      <c r="AX38" s="215" t="str" cm="1">
        <f t="array" aca="1" ref="AX38" ca="1">IF($B38="","",IF(ISBLANK(INDIRECT("R9.Web!D"&amp;SUM(18,38*14,19))),"",INDIRECT("R9.Web!D"&amp;SUM(18,38*14,19))))</f>
        <v>N/T</v>
      </c>
      <c r="AY38" s="215" t="str" cm="1">
        <f t="array" aca="1" ref="AY38" ca="1">IF($B38="","",IF(ISBLANK(INDIRECT("R9.Web!D"&amp;SUM(18,38*15,19))),"",INDIRECT("R9.Web!D"&amp;SUM(18,38*15,19))))</f>
        <v>N/D</v>
      </c>
      <c r="AZ38" s="215" t="str" cm="1">
        <f t="array" aca="1" ref="AZ38" ca="1">IF($B38="","",IF(ISBLANK(INDIRECT("R9.Web!D"&amp;SUM(18,38*16,19))),"",INDIRECT("R9.Web!D"&amp;SUM(18,38*16,19))))</f>
        <v>N/T</v>
      </c>
      <c r="BA38" s="215" t="str" cm="1">
        <f t="array" aca="1" ref="BA38" ca="1">IF($B38="","",IF(ISBLANK(INDIRECT("R9.Web!D"&amp;SUM(18,38*17,19))),"",INDIRECT("R9.Web!D"&amp;SUM(18,38*17,19))))</f>
        <v>N/D</v>
      </c>
      <c r="BB38" s="215" t="str" cm="1">
        <f t="array" aca="1" ref="BB38" ca="1">IF($B38="","",IF(ISBLANK(INDIRECT("R9.Web!D"&amp;SUM(18,38*18,19))),"",INDIRECT("R9.Web!D"&amp;SUM(18,38*18,19))))</f>
        <v>N/T</v>
      </c>
      <c r="BC38" s="215" t="str" cm="1">
        <f t="array" aca="1" ref="BC38" ca="1">IF($B38="","",IF(ISBLANK(INDIRECT("R9.Web!D"&amp;SUM(18,38*19,19))),"",INDIRECT("R9.Web!D"&amp;SUM(18,38*19,19))))</f>
        <v>N/D</v>
      </c>
      <c r="BD38" s="215" t="str" cm="1">
        <f t="array" aca="1" ref="BD38" ca="1">IF($B38="","",IF(ISBLANK(INDIRECT("R9.Web!D"&amp;SUM(18,38*20,19))),"",INDIRECT("R9.Web!D"&amp;SUM(18,38*20,19))))</f>
        <v>N/T</v>
      </c>
      <c r="BE38" s="215" t="str" cm="1">
        <f t="array" aca="1" ref="BE38" ca="1">IF($B38="","",IF(ISBLANK(INDIRECT("R9.Web!D"&amp;SUM(18,38*21,19))),"",INDIRECT("R9.Web!D"&amp;SUM(18,38*21,19))))</f>
        <v>N/T</v>
      </c>
      <c r="BF38" s="215" t="str" cm="1">
        <f t="array" aca="1" ref="BF38" ca="1">IF($B38="","",IF(ISBLANK(INDIRECT("R9.Web!D"&amp;SUM(18,38*22,19))),"",INDIRECT("R9.Web!D"&amp;SUM(18,38*22,19))))</f>
        <v>N/D</v>
      </c>
      <c r="BG38" s="215" t="str" cm="1">
        <f t="array" aca="1" ref="BG38" ca="1">IF($B38="","",IF(ISBLANK(INDIRECT("R9.Web!D"&amp;SUM(18,38*23,19))),"",INDIRECT("R9.Web!D"&amp;SUM(18,38*23,19))))</f>
        <v>N/D</v>
      </c>
      <c r="BH38" s="215" t="str" cm="1">
        <f t="array" aca="1" ref="BH38" ca="1">IF($B38="","",IF(ISBLANK(INDIRECT("R9.Web!D"&amp;SUM(18,38*24,19))),"",INDIRECT("R9.Web!D"&amp;SUM(18,38*24,19))))</f>
        <v>N/T</v>
      </c>
      <c r="BI38" s="215" t="str" cm="1">
        <f t="array" aca="1" ref="BI38" ca="1">IF($B38="","",IF(ISBLANK(INDIRECT("R9.Web!D"&amp;SUM(18,38*25,19))),"",INDIRECT("R9.Web!D"&amp;SUM(18,38*25,19))))</f>
        <v>N/D</v>
      </c>
      <c r="BJ38" s="215" t="str" cm="1">
        <f t="array" aca="1" ref="BJ38" ca="1">IF($B38="","",IF(ISBLANK(INDIRECT("R9.Web!D"&amp;SUM(18,38*26,19))),"",INDIRECT("R9.Web!D"&amp;SUM(18,38*26,19))))</f>
        <v>N/D</v>
      </c>
      <c r="BK38" s="215" t="str" cm="1">
        <f t="array" aca="1" ref="BK38" ca="1">IF($B38="","",IF(ISBLANK(INDIRECT("R9.Web!D"&amp;SUM(18,38*27,19))),"",INDIRECT("R9.Web!D"&amp;SUM(18,38*27,19))))</f>
        <v>N/D</v>
      </c>
      <c r="BL38" s="215" t="str" cm="1">
        <f t="array" aca="1" ref="BL38" ca="1">IF($B38="","",IF(ISBLANK(INDIRECT("R9.Web!D"&amp;SUM(18,38*28,19))),"",INDIRECT("R9.Web!D"&amp;SUM(18,38*28,19))))</f>
        <v>N/D</v>
      </c>
      <c r="BM38" s="215" t="str" cm="1">
        <f t="array" aca="1" ref="BM38" ca="1">IF($B38="","",IF(ISBLANK(INDIRECT("R9.Web!D"&amp;SUM(18,38*29,19))),"",INDIRECT("R9.Web!D"&amp;SUM(18,38*29,19))))</f>
        <v>N/D</v>
      </c>
      <c r="BN38" s="215" t="str" cm="1">
        <f t="array" aca="1" ref="BN38" ca="1">IF($B38="","",IF(ISBLANK(INDIRECT("R9.Web!D"&amp;SUM(18,38*30,19))),"",INDIRECT("R9.Web!D"&amp;SUM(18,38*30,19))))</f>
        <v>N/T</v>
      </c>
      <c r="BO38" s="215" t="str" cm="1">
        <f t="array" aca="1" ref="BO38" ca="1">IF($B38="","",IF(ISBLANK(INDIRECT("R9.Web!D"&amp;SUM(18,38*31,19))),"",INDIRECT("R9.Web!D"&amp;SUM(18,38*31,19))))</f>
        <v>Falla</v>
      </c>
      <c r="BP38" s="215" t="str" cm="1">
        <f t="array" aca="1" ref="BP38" ca="1">IF($B38="","",IF(ISBLANK(INDIRECT("R9.Web!D"&amp;SUM(18,38*32,19))),"",INDIRECT("R9.Web!D"&amp;SUM(18,38*32,19))))</f>
        <v>N/T</v>
      </c>
      <c r="BQ38" s="215" t="str" cm="1">
        <f t="array" aca="1" ref="BQ38" ca="1">IF($B38="","",IF(ISBLANK(INDIRECT("R9.Web!D"&amp;SUM(18,38*33,19))),"",INDIRECT("R9.Web!D"&amp;SUM(18,38*33,19))))</f>
        <v>N/T</v>
      </c>
      <c r="BR38" s="215" t="str" cm="1">
        <f t="array" aca="1" ref="BR38" ca="1">IF($B38="","",IF(ISBLANK(INDIRECT("R9.Web!D"&amp;SUM(18,38*34,19))),"",INDIRECT("R9.Web!D"&amp;SUM(18,38*34,19))))</f>
        <v>N/D</v>
      </c>
      <c r="BS38" s="215" t="str" cm="1">
        <f t="array" aca="1" ref="BS38" ca="1">IF($B38="","",IF(ISBLANK(INDIRECT("R9.Web!D"&amp;SUM(18,38*35,19))),"",INDIRECT("R9.Web!D"&amp;SUM(18,38*35,19))))</f>
        <v>N/T</v>
      </c>
      <c r="BT38" s="215" t="str" cm="1">
        <f t="array" aca="1" ref="BT38" ca="1">IF($B38="","",IF(ISBLANK(INDIRECT("R9.Web!D"&amp;SUM(18,38*36,19))),"",INDIRECT("R9.Web!D"&amp;SUM(18,38*36,19))))</f>
        <v>N/D</v>
      </c>
      <c r="BU38" s="215" t="str" cm="1">
        <f t="array" aca="1" ref="BU38" ca="1">IF($B38="","",IF(ISBLANK(INDIRECT("R9.Web!D"&amp;SUM(18,38*37,19))),"",INDIRECT("R9.Web!D"&amp;SUM(18,38*37,19))))</f>
        <v>N/D</v>
      </c>
      <c r="BV38" s="215" t="str" cm="1">
        <f t="array" aca="1" ref="BV38" ca="1">IF($B38="","",IF(ISBLANK(INDIRECT("R9.Web!D"&amp;SUM(18,38*38,19))),"",INDIRECT("R9.Web!D"&amp;SUM(18,38*38,19))))</f>
        <v>N/D</v>
      </c>
      <c r="BW38" s="215" t="str" cm="1">
        <f t="array" aca="1" ref="BW38" ca="1">IF($B38="","",IF(ISBLANK(INDIRECT("R9.Web!D"&amp;SUM(18,38*39,19))),"",INDIRECT("R9.Web!D"&amp;SUM(18,38*39,19))))</f>
        <v>N/D</v>
      </c>
      <c r="BX38" s="215" t="str" cm="1">
        <f t="array" aca="1" ref="BX38" ca="1">IF($B38="","",IF(ISBLANK(INDIRECT("R9.Web!D"&amp;SUM(18,38*40,19))),"",INDIRECT("R9.Web!D"&amp;SUM(18,38*40,19))))</f>
        <v>N/D</v>
      </c>
      <c r="BY38" s="215" t="str" cm="1">
        <f t="array" aca="1" ref="BY38" ca="1">IF($B38="","",IF(ISBLANK(INDIRECT("R9.Web!D"&amp;SUM(18,38*41,19))),"",INDIRECT("R9.Web!D"&amp;SUM(18,38*41,19))))</f>
        <v>N/T</v>
      </c>
      <c r="BZ38" s="215" t="str" cm="1">
        <f t="array" aca="1" ref="BZ38" ca="1">IF($B38="","",IF(ISBLANK(INDIRECT("R9.Web!D"&amp;SUM(18,38*42,19))),"",INDIRECT("R9.Web!D"&amp;SUM(18,38*42,19))))</f>
        <v>N/T</v>
      </c>
      <c r="CA38" s="215" t="str" cm="1">
        <f t="array" aca="1" ref="CA38" ca="1">IF($B38="","",IF(ISBLANK(INDIRECT("R9.Web!D"&amp;SUM(18,38*43,19))),"",INDIRECT("R9.Web!D"&amp;SUM(18,38*43,19))))</f>
        <v>N/D</v>
      </c>
      <c r="CB38" s="215" t="str" cm="1">
        <f t="array" aca="1" ref="CB38" ca="1">IF($B38="","",IF(ISBLANK(INDIRECT("R9.Web!D"&amp;SUM(18,38*44,19))),"",INDIRECT("R9.Web!D"&amp;SUM(18,38*44,19))))</f>
        <v>N/T</v>
      </c>
      <c r="CC38" s="215" t="str" cm="1">
        <f t="array" aca="1" ref="CC38" ca="1">IF($B38="","",IF(ISBLANK(INDIRECT("R9.Web!D"&amp;SUM(18,38*45,19))),"",INDIRECT("R9.Web!D"&amp;SUM(18,38*45,19))))</f>
        <v>N/T</v>
      </c>
      <c r="CD38" s="215" t="str" cm="1">
        <f t="array" aca="1" ref="CD38" ca="1">IF($B38="","",IF(ISBLANK(INDIRECT("R9.Web!D"&amp;SUM(18,38*46,19))),"",INDIRECT("R9.Web!D"&amp;SUM(18,38*46,19))))</f>
        <v>N/T</v>
      </c>
      <c r="CE38" s="215" t="str" cm="1">
        <f t="array" aca="1" ref="CE38" ca="1">IF($B38="","",IF(ISBLANK(INDIRECT("R9.Web!D"&amp;SUM(18,38*47,19))),"",INDIRECT("R9.Web!D"&amp;SUM(18,38*47,19))))</f>
        <v>N/D</v>
      </c>
      <c r="CF38" s="215" t="str" cm="1">
        <f t="array" aca="1" ref="CF38" ca="1">IF($B38="","",IF(ISBLANK(INDIRECT("R9.Web!D"&amp;SUM(18,38*48,19))),"",INDIRECT("R9.Web!D"&amp;SUM(18,38*48,19))))</f>
        <v>N/T</v>
      </c>
      <c r="CG38" s="215" t="str" cm="1">
        <f t="array" aca="1" ref="CG38" ca="1">IF($B38="","",IF(ISBLANK(INDIRECT("R9.Web!D"&amp;SUM(18,38*49,19))),"",INDIRECT("R9.Web!D"&amp;SUM(18,38*49,19))))</f>
        <v>N/T</v>
      </c>
      <c r="CH38" s="215" t="str" cm="1">
        <f t="array" aca="1" ref="CH38" ca="1">IF($B38="","",IF(ISBLANK(INDIRECT("R11.Software!D"&amp;SUM(18,38*0,19))),"",INDIRECT("R11.Software!D"&amp;SUM(18,38*0,19))))</f>
        <v>N/T</v>
      </c>
      <c r="CI38" s="215" t="str" cm="1">
        <f t="array" aca="1" ref="CI38" ca="1">IF($B38="","",IF(ISBLANK(INDIRECT("R11.Software!D"&amp;SUM(18,38*1,19))),"",INDIRECT("R11.Software!D"&amp;SUM(18,38*1,19))))</f>
        <v>N/T</v>
      </c>
      <c r="CJ38" s="215" t="str" cm="1">
        <f t="array" aca="1" ref="CJ38" ca="1">IF($B38="","",IF(ISBLANK(INDIRECT("R11.Software!D"&amp;SUM(18,38*2,19))),"",INDIRECT("R11.Software!D"&amp;SUM(18,38*2,19))))</f>
        <v>N/T</v>
      </c>
      <c r="CK38" s="215" t="str" cm="1">
        <f t="array" aca="1" ref="CK38" ca="1">IF($B38="","",IF(ISBLANK(INDIRECT("R11.Software!D"&amp;SUM(18,38*3,19))),"",INDIRECT("R11.Software!D"&amp;SUM(18,38*3,19))))</f>
        <v>N/T</v>
      </c>
      <c r="CL38" s="215" t="str" cm="1">
        <f t="array" aca="1" ref="CL38" ca="1">IF($B38="","",IF(ISBLANK(INDIRECT("R11.Software!D"&amp;SUM(18,38*4,19))),"",INDIRECT("R11.Software!D"&amp;SUM(18,38*4,19))))</f>
        <v>N/T</v>
      </c>
      <c r="CM38" s="215" t="str" cm="1">
        <f t="array" aca="1" ref="CM38" ca="1">IF($B38="","",IF(ISBLANK(INDIRECT("R11.Software!D"&amp;SUM(18,38*5,19))),"",INDIRECT("R11.Software!D"&amp;SUM(18,38*5,19))))</f>
        <v>N/T</v>
      </c>
      <c r="CN38" s="215" t="str" cm="1">
        <f t="array" aca="1" ref="CN38" ca="1">IF($B38="","",IF(ISBLANK(INDIRECT("R12.ServiciosApoyo!D"&amp;SUM(18,38*0,19))),"",INDIRECT("R12.ServiciosApoyo!D"&amp;SUM(18,38*0,19))))</f>
        <v>N/T</v>
      </c>
      <c r="CO38" s="215" t="str" cm="1">
        <f t="array" aca="1" ref="CO38" ca="1">IF($B38="","",IF(ISBLANK(INDIRECT("R12.ServiciosApoyo!D"&amp;SUM(18,38*1,19))),"",INDIRECT("R12.ServiciosApoyo!D"&amp;SUM(18,38*1,19))))</f>
        <v>N/T</v>
      </c>
      <c r="CP38" s="215" t="str" cm="1">
        <f t="array" aca="1" ref="CP38" ca="1">IF($B38="","",IF(ISBLANK(INDIRECT("R12.ServiciosApoyo!D"&amp;SUM(18,38*2,19))),"",INDIRECT("R12.ServiciosApoyo!D"&amp;SUM(18,38*2,19))))</f>
        <v>N/T</v>
      </c>
      <c r="CQ38" s="215" t="str" cm="1">
        <f t="array" aca="1" ref="CQ38" ca="1">IF($B38="","",IF(ISBLANK(INDIRECT("R12.ServiciosApoyo!D"&amp;SUM(18,38*3,19))),"",INDIRECT("R12.ServiciosApoyo!D"&amp;SUM(18,38*3,19))))</f>
        <v>N/T</v>
      </c>
      <c r="CR38" s="215" t="str" cm="1">
        <f t="array" aca="1" ref="CR38" ca="1">IF($B38="","",IF(ISBLANK(INDIRECT("R12.ServiciosApoyo!D"&amp;SUM(18,38*4,19))),"",INDIRECT("R12.ServiciosApoyo!D"&amp;SUM(18,38*4,19))))</f>
        <v>N/T</v>
      </c>
      <c r="CU38" s="100"/>
      <c r="CV38" s="29"/>
      <c r="CW38" s="29"/>
      <c r="CX38" s="29"/>
    </row>
    <row r="39" spans="2:102" ht="20.25">
      <c r="B39" s="181" t="n" cm="1">
        <f t="array" ref="B39">IFERROR(INDEX('03.Muestra'!$B$8:$B$42,SMALL(IF("Página Web"='03.Muestra'!$D$8:$D$42,ROW('03.Muestra'!$B$8:$B$42)-MIN(ROW('03.Muestra'!$D$8:$D$42))+1,""),ROW()-19)),"")</f>
        <v>1.0</v>
      </c>
      <c r="C39" s="97" t="str" cm="1">
        <f t="array" ref="C39">IFERROR(INDEX('03.Muestra'!$C$8:$C$42,SMALL(IF("Página Web"='03.Muestra'!$D$8:$D$42,ROW('03.Muestra'!$C$8:$C$42)-MIN(ROW('03.Muestra'!$D$8:$D$42))+1,""),ROW()-19)),"")</f>
        <v>Home - PortCastelló</v>
      </c>
      <c r="D39" s="98" t="str" cm="1">
        <f t="array" ref="D39">IFERROR(INDEX('03.Muestra'!$F$8:$F$42,SMALL(IF("Página Web"='03.Muestra'!$D$8:$D$42,ROW('03.Muestra'!$F$8:$F$42)-MIN(ROW('03.Muestra'!$D$8:$D$42))+1,""),ROW()-19)),"")</f>
        <v>https://www.portcastello.com/</v>
      </c>
      <c r="E39" s="215" t="str" cm="1">
        <f t="array" aca="1" ref="E39" ca="1">IF($B39="","",IF(ISBLANK(INDIRECT("R5.Genéricos!D"&amp;SUM(18,38*0,20))),"",INDIRECT("R5.Genéricos!D"&amp;SUM(18,38*0,20))))</f>
        <v>N/T</v>
      </c>
      <c r="F39" s="215" t="str" cm="1">
        <f t="array" aca="1" ref="F39" ca="1">IF($B39="","",IF(ISBLANK(INDIRECT("R5.Genéricos!D"&amp;SUM(18,38*1,20))),"",INDIRECT("R5.Genéricos!D"&amp;SUM(18,38*1,20))))</f>
        <v>N/T</v>
      </c>
      <c r="G39" s="215" t="str" cm="1">
        <f t="array" aca="1" ref="G39" ca="1">IF($B39="","",IF(ISBLANK(INDIRECT("R5.Genéricos!D"&amp;SUM(18,38*2,20))),"",INDIRECT("R5.Genéricos!D"&amp;SUM(18,38*2,20))))</f>
        <v>N/T</v>
      </c>
      <c r="H39" s="215" t="str" cm="1">
        <f t="array" aca="1" ref="H39" ca="1">IF($B39="","",IF(ISBLANK(INDIRECT("R6.Voz!D"&amp;SUM(18,38*0,20))),"",INDIRECT("R6.Voz!D"&amp;SUM(18,38*0,20))))</f>
        <v>N/T</v>
      </c>
      <c r="I39" s="215" t="str" cm="1">
        <f t="array" aca="1" ref="I39" ca="1">IF($B39="","",IF(ISBLANK(INDIRECT("R6.Voz!D"&amp;SUM(18,38*1,20))),"",INDIRECT("R6.Voz!D"&amp;SUM(18,38*1,20))))</f>
        <v>N/T</v>
      </c>
      <c r="J39" s="215" t="str" cm="1">
        <f t="array" aca="1" ref="J39" ca="1">IF($B39="","",IF(ISBLANK(INDIRECT("R6.Voz!D"&amp;SUM(18,38*2,20))),"",INDIRECT("R6.Voz!D"&amp;SUM(18,38*2,20))))</f>
        <v>N/T</v>
      </c>
      <c r="K39" s="215" t="str" cm="1">
        <f t="array" aca="1" ref="K39" ca="1">IF($B39="","",IF(ISBLANK(INDIRECT("R6.Voz!D"&amp;SUM(18,38*3,20))),"",INDIRECT("R6.Voz!D"&amp;SUM(18,38*3,20))))</f>
        <v>N/T</v>
      </c>
      <c r="L39" s="215" t="str" cm="1">
        <f t="array" aca="1" ref="L39" ca="1">IF($B39="","",IF(ISBLANK(INDIRECT("R6.Voz!D"&amp;SUM(18,38*4,20))),"",INDIRECT("R6.Voz!D"&amp;SUM(18,38*4,20))))</f>
        <v>N/T</v>
      </c>
      <c r="M39" s="215" t="str" cm="1">
        <f t="array" aca="1" ref="M39" ca="1">IF($B39="","",IF(ISBLANK(INDIRECT("R6.Voz!D"&amp;SUM(18,38*5,20))),"",INDIRECT("R6.Voz!D"&amp;SUM(18,38*5,20))))</f>
        <v>N/T</v>
      </c>
      <c r="N39" s="215" t="str" cm="1">
        <f t="array" aca="1" ref="N39" ca="1">IF($B39="","",IF(ISBLANK(INDIRECT("R6.Voz!D"&amp;SUM(18,38*6,20))),"",INDIRECT("R6.Voz!D"&amp;SUM(18,38*6,20))))</f>
        <v>N/T</v>
      </c>
      <c r="O39" s="215" t="str" cm="1">
        <f t="array" aca="1" ref="O39" ca="1">IF($B39="","",IF(ISBLANK(INDIRECT("R6.Voz!D"&amp;SUM(18,38*7,20))),"",INDIRECT("R6.Voz!D"&amp;SUM(18,38*7,20))))</f>
        <v>N/T</v>
      </c>
      <c r="P39" s="215" t="str" cm="1">
        <f t="array" aca="1" ref="P39" ca="1">IF($B39="","",IF(ISBLANK(INDIRECT("R6.Voz!D"&amp;SUM(18,38*8,20))),"",INDIRECT("R6.Voz!D"&amp;SUM(18,38*8,20))))</f>
        <v>N/T</v>
      </c>
      <c r="Q39" s="215" t="str" cm="1">
        <f t="array" aca="1" ref="Q39" ca="1">IF($B39="","",IF(ISBLANK(INDIRECT("R6.Voz!D"&amp;SUM(18,38*9,20))),"",INDIRECT("R6.Voz!D"&amp;SUM(18,38*9,20))))</f>
        <v>N/T</v>
      </c>
      <c r="R39" s="215" t="str" cm="1">
        <f t="array" aca="1" ref="R39" ca="1">IF($B39="","",IF(ISBLANK(INDIRECT("R6.Voz!D"&amp;SUM(18,38*10,20))),"",INDIRECT("R6.Voz!D"&amp;SUM(18,38*10,20))))</f>
        <v>N/T</v>
      </c>
      <c r="S39" s="215" t="str" cm="1">
        <f t="array" aca="1" ref="S39" ca="1">IF($B39="","",IF(ISBLANK(INDIRECT("R6.Voz!D"&amp;SUM(18,38*11,20))),"",INDIRECT("R6.Voz!D"&amp;SUM(18,38*11,20))))</f>
        <v>N/T</v>
      </c>
      <c r="T39" s="215" t="str" cm="1">
        <f t="array" aca="1" ref="T39" ca="1">IF($B39="","",IF(ISBLANK(INDIRECT("R6.Voz!D"&amp;SUM(18,38*12,20))),"",INDIRECT("R6.Voz!D"&amp;SUM(18,38*12,20))))</f>
        <v>N/T</v>
      </c>
      <c r="U39" s="215" t="str" cm="1">
        <f t="array" aca="1" ref="U39" ca="1">IF($B39="","",IF(ISBLANK(INDIRECT("R6.Voz!D"&amp;SUM(18,38*13,20))),"",INDIRECT("R6.Voz!D"&amp;SUM(18,38*13,20))))</f>
        <v>N/T</v>
      </c>
      <c r="V39" s="215" t="str" cm="1">
        <f t="array" aca="1" ref="V39" ca="1">IF($B39="","",IF(ISBLANK(INDIRECT("R6.Voz!D"&amp;SUM(18,38*14,20))),"",INDIRECT("R6.Voz!D"&amp;SUM(18,38*14,20))))</f>
        <v>N/T</v>
      </c>
      <c r="W39" s="215" t="str" cm="1">
        <f t="array" aca="1" ref="W39" ca="1">IF($B39="","",IF(ISBLANK(INDIRECT("R6.Voz!D"&amp;SUM(18,38*15,20))),"",INDIRECT("R6.Voz!D"&amp;SUM(18,38*15,20))))</f>
        <v>N/T</v>
      </c>
      <c r="X39" s="215" t="str" cm="1">
        <f t="array" aca="1" ref="X39" ca="1">IF($B39="","",IF(ISBLANK(INDIRECT("R6.Voz!D"&amp;SUM(18,38*16,20))),"",INDIRECT("R6.Voz!D"&amp;SUM(18,38*16,20))))</f>
        <v>N/T</v>
      </c>
      <c r="Y39" s="215" t="str" cm="1">
        <f t="array" aca="1" ref="Y39" ca="1">IF($B39="","",IF(ISBLANK(INDIRECT("R6.Voz!D"&amp;SUM(18,38*17,20))),"",INDIRECT("R6.Voz!D"&amp;SUM(18,38*17,20))))</f>
        <v>N/T</v>
      </c>
      <c r="Z39" s="215" t="str" cm="1">
        <f t="array" aca="1" ref="Z39" ca="1">IF($B39="","",IF(ISBLANK(INDIRECT("R6.Voz!D"&amp;SUM(18,38*18,20))),"",INDIRECT("R6.Voz!D"&amp;SUM(18,38*18,20))))</f>
        <v>N/T</v>
      </c>
      <c r="AA39" s="215" t="str" cm="1">
        <f t="array" aca="1" ref="AA39" ca="1">IF($B39="","",IF(ISBLANK(INDIRECT("R7.Video!D"&amp;SUM(18,38*0,20))),"",INDIRECT("R7.Video!D"&amp;SUM(18,38*0,20))))</f>
        <v>N/T</v>
      </c>
      <c r="AB39" s="215" t="str" cm="1">
        <f t="array" aca="1" ref="AB39" ca="1">IF($B39="","",IF(ISBLANK(INDIRECT("R7.Video!D"&amp;SUM(18,38*1,20))),"",INDIRECT("R7.Video!D"&amp;SUM(18,38*1,20))))</f>
        <v>N/T</v>
      </c>
      <c r="AC39" s="215" t="str" cm="1">
        <f t="array" aca="1" ref="AC39" ca="1">IF($B39="","",IF(ISBLANK(INDIRECT("R7.Video!D"&amp;SUM(18,38*2,20))),"",INDIRECT("R7.Video!D"&amp;SUM(18,38*2,20))))</f>
        <v>N/T</v>
      </c>
      <c r="AD39" s="215" t="str" cm="1">
        <f t="array" aca="1" ref="AD39" ca="1">IF($B39="","",IF(ISBLANK(INDIRECT("R7.Video!D"&amp;SUM(18,38*3,20))),"",INDIRECT("R7.Video!D"&amp;SUM(18,38*3,20))))</f>
        <v>N/T</v>
      </c>
      <c r="AE39" s="215" t="str" cm="1">
        <f t="array" aca="1" ref="AE39" ca="1">IF($B39="","",IF(ISBLANK(INDIRECT("R7.Video!D"&amp;SUM(18,38*4,20))),"",INDIRECT("R7.Video!D"&amp;SUM(18,38*4,20))))</f>
        <v>N/T</v>
      </c>
      <c r="AF39" s="215" t="str" cm="1">
        <f t="array" aca="1" ref="AF39" ca="1">IF($B39="","",IF(ISBLANK(INDIRECT("R7.Video!D"&amp;SUM(18,38*5,20))),"",INDIRECT("R7.Video!D"&amp;SUM(18,38*5,20))))</f>
        <v>N/T</v>
      </c>
      <c r="AG39" s="215" t="str" cm="1">
        <f t="array" aca="1" ref="AG39" ca="1">IF($B39="","",IF(ISBLANK(INDIRECT("R7.Video!D"&amp;SUM(18,38*6,20))),"",INDIRECT("R7.Video!D"&amp;SUM(18,38*6,20))))</f>
        <v>N/T</v>
      </c>
      <c r="AH39" s="215" t="str" cm="1">
        <f t="array" aca="1" ref="AH39" ca="1">IF($B39="","",IF(ISBLANK(INDIRECT("R7.Video!D"&amp;SUM(18,38*7,20))),"",INDIRECT("R7.Video!D"&amp;SUM(18,38*7,20))))</f>
        <v>N/T</v>
      </c>
      <c r="AI39" s="215" t="str" cm="1">
        <f t="array" aca="1" ref="AI39" ca="1">IF($B39="","",IF(ISBLANK(INDIRECT("R7.Video!D"&amp;SUM(18,38*8,20))),"",INDIRECT("R7.Video!D"&amp;SUM(18,38*8,20))))</f>
        <v>N/T</v>
      </c>
      <c r="AJ39" s="215" t="str" cm="1">
        <f t="array" aca="1" ref="AJ39" ca="1">IF($B39="","",IF(ISBLANK(INDIRECT("R9.Web!D"&amp;SUM(18,38*0,20))),"",INDIRECT("R9.Web!D"&amp;SUM(18,38*0,20))))</f>
        <v>N/D</v>
      </c>
      <c r="AK39" s="215" t="str" cm="1">
        <f t="array" aca="1" ref="AK39" ca="1">IF($B39="","",IF(ISBLANK(INDIRECT("R9.Web!D"&amp;SUM(18,38*1,20))),"",INDIRECT("R9.Web!D"&amp;SUM(18,38*1,20))))</f>
        <v>N/T</v>
      </c>
      <c r="AL39" s="215" t="str" cm="1">
        <f t="array" aca="1" ref="AL39" ca="1">IF($B39="","",IF(ISBLANK(INDIRECT("R9.Web!D"&amp;SUM(18,38*2,20))),"",INDIRECT("R9.Web!D"&amp;SUM(18,38*2,20))))</f>
        <v>N/T</v>
      </c>
      <c r="AM39" s="215" t="str" cm="1">
        <f t="array" aca="1" ref="AM39" ca="1">IF($B39="","",IF(ISBLANK(INDIRECT("R9.Web!D"&amp;SUM(18,38*3,20))),"",INDIRECT("R9.Web!D"&amp;SUM(18,38*3,20))))</f>
        <v>N/T</v>
      </c>
      <c r="AN39" s="215" t="str" cm="1">
        <f t="array" aca="1" ref="AN39" ca="1">IF($B39="","",IF(ISBLANK(INDIRECT("R9.Web!D"&amp;SUM(18,38*4,20))),"",INDIRECT("R9.Web!D"&amp;SUM(18,38*4,20))))</f>
        <v>N/T</v>
      </c>
      <c r="AO39" s="215" t="str" cm="1">
        <f t="array" aca="1" ref="AO39" ca="1">IF($B39="","",IF(ISBLANK(INDIRECT("R9.Web!D"&amp;SUM(18,38*5,20))),"",INDIRECT("R9.Web!D"&amp;SUM(18,38*5,20))))</f>
        <v>N/D</v>
      </c>
      <c r="AP39" s="215" t="str" cm="1">
        <f t="array" aca="1" ref="AP39" ca="1">IF($B39="","",IF(ISBLANK(INDIRECT("R9.Web!D"&amp;SUM(18,38*6,20))),"",INDIRECT("R9.Web!D"&amp;SUM(18,38*6,20))))</f>
        <v>N/T</v>
      </c>
      <c r="AQ39" s="215" t="str" cm="1">
        <f t="array" aca="1" ref="AQ39" ca="1">IF($B39="","",IF(ISBLANK(INDIRECT("R9.Web!D"&amp;SUM(18,38*7,20))),"",INDIRECT("R9.Web!D"&amp;SUM(18,38*7,20))))</f>
        <v>N/T</v>
      </c>
      <c r="AR39" s="215" t="str" cm="1">
        <f t="array" aca="1" ref="AR39" ca="1">IF($B39="","",IF(ISBLANK(INDIRECT("R9.Web!D"&amp;SUM(18,38*8,20))),"",INDIRECT("R9.Web!D"&amp;SUM(18,38*8,20))))</f>
        <v>N/D</v>
      </c>
      <c r="AS39" s="215" t="str" cm="1">
        <f t="array" aca="1" ref="AS39" ca="1">IF($B39="","",IF(ISBLANK(INDIRECT("R9.Web!D"&amp;SUM(18,38*9,20))),"",INDIRECT("R9.Web!D"&amp;SUM(18,38*9,20))))</f>
        <v>N/D</v>
      </c>
      <c r="AT39" s="215" t="str" cm="1">
        <f t="array" aca="1" ref="AT39" ca="1">IF($B39="","",IF(ISBLANK(INDIRECT("R9.Web!D"&amp;SUM(18,38*10,20))),"",INDIRECT("R9.Web!D"&amp;SUM(18,38*10,20))))</f>
        <v>N/T</v>
      </c>
      <c r="AU39" s="215" t="str" cm="1">
        <f t="array" aca="1" ref="AU39" ca="1">IF($B39="","",IF(ISBLANK(INDIRECT("R9.Web!D"&amp;SUM(18,38*11,20))),"",INDIRECT("R9.Web!D"&amp;SUM(18,38*11,20))))</f>
        <v>N/T</v>
      </c>
      <c r="AV39" s="215" t="str" cm="1">
        <f t="array" aca="1" ref="AV39" ca="1">IF($B39="","",IF(ISBLANK(INDIRECT("R9.Web!D"&amp;SUM(18,38*12,20))),"",INDIRECT("R9.Web!D"&amp;SUM(18,38*12,20))))</f>
        <v>N/D</v>
      </c>
      <c r="AW39" s="215" t="str" cm="1">
        <f t="array" aca="1" ref="AW39" ca="1">IF($B39="","",IF(ISBLANK(INDIRECT("R9.Web!D"&amp;SUM(18,38*13,20))),"",INDIRECT("R9.Web!D"&amp;SUM(18,38*13,20))))</f>
        <v>N/T</v>
      </c>
      <c r="AX39" s="215" t="str" cm="1">
        <f t="array" aca="1" ref="AX39" ca="1">IF($B39="","",IF(ISBLANK(INDIRECT("R9.Web!D"&amp;SUM(18,38*14,20))),"",INDIRECT("R9.Web!D"&amp;SUM(18,38*14,20))))</f>
        <v>N/T</v>
      </c>
      <c r="AY39" s="215" t="str" cm="1">
        <f t="array" aca="1" ref="AY39" ca="1">IF($B39="","",IF(ISBLANK(INDIRECT("R9.Web!D"&amp;SUM(18,38*15,20))),"",INDIRECT("R9.Web!D"&amp;SUM(18,38*15,20))))</f>
        <v>N/D</v>
      </c>
      <c r="AZ39" s="215" t="str" cm="1">
        <f t="array" aca="1" ref="AZ39" ca="1">IF($B39="","",IF(ISBLANK(INDIRECT("R9.Web!D"&amp;SUM(18,38*16,20))),"",INDIRECT("R9.Web!D"&amp;SUM(18,38*16,20))))</f>
        <v>N/T</v>
      </c>
      <c r="BA39" s="215" t="str" cm="1">
        <f t="array" aca="1" ref="BA39" ca="1">IF($B39="","",IF(ISBLANK(INDIRECT("R9.Web!D"&amp;SUM(18,38*17,20))),"",INDIRECT("R9.Web!D"&amp;SUM(18,38*17,20))))</f>
        <v>N/D</v>
      </c>
      <c r="BB39" s="215" t="str" cm="1">
        <f t="array" aca="1" ref="BB39" ca="1">IF($B39="","",IF(ISBLANK(INDIRECT("R9.Web!D"&amp;SUM(18,38*18,20))),"",INDIRECT("R9.Web!D"&amp;SUM(18,38*18,20))))</f>
        <v>N/T</v>
      </c>
      <c r="BC39" s="215" t="str" cm="1">
        <f t="array" aca="1" ref="BC39" ca="1">IF($B39="","",IF(ISBLANK(INDIRECT("R9.Web!D"&amp;SUM(18,38*19,20))),"",INDIRECT("R9.Web!D"&amp;SUM(18,38*19,20))))</f>
        <v>N/D</v>
      </c>
      <c r="BD39" s="215" t="str" cm="1">
        <f t="array" aca="1" ref="BD39" ca="1">IF($B39="","",IF(ISBLANK(INDIRECT("R9.Web!D"&amp;SUM(18,38*20,20))),"",INDIRECT("R9.Web!D"&amp;SUM(18,38*20,20))))</f>
        <v>N/T</v>
      </c>
      <c r="BE39" s="215" t="str" cm="1">
        <f t="array" aca="1" ref="BE39" ca="1">IF($B39="","",IF(ISBLANK(INDIRECT("R9.Web!D"&amp;SUM(18,38*21,20))),"",INDIRECT("R9.Web!D"&amp;SUM(18,38*21,20))))</f>
        <v>N/T</v>
      </c>
      <c r="BF39" s="215" t="str" cm="1">
        <f t="array" aca="1" ref="BF39" ca="1">IF($B39="","",IF(ISBLANK(INDIRECT("R9.Web!D"&amp;SUM(18,38*22,20))),"",INDIRECT("R9.Web!D"&amp;SUM(18,38*22,20))))</f>
        <v>N/D</v>
      </c>
      <c r="BG39" s="215" t="str" cm="1">
        <f t="array" aca="1" ref="BG39" ca="1">IF($B39="","",IF(ISBLANK(INDIRECT("R9.Web!D"&amp;SUM(18,38*23,20))),"",INDIRECT("R9.Web!D"&amp;SUM(18,38*23,20))))</f>
        <v>N/D</v>
      </c>
      <c r="BH39" s="215" t="str" cm="1">
        <f t="array" aca="1" ref="BH39" ca="1">IF($B39="","",IF(ISBLANK(INDIRECT("R9.Web!D"&amp;SUM(18,38*24,20))),"",INDIRECT("R9.Web!D"&amp;SUM(18,38*24,20))))</f>
        <v>N/T</v>
      </c>
      <c r="BI39" s="215" t="str" cm="1">
        <f t="array" aca="1" ref="BI39" ca="1">IF($B39="","",IF(ISBLANK(INDIRECT("R9.Web!D"&amp;SUM(18,38*25,20))),"",INDIRECT("R9.Web!D"&amp;SUM(18,38*25,20))))</f>
        <v>N/D</v>
      </c>
      <c r="BJ39" s="215" t="str" cm="1">
        <f t="array" aca="1" ref="BJ39" ca="1">IF($B39="","",IF(ISBLANK(INDIRECT("R9.Web!D"&amp;SUM(18,38*26,20))),"",INDIRECT("R9.Web!D"&amp;SUM(18,38*26,20))))</f>
        <v>N/D</v>
      </c>
      <c r="BK39" s="215" t="str" cm="1">
        <f t="array" aca="1" ref="BK39" ca="1">IF($B39="","",IF(ISBLANK(INDIRECT("R9.Web!D"&amp;SUM(18,38*27,20))),"",INDIRECT("R9.Web!D"&amp;SUM(18,38*27,20))))</f>
        <v>N/D</v>
      </c>
      <c r="BL39" s="215" t="str" cm="1">
        <f t="array" aca="1" ref="BL39" ca="1">IF($B39="","",IF(ISBLANK(INDIRECT("R9.Web!D"&amp;SUM(18,38*28,20))),"",INDIRECT("R9.Web!D"&amp;SUM(18,38*28,20))))</f>
        <v>N/D</v>
      </c>
      <c r="BM39" s="215" t="str" cm="1">
        <f t="array" aca="1" ref="BM39" ca="1">IF($B39="","",IF(ISBLANK(INDIRECT("R9.Web!D"&amp;SUM(18,38*29,20))),"",INDIRECT("R9.Web!D"&amp;SUM(18,38*29,20))))</f>
        <v>N/D</v>
      </c>
      <c r="BN39" s="215" t="str" cm="1">
        <f t="array" aca="1" ref="BN39" ca="1">IF($B39="","",IF(ISBLANK(INDIRECT("R9.Web!D"&amp;SUM(18,38*30,20))),"",INDIRECT("R9.Web!D"&amp;SUM(18,38*30,20))))</f>
        <v>N/T</v>
      </c>
      <c r="BO39" s="215" t="str" cm="1">
        <f t="array" aca="1" ref="BO39" ca="1">IF($B39="","",IF(ISBLANK(INDIRECT("R9.Web!D"&amp;SUM(18,38*31,20))),"",INDIRECT("R9.Web!D"&amp;SUM(18,38*31,20))))</f>
        <v>Falla</v>
      </c>
      <c r="BP39" s="215" t="str" cm="1">
        <f t="array" aca="1" ref="BP39" ca="1">IF($B39="","",IF(ISBLANK(INDIRECT("R9.Web!D"&amp;SUM(18,38*32,20))),"",INDIRECT("R9.Web!D"&amp;SUM(18,38*32,20))))</f>
        <v>N/T</v>
      </c>
      <c r="BQ39" s="215" t="str" cm="1">
        <f t="array" aca="1" ref="BQ39" ca="1">IF($B39="","",IF(ISBLANK(INDIRECT("R9.Web!D"&amp;SUM(18,38*33,20))),"",INDIRECT("R9.Web!D"&amp;SUM(18,38*33,20))))</f>
        <v>N/T</v>
      </c>
      <c r="BR39" s="215" t="str" cm="1">
        <f t="array" aca="1" ref="BR39" ca="1">IF($B39="","",IF(ISBLANK(INDIRECT("R9.Web!D"&amp;SUM(18,38*34,20))),"",INDIRECT("R9.Web!D"&amp;SUM(18,38*34,20))))</f>
        <v>N/D</v>
      </c>
      <c r="BS39" s="215" t="str" cm="1">
        <f t="array" aca="1" ref="BS39" ca="1">IF($B39="","",IF(ISBLANK(INDIRECT("R9.Web!D"&amp;SUM(18,38*35,20))),"",INDIRECT("R9.Web!D"&amp;SUM(18,38*35,20))))</f>
        <v>N/T</v>
      </c>
      <c r="BT39" s="215" t="str" cm="1">
        <f t="array" aca="1" ref="BT39" ca="1">IF($B39="","",IF(ISBLANK(INDIRECT("R9.Web!D"&amp;SUM(18,38*36,20))),"",INDIRECT("R9.Web!D"&amp;SUM(18,38*36,20))))</f>
        <v>N/D</v>
      </c>
      <c r="BU39" s="215" t="str" cm="1">
        <f t="array" aca="1" ref="BU39" ca="1">IF($B39="","",IF(ISBLANK(INDIRECT("R9.Web!D"&amp;SUM(18,38*37,20))),"",INDIRECT("R9.Web!D"&amp;SUM(18,38*37,20))))</f>
        <v>N/D</v>
      </c>
      <c r="BV39" s="215" t="str" cm="1">
        <f t="array" aca="1" ref="BV39" ca="1">IF($B39="","",IF(ISBLANK(INDIRECT("R9.Web!D"&amp;SUM(18,38*38,20))),"",INDIRECT("R9.Web!D"&amp;SUM(18,38*38,20))))</f>
        <v>N/D</v>
      </c>
      <c r="BW39" s="215" t="str" cm="1">
        <f t="array" aca="1" ref="BW39" ca="1">IF($B39="","",IF(ISBLANK(INDIRECT("R9.Web!D"&amp;SUM(18,38*39,20))),"",INDIRECT("R9.Web!D"&amp;SUM(18,38*39,20))))</f>
        <v>N/D</v>
      </c>
      <c r="BX39" s="215" t="str" cm="1">
        <f t="array" aca="1" ref="BX39" ca="1">IF($B39="","",IF(ISBLANK(INDIRECT("R9.Web!D"&amp;SUM(18,38*40,20))),"",INDIRECT("R9.Web!D"&amp;SUM(18,38*40,20))))</f>
        <v>N/D</v>
      </c>
      <c r="BY39" s="215" t="str" cm="1">
        <f t="array" aca="1" ref="BY39" ca="1">IF($B39="","",IF(ISBLANK(INDIRECT("R9.Web!D"&amp;SUM(18,38*41,20))),"",INDIRECT("R9.Web!D"&amp;SUM(18,38*41,20))))</f>
        <v>N/T</v>
      </c>
      <c r="BZ39" s="215" t="str" cm="1">
        <f t="array" aca="1" ref="BZ39" ca="1">IF($B39="","",IF(ISBLANK(INDIRECT("R9.Web!D"&amp;SUM(18,38*42,20))),"",INDIRECT("R9.Web!D"&amp;SUM(18,38*42,20))))</f>
        <v>N/T</v>
      </c>
      <c r="CA39" s="215" t="str" cm="1">
        <f t="array" aca="1" ref="CA39" ca="1">IF($B39="","",IF(ISBLANK(INDIRECT("R9.Web!D"&amp;SUM(18,38*43,20))),"",INDIRECT("R9.Web!D"&amp;SUM(18,38*43,20))))</f>
        <v>N/D</v>
      </c>
      <c r="CB39" s="215" t="str" cm="1">
        <f t="array" aca="1" ref="CB39" ca="1">IF($B39="","",IF(ISBLANK(INDIRECT("R9.Web!D"&amp;SUM(18,38*44,20))),"",INDIRECT("R9.Web!D"&amp;SUM(18,38*44,20))))</f>
        <v>N/T</v>
      </c>
      <c r="CC39" s="215" t="str" cm="1">
        <f t="array" aca="1" ref="CC39" ca="1">IF($B39="","",IF(ISBLANK(INDIRECT("R9.Web!D"&amp;SUM(18,38*45,20))),"",INDIRECT("R9.Web!D"&amp;SUM(18,38*45,20))))</f>
        <v>N/T</v>
      </c>
      <c r="CD39" s="215" t="str" cm="1">
        <f t="array" aca="1" ref="CD39" ca="1">IF($B39="","",IF(ISBLANK(INDIRECT("R9.Web!D"&amp;SUM(18,38*46,20))),"",INDIRECT("R9.Web!D"&amp;SUM(18,38*46,20))))</f>
        <v>N/T</v>
      </c>
      <c r="CE39" s="215" t="str" cm="1">
        <f t="array" aca="1" ref="CE39" ca="1">IF($B39="","",IF(ISBLANK(INDIRECT("R9.Web!D"&amp;SUM(18,38*47,20))),"",INDIRECT("R9.Web!D"&amp;SUM(18,38*47,20))))</f>
        <v>N/D</v>
      </c>
      <c r="CF39" s="215" t="str" cm="1">
        <f t="array" aca="1" ref="CF39" ca="1">IF($B39="","",IF(ISBLANK(INDIRECT("R9.Web!D"&amp;SUM(18,38*48,20))),"",INDIRECT("R9.Web!D"&amp;SUM(18,38*48,20))))</f>
        <v>N/T</v>
      </c>
      <c r="CG39" s="215" t="str" cm="1">
        <f t="array" aca="1" ref="CG39" ca="1">IF($B39="","",IF(ISBLANK(INDIRECT("R9.Web!D"&amp;SUM(18,38*49,20))),"",INDIRECT("R9.Web!D"&amp;SUM(18,38*49,20))))</f>
        <v>N/T</v>
      </c>
      <c r="CH39" s="215" t="str" cm="1">
        <f t="array" aca="1" ref="CH39" ca="1">IF($B39="","",IF(ISBLANK(INDIRECT("R11.Software!D"&amp;SUM(18,38*0,20))),"",INDIRECT("R11.Software!D"&amp;SUM(18,38*0,20))))</f>
        <v>N/T</v>
      </c>
      <c r="CI39" s="215" t="str" cm="1">
        <f t="array" aca="1" ref="CI39" ca="1">IF($B39="","",IF(ISBLANK(INDIRECT("R11.Software!D"&amp;SUM(18,38*1,20))),"",INDIRECT("R11.Software!D"&amp;SUM(18,38*1,20))))</f>
        <v>N/T</v>
      </c>
      <c r="CJ39" s="215" t="str" cm="1">
        <f t="array" aca="1" ref="CJ39" ca="1">IF($B39="","",IF(ISBLANK(INDIRECT("R11.Software!D"&amp;SUM(18,38*2,20))),"",INDIRECT("R11.Software!D"&amp;SUM(18,38*2,20))))</f>
        <v>N/T</v>
      </c>
      <c r="CK39" s="215" t="str" cm="1">
        <f t="array" aca="1" ref="CK39" ca="1">IF($B39="","",IF(ISBLANK(INDIRECT("R11.Software!D"&amp;SUM(18,38*3,20))),"",INDIRECT("R11.Software!D"&amp;SUM(18,38*3,20))))</f>
        <v>N/T</v>
      </c>
      <c r="CL39" s="215" t="str" cm="1">
        <f t="array" aca="1" ref="CL39" ca="1">IF($B39="","",IF(ISBLANK(INDIRECT("R11.Software!D"&amp;SUM(18,38*4,20))),"",INDIRECT("R11.Software!D"&amp;SUM(18,38*4,20))))</f>
        <v>N/T</v>
      </c>
      <c r="CM39" s="215" t="str" cm="1">
        <f t="array" aca="1" ref="CM39" ca="1">IF($B39="","",IF(ISBLANK(INDIRECT("R11.Software!D"&amp;SUM(18,38*5,20))),"",INDIRECT("R11.Software!D"&amp;SUM(18,38*5,20))))</f>
        <v>N/T</v>
      </c>
      <c r="CN39" s="215" t="str" cm="1">
        <f t="array" aca="1" ref="CN39" ca="1">IF($B39="","",IF(ISBLANK(INDIRECT("R12.ServiciosApoyo!D"&amp;SUM(18,38*0,20))),"",INDIRECT("R12.ServiciosApoyo!D"&amp;SUM(18,38*0,20))))</f>
        <v>N/T</v>
      </c>
      <c r="CO39" s="215" t="str" cm="1">
        <f t="array" aca="1" ref="CO39" ca="1">IF($B39="","",IF(ISBLANK(INDIRECT("R12.ServiciosApoyo!D"&amp;SUM(18,38*1,20))),"",INDIRECT("R12.ServiciosApoyo!D"&amp;SUM(18,38*1,20))))</f>
        <v>N/T</v>
      </c>
      <c r="CP39" s="215" t="str" cm="1">
        <f t="array" aca="1" ref="CP39" ca="1">IF($B39="","",IF(ISBLANK(INDIRECT("R12.ServiciosApoyo!D"&amp;SUM(18,38*2,20))),"",INDIRECT("R12.ServiciosApoyo!D"&amp;SUM(18,38*2,20))))</f>
        <v>N/T</v>
      </c>
      <c r="CQ39" s="215" t="str" cm="1">
        <f t="array" aca="1" ref="CQ39" ca="1">IF($B39="","",IF(ISBLANK(INDIRECT("R12.ServiciosApoyo!D"&amp;SUM(18,38*3,20))),"",INDIRECT("R12.ServiciosApoyo!D"&amp;SUM(18,38*3,20))))</f>
        <v>N/T</v>
      </c>
      <c r="CR39" s="215" t="str" cm="1">
        <f t="array" aca="1" ref="CR39" ca="1">IF($B39="","",IF(ISBLANK(INDIRECT("R12.ServiciosApoyo!D"&amp;SUM(18,38*4,20))),"",INDIRECT("R12.ServiciosApoyo!D"&amp;SUM(18,38*4,20))))</f>
        <v>N/T</v>
      </c>
      <c r="CU39" s="100"/>
      <c r="CV39" s="29"/>
      <c r="CW39" s="29"/>
      <c r="CX39" s="29"/>
    </row>
    <row r="40" spans="2:102" ht="20.25">
      <c r="B40" s="181" t="n" cm="1">
        <f t="array" ref="B40">IFERROR(INDEX('03.Muestra'!$B$8:$B$42,SMALL(IF("Página Web"='03.Muestra'!$D$8:$D$42,ROW('03.Muestra'!$B$8:$B$42)-MIN(ROW('03.Muestra'!$D$8:$D$42))+1,""),ROW()-19)),"")</f>
        <v>1.0</v>
      </c>
      <c r="C40" s="97" t="str" cm="1">
        <f t="array" ref="C40">IFERROR(INDEX('03.Muestra'!$C$8:$C$42,SMALL(IF("Página Web"='03.Muestra'!$D$8:$D$42,ROW('03.Muestra'!$C$8:$C$42)-MIN(ROW('03.Muestra'!$D$8:$D$42))+1,""),ROW()-19)),"")</f>
        <v>Home - PortCastelló</v>
      </c>
      <c r="D40" s="98" t="str" cm="1">
        <f t="array" ref="D40">IFERROR(INDEX('03.Muestra'!$F$8:$F$42,SMALL(IF("Página Web"='03.Muestra'!$D$8:$D$42,ROW('03.Muestra'!$F$8:$F$42)-MIN(ROW('03.Muestra'!$D$8:$D$42))+1,""),ROW()-19)),"")</f>
        <v>https://www.portcastello.com/</v>
      </c>
      <c r="E40" s="215" t="str" cm="1">
        <f t="array" aca="1" ref="E40" ca="1">IF($B40="","",IF(ISBLANK(INDIRECT("R5.Genéricos!D"&amp;SUM(18,38*0,21))),"",INDIRECT("R5.Genéricos!D"&amp;SUM(18,38*0,21))))</f>
        <v>N/T</v>
      </c>
      <c r="F40" s="215" t="str" cm="1">
        <f t="array" aca="1" ref="F40" ca="1">IF($B40="","",IF(ISBLANK(INDIRECT("R5.Genéricos!D"&amp;SUM(18,38*1,21))),"",INDIRECT("R5.Genéricos!D"&amp;SUM(18,38*1,21))))</f>
        <v>N/T</v>
      </c>
      <c r="G40" s="215" t="str" cm="1">
        <f t="array" aca="1" ref="G40" ca="1">IF($B40="","",IF(ISBLANK(INDIRECT("R5.Genéricos!D"&amp;SUM(18,38*2,21))),"",INDIRECT("R5.Genéricos!D"&amp;SUM(18,38*2,21))))</f>
        <v>N/T</v>
      </c>
      <c r="H40" s="215" t="str" cm="1">
        <f t="array" aca="1" ref="H40" ca="1">IF($B40="","",IF(ISBLANK(INDIRECT("R6.Voz!D"&amp;SUM(18,38*0,21))),"",INDIRECT("R6.Voz!D"&amp;SUM(18,38*0,21))))</f>
        <v>N/T</v>
      </c>
      <c r="I40" s="215" t="str" cm="1">
        <f t="array" aca="1" ref="I40" ca="1">IF($B40="","",IF(ISBLANK(INDIRECT("R6.Voz!D"&amp;SUM(18,38*1,21))),"",INDIRECT("R6.Voz!D"&amp;SUM(18,38*1,21))))</f>
        <v>N/T</v>
      </c>
      <c r="J40" s="215" t="str" cm="1">
        <f t="array" aca="1" ref="J40" ca="1">IF($B40="","",IF(ISBLANK(INDIRECT("R6.Voz!D"&amp;SUM(18,38*2,21))),"",INDIRECT("R6.Voz!D"&amp;SUM(18,38*2,21))))</f>
        <v>N/T</v>
      </c>
      <c r="K40" s="215" t="str" cm="1">
        <f t="array" aca="1" ref="K40" ca="1">IF($B40="","",IF(ISBLANK(INDIRECT("R6.Voz!D"&amp;SUM(18,38*3,21))),"",INDIRECT("R6.Voz!D"&amp;SUM(18,38*3,21))))</f>
        <v>N/T</v>
      </c>
      <c r="L40" s="215" t="str" cm="1">
        <f t="array" aca="1" ref="L40" ca="1">IF($B40="","",IF(ISBLANK(INDIRECT("R6.Voz!D"&amp;SUM(18,38*4,21))),"",INDIRECT("R6.Voz!D"&amp;SUM(18,38*4,21))))</f>
        <v>N/T</v>
      </c>
      <c r="M40" s="215" t="str" cm="1">
        <f t="array" aca="1" ref="M40" ca="1">IF($B40="","",IF(ISBLANK(INDIRECT("R6.Voz!D"&amp;SUM(18,38*5,21))),"",INDIRECT("R6.Voz!D"&amp;SUM(18,38*5,21))))</f>
        <v>N/T</v>
      </c>
      <c r="N40" s="215" t="str" cm="1">
        <f t="array" aca="1" ref="N40" ca="1">IF($B40="","",IF(ISBLANK(INDIRECT("R6.Voz!D"&amp;SUM(18,38*6,21))),"",INDIRECT("R6.Voz!D"&amp;SUM(18,38*6,21))))</f>
        <v>N/T</v>
      </c>
      <c r="O40" s="215" t="str" cm="1">
        <f t="array" aca="1" ref="O40" ca="1">IF($B40="","",IF(ISBLANK(INDIRECT("R6.Voz!D"&amp;SUM(18,38*7,21))),"",INDIRECT("R6.Voz!D"&amp;SUM(18,38*7,21))))</f>
        <v>N/T</v>
      </c>
      <c r="P40" s="215" t="str" cm="1">
        <f t="array" aca="1" ref="P40" ca="1">IF($B40="","",IF(ISBLANK(INDIRECT("R6.Voz!D"&amp;SUM(18,38*8,21))),"",INDIRECT("R6.Voz!D"&amp;SUM(18,38*8,21))))</f>
        <v>N/T</v>
      </c>
      <c r="Q40" s="215" t="str" cm="1">
        <f t="array" aca="1" ref="Q40" ca="1">IF($B40="","",IF(ISBLANK(INDIRECT("R6.Voz!D"&amp;SUM(18,38*9,21))),"",INDIRECT("R6.Voz!D"&amp;SUM(18,38*9,21))))</f>
        <v>N/T</v>
      </c>
      <c r="R40" s="215" t="str" cm="1">
        <f t="array" aca="1" ref="R40" ca="1">IF($B40="","",IF(ISBLANK(INDIRECT("R6.Voz!D"&amp;SUM(18,38*10,21))),"",INDIRECT("R6.Voz!D"&amp;SUM(18,38*10,21))))</f>
        <v>N/T</v>
      </c>
      <c r="S40" s="215" t="str" cm="1">
        <f t="array" aca="1" ref="S40" ca="1">IF($B40="","",IF(ISBLANK(INDIRECT("R6.Voz!D"&amp;SUM(18,38*11,21))),"",INDIRECT("R6.Voz!D"&amp;SUM(18,38*11,21))))</f>
        <v>N/T</v>
      </c>
      <c r="T40" s="215" t="str" cm="1">
        <f t="array" aca="1" ref="T40" ca="1">IF($B40="","",IF(ISBLANK(INDIRECT("R6.Voz!D"&amp;SUM(18,38*12,21))),"",INDIRECT("R6.Voz!D"&amp;SUM(18,38*12,21))))</f>
        <v>N/T</v>
      </c>
      <c r="U40" s="215" t="str" cm="1">
        <f t="array" aca="1" ref="U40" ca="1">IF($B40="","",IF(ISBLANK(INDIRECT("R6.Voz!D"&amp;SUM(18,38*13,21))),"",INDIRECT("R6.Voz!D"&amp;SUM(18,38*13,21))))</f>
        <v>N/T</v>
      </c>
      <c r="V40" s="215" t="str" cm="1">
        <f t="array" aca="1" ref="V40" ca="1">IF($B40="","",IF(ISBLANK(INDIRECT("R6.Voz!D"&amp;SUM(18,38*14,21))),"",INDIRECT("R6.Voz!D"&amp;SUM(18,38*14,21))))</f>
        <v>N/T</v>
      </c>
      <c r="W40" s="215" t="str" cm="1">
        <f t="array" aca="1" ref="W40" ca="1">IF($B40="","",IF(ISBLANK(INDIRECT("R6.Voz!D"&amp;SUM(18,38*15,21))),"",INDIRECT("R6.Voz!D"&amp;SUM(18,38*15,21))))</f>
        <v>N/T</v>
      </c>
      <c r="X40" s="215" t="str" cm="1">
        <f t="array" aca="1" ref="X40" ca="1">IF($B40="","",IF(ISBLANK(INDIRECT("R6.Voz!D"&amp;SUM(18,38*16,21))),"",INDIRECT("R6.Voz!D"&amp;SUM(18,38*16,21))))</f>
        <v>N/T</v>
      </c>
      <c r="Y40" s="215" t="str" cm="1">
        <f t="array" aca="1" ref="Y40" ca="1">IF($B40="","",IF(ISBLANK(INDIRECT("R6.Voz!D"&amp;SUM(18,38*17,21))),"",INDIRECT("R6.Voz!D"&amp;SUM(18,38*17,21))))</f>
        <v>N/T</v>
      </c>
      <c r="Z40" s="215" t="str" cm="1">
        <f t="array" aca="1" ref="Z40" ca="1">IF($B40="","",IF(ISBLANK(INDIRECT("R6.Voz!D"&amp;SUM(18,38*18,21))),"",INDIRECT("R6.Voz!D"&amp;SUM(18,38*18,21))))</f>
        <v>N/T</v>
      </c>
      <c r="AA40" s="215" t="str" cm="1">
        <f t="array" aca="1" ref="AA40" ca="1">IF($B40="","",IF(ISBLANK(INDIRECT("R7.Video!D"&amp;SUM(18,38*0,21))),"",INDIRECT("R7.Video!D"&amp;SUM(18,38*0,21))))</f>
        <v>N/T</v>
      </c>
      <c r="AB40" s="215" t="str" cm="1">
        <f t="array" aca="1" ref="AB40" ca="1">IF($B40="","",IF(ISBLANK(INDIRECT("R7.Video!D"&amp;SUM(18,38*1,21))),"",INDIRECT("R7.Video!D"&amp;SUM(18,38*1,21))))</f>
        <v>N/T</v>
      </c>
      <c r="AC40" s="215" t="str" cm="1">
        <f t="array" aca="1" ref="AC40" ca="1">IF($B40="","",IF(ISBLANK(INDIRECT("R7.Video!D"&amp;SUM(18,38*2,21))),"",INDIRECT("R7.Video!D"&amp;SUM(18,38*2,21))))</f>
        <v>N/T</v>
      </c>
      <c r="AD40" s="215" t="str" cm="1">
        <f t="array" aca="1" ref="AD40" ca="1">IF($B40="","",IF(ISBLANK(INDIRECT("R7.Video!D"&amp;SUM(18,38*3,21))),"",INDIRECT("R7.Video!D"&amp;SUM(18,38*3,21))))</f>
        <v>N/T</v>
      </c>
      <c r="AE40" s="215" t="str" cm="1">
        <f t="array" aca="1" ref="AE40" ca="1">IF($B40="","",IF(ISBLANK(INDIRECT("R7.Video!D"&amp;SUM(18,38*4,21))),"",INDIRECT("R7.Video!D"&amp;SUM(18,38*4,21))))</f>
        <v>N/T</v>
      </c>
      <c r="AF40" s="215" t="str" cm="1">
        <f t="array" aca="1" ref="AF40" ca="1">IF($B40="","",IF(ISBLANK(INDIRECT("R7.Video!D"&amp;SUM(18,38*5,21))),"",INDIRECT("R7.Video!D"&amp;SUM(18,38*5,21))))</f>
        <v>N/T</v>
      </c>
      <c r="AG40" s="215" t="str" cm="1">
        <f t="array" aca="1" ref="AG40" ca="1">IF($B40="","",IF(ISBLANK(INDIRECT("R7.Video!D"&amp;SUM(18,38*6,21))),"",INDIRECT("R7.Video!D"&amp;SUM(18,38*6,21))))</f>
        <v>N/T</v>
      </c>
      <c r="AH40" s="215" t="str" cm="1">
        <f t="array" aca="1" ref="AH40" ca="1">IF($B40="","",IF(ISBLANK(INDIRECT("R7.Video!D"&amp;SUM(18,38*7,21))),"",INDIRECT("R7.Video!D"&amp;SUM(18,38*7,21))))</f>
        <v>N/T</v>
      </c>
      <c r="AI40" s="215" t="str" cm="1">
        <f t="array" aca="1" ref="AI40" ca="1">IF($B40="","",IF(ISBLANK(INDIRECT("R7.Video!D"&amp;SUM(18,38*8,21))),"",INDIRECT("R7.Video!D"&amp;SUM(18,38*8,21))))</f>
        <v>N/T</v>
      </c>
      <c r="AJ40" s="215" t="str" cm="1">
        <f t="array" aca="1" ref="AJ40" ca="1">IF($B40="","",IF(ISBLANK(INDIRECT("R9.Web!D"&amp;SUM(18,38*0,21))),"",INDIRECT("R9.Web!D"&amp;SUM(18,38*0,21))))</f>
        <v>N/D</v>
      </c>
      <c r="AK40" s="215" t="str" cm="1">
        <f t="array" aca="1" ref="AK40" ca="1">IF($B40="","",IF(ISBLANK(INDIRECT("R9.Web!D"&amp;SUM(18,38*1,21))),"",INDIRECT("R9.Web!D"&amp;SUM(18,38*1,21))))</f>
        <v>N/T</v>
      </c>
      <c r="AL40" s="215" t="str" cm="1">
        <f t="array" aca="1" ref="AL40" ca="1">IF($B40="","",IF(ISBLANK(INDIRECT("R9.Web!D"&amp;SUM(18,38*2,21))),"",INDIRECT("R9.Web!D"&amp;SUM(18,38*2,21))))</f>
        <v>N/T</v>
      </c>
      <c r="AM40" s="215" t="str" cm="1">
        <f t="array" aca="1" ref="AM40" ca="1">IF($B40="","",IF(ISBLANK(INDIRECT("R9.Web!D"&amp;SUM(18,38*3,21))),"",INDIRECT("R9.Web!D"&amp;SUM(18,38*3,21))))</f>
        <v>N/T</v>
      </c>
      <c r="AN40" s="215" t="str" cm="1">
        <f t="array" aca="1" ref="AN40" ca="1">IF($B40="","",IF(ISBLANK(INDIRECT("R9.Web!D"&amp;SUM(18,38*4,21))),"",INDIRECT("R9.Web!D"&amp;SUM(18,38*4,21))))</f>
        <v>N/T</v>
      </c>
      <c r="AO40" s="215" t="str" cm="1">
        <f t="array" aca="1" ref="AO40" ca="1">IF($B40="","",IF(ISBLANK(INDIRECT("R9.Web!D"&amp;SUM(18,38*5,21))),"",INDIRECT("R9.Web!D"&amp;SUM(18,38*5,21))))</f>
        <v>N/D</v>
      </c>
      <c r="AP40" s="215" t="str" cm="1">
        <f t="array" aca="1" ref="AP40" ca="1">IF($B40="","",IF(ISBLANK(INDIRECT("R9.Web!D"&amp;SUM(18,38*6,21))),"",INDIRECT("R9.Web!D"&amp;SUM(18,38*6,21))))</f>
        <v>N/T</v>
      </c>
      <c r="AQ40" s="215" t="str" cm="1">
        <f t="array" aca="1" ref="AQ40" ca="1">IF($B40="","",IF(ISBLANK(INDIRECT("R9.Web!D"&amp;SUM(18,38*7,21))),"",INDIRECT("R9.Web!D"&amp;SUM(18,38*7,21))))</f>
        <v>N/T</v>
      </c>
      <c r="AR40" s="215" t="str" cm="1">
        <f t="array" aca="1" ref="AR40" ca="1">IF($B40="","",IF(ISBLANK(INDIRECT("R9.Web!D"&amp;SUM(18,38*8,21))),"",INDIRECT("R9.Web!D"&amp;SUM(18,38*8,21))))</f>
        <v>N/D</v>
      </c>
      <c r="AS40" s="215" t="str" cm="1">
        <f t="array" aca="1" ref="AS40" ca="1">IF($B40="","",IF(ISBLANK(INDIRECT("R9.Web!D"&amp;SUM(18,38*9,21))),"",INDIRECT("R9.Web!D"&amp;SUM(18,38*9,21))))</f>
        <v>N/D</v>
      </c>
      <c r="AT40" s="215" t="str" cm="1">
        <f t="array" aca="1" ref="AT40" ca="1">IF($B40="","",IF(ISBLANK(INDIRECT("R9.Web!D"&amp;SUM(18,38*10,21))),"",INDIRECT("R9.Web!D"&amp;SUM(18,38*10,21))))</f>
        <v>N/T</v>
      </c>
      <c r="AU40" s="215" t="str" cm="1">
        <f t="array" aca="1" ref="AU40" ca="1">IF($B40="","",IF(ISBLANK(INDIRECT("R9.Web!D"&amp;SUM(18,38*11,21))),"",INDIRECT("R9.Web!D"&amp;SUM(18,38*11,21))))</f>
        <v>N/T</v>
      </c>
      <c r="AV40" s="215" t="str" cm="1">
        <f t="array" aca="1" ref="AV40" ca="1">IF($B40="","",IF(ISBLANK(INDIRECT("R9.Web!D"&amp;SUM(18,38*12,21))),"",INDIRECT("R9.Web!D"&amp;SUM(18,38*12,21))))</f>
        <v>N/D</v>
      </c>
      <c r="AW40" s="215" t="str" cm="1">
        <f t="array" aca="1" ref="AW40" ca="1">IF($B40="","",IF(ISBLANK(INDIRECT("R9.Web!D"&amp;SUM(18,38*13,21))),"",INDIRECT("R9.Web!D"&amp;SUM(18,38*13,21))))</f>
        <v>N/T</v>
      </c>
      <c r="AX40" s="215" t="str" cm="1">
        <f t="array" aca="1" ref="AX40" ca="1">IF($B40="","",IF(ISBLANK(INDIRECT("R9.Web!D"&amp;SUM(18,38*14,21))),"",INDIRECT("R9.Web!D"&amp;SUM(18,38*14,21))))</f>
        <v>N/T</v>
      </c>
      <c r="AY40" s="215" t="str" cm="1">
        <f t="array" aca="1" ref="AY40" ca="1">IF($B40="","",IF(ISBLANK(INDIRECT("R9.Web!D"&amp;SUM(18,38*15,21))),"",INDIRECT("R9.Web!D"&amp;SUM(18,38*15,21))))</f>
        <v>N/D</v>
      </c>
      <c r="AZ40" s="215" t="str" cm="1">
        <f t="array" aca="1" ref="AZ40" ca="1">IF($B40="","",IF(ISBLANK(INDIRECT("R9.Web!D"&amp;SUM(18,38*16,21))),"",INDIRECT("R9.Web!D"&amp;SUM(18,38*16,21))))</f>
        <v>N/T</v>
      </c>
      <c r="BA40" s="215" t="str" cm="1">
        <f t="array" aca="1" ref="BA40" ca="1">IF($B40="","",IF(ISBLANK(INDIRECT("R9.Web!D"&amp;SUM(18,38*17,21))),"",INDIRECT("R9.Web!D"&amp;SUM(18,38*17,21))))</f>
        <v>N/D</v>
      </c>
      <c r="BB40" s="215" t="str" cm="1">
        <f t="array" aca="1" ref="BB40" ca="1">IF($B40="","",IF(ISBLANK(INDIRECT("R9.Web!D"&amp;SUM(18,38*18,21))),"",INDIRECT("R9.Web!D"&amp;SUM(18,38*18,21))))</f>
        <v>N/T</v>
      </c>
      <c r="BC40" s="215" t="str" cm="1">
        <f t="array" aca="1" ref="BC40" ca="1">IF($B40="","",IF(ISBLANK(INDIRECT("R9.Web!D"&amp;SUM(18,38*19,21))),"",INDIRECT("R9.Web!D"&amp;SUM(18,38*19,21))))</f>
        <v>N/D</v>
      </c>
      <c r="BD40" s="215" t="str" cm="1">
        <f t="array" aca="1" ref="BD40" ca="1">IF($B40="","",IF(ISBLANK(INDIRECT("R9.Web!D"&amp;SUM(18,38*20,21))),"",INDIRECT("R9.Web!D"&amp;SUM(18,38*20,21))))</f>
        <v>N/T</v>
      </c>
      <c r="BE40" s="215" t="str" cm="1">
        <f t="array" aca="1" ref="BE40" ca="1">IF($B40="","",IF(ISBLANK(INDIRECT("R9.Web!D"&amp;SUM(18,38*21,21))),"",INDIRECT("R9.Web!D"&amp;SUM(18,38*21,21))))</f>
        <v>N/T</v>
      </c>
      <c r="BF40" s="215" t="str" cm="1">
        <f t="array" aca="1" ref="BF40" ca="1">IF($B40="","",IF(ISBLANK(INDIRECT("R9.Web!D"&amp;SUM(18,38*22,21))),"",INDIRECT("R9.Web!D"&amp;SUM(18,38*22,21))))</f>
        <v>N/D</v>
      </c>
      <c r="BG40" s="215" t="str" cm="1">
        <f t="array" aca="1" ref="BG40" ca="1">IF($B40="","",IF(ISBLANK(INDIRECT("R9.Web!D"&amp;SUM(18,38*23,21))),"",INDIRECT("R9.Web!D"&amp;SUM(18,38*23,21))))</f>
        <v>N/D</v>
      </c>
      <c r="BH40" s="215" t="str" cm="1">
        <f t="array" aca="1" ref="BH40" ca="1">IF($B40="","",IF(ISBLANK(INDIRECT("R9.Web!D"&amp;SUM(18,38*24,21))),"",INDIRECT("R9.Web!D"&amp;SUM(18,38*24,21))))</f>
        <v>N/T</v>
      </c>
      <c r="BI40" s="215" t="str" cm="1">
        <f t="array" aca="1" ref="BI40" ca="1">IF($B40="","",IF(ISBLANK(INDIRECT("R9.Web!D"&amp;SUM(18,38*25,21))),"",INDIRECT("R9.Web!D"&amp;SUM(18,38*25,21))))</f>
        <v>N/D</v>
      </c>
      <c r="BJ40" s="215" t="str" cm="1">
        <f t="array" aca="1" ref="BJ40" ca="1">IF($B40="","",IF(ISBLANK(INDIRECT("R9.Web!D"&amp;SUM(18,38*26,21))),"",INDIRECT("R9.Web!D"&amp;SUM(18,38*26,21))))</f>
        <v>N/D</v>
      </c>
      <c r="BK40" s="215" t="str" cm="1">
        <f t="array" aca="1" ref="BK40" ca="1">IF($B40="","",IF(ISBLANK(INDIRECT("R9.Web!D"&amp;SUM(18,38*27,21))),"",INDIRECT("R9.Web!D"&amp;SUM(18,38*27,21))))</f>
        <v>N/D</v>
      </c>
      <c r="BL40" s="215" t="str" cm="1">
        <f t="array" aca="1" ref="BL40" ca="1">IF($B40="","",IF(ISBLANK(INDIRECT("R9.Web!D"&amp;SUM(18,38*28,21))),"",INDIRECT("R9.Web!D"&amp;SUM(18,38*28,21))))</f>
        <v>N/D</v>
      </c>
      <c r="BM40" s="215" t="str" cm="1">
        <f t="array" aca="1" ref="BM40" ca="1">IF($B40="","",IF(ISBLANK(INDIRECT("R9.Web!D"&amp;SUM(18,38*29,21))),"",INDIRECT("R9.Web!D"&amp;SUM(18,38*29,21))))</f>
        <v>N/D</v>
      </c>
      <c r="BN40" s="215" t="str" cm="1">
        <f t="array" aca="1" ref="BN40" ca="1">IF($B40="","",IF(ISBLANK(INDIRECT("R9.Web!D"&amp;SUM(18,38*30,21))),"",INDIRECT("R9.Web!D"&amp;SUM(18,38*30,21))))</f>
        <v>N/T</v>
      </c>
      <c r="BO40" s="215" t="str" cm="1">
        <f t="array" aca="1" ref="BO40" ca="1">IF($B40="","",IF(ISBLANK(INDIRECT("R9.Web!D"&amp;SUM(18,38*31,21))),"",INDIRECT("R9.Web!D"&amp;SUM(18,38*31,21))))</f>
        <v>Falla</v>
      </c>
      <c r="BP40" s="215" t="str" cm="1">
        <f t="array" aca="1" ref="BP40" ca="1">IF($B40="","",IF(ISBLANK(INDIRECT("R9.Web!D"&amp;SUM(18,38*32,21))),"",INDIRECT("R9.Web!D"&amp;SUM(18,38*32,21))))</f>
        <v>N/T</v>
      </c>
      <c r="BQ40" s="215" t="str" cm="1">
        <f t="array" aca="1" ref="BQ40" ca="1">IF($B40="","",IF(ISBLANK(INDIRECT("R9.Web!D"&amp;SUM(18,38*33,21))),"",INDIRECT("R9.Web!D"&amp;SUM(18,38*33,21))))</f>
        <v>N/T</v>
      </c>
      <c r="BR40" s="215" t="str" cm="1">
        <f t="array" aca="1" ref="BR40" ca="1">IF($B40="","",IF(ISBLANK(INDIRECT("R9.Web!D"&amp;SUM(18,38*34,21))),"",INDIRECT("R9.Web!D"&amp;SUM(18,38*34,21))))</f>
        <v>N/D</v>
      </c>
      <c r="BS40" s="215" t="str" cm="1">
        <f t="array" aca="1" ref="BS40" ca="1">IF($B40="","",IF(ISBLANK(INDIRECT("R9.Web!D"&amp;SUM(18,38*35,21))),"",INDIRECT("R9.Web!D"&amp;SUM(18,38*35,21))))</f>
        <v>N/T</v>
      </c>
      <c r="BT40" s="215" t="str" cm="1">
        <f t="array" aca="1" ref="BT40" ca="1">IF($B40="","",IF(ISBLANK(INDIRECT("R9.Web!D"&amp;SUM(18,38*36,21))),"",INDIRECT("R9.Web!D"&amp;SUM(18,38*36,21))))</f>
        <v>N/D</v>
      </c>
      <c r="BU40" s="215" t="str" cm="1">
        <f t="array" aca="1" ref="BU40" ca="1">IF($B40="","",IF(ISBLANK(INDIRECT("R9.Web!D"&amp;SUM(18,38*37,21))),"",INDIRECT("R9.Web!D"&amp;SUM(18,38*37,21))))</f>
        <v>N/D</v>
      </c>
      <c r="BV40" s="215" t="str" cm="1">
        <f t="array" aca="1" ref="BV40" ca="1">IF($B40="","",IF(ISBLANK(INDIRECT("R9.Web!D"&amp;SUM(18,38*38,21))),"",INDIRECT("R9.Web!D"&amp;SUM(18,38*38,21))))</f>
        <v>N/D</v>
      </c>
      <c r="BW40" s="215" t="str" cm="1">
        <f t="array" aca="1" ref="BW40" ca="1">IF($B40="","",IF(ISBLANK(INDIRECT("R9.Web!D"&amp;SUM(18,38*39,21))),"",INDIRECT("R9.Web!D"&amp;SUM(18,38*39,21))))</f>
        <v>N/D</v>
      </c>
      <c r="BX40" s="215" t="str" cm="1">
        <f t="array" aca="1" ref="BX40" ca="1">IF($B40="","",IF(ISBLANK(INDIRECT("R9.Web!D"&amp;SUM(18,38*40,21))),"",INDIRECT("R9.Web!D"&amp;SUM(18,38*40,21))))</f>
        <v>N/D</v>
      </c>
      <c r="BY40" s="215" t="str" cm="1">
        <f t="array" aca="1" ref="BY40" ca="1">IF($B40="","",IF(ISBLANK(INDIRECT("R9.Web!D"&amp;SUM(18,38*41,21))),"",INDIRECT("R9.Web!D"&amp;SUM(18,38*41,21))))</f>
        <v>N/T</v>
      </c>
      <c r="BZ40" s="215" t="str" cm="1">
        <f t="array" aca="1" ref="BZ40" ca="1">IF($B40="","",IF(ISBLANK(INDIRECT("R9.Web!D"&amp;SUM(18,38*42,21))),"",INDIRECT("R9.Web!D"&amp;SUM(18,38*42,21))))</f>
        <v>N/T</v>
      </c>
      <c r="CA40" s="215" t="str" cm="1">
        <f t="array" aca="1" ref="CA40" ca="1">IF($B40="","",IF(ISBLANK(INDIRECT("R9.Web!D"&amp;SUM(18,38*43,21))),"",INDIRECT("R9.Web!D"&amp;SUM(18,38*43,21))))</f>
        <v>N/D</v>
      </c>
      <c r="CB40" s="215" t="str" cm="1">
        <f t="array" aca="1" ref="CB40" ca="1">IF($B40="","",IF(ISBLANK(INDIRECT("R9.Web!D"&amp;SUM(18,38*44,21))),"",INDIRECT("R9.Web!D"&amp;SUM(18,38*44,21))))</f>
        <v>N/T</v>
      </c>
      <c r="CC40" s="215" t="str" cm="1">
        <f t="array" aca="1" ref="CC40" ca="1">IF($B40="","",IF(ISBLANK(INDIRECT("R9.Web!D"&amp;SUM(18,38*45,21))),"",INDIRECT("R9.Web!D"&amp;SUM(18,38*45,21))))</f>
        <v>N/T</v>
      </c>
      <c r="CD40" s="215" t="str" cm="1">
        <f t="array" aca="1" ref="CD40" ca="1">IF($B40="","",IF(ISBLANK(INDIRECT("R9.Web!D"&amp;SUM(18,38*46,21))),"",INDIRECT("R9.Web!D"&amp;SUM(18,38*46,21))))</f>
        <v>N/T</v>
      </c>
      <c r="CE40" s="215" t="str" cm="1">
        <f t="array" aca="1" ref="CE40" ca="1">IF($B40="","",IF(ISBLANK(INDIRECT("R9.Web!D"&amp;SUM(18,38*47,21))),"",INDIRECT("R9.Web!D"&amp;SUM(18,38*47,21))))</f>
        <v>N/D</v>
      </c>
      <c r="CF40" s="215" t="str" cm="1">
        <f t="array" aca="1" ref="CF40" ca="1">IF($B40="","",IF(ISBLANK(INDIRECT("R9.Web!D"&amp;SUM(18,38*48,21))),"",INDIRECT("R9.Web!D"&amp;SUM(18,38*48,21))))</f>
        <v>N/T</v>
      </c>
      <c r="CG40" s="215" t="str" cm="1">
        <f t="array" aca="1" ref="CG40" ca="1">IF($B40="","",IF(ISBLANK(INDIRECT("R9.Web!D"&amp;SUM(18,38*49,21))),"",INDIRECT("R9.Web!D"&amp;SUM(18,38*49,21))))</f>
        <v>N/T</v>
      </c>
      <c r="CH40" s="215" t="str" cm="1">
        <f t="array" aca="1" ref="CH40" ca="1">IF($B40="","",IF(ISBLANK(INDIRECT("R11.Software!D"&amp;SUM(18,38*0,21))),"",INDIRECT("R11.Software!D"&amp;SUM(18,38*0,21))))</f>
        <v>N/T</v>
      </c>
      <c r="CI40" s="215" t="str" cm="1">
        <f t="array" aca="1" ref="CI40" ca="1">IF($B40="","",IF(ISBLANK(INDIRECT("R11.Software!D"&amp;SUM(18,38*1,21))),"",INDIRECT("R11.Software!D"&amp;SUM(18,38*1,21))))</f>
        <v>N/T</v>
      </c>
      <c r="CJ40" s="215" t="str" cm="1">
        <f t="array" aca="1" ref="CJ40" ca="1">IF($B40="","",IF(ISBLANK(INDIRECT("R11.Software!D"&amp;SUM(18,38*2,21))),"",INDIRECT("R11.Software!D"&amp;SUM(18,38*2,21))))</f>
        <v>N/T</v>
      </c>
      <c r="CK40" s="215" t="str" cm="1">
        <f t="array" aca="1" ref="CK40" ca="1">IF($B40="","",IF(ISBLANK(INDIRECT("R11.Software!D"&amp;SUM(18,38*3,21))),"",INDIRECT("R11.Software!D"&amp;SUM(18,38*3,21))))</f>
        <v>N/T</v>
      </c>
      <c r="CL40" s="215" t="str" cm="1">
        <f t="array" aca="1" ref="CL40" ca="1">IF($B40="","",IF(ISBLANK(INDIRECT("R11.Software!D"&amp;SUM(18,38*4,21))),"",INDIRECT("R11.Software!D"&amp;SUM(18,38*4,21))))</f>
        <v>N/T</v>
      </c>
      <c r="CM40" s="215" t="str" cm="1">
        <f t="array" aca="1" ref="CM40" ca="1">IF($B40="","",IF(ISBLANK(INDIRECT("R11.Software!D"&amp;SUM(18,38*5,21))),"",INDIRECT("R11.Software!D"&amp;SUM(18,38*5,21))))</f>
        <v>N/T</v>
      </c>
      <c r="CN40" s="215" t="str" cm="1">
        <f t="array" aca="1" ref="CN40" ca="1">IF($B40="","",IF(ISBLANK(INDIRECT("R12.ServiciosApoyo!D"&amp;SUM(18,38*0,21))),"",INDIRECT("R12.ServiciosApoyo!D"&amp;SUM(18,38*0,21))))</f>
        <v>N/T</v>
      </c>
      <c r="CO40" s="215" t="str" cm="1">
        <f t="array" aca="1" ref="CO40" ca="1">IF($B40="","",IF(ISBLANK(INDIRECT("R12.ServiciosApoyo!D"&amp;SUM(18,38*1,21))),"",INDIRECT("R12.ServiciosApoyo!D"&amp;SUM(18,38*1,21))))</f>
        <v>N/T</v>
      </c>
      <c r="CP40" s="215" t="str" cm="1">
        <f t="array" aca="1" ref="CP40" ca="1">IF($B40="","",IF(ISBLANK(INDIRECT("R12.ServiciosApoyo!D"&amp;SUM(18,38*2,21))),"",INDIRECT("R12.ServiciosApoyo!D"&amp;SUM(18,38*2,21))))</f>
        <v>N/T</v>
      </c>
      <c r="CQ40" s="215" t="str" cm="1">
        <f t="array" aca="1" ref="CQ40" ca="1">IF($B40="","",IF(ISBLANK(INDIRECT("R12.ServiciosApoyo!D"&amp;SUM(18,38*3,21))),"",INDIRECT("R12.ServiciosApoyo!D"&amp;SUM(18,38*3,21))))</f>
        <v>N/T</v>
      </c>
      <c r="CR40" s="215" t="str" cm="1">
        <f t="array" aca="1" ref="CR40" ca="1">IF($B40="","",IF(ISBLANK(INDIRECT("R12.ServiciosApoyo!D"&amp;SUM(18,38*4,21))),"",INDIRECT("R12.ServiciosApoyo!D"&amp;SUM(18,38*4,21))))</f>
        <v>N/T</v>
      </c>
      <c r="CU40" s="100"/>
      <c r="CV40" s="29"/>
      <c r="CW40" s="29"/>
      <c r="CX40" s="29"/>
    </row>
    <row r="41" spans="2:102" ht="20.25">
      <c r="B41" s="181" t="n" cm="1">
        <f t="array" ref="B41">IFERROR(INDEX('03.Muestra'!$B$8:$B$42,SMALL(IF("Página Web"='03.Muestra'!$D$8:$D$42,ROW('03.Muestra'!$B$8:$B$42)-MIN(ROW('03.Muestra'!$D$8:$D$42))+1,""),ROW()-19)),"")</f>
        <v>1.0</v>
      </c>
      <c r="C41" s="97" t="str" cm="1">
        <f t="array" ref="C41">IFERROR(INDEX('03.Muestra'!$C$8:$C$42,SMALL(IF("Página Web"='03.Muestra'!$D$8:$D$42,ROW('03.Muestra'!$C$8:$C$42)-MIN(ROW('03.Muestra'!$D$8:$D$42))+1,""),ROW()-19)),"")</f>
        <v>Home - PortCastelló</v>
      </c>
      <c r="D41" s="98" t="str" cm="1">
        <f t="array" ref="D41">IFERROR(INDEX('03.Muestra'!$F$8:$F$42,SMALL(IF("Página Web"='03.Muestra'!$D$8:$D$42,ROW('03.Muestra'!$F$8:$F$42)-MIN(ROW('03.Muestra'!$D$8:$D$42))+1,""),ROW()-19)),"")</f>
        <v>https://www.portcastello.com/</v>
      </c>
      <c r="E41" s="215" t="str" cm="1">
        <f t="array" aca="1" ref="E41" ca="1">IF($B41="","",IF(ISBLANK(INDIRECT("R5.Genéricos!D"&amp;SUM(18,38*0,22))),"",INDIRECT("R5.Genéricos!D"&amp;SUM(18,38*0,22))))</f>
        <v>N/T</v>
      </c>
      <c r="F41" s="215" t="str" cm="1">
        <f t="array" aca="1" ref="F41" ca="1">IF($B41="","",IF(ISBLANK(INDIRECT("R5.Genéricos!D"&amp;SUM(18,38*1,22))),"",INDIRECT("R5.Genéricos!D"&amp;SUM(18,38*1,22))))</f>
        <v>N/T</v>
      </c>
      <c r="G41" s="215" t="str" cm="1">
        <f t="array" aca="1" ref="G41" ca="1">IF($B41="","",IF(ISBLANK(INDIRECT("R5.Genéricos!D"&amp;SUM(18,38*2,22))),"",INDIRECT("R5.Genéricos!D"&amp;SUM(18,38*2,22))))</f>
        <v>N/T</v>
      </c>
      <c r="H41" s="215" t="str" cm="1">
        <f t="array" aca="1" ref="H41" ca="1">IF($B41="","",IF(ISBLANK(INDIRECT("R6.Voz!D"&amp;SUM(18,38*0,22))),"",INDIRECT("R6.Voz!D"&amp;SUM(18,38*0,22))))</f>
        <v>N/T</v>
      </c>
      <c r="I41" s="215" t="str" cm="1">
        <f t="array" aca="1" ref="I41" ca="1">IF($B41="","",IF(ISBLANK(INDIRECT("R6.Voz!D"&amp;SUM(18,38*1,22))),"",INDIRECT("R6.Voz!D"&amp;SUM(18,38*1,22))))</f>
        <v>N/T</v>
      </c>
      <c r="J41" s="215" t="str" cm="1">
        <f t="array" aca="1" ref="J41" ca="1">IF($B41="","",IF(ISBLANK(INDIRECT("R6.Voz!D"&amp;SUM(18,38*2,22))),"",INDIRECT("R6.Voz!D"&amp;SUM(18,38*2,22))))</f>
        <v>N/T</v>
      </c>
      <c r="K41" s="215" t="str" cm="1">
        <f t="array" aca="1" ref="K41" ca="1">IF($B41="","",IF(ISBLANK(INDIRECT("R6.Voz!D"&amp;SUM(18,38*3,22))),"",INDIRECT("R6.Voz!D"&amp;SUM(18,38*3,22))))</f>
        <v>N/T</v>
      </c>
      <c r="L41" s="215" t="str" cm="1">
        <f t="array" aca="1" ref="L41" ca="1">IF($B41="","",IF(ISBLANK(INDIRECT("R6.Voz!D"&amp;SUM(18,38*4,22))),"",INDIRECT("R6.Voz!D"&amp;SUM(18,38*4,22))))</f>
        <v>N/T</v>
      </c>
      <c r="M41" s="215" t="str" cm="1">
        <f t="array" aca="1" ref="M41" ca="1">IF($B41="","",IF(ISBLANK(INDIRECT("R6.Voz!D"&amp;SUM(18,38*5,22))),"",INDIRECT("R6.Voz!D"&amp;SUM(18,38*5,22))))</f>
        <v>N/T</v>
      </c>
      <c r="N41" s="215" t="str" cm="1">
        <f t="array" aca="1" ref="N41" ca="1">IF($B41="","",IF(ISBLANK(INDIRECT("R6.Voz!D"&amp;SUM(18,38*6,22))),"",INDIRECT("R6.Voz!D"&amp;SUM(18,38*6,22))))</f>
        <v>N/T</v>
      </c>
      <c r="O41" s="215" t="str" cm="1">
        <f t="array" aca="1" ref="O41" ca="1">IF($B41="","",IF(ISBLANK(INDIRECT("R6.Voz!D"&amp;SUM(18,38*7,22))),"",INDIRECT("R6.Voz!D"&amp;SUM(18,38*7,22))))</f>
        <v>N/T</v>
      </c>
      <c r="P41" s="215" t="str" cm="1">
        <f t="array" aca="1" ref="P41" ca="1">IF($B41="","",IF(ISBLANK(INDIRECT("R6.Voz!D"&amp;SUM(18,38*8,22))),"",INDIRECT("R6.Voz!D"&amp;SUM(18,38*8,22))))</f>
        <v>N/T</v>
      </c>
      <c r="Q41" s="215" t="str" cm="1">
        <f t="array" aca="1" ref="Q41" ca="1">IF($B41="","",IF(ISBLANK(INDIRECT("R6.Voz!D"&amp;SUM(18,38*9,22))),"",INDIRECT("R6.Voz!D"&amp;SUM(18,38*9,22))))</f>
        <v>N/T</v>
      </c>
      <c r="R41" s="215" t="str" cm="1">
        <f t="array" aca="1" ref="R41" ca="1">IF($B41="","",IF(ISBLANK(INDIRECT("R6.Voz!D"&amp;SUM(18,38*10,22))),"",INDIRECT("R6.Voz!D"&amp;SUM(18,38*10,22))))</f>
        <v>N/T</v>
      </c>
      <c r="S41" s="215" t="str" cm="1">
        <f t="array" aca="1" ref="S41" ca="1">IF($B41="","",IF(ISBLANK(INDIRECT("R6.Voz!D"&amp;SUM(18,38*11,22))),"",INDIRECT("R6.Voz!D"&amp;SUM(18,38*11,22))))</f>
        <v>N/T</v>
      </c>
      <c r="T41" s="215" t="str" cm="1">
        <f t="array" aca="1" ref="T41" ca="1">IF($B41="","",IF(ISBLANK(INDIRECT("R6.Voz!D"&amp;SUM(18,38*12,22))),"",INDIRECT("R6.Voz!D"&amp;SUM(18,38*12,22))))</f>
        <v>N/T</v>
      </c>
      <c r="U41" s="215" t="str" cm="1">
        <f t="array" aca="1" ref="U41" ca="1">IF($B41="","",IF(ISBLANK(INDIRECT("R6.Voz!D"&amp;SUM(18,38*13,22))),"",INDIRECT("R6.Voz!D"&amp;SUM(18,38*13,22))))</f>
        <v>N/T</v>
      </c>
      <c r="V41" s="215" t="str" cm="1">
        <f t="array" aca="1" ref="V41" ca="1">IF($B41="","",IF(ISBLANK(INDIRECT("R6.Voz!D"&amp;SUM(18,38*14,22))),"",INDIRECT("R6.Voz!D"&amp;SUM(18,38*14,22))))</f>
        <v>N/T</v>
      </c>
      <c r="W41" s="215" t="str" cm="1">
        <f t="array" aca="1" ref="W41" ca="1">IF($B41="","",IF(ISBLANK(INDIRECT("R6.Voz!D"&amp;SUM(18,38*15,22))),"",INDIRECT("R6.Voz!D"&amp;SUM(18,38*15,22))))</f>
        <v>N/T</v>
      </c>
      <c r="X41" s="215" t="str" cm="1">
        <f t="array" aca="1" ref="X41" ca="1">IF($B41="","",IF(ISBLANK(INDIRECT("R6.Voz!D"&amp;SUM(18,38*16,22))),"",INDIRECT("R6.Voz!D"&amp;SUM(18,38*16,22))))</f>
        <v>N/T</v>
      </c>
      <c r="Y41" s="215" t="str" cm="1">
        <f t="array" aca="1" ref="Y41" ca="1">IF($B41="","",IF(ISBLANK(INDIRECT("R6.Voz!D"&amp;SUM(18,38*17,22))),"",INDIRECT("R6.Voz!D"&amp;SUM(18,38*17,22))))</f>
        <v>N/T</v>
      </c>
      <c r="Z41" s="215" t="str" cm="1">
        <f t="array" aca="1" ref="Z41" ca="1">IF($B41="","",IF(ISBLANK(INDIRECT("R6.Voz!D"&amp;SUM(18,38*18,22))),"",INDIRECT("R6.Voz!D"&amp;SUM(18,38*18,22))))</f>
        <v>N/T</v>
      </c>
      <c r="AA41" s="215" t="str" cm="1">
        <f t="array" aca="1" ref="AA41" ca="1">IF($B41="","",IF(ISBLANK(INDIRECT("R7.Video!D"&amp;SUM(18,38*0,22))),"",INDIRECT("R7.Video!D"&amp;SUM(18,38*0,22))))</f>
        <v>N/T</v>
      </c>
      <c r="AB41" s="215" t="str" cm="1">
        <f t="array" aca="1" ref="AB41" ca="1">IF($B41="","",IF(ISBLANK(INDIRECT("R7.Video!D"&amp;SUM(18,38*1,22))),"",INDIRECT("R7.Video!D"&amp;SUM(18,38*1,22))))</f>
        <v>N/T</v>
      </c>
      <c r="AC41" s="215" t="str" cm="1">
        <f t="array" aca="1" ref="AC41" ca="1">IF($B41="","",IF(ISBLANK(INDIRECT("R7.Video!D"&amp;SUM(18,38*2,22))),"",INDIRECT("R7.Video!D"&amp;SUM(18,38*2,22))))</f>
        <v>N/T</v>
      </c>
      <c r="AD41" s="215" t="str" cm="1">
        <f t="array" aca="1" ref="AD41" ca="1">IF($B41="","",IF(ISBLANK(INDIRECT("R7.Video!D"&amp;SUM(18,38*3,22))),"",INDIRECT("R7.Video!D"&amp;SUM(18,38*3,22))))</f>
        <v>N/T</v>
      </c>
      <c r="AE41" s="215" t="str" cm="1">
        <f t="array" aca="1" ref="AE41" ca="1">IF($B41="","",IF(ISBLANK(INDIRECT("R7.Video!D"&amp;SUM(18,38*4,22))),"",INDIRECT("R7.Video!D"&amp;SUM(18,38*4,22))))</f>
        <v>N/T</v>
      </c>
      <c r="AF41" s="215" t="str" cm="1">
        <f t="array" aca="1" ref="AF41" ca="1">IF($B41="","",IF(ISBLANK(INDIRECT("R7.Video!D"&amp;SUM(18,38*5,22))),"",INDIRECT("R7.Video!D"&amp;SUM(18,38*5,22))))</f>
        <v>N/T</v>
      </c>
      <c r="AG41" s="215" t="str" cm="1">
        <f t="array" aca="1" ref="AG41" ca="1">IF($B41="","",IF(ISBLANK(INDIRECT("R7.Video!D"&amp;SUM(18,38*6,22))),"",INDIRECT("R7.Video!D"&amp;SUM(18,38*6,22))))</f>
        <v>N/T</v>
      </c>
      <c r="AH41" s="215" t="str" cm="1">
        <f t="array" aca="1" ref="AH41" ca="1">IF($B41="","",IF(ISBLANK(INDIRECT("R7.Video!D"&amp;SUM(18,38*7,22))),"",INDIRECT("R7.Video!D"&amp;SUM(18,38*7,22))))</f>
        <v>N/T</v>
      </c>
      <c r="AI41" s="215" t="str" cm="1">
        <f t="array" aca="1" ref="AI41" ca="1">IF($B41="","",IF(ISBLANK(INDIRECT("R7.Video!D"&amp;SUM(18,38*8,22))),"",INDIRECT("R7.Video!D"&amp;SUM(18,38*8,22))))</f>
        <v>N/T</v>
      </c>
      <c r="AJ41" s="215" t="str" cm="1">
        <f t="array" aca="1" ref="AJ41" ca="1">IF($B41="","",IF(ISBLANK(INDIRECT("R9.Web!D"&amp;SUM(18,38*0,22))),"",INDIRECT("R9.Web!D"&amp;SUM(18,38*0,22))))</f>
        <v>N/D</v>
      </c>
      <c r="AK41" s="215" t="str" cm="1">
        <f t="array" aca="1" ref="AK41" ca="1">IF($B41="","",IF(ISBLANK(INDIRECT("R9.Web!D"&amp;SUM(18,38*1,22))),"",INDIRECT("R9.Web!D"&amp;SUM(18,38*1,22))))</f>
        <v>N/T</v>
      </c>
      <c r="AL41" s="215" t="str" cm="1">
        <f t="array" aca="1" ref="AL41" ca="1">IF($B41="","",IF(ISBLANK(INDIRECT("R9.Web!D"&amp;SUM(18,38*2,22))),"",INDIRECT("R9.Web!D"&amp;SUM(18,38*2,22))))</f>
        <v>N/T</v>
      </c>
      <c r="AM41" s="215" t="str" cm="1">
        <f t="array" aca="1" ref="AM41" ca="1">IF($B41="","",IF(ISBLANK(INDIRECT("R9.Web!D"&amp;SUM(18,38*3,22))),"",INDIRECT("R9.Web!D"&amp;SUM(18,38*3,22))))</f>
        <v>N/T</v>
      </c>
      <c r="AN41" s="215" t="str" cm="1">
        <f t="array" aca="1" ref="AN41" ca="1">IF($B41="","",IF(ISBLANK(INDIRECT("R9.Web!D"&amp;SUM(18,38*4,22))),"",INDIRECT("R9.Web!D"&amp;SUM(18,38*4,22))))</f>
        <v>N/T</v>
      </c>
      <c r="AO41" s="215" t="str" cm="1">
        <f t="array" aca="1" ref="AO41" ca="1">IF($B41="","",IF(ISBLANK(INDIRECT("R9.Web!D"&amp;SUM(18,38*5,22))),"",INDIRECT("R9.Web!D"&amp;SUM(18,38*5,22))))</f>
        <v>N/D</v>
      </c>
      <c r="AP41" s="215" t="str" cm="1">
        <f t="array" aca="1" ref="AP41" ca="1">IF($B41="","",IF(ISBLANK(INDIRECT("R9.Web!D"&amp;SUM(18,38*6,22))),"",INDIRECT("R9.Web!D"&amp;SUM(18,38*6,22))))</f>
        <v>N/T</v>
      </c>
      <c r="AQ41" s="215" t="str" cm="1">
        <f t="array" aca="1" ref="AQ41" ca="1">IF($B41="","",IF(ISBLANK(INDIRECT("R9.Web!D"&amp;SUM(18,38*7,22))),"",INDIRECT("R9.Web!D"&amp;SUM(18,38*7,22))))</f>
        <v>N/T</v>
      </c>
      <c r="AR41" s="215" t="str" cm="1">
        <f t="array" aca="1" ref="AR41" ca="1">IF($B41="","",IF(ISBLANK(INDIRECT("R9.Web!D"&amp;SUM(18,38*8,22))),"",INDIRECT("R9.Web!D"&amp;SUM(18,38*8,22))))</f>
        <v>N/D</v>
      </c>
      <c r="AS41" s="215" t="str" cm="1">
        <f t="array" aca="1" ref="AS41" ca="1">IF($B41="","",IF(ISBLANK(INDIRECT("R9.Web!D"&amp;SUM(18,38*9,22))),"",INDIRECT("R9.Web!D"&amp;SUM(18,38*9,22))))</f>
        <v>N/D</v>
      </c>
      <c r="AT41" s="215" t="str" cm="1">
        <f t="array" aca="1" ref="AT41" ca="1">IF($B41="","",IF(ISBLANK(INDIRECT("R9.Web!D"&amp;SUM(18,38*10,22))),"",INDIRECT("R9.Web!D"&amp;SUM(18,38*10,22))))</f>
        <v>N/T</v>
      </c>
      <c r="AU41" s="215" t="str" cm="1">
        <f t="array" aca="1" ref="AU41" ca="1">IF($B41="","",IF(ISBLANK(INDIRECT("R9.Web!D"&amp;SUM(18,38*11,22))),"",INDIRECT("R9.Web!D"&amp;SUM(18,38*11,22))))</f>
        <v>N/T</v>
      </c>
      <c r="AV41" s="215" t="str" cm="1">
        <f t="array" aca="1" ref="AV41" ca="1">IF($B41="","",IF(ISBLANK(INDIRECT("R9.Web!D"&amp;SUM(18,38*12,22))),"",INDIRECT("R9.Web!D"&amp;SUM(18,38*12,22))))</f>
        <v>N/D</v>
      </c>
      <c r="AW41" s="215" t="str" cm="1">
        <f t="array" aca="1" ref="AW41" ca="1">IF($B41="","",IF(ISBLANK(INDIRECT("R9.Web!D"&amp;SUM(18,38*13,22))),"",INDIRECT("R9.Web!D"&amp;SUM(18,38*13,22))))</f>
        <v>N/T</v>
      </c>
      <c r="AX41" s="215" t="str" cm="1">
        <f t="array" aca="1" ref="AX41" ca="1">IF($B41="","",IF(ISBLANK(INDIRECT("R9.Web!D"&amp;SUM(18,38*14,22))),"",INDIRECT("R9.Web!D"&amp;SUM(18,38*14,22))))</f>
        <v>N/T</v>
      </c>
      <c r="AY41" s="215" t="str" cm="1">
        <f t="array" aca="1" ref="AY41" ca="1">IF($B41="","",IF(ISBLANK(INDIRECT("R9.Web!D"&amp;SUM(18,38*15,22))),"",INDIRECT("R9.Web!D"&amp;SUM(18,38*15,22))))</f>
        <v>N/D</v>
      </c>
      <c r="AZ41" s="215" t="str" cm="1">
        <f t="array" aca="1" ref="AZ41" ca="1">IF($B41="","",IF(ISBLANK(INDIRECT("R9.Web!D"&amp;SUM(18,38*16,22))),"",INDIRECT("R9.Web!D"&amp;SUM(18,38*16,22))))</f>
        <v>N/T</v>
      </c>
      <c r="BA41" s="215" t="str" cm="1">
        <f t="array" aca="1" ref="BA41" ca="1">IF($B41="","",IF(ISBLANK(INDIRECT("R9.Web!D"&amp;SUM(18,38*17,22))),"",INDIRECT("R9.Web!D"&amp;SUM(18,38*17,22))))</f>
        <v>N/D</v>
      </c>
      <c r="BB41" s="215" t="str" cm="1">
        <f t="array" aca="1" ref="BB41" ca="1">IF($B41="","",IF(ISBLANK(INDIRECT("R9.Web!D"&amp;SUM(18,38*18,22))),"",INDIRECT("R9.Web!D"&amp;SUM(18,38*18,22))))</f>
        <v>N/T</v>
      </c>
      <c r="BC41" s="215" t="str" cm="1">
        <f t="array" aca="1" ref="BC41" ca="1">IF($B41="","",IF(ISBLANK(INDIRECT("R9.Web!D"&amp;SUM(18,38*19,22))),"",INDIRECT("R9.Web!D"&amp;SUM(18,38*19,22))))</f>
        <v>N/D</v>
      </c>
      <c r="BD41" s="215" t="str" cm="1">
        <f t="array" aca="1" ref="BD41" ca="1">IF($B41="","",IF(ISBLANK(INDIRECT("R9.Web!D"&amp;SUM(18,38*20,22))),"",INDIRECT("R9.Web!D"&amp;SUM(18,38*20,22))))</f>
        <v>N/T</v>
      </c>
      <c r="BE41" s="215" t="str" cm="1">
        <f t="array" aca="1" ref="BE41" ca="1">IF($B41="","",IF(ISBLANK(INDIRECT("R9.Web!D"&amp;SUM(18,38*21,22))),"",INDIRECT("R9.Web!D"&amp;SUM(18,38*21,22))))</f>
        <v>N/T</v>
      </c>
      <c r="BF41" s="215" t="str" cm="1">
        <f t="array" aca="1" ref="BF41" ca="1">IF($B41="","",IF(ISBLANK(INDIRECT("R9.Web!D"&amp;SUM(18,38*22,22))),"",INDIRECT("R9.Web!D"&amp;SUM(18,38*22,22))))</f>
        <v>N/D</v>
      </c>
      <c r="BG41" s="215" t="str" cm="1">
        <f t="array" aca="1" ref="BG41" ca="1">IF($B41="","",IF(ISBLANK(INDIRECT("R9.Web!D"&amp;SUM(18,38*23,22))),"",INDIRECT("R9.Web!D"&amp;SUM(18,38*23,22))))</f>
        <v>N/D</v>
      </c>
      <c r="BH41" s="215" t="str" cm="1">
        <f t="array" aca="1" ref="BH41" ca="1">IF($B41="","",IF(ISBLANK(INDIRECT("R9.Web!D"&amp;SUM(18,38*24,22))),"",INDIRECT("R9.Web!D"&amp;SUM(18,38*24,22))))</f>
        <v>N/T</v>
      </c>
      <c r="BI41" s="215" t="str" cm="1">
        <f t="array" aca="1" ref="BI41" ca="1">IF($B41="","",IF(ISBLANK(INDIRECT("R9.Web!D"&amp;SUM(18,38*25,22))),"",INDIRECT("R9.Web!D"&amp;SUM(18,38*25,22))))</f>
        <v>N/D</v>
      </c>
      <c r="BJ41" s="215" t="str" cm="1">
        <f t="array" aca="1" ref="BJ41" ca="1">IF($B41="","",IF(ISBLANK(INDIRECT("R9.Web!D"&amp;SUM(18,38*26,22))),"",INDIRECT("R9.Web!D"&amp;SUM(18,38*26,22))))</f>
        <v>N/D</v>
      </c>
      <c r="BK41" s="215" t="str" cm="1">
        <f t="array" aca="1" ref="BK41" ca="1">IF($B41="","",IF(ISBLANK(INDIRECT("R9.Web!D"&amp;SUM(18,38*27,22))),"",INDIRECT("R9.Web!D"&amp;SUM(18,38*27,22))))</f>
        <v>N/D</v>
      </c>
      <c r="BL41" s="215" t="str" cm="1">
        <f t="array" aca="1" ref="BL41" ca="1">IF($B41="","",IF(ISBLANK(INDIRECT("R9.Web!D"&amp;SUM(18,38*28,22))),"",INDIRECT("R9.Web!D"&amp;SUM(18,38*28,22))))</f>
        <v>N/D</v>
      </c>
      <c r="BM41" s="215" t="str" cm="1">
        <f t="array" aca="1" ref="BM41" ca="1">IF($B41="","",IF(ISBLANK(INDIRECT("R9.Web!D"&amp;SUM(18,38*29,22))),"",INDIRECT("R9.Web!D"&amp;SUM(18,38*29,22))))</f>
        <v>N/D</v>
      </c>
      <c r="BN41" s="215" t="str" cm="1">
        <f t="array" aca="1" ref="BN41" ca="1">IF($B41="","",IF(ISBLANK(INDIRECT("R9.Web!D"&amp;SUM(18,38*30,22))),"",INDIRECT("R9.Web!D"&amp;SUM(18,38*30,22))))</f>
        <v>N/T</v>
      </c>
      <c r="BO41" s="215" t="str" cm="1">
        <f t="array" aca="1" ref="BO41" ca="1">IF($B41="","",IF(ISBLANK(INDIRECT("R9.Web!D"&amp;SUM(18,38*31,22))),"",INDIRECT("R9.Web!D"&amp;SUM(18,38*31,22))))</f>
        <v>Falla</v>
      </c>
      <c r="BP41" s="215" t="str" cm="1">
        <f t="array" aca="1" ref="BP41" ca="1">IF($B41="","",IF(ISBLANK(INDIRECT("R9.Web!D"&amp;SUM(18,38*32,22))),"",INDIRECT("R9.Web!D"&amp;SUM(18,38*32,22))))</f>
        <v>N/T</v>
      </c>
      <c r="BQ41" s="215" t="str" cm="1">
        <f t="array" aca="1" ref="BQ41" ca="1">IF($B41="","",IF(ISBLANK(INDIRECT("R9.Web!D"&amp;SUM(18,38*33,22))),"",INDIRECT("R9.Web!D"&amp;SUM(18,38*33,22))))</f>
        <v>N/T</v>
      </c>
      <c r="BR41" s="215" t="str" cm="1">
        <f t="array" aca="1" ref="BR41" ca="1">IF($B41="","",IF(ISBLANK(INDIRECT("R9.Web!D"&amp;SUM(18,38*34,22))),"",INDIRECT("R9.Web!D"&amp;SUM(18,38*34,22))))</f>
        <v>N/D</v>
      </c>
      <c r="BS41" s="215" t="str" cm="1">
        <f t="array" aca="1" ref="BS41" ca="1">IF($B41="","",IF(ISBLANK(INDIRECT("R9.Web!D"&amp;SUM(18,38*35,22))),"",INDIRECT("R9.Web!D"&amp;SUM(18,38*35,22))))</f>
        <v>N/T</v>
      </c>
      <c r="BT41" s="215" t="str" cm="1">
        <f t="array" aca="1" ref="BT41" ca="1">IF($B41="","",IF(ISBLANK(INDIRECT("R9.Web!D"&amp;SUM(18,38*36,22))),"",INDIRECT("R9.Web!D"&amp;SUM(18,38*36,22))))</f>
        <v>N/D</v>
      </c>
      <c r="BU41" s="215" t="str" cm="1">
        <f t="array" aca="1" ref="BU41" ca="1">IF($B41="","",IF(ISBLANK(INDIRECT("R9.Web!D"&amp;SUM(18,38*37,22))),"",INDIRECT("R9.Web!D"&amp;SUM(18,38*37,22))))</f>
        <v>Falla</v>
      </c>
      <c r="BV41" s="215" t="str" cm="1">
        <f t="array" aca="1" ref="BV41" ca="1">IF($B41="","",IF(ISBLANK(INDIRECT("R9.Web!D"&amp;SUM(18,38*38,22))),"",INDIRECT("R9.Web!D"&amp;SUM(18,38*38,22))))</f>
        <v>N/D</v>
      </c>
      <c r="BW41" s="215" t="str" cm="1">
        <f t="array" aca="1" ref="BW41" ca="1">IF($B41="","",IF(ISBLANK(INDIRECT("R9.Web!D"&amp;SUM(18,38*39,22))),"",INDIRECT("R9.Web!D"&amp;SUM(18,38*39,22))))</f>
        <v>N/D</v>
      </c>
      <c r="BX41" s="215" t="str" cm="1">
        <f t="array" aca="1" ref="BX41" ca="1">IF($B41="","",IF(ISBLANK(INDIRECT("R9.Web!D"&amp;SUM(18,38*40,22))),"",INDIRECT("R9.Web!D"&amp;SUM(18,38*40,22))))</f>
        <v>N/D</v>
      </c>
      <c r="BY41" s="215" t="str" cm="1">
        <f t="array" aca="1" ref="BY41" ca="1">IF($B41="","",IF(ISBLANK(INDIRECT("R9.Web!D"&amp;SUM(18,38*41,22))),"",INDIRECT("R9.Web!D"&amp;SUM(18,38*41,22))))</f>
        <v>N/T</v>
      </c>
      <c r="BZ41" s="215" t="str" cm="1">
        <f t="array" aca="1" ref="BZ41" ca="1">IF($B41="","",IF(ISBLANK(INDIRECT("R9.Web!D"&amp;SUM(18,38*42,22))),"",INDIRECT("R9.Web!D"&amp;SUM(18,38*42,22))))</f>
        <v>N/T</v>
      </c>
      <c r="CA41" s="215" t="str" cm="1">
        <f t="array" aca="1" ref="CA41" ca="1">IF($B41="","",IF(ISBLANK(INDIRECT("R9.Web!D"&amp;SUM(18,38*43,22))),"",INDIRECT("R9.Web!D"&amp;SUM(18,38*43,22))))</f>
        <v>N/D</v>
      </c>
      <c r="CB41" s="215" t="str" cm="1">
        <f t="array" aca="1" ref="CB41" ca="1">IF($B41="","",IF(ISBLANK(INDIRECT("R9.Web!D"&amp;SUM(18,38*44,22))),"",INDIRECT("R9.Web!D"&amp;SUM(18,38*44,22))))</f>
        <v>N/T</v>
      </c>
      <c r="CC41" s="215" t="str" cm="1">
        <f t="array" aca="1" ref="CC41" ca="1">IF($B41="","",IF(ISBLANK(INDIRECT("R9.Web!D"&amp;SUM(18,38*45,22))),"",INDIRECT("R9.Web!D"&amp;SUM(18,38*45,22))))</f>
        <v>N/T</v>
      </c>
      <c r="CD41" s="215" t="str" cm="1">
        <f t="array" aca="1" ref="CD41" ca="1">IF($B41="","",IF(ISBLANK(INDIRECT("R9.Web!D"&amp;SUM(18,38*46,22))),"",INDIRECT("R9.Web!D"&amp;SUM(18,38*46,22))))</f>
        <v>N/T</v>
      </c>
      <c r="CE41" s="215" t="str" cm="1">
        <f t="array" aca="1" ref="CE41" ca="1">IF($B41="","",IF(ISBLANK(INDIRECT("R9.Web!D"&amp;SUM(18,38*47,22))),"",INDIRECT("R9.Web!D"&amp;SUM(18,38*47,22))))</f>
        <v>N/D</v>
      </c>
      <c r="CF41" s="215" t="str" cm="1">
        <f t="array" aca="1" ref="CF41" ca="1">IF($B41="","",IF(ISBLANK(INDIRECT("R9.Web!D"&amp;SUM(18,38*48,22))),"",INDIRECT("R9.Web!D"&amp;SUM(18,38*48,22))))</f>
        <v>N/T</v>
      </c>
      <c r="CG41" s="215" t="str" cm="1">
        <f t="array" aca="1" ref="CG41" ca="1">IF($B41="","",IF(ISBLANK(INDIRECT("R9.Web!D"&amp;SUM(18,38*49,22))),"",INDIRECT("R9.Web!D"&amp;SUM(18,38*49,22))))</f>
        <v>N/T</v>
      </c>
      <c r="CH41" s="215" t="str" cm="1">
        <f t="array" aca="1" ref="CH41" ca="1">IF($B41="","",IF(ISBLANK(INDIRECT("R11.Software!D"&amp;SUM(18,38*0,22))),"",INDIRECT("R11.Software!D"&amp;SUM(18,38*0,22))))</f>
        <v>N/T</v>
      </c>
      <c r="CI41" s="215" t="str" cm="1">
        <f t="array" aca="1" ref="CI41" ca="1">IF($B41="","",IF(ISBLANK(INDIRECT("R11.Software!D"&amp;SUM(18,38*1,22))),"",INDIRECT("R11.Software!D"&amp;SUM(18,38*1,22))))</f>
        <v>N/T</v>
      </c>
      <c r="CJ41" s="215" t="str" cm="1">
        <f t="array" aca="1" ref="CJ41" ca="1">IF($B41="","",IF(ISBLANK(INDIRECT("R11.Software!D"&amp;SUM(18,38*2,22))),"",INDIRECT("R11.Software!D"&amp;SUM(18,38*2,22))))</f>
        <v>N/T</v>
      </c>
      <c r="CK41" s="215" t="str" cm="1">
        <f t="array" aca="1" ref="CK41" ca="1">IF($B41="","",IF(ISBLANK(INDIRECT("R11.Software!D"&amp;SUM(18,38*3,22))),"",INDIRECT("R11.Software!D"&amp;SUM(18,38*3,22))))</f>
        <v>N/T</v>
      </c>
      <c r="CL41" s="215" t="str" cm="1">
        <f t="array" aca="1" ref="CL41" ca="1">IF($B41="","",IF(ISBLANK(INDIRECT("R11.Software!D"&amp;SUM(18,38*4,22))),"",INDIRECT("R11.Software!D"&amp;SUM(18,38*4,22))))</f>
        <v>N/T</v>
      </c>
      <c r="CM41" s="215" t="str" cm="1">
        <f t="array" aca="1" ref="CM41" ca="1">IF($B41="","",IF(ISBLANK(INDIRECT("R11.Software!D"&amp;SUM(18,38*5,22))),"",INDIRECT("R11.Software!D"&amp;SUM(18,38*5,22))))</f>
        <v>N/T</v>
      </c>
      <c r="CN41" s="215" t="str" cm="1">
        <f t="array" aca="1" ref="CN41" ca="1">IF($B41="","",IF(ISBLANK(INDIRECT("R12.ServiciosApoyo!D"&amp;SUM(18,38*0,22))),"",INDIRECT("R12.ServiciosApoyo!D"&amp;SUM(18,38*0,22))))</f>
        <v>N/T</v>
      </c>
      <c r="CO41" s="215" t="str" cm="1">
        <f t="array" aca="1" ref="CO41" ca="1">IF($B41="","",IF(ISBLANK(INDIRECT("R12.ServiciosApoyo!D"&amp;SUM(18,38*1,22))),"",INDIRECT("R12.ServiciosApoyo!D"&amp;SUM(18,38*1,22))))</f>
        <v>N/T</v>
      </c>
      <c r="CP41" s="215" t="str" cm="1">
        <f t="array" aca="1" ref="CP41" ca="1">IF($B41="","",IF(ISBLANK(INDIRECT("R12.ServiciosApoyo!D"&amp;SUM(18,38*2,22))),"",INDIRECT("R12.ServiciosApoyo!D"&amp;SUM(18,38*2,22))))</f>
        <v>N/T</v>
      </c>
      <c r="CQ41" s="215" t="str" cm="1">
        <f t="array" aca="1" ref="CQ41" ca="1">IF($B41="","",IF(ISBLANK(INDIRECT("R12.ServiciosApoyo!D"&amp;SUM(18,38*3,22))),"",INDIRECT("R12.ServiciosApoyo!D"&amp;SUM(18,38*3,22))))</f>
        <v>N/T</v>
      </c>
      <c r="CR41" s="215" t="str" cm="1">
        <f t="array" aca="1" ref="CR41" ca="1">IF($B41="","",IF(ISBLANK(INDIRECT("R12.ServiciosApoyo!D"&amp;SUM(18,38*4,22))),"",INDIRECT("R12.ServiciosApoyo!D"&amp;SUM(18,38*4,22))))</f>
        <v>N/T</v>
      </c>
      <c r="CU41" s="100"/>
      <c r="CV41" s="29"/>
      <c r="CW41" s="29"/>
      <c r="CX41" s="29"/>
    </row>
    <row r="42" spans="2:102" ht="20.25">
      <c r="B42" s="181" t="n" cm="1">
        <f t="array" ref="B42">IFERROR(INDEX('03.Muestra'!$B$8:$B$42,SMALL(IF("Página Web"='03.Muestra'!$D$8:$D$42,ROW('03.Muestra'!$B$8:$B$42)-MIN(ROW('03.Muestra'!$D$8:$D$42))+1,""),ROW()-19)),"")</f>
        <v>1.0</v>
      </c>
      <c r="C42" s="97" t="str" cm="1">
        <f t="array" ref="C42">IFERROR(INDEX('03.Muestra'!$C$8:$C$42,SMALL(IF("Página Web"='03.Muestra'!$D$8:$D$42,ROW('03.Muestra'!$C$8:$C$42)-MIN(ROW('03.Muestra'!$D$8:$D$42))+1,""),ROW()-19)),"")</f>
        <v>Home - PortCastelló</v>
      </c>
      <c r="D42" s="98" t="str" cm="1">
        <f t="array" ref="D42">IFERROR(INDEX('03.Muestra'!$F$8:$F$42,SMALL(IF("Página Web"='03.Muestra'!$D$8:$D$42,ROW('03.Muestra'!$F$8:$F$42)-MIN(ROW('03.Muestra'!$D$8:$D$42))+1,""),ROW()-19)),"")</f>
        <v>https://www.portcastello.com/</v>
      </c>
      <c r="E42" s="215" t="str" cm="1">
        <f t="array" aca="1" ref="E42" ca="1">IF($B42="","",IF(ISBLANK(INDIRECT("R5.Genéricos!D"&amp;SUM(18,38*0,23))),"",INDIRECT("R5.Genéricos!D"&amp;SUM(18,38*0,23))))</f>
        <v>N/T</v>
      </c>
      <c r="F42" s="215" t="str" cm="1">
        <f t="array" aca="1" ref="F42" ca="1">IF($B42="","",IF(ISBLANK(INDIRECT("R5.Genéricos!D"&amp;SUM(18,38*1,23))),"",INDIRECT("R5.Genéricos!D"&amp;SUM(18,38*1,23))))</f>
        <v>N/T</v>
      </c>
      <c r="G42" s="215" t="str" cm="1">
        <f t="array" aca="1" ref="G42" ca="1">IF($B42="","",IF(ISBLANK(INDIRECT("R5.Genéricos!D"&amp;SUM(18,38*2,23))),"",INDIRECT("R5.Genéricos!D"&amp;SUM(18,38*2,23))))</f>
        <v>N/T</v>
      </c>
      <c r="H42" s="215" t="str" cm="1">
        <f t="array" aca="1" ref="H42" ca="1">IF($B42="","",IF(ISBLANK(INDIRECT("R6.Voz!D"&amp;SUM(18,38*0,23))),"",INDIRECT("R6.Voz!D"&amp;SUM(18,38*0,23))))</f>
        <v>N/T</v>
      </c>
      <c r="I42" s="215" t="str" cm="1">
        <f t="array" aca="1" ref="I42" ca="1">IF($B42="","",IF(ISBLANK(INDIRECT("R6.Voz!D"&amp;SUM(18,38*1,23))),"",INDIRECT("R6.Voz!D"&amp;SUM(18,38*1,23))))</f>
        <v>N/T</v>
      </c>
      <c r="J42" s="215" t="str" cm="1">
        <f t="array" aca="1" ref="J42" ca="1">IF($B42="","",IF(ISBLANK(INDIRECT("R6.Voz!D"&amp;SUM(18,38*2,23))),"",INDIRECT("R6.Voz!D"&amp;SUM(18,38*2,23))))</f>
        <v>N/T</v>
      </c>
      <c r="K42" s="215" t="str" cm="1">
        <f t="array" aca="1" ref="K42" ca="1">IF($B42="","",IF(ISBLANK(INDIRECT("R6.Voz!D"&amp;SUM(18,38*3,23))),"",INDIRECT("R6.Voz!D"&amp;SUM(18,38*3,23))))</f>
        <v>N/T</v>
      </c>
      <c r="L42" s="215" t="str" cm="1">
        <f t="array" aca="1" ref="L42" ca="1">IF($B42="","",IF(ISBLANK(INDIRECT("R6.Voz!D"&amp;SUM(18,38*4,23))),"",INDIRECT("R6.Voz!D"&amp;SUM(18,38*4,23))))</f>
        <v>N/T</v>
      </c>
      <c r="M42" s="215" t="str" cm="1">
        <f t="array" aca="1" ref="M42" ca="1">IF($B42="","",IF(ISBLANK(INDIRECT("R6.Voz!D"&amp;SUM(18,38*5,23))),"",INDIRECT("R6.Voz!D"&amp;SUM(18,38*5,23))))</f>
        <v>N/T</v>
      </c>
      <c r="N42" s="215" t="str" cm="1">
        <f t="array" aca="1" ref="N42" ca="1">IF($B42="","",IF(ISBLANK(INDIRECT("R6.Voz!D"&amp;SUM(18,38*6,23))),"",INDIRECT("R6.Voz!D"&amp;SUM(18,38*6,23))))</f>
        <v>N/T</v>
      </c>
      <c r="O42" s="215" t="str" cm="1">
        <f t="array" aca="1" ref="O42" ca="1">IF($B42="","",IF(ISBLANK(INDIRECT("R6.Voz!D"&amp;SUM(18,38*7,23))),"",INDIRECT("R6.Voz!D"&amp;SUM(18,38*7,23))))</f>
        <v>N/T</v>
      </c>
      <c r="P42" s="215" t="str" cm="1">
        <f t="array" aca="1" ref="P42" ca="1">IF($B42="","",IF(ISBLANK(INDIRECT("R6.Voz!D"&amp;SUM(18,38*8,23))),"",INDIRECT("R6.Voz!D"&amp;SUM(18,38*8,23))))</f>
        <v>N/T</v>
      </c>
      <c r="Q42" s="215" t="str" cm="1">
        <f t="array" aca="1" ref="Q42" ca="1">IF($B42="","",IF(ISBLANK(INDIRECT("R6.Voz!D"&amp;SUM(18,38*9,23))),"",INDIRECT("R6.Voz!D"&amp;SUM(18,38*9,23))))</f>
        <v>N/T</v>
      </c>
      <c r="R42" s="215" t="str" cm="1">
        <f t="array" aca="1" ref="R42" ca="1">IF($B42="","",IF(ISBLANK(INDIRECT("R6.Voz!D"&amp;SUM(18,38*10,23))),"",INDIRECT("R6.Voz!D"&amp;SUM(18,38*10,23))))</f>
        <v>N/T</v>
      </c>
      <c r="S42" s="215" t="str" cm="1">
        <f t="array" aca="1" ref="S42" ca="1">IF($B42="","",IF(ISBLANK(INDIRECT("R6.Voz!D"&amp;SUM(18,38*11,23))),"",INDIRECT("R6.Voz!D"&amp;SUM(18,38*11,23))))</f>
        <v>N/T</v>
      </c>
      <c r="T42" s="215" t="str" cm="1">
        <f t="array" aca="1" ref="T42" ca="1">IF($B42="","",IF(ISBLANK(INDIRECT("R6.Voz!D"&amp;SUM(18,38*12,23))),"",INDIRECT("R6.Voz!D"&amp;SUM(18,38*12,23))))</f>
        <v>N/T</v>
      </c>
      <c r="U42" s="215" t="str" cm="1">
        <f t="array" aca="1" ref="U42" ca="1">IF($B42="","",IF(ISBLANK(INDIRECT("R6.Voz!D"&amp;SUM(18,38*13,23))),"",INDIRECT("R6.Voz!D"&amp;SUM(18,38*13,23))))</f>
        <v>N/T</v>
      </c>
      <c r="V42" s="215" t="str" cm="1">
        <f t="array" aca="1" ref="V42" ca="1">IF($B42="","",IF(ISBLANK(INDIRECT("R6.Voz!D"&amp;SUM(18,38*14,23))),"",INDIRECT("R6.Voz!D"&amp;SUM(18,38*14,23))))</f>
        <v>N/T</v>
      </c>
      <c r="W42" s="215" t="str" cm="1">
        <f t="array" aca="1" ref="W42" ca="1">IF($B42="","",IF(ISBLANK(INDIRECT("R6.Voz!D"&amp;SUM(18,38*15,23))),"",INDIRECT("R6.Voz!D"&amp;SUM(18,38*15,23))))</f>
        <v>N/T</v>
      </c>
      <c r="X42" s="215" t="str" cm="1">
        <f t="array" aca="1" ref="X42" ca="1">IF($B42="","",IF(ISBLANK(INDIRECT("R6.Voz!D"&amp;SUM(18,38*16,23))),"",INDIRECT("R6.Voz!D"&amp;SUM(18,38*16,23))))</f>
        <v>N/T</v>
      </c>
      <c r="Y42" s="215" t="str" cm="1">
        <f t="array" aca="1" ref="Y42" ca="1">IF($B42="","",IF(ISBLANK(INDIRECT("R6.Voz!D"&amp;SUM(18,38*17,23))),"",INDIRECT("R6.Voz!D"&amp;SUM(18,38*17,23))))</f>
        <v>N/T</v>
      </c>
      <c r="Z42" s="215" t="str" cm="1">
        <f t="array" aca="1" ref="Z42" ca="1">IF($B42="","",IF(ISBLANK(INDIRECT("R6.Voz!D"&amp;SUM(18,38*18,23))),"",INDIRECT("R6.Voz!D"&amp;SUM(18,38*18,23))))</f>
        <v>N/T</v>
      </c>
      <c r="AA42" s="215" t="str" cm="1">
        <f t="array" aca="1" ref="AA42" ca="1">IF($B42="","",IF(ISBLANK(INDIRECT("R7.Video!D"&amp;SUM(18,38*0,23))),"",INDIRECT("R7.Video!D"&amp;SUM(18,38*0,23))))</f>
        <v>N/T</v>
      </c>
      <c r="AB42" s="215" t="str" cm="1">
        <f t="array" aca="1" ref="AB42" ca="1">IF($B42="","",IF(ISBLANK(INDIRECT("R7.Video!D"&amp;SUM(18,38*1,23))),"",INDIRECT("R7.Video!D"&amp;SUM(18,38*1,23))))</f>
        <v>N/T</v>
      </c>
      <c r="AC42" s="215" t="str" cm="1">
        <f t="array" aca="1" ref="AC42" ca="1">IF($B42="","",IF(ISBLANK(INDIRECT("R7.Video!D"&amp;SUM(18,38*2,23))),"",INDIRECT("R7.Video!D"&amp;SUM(18,38*2,23))))</f>
        <v>N/T</v>
      </c>
      <c r="AD42" s="215" t="str" cm="1">
        <f t="array" aca="1" ref="AD42" ca="1">IF($B42="","",IF(ISBLANK(INDIRECT("R7.Video!D"&amp;SUM(18,38*3,23))),"",INDIRECT("R7.Video!D"&amp;SUM(18,38*3,23))))</f>
        <v>N/T</v>
      </c>
      <c r="AE42" s="215" t="str" cm="1">
        <f t="array" aca="1" ref="AE42" ca="1">IF($B42="","",IF(ISBLANK(INDIRECT("R7.Video!D"&amp;SUM(18,38*4,23))),"",INDIRECT("R7.Video!D"&amp;SUM(18,38*4,23))))</f>
        <v>N/T</v>
      </c>
      <c r="AF42" s="215" t="str" cm="1">
        <f t="array" aca="1" ref="AF42" ca="1">IF($B42="","",IF(ISBLANK(INDIRECT("R7.Video!D"&amp;SUM(18,38*5,23))),"",INDIRECT("R7.Video!D"&amp;SUM(18,38*5,23))))</f>
        <v>N/T</v>
      </c>
      <c r="AG42" s="215" t="str" cm="1">
        <f t="array" aca="1" ref="AG42" ca="1">IF($B42="","",IF(ISBLANK(INDIRECT("R7.Video!D"&amp;SUM(18,38*6,23))),"",INDIRECT("R7.Video!D"&amp;SUM(18,38*6,23))))</f>
        <v>N/T</v>
      </c>
      <c r="AH42" s="215" t="str" cm="1">
        <f t="array" aca="1" ref="AH42" ca="1">IF($B42="","",IF(ISBLANK(INDIRECT("R7.Video!D"&amp;SUM(18,38*7,23))),"",INDIRECT("R7.Video!D"&amp;SUM(18,38*7,23))))</f>
        <v>N/T</v>
      </c>
      <c r="AI42" s="215" t="str" cm="1">
        <f t="array" aca="1" ref="AI42" ca="1">IF($B42="","",IF(ISBLANK(INDIRECT("R7.Video!D"&amp;SUM(18,38*8,23))),"",INDIRECT("R7.Video!D"&amp;SUM(18,38*8,23))))</f>
        <v>N/T</v>
      </c>
      <c r="AJ42" s="215" t="str" cm="1">
        <f t="array" aca="1" ref="AJ42" ca="1">IF($B42="","",IF(ISBLANK(INDIRECT("R9.Web!D"&amp;SUM(18,38*0,23))),"",INDIRECT("R9.Web!D"&amp;SUM(18,38*0,23))))</f>
        <v>N/D</v>
      </c>
      <c r="AK42" s="215" t="str" cm="1">
        <f t="array" aca="1" ref="AK42" ca="1">IF($B42="","",IF(ISBLANK(INDIRECT("R9.Web!D"&amp;SUM(18,38*1,23))),"",INDIRECT("R9.Web!D"&amp;SUM(18,38*1,23))))</f>
        <v>N/T</v>
      </c>
      <c r="AL42" s="215" t="str" cm="1">
        <f t="array" aca="1" ref="AL42" ca="1">IF($B42="","",IF(ISBLANK(INDIRECT("R9.Web!D"&amp;SUM(18,38*2,23))),"",INDIRECT("R9.Web!D"&amp;SUM(18,38*2,23))))</f>
        <v>N/T</v>
      </c>
      <c r="AM42" s="215" t="str" cm="1">
        <f t="array" aca="1" ref="AM42" ca="1">IF($B42="","",IF(ISBLANK(INDIRECT("R9.Web!D"&amp;SUM(18,38*3,23))),"",INDIRECT("R9.Web!D"&amp;SUM(18,38*3,23))))</f>
        <v>N/T</v>
      </c>
      <c r="AN42" s="215" t="str" cm="1">
        <f t="array" aca="1" ref="AN42" ca="1">IF($B42="","",IF(ISBLANK(INDIRECT("R9.Web!D"&amp;SUM(18,38*4,23))),"",INDIRECT("R9.Web!D"&amp;SUM(18,38*4,23))))</f>
        <v>N/T</v>
      </c>
      <c r="AO42" s="215" t="str" cm="1">
        <f t="array" aca="1" ref="AO42" ca="1">IF($B42="","",IF(ISBLANK(INDIRECT("R9.Web!D"&amp;SUM(18,38*5,23))),"",INDIRECT("R9.Web!D"&amp;SUM(18,38*5,23))))</f>
        <v>N/D</v>
      </c>
      <c r="AP42" s="215" t="str" cm="1">
        <f t="array" aca="1" ref="AP42" ca="1">IF($B42="","",IF(ISBLANK(INDIRECT("R9.Web!D"&amp;SUM(18,38*6,23))),"",INDIRECT("R9.Web!D"&amp;SUM(18,38*6,23))))</f>
        <v>N/T</v>
      </c>
      <c r="AQ42" s="215" t="str" cm="1">
        <f t="array" aca="1" ref="AQ42" ca="1">IF($B42="","",IF(ISBLANK(INDIRECT("R9.Web!D"&amp;SUM(18,38*7,23))),"",INDIRECT("R9.Web!D"&amp;SUM(18,38*7,23))))</f>
        <v>N/T</v>
      </c>
      <c r="AR42" s="215" t="str" cm="1">
        <f t="array" aca="1" ref="AR42" ca="1">IF($B42="","",IF(ISBLANK(INDIRECT("R9.Web!D"&amp;SUM(18,38*8,23))),"",INDIRECT("R9.Web!D"&amp;SUM(18,38*8,23))))</f>
        <v>N/D</v>
      </c>
      <c r="AS42" s="215" t="str" cm="1">
        <f t="array" aca="1" ref="AS42" ca="1">IF($B42="","",IF(ISBLANK(INDIRECT("R9.Web!D"&amp;SUM(18,38*9,23))),"",INDIRECT("R9.Web!D"&amp;SUM(18,38*9,23))))</f>
        <v>N/D</v>
      </c>
      <c r="AT42" s="215" t="str" cm="1">
        <f t="array" aca="1" ref="AT42" ca="1">IF($B42="","",IF(ISBLANK(INDIRECT("R9.Web!D"&amp;SUM(18,38*10,23))),"",INDIRECT("R9.Web!D"&amp;SUM(18,38*10,23))))</f>
        <v>N/T</v>
      </c>
      <c r="AU42" s="215" t="str" cm="1">
        <f t="array" aca="1" ref="AU42" ca="1">IF($B42="","",IF(ISBLANK(INDIRECT("R9.Web!D"&amp;SUM(18,38*11,23))),"",INDIRECT("R9.Web!D"&amp;SUM(18,38*11,23))))</f>
        <v>N/T</v>
      </c>
      <c r="AV42" s="215" t="str" cm="1">
        <f t="array" aca="1" ref="AV42" ca="1">IF($B42="","",IF(ISBLANK(INDIRECT("R9.Web!D"&amp;SUM(18,38*12,23))),"",INDIRECT("R9.Web!D"&amp;SUM(18,38*12,23))))</f>
        <v>N/D</v>
      </c>
      <c r="AW42" s="215" t="str" cm="1">
        <f t="array" aca="1" ref="AW42" ca="1">IF($B42="","",IF(ISBLANK(INDIRECT("R9.Web!D"&amp;SUM(18,38*13,23))),"",INDIRECT("R9.Web!D"&amp;SUM(18,38*13,23))))</f>
        <v>N/T</v>
      </c>
      <c r="AX42" s="215" t="str" cm="1">
        <f t="array" aca="1" ref="AX42" ca="1">IF($B42="","",IF(ISBLANK(INDIRECT("R9.Web!D"&amp;SUM(18,38*14,23))),"",INDIRECT("R9.Web!D"&amp;SUM(18,38*14,23))))</f>
        <v>N/T</v>
      </c>
      <c r="AY42" s="215" t="str" cm="1">
        <f t="array" aca="1" ref="AY42" ca="1">IF($B42="","",IF(ISBLANK(INDIRECT("R9.Web!D"&amp;SUM(18,38*15,23))),"",INDIRECT("R9.Web!D"&amp;SUM(18,38*15,23))))</f>
        <v>N/D</v>
      </c>
      <c r="AZ42" s="215" t="str" cm="1">
        <f t="array" aca="1" ref="AZ42" ca="1">IF($B42="","",IF(ISBLANK(INDIRECT("R9.Web!D"&amp;SUM(18,38*16,23))),"",INDIRECT("R9.Web!D"&amp;SUM(18,38*16,23))))</f>
        <v>N/T</v>
      </c>
      <c r="BA42" s="215" t="str" cm="1">
        <f t="array" aca="1" ref="BA42" ca="1">IF($B42="","",IF(ISBLANK(INDIRECT("R9.Web!D"&amp;SUM(18,38*17,23))),"",INDIRECT("R9.Web!D"&amp;SUM(18,38*17,23))))</f>
        <v>N/D</v>
      </c>
      <c r="BB42" s="215" t="str" cm="1">
        <f t="array" aca="1" ref="BB42" ca="1">IF($B42="","",IF(ISBLANK(INDIRECT("R9.Web!D"&amp;SUM(18,38*18,23))),"",INDIRECT("R9.Web!D"&amp;SUM(18,38*18,23))))</f>
        <v>N/T</v>
      </c>
      <c r="BC42" s="215" t="str" cm="1">
        <f t="array" aca="1" ref="BC42" ca="1">IF($B42="","",IF(ISBLANK(INDIRECT("R9.Web!D"&amp;SUM(18,38*19,23))),"",INDIRECT("R9.Web!D"&amp;SUM(18,38*19,23))))</f>
        <v>N/D</v>
      </c>
      <c r="BD42" s="215" t="str" cm="1">
        <f t="array" aca="1" ref="BD42" ca="1">IF($B42="","",IF(ISBLANK(INDIRECT("R9.Web!D"&amp;SUM(18,38*20,23))),"",INDIRECT("R9.Web!D"&amp;SUM(18,38*20,23))))</f>
        <v>N/T</v>
      </c>
      <c r="BE42" s="215" t="str" cm="1">
        <f t="array" aca="1" ref="BE42" ca="1">IF($B42="","",IF(ISBLANK(INDIRECT("R9.Web!D"&amp;SUM(18,38*21,23))),"",INDIRECT("R9.Web!D"&amp;SUM(18,38*21,23))))</f>
        <v>N/T</v>
      </c>
      <c r="BF42" s="215" t="str" cm="1">
        <f t="array" aca="1" ref="BF42" ca="1">IF($B42="","",IF(ISBLANK(INDIRECT("R9.Web!D"&amp;SUM(18,38*22,23))),"",INDIRECT("R9.Web!D"&amp;SUM(18,38*22,23))))</f>
        <v>N/D</v>
      </c>
      <c r="BG42" s="215" t="str" cm="1">
        <f t="array" aca="1" ref="BG42" ca="1">IF($B42="","",IF(ISBLANK(INDIRECT("R9.Web!D"&amp;SUM(18,38*23,23))),"",INDIRECT("R9.Web!D"&amp;SUM(18,38*23,23))))</f>
        <v>N/D</v>
      </c>
      <c r="BH42" s="215" t="str" cm="1">
        <f t="array" aca="1" ref="BH42" ca="1">IF($B42="","",IF(ISBLANK(INDIRECT("R9.Web!D"&amp;SUM(18,38*24,23))),"",INDIRECT("R9.Web!D"&amp;SUM(18,38*24,23))))</f>
        <v>N/T</v>
      </c>
      <c r="BI42" s="215" t="str" cm="1">
        <f t="array" aca="1" ref="BI42" ca="1">IF($B42="","",IF(ISBLANK(INDIRECT("R9.Web!D"&amp;SUM(18,38*25,23))),"",INDIRECT("R9.Web!D"&amp;SUM(18,38*25,23))))</f>
        <v>N/D</v>
      </c>
      <c r="BJ42" s="215" t="str" cm="1">
        <f t="array" aca="1" ref="BJ42" ca="1">IF($B42="","",IF(ISBLANK(INDIRECT("R9.Web!D"&amp;SUM(18,38*26,23))),"",INDIRECT("R9.Web!D"&amp;SUM(18,38*26,23))))</f>
        <v>N/D</v>
      </c>
      <c r="BK42" s="215" t="str" cm="1">
        <f t="array" aca="1" ref="BK42" ca="1">IF($B42="","",IF(ISBLANK(INDIRECT("R9.Web!D"&amp;SUM(18,38*27,23))),"",INDIRECT("R9.Web!D"&amp;SUM(18,38*27,23))))</f>
        <v>N/D</v>
      </c>
      <c r="BL42" s="215" t="str" cm="1">
        <f t="array" aca="1" ref="BL42" ca="1">IF($B42="","",IF(ISBLANK(INDIRECT("R9.Web!D"&amp;SUM(18,38*28,23))),"",INDIRECT("R9.Web!D"&amp;SUM(18,38*28,23))))</f>
        <v>N/D</v>
      </c>
      <c r="BM42" s="215" t="str" cm="1">
        <f t="array" aca="1" ref="BM42" ca="1">IF($B42="","",IF(ISBLANK(INDIRECT("R9.Web!D"&amp;SUM(18,38*29,23))),"",INDIRECT("R9.Web!D"&amp;SUM(18,38*29,23))))</f>
        <v>N/D</v>
      </c>
      <c r="BN42" s="215" t="str" cm="1">
        <f t="array" aca="1" ref="BN42" ca="1">IF($B42="","",IF(ISBLANK(INDIRECT("R9.Web!D"&amp;SUM(18,38*30,23))),"",INDIRECT("R9.Web!D"&amp;SUM(18,38*30,23))))</f>
        <v>N/T</v>
      </c>
      <c r="BO42" s="215" t="str" cm="1">
        <f t="array" aca="1" ref="BO42" ca="1">IF($B42="","",IF(ISBLANK(INDIRECT("R9.Web!D"&amp;SUM(18,38*31,23))),"",INDIRECT("R9.Web!D"&amp;SUM(18,38*31,23))))</f>
        <v>Falla</v>
      </c>
      <c r="BP42" s="215" t="str" cm="1">
        <f t="array" aca="1" ref="BP42" ca="1">IF($B42="","",IF(ISBLANK(INDIRECT("R9.Web!D"&amp;SUM(18,38*32,23))),"",INDIRECT("R9.Web!D"&amp;SUM(18,38*32,23))))</f>
        <v>N/T</v>
      </c>
      <c r="BQ42" s="215" t="str" cm="1">
        <f t="array" aca="1" ref="BQ42" ca="1">IF($B42="","",IF(ISBLANK(INDIRECT("R9.Web!D"&amp;SUM(18,38*33,23))),"",INDIRECT("R9.Web!D"&amp;SUM(18,38*33,23))))</f>
        <v>N/T</v>
      </c>
      <c r="BR42" s="215" t="str" cm="1">
        <f t="array" aca="1" ref="BR42" ca="1">IF($B42="","",IF(ISBLANK(INDIRECT("R9.Web!D"&amp;SUM(18,38*34,23))),"",INDIRECT("R9.Web!D"&amp;SUM(18,38*34,23))))</f>
        <v>N/D</v>
      </c>
      <c r="BS42" s="215" t="str" cm="1">
        <f t="array" aca="1" ref="BS42" ca="1">IF($B42="","",IF(ISBLANK(INDIRECT("R9.Web!D"&amp;SUM(18,38*35,23))),"",INDIRECT("R9.Web!D"&amp;SUM(18,38*35,23))))</f>
        <v>N/T</v>
      </c>
      <c r="BT42" s="215" t="str" cm="1">
        <f t="array" aca="1" ref="BT42" ca="1">IF($B42="","",IF(ISBLANK(INDIRECT("R9.Web!D"&amp;SUM(18,38*36,23))),"",INDIRECT("R9.Web!D"&amp;SUM(18,38*36,23))))</f>
        <v>N/D</v>
      </c>
      <c r="BU42" s="215" t="str" cm="1">
        <f t="array" aca="1" ref="BU42" ca="1">IF($B42="","",IF(ISBLANK(INDIRECT("R9.Web!D"&amp;SUM(18,38*37,23))),"",INDIRECT("R9.Web!D"&amp;SUM(18,38*37,23))))</f>
        <v>Falla</v>
      </c>
      <c r="BV42" s="215" t="str" cm="1">
        <f t="array" aca="1" ref="BV42" ca="1">IF($B42="","",IF(ISBLANK(INDIRECT("R9.Web!D"&amp;SUM(18,38*38,23))),"",INDIRECT("R9.Web!D"&amp;SUM(18,38*38,23))))</f>
        <v>N/D</v>
      </c>
      <c r="BW42" s="215" t="str" cm="1">
        <f t="array" aca="1" ref="BW42" ca="1">IF($B42="","",IF(ISBLANK(INDIRECT("R9.Web!D"&amp;SUM(18,38*39,23))),"",INDIRECT("R9.Web!D"&amp;SUM(18,38*39,23))))</f>
        <v>N/D</v>
      </c>
      <c r="BX42" s="215" t="str" cm="1">
        <f t="array" aca="1" ref="BX42" ca="1">IF($B42="","",IF(ISBLANK(INDIRECT("R9.Web!D"&amp;SUM(18,38*40,23))),"",INDIRECT("R9.Web!D"&amp;SUM(18,38*40,23))))</f>
        <v>N/D</v>
      </c>
      <c r="BY42" s="215" t="str" cm="1">
        <f t="array" aca="1" ref="BY42" ca="1">IF($B42="","",IF(ISBLANK(INDIRECT("R9.Web!D"&amp;SUM(18,38*41,23))),"",INDIRECT("R9.Web!D"&amp;SUM(18,38*41,23))))</f>
        <v>N/T</v>
      </c>
      <c r="BZ42" s="215" t="str" cm="1">
        <f t="array" aca="1" ref="BZ42" ca="1">IF($B42="","",IF(ISBLANK(INDIRECT("R9.Web!D"&amp;SUM(18,38*42,23))),"",INDIRECT("R9.Web!D"&amp;SUM(18,38*42,23))))</f>
        <v>N/T</v>
      </c>
      <c r="CA42" s="215" t="str" cm="1">
        <f t="array" aca="1" ref="CA42" ca="1">IF($B42="","",IF(ISBLANK(INDIRECT("R9.Web!D"&amp;SUM(18,38*43,23))),"",INDIRECT("R9.Web!D"&amp;SUM(18,38*43,23))))</f>
        <v>N/D</v>
      </c>
      <c r="CB42" s="215" t="str" cm="1">
        <f t="array" aca="1" ref="CB42" ca="1">IF($B42="","",IF(ISBLANK(INDIRECT("R9.Web!D"&amp;SUM(18,38*44,23))),"",INDIRECT("R9.Web!D"&amp;SUM(18,38*44,23))))</f>
        <v>N/T</v>
      </c>
      <c r="CC42" s="215" t="str" cm="1">
        <f t="array" aca="1" ref="CC42" ca="1">IF($B42="","",IF(ISBLANK(INDIRECT("R9.Web!D"&amp;SUM(18,38*45,23))),"",INDIRECT("R9.Web!D"&amp;SUM(18,38*45,23))))</f>
        <v>N/T</v>
      </c>
      <c r="CD42" s="215" t="str" cm="1">
        <f t="array" aca="1" ref="CD42" ca="1">IF($B42="","",IF(ISBLANK(INDIRECT("R9.Web!D"&amp;SUM(18,38*46,23))),"",INDIRECT("R9.Web!D"&amp;SUM(18,38*46,23))))</f>
        <v>N/T</v>
      </c>
      <c r="CE42" s="215" t="str" cm="1">
        <f t="array" aca="1" ref="CE42" ca="1">IF($B42="","",IF(ISBLANK(INDIRECT("R9.Web!D"&amp;SUM(18,38*47,23))),"",INDIRECT("R9.Web!D"&amp;SUM(18,38*47,23))))</f>
        <v>N/D</v>
      </c>
      <c r="CF42" s="215" t="str" cm="1">
        <f t="array" aca="1" ref="CF42" ca="1">IF($B42="","",IF(ISBLANK(INDIRECT("R9.Web!D"&amp;SUM(18,38*48,23))),"",INDIRECT("R9.Web!D"&amp;SUM(18,38*48,23))))</f>
        <v>N/T</v>
      </c>
      <c r="CG42" s="215" t="str" cm="1">
        <f t="array" aca="1" ref="CG42" ca="1">IF($B42="","",IF(ISBLANK(INDIRECT("R9.Web!D"&amp;SUM(18,38*49,23))),"",INDIRECT("R9.Web!D"&amp;SUM(18,38*49,23))))</f>
        <v>N/T</v>
      </c>
      <c r="CH42" s="215" t="str" cm="1">
        <f t="array" aca="1" ref="CH42" ca="1">IF($B42="","",IF(ISBLANK(INDIRECT("R11.Software!D"&amp;SUM(18,38*0,23))),"",INDIRECT("R11.Software!D"&amp;SUM(18,38*0,23))))</f>
        <v>N/T</v>
      </c>
      <c r="CI42" s="215" t="str" cm="1">
        <f t="array" aca="1" ref="CI42" ca="1">IF($B42="","",IF(ISBLANK(INDIRECT("R11.Software!D"&amp;SUM(18,38*1,23))),"",INDIRECT("R11.Software!D"&amp;SUM(18,38*1,23))))</f>
        <v>N/T</v>
      </c>
      <c r="CJ42" s="215" t="str" cm="1">
        <f t="array" aca="1" ref="CJ42" ca="1">IF($B42="","",IF(ISBLANK(INDIRECT("R11.Software!D"&amp;SUM(18,38*2,23))),"",INDIRECT("R11.Software!D"&amp;SUM(18,38*2,23))))</f>
        <v>N/T</v>
      </c>
      <c r="CK42" s="215" t="str" cm="1">
        <f t="array" aca="1" ref="CK42" ca="1">IF($B42="","",IF(ISBLANK(INDIRECT("R11.Software!D"&amp;SUM(18,38*3,23))),"",INDIRECT("R11.Software!D"&amp;SUM(18,38*3,23))))</f>
        <v>N/T</v>
      </c>
      <c r="CL42" s="215" t="str" cm="1">
        <f t="array" aca="1" ref="CL42" ca="1">IF($B42="","",IF(ISBLANK(INDIRECT("R11.Software!D"&amp;SUM(18,38*4,23))),"",INDIRECT("R11.Software!D"&amp;SUM(18,38*4,23))))</f>
        <v>N/T</v>
      </c>
      <c r="CM42" s="215" t="str" cm="1">
        <f t="array" aca="1" ref="CM42" ca="1">IF($B42="","",IF(ISBLANK(INDIRECT("R11.Software!D"&amp;SUM(18,38*5,23))),"",INDIRECT("R11.Software!D"&amp;SUM(18,38*5,23))))</f>
        <v>N/T</v>
      </c>
      <c r="CN42" s="215" t="str" cm="1">
        <f t="array" aca="1" ref="CN42" ca="1">IF($B42="","",IF(ISBLANK(INDIRECT("R12.ServiciosApoyo!D"&amp;SUM(18,38*0,23))),"",INDIRECT("R12.ServiciosApoyo!D"&amp;SUM(18,38*0,23))))</f>
        <v>N/T</v>
      </c>
      <c r="CO42" s="215" t="str" cm="1">
        <f t="array" aca="1" ref="CO42" ca="1">IF($B42="","",IF(ISBLANK(INDIRECT("R12.ServiciosApoyo!D"&amp;SUM(18,38*1,23))),"",INDIRECT("R12.ServiciosApoyo!D"&amp;SUM(18,38*1,23))))</f>
        <v>N/T</v>
      </c>
      <c r="CP42" s="215" t="str" cm="1">
        <f t="array" aca="1" ref="CP42" ca="1">IF($B42="","",IF(ISBLANK(INDIRECT("R12.ServiciosApoyo!D"&amp;SUM(18,38*2,23))),"",INDIRECT("R12.ServiciosApoyo!D"&amp;SUM(18,38*2,23))))</f>
        <v>N/T</v>
      </c>
      <c r="CQ42" s="215" t="str" cm="1">
        <f t="array" aca="1" ref="CQ42" ca="1">IF($B42="","",IF(ISBLANK(INDIRECT("R12.ServiciosApoyo!D"&amp;SUM(18,38*3,23))),"",INDIRECT("R12.ServiciosApoyo!D"&amp;SUM(18,38*3,23))))</f>
        <v>N/T</v>
      </c>
      <c r="CR42" s="215" t="str" cm="1">
        <f t="array" aca="1" ref="CR42" ca="1">IF($B42="","",IF(ISBLANK(INDIRECT("R12.ServiciosApoyo!D"&amp;SUM(18,38*4,23))),"",INDIRECT("R12.ServiciosApoyo!D"&amp;SUM(18,38*4,23))))</f>
        <v>N/T</v>
      </c>
      <c r="CU42" s="100"/>
      <c r="CV42" s="29"/>
      <c r="CW42" s="29"/>
      <c r="CX42" s="29"/>
    </row>
    <row r="43" spans="2:102" ht="20.25">
      <c r="B43" s="181" t="n" cm="1">
        <f t="array" ref="B43">IFERROR(INDEX('03.Muestra'!$B$8:$B$42,SMALL(IF("Página Web"='03.Muestra'!$D$8:$D$42,ROW('03.Muestra'!$B$8:$B$42)-MIN(ROW('03.Muestra'!$D$8:$D$42))+1,""),ROW()-19)),"")</f>
        <v>1.0</v>
      </c>
      <c r="C43" s="97" t="str" cm="1">
        <f t="array" ref="C43">IFERROR(INDEX('03.Muestra'!$C$8:$C$42,SMALL(IF("Página Web"='03.Muestra'!$D$8:$D$42,ROW('03.Muestra'!$C$8:$C$42)-MIN(ROW('03.Muestra'!$D$8:$D$42))+1,""),ROW()-19)),"")</f>
        <v>Home - PortCastelló</v>
      </c>
      <c r="D43" s="98" t="str" cm="1">
        <f t="array" ref="D43">IFERROR(INDEX('03.Muestra'!$F$8:$F$42,SMALL(IF("Página Web"='03.Muestra'!$D$8:$D$42,ROW('03.Muestra'!$F$8:$F$42)-MIN(ROW('03.Muestra'!$D$8:$D$42))+1,""),ROW()-19)),"")</f>
        <v>https://www.portcastello.com/</v>
      </c>
      <c r="E43" s="215" t="str" cm="1">
        <f t="array" aca="1" ref="E43" ca="1">IF($B43="","",IF(ISBLANK(INDIRECT("R5.Genéricos!D"&amp;SUM(18,38*0,24))),"",INDIRECT("R5.Genéricos!D"&amp;SUM(18,38*0,24))))</f>
        <v>N/T</v>
      </c>
      <c r="F43" s="215" t="str" cm="1">
        <f t="array" aca="1" ref="F43" ca="1">IF($B43="","",IF(ISBLANK(INDIRECT("R5.Genéricos!D"&amp;SUM(18,38*1,24))),"",INDIRECT("R5.Genéricos!D"&amp;SUM(18,38*1,24))))</f>
        <v>N/T</v>
      </c>
      <c r="G43" s="215" t="str" cm="1">
        <f t="array" aca="1" ref="G43" ca="1">IF($B43="","",IF(ISBLANK(INDIRECT("R5.Genéricos!D"&amp;SUM(18,38*2,24))),"",INDIRECT("R5.Genéricos!D"&amp;SUM(18,38*2,24))))</f>
        <v>N/T</v>
      </c>
      <c r="H43" s="215" t="str" cm="1">
        <f t="array" aca="1" ref="H43" ca="1">IF($B43="","",IF(ISBLANK(INDIRECT("R6.Voz!D"&amp;SUM(18,38*0,24))),"",INDIRECT("R6.Voz!D"&amp;SUM(18,38*0,24))))</f>
        <v>N/T</v>
      </c>
      <c r="I43" s="215" t="str" cm="1">
        <f t="array" aca="1" ref="I43" ca="1">IF($B43="","",IF(ISBLANK(INDIRECT("R6.Voz!D"&amp;SUM(18,38*1,24))),"",INDIRECT("R6.Voz!D"&amp;SUM(18,38*1,24))))</f>
        <v>N/T</v>
      </c>
      <c r="J43" s="215" t="str" cm="1">
        <f t="array" aca="1" ref="J43" ca="1">IF($B43="","",IF(ISBLANK(INDIRECT("R6.Voz!D"&amp;SUM(18,38*2,24))),"",INDIRECT("R6.Voz!D"&amp;SUM(18,38*2,24))))</f>
        <v>N/T</v>
      </c>
      <c r="K43" s="215" t="str" cm="1">
        <f t="array" aca="1" ref="K43" ca="1">IF($B43="","",IF(ISBLANK(INDIRECT("R6.Voz!D"&amp;SUM(18,38*3,24))),"",INDIRECT("R6.Voz!D"&amp;SUM(18,38*3,24))))</f>
        <v>N/T</v>
      </c>
      <c r="L43" s="215" t="str" cm="1">
        <f t="array" aca="1" ref="L43" ca="1">IF($B43="","",IF(ISBLANK(INDIRECT("R6.Voz!D"&amp;SUM(18,38*4,24))),"",INDIRECT("R6.Voz!D"&amp;SUM(18,38*4,24))))</f>
        <v>N/T</v>
      </c>
      <c r="M43" s="215" t="str" cm="1">
        <f t="array" aca="1" ref="M43" ca="1">IF($B43="","",IF(ISBLANK(INDIRECT("R6.Voz!D"&amp;SUM(18,38*5,24))),"",INDIRECT("R6.Voz!D"&amp;SUM(18,38*5,24))))</f>
        <v>N/T</v>
      </c>
      <c r="N43" s="215" t="str" cm="1">
        <f t="array" aca="1" ref="N43" ca="1">IF($B43="","",IF(ISBLANK(INDIRECT("R6.Voz!D"&amp;SUM(18,38*6,24))),"",INDIRECT("R6.Voz!D"&amp;SUM(18,38*6,24))))</f>
        <v>N/T</v>
      </c>
      <c r="O43" s="215" t="str" cm="1">
        <f t="array" aca="1" ref="O43" ca="1">IF($B43="","",IF(ISBLANK(INDIRECT("R6.Voz!D"&amp;SUM(18,38*7,24))),"",INDIRECT("R6.Voz!D"&amp;SUM(18,38*7,24))))</f>
        <v>N/T</v>
      </c>
      <c r="P43" s="215" t="str" cm="1">
        <f t="array" aca="1" ref="P43" ca="1">IF($B43="","",IF(ISBLANK(INDIRECT("R6.Voz!D"&amp;SUM(18,38*8,24))),"",INDIRECT("R6.Voz!D"&amp;SUM(18,38*8,24))))</f>
        <v>N/T</v>
      </c>
      <c r="Q43" s="215" t="str" cm="1">
        <f t="array" aca="1" ref="Q43" ca="1">IF($B43="","",IF(ISBLANK(INDIRECT("R6.Voz!D"&amp;SUM(18,38*9,24))),"",INDIRECT("R6.Voz!D"&amp;SUM(18,38*9,24))))</f>
        <v>N/T</v>
      </c>
      <c r="R43" s="215" t="str" cm="1">
        <f t="array" aca="1" ref="R43" ca="1">IF($B43="","",IF(ISBLANK(INDIRECT("R6.Voz!D"&amp;SUM(18,38*10,24))),"",INDIRECT("R6.Voz!D"&amp;SUM(18,38*10,24))))</f>
        <v>N/T</v>
      </c>
      <c r="S43" s="215" t="str" cm="1">
        <f t="array" aca="1" ref="S43" ca="1">IF($B43="","",IF(ISBLANK(INDIRECT("R6.Voz!D"&amp;SUM(18,38*11,24))),"",INDIRECT("R6.Voz!D"&amp;SUM(18,38*11,24))))</f>
        <v>N/T</v>
      </c>
      <c r="T43" s="215" t="str" cm="1">
        <f t="array" aca="1" ref="T43" ca="1">IF($B43="","",IF(ISBLANK(INDIRECT("R6.Voz!D"&amp;SUM(18,38*12,24))),"",INDIRECT("R6.Voz!D"&amp;SUM(18,38*12,24))))</f>
        <v>N/T</v>
      </c>
      <c r="U43" s="215" t="str" cm="1">
        <f t="array" aca="1" ref="U43" ca="1">IF($B43="","",IF(ISBLANK(INDIRECT("R6.Voz!D"&amp;SUM(18,38*13,24))),"",INDIRECT("R6.Voz!D"&amp;SUM(18,38*13,24))))</f>
        <v>N/T</v>
      </c>
      <c r="V43" s="215" t="str" cm="1">
        <f t="array" aca="1" ref="V43" ca="1">IF($B43="","",IF(ISBLANK(INDIRECT("R6.Voz!D"&amp;SUM(18,38*14,24))),"",INDIRECT("R6.Voz!D"&amp;SUM(18,38*14,24))))</f>
        <v>N/T</v>
      </c>
      <c r="W43" s="215" t="str" cm="1">
        <f t="array" aca="1" ref="W43" ca="1">IF($B43="","",IF(ISBLANK(INDIRECT("R6.Voz!D"&amp;SUM(18,38*15,24))),"",INDIRECT("R6.Voz!D"&amp;SUM(18,38*15,24))))</f>
        <v>N/T</v>
      </c>
      <c r="X43" s="215" t="str" cm="1">
        <f t="array" aca="1" ref="X43" ca="1">IF($B43="","",IF(ISBLANK(INDIRECT("R6.Voz!D"&amp;SUM(18,38*16,24))),"",INDIRECT("R6.Voz!D"&amp;SUM(18,38*16,24))))</f>
        <v>N/T</v>
      </c>
      <c r="Y43" s="215" t="str" cm="1">
        <f t="array" aca="1" ref="Y43" ca="1">IF($B43="","",IF(ISBLANK(INDIRECT("R6.Voz!D"&amp;SUM(18,38*17,24))),"",INDIRECT("R6.Voz!D"&amp;SUM(18,38*17,24))))</f>
        <v>N/T</v>
      </c>
      <c r="Z43" s="215" t="str" cm="1">
        <f t="array" aca="1" ref="Z43" ca="1">IF($B43="","",IF(ISBLANK(INDIRECT("R6.Voz!D"&amp;SUM(18,38*18,24))),"",INDIRECT("R6.Voz!D"&amp;SUM(18,38*18,24))))</f>
        <v>N/T</v>
      </c>
      <c r="AA43" s="215" t="str" cm="1">
        <f t="array" aca="1" ref="AA43" ca="1">IF($B43="","",IF(ISBLANK(INDIRECT("R7.Video!D"&amp;SUM(18,38*0,24))),"",INDIRECT("R7.Video!D"&amp;SUM(18,38*0,24))))</f>
        <v>N/T</v>
      </c>
      <c r="AB43" s="215" t="str" cm="1">
        <f t="array" aca="1" ref="AB43" ca="1">IF($B43="","",IF(ISBLANK(INDIRECT("R7.Video!D"&amp;SUM(18,38*1,24))),"",INDIRECT("R7.Video!D"&amp;SUM(18,38*1,24))))</f>
        <v>N/T</v>
      </c>
      <c r="AC43" s="215" t="str" cm="1">
        <f t="array" aca="1" ref="AC43" ca="1">IF($B43="","",IF(ISBLANK(INDIRECT("R7.Video!D"&amp;SUM(18,38*2,24))),"",INDIRECT("R7.Video!D"&amp;SUM(18,38*2,24))))</f>
        <v>N/T</v>
      </c>
      <c r="AD43" s="215" t="str" cm="1">
        <f t="array" aca="1" ref="AD43" ca="1">IF($B43="","",IF(ISBLANK(INDIRECT("R7.Video!D"&amp;SUM(18,38*3,24))),"",INDIRECT("R7.Video!D"&amp;SUM(18,38*3,24))))</f>
        <v>N/T</v>
      </c>
      <c r="AE43" s="215" t="str" cm="1">
        <f t="array" aca="1" ref="AE43" ca="1">IF($B43="","",IF(ISBLANK(INDIRECT("R7.Video!D"&amp;SUM(18,38*4,24))),"",INDIRECT("R7.Video!D"&amp;SUM(18,38*4,24))))</f>
        <v>N/T</v>
      </c>
      <c r="AF43" s="215" t="str" cm="1">
        <f t="array" aca="1" ref="AF43" ca="1">IF($B43="","",IF(ISBLANK(INDIRECT("R7.Video!D"&amp;SUM(18,38*5,24))),"",INDIRECT("R7.Video!D"&amp;SUM(18,38*5,24))))</f>
        <v>N/T</v>
      </c>
      <c r="AG43" s="215" t="str" cm="1">
        <f t="array" aca="1" ref="AG43" ca="1">IF($B43="","",IF(ISBLANK(INDIRECT("R7.Video!D"&amp;SUM(18,38*6,24))),"",INDIRECT("R7.Video!D"&amp;SUM(18,38*6,24))))</f>
        <v>N/T</v>
      </c>
      <c r="AH43" s="215" t="str" cm="1">
        <f t="array" aca="1" ref="AH43" ca="1">IF($B43="","",IF(ISBLANK(INDIRECT("R7.Video!D"&amp;SUM(18,38*7,24))),"",INDIRECT("R7.Video!D"&amp;SUM(18,38*7,24))))</f>
        <v>N/T</v>
      </c>
      <c r="AI43" s="215" t="str" cm="1">
        <f t="array" aca="1" ref="AI43" ca="1">IF($B43="","",IF(ISBLANK(INDIRECT("R7.Video!D"&amp;SUM(18,38*8,24))),"",INDIRECT("R7.Video!D"&amp;SUM(18,38*8,24))))</f>
        <v>N/T</v>
      </c>
      <c r="AJ43" s="215" t="str" cm="1">
        <f t="array" aca="1" ref="AJ43" ca="1">IF($B43="","",IF(ISBLANK(INDIRECT("R9.Web!D"&amp;SUM(18,38*0,24))),"",INDIRECT("R9.Web!D"&amp;SUM(18,38*0,24))))</f>
        <v>N/D</v>
      </c>
      <c r="AK43" s="215" t="str" cm="1">
        <f t="array" aca="1" ref="AK43" ca="1">IF($B43="","",IF(ISBLANK(INDIRECT("R9.Web!D"&amp;SUM(18,38*1,24))),"",INDIRECT("R9.Web!D"&amp;SUM(18,38*1,24))))</f>
        <v>N/T</v>
      </c>
      <c r="AL43" s="215" t="str" cm="1">
        <f t="array" aca="1" ref="AL43" ca="1">IF($B43="","",IF(ISBLANK(INDIRECT("R9.Web!D"&amp;SUM(18,38*2,24))),"",INDIRECT("R9.Web!D"&amp;SUM(18,38*2,24))))</f>
        <v>N/T</v>
      </c>
      <c r="AM43" s="215" t="str" cm="1">
        <f t="array" aca="1" ref="AM43" ca="1">IF($B43="","",IF(ISBLANK(INDIRECT("R9.Web!D"&amp;SUM(18,38*3,24))),"",INDIRECT("R9.Web!D"&amp;SUM(18,38*3,24))))</f>
        <v>N/T</v>
      </c>
      <c r="AN43" s="215" t="str" cm="1">
        <f t="array" aca="1" ref="AN43" ca="1">IF($B43="","",IF(ISBLANK(INDIRECT("R9.Web!D"&amp;SUM(18,38*4,24))),"",INDIRECT("R9.Web!D"&amp;SUM(18,38*4,24))))</f>
        <v>N/T</v>
      </c>
      <c r="AO43" s="215" t="str" cm="1">
        <f t="array" aca="1" ref="AO43" ca="1">IF($B43="","",IF(ISBLANK(INDIRECT("R9.Web!D"&amp;SUM(18,38*5,24))),"",INDIRECT("R9.Web!D"&amp;SUM(18,38*5,24))))</f>
        <v>N/D</v>
      </c>
      <c r="AP43" s="215" t="str" cm="1">
        <f t="array" aca="1" ref="AP43" ca="1">IF($B43="","",IF(ISBLANK(INDIRECT("R9.Web!D"&amp;SUM(18,38*6,24))),"",INDIRECT("R9.Web!D"&amp;SUM(18,38*6,24))))</f>
        <v>N/T</v>
      </c>
      <c r="AQ43" s="215" t="str" cm="1">
        <f t="array" aca="1" ref="AQ43" ca="1">IF($B43="","",IF(ISBLANK(INDIRECT("R9.Web!D"&amp;SUM(18,38*7,24))),"",INDIRECT("R9.Web!D"&amp;SUM(18,38*7,24))))</f>
        <v>N/T</v>
      </c>
      <c r="AR43" s="215" t="str" cm="1">
        <f t="array" aca="1" ref="AR43" ca="1">IF($B43="","",IF(ISBLANK(INDIRECT("R9.Web!D"&amp;SUM(18,38*8,24))),"",INDIRECT("R9.Web!D"&amp;SUM(18,38*8,24))))</f>
        <v>N/D</v>
      </c>
      <c r="AS43" s="215" t="str" cm="1">
        <f t="array" aca="1" ref="AS43" ca="1">IF($B43="","",IF(ISBLANK(INDIRECT("R9.Web!D"&amp;SUM(18,38*9,24))),"",INDIRECT("R9.Web!D"&amp;SUM(18,38*9,24))))</f>
        <v>Falla</v>
      </c>
      <c r="AT43" s="215" t="str" cm="1">
        <f t="array" aca="1" ref="AT43" ca="1">IF($B43="","",IF(ISBLANK(INDIRECT("R9.Web!D"&amp;SUM(18,38*10,24))),"",INDIRECT("R9.Web!D"&amp;SUM(18,38*10,24))))</f>
        <v>N/T</v>
      </c>
      <c r="AU43" s="215" t="str" cm="1">
        <f t="array" aca="1" ref="AU43" ca="1">IF($B43="","",IF(ISBLANK(INDIRECT("R9.Web!D"&amp;SUM(18,38*11,24))),"",INDIRECT("R9.Web!D"&amp;SUM(18,38*11,24))))</f>
        <v>N/T</v>
      </c>
      <c r="AV43" s="215" t="str" cm="1">
        <f t="array" aca="1" ref="AV43" ca="1">IF($B43="","",IF(ISBLANK(INDIRECT("R9.Web!D"&amp;SUM(18,38*12,24))),"",INDIRECT("R9.Web!D"&amp;SUM(18,38*12,24))))</f>
        <v>Falla</v>
      </c>
      <c r="AW43" s="215" t="str" cm="1">
        <f t="array" aca="1" ref="AW43" ca="1">IF($B43="","",IF(ISBLANK(INDIRECT("R9.Web!D"&amp;SUM(18,38*13,24))),"",INDIRECT("R9.Web!D"&amp;SUM(18,38*13,24))))</f>
        <v>N/T</v>
      </c>
      <c r="AX43" s="215" t="str" cm="1">
        <f t="array" aca="1" ref="AX43" ca="1">IF($B43="","",IF(ISBLANK(INDIRECT("R9.Web!D"&amp;SUM(18,38*14,24))),"",INDIRECT("R9.Web!D"&amp;SUM(18,38*14,24))))</f>
        <v>N/T</v>
      </c>
      <c r="AY43" s="215" t="str" cm="1">
        <f t="array" aca="1" ref="AY43" ca="1">IF($B43="","",IF(ISBLANK(INDIRECT("R9.Web!D"&amp;SUM(18,38*15,24))),"",INDIRECT("R9.Web!D"&amp;SUM(18,38*15,24))))</f>
        <v>N/D</v>
      </c>
      <c r="AZ43" s="215" t="str" cm="1">
        <f t="array" aca="1" ref="AZ43" ca="1">IF($B43="","",IF(ISBLANK(INDIRECT("R9.Web!D"&amp;SUM(18,38*16,24))),"",INDIRECT("R9.Web!D"&amp;SUM(18,38*16,24))))</f>
        <v>N/T</v>
      </c>
      <c r="BA43" s="215" t="str" cm="1">
        <f t="array" aca="1" ref="BA43" ca="1">IF($B43="","",IF(ISBLANK(INDIRECT("R9.Web!D"&amp;SUM(18,38*17,24))),"",INDIRECT("R9.Web!D"&amp;SUM(18,38*17,24))))</f>
        <v>N/D</v>
      </c>
      <c r="BB43" s="215" t="str" cm="1">
        <f t="array" aca="1" ref="BB43" ca="1">IF($B43="","",IF(ISBLANK(INDIRECT("R9.Web!D"&amp;SUM(18,38*18,24))),"",INDIRECT("R9.Web!D"&amp;SUM(18,38*18,24))))</f>
        <v>N/T</v>
      </c>
      <c r="BC43" s="215" t="str" cm="1">
        <f t="array" aca="1" ref="BC43" ca="1">IF($B43="","",IF(ISBLANK(INDIRECT("R9.Web!D"&amp;SUM(18,38*19,24))),"",INDIRECT("R9.Web!D"&amp;SUM(18,38*19,24))))</f>
        <v>N/D</v>
      </c>
      <c r="BD43" s="215" t="str" cm="1">
        <f t="array" aca="1" ref="BD43" ca="1">IF($B43="","",IF(ISBLANK(INDIRECT("R9.Web!D"&amp;SUM(18,38*20,24))),"",INDIRECT("R9.Web!D"&amp;SUM(18,38*20,24))))</f>
        <v>N/T</v>
      </c>
      <c r="BE43" s="215" t="str" cm="1">
        <f t="array" aca="1" ref="BE43" ca="1">IF($B43="","",IF(ISBLANK(INDIRECT("R9.Web!D"&amp;SUM(18,38*21,24))),"",INDIRECT("R9.Web!D"&amp;SUM(18,38*21,24))))</f>
        <v>N/T</v>
      </c>
      <c r="BF43" s="215" t="str" cm="1">
        <f t="array" aca="1" ref="BF43" ca="1">IF($B43="","",IF(ISBLANK(INDIRECT("R9.Web!D"&amp;SUM(18,38*22,24))),"",INDIRECT("R9.Web!D"&amp;SUM(18,38*22,24))))</f>
        <v>N/D</v>
      </c>
      <c r="BG43" s="215" t="str" cm="1">
        <f t="array" aca="1" ref="BG43" ca="1">IF($B43="","",IF(ISBLANK(INDIRECT("R9.Web!D"&amp;SUM(18,38*23,24))),"",INDIRECT("R9.Web!D"&amp;SUM(18,38*23,24))))</f>
        <v>N/D</v>
      </c>
      <c r="BH43" s="215" t="str" cm="1">
        <f t="array" aca="1" ref="BH43" ca="1">IF($B43="","",IF(ISBLANK(INDIRECT("R9.Web!D"&amp;SUM(18,38*24,24))),"",INDIRECT("R9.Web!D"&amp;SUM(18,38*24,24))))</f>
        <v>N/T</v>
      </c>
      <c r="BI43" s="215" t="str" cm="1">
        <f t="array" aca="1" ref="BI43" ca="1">IF($B43="","",IF(ISBLANK(INDIRECT("R9.Web!D"&amp;SUM(18,38*25,24))),"",INDIRECT("R9.Web!D"&amp;SUM(18,38*25,24))))</f>
        <v>N/D</v>
      </c>
      <c r="BJ43" s="215" t="str" cm="1">
        <f t="array" aca="1" ref="BJ43" ca="1">IF($B43="","",IF(ISBLANK(INDIRECT("R9.Web!D"&amp;SUM(18,38*26,24))),"",INDIRECT("R9.Web!D"&amp;SUM(18,38*26,24))))</f>
        <v>N/D</v>
      </c>
      <c r="BK43" s="215" t="str" cm="1">
        <f t="array" aca="1" ref="BK43" ca="1">IF($B43="","",IF(ISBLANK(INDIRECT("R9.Web!D"&amp;SUM(18,38*27,24))),"",INDIRECT("R9.Web!D"&amp;SUM(18,38*27,24))))</f>
        <v>N/D</v>
      </c>
      <c r="BL43" s="215" t="str" cm="1">
        <f t="array" aca="1" ref="BL43" ca="1">IF($B43="","",IF(ISBLANK(INDIRECT("R9.Web!D"&amp;SUM(18,38*28,24))),"",INDIRECT("R9.Web!D"&amp;SUM(18,38*28,24))))</f>
        <v>N/D</v>
      </c>
      <c r="BM43" s="215" t="str" cm="1">
        <f t="array" aca="1" ref="BM43" ca="1">IF($B43="","",IF(ISBLANK(INDIRECT("R9.Web!D"&amp;SUM(18,38*29,24))),"",INDIRECT("R9.Web!D"&amp;SUM(18,38*29,24))))</f>
        <v>N/D</v>
      </c>
      <c r="BN43" s="215" t="str" cm="1">
        <f t="array" aca="1" ref="BN43" ca="1">IF($B43="","",IF(ISBLANK(INDIRECT("R9.Web!D"&amp;SUM(18,38*30,24))),"",INDIRECT("R9.Web!D"&amp;SUM(18,38*30,24))))</f>
        <v>N/T</v>
      </c>
      <c r="BO43" s="215" t="str" cm="1">
        <f t="array" aca="1" ref="BO43" ca="1">IF($B43="","",IF(ISBLANK(INDIRECT("R9.Web!D"&amp;SUM(18,38*31,24))),"",INDIRECT("R9.Web!D"&amp;SUM(18,38*31,24))))</f>
        <v>Falla</v>
      </c>
      <c r="BP43" s="215" t="str" cm="1">
        <f t="array" aca="1" ref="BP43" ca="1">IF($B43="","",IF(ISBLANK(INDIRECT("R9.Web!D"&amp;SUM(18,38*32,24))),"",INDIRECT("R9.Web!D"&amp;SUM(18,38*32,24))))</f>
        <v>N/T</v>
      </c>
      <c r="BQ43" s="215" t="str" cm="1">
        <f t="array" aca="1" ref="BQ43" ca="1">IF($B43="","",IF(ISBLANK(INDIRECT("R9.Web!D"&amp;SUM(18,38*33,24))),"",INDIRECT("R9.Web!D"&amp;SUM(18,38*33,24))))</f>
        <v>N/T</v>
      </c>
      <c r="BR43" s="215" t="str" cm="1">
        <f t="array" aca="1" ref="BR43" ca="1">IF($B43="","",IF(ISBLANK(INDIRECT("R9.Web!D"&amp;SUM(18,38*34,24))),"",INDIRECT("R9.Web!D"&amp;SUM(18,38*34,24))))</f>
        <v>N/D</v>
      </c>
      <c r="BS43" s="215" t="str" cm="1">
        <f t="array" aca="1" ref="BS43" ca="1">IF($B43="","",IF(ISBLANK(INDIRECT("R9.Web!D"&amp;SUM(18,38*35,24))),"",INDIRECT("R9.Web!D"&amp;SUM(18,38*35,24))))</f>
        <v>N/T</v>
      </c>
      <c r="BT43" s="215" t="str" cm="1">
        <f t="array" aca="1" ref="BT43" ca="1">IF($B43="","",IF(ISBLANK(INDIRECT("R9.Web!D"&amp;SUM(18,38*36,24))),"",INDIRECT("R9.Web!D"&amp;SUM(18,38*36,24))))</f>
        <v>N/D</v>
      </c>
      <c r="BU43" s="215" t="str" cm="1">
        <f t="array" aca="1" ref="BU43" ca="1">IF($B43="","",IF(ISBLANK(INDIRECT("R9.Web!D"&amp;SUM(18,38*37,24))),"",INDIRECT("R9.Web!D"&amp;SUM(18,38*37,24))))</f>
        <v>Falla</v>
      </c>
      <c r="BV43" s="215" t="str" cm="1">
        <f t="array" aca="1" ref="BV43" ca="1">IF($B43="","",IF(ISBLANK(INDIRECT("R9.Web!D"&amp;SUM(18,38*38,24))),"",INDIRECT("R9.Web!D"&amp;SUM(18,38*38,24))))</f>
        <v>N/D</v>
      </c>
      <c r="BW43" s="215" t="str" cm="1">
        <f t="array" aca="1" ref="BW43" ca="1">IF($B43="","",IF(ISBLANK(INDIRECT("R9.Web!D"&amp;SUM(18,38*39,24))),"",INDIRECT("R9.Web!D"&amp;SUM(18,38*39,24))))</f>
        <v>N/D</v>
      </c>
      <c r="BX43" s="215" t="str" cm="1">
        <f t="array" aca="1" ref="BX43" ca="1">IF($B43="","",IF(ISBLANK(INDIRECT("R9.Web!D"&amp;SUM(18,38*40,24))),"",INDIRECT("R9.Web!D"&amp;SUM(18,38*40,24))))</f>
        <v>N/D</v>
      </c>
      <c r="BY43" s="215" t="str" cm="1">
        <f t="array" aca="1" ref="BY43" ca="1">IF($B43="","",IF(ISBLANK(INDIRECT("R9.Web!D"&amp;SUM(18,38*41,24))),"",INDIRECT("R9.Web!D"&amp;SUM(18,38*41,24))))</f>
        <v>N/T</v>
      </c>
      <c r="BZ43" s="215" t="str" cm="1">
        <f t="array" aca="1" ref="BZ43" ca="1">IF($B43="","",IF(ISBLANK(INDIRECT("R9.Web!D"&amp;SUM(18,38*42,24))),"",INDIRECT("R9.Web!D"&amp;SUM(18,38*42,24))))</f>
        <v>N/T</v>
      </c>
      <c r="CA43" s="215" t="str" cm="1">
        <f t="array" aca="1" ref="CA43" ca="1">IF($B43="","",IF(ISBLANK(INDIRECT("R9.Web!D"&amp;SUM(18,38*43,24))),"",INDIRECT("R9.Web!D"&amp;SUM(18,38*43,24))))</f>
        <v>Falla</v>
      </c>
      <c r="CB43" s="215" t="str" cm="1">
        <f t="array" aca="1" ref="CB43" ca="1">IF($B43="","",IF(ISBLANK(INDIRECT("R9.Web!D"&amp;SUM(18,38*44,24))),"",INDIRECT("R9.Web!D"&amp;SUM(18,38*44,24))))</f>
        <v>N/T</v>
      </c>
      <c r="CC43" s="215" t="str" cm="1">
        <f t="array" aca="1" ref="CC43" ca="1">IF($B43="","",IF(ISBLANK(INDIRECT("R9.Web!D"&amp;SUM(18,38*45,24))),"",INDIRECT("R9.Web!D"&amp;SUM(18,38*45,24))))</f>
        <v>N/T</v>
      </c>
      <c r="CD43" s="215" t="str" cm="1">
        <f t="array" aca="1" ref="CD43" ca="1">IF($B43="","",IF(ISBLANK(INDIRECT("R9.Web!D"&amp;SUM(18,38*46,24))),"",INDIRECT("R9.Web!D"&amp;SUM(18,38*46,24))))</f>
        <v>N/T</v>
      </c>
      <c r="CE43" s="215" t="str" cm="1">
        <f t="array" aca="1" ref="CE43" ca="1">IF($B43="","",IF(ISBLANK(INDIRECT("R9.Web!D"&amp;SUM(18,38*47,24))),"",INDIRECT("R9.Web!D"&amp;SUM(18,38*47,24))))</f>
        <v>N/D</v>
      </c>
      <c r="CF43" s="215" t="str" cm="1">
        <f t="array" aca="1" ref="CF43" ca="1">IF($B43="","",IF(ISBLANK(INDIRECT("R9.Web!D"&amp;SUM(18,38*48,24))),"",INDIRECT("R9.Web!D"&amp;SUM(18,38*48,24))))</f>
        <v>N/T</v>
      </c>
      <c r="CG43" s="215" t="str" cm="1">
        <f t="array" aca="1" ref="CG43" ca="1">IF($B43="","",IF(ISBLANK(INDIRECT("R9.Web!D"&amp;SUM(18,38*49,24))),"",INDIRECT("R9.Web!D"&amp;SUM(18,38*49,24))))</f>
        <v>N/T</v>
      </c>
      <c r="CH43" s="215" t="str" cm="1">
        <f t="array" aca="1" ref="CH43" ca="1">IF($B43="","",IF(ISBLANK(INDIRECT("R11.Software!D"&amp;SUM(18,38*0,24))),"",INDIRECT("R11.Software!D"&amp;SUM(18,38*0,24))))</f>
        <v>N/T</v>
      </c>
      <c r="CI43" s="215" t="str" cm="1">
        <f t="array" aca="1" ref="CI43" ca="1">IF($B43="","",IF(ISBLANK(INDIRECT("R11.Software!D"&amp;SUM(18,38*1,24))),"",INDIRECT("R11.Software!D"&amp;SUM(18,38*1,24))))</f>
        <v>N/T</v>
      </c>
      <c r="CJ43" s="215" t="str" cm="1">
        <f t="array" aca="1" ref="CJ43" ca="1">IF($B43="","",IF(ISBLANK(INDIRECT("R11.Software!D"&amp;SUM(18,38*2,24))),"",INDIRECT("R11.Software!D"&amp;SUM(18,38*2,24))))</f>
        <v>N/T</v>
      </c>
      <c r="CK43" s="215" t="str" cm="1">
        <f t="array" aca="1" ref="CK43" ca="1">IF($B43="","",IF(ISBLANK(INDIRECT("R11.Software!D"&amp;SUM(18,38*3,24))),"",INDIRECT("R11.Software!D"&amp;SUM(18,38*3,24))))</f>
        <v>N/T</v>
      </c>
      <c r="CL43" s="215" t="str" cm="1">
        <f t="array" aca="1" ref="CL43" ca="1">IF($B43="","",IF(ISBLANK(INDIRECT("R11.Software!D"&amp;SUM(18,38*4,24))),"",INDIRECT("R11.Software!D"&amp;SUM(18,38*4,24))))</f>
        <v>N/T</v>
      </c>
      <c r="CM43" s="215" t="str" cm="1">
        <f t="array" aca="1" ref="CM43" ca="1">IF($B43="","",IF(ISBLANK(INDIRECT("R11.Software!D"&amp;SUM(18,38*5,24))),"",INDIRECT("R11.Software!D"&amp;SUM(18,38*5,24))))</f>
        <v>N/T</v>
      </c>
      <c r="CN43" s="215" t="str" cm="1">
        <f t="array" aca="1" ref="CN43" ca="1">IF($B43="","",IF(ISBLANK(INDIRECT("R12.ServiciosApoyo!D"&amp;SUM(18,38*0,24))),"",INDIRECT("R12.ServiciosApoyo!D"&amp;SUM(18,38*0,24))))</f>
        <v>N/T</v>
      </c>
      <c r="CO43" s="215" t="str" cm="1">
        <f t="array" aca="1" ref="CO43" ca="1">IF($B43="","",IF(ISBLANK(INDIRECT("R12.ServiciosApoyo!D"&amp;SUM(18,38*1,24))),"",INDIRECT("R12.ServiciosApoyo!D"&amp;SUM(18,38*1,24))))</f>
        <v>N/T</v>
      </c>
      <c r="CP43" s="215" t="str" cm="1">
        <f t="array" aca="1" ref="CP43" ca="1">IF($B43="","",IF(ISBLANK(INDIRECT("R12.ServiciosApoyo!D"&amp;SUM(18,38*2,24))),"",INDIRECT("R12.ServiciosApoyo!D"&amp;SUM(18,38*2,24))))</f>
        <v>N/T</v>
      </c>
      <c r="CQ43" s="215" t="str" cm="1">
        <f t="array" aca="1" ref="CQ43" ca="1">IF($B43="","",IF(ISBLANK(INDIRECT("R12.ServiciosApoyo!D"&amp;SUM(18,38*3,24))),"",INDIRECT("R12.ServiciosApoyo!D"&amp;SUM(18,38*3,24))))</f>
        <v>N/T</v>
      </c>
      <c r="CR43" s="215" t="str" cm="1">
        <f t="array" aca="1" ref="CR43" ca="1">IF($B43="","",IF(ISBLANK(INDIRECT("R12.ServiciosApoyo!D"&amp;SUM(18,38*4,24))),"",INDIRECT("R12.ServiciosApoyo!D"&amp;SUM(18,38*4,24))))</f>
        <v>N/T</v>
      </c>
      <c r="CU43" s="100"/>
      <c r="CV43" s="29"/>
      <c r="CW43" s="29"/>
      <c r="CX43" s="29"/>
    </row>
    <row r="44" spans="2:102" ht="20.25">
      <c r="B44" s="181" t="n" cm="1">
        <f t="array" ref="B44">IFERROR(INDEX('03.Muestra'!$B$8:$B$42,SMALL(IF("Página Web"='03.Muestra'!$D$8:$D$42,ROW('03.Muestra'!$B$8:$B$42)-MIN(ROW('03.Muestra'!$D$8:$D$42))+1,""),ROW()-19)),"")</f>
        <v>1.0</v>
      </c>
      <c r="C44" s="97" t="str" cm="1">
        <f t="array" ref="C44">IFERROR(INDEX('03.Muestra'!$C$8:$C$42,SMALL(IF("Página Web"='03.Muestra'!$D$8:$D$42,ROW('03.Muestra'!$C$8:$C$42)-MIN(ROW('03.Muestra'!$D$8:$D$42))+1,""),ROW()-19)),"")</f>
        <v>Home - PortCastelló</v>
      </c>
      <c r="D44" s="98" t="str" cm="1">
        <f t="array" ref="D44">IFERROR(INDEX('03.Muestra'!$F$8:$F$42,SMALL(IF("Página Web"='03.Muestra'!$D$8:$D$42,ROW('03.Muestra'!$F$8:$F$42)-MIN(ROW('03.Muestra'!$D$8:$D$42))+1,""),ROW()-19)),"")</f>
        <v>https://www.portcastello.com/</v>
      </c>
      <c r="E44" s="215" t="str" cm="1">
        <f t="array" aca="1" ref="E44" ca="1">IF($B44="","",IF(ISBLANK(INDIRECT("R5.Genéricos!D"&amp;SUM(18,38*0,25))),"",INDIRECT("R5.Genéricos!D"&amp;SUM(18,38*0,25))))</f>
        <v>N/T</v>
      </c>
      <c r="F44" s="215" t="str" cm="1">
        <f t="array" aca="1" ref="F44" ca="1">IF($B44="","",IF(ISBLANK(INDIRECT("R5.Genéricos!D"&amp;SUM(18,38*1,25))),"",INDIRECT("R5.Genéricos!D"&amp;SUM(18,38*1,25))))</f>
        <v>N/T</v>
      </c>
      <c r="G44" s="215" t="str" cm="1">
        <f t="array" aca="1" ref="G44" ca="1">IF($B44="","",IF(ISBLANK(INDIRECT("R5.Genéricos!D"&amp;SUM(18,38*2,25))),"",INDIRECT("R5.Genéricos!D"&amp;SUM(18,38*2,25))))</f>
        <v>N/T</v>
      </c>
      <c r="H44" s="215" t="str" cm="1">
        <f t="array" aca="1" ref="H44" ca="1">IF($B44="","",IF(ISBLANK(INDIRECT("R6.Voz!D"&amp;SUM(18,38*0,25))),"",INDIRECT("R6.Voz!D"&amp;SUM(18,38*0,25))))</f>
        <v>N/T</v>
      </c>
      <c r="I44" s="215" t="str" cm="1">
        <f t="array" aca="1" ref="I44" ca="1">IF($B44="","",IF(ISBLANK(INDIRECT("R6.Voz!D"&amp;SUM(18,38*1,25))),"",INDIRECT("R6.Voz!D"&amp;SUM(18,38*1,25))))</f>
        <v>N/T</v>
      </c>
      <c r="J44" s="215" t="str" cm="1">
        <f t="array" aca="1" ref="J44" ca="1">IF($B44="","",IF(ISBLANK(INDIRECT("R6.Voz!D"&amp;SUM(18,38*2,25))),"",INDIRECT("R6.Voz!D"&amp;SUM(18,38*2,25))))</f>
        <v>N/T</v>
      </c>
      <c r="K44" s="215" t="str" cm="1">
        <f t="array" aca="1" ref="K44" ca="1">IF($B44="","",IF(ISBLANK(INDIRECT("R6.Voz!D"&amp;SUM(18,38*3,25))),"",INDIRECT("R6.Voz!D"&amp;SUM(18,38*3,25))))</f>
        <v>N/T</v>
      </c>
      <c r="L44" s="215" t="str" cm="1">
        <f t="array" aca="1" ref="L44" ca="1">IF($B44="","",IF(ISBLANK(INDIRECT("R6.Voz!D"&amp;SUM(18,38*4,25))),"",INDIRECT("R6.Voz!D"&amp;SUM(18,38*4,25))))</f>
        <v>N/T</v>
      </c>
      <c r="M44" s="215" t="str" cm="1">
        <f t="array" aca="1" ref="M44" ca="1">IF($B44="","",IF(ISBLANK(INDIRECT("R6.Voz!D"&amp;SUM(18,38*5,25))),"",INDIRECT("R6.Voz!D"&amp;SUM(18,38*5,25))))</f>
        <v>N/T</v>
      </c>
      <c r="N44" s="215" t="str" cm="1">
        <f t="array" aca="1" ref="N44" ca="1">IF($B44="","",IF(ISBLANK(INDIRECT("R6.Voz!D"&amp;SUM(18,38*6,25))),"",INDIRECT("R6.Voz!D"&amp;SUM(18,38*6,25))))</f>
        <v>N/T</v>
      </c>
      <c r="O44" s="215" t="str" cm="1">
        <f t="array" aca="1" ref="O44" ca="1">IF($B44="","",IF(ISBLANK(INDIRECT("R6.Voz!D"&amp;SUM(18,38*7,25))),"",INDIRECT("R6.Voz!D"&amp;SUM(18,38*7,25))))</f>
        <v>N/T</v>
      </c>
      <c r="P44" s="215" t="str" cm="1">
        <f t="array" aca="1" ref="P44" ca="1">IF($B44="","",IF(ISBLANK(INDIRECT("R6.Voz!D"&amp;SUM(18,38*8,25))),"",INDIRECT("R6.Voz!D"&amp;SUM(18,38*8,25))))</f>
        <v>N/T</v>
      </c>
      <c r="Q44" s="215" t="str" cm="1">
        <f t="array" aca="1" ref="Q44" ca="1">IF($B44="","",IF(ISBLANK(INDIRECT("R6.Voz!D"&amp;SUM(18,38*9,25))),"",INDIRECT("R6.Voz!D"&amp;SUM(18,38*9,25))))</f>
        <v>N/T</v>
      </c>
      <c r="R44" s="215" t="str" cm="1">
        <f t="array" aca="1" ref="R44" ca="1">IF($B44="","",IF(ISBLANK(INDIRECT("R6.Voz!D"&amp;SUM(18,38*10,25))),"",INDIRECT("R6.Voz!D"&amp;SUM(18,38*10,25))))</f>
        <v>N/T</v>
      </c>
      <c r="S44" s="215" t="str" cm="1">
        <f t="array" aca="1" ref="S44" ca="1">IF($B44="","",IF(ISBLANK(INDIRECT("R6.Voz!D"&amp;SUM(18,38*11,25))),"",INDIRECT("R6.Voz!D"&amp;SUM(18,38*11,25))))</f>
        <v>N/T</v>
      </c>
      <c r="T44" s="215" t="str" cm="1">
        <f t="array" aca="1" ref="T44" ca="1">IF($B44="","",IF(ISBLANK(INDIRECT("R6.Voz!D"&amp;SUM(18,38*12,25))),"",INDIRECT("R6.Voz!D"&amp;SUM(18,38*12,25))))</f>
        <v>N/T</v>
      </c>
      <c r="U44" s="215" t="str" cm="1">
        <f t="array" aca="1" ref="U44" ca="1">IF($B44="","",IF(ISBLANK(INDIRECT("R6.Voz!D"&amp;SUM(18,38*13,25))),"",INDIRECT("R6.Voz!D"&amp;SUM(18,38*13,25))))</f>
        <v>N/T</v>
      </c>
      <c r="V44" s="215" t="str" cm="1">
        <f t="array" aca="1" ref="V44" ca="1">IF($B44="","",IF(ISBLANK(INDIRECT("R6.Voz!D"&amp;SUM(18,38*14,25))),"",INDIRECT("R6.Voz!D"&amp;SUM(18,38*14,25))))</f>
        <v>N/T</v>
      </c>
      <c r="W44" s="215" t="str" cm="1">
        <f t="array" aca="1" ref="W44" ca="1">IF($B44="","",IF(ISBLANK(INDIRECT("R6.Voz!D"&amp;SUM(18,38*15,25))),"",INDIRECT("R6.Voz!D"&amp;SUM(18,38*15,25))))</f>
        <v>N/T</v>
      </c>
      <c r="X44" s="215" t="str" cm="1">
        <f t="array" aca="1" ref="X44" ca="1">IF($B44="","",IF(ISBLANK(INDIRECT("R6.Voz!D"&amp;SUM(18,38*16,25))),"",INDIRECT("R6.Voz!D"&amp;SUM(18,38*16,25))))</f>
        <v>N/T</v>
      </c>
      <c r="Y44" s="215" t="str" cm="1">
        <f t="array" aca="1" ref="Y44" ca="1">IF($B44="","",IF(ISBLANK(INDIRECT("R6.Voz!D"&amp;SUM(18,38*17,25))),"",INDIRECT("R6.Voz!D"&amp;SUM(18,38*17,25))))</f>
        <v>N/T</v>
      </c>
      <c r="Z44" s="215" t="str" cm="1">
        <f t="array" aca="1" ref="Z44" ca="1">IF($B44="","",IF(ISBLANK(INDIRECT("R6.Voz!D"&amp;SUM(18,38*18,25))),"",INDIRECT("R6.Voz!D"&amp;SUM(18,38*18,25))))</f>
        <v>N/T</v>
      </c>
      <c r="AA44" s="215" t="str" cm="1">
        <f t="array" aca="1" ref="AA44" ca="1">IF($B44="","",IF(ISBLANK(INDIRECT("R7.Video!D"&amp;SUM(18,38*0,25))),"",INDIRECT("R7.Video!D"&amp;SUM(18,38*0,25))))</f>
        <v>N/T</v>
      </c>
      <c r="AB44" s="215" t="str" cm="1">
        <f t="array" aca="1" ref="AB44" ca="1">IF($B44="","",IF(ISBLANK(INDIRECT("R7.Video!D"&amp;SUM(18,38*1,25))),"",INDIRECT("R7.Video!D"&amp;SUM(18,38*1,25))))</f>
        <v>N/T</v>
      </c>
      <c r="AC44" s="215" t="str" cm="1">
        <f t="array" aca="1" ref="AC44" ca="1">IF($B44="","",IF(ISBLANK(INDIRECT("R7.Video!D"&amp;SUM(18,38*2,25))),"",INDIRECT("R7.Video!D"&amp;SUM(18,38*2,25))))</f>
        <v>N/T</v>
      </c>
      <c r="AD44" s="215" t="str" cm="1">
        <f t="array" aca="1" ref="AD44" ca="1">IF($B44="","",IF(ISBLANK(INDIRECT("R7.Video!D"&amp;SUM(18,38*3,25))),"",INDIRECT("R7.Video!D"&amp;SUM(18,38*3,25))))</f>
        <v>N/T</v>
      </c>
      <c r="AE44" s="215" t="str" cm="1">
        <f t="array" aca="1" ref="AE44" ca="1">IF($B44="","",IF(ISBLANK(INDIRECT("R7.Video!D"&amp;SUM(18,38*4,25))),"",INDIRECT("R7.Video!D"&amp;SUM(18,38*4,25))))</f>
        <v>N/T</v>
      </c>
      <c r="AF44" s="215" t="str" cm="1">
        <f t="array" aca="1" ref="AF44" ca="1">IF($B44="","",IF(ISBLANK(INDIRECT("R7.Video!D"&amp;SUM(18,38*5,25))),"",INDIRECT("R7.Video!D"&amp;SUM(18,38*5,25))))</f>
        <v>N/T</v>
      </c>
      <c r="AG44" s="215" t="str" cm="1">
        <f t="array" aca="1" ref="AG44" ca="1">IF($B44="","",IF(ISBLANK(INDIRECT("R7.Video!D"&amp;SUM(18,38*6,25))),"",INDIRECT("R7.Video!D"&amp;SUM(18,38*6,25))))</f>
        <v>N/T</v>
      </c>
      <c r="AH44" s="215" t="str" cm="1">
        <f t="array" aca="1" ref="AH44" ca="1">IF($B44="","",IF(ISBLANK(INDIRECT("R7.Video!D"&amp;SUM(18,38*7,25))),"",INDIRECT("R7.Video!D"&amp;SUM(18,38*7,25))))</f>
        <v>N/T</v>
      </c>
      <c r="AI44" s="215" t="str" cm="1">
        <f t="array" aca="1" ref="AI44" ca="1">IF($B44="","",IF(ISBLANK(INDIRECT("R7.Video!D"&amp;SUM(18,38*8,25))),"",INDIRECT("R7.Video!D"&amp;SUM(18,38*8,25))))</f>
        <v>N/T</v>
      </c>
      <c r="AJ44" s="215" t="str" cm="1">
        <f t="array" aca="1" ref="AJ44" ca="1">IF($B44="","",IF(ISBLANK(INDIRECT("R9.Web!D"&amp;SUM(18,38*0,25))),"",INDIRECT("R9.Web!D"&amp;SUM(18,38*0,25))))</f>
        <v>N/D</v>
      </c>
      <c r="AK44" s="215" t="str" cm="1">
        <f t="array" aca="1" ref="AK44" ca="1">IF($B44="","",IF(ISBLANK(INDIRECT("R9.Web!D"&amp;SUM(18,38*1,25))),"",INDIRECT("R9.Web!D"&amp;SUM(18,38*1,25))))</f>
        <v>N/T</v>
      </c>
      <c r="AL44" s="215" t="str" cm="1">
        <f t="array" aca="1" ref="AL44" ca="1">IF($B44="","",IF(ISBLANK(INDIRECT("R9.Web!D"&amp;SUM(18,38*2,25))),"",INDIRECT("R9.Web!D"&amp;SUM(18,38*2,25))))</f>
        <v>N/T</v>
      </c>
      <c r="AM44" s="215" t="str" cm="1">
        <f t="array" aca="1" ref="AM44" ca="1">IF($B44="","",IF(ISBLANK(INDIRECT("R9.Web!D"&amp;SUM(18,38*3,25))),"",INDIRECT("R9.Web!D"&amp;SUM(18,38*3,25))))</f>
        <v>N/T</v>
      </c>
      <c r="AN44" s="215" t="str" cm="1">
        <f t="array" aca="1" ref="AN44" ca="1">IF($B44="","",IF(ISBLANK(INDIRECT("R9.Web!D"&amp;SUM(18,38*4,25))),"",INDIRECT("R9.Web!D"&amp;SUM(18,38*4,25))))</f>
        <v>N/T</v>
      </c>
      <c r="AO44" s="215" t="str" cm="1">
        <f t="array" aca="1" ref="AO44" ca="1">IF($B44="","",IF(ISBLANK(INDIRECT("R9.Web!D"&amp;SUM(18,38*5,25))),"",INDIRECT("R9.Web!D"&amp;SUM(18,38*5,25))))</f>
        <v>N/D</v>
      </c>
      <c r="AP44" s="215" t="str" cm="1">
        <f t="array" aca="1" ref="AP44" ca="1">IF($B44="","",IF(ISBLANK(INDIRECT("R9.Web!D"&amp;SUM(18,38*6,25))),"",INDIRECT("R9.Web!D"&amp;SUM(18,38*6,25))))</f>
        <v>N/T</v>
      </c>
      <c r="AQ44" s="215" t="str" cm="1">
        <f t="array" aca="1" ref="AQ44" ca="1">IF($B44="","",IF(ISBLANK(INDIRECT("R9.Web!D"&amp;SUM(18,38*7,25))),"",INDIRECT("R9.Web!D"&amp;SUM(18,38*7,25))))</f>
        <v>N/T</v>
      </c>
      <c r="AR44" s="215" t="str" cm="1">
        <f t="array" aca="1" ref="AR44" ca="1">IF($B44="","",IF(ISBLANK(INDIRECT("R9.Web!D"&amp;SUM(18,38*8,25))),"",INDIRECT("R9.Web!D"&amp;SUM(18,38*8,25))))</f>
        <v>N/D</v>
      </c>
      <c r="AS44" s="215" t="str" cm="1">
        <f t="array" aca="1" ref="AS44" ca="1">IF($B44="","",IF(ISBLANK(INDIRECT("R9.Web!D"&amp;SUM(18,38*9,25))),"",INDIRECT("R9.Web!D"&amp;SUM(18,38*9,25))))</f>
        <v>N/D</v>
      </c>
      <c r="AT44" s="215" t="str" cm="1">
        <f t="array" aca="1" ref="AT44" ca="1">IF($B44="","",IF(ISBLANK(INDIRECT("R9.Web!D"&amp;SUM(18,38*10,25))),"",INDIRECT("R9.Web!D"&amp;SUM(18,38*10,25))))</f>
        <v>N/T</v>
      </c>
      <c r="AU44" s="215" t="str" cm="1">
        <f t="array" aca="1" ref="AU44" ca="1">IF($B44="","",IF(ISBLANK(INDIRECT("R9.Web!D"&amp;SUM(18,38*11,25))),"",INDIRECT("R9.Web!D"&amp;SUM(18,38*11,25))))</f>
        <v>N/T</v>
      </c>
      <c r="AV44" s="215" t="str" cm="1">
        <f t="array" aca="1" ref="AV44" ca="1">IF($B44="","",IF(ISBLANK(INDIRECT("R9.Web!D"&amp;SUM(18,38*12,25))),"",INDIRECT("R9.Web!D"&amp;SUM(18,38*12,25))))</f>
        <v>N/D</v>
      </c>
      <c r="AW44" s="215" t="str" cm="1">
        <f t="array" aca="1" ref="AW44" ca="1">IF($B44="","",IF(ISBLANK(INDIRECT("R9.Web!D"&amp;SUM(18,38*13,25))),"",INDIRECT("R9.Web!D"&amp;SUM(18,38*13,25))))</f>
        <v>N/T</v>
      </c>
      <c r="AX44" s="215" t="str" cm="1">
        <f t="array" aca="1" ref="AX44" ca="1">IF($B44="","",IF(ISBLANK(INDIRECT("R9.Web!D"&amp;SUM(18,38*14,25))),"",INDIRECT("R9.Web!D"&amp;SUM(18,38*14,25))))</f>
        <v>N/T</v>
      </c>
      <c r="AY44" s="215" t="str" cm="1">
        <f t="array" aca="1" ref="AY44" ca="1">IF($B44="","",IF(ISBLANK(INDIRECT("R9.Web!D"&amp;SUM(18,38*15,25))),"",INDIRECT("R9.Web!D"&amp;SUM(18,38*15,25))))</f>
        <v>N/D</v>
      </c>
      <c r="AZ44" s="215" t="str" cm="1">
        <f t="array" aca="1" ref="AZ44" ca="1">IF($B44="","",IF(ISBLANK(INDIRECT("R9.Web!D"&amp;SUM(18,38*16,25))),"",INDIRECT("R9.Web!D"&amp;SUM(18,38*16,25))))</f>
        <v>N/T</v>
      </c>
      <c r="BA44" s="215" t="str" cm="1">
        <f t="array" aca="1" ref="BA44" ca="1">IF($B44="","",IF(ISBLANK(INDIRECT("R9.Web!D"&amp;SUM(18,38*17,25))),"",INDIRECT("R9.Web!D"&amp;SUM(18,38*17,25))))</f>
        <v>N/D</v>
      </c>
      <c r="BB44" s="215" t="str" cm="1">
        <f t="array" aca="1" ref="BB44" ca="1">IF($B44="","",IF(ISBLANK(INDIRECT("R9.Web!D"&amp;SUM(18,38*18,25))),"",INDIRECT("R9.Web!D"&amp;SUM(18,38*18,25))))</f>
        <v>N/T</v>
      </c>
      <c r="BC44" s="215" t="str" cm="1">
        <f t="array" aca="1" ref="BC44" ca="1">IF($B44="","",IF(ISBLANK(INDIRECT("R9.Web!D"&amp;SUM(18,38*19,25))),"",INDIRECT("R9.Web!D"&amp;SUM(18,38*19,25))))</f>
        <v>N/D</v>
      </c>
      <c r="BD44" s="215" t="str" cm="1">
        <f t="array" aca="1" ref="BD44" ca="1">IF($B44="","",IF(ISBLANK(INDIRECT("R9.Web!D"&amp;SUM(18,38*20,25))),"",INDIRECT("R9.Web!D"&amp;SUM(18,38*20,25))))</f>
        <v>N/T</v>
      </c>
      <c r="BE44" s="215" t="str" cm="1">
        <f t="array" aca="1" ref="BE44" ca="1">IF($B44="","",IF(ISBLANK(INDIRECT("R9.Web!D"&amp;SUM(18,38*21,25))),"",INDIRECT("R9.Web!D"&amp;SUM(18,38*21,25))))</f>
        <v>N/T</v>
      </c>
      <c r="BF44" s="215" t="str" cm="1">
        <f t="array" aca="1" ref="BF44" ca="1">IF($B44="","",IF(ISBLANK(INDIRECT("R9.Web!D"&amp;SUM(18,38*22,25))),"",INDIRECT("R9.Web!D"&amp;SUM(18,38*22,25))))</f>
        <v>N/D</v>
      </c>
      <c r="BG44" s="215" t="str" cm="1">
        <f t="array" aca="1" ref="BG44" ca="1">IF($B44="","",IF(ISBLANK(INDIRECT("R9.Web!D"&amp;SUM(18,38*23,25))),"",INDIRECT("R9.Web!D"&amp;SUM(18,38*23,25))))</f>
        <v>N/D</v>
      </c>
      <c r="BH44" s="215" t="str" cm="1">
        <f t="array" aca="1" ref="BH44" ca="1">IF($B44="","",IF(ISBLANK(INDIRECT("R9.Web!D"&amp;SUM(18,38*24,25))),"",INDIRECT("R9.Web!D"&amp;SUM(18,38*24,25))))</f>
        <v>N/T</v>
      </c>
      <c r="BI44" s="215" t="str" cm="1">
        <f t="array" aca="1" ref="BI44" ca="1">IF($B44="","",IF(ISBLANK(INDIRECT("R9.Web!D"&amp;SUM(18,38*25,25))),"",INDIRECT("R9.Web!D"&amp;SUM(18,38*25,25))))</f>
        <v>N/D</v>
      </c>
      <c r="BJ44" s="215" t="str" cm="1">
        <f t="array" aca="1" ref="BJ44" ca="1">IF($B44="","",IF(ISBLANK(INDIRECT("R9.Web!D"&amp;SUM(18,38*26,25))),"",INDIRECT("R9.Web!D"&amp;SUM(18,38*26,25))))</f>
        <v>N/D</v>
      </c>
      <c r="BK44" s="215" t="str" cm="1">
        <f t="array" aca="1" ref="BK44" ca="1">IF($B44="","",IF(ISBLANK(INDIRECT("R9.Web!D"&amp;SUM(18,38*27,25))),"",INDIRECT("R9.Web!D"&amp;SUM(18,38*27,25))))</f>
        <v>N/D</v>
      </c>
      <c r="BL44" s="215" t="str" cm="1">
        <f t="array" aca="1" ref="BL44" ca="1">IF($B44="","",IF(ISBLANK(INDIRECT("R9.Web!D"&amp;SUM(18,38*28,25))),"",INDIRECT("R9.Web!D"&amp;SUM(18,38*28,25))))</f>
        <v>N/D</v>
      </c>
      <c r="BM44" s="215" t="str" cm="1">
        <f t="array" aca="1" ref="BM44" ca="1">IF($B44="","",IF(ISBLANK(INDIRECT("R9.Web!D"&amp;SUM(18,38*29,25))),"",INDIRECT("R9.Web!D"&amp;SUM(18,38*29,25))))</f>
        <v>N/D</v>
      </c>
      <c r="BN44" s="215" t="str" cm="1">
        <f t="array" aca="1" ref="BN44" ca="1">IF($B44="","",IF(ISBLANK(INDIRECT("R9.Web!D"&amp;SUM(18,38*30,25))),"",INDIRECT("R9.Web!D"&amp;SUM(18,38*30,25))))</f>
        <v>N/T</v>
      </c>
      <c r="BO44" s="215" t="str" cm="1">
        <f t="array" aca="1" ref="BO44" ca="1">IF($B44="","",IF(ISBLANK(INDIRECT("R9.Web!D"&amp;SUM(18,38*31,25))),"",INDIRECT("R9.Web!D"&amp;SUM(18,38*31,25))))</f>
        <v>Falla</v>
      </c>
      <c r="BP44" s="215" t="str" cm="1">
        <f t="array" aca="1" ref="BP44" ca="1">IF($B44="","",IF(ISBLANK(INDIRECT("R9.Web!D"&amp;SUM(18,38*32,25))),"",INDIRECT("R9.Web!D"&amp;SUM(18,38*32,25))))</f>
        <v>N/T</v>
      </c>
      <c r="BQ44" s="215" t="str" cm="1">
        <f t="array" aca="1" ref="BQ44" ca="1">IF($B44="","",IF(ISBLANK(INDIRECT("R9.Web!D"&amp;SUM(18,38*33,25))),"",INDIRECT("R9.Web!D"&amp;SUM(18,38*33,25))))</f>
        <v>N/T</v>
      </c>
      <c r="BR44" s="215" t="str" cm="1">
        <f t="array" aca="1" ref="BR44" ca="1">IF($B44="","",IF(ISBLANK(INDIRECT("R9.Web!D"&amp;SUM(18,38*34,25))),"",INDIRECT("R9.Web!D"&amp;SUM(18,38*34,25))))</f>
        <v>N/D</v>
      </c>
      <c r="BS44" s="215" t="str" cm="1">
        <f t="array" aca="1" ref="BS44" ca="1">IF($B44="","",IF(ISBLANK(INDIRECT("R9.Web!D"&amp;SUM(18,38*35,25))),"",INDIRECT("R9.Web!D"&amp;SUM(18,38*35,25))))</f>
        <v>N/T</v>
      </c>
      <c r="BT44" s="215" t="str" cm="1">
        <f t="array" aca="1" ref="BT44" ca="1">IF($B44="","",IF(ISBLANK(INDIRECT("R9.Web!D"&amp;SUM(18,38*36,25))),"",INDIRECT("R9.Web!D"&amp;SUM(18,38*36,25))))</f>
        <v>N/D</v>
      </c>
      <c r="BU44" s="215" t="str" cm="1">
        <f t="array" aca="1" ref="BU44" ca="1">IF($B44="","",IF(ISBLANK(INDIRECT("R9.Web!D"&amp;SUM(18,38*37,25))),"",INDIRECT("R9.Web!D"&amp;SUM(18,38*37,25))))</f>
        <v>Falla</v>
      </c>
      <c r="BV44" s="215" t="str" cm="1">
        <f t="array" aca="1" ref="BV44" ca="1">IF($B44="","",IF(ISBLANK(INDIRECT("R9.Web!D"&amp;SUM(18,38*38,25))),"",INDIRECT("R9.Web!D"&amp;SUM(18,38*38,25))))</f>
        <v>N/D</v>
      </c>
      <c r="BW44" s="215" t="str" cm="1">
        <f t="array" aca="1" ref="BW44" ca="1">IF($B44="","",IF(ISBLANK(INDIRECT("R9.Web!D"&amp;SUM(18,38*39,25))),"",INDIRECT("R9.Web!D"&amp;SUM(18,38*39,25))))</f>
        <v>N/D</v>
      </c>
      <c r="BX44" s="215" t="str" cm="1">
        <f t="array" aca="1" ref="BX44" ca="1">IF($B44="","",IF(ISBLANK(INDIRECT("R9.Web!D"&amp;SUM(18,38*40,25))),"",INDIRECT("R9.Web!D"&amp;SUM(18,38*40,25))))</f>
        <v>N/D</v>
      </c>
      <c r="BY44" s="215" t="str" cm="1">
        <f t="array" aca="1" ref="BY44" ca="1">IF($B44="","",IF(ISBLANK(INDIRECT("R9.Web!D"&amp;SUM(18,38*41,25))),"",INDIRECT("R9.Web!D"&amp;SUM(18,38*41,25))))</f>
        <v>N/T</v>
      </c>
      <c r="BZ44" s="215" t="str" cm="1">
        <f t="array" aca="1" ref="BZ44" ca="1">IF($B44="","",IF(ISBLANK(INDIRECT("R9.Web!D"&amp;SUM(18,38*42,25))),"",INDIRECT("R9.Web!D"&amp;SUM(18,38*42,25))))</f>
        <v>N/T</v>
      </c>
      <c r="CA44" s="215" t="str" cm="1">
        <f t="array" aca="1" ref="CA44" ca="1">IF($B44="","",IF(ISBLANK(INDIRECT("R9.Web!D"&amp;SUM(18,38*43,25))),"",INDIRECT("R9.Web!D"&amp;SUM(18,38*43,25))))</f>
        <v>N/D</v>
      </c>
      <c r="CB44" s="215" t="str" cm="1">
        <f t="array" aca="1" ref="CB44" ca="1">IF($B44="","",IF(ISBLANK(INDIRECT("R9.Web!D"&amp;SUM(18,38*44,25))),"",INDIRECT("R9.Web!D"&amp;SUM(18,38*44,25))))</f>
        <v>N/T</v>
      </c>
      <c r="CC44" s="215" t="str" cm="1">
        <f t="array" aca="1" ref="CC44" ca="1">IF($B44="","",IF(ISBLANK(INDIRECT("R9.Web!D"&amp;SUM(18,38*45,25))),"",INDIRECT("R9.Web!D"&amp;SUM(18,38*45,25))))</f>
        <v>N/T</v>
      </c>
      <c r="CD44" s="215" t="str" cm="1">
        <f t="array" aca="1" ref="CD44" ca="1">IF($B44="","",IF(ISBLANK(INDIRECT("R9.Web!D"&amp;SUM(18,38*46,25))),"",INDIRECT("R9.Web!D"&amp;SUM(18,38*46,25))))</f>
        <v>N/T</v>
      </c>
      <c r="CE44" s="215" t="str" cm="1">
        <f t="array" aca="1" ref="CE44" ca="1">IF($B44="","",IF(ISBLANK(INDIRECT("R9.Web!D"&amp;SUM(18,38*47,25))),"",INDIRECT("R9.Web!D"&amp;SUM(18,38*47,25))))</f>
        <v>N/D</v>
      </c>
      <c r="CF44" s="215" t="str" cm="1">
        <f t="array" aca="1" ref="CF44" ca="1">IF($B44="","",IF(ISBLANK(INDIRECT("R9.Web!D"&amp;SUM(18,38*48,25))),"",INDIRECT("R9.Web!D"&amp;SUM(18,38*48,25))))</f>
        <v>N/T</v>
      </c>
      <c r="CG44" s="215" t="str" cm="1">
        <f t="array" aca="1" ref="CG44" ca="1">IF($B44="","",IF(ISBLANK(INDIRECT("R9.Web!D"&amp;SUM(18,38*49,25))),"",INDIRECT("R9.Web!D"&amp;SUM(18,38*49,25))))</f>
        <v>N/T</v>
      </c>
      <c r="CH44" s="215" t="str" cm="1">
        <f t="array" aca="1" ref="CH44" ca="1">IF($B44="","",IF(ISBLANK(INDIRECT("R11.Software!D"&amp;SUM(18,38*0,25))),"",INDIRECT("R11.Software!D"&amp;SUM(18,38*0,25))))</f>
        <v>N/T</v>
      </c>
      <c r="CI44" s="215" t="str" cm="1">
        <f t="array" aca="1" ref="CI44" ca="1">IF($B44="","",IF(ISBLANK(INDIRECT("R11.Software!D"&amp;SUM(18,38*1,25))),"",INDIRECT("R11.Software!D"&amp;SUM(18,38*1,25))))</f>
        <v>N/T</v>
      </c>
      <c r="CJ44" s="215" t="str" cm="1">
        <f t="array" aca="1" ref="CJ44" ca="1">IF($B44="","",IF(ISBLANK(INDIRECT("R11.Software!D"&amp;SUM(18,38*2,25))),"",INDIRECT("R11.Software!D"&amp;SUM(18,38*2,25))))</f>
        <v>N/T</v>
      </c>
      <c r="CK44" s="215" t="str" cm="1">
        <f t="array" aca="1" ref="CK44" ca="1">IF($B44="","",IF(ISBLANK(INDIRECT("R11.Software!D"&amp;SUM(18,38*3,25))),"",INDIRECT("R11.Software!D"&amp;SUM(18,38*3,25))))</f>
        <v>N/T</v>
      </c>
      <c r="CL44" s="215" t="str" cm="1">
        <f t="array" aca="1" ref="CL44" ca="1">IF($B44="","",IF(ISBLANK(INDIRECT("R11.Software!D"&amp;SUM(18,38*4,25))),"",INDIRECT("R11.Software!D"&amp;SUM(18,38*4,25))))</f>
        <v>N/T</v>
      </c>
      <c r="CM44" s="215" t="str" cm="1">
        <f t="array" aca="1" ref="CM44" ca="1">IF($B44="","",IF(ISBLANK(INDIRECT("R11.Software!D"&amp;SUM(18,38*5,25))),"",INDIRECT("R11.Software!D"&amp;SUM(18,38*5,25))))</f>
        <v>N/T</v>
      </c>
      <c r="CN44" s="215" t="str" cm="1">
        <f t="array" aca="1" ref="CN44" ca="1">IF($B44="","",IF(ISBLANK(INDIRECT("R12.ServiciosApoyo!D"&amp;SUM(18,38*0,25))),"",INDIRECT("R12.ServiciosApoyo!D"&amp;SUM(18,38*0,25))))</f>
        <v>N/T</v>
      </c>
      <c r="CO44" s="215" t="str" cm="1">
        <f t="array" aca="1" ref="CO44" ca="1">IF($B44="","",IF(ISBLANK(INDIRECT("R12.ServiciosApoyo!D"&amp;SUM(18,38*1,25))),"",INDIRECT("R12.ServiciosApoyo!D"&amp;SUM(18,38*1,25))))</f>
        <v>N/T</v>
      </c>
      <c r="CP44" s="215" t="str" cm="1">
        <f t="array" aca="1" ref="CP44" ca="1">IF($B44="","",IF(ISBLANK(INDIRECT("R12.ServiciosApoyo!D"&amp;SUM(18,38*2,25))),"",INDIRECT("R12.ServiciosApoyo!D"&amp;SUM(18,38*2,25))))</f>
        <v>N/T</v>
      </c>
      <c r="CQ44" s="215" t="str" cm="1">
        <f t="array" aca="1" ref="CQ44" ca="1">IF($B44="","",IF(ISBLANK(INDIRECT("R12.ServiciosApoyo!D"&amp;SUM(18,38*3,25))),"",INDIRECT("R12.ServiciosApoyo!D"&amp;SUM(18,38*3,25))))</f>
        <v>N/T</v>
      </c>
      <c r="CR44" s="215" t="str" cm="1">
        <f t="array" aca="1" ref="CR44" ca="1">IF($B44="","",IF(ISBLANK(INDIRECT("R12.ServiciosApoyo!D"&amp;SUM(18,38*4,25))),"",INDIRECT("R12.ServiciosApoyo!D"&amp;SUM(18,38*4,25))))</f>
        <v>N/T</v>
      </c>
      <c r="CU44" s="100"/>
      <c r="CV44" s="29"/>
      <c r="CW44" s="29"/>
      <c r="CX44" s="29"/>
    </row>
    <row r="45" spans="2:102" ht="20.25">
      <c r="B45" s="181" t="n" cm="1">
        <f t="array" ref="B45">IFERROR(INDEX('03.Muestra'!$B$8:$B$42,SMALL(IF("Página Web"='03.Muestra'!$D$8:$D$42,ROW('03.Muestra'!$B$8:$B$42)-MIN(ROW('03.Muestra'!$D$8:$D$42))+1,""),ROW()-19)),"")</f>
        <v>1.0</v>
      </c>
      <c r="C45" s="97" t="str" cm="1">
        <f t="array" ref="C45">IFERROR(INDEX('03.Muestra'!$C$8:$C$42,SMALL(IF("Página Web"='03.Muestra'!$D$8:$D$42,ROW('03.Muestra'!$C$8:$C$42)-MIN(ROW('03.Muestra'!$D$8:$D$42))+1,""),ROW()-19)),"")</f>
        <v>Home - PortCastelló</v>
      </c>
      <c r="D45" s="98" t="str" cm="1">
        <f t="array" ref="D45">IFERROR(INDEX('03.Muestra'!$F$8:$F$42,SMALL(IF("Página Web"='03.Muestra'!$D$8:$D$42,ROW('03.Muestra'!$F$8:$F$42)-MIN(ROW('03.Muestra'!$D$8:$D$42))+1,""),ROW()-19)),"")</f>
        <v>https://www.portcastello.com/</v>
      </c>
      <c r="E45" s="215" t="str" cm="1">
        <f t="array" aca="1" ref="E45" ca="1">IF($B45="","",IF(ISBLANK(INDIRECT("R5.Genéricos!D"&amp;SUM(18,38*0,26))),"",INDIRECT("R5.Genéricos!D"&amp;SUM(18,38*0,26))))</f>
        <v>N/T</v>
      </c>
      <c r="F45" s="215" t="str" cm="1">
        <f t="array" aca="1" ref="F45" ca="1">IF($B45="","",IF(ISBLANK(INDIRECT("R5.Genéricos!D"&amp;SUM(18,38*1,26))),"",INDIRECT("R5.Genéricos!D"&amp;SUM(18,38*1,26))))</f>
        <v>N/T</v>
      </c>
      <c r="G45" s="215" t="str" cm="1">
        <f t="array" aca="1" ref="G45" ca="1">IF($B45="","",IF(ISBLANK(INDIRECT("R5.Genéricos!D"&amp;SUM(18,38*2,26))),"",INDIRECT("R5.Genéricos!D"&amp;SUM(18,38*2,26))))</f>
        <v>N/T</v>
      </c>
      <c r="H45" s="215" t="str" cm="1">
        <f t="array" aca="1" ref="H45" ca="1">IF($B45="","",IF(ISBLANK(INDIRECT("R6.Voz!D"&amp;SUM(18,38*0,26))),"",INDIRECT("R6.Voz!D"&amp;SUM(18,38*0,26))))</f>
        <v>N/T</v>
      </c>
      <c r="I45" s="215" t="str" cm="1">
        <f t="array" aca="1" ref="I45" ca="1">IF($B45="","",IF(ISBLANK(INDIRECT("R6.Voz!D"&amp;SUM(18,38*1,26))),"",INDIRECT("R6.Voz!D"&amp;SUM(18,38*1,26))))</f>
        <v>N/T</v>
      </c>
      <c r="J45" s="215" t="str" cm="1">
        <f t="array" aca="1" ref="J45" ca="1">IF($B45="","",IF(ISBLANK(INDIRECT("R6.Voz!D"&amp;SUM(18,38*2,26))),"",INDIRECT("R6.Voz!D"&amp;SUM(18,38*2,26))))</f>
        <v>N/T</v>
      </c>
      <c r="K45" s="215" t="str" cm="1">
        <f t="array" aca="1" ref="K45" ca="1">IF($B45="","",IF(ISBLANK(INDIRECT("R6.Voz!D"&amp;SUM(18,38*3,26))),"",INDIRECT("R6.Voz!D"&amp;SUM(18,38*3,26))))</f>
        <v>N/T</v>
      </c>
      <c r="L45" s="215" t="str" cm="1">
        <f t="array" aca="1" ref="L45" ca="1">IF($B45="","",IF(ISBLANK(INDIRECT("R6.Voz!D"&amp;SUM(18,38*4,26))),"",INDIRECT("R6.Voz!D"&amp;SUM(18,38*4,26))))</f>
        <v>N/T</v>
      </c>
      <c r="M45" s="215" t="str" cm="1">
        <f t="array" aca="1" ref="M45" ca="1">IF($B45="","",IF(ISBLANK(INDIRECT("R6.Voz!D"&amp;SUM(18,38*5,26))),"",INDIRECT("R6.Voz!D"&amp;SUM(18,38*5,26))))</f>
        <v>N/T</v>
      </c>
      <c r="N45" s="215" t="str" cm="1">
        <f t="array" aca="1" ref="N45" ca="1">IF($B45="","",IF(ISBLANK(INDIRECT("R6.Voz!D"&amp;SUM(18,38*6,26))),"",INDIRECT("R6.Voz!D"&amp;SUM(18,38*6,26))))</f>
        <v>N/T</v>
      </c>
      <c r="O45" s="215" t="str" cm="1">
        <f t="array" aca="1" ref="O45" ca="1">IF($B45="","",IF(ISBLANK(INDIRECT("R6.Voz!D"&amp;SUM(18,38*7,26))),"",INDIRECT("R6.Voz!D"&amp;SUM(18,38*7,26))))</f>
        <v>N/T</v>
      </c>
      <c r="P45" s="215" t="str" cm="1">
        <f t="array" aca="1" ref="P45" ca="1">IF($B45="","",IF(ISBLANK(INDIRECT("R6.Voz!D"&amp;SUM(18,38*8,26))),"",INDIRECT("R6.Voz!D"&amp;SUM(18,38*8,26))))</f>
        <v>N/T</v>
      </c>
      <c r="Q45" s="215" t="str" cm="1">
        <f t="array" aca="1" ref="Q45" ca="1">IF($B45="","",IF(ISBLANK(INDIRECT("R6.Voz!D"&amp;SUM(18,38*9,26))),"",INDIRECT("R6.Voz!D"&amp;SUM(18,38*9,26))))</f>
        <v>N/T</v>
      </c>
      <c r="R45" s="215" t="str" cm="1">
        <f t="array" aca="1" ref="R45" ca="1">IF($B45="","",IF(ISBLANK(INDIRECT("R6.Voz!D"&amp;SUM(18,38*10,26))),"",INDIRECT("R6.Voz!D"&amp;SUM(18,38*10,26))))</f>
        <v>N/T</v>
      </c>
      <c r="S45" s="215" t="str" cm="1">
        <f t="array" aca="1" ref="S45" ca="1">IF($B45="","",IF(ISBLANK(INDIRECT("R6.Voz!D"&amp;SUM(18,38*11,26))),"",INDIRECT("R6.Voz!D"&amp;SUM(18,38*11,26))))</f>
        <v>N/T</v>
      </c>
      <c r="T45" s="215" t="str" cm="1">
        <f t="array" aca="1" ref="T45" ca="1">IF($B45="","",IF(ISBLANK(INDIRECT("R6.Voz!D"&amp;SUM(18,38*12,26))),"",INDIRECT("R6.Voz!D"&amp;SUM(18,38*12,26))))</f>
        <v>N/T</v>
      </c>
      <c r="U45" s="215" t="str" cm="1">
        <f t="array" aca="1" ref="U45" ca="1">IF($B45="","",IF(ISBLANK(INDIRECT("R6.Voz!D"&amp;SUM(18,38*13,26))),"",INDIRECT("R6.Voz!D"&amp;SUM(18,38*13,26))))</f>
        <v>N/T</v>
      </c>
      <c r="V45" s="215" t="str" cm="1">
        <f t="array" aca="1" ref="V45" ca="1">IF($B45="","",IF(ISBLANK(INDIRECT("R6.Voz!D"&amp;SUM(18,38*14,26))),"",INDIRECT("R6.Voz!D"&amp;SUM(18,38*14,26))))</f>
        <v>N/T</v>
      </c>
      <c r="W45" s="215" t="str" cm="1">
        <f t="array" aca="1" ref="W45" ca="1">IF($B45="","",IF(ISBLANK(INDIRECT("R6.Voz!D"&amp;SUM(18,38*15,26))),"",INDIRECT("R6.Voz!D"&amp;SUM(18,38*15,26))))</f>
        <v>N/T</v>
      </c>
      <c r="X45" s="215" t="str" cm="1">
        <f t="array" aca="1" ref="X45" ca="1">IF($B45="","",IF(ISBLANK(INDIRECT("R6.Voz!D"&amp;SUM(18,38*16,26))),"",INDIRECT("R6.Voz!D"&amp;SUM(18,38*16,26))))</f>
        <v>N/T</v>
      </c>
      <c r="Y45" s="215" t="str" cm="1">
        <f t="array" aca="1" ref="Y45" ca="1">IF($B45="","",IF(ISBLANK(INDIRECT("R6.Voz!D"&amp;SUM(18,38*17,26))),"",INDIRECT("R6.Voz!D"&amp;SUM(18,38*17,26))))</f>
        <v>N/T</v>
      </c>
      <c r="Z45" s="215" t="str" cm="1">
        <f t="array" aca="1" ref="Z45" ca="1">IF($B45="","",IF(ISBLANK(INDIRECT("R6.Voz!D"&amp;SUM(18,38*18,26))),"",INDIRECT("R6.Voz!D"&amp;SUM(18,38*18,26))))</f>
        <v>N/T</v>
      </c>
      <c r="AA45" s="215" t="str" cm="1">
        <f t="array" aca="1" ref="AA45" ca="1">IF($B45="","",IF(ISBLANK(INDIRECT("R7.Video!D"&amp;SUM(18,38*0,26))),"",INDIRECT("R7.Video!D"&amp;SUM(18,38*0,26))))</f>
        <v>N/T</v>
      </c>
      <c r="AB45" s="215" t="str" cm="1">
        <f t="array" aca="1" ref="AB45" ca="1">IF($B45="","",IF(ISBLANK(INDIRECT("R7.Video!D"&amp;SUM(18,38*1,26))),"",INDIRECT("R7.Video!D"&amp;SUM(18,38*1,26))))</f>
        <v>N/T</v>
      </c>
      <c r="AC45" s="215" t="str" cm="1">
        <f t="array" aca="1" ref="AC45" ca="1">IF($B45="","",IF(ISBLANK(INDIRECT("R7.Video!D"&amp;SUM(18,38*2,26))),"",INDIRECT("R7.Video!D"&amp;SUM(18,38*2,26))))</f>
        <v>N/T</v>
      </c>
      <c r="AD45" s="215" t="str" cm="1">
        <f t="array" aca="1" ref="AD45" ca="1">IF($B45="","",IF(ISBLANK(INDIRECT("R7.Video!D"&amp;SUM(18,38*3,26))),"",INDIRECT("R7.Video!D"&amp;SUM(18,38*3,26))))</f>
        <v>N/T</v>
      </c>
      <c r="AE45" s="215" t="str" cm="1">
        <f t="array" aca="1" ref="AE45" ca="1">IF($B45="","",IF(ISBLANK(INDIRECT("R7.Video!D"&amp;SUM(18,38*4,26))),"",INDIRECT("R7.Video!D"&amp;SUM(18,38*4,26))))</f>
        <v>N/T</v>
      </c>
      <c r="AF45" s="215" t="str" cm="1">
        <f t="array" aca="1" ref="AF45" ca="1">IF($B45="","",IF(ISBLANK(INDIRECT("R7.Video!D"&amp;SUM(18,38*5,26))),"",INDIRECT("R7.Video!D"&amp;SUM(18,38*5,26))))</f>
        <v>N/T</v>
      </c>
      <c r="AG45" s="215" t="str" cm="1">
        <f t="array" aca="1" ref="AG45" ca="1">IF($B45="","",IF(ISBLANK(INDIRECT("R7.Video!D"&amp;SUM(18,38*6,26))),"",INDIRECT("R7.Video!D"&amp;SUM(18,38*6,26))))</f>
        <v>N/T</v>
      </c>
      <c r="AH45" s="215" t="str" cm="1">
        <f t="array" aca="1" ref="AH45" ca="1">IF($B45="","",IF(ISBLANK(INDIRECT("R7.Video!D"&amp;SUM(18,38*7,26))),"",INDIRECT("R7.Video!D"&amp;SUM(18,38*7,26))))</f>
        <v>N/T</v>
      </c>
      <c r="AI45" s="215" t="str" cm="1">
        <f t="array" aca="1" ref="AI45" ca="1">IF($B45="","",IF(ISBLANK(INDIRECT("R7.Video!D"&amp;SUM(18,38*8,26))),"",INDIRECT("R7.Video!D"&amp;SUM(18,38*8,26))))</f>
        <v>N/T</v>
      </c>
      <c r="AJ45" s="215" t="str" cm="1">
        <f t="array" aca="1" ref="AJ45" ca="1">IF($B45="","",IF(ISBLANK(INDIRECT("R9.Web!D"&amp;SUM(18,38*0,26))),"",INDIRECT("R9.Web!D"&amp;SUM(18,38*0,26))))</f>
        <v>N/D</v>
      </c>
      <c r="AK45" s="215" t="str" cm="1">
        <f t="array" aca="1" ref="AK45" ca="1">IF($B45="","",IF(ISBLANK(INDIRECT("R9.Web!D"&amp;SUM(18,38*1,26))),"",INDIRECT("R9.Web!D"&amp;SUM(18,38*1,26))))</f>
        <v>N/T</v>
      </c>
      <c r="AL45" s="215" t="str" cm="1">
        <f t="array" aca="1" ref="AL45" ca="1">IF($B45="","",IF(ISBLANK(INDIRECT("R9.Web!D"&amp;SUM(18,38*2,26))),"",INDIRECT("R9.Web!D"&amp;SUM(18,38*2,26))))</f>
        <v>N/T</v>
      </c>
      <c r="AM45" s="215" t="str" cm="1">
        <f t="array" aca="1" ref="AM45" ca="1">IF($B45="","",IF(ISBLANK(INDIRECT("R9.Web!D"&amp;SUM(18,38*3,26))),"",INDIRECT("R9.Web!D"&amp;SUM(18,38*3,26))))</f>
        <v>N/T</v>
      </c>
      <c r="AN45" s="215" t="str" cm="1">
        <f t="array" aca="1" ref="AN45" ca="1">IF($B45="","",IF(ISBLANK(INDIRECT("R9.Web!D"&amp;SUM(18,38*4,26))),"",INDIRECT("R9.Web!D"&amp;SUM(18,38*4,26))))</f>
        <v>N/T</v>
      </c>
      <c r="AO45" s="215" t="str" cm="1">
        <f t="array" aca="1" ref="AO45" ca="1">IF($B45="","",IF(ISBLANK(INDIRECT("R9.Web!D"&amp;SUM(18,38*5,26))),"",INDIRECT("R9.Web!D"&amp;SUM(18,38*5,26))))</f>
        <v>N/D</v>
      </c>
      <c r="AP45" s="215" t="str" cm="1">
        <f t="array" aca="1" ref="AP45" ca="1">IF($B45="","",IF(ISBLANK(INDIRECT("R9.Web!D"&amp;SUM(18,38*6,26))),"",INDIRECT("R9.Web!D"&amp;SUM(18,38*6,26))))</f>
        <v>N/T</v>
      </c>
      <c r="AQ45" s="215" t="str" cm="1">
        <f t="array" aca="1" ref="AQ45" ca="1">IF($B45="","",IF(ISBLANK(INDIRECT("R9.Web!D"&amp;SUM(18,38*7,26))),"",INDIRECT("R9.Web!D"&amp;SUM(18,38*7,26))))</f>
        <v>N/T</v>
      </c>
      <c r="AR45" s="215" t="str" cm="1">
        <f t="array" aca="1" ref="AR45" ca="1">IF($B45="","",IF(ISBLANK(INDIRECT("R9.Web!D"&amp;SUM(18,38*8,26))),"",INDIRECT("R9.Web!D"&amp;SUM(18,38*8,26))))</f>
        <v>N/D</v>
      </c>
      <c r="AS45" s="215" t="str" cm="1">
        <f t="array" aca="1" ref="AS45" ca="1">IF($B45="","",IF(ISBLANK(INDIRECT("R9.Web!D"&amp;SUM(18,38*9,26))),"",INDIRECT("R9.Web!D"&amp;SUM(18,38*9,26))))</f>
        <v>N/D</v>
      </c>
      <c r="AT45" s="215" t="str" cm="1">
        <f t="array" aca="1" ref="AT45" ca="1">IF($B45="","",IF(ISBLANK(INDIRECT("R9.Web!D"&amp;SUM(18,38*10,26))),"",INDIRECT("R9.Web!D"&amp;SUM(18,38*10,26))))</f>
        <v>N/T</v>
      </c>
      <c r="AU45" s="215" t="str" cm="1">
        <f t="array" aca="1" ref="AU45" ca="1">IF($B45="","",IF(ISBLANK(INDIRECT("R9.Web!D"&amp;SUM(18,38*11,26))),"",INDIRECT("R9.Web!D"&amp;SUM(18,38*11,26))))</f>
        <v>N/T</v>
      </c>
      <c r="AV45" s="215" t="str" cm="1">
        <f t="array" aca="1" ref="AV45" ca="1">IF($B45="","",IF(ISBLANK(INDIRECT("R9.Web!D"&amp;SUM(18,38*12,26))),"",INDIRECT("R9.Web!D"&amp;SUM(18,38*12,26))))</f>
        <v>N/D</v>
      </c>
      <c r="AW45" s="215" t="str" cm="1">
        <f t="array" aca="1" ref="AW45" ca="1">IF($B45="","",IF(ISBLANK(INDIRECT("R9.Web!D"&amp;SUM(18,38*13,26))),"",INDIRECT("R9.Web!D"&amp;SUM(18,38*13,26))))</f>
        <v>N/T</v>
      </c>
      <c r="AX45" s="215" t="str" cm="1">
        <f t="array" aca="1" ref="AX45" ca="1">IF($B45="","",IF(ISBLANK(INDIRECT("R9.Web!D"&amp;SUM(18,38*14,26))),"",INDIRECT("R9.Web!D"&amp;SUM(18,38*14,26))))</f>
        <v>N/T</v>
      </c>
      <c r="AY45" s="215" t="str" cm="1">
        <f t="array" aca="1" ref="AY45" ca="1">IF($B45="","",IF(ISBLANK(INDIRECT("R9.Web!D"&amp;SUM(18,38*15,26))),"",INDIRECT("R9.Web!D"&amp;SUM(18,38*15,26))))</f>
        <v>N/D</v>
      </c>
      <c r="AZ45" s="215" t="str" cm="1">
        <f t="array" aca="1" ref="AZ45" ca="1">IF($B45="","",IF(ISBLANK(INDIRECT("R9.Web!D"&amp;SUM(18,38*16,26))),"",INDIRECT("R9.Web!D"&amp;SUM(18,38*16,26))))</f>
        <v>N/T</v>
      </c>
      <c r="BA45" s="215" t="str" cm="1">
        <f t="array" aca="1" ref="BA45" ca="1">IF($B45="","",IF(ISBLANK(INDIRECT("R9.Web!D"&amp;SUM(18,38*17,26))),"",INDIRECT("R9.Web!D"&amp;SUM(18,38*17,26))))</f>
        <v>N/D</v>
      </c>
      <c r="BB45" s="215" t="str" cm="1">
        <f t="array" aca="1" ref="BB45" ca="1">IF($B45="","",IF(ISBLANK(INDIRECT("R9.Web!D"&amp;SUM(18,38*18,26))),"",INDIRECT("R9.Web!D"&amp;SUM(18,38*18,26))))</f>
        <v>N/T</v>
      </c>
      <c r="BC45" s="215" t="str" cm="1">
        <f t="array" aca="1" ref="BC45" ca="1">IF($B45="","",IF(ISBLANK(INDIRECT("R9.Web!D"&amp;SUM(18,38*19,26))),"",INDIRECT("R9.Web!D"&amp;SUM(18,38*19,26))))</f>
        <v>N/D</v>
      </c>
      <c r="BD45" s="215" t="str" cm="1">
        <f t="array" aca="1" ref="BD45" ca="1">IF($B45="","",IF(ISBLANK(INDIRECT("R9.Web!D"&amp;SUM(18,38*20,26))),"",INDIRECT("R9.Web!D"&amp;SUM(18,38*20,26))))</f>
        <v>N/T</v>
      </c>
      <c r="BE45" s="215" t="str" cm="1">
        <f t="array" aca="1" ref="BE45" ca="1">IF($B45="","",IF(ISBLANK(INDIRECT("R9.Web!D"&amp;SUM(18,38*21,26))),"",INDIRECT("R9.Web!D"&amp;SUM(18,38*21,26))))</f>
        <v>N/T</v>
      </c>
      <c r="BF45" s="215" t="str" cm="1">
        <f t="array" aca="1" ref="BF45" ca="1">IF($B45="","",IF(ISBLANK(INDIRECT("R9.Web!D"&amp;SUM(18,38*22,26))),"",INDIRECT("R9.Web!D"&amp;SUM(18,38*22,26))))</f>
        <v>N/D</v>
      </c>
      <c r="BG45" s="215" t="str" cm="1">
        <f t="array" aca="1" ref="BG45" ca="1">IF($B45="","",IF(ISBLANK(INDIRECT("R9.Web!D"&amp;SUM(18,38*23,26))),"",INDIRECT("R9.Web!D"&amp;SUM(18,38*23,26))))</f>
        <v>N/D</v>
      </c>
      <c r="BH45" s="215" t="str" cm="1">
        <f t="array" aca="1" ref="BH45" ca="1">IF($B45="","",IF(ISBLANK(INDIRECT("R9.Web!D"&amp;SUM(18,38*24,26))),"",INDIRECT("R9.Web!D"&amp;SUM(18,38*24,26))))</f>
        <v>N/T</v>
      </c>
      <c r="BI45" s="215" t="str" cm="1">
        <f t="array" aca="1" ref="BI45" ca="1">IF($B45="","",IF(ISBLANK(INDIRECT("R9.Web!D"&amp;SUM(18,38*25,26))),"",INDIRECT("R9.Web!D"&amp;SUM(18,38*25,26))))</f>
        <v>N/D</v>
      </c>
      <c r="BJ45" s="215" t="str" cm="1">
        <f t="array" aca="1" ref="BJ45" ca="1">IF($B45="","",IF(ISBLANK(INDIRECT("R9.Web!D"&amp;SUM(18,38*26,26))),"",INDIRECT("R9.Web!D"&amp;SUM(18,38*26,26))))</f>
        <v>N/D</v>
      </c>
      <c r="BK45" s="215" t="str" cm="1">
        <f t="array" aca="1" ref="BK45" ca="1">IF($B45="","",IF(ISBLANK(INDIRECT("R9.Web!D"&amp;SUM(18,38*27,26))),"",INDIRECT("R9.Web!D"&amp;SUM(18,38*27,26))))</f>
        <v>N/D</v>
      </c>
      <c r="BL45" s="215" t="str" cm="1">
        <f t="array" aca="1" ref="BL45" ca="1">IF($B45="","",IF(ISBLANK(INDIRECT("R9.Web!D"&amp;SUM(18,38*28,26))),"",INDIRECT("R9.Web!D"&amp;SUM(18,38*28,26))))</f>
        <v>N/D</v>
      </c>
      <c r="BM45" s="215" t="str" cm="1">
        <f t="array" aca="1" ref="BM45" ca="1">IF($B45="","",IF(ISBLANK(INDIRECT("R9.Web!D"&amp;SUM(18,38*29,26))),"",INDIRECT("R9.Web!D"&amp;SUM(18,38*29,26))))</f>
        <v>N/D</v>
      </c>
      <c r="BN45" s="215" t="str" cm="1">
        <f t="array" aca="1" ref="BN45" ca="1">IF($B45="","",IF(ISBLANK(INDIRECT("R9.Web!D"&amp;SUM(18,38*30,26))),"",INDIRECT("R9.Web!D"&amp;SUM(18,38*30,26))))</f>
        <v>N/T</v>
      </c>
      <c r="BO45" s="215" t="str" cm="1">
        <f t="array" aca="1" ref="BO45" ca="1">IF($B45="","",IF(ISBLANK(INDIRECT("R9.Web!D"&amp;SUM(18,38*31,26))),"",INDIRECT("R9.Web!D"&amp;SUM(18,38*31,26))))</f>
        <v>Falla</v>
      </c>
      <c r="BP45" s="215" t="str" cm="1">
        <f t="array" aca="1" ref="BP45" ca="1">IF($B45="","",IF(ISBLANK(INDIRECT("R9.Web!D"&amp;SUM(18,38*32,26))),"",INDIRECT("R9.Web!D"&amp;SUM(18,38*32,26))))</f>
        <v>N/T</v>
      </c>
      <c r="BQ45" s="215" t="str" cm="1">
        <f t="array" aca="1" ref="BQ45" ca="1">IF($B45="","",IF(ISBLANK(INDIRECT("R9.Web!D"&amp;SUM(18,38*33,26))),"",INDIRECT("R9.Web!D"&amp;SUM(18,38*33,26))))</f>
        <v>N/T</v>
      </c>
      <c r="BR45" s="215" t="str" cm="1">
        <f t="array" aca="1" ref="BR45" ca="1">IF($B45="","",IF(ISBLANK(INDIRECT("R9.Web!D"&amp;SUM(18,38*34,26))),"",INDIRECT("R9.Web!D"&amp;SUM(18,38*34,26))))</f>
        <v>N/D</v>
      </c>
      <c r="BS45" s="215" t="str" cm="1">
        <f t="array" aca="1" ref="BS45" ca="1">IF($B45="","",IF(ISBLANK(INDIRECT("R9.Web!D"&amp;SUM(18,38*35,26))),"",INDIRECT("R9.Web!D"&amp;SUM(18,38*35,26))))</f>
        <v>N/T</v>
      </c>
      <c r="BT45" s="215" t="str" cm="1">
        <f t="array" aca="1" ref="BT45" ca="1">IF($B45="","",IF(ISBLANK(INDIRECT("R9.Web!D"&amp;SUM(18,38*36,26))),"",INDIRECT("R9.Web!D"&amp;SUM(18,38*36,26))))</f>
        <v>N/D</v>
      </c>
      <c r="BU45" s="215" t="str" cm="1">
        <f t="array" aca="1" ref="BU45" ca="1">IF($B45="","",IF(ISBLANK(INDIRECT("R9.Web!D"&amp;SUM(18,38*37,26))),"",INDIRECT("R9.Web!D"&amp;SUM(18,38*37,26))))</f>
        <v>Falla</v>
      </c>
      <c r="BV45" s="215" t="str" cm="1">
        <f t="array" aca="1" ref="BV45" ca="1">IF($B45="","",IF(ISBLANK(INDIRECT("R9.Web!D"&amp;SUM(18,38*38,26))),"",INDIRECT("R9.Web!D"&amp;SUM(18,38*38,26))))</f>
        <v>N/D</v>
      </c>
      <c r="BW45" s="215" t="str" cm="1">
        <f t="array" aca="1" ref="BW45" ca="1">IF($B45="","",IF(ISBLANK(INDIRECT("R9.Web!D"&amp;SUM(18,38*39,26))),"",INDIRECT("R9.Web!D"&amp;SUM(18,38*39,26))))</f>
        <v>N/D</v>
      </c>
      <c r="BX45" s="215" t="str" cm="1">
        <f t="array" aca="1" ref="BX45" ca="1">IF($B45="","",IF(ISBLANK(INDIRECT("R9.Web!D"&amp;SUM(18,38*40,26))),"",INDIRECT("R9.Web!D"&amp;SUM(18,38*40,26))))</f>
        <v>N/D</v>
      </c>
      <c r="BY45" s="215" t="str" cm="1">
        <f t="array" aca="1" ref="BY45" ca="1">IF($B45="","",IF(ISBLANK(INDIRECT("R9.Web!D"&amp;SUM(18,38*41,26))),"",INDIRECT("R9.Web!D"&amp;SUM(18,38*41,26))))</f>
        <v>N/T</v>
      </c>
      <c r="BZ45" s="215" t="str" cm="1">
        <f t="array" aca="1" ref="BZ45" ca="1">IF($B45="","",IF(ISBLANK(INDIRECT("R9.Web!D"&amp;SUM(18,38*42,26))),"",INDIRECT("R9.Web!D"&amp;SUM(18,38*42,26))))</f>
        <v>N/T</v>
      </c>
      <c r="CA45" s="215" t="str" cm="1">
        <f t="array" aca="1" ref="CA45" ca="1">IF($B45="","",IF(ISBLANK(INDIRECT("R9.Web!D"&amp;SUM(18,38*43,26))),"",INDIRECT("R9.Web!D"&amp;SUM(18,38*43,26))))</f>
        <v>N/D</v>
      </c>
      <c r="CB45" s="215" t="str" cm="1">
        <f t="array" aca="1" ref="CB45" ca="1">IF($B45="","",IF(ISBLANK(INDIRECT("R9.Web!D"&amp;SUM(18,38*44,26))),"",INDIRECT("R9.Web!D"&amp;SUM(18,38*44,26))))</f>
        <v>N/T</v>
      </c>
      <c r="CC45" s="215" t="str" cm="1">
        <f t="array" aca="1" ref="CC45" ca="1">IF($B45="","",IF(ISBLANK(INDIRECT("R9.Web!D"&amp;SUM(18,38*45,26))),"",INDIRECT("R9.Web!D"&amp;SUM(18,38*45,26))))</f>
        <v>N/T</v>
      </c>
      <c r="CD45" s="215" t="str" cm="1">
        <f t="array" aca="1" ref="CD45" ca="1">IF($B45="","",IF(ISBLANK(INDIRECT("R9.Web!D"&amp;SUM(18,38*46,26))),"",INDIRECT("R9.Web!D"&amp;SUM(18,38*46,26))))</f>
        <v>N/T</v>
      </c>
      <c r="CE45" s="215" t="str" cm="1">
        <f t="array" aca="1" ref="CE45" ca="1">IF($B45="","",IF(ISBLANK(INDIRECT("R9.Web!D"&amp;SUM(18,38*47,26))),"",INDIRECT("R9.Web!D"&amp;SUM(18,38*47,26))))</f>
        <v>N/D</v>
      </c>
      <c r="CF45" s="215" t="str" cm="1">
        <f t="array" aca="1" ref="CF45" ca="1">IF($B45="","",IF(ISBLANK(INDIRECT("R9.Web!D"&amp;SUM(18,38*48,26))),"",INDIRECT("R9.Web!D"&amp;SUM(18,38*48,26))))</f>
        <v>N/T</v>
      </c>
      <c r="CG45" s="215" t="str" cm="1">
        <f t="array" aca="1" ref="CG45" ca="1">IF($B45="","",IF(ISBLANK(INDIRECT("R9.Web!D"&amp;SUM(18,38*49,26))),"",INDIRECT("R9.Web!D"&amp;SUM(18,38*49,26))))</f>
        <v>N/T</v>
      </c>
      <c r="CH45" s="215" t="str" cm="1">
        <f t="array" aca="1" ref="CH45" ca="1">IF($B45="","",IF(ISBLANK(INDIRECT("R11.Software!D"&amp;SUM(18,38*0,26))),"",INDIRECT("R11.Software!D"&amp;SUM(18,38*0,26))))</f>
        <v>N/T</v>
      </c>
      <c r="CI45" s="215" t="str" cm="1">
        <f t="array" aca="1" ref="CI45" ca="1">IF($B45="","",IF(ISBLANK(INDIRECT("R11.Software!D"&amp;SUM(18,38*1,26))),"",INDIRECT("R11.Software!D"&amp;SUM(18,38*1,26))))</f>
        <v>N/T</v>
      </c>
      <c r="CJ45" s="215" t="str" cm="1">
        <f t="array" aca="1" ref="CJ45" ca="1">IF($B45="","",IF(ISBLANK(INDIRECT("R11.Software!D"&amp;SUM(18,38*2,26))),"",INDIRECT("R11.Software!D"&amp;SUM(18,38*2,26))))</f>
        <v>N/T</v>
      </c>
      <c r="CK45" s="215" t="str" cm="1">
        <f t="array" aca="1" ref="CK45" ca="1">IF($B45="","",IF(ISBLANK(INDIRECT("R11.Software!D"&amp;SUM(18,38*3,26))),"",INDIRECT("R11.Software!D"&amp;SUM(18,38*3,26))))</f>
        <v>N/T</v>
      </c>
      <c r="CL45" s="215" t="str" cm="1">
        <f t="array" aca="1" ref="CL45" ca="1">IF($B45="","",IF(ISBLANK(INDIRECT("R11.Software!D"&amp;SUM(18,38*4,26))),"",INDIRECT("R11.Software!D"&amp;SUM(18,38*4,26))))</f>
        <v>N/T</v>
      </c>
      <c r="CM45" s="215" t="str" cm="1">
        <f t="array" aca="1" ref="CM45" ca="1">IF($B45="","",IF(ISBLANK(INDIRECT("R11.Software!D"&amp;SUM(18,38*5,26))),"",INDIRECT("R11.Software!D"&amp;SUM(18,38*5,26))))</f>
        <v>N/T</v>
      </c>
      <c r="CN45" s="215" t="str" cm="1">
        <f t="array" aca="1" ref="CN45" ca="1">IF($B45="","",IF(ISBLANK(INDIRECT("R12.ServiciosApoyo!D"&amp;SUM(18,38*0,26))),"",INDIRECT("R12.ServiciosApoyo!D"&amp;SUM(18,38*0,26))))</f>
        <v>N/T</v>
      </c>
      <c r="CO45" s="215" t="str" cm="1">
        <f t="array" aca="1" ref="CO45" ca="1">IF($B45="","",IF(ISBLANK(INDIRECT("R12.ServiciosApoyo!D"&amp;SUM(18,38*1,26))),"",INDIRECT("R12.ServiciosApoyo!D"&amp;SUM(18,38*1,26))))</f>
        <v>N/T</v>
      </c>
      <c r="CP45" s="215" t="str" cm="1">
        <f t="array" aca="1" ref="CP45" ca="1">IF($B45="","",IF(ISBLANK(INDIRECT("R12.ServiciosApoyo!D"&amp;SUM(18,38*2,26))),"",INDIRECT("R12.ServiciosApoyo!D"&amp;SUM(18,38*2,26))))</f>
        <v>N/T</v>
      </c>
      <c r="CQ45" s="215" t="str" cm="1">
        <f t="array" aca="1" ref="CQ45" ca="1">IF($B45="","",IF(ISBLANK(INDIRECT("R12.ServiciosApoyo!D"&amp;SUM(18,38*3,26))),"",INDIRECT("R12.ServiciosApoyo!D"&amp;SUM(18,38*3,26))))</f>
        <v>N/T</v>
      </c>
      <c r="CR45" s="215" t="str" cm="1">
        <f t="array" aca="1" ref="CR45" ca="1">IF($B45="","",IF(ISBLANK(INDIRECT("R12.ServiciosApoyo!D"&amp;SUM(18,38*4,26))),"",INDIRECT("R12.ServiciosApoyo!D"&amp;SUM(18,38*4,26))))</f>
        <v>N/T</v>
      </c>
      <c r="CU45" s="100"/>
      <c r="CV45" s="29"/>
      <c r="CW45" s="29"/>
      <c r="CX45" s="29"/>
    </row>
    <row r="46" spans="2:102" ht="20.25">
      <c r="B46" s="181" t="n" cm="1">
        <f t="array" ref="B46">IFERROR(INDEX('03.Muestra'!$B$8:$B$42,SMALL(IF("Página Web"='03.Muestra'!$D$8:$D$42,ROW('03.Muestra'!$B$8:$B$42)-MIN(ROW('03.Muestra'!$D$8:$D$42))+1,""),ROW()-19)),"")</f>
        <v>1.0</v>
      </c>
      <c r="C46" s="97" t="str" cm="1">
        <f t="array" ref="C46">IFERROR(INDEX('03.Muestra'!$C$8:$C$42,SMALL(IF("Página Web"='03.Muestra'!$D$8:$D$42,ROW('03.Muestra'!$C$8:$C$42)-MIN(ROW('03.Muestra'!$D$8:$D$42))+1,""),ROW()-19)),"")</f>
        <v>Home - PortCastelló</v>
      </c>
      <c r="D46" s="98" t="str" cm="1">
        <f t="array" ref="D46">IFERROR(INDEX('03.Muestra'!$F$8:$F$42,SMALL(IF("Página Web"='03.Muestra'!$D$8:$D$42,ROW('03.Muestra'!$F$8:$F$42)-MIN(ROW('03.Muestra'!$D$8:$D$42))+1,""),ROW()-19)),"")</f>
        <v>https://www.portcastello.com/</v>
      </c>
      <c r="E46" s="215" t="str" cm="1">
        <f t="array" aca="1" ref="E46" ca="1">IF($B46="","",IF(ISBLANK(INDIRECT("R5.Genéricos!D"&amp;SUM(18,38*0,27))),"",INDIRECT("R5.Genéricos!D"&amp;SUM(18,38*0,27))))</f>
        <v>N/T</v>
      </c>
      <c r="F46" s="215" t="str" cm="1">
        <f t="array" aca="1" ref="F46" ca="1">IF($B46="","",IF(ISBLANK(INDIRECT("R5.Genéricos!D"&amp;SUM(18,38*1,27))),"",INDIRECT("R5.Genéricos!D"&amp;SUM(18,38*1,27))))</f>
        <v>N/T</v>
      </c>
      <c r="G46" s="215" t="str" cm="1">
        <f t="array" aca="1" ref="G46" ca="1">IF($B46="","",IF(ISBLANK(INDIRECT("R5.Genéricos!D"&amp;SUM(18,38*2,27))),"",INDIRECT("R5.Genéricos!D"&amp;SUM(18,38*2,27))))</f>
        <v>N/T</v>
      </c>
      <c r="H46" s="215" t="str" cm="1">
        <f t="array" aca="1" ref="H46" ca="1">IF($B46="","",IF(ISBLANK(INDIRECT("R6.Voz!D"&amp;SUM(18,38*0,27))),"",INDIRECT("R6.Voz!D"&amp;SUM(18,38*0,27))))</f>
        <v>N/T</v>
      </c>
      <c r="I46" s="215" t="str" cm="1">
        <f t="array" aca="1" ref="I46" ca="1">IF($B46="","",IF(ISBLANK(INDIRECT("R6.Voz!D"&amp;SUM(18,38*1,27))),"",INDIRECT("R6.Voz!D"&amp;SUM(18,38*1,27))))</f>
        <v>N/T</v>
      </c>
      <c r="J46" s="215" t="str" cm="1">
        <f t="array" aca="1" ref="J46" ca="1">IF($B46="","",IF(ISBLANK(INDIRECT("R6.Voz!D"&amp;SUM(18,38*2,27))),"",INDIRECT("R6.Voz!D"&amp;SUM(18,38*2,27))))</f>
        <v>N/T</v>
      </c>
      <c r="K46" s="215" t="str" cm="1">
        <f t="array" aca="1" ref="K46" ca="1">IF($B46="","",IF(ISBLANK(INDIRECT("R6.Voz!D"&amp;SUM(18,38*3,27))),"",INDIRECT("R6.Voz!D"&amp;SUM(18,38*3,27))))</f>
        <v>N/T</v>
      </c>
      <c r="L46" s="215" t="str" cm="1">
        <f t="array" aca="1" ref="L46" ca="1">IF($B46="","",IF(ISBLANK(INDIRECT("R6.Voz!D"&amp;SUM(18,38*4,27))),"",INDIRECT("R6.Voz!D"&amp;SUM(18,38*4,27))))</f>
        <v>N/T</v>
      </c>
      <c r="M46" s="215" t="str" cm="1">
        <f t="array" aca="1" ref="M46" ca="1">IF($B46="","",IF(ISBLANK(INDIRECT("R6.Voz!D"&amp;SUM(18,38*5,27))),"",INDIRECT("R6.Voz!D"&amp;SUM(18,38*5,27))))</f>
        <v>N/T</v>
      </c>
      <c r="N46" s="215" t="str" cm="1">
        <f t="array" aca="1" ref="N46" ca="1">IF($B46="","",IF(ISBLANK(INDIRECT("R6.Voz!D"&amp;SUM(18,38*6,27))),"",INDIRECT("R6.Voz!D"&amp;SUM(18,38*6,27))))</f>
        <v>N/T</v>
      </c>
      <c r="O46" s="215" t="str" cm="1">
        <f t="array" aca="1" ref="O46" ca="1">IF($B46="","",IF(ISBLANK(INDIRECT("R6.Voz!D"&amp;SUM(18,38*7,27))),"",INDIRECT("R6.Voz!D"&amp;SUM(18,38*7,27))))</f>
        <v>N/T</v>
      </c>
      <c r="P46" s="215" t="str" cm="1">
        <f t="array" aca="1" ref="P46" ca="1">IF($B46="","",IF(ISBLANK(INDIRECT("R6.Voz!D"&amp;SUM(18,38*8,27))),"",INDIRECT("R6.Voz!D"&amp;SUM(18,38*8,27))))</f>
        <v>N/T</v>
      </c>
      <c r="Q46" s="215" t="str" cm="1">
        <f t="array" aca="1" ref="Q46" ca="1">IF($B46="","",IF(ISBLANK(INDIRECT("R6.Voz!D"&amp;SUM(18,38*9,27))),"",INDIRECT("R6.Voz!D"&amp;SUM(18,38*9,27))))</f>
        <v>N/T</v>
      </c>
      <c r="R46" s="215" t="str" cm="1">
        <f t="array" aca="1" ref="R46" ca="1">IF($B46="","",IF(ISBLANK(INDIRECT("R6.Voz!D"&amp;SUM(18,38*10,27))),"",INDIRECT("R6.Voz!D"&amp;SUM(18,38*10,27))))</f>
        <v>N/T</v>
      </c>
      <c r="S46" s="215" t="str" cm="1">
        <f t="array" aca="1" ref="S46" ca="1">IF($B46="","",IF(ISBLANK(INDIRECT("R6.Voz!D"&amp;SUM(18,38*11,27))),"",INDIRECT("R6.Voz!D"&amp;SUM(18,38*11,27))))</f>
        <v>N/T</v>
      </c>
      <c r="T46" s="215" t="str" cm="1">
        <f t="array" aca="1" ref="T46" ca="1">IF($B46="","",IF(ISBLANK(INDIRECT("R6.Voz!D"&amp;SUM(18,38*12,27))),"",INDIRECT("R6.Voz!D"&amp;SUM(18,38*12,27))))</f>
        <v>N/T</v>
      </c>
      <c r="U46" s="215" t="str" cm="1">
        <f t="array" aca="1" ref="U46" ca="1">IF($B46="","",IF(ISBLANK(INDIRECT("R6.Voz!D"&amp;SUM(18,38*13,27))),"",INDIRECT("R6.Voz!D"&amp;SUM(18,38*13,27))))</f>
        <v>N/T</v>
      </c>
      <c r="V46" s="215" t="str" cm="1">
        <f t="array" aca="1" ref="V46" ca="1">IF($B46="","",IF(ISBLANK(INDIRECT("R6.Voz!D"&amp;SUM(18,38*14,27))),"",INDIRECT("R6.Voz!D"&amp;SUM(18,38*14,27))))</f>
        <v>N/T</v>
      </c>
      <c r="W46" s="215" t="str" cm="1">
        <f t="array" aca="1" ref="W46" ca="1">IF($B46="","",IF(ISBLANK(INDIRECT("R6.Voz!D"&amp;SUM(18,38*15,27))),"",INDIRECT("R6.Voz!D"&amp;SUM(18,38*15,27))))</f>
        <v>N/T</v>
      </c>
      <c r="X46" s="215" t="str" cm="1">
        <f t="array" aca="1" ref="X46" ca="1">IF($B46="","",IF(ISBLANK(INDIRECT("R6.Voz!D"&amp;SUM(18,38*16,27))),"",INDIRECT("R6.Voz!D"&amp;SUM(18,38*16,27))))</f>
        <v>N/T</v>
      </c>
      <c r="Y46" s="215" t="str" cm="1">
        <f t="array" aca="1" ref="Y46" ca="1">IF($B46="","",IF(ISBLANK(INDIRECT("R6.Voz!D"&amp;SUM(18,38*17,27))),"",INDIRECT("R6.Voz!D"&amp;SUM(18,38*17,27))))</f>
        <v>N/T</v>
      </c>
      <c r="Z46" s="215" t="str" cm="1">
        <f t="array" aca="1" ref="Z46" ca="1">IF($B46="","",IF(ISBLANK(INDIRECT("R6.Voz!D"&amp;SUM(18,38*18,27))),"",INDIRECT("R6.Voz!D"&amp;SUM(18,38*18,27))))</f>
        <v>N/T</v>
      </c>
      <c r="AA46" s="215" t="str" cm="1">
        <f t="array" aca="1" ref="AA46" ca="1">IF($B46="","",IF(ISBLANK(INDIRECT("R7.Video!D"&amp;SUM(18,38*0,27))),"",INDIRECT("R7.Video!D"&amp;SUM(18,38*0,27))))</f>
        <v>N/T</v>
      </c>
      <c r="AB46" s="215" t="str" cm="1">
        <f t="array" aca="1" ref="AB46" ca="1">IF($B46="","",IF(ISBLANK(INDIRECT("R7.Video!D"&amp;SUM(18,38*1,27))),"",INDIRECT("R7.Video!D"&amp;SUM(18,38*1,27))))</f>
        <v>N/T</v>
      </c>
      <c r="AC46" s="215" t="str" cm="1">
        <f t="array" aca="1" ref="AC46" ca="1">IF($B46="","",IF(ISBLANK(INDIRECT("R7.Video!D"&amp;SUM(18,38*2,27))),"",INDIRECT("R7.Video!D"&amp;SUM(18,38*2,27))))</f>
        <v>N/T</v>
      </c>
      <c r="AD46" s="215" t="str" cm="1">
        <f t="array" aca="1" ref="AD46" ca="1">IF($B46="","",IF(ISBLANK(INDIRECT("R7.Video!D"&amp;SUM(18,38*3,27))),"",INDIRECT("R7.Video!D"&amp;SUM(18,38*3,27))))</f>
        <v>N/T</v>
      </c>
      <c r="AE46" s="215" t="str" cm="1">
        <f t="array" aca="1" ref="AE46" ca="1">IF($B46="","",IF(ISBLANK(INDIRECT("R7.Video!D"&amp;SUM(18,38*4,27))),"",INDIRECT("R7.Video!D"&amp;SUM(18,38*4,27))))</f>
        <v>N/T</v>
      </c>
      <c r="AF46" s="215" t="str" cm="1">
        <f t="array" aca="1" ref="AF46" ca="1">IF($B46="","",IF(ISBLANK(INDIRECT("R7.Video!D"&amp;SUM(18,38*5,27))),"",INDIRECT("R7.Video!D"&amp;SUM(18,38*5,27))))</f>
        <v>N/T</v>
      </c>
      <c r="AG46" s="215" t="str" cm="1">
        <f t="array" aca="1" ref="AG46" ca="1">IF($B46="","",IF(ISBLANK(INDIRECT("R7.Video!D"&amp;SUM(18,38*6,27))),"",INDIRECT("R7.Video!D"&amp;SUM(18,38*6,27))))</f>
        <v>N/T</v>
      </c>
      <c r="AH46" s="215" t="str" cm="1">
        <f t="array" aca="1" ref="AH46" ca="1">IF($B46="","",IF(ISBLANK(INDIRECT("R7.Video!D"&amp;SUM(18,38*7,27))),"",INDIRECT("R7.Video!D"&amp;SUM(18,38*7,27))))</f>
        <v>N/T</v>
      </c>
      <c r="AI46" s="215" t="str" cm="1">
        <f t="array" aca="1" ref="AI46" ca="1">IF($B46="","",IF(ISBLANK(INDIRECT("R7.Video!D"&amp;SUM(18,38*8,27))),"",INDIRECT("R7.Video!D"&amp;SUM(18,38*8,27))))</f>
        <v>N/T</v>
      </c>
      <c r="AJ46" s="215" t="str" cm="1">
        <f t="array" aca="1" ref="AJ46" ca="1">IF($B46="","",IF(ISBLANK(INDIRECT("R9.Web!D"&amp;SUM(18,38*0,27))),"",INDIRECT("R9.Web!D"&amp;SUM(18,38*0,27))))</f>
        <v>N/D</v>
      </c>
      <c r="AK46" s="215" t="str" cm="1">
        <f t="array" aca="1" ref="AK46" ca="1">IF($B46="","",IF(ISBLANK(INDIRECT("R9.Web!D"&amp;SUM(18,38*1,27))),"",INDIRECT("R9.Web!D"&amp;SUM(18,38*1,27))))</f>
        <v>N/T</v>
      </c>
      <c r="AL46" s="215" t="str" cm="1">
        <f t="array" aca="1" ref="AL46" ca="1">IF($B46="","",IF(ISBLANK(INDIRECT("R9.Web!D"&amp;SUM(18,38*2,27))),"",INDIRECT("R9.Web!D"&amp;SUM(18,38*2,27))))</f>
        <v>N/T</v>
      </c>
      <c r="AM46" s="215" t="str" cm="1">
        <f t="array" aca="1" ref="AM46" ca="1">IF($B46="","",IF(ISBLANK(INDIRECT("R9.Web!D"&amp;SUM(18,38*3,27))),"",INDIRECT("R9.Web!D"&amp;SUM(18,38*3,27))))</f>
        <v>N/T</v>
      </c>
      <c r="AN46" s="215" t="str" cm="1">
        <f t="array" aca="1" ref="AN46" ca="1">IF($B46="","",IF(ISBLANK(INDIRECT("R9.Web!D"&amp;SUM(18,38*4,27))),"",INDIRECT("R9.Web!D"&amp;SUM(18,38*4,27))))</f>
        <v>N/T</v>
      </c>
      <c r="AO46" s="215" t="str" cm="1">
        <f t="array" aca="1" ref="AO46" ca="1">IF($B46="","",IF(ISBLANK(INDIRECT("R9.Web!D"&amp;SUM(18,38*5,27))),"",INDIRECT("R9.Web!D"&amp;SUM(18,38*5,27))))</f>
        <v>N/D</v>
      </c>
      <c r="AP46" s="215" t="str" cm="1">
        <f t="array" aca="1" ref="AP46" ca="1">IF($B46="","",IF(ISBLANK(INDIRECT("R9.Web!D"&amp;SUM(18,38*6,27))),"",INDIRECT("R9.Web!D"&amp;SUM(18,38*6,27))))</f>
        <v>N/T</v>
      </c>
      <c r="AQ46" s="215" t="str" cm="1">
        <f t="array" aca="1" ref="AQ46" ca="1">IF($B46="","",IF(ISBLANK(INDIRECT("R9.Web!D"&amp;SUM(18,38*7,27))),"",INDIRECT("R9.Web!D"&amp;SUM(18,38*7,27))))</f>
        <v>N/T</v>
      </c>
      <c r="AR46" s="215" t="str" cm="1">
        <f t="array" aca="1" ref="AR46" ca="1">IF($B46="","",IF(ISBLANK(INDIRECT("R9.Web!D"&amp;SUM(18,38*8,27))),"",INDIRECT("R9.Web!D"&amp;SUM(18,38*8,27))))</f>
        <v>N/D</v>
      </c>
      <c r="AS46" s="215" t="str" cm="1">
        <f t="array" aca="1" ref="AS46" ca="1">IF($B46="","",IF(ISBLANK(INDIRECT("R9.Web!D"&amp;SUM(18,38*9,27))),"",INDIRECT("R9.Web!D"&amp;SUM(18,38*9,27))))</f>
        <v>N/D</v>
      </c>
      <c r="AT46" s="215" t="str" cm="1">
        <f t="array" aca="1" ref="AT46" ca="1">IF($B46="","",IF(ISBLANK(INDIRECT("R9.Web!D"&amp;SUM(18,38*10,27))),"",INDIRECT("R9.Web!D"&amp;SUM(18,38*10,27))))</f>
        <v>N/T</v>
      </c>
      <c r="AU46" s="215" t="str" cm="1">
        <f t="array" aca="1" ref="AU46" ca="1">IF($B46="","",IF(ISBLANK(INDIRECT("R9.Web!D"&amp;SUM(18,38*11,27))),"",INDIRECT("R9.Web!D"&amp;SUM(18,38*11,27))))</f>
        <v>N/T</v>
      </c>
      <c r="AV46" s="215" t="str" cm="1">
        <f t="array" aca="1" ref="AV46" ca="1">IF($B46="","",IF(ISBLANK(INDIRECT("R9.Web!D"&amp;SUM(18,38*12,27))),"",INDIRECT("R9.Web!D"&amp;SUM(18,38*12,27))))</f>
        <v>N/D</v>
      </c>
      <c r="AW46" s="215" t="str" cm="1">
        <f t="array" aca="1" ref="AW46" ca="1">IF($B46="","",IF(ISBLANK(INDIRECT("R9.Web!D"&amp;SUM(18,38*13,27))),"",INDIRECT("R9.Web!D"&amp;SUM(18,38*13,27))))</f>
        <v>N/T</v>
      </c>
      <c r="AX46" s="215" t="str" cm="1">
        <f t="array" aca="1" ref="AX46" ca="1">IF($B46="","",IF(ISBLANK(INDIRECT("R9.Web!D"&amp;SUM(18,38*14,27))),"",INDIRECT("R9.Web!D"&amp;SUM(18,38*14,27))))</f>
        <v>N/T</v>
      </c>
      <c r="AY46" s="215" t="str" cm="1">
        <f t="array" aca="1" ref="AY46" ca="1">IF($B46="","",IF(ISBLANK(INDIRECT("R9.Web!D"&amp;SUM(18,38*15,27))),"",INDIRECT("R9.Web!D"&amp;SUM(18,38*15,27))))</f>
        <v>N/D</v>
      </c>
      <c r="AZ46" s="215" t="str" cm="1">
        <f t="array" aca="1" ref="AZ46" ca="1">IF($B46="","",IF(ISBLANK(INDIRECT("R9.Web!D"&amp;SUM(18,38*16,27))),"",INDIRECT("R9.Web!D"&amp;SUM(18,38*16,27))))</f>
        <v>N/T</v>
      </c>
      <c r="BA46" s="215" t="str" cm="1">
        <f t="array" aca="1" ref="BA46" ca="1">IF($B46="","",IF(ISBLANK(INDIRECT("R9.Web!D"&amp;SUM(18,38*17,27))),"",INDIRECT("R9.Web!D"&amp;SUM(18,38*17,27))))</f>
        <v>N/D</v>
      </c>
      <c r="BB46" s="215" t="str" cm="1">
        <f t="array" aca="1" ref="BB46" ca="1">IF($B46="","",IF(ISBLANK(INDIRECT("R9.Web!D"&amp;SUM(18,38*18,27))),"",INDIRECT("R9.Web!D"&amp;SUM(18,38*18,27))))</f>
        <v>N/T</v>
      </c>
      <c r="BC46" s="215" t="str" cm="1">
        <f t="array" aca="1" ref="BC46" ca="1">IF($B46="","",IF(ISBLANK(INDIRECT("R9.Web!D"&amp;SUM(18,38*19,27))),"",INDIRECT("R9.Web!D"&amp;SUM(18,38*19,27))))</f>
        <v>N/D</v>
      </c>
      <c r="BD46" s="215" t="str" cm="1">
        <f t="array" aca="1" ref="BD46" ca="1">IF($B46="","",IF(ISBLANK(INDIRECT("R9.Web!D"&amp;SUM(18,38*20,27))),"",INDIRECT("R9.Web!D"&amp;SUM(18,38*20,27))))</f>
        <v>N/T</v>
      </c>
      <c r="BE46" s="215" t="str" cm="1">
        <f t="array" aca="1" ref="BE46" ca="1">IF($B46="","",IF(ISBLANK(INDIRECT("R9.Web!D"&amp;SUM(18,38*21,27))),"",INDIRECT("R9.Web!D"&amp;SUM(18,38*21,27))))</f>
        <v>N/T</v>
      </c>
      <c r="BF46" s="215" t="str" cm="1">
        <f t="array" aca="1" ref="BF46" ca="1">IF($B46="","",IF(ISBLANK(INDIRECT("R9.Web!D"&amp;SUM(18,38*22,27))),"",INDIRECT("R9.Web!D"&amp;SUM(18,38*22,27))))</f>
        <v>N/D</v>
      </c>
      <c r="BG46" s="215" t="str" cm="1">
        <f t="array" aca="1" ref="BG46" ca="1">IF($B46="","",IF(ISBLANK(INDIRECT("R9.Web!D"&amp;SUM(18,38*23,27))),"",INDIRECT("R9.Web!D"&amp;SUM(18,38*23,27))))</f>
        <v>N/D</v>
      </c>
      <c r="BH46" s="215" t="str" cm="1">
        <f t="array" aca="1" ref="BH46" ca="1">IF($B46="","",IF(ISBLANK(INDIRECT("R9.Web!D"&amp;SUM(18,38*24,27))),"",INDIRECT("R9.Web!D"&amp;SUM(18,38*24,27))))</f>
        <v>N/T</v>
      </c>
      <c r="BI46" s="215" t="str" cm="1">
        <f t="array" aca="1" ref="BI46" ca="1">IF($B46="","",IF(ISBLANK(INDIRECT("R9.Web!D"&amp;SUM(18,38*25,27))),"",INDIRECT("R9.Web!D"&amp;SUM(18,38*25,27))))</f>
        <v>N/D</v>
      </c>
      <c r="BJ46" s="215" t="str" cm="1">
        <f t="array" aca="1" ref="BJ46" ca="1">IF($B46="","",IF(ISBLANK(INDIRECT("R9.Web!D"&amp;SUM(18,38*26,27))),"",INDIRECT("R9.Web!D"&amp;SUM(18,38*26,27))))</f>
        <v>N/D</v>
      </c>
      <c r="BK46" s="215" t="str" cm="1">
        <f t="array" aca="1" ref="BK46" ca="1">IF($B46="","",IF(ISBLANK(INDIRECT("R9.Web!D"&amp;SUM(18,38*27,27))),"",INDIRECT("R9.Web!D"&amp;SUM(18,38*27,27))))</f>
        <v>N/D</v>
      </c>
      <c r="BL46" s="215" t="str" cm="1">
        <f t="array" aca="1" ref="BL46" ca="1">IF($B46="","",IF(ISBLANK(INDIRECT("R9.Web!D"&amp;SUM(18,38*28,27))),"",INDIRECT("R9.Web!D"&amp;SUM(18,38*28,27))))</f>
        <v>N/D</v>
      </c>
      <c r="BM46" s="215" t="str" cm="1">
        <f t="array" aca="1" ref="BM46" ca="1">IF($B46="","",IF(ISBLANK(INDIRECT("R9.Web!D"&amp;SUM(18,38*29,27))),"",INDIRECT("R9.Web!D"&amp;SUM(18,38*29,27))))</f>
        <v>N/D</v>
      </c>
      <c r="BN46" s="215" t="str" cm="1">
        <f t="array" aca="1" ref="BN46" ca="1">IF($B46="","",IF(ISBLANK(INDIRECT("R9.Web!D"&amp;SUM(18,38*30,27))),"",INDIRECT("R9.Web!D"&amp;SUM(18,38*30,27))))</f>
        <v>N/T</v>
      </c>
      <c r="BO46" s="215" t="str" cm="1">
        <f t="array" aca="1" ref="BO46" ca="1">IF($B46="","",IF(ISBLANK(INDIRECT("R9.Web!D"&amp;SUM(18,38*31,27))),"",INDIRECT("R9.Web!D"&amp;SUM(18,38*31,27))))</f>
        <v>Falla</v>
      </c>
      <c r="BP46" s="215" t="str" cm="1">
        <f t="array" aca="1" ref="BP46" ca="1">IF($B46="","",IF(ISBLANK(INDIRECT("R9.Web!D"&amp;SUM(18,38*32,27))),"",INDIRECT("R9.Web!D"&amp;SUM(18,38*32,27))))</f>
        <v>N/T</v>
      </c>
      <c r="BQ46" s="215" t="str" cm="1">
        <f t="array" aca="1" ref="BQ46" ca="1">IF($B46="","",IF(ISBLANK(INDIRECT("R9.Web!D"&amp;SUM(18,38*33,27))),"",INDIRECT("R9.Web!D"&amp;SUM(18,38*33,27))))</f>
        <v>N/T</v>
      </c>
      <c r="BR46" s="215" t="str" cm="1">
        <f t="array" aca="1" ref="BR46" ca="1">IF($B46="","",IF(ISBLANK(INDIRECT("R9.Web!D"&amp;SUM(18,38*34,27))),"",INDIRECT("R9.Web!D"&amp;SUM(18,38*34,27))))</f>
        <v>N/D</v>
      </c>
      <c r="BS46" s="215" t="str" cm="1">
        <f t="array" aca="1" ref="BS46" ca="1">IF($B46="","",IF(ISBLANK(INDIRECT("R9.Web!D"&amp;SUM(18,38*35,27))),"",INDIRECT("R9.Web!D"&amp;SUM(18,38*35,27))))</f>
        <v>N/T</v>
      </c>
      <c r="BT46" s="215" t="str" cm="1">
        <f t="array" aca="1" ref="BT46" ca="1">IF($B46="","",IF(ISBLANK(INDIRECT("R9.Web!D"&amp;SUM(18,38*36,27))),"",INDIRECT("R9.Web!D"&amp;SUM(18,38*36,27))))</f>
        <v>N/D</v>
      </c>
      <c r="BU46" s="215" t="str" cm="1">
        <f t="array" aca="1" ref="BU46" ca="1">IF($B46="","",IF(ISBLANK(INDIRECT("R9.Web!D"&amp;SUM(18,38*37,27))),"",INDIRECT("R9.Web!D"&amp;SUM(18,38*37,27))))</f>
        <v>Falla</v>
      </c>
      <c r="BV46" s="215" t="str" cm="1">
        <f t="array" aca="1" ref="BV46" ca="1">IF($B46="","",IF(ISBLANK(INDIRECT("R9.Web!D"&amp;SUM(18,38*38,27))),"",INDIRECT("R9.Web!D"&amp;SUM(18,38*38,27))))</f>
        <v>N/D</v>
      </c>
      <c r="BW46" s="215" t="str" cm="1">
        <f t="array" aca="1" ref="BW46" ca="1">IF($B46="","",IF(ISBLANK(INDIRECT("R9.Web!D"&amp;SUM(18,38*39,27))),"",INDIRECT("R9.Web!D"&amp;SUM(18,38*39,27))))</f>
        <v>N/D</v>
      </c>
      <c r="BX46" s="215" t="str" cm="1">
        <f t="array" aca="1" ref="BX46" ca="1">IF($B46="","",IF(ISBLANK(INDIRECT("R9.Web!D"&amp;SUM(18,38*40,27))),"",INDIRECT("R9.Web!D"&amp;SUM(18,38*40,27))))</f>
        <v>N/D</v>
      </c>
      <c r="BY46" s="215" t="str" cm="1">
        <f t="array" aca="1" ref="BY46" ca="1">IF($B46="","",IF(ISBLANK(INDIRECT("R9.Web!D"&amp;SUM(18,38*41,27))),"",INDIRECT("R9.Web!D"&amp;SUM(18,38*41,27))))</f>
        <v>N/T</v>
      </c>
      <c r="BZ46" s="215" t="str" cm="1">
        <f t="array" aca="1" ref="BZ46" ca="1">IF($B46="","",IF(ISBLANK(INDIRECT("R9.Web!D"&amp;SUM(18,38*42,27))),"",INDIRECT("R9.Web!D"&amp;SUM(18,38*42,27))))</f>
        <v>N/T</v>
      </c>
      <c r="CA46" s="215" t="str" cm="1">
        <f t="array" aca="1" ref="CA46" ca="1">IF($B46="","",IF(ISBLANK(INDIRECT("R9.Web!D"&amp;SUM(18,38*43,27))),"",INDIRECT("R9.Web!D"&amp;SUM(18,38*43,27))))</f>
        <v>N/D</v>
      </c>
      <c r="CB46" s="215" t="str" cm="1">
        <f t="array" aca="1" ref="CB46" ca="1">IF($B46="","",IF(ISBLANK(INDIRECT("R9.Web!D"&amp;SUM(18,38*44,27))),"",INDIRECT("R9.Web!D"&amp;SUM(18,38*44,27))))</f>
        <v>N/T</v>
      </c>
      <c r="CC46" s="215" t="str" cm="1">
        <f t="array" aca="1" ref="CC46" ca="1">IF($B46="","",IF(ISBLANK(INDIRECT("R9.Web!D"&amp;SUM(18,38*45,27))),"",INDIRECT("R9.Web!D"&amp;SUM(18,38*45,27))))</f>
        <v>N/T</v>
      </c>
      <c r="CD46" s="215" t="str" cm="1">
        <f t="array" aca="1" ref="CD46" ca="1">IF($B46="","",IF(ISBLANK(INDIRECT("R9.Web!D"&amp;SUM(18,38*46,27))),"",INDIRECT("R9.Web!D"&amp;SUM(18,38*46,27))))</f>
        <v>N/T</v>
      </c>
      <c r="CE46" s="215" t="str" cm="1">
        <f t="array" aca="1" ref="CE46" ca="1">IF($B46="","",IF(ISBLANK(INDIRECT("R9.Web!D"&amp;SUM(18,38*47,27))),"",INDIRECT("R9.Web!D"&amp;SUM(18,38*47,27))))</f>
        <v>N/D</v>
      </c>
      <c r="CF46" s="215" t="str" cm="1">
        <f t="array" aca="1" ref="CF46" ca="1">IF($B46="","",IF(ISBLANK(INDIRECT("R9.Web!D"&amp;SUM(18,38*48,27))),"",INDIRECT("R9.Web!D"&amp;SUM(18,38*48,27))))</f>
        <v>N/T</v>
      </c>
      <c r="CG46" s="215" t="str" cm="1">
        <f t="array" aca="1" ref="CG46" ca="1">IF($B46="","",IF(ISBLANK(INDIRECT("R9.Web!D"&amp;SUM(18,38*49,27))),"",INDIRECT("R9.Web!D"&amp;SUM(18,38*49,27))))</f>
        <v>N/T</v>
      </c>
      <c r="CH46" s="215" t="str" cm="1">
        <f t="array" aca="1" ref="CH46" ca="1">IF($B46="","",IF(ISBLANK(INDIRECT("R11.Software!D"&amp;SUM(18,38*0,27))),"",INDIRECT("R11.Software!D"&amp;SUM(18,38*0,27))))</f>
        <v>N/T</v>
      </c>
      <c r="CI46" s="215" t="str" cm="1">
        <f t="array" aca="1" ref="CI46" ca="1">IF($B46="","",IF(ISBLANK(INDIRECT("R11.Software!D"&amp;SUM(18,38*1,27))),"",INDIRECT("R11.Software!D"&amp;SUM(18,38*1,27))))</f>
        <v>N/T</v>
      </c>
      <c r="CJ46" s="215" t="str" cm="1">
        <f t="array" aca="1" ref="CJ46" ca="1">IF($B46="","",IF(ISBLANK(INDIRECT("R11.Software!D"&amp;SUM(18,38*2,27))),"",INDIRECT("R11.Software!D"&amp;SUM(18,38*2,27))))</f>
        <v>N/T</v>
      </c>
      <c r="CK46" s="215" t="str" cm="1">
        <f t="array" aca="1" ref="CK46" ca="1">IF($B46="","",IF(ISBLANK(INDIRECT("R11.Software!D"&amp;SUM(18,38*3,27))),"",INDIRECT("R11.Software!D"&amp;SUM(18,38*3,27))))</f>
        <v>N/T</v>
      </c>
      <c r="CL46" s="215" t="str" cm="1">
        <f t="array" aca="1" ref="CL46" ca="1">IF($B46="","",IF(ISBLANK(INDIRECT("R11.Software!D"&amp;SUM(18,38*4,27))),"",INDIRECT("R11.Software!D"&amp;SUM(18,38*4,27))))</f>
        <v>N/T</v>
      </c>
      <c r="CM46" s="215" t="str" cm="1">
        <f t="array" aca="1" ref="CM46" ca="1">IF($B46="","",IF(ISBLANK(INDIRECT("R11.Software!D"&amp;SUM(18,38*5,27))),"",INDIRECT("R11.Software!D"&amp;SUM(18,38*5,27))))</f>
        <v>N/T</v>
      </c>
      <c r="CN46" s="215" t="str" cm="1">
        <f t="array" aca="1" ref="CN46" ca="1">IF($B46="","",IF(ISBLANK(INDIRECT("R12.ServiciosApoyo!D"&amp;SUM(18,38*0,27))),"",INDIRECT("R12.ServiciosApoyo!D"&amp;SUM(18,38*0,27))))</f>
        <v>N/T</v>
      </c>
      <c r="CO46" s="215" t="str" cm="1">
        <f t="array" aca="1" ref="CO46" ca="1">IF($B46="","",IF(ISBLANK(INDIRECT("R12.ServiciosApoyo!D"&amp;SUM(18,38*1,27))),"",INDIRECT("R12.ServiciosApoyo!D"&amp;SUM(18,38*1,27))))</f>
        <v>N/T</v>
      </c>
      <c r="CP46" s="215" t="str" cm="1">
        <f t="array" aca="1" ref="CP46" ca="1">IF($B46="","",IF(ISBLANK(INDIRECT("R12.ServiciosApoyo!D"&amp;SUM(18,38*2,27))),"",INDIRECT("R12.ServiciosApoyo!D"&amp;SUM(18,38*2,27))))</f>
        <v>N/T</v>
      </c>
      <c r="CQ46" s="215" t="str" cm="1">
        <f t="array" aca="1" ref="CQ46" ca="1">IF($B46="","",IF(ISBLANK(INDIRECT("R12.ServiciosApoyo!D"&amp;SUM(18,38*3,27))),"",INDIRECT("R12.ServiciosApoyo!D"&amp;SUM(18,38*3,27))))</f>
        <v>N/T</v>
      </c>
      <c r="CR46" s="215" t="str" cm="1">
        <f t="array" aca="1" ref="CR46" ca="1">IF($B46="","",IF(ISBLANK(INDIRECT("R12.ServiciosApoyo!D"&amp;SUM(18,38*4,27))),"",INDIRECT("R12.ServiciosApoyo!D"&amp;SUM(18,38*4,27))))</f>
        <v>N/T</v>
      </c>
      <c r="CU46" s="100"/>
      <c r="CV46" s="29"/>
      <c r="CW46" s="29"/>
      <c r="CX46" s="29"/>
    </row>
    <row r="47" spans="2:102" ht="20.25">
      <c r="B47" s="181" t="n" cm="1">
        <f t="array" ref="B47">IFERROR(INDEX('03.Muestra'!$B$8:$B$42,SMALL(IF("Página Web"='03.Muestra'!$D$8:$D$42,ROW('03.Muestra'!$B$8:$B$42)-MIN(ROW('03.Muestra'!$D$8:$D$42))+1,""),ROW()-19)),"")</f>
        <v>1.0</v>
      </c>
      <c r="C47" s="97" t="str" cm="1">
        <f t="array" ref="C47">IFERROR(INDEX('03.Muestra'!$C$8:$C$42,SMALL(IF("Página Web"='03.Muestra'!$D$8:$D$42,ROW('03.Muestra'!$C$8:$C$42)-MIN(ROW('03.Muestra'!$D$8:$D$42))+1,""),ROW()-19)),"")</f>
        <v>Home - PortCastelló</v>
      </c>
      <c r="D47" s="98" t="str" cm="1">
        <f t="array" ref="D47">IFERROR(INDEX('03.Muestra'!$F$8:$F$42,SMALL(IF("Página Web"='03.Muestra'!$D$8:$D$42,ROW('03.Muestra'!$F$8:$F$42)-MIN(ROW('03.Muestra'!$D$8:$D$42))+1,""),ROW()-19)),"")</f>
        <v>https://www.portcastello.com/</v>
      </c>
      <c r="E47" s="215" t="str" cm="1">
        <f t="array" aca="1" ref="E47" ca="1">IF($B47="","",IF(ISBLANK(INDIRECT("R5.Genéricos!D"&amp;SUM(18,38*0,28))),"",INDIRECT("R5.Genéricos!D"&amp;SUM(18,38*0,28))))</f>
        <v>N/T</v>
      </c>
      <c r="F47" s="215" t="str" cm="1">
        <f t="array" aca="1" ref="F47" ca="1">IF($B47="","",IF(ISBLANK(INDIRECT("R5.Genéricos!D"&amp;SUM(18,38*1,28))),"",INDIRECT("R5.Genéricos!D"&amp;SUM(18,38*1,28))))</f>
        <v>N/T</v>
      </c>
      <c r="G47" s="215" t="str" cm="1">
        <f t="array" aca="1" ref="G47" ca="1">IF($B47="","",IF(ISBLANK(INDIRECT("R5.Genéricos!D"&amp;SUM(18,38*2,28))),"",INDIRECT("R5.Genéricos!D"&amp;SUM(18,38*2,28))))</f>
        <v>N/T</v>
      </c>
      <c r="H47" s="215" t="str" cm="1">
        <f t="array" aca="1" ref="H47" ca="1">IF($B47="","",IF(ISBLANK(INDIRECT("R6.Voz!D"&amp;SUM(18,38*0,28))),"",INDIRECT("R6.Voz!D"&amp;SUM(18,38*0,28))))</f>
        <v>N/T</v>
      </c>
      <c r="I47" s="215" t="str" cm="1">
        <f t="array" aca="1" ref="I47" ca="1">IF($B47="","",IF(ISBLANK(INDIRECT("R6.Voz!D"&amp;SUM(18,38*1,28))),"",INDIRECT("R6.Voz!D"&amp;SUM(18,38*1,28))))</f>
        <v>N/T</v>
      </c>
      <c r="J47" s="215" t="str" cm="1">
        <f t="array" aca="1" ref="J47" ca="1">IF($B47="","",IF(ISBLANK(INDIRECT("R6.Voz!D"&amp;SUM(18,38*2,28))),"",INDIRECT("R6.Voz!D"&amp;SUM(18,38*2,28))))</f>
        <v>N/T</v>
      </c>
      <c r="K47" s="215" t="str" cm="1">
        <f t="array" aca="1" ref="K47" ca="1">IF($B47="","",IF(ISBLANK(INDIRECT("R6.Voz!D"&amp;SUM(18,38*3,28))),"",INDIRECT("R6.Voz!D"&amp;SUM(18,38*3,28))))</f>
        <v>N/T</v>
      </c>
      <c r="L47" s="215" t="str" cm="1">
        <f t="array" aca="1" ref="L47" ca="1">IF($B47="","",IF(ISBLANK(INDIRECT("R6.Voz!D"&amp;SUM(18,38*4,28))),"",INDIRECT("R6.Voz!D"&amp;SUM(18,38*4,28))))</f>
        <v>N/T</v>
      </c>
      <c r="M47" s="215" t="str" cm="1">
        <f t="array" aca="1" ref="M47" ca="1">IF($B47="","",IF(ISBLANK(INDIRECT("R6.Voz!D"&amp;SUM(18,38*5,28))),"",INDIRECT("R6.Voz!D"&amp;SUM(18,38*5,28))))</f>
        <v>N/T</v>
      </c>
      <c r="N47" s="215" t="str" cm="1">
        <f t="array" aca="1" ref="N47" ca="1">IF($B47="","",IF(ISBLANK(INDIRECT("R6.Voz!D"&amp;SUM(18,38*6,28))),"",INDIRECT("R6.Voz!D"&amp;SUM(18,38*6,28))))</f>
        <v>N/T</v>
      </c>
      <c r="O47" s="215" t="str" cm="1">
        <f t="array" aca="1" ref="O47" ca="1">IF($B47="","",IF(ISBLANK(INDIRECT("R6.Voz!D"&amp;SUM(18,38*7,28))),"",INDIRECT("R6.Voz!D"&amp;SUM(18,38*7,28))))</f>
        <v>N/T</v>
      </c>
      <c r="P47" s="215" t="str" cm="1">
        <f t="array" aca="1" ref="P47" ca="1">IF($B47="","",IF(ISBLANK(INDIRECT("R6.Voz!D"&amp;SUM(18,38*8,28))),"",INDIRECT("R6.Voz!D"&amp;SUM(18,38*8,28))))</f>
        <v>N/T</v>
      </c>
      <c r="Q47" s="215" t="str" cm="1">
        <f t="array" aca="1" ref="Q47" ca="1">IF($B47="","",IF(ISBLANK(INDIRECT("R6.Voz!D"&amp;SUM(18,38*9,28))),"",INDIRECT("R6.Voz!D"&amp;SUM(18,38*9,28))))</f>
        <v>N/T</v>
      </c>
      <c r="R47" s="215" t="str" cm="1">
        <f t="array" aca="1" ref="R47" ca="1">IF($B47="","",IF(ISBLANK(INDIRECT("R6.Voz!D"&amp;SUM(18,38*10,28))),"",INDIRECT("R6.Voz!D"&amp;SUM(18,38*10,28))))</f>
        <v>N/T</v>
      </c>
      <c r="S47" s="215" t="str" cm="1">
        <f t="array" aca="1" ref="S47" ca="1">IF($B47="","",IF(ISBLANK(INDIRECT("R6.Voz!D"&amp;SUM(18,38*11,28))),"",INDIRECT("R6.Voz!D"&amp;SUM(18,38*11,28))))</f>
        <v>N/T</v>
      </c>
      <c r="T47" s="215" t="str" cm="1">
        <f t="array" aca="1" ref="T47" ca="1">IF($B47="","",IF(ISBLANK(INDIRECT("R6.Voz!D"&amp;SUM(18,38*12,28))),"",INDIRECT("R6.Voz!D"&amp;SUM(18,38*12,28))))</f>
        <v>N/T</v>
      </c>
      <c r="U47" s="215" t="str" cm="1">
        <f t="array" aca="1" ref="U47" ca="1">IF($B47="","",IF(ISBLANK(INDIRECT("R6.Voz!D"&amp;SUM(18,38*13,28))),"",INDIRECT("R6.Voz!D"&amp;SUM(18,38*13,28))))</f>
        <v>N/T</v>
      </c>
      <c r="V47" s="215" t="str" cm="1">
        <f t="array" aca="1" ref="V47" ca="1">IF($B47="","",IF(ISBLANK(INDIRECT("R6.Voz!D"&amp;SUM(18,38*14,28))),"",INDIRECT("R6.Voz!D"&amp;SUM(18,38*14,28))))</f>
        <v>N/T</v>
      </c>
      <c r="W47" s="215" t="str" cm="1">
        <f t="array" aca="1" ref="W47" ca="1">IF($B47="","",IF(ISBLANK(INDIRECT("R6.Voz!D"&amp;SUM(18,38*15,28))),"",INDIRECT("R6.Voz!D"&amp;SUM(18,38*15,28))))</f>
        <v>N/T</v>
      </c>
      <c r="X47" s="215" t="str" cm="1">
        <f t="array" aca="1" ref="X47" ca="1">IF($B47="","",IF(ISBLANK(INDIRECT("R6.Voz!D"&amp;SUM(18,38*16,28))),"",INDIRECT("R6.Voz!D"&amp;SUM(18,38*16,28))))</f>
        <v>N/T</v>
      </c>
      <c r="Y47" s="215" t="str" cm="1">
        <f t="array" aca="1" ref="Y47" ca="1">IF($B47="","",IF(ISBLANK(INDIRECT("R6.Voz!D"&amp;SUM(18,38*17,28))),"",INDIRECT("R6.Voz!D"&amp;SUM(18,38*17,28))))</f>
        <v>N/T</v>
      </c>
      <c r="Z47" s="215" t="str" cm="1">
        <f t="array" aca="1" ref="Z47" ca="1">IF($B47="","",IF(ISBLANK(INDIRECT("R6.Voz!D"&amp;SUM(18,38*18,28))),"",INDIRECT("R6.Voz!D"&amp;SUM(18,38*18,28))))</f>
        <v>N/T</v>
      </c>
      <c r="AA47" s="215" t="str" cm="1">
        <f t="array" aca="1" ref="AA47" ca="1">IF($B47="","",IF(ISBLANK(INDIRECT("R7.Video!D"&amp;SUM(18,38*0,28))),"",INDIRECT("R7.Video!D"&amp;SUM(18,38*0,28))))</f>
        <v>N/T</v>
      </c>
      <c r="AB47" s="215" t="str" cm="1">
        <f t="array" aca="1" ref="AB47" ca="1">IF($B47="","",IF(ISBLANK(INDIRECT("R7.Video!D"&amp;SUM(18,38*1,28))),"",INDIRECT("R7.Video!D"&amp;SUM(18,38*1,28))))</f>
        <v>N/T</v>
      </c>
      <c r="AC47" s="215" t="str" cm="1">
        <f t="array" aca="1" ref="AC47" ca="1">IF($B47="","",IF(ISBLANK(INDIRECT("R7.Video!D"&amp;SUM(18,38*2,28))),"",INDIRECT("R7.Video!D"&amp;SUM(18,38*2,28))))</f>
        <v>N/T</v>
      </c>
      <c r="AD47" s="215" t="str" cm="1">
        <f t="array" aca="1" ref="AD47" ca="1">IF($B47="","",IF(ISBLANK(INDIRECT("R7.Video!D"&amp;SUM(18,38*3,28))),"",INDIRECT("R7.Video!D"&amp;SUM(18,38*3,28))))</f>
        <v>N/T</v>
      </c>
      <c r="AE47" s="215" t="str" cm="1">
        <f t="array" aca="1" ref="AE47" ca="1">IF($B47="","",IF(ISBLANK(INDIRECT("R7.Video!D"&amp;SUM(18,38*4,28))),"",INDIRECT("R7.Video!D"&amp;SUM(18,38*4,28))))</f>
        <v>N/T</v>
      </c>
      <c r="AF47" s="215" t="str" cm="1">
        <f t="array" aca="1" ref="AF47" ca="1">IF($B47="","",IF(ISBLANK(INDIRECT("R7.Video!D"&amp;SUM(18,38*5,28))),"",INDIRECT("R7.Video!D"&amp;SUM(18,38*5,28))))</f>
        <v>N/T</v>
      </c>
      <c r="AG47" s="215" t="str" cm="1">
        <f t="array" aca="1" ref="AG47" ca="1">IF($B47="","",IF(ISBLANK(INDIRECT("R7.Video!D"&amp;SUM(18,38*6,28))),"",INDIRECT("R7.Video!D"&amp;SUM(18,38*6,28))))</f>
        <v>N/T</v>
      </c>
      <c r="AH47" s="215" t="str" cm="1">
        <f t="array" aca="1" ref="AH47" ca="1">IF($B47="","",IF(ISBLANK(INDIRECT("R7.Video!D"&amp;SUM(18,38*7,28))),"",INDIRECT("R7.Video!D"&amp;SUM(18,38*7,28))))</f>
        <v>N/T</v>
      </c>
      <c r="AI47" s="215" t="str" cm="1">
        <f t="array" aca="1" ref="AI47" ca="1">IF($B47="","",IF(ISBLANK(INDIRECT("R7.Video!D"&amp;SUM(18,38*8,28))),"",INDIRECT("R7.Video!D"&amp;SUM(18,38*8,28))))</f>
        <v>N/T</v>
      </c>
      <c r="AJ47" s="215" t="str" cm="1">
        <f t="array" aca="1" ref="AJ47" ca="1">IF($B47="","",IF(ISBLANK(INDIRECT("R9.Web!D"&amp;SUM(18,38*0,28))),"",INDIRECT("R9.Web!D"&amp;SUM(18,38*0,28))))</f>
        <v>N/D</v>
      </c>
      <c r="AK47" s="215" t="str" cm="1">
        <f t="array" aca="1" ref="AK47" ca="1">IF($B47="","",IF(ISBLANK(INDIRECT("R9.Web!D"&amp;SUM(18,38*1,28))),"",INDIRECT("R9.Web!D"&amp;SUM(18,38*1,28))))</f>
        <v>N/T</v>
      </c>
      <c r="AL47" s="215" t="str" cm="1">
        <f t="array" aca="1" ref="AL47" ca="1">IF($B47="","",IF(ISBLANK(INDIRECT("R9.Web!D"&amp;SUM(18,38*2,28))),"",INDIRECT("R9.Web!D"&amp;SUM(18,38*2,28))))</f>
        <v>N/T</v>
      </c>
      <c r="AM47" s="215" t="str" cm="1">
        <f t="array" aca="1" ref="AM47" ca="1">IF($B47="","",IF(ISBLANK(INDIRECT("R9.Web!D"&amp;SUM(18,38*3,28))),"",INDIRECT("R9.Web!D"&amp;SUM(18,38*3,28))))</f>
        <v>N/T</v>
      </c>
      <c r="AN47" s="215" t="str" cm="1">
        <f t="array" aca="1" ref="AN47" ca="1">IF($B47="","",IF(ISBLANK(INDIRECT("R9.Web!D"&amp;SUM(18,38*4,28))),"",INDIRECT("R9.Web!D"&amp;SUM(18,38*4,28))))</f>
        <v>N/T</v>
      </c>
      <c r="AO47" s="215" t="str" cm="1">
        <f t="array" aca="1" ref="AO47" ca="1">IF($B47="","",IF(ISBLANK(INDIRECT("R9.Web!D"&amp;SUM(18,38*5,28))),"",INDIRECT("R9.Web!D"&amp;SUM(18,38*5,28))))</f>
        <v>N/D</v>
      </c>
      <c r="AP47" s="215" t="str" cm="1">
        <f t="array" aca="1" ref="AP47" ca="1">IF($B47="","",IF(ISBLANK(INDIRECT("R9.Web!D"&amp;SUM(18,38*6,28))),"",INDIRECT("R9.Web!D"&amp;SUM(18,38*6,28))))</f>
        <v>N/T</v>
      </c>
      <c r="AQ47" s="215" t="str" cm="1">
        <f t="array" aca="1" ref="AQ47" ca="1">IF($B47="","",IF(ISBLANK(INDIRECT("R9.Web!D"&amp;SUM(18,38*7,28))),"",INDIRECT("R9.Web!D"&amp;SUM(18,38*7,28))))</f>
        <v>N/T</v>
      </c>
      <c r="AR47" s="215" t="str" cm="1">
        <f t="array" aca="1" ref="AR47" ca="1">IF($B47="","",IF(ISBLANK(INDIRECT("R9.Web!D"&amp;SUM(18,38*8,28))),"",INDIRECT("R9.Web!D"&amp;SUM(18,38*8,28))))</f>
        <v>N/D</v>
      </c>
      <c r="AS47" s="215" t="str" cm="1">
        <f t="array" aca="1" ref="AS47" ca="1">IF($B47="","",IF(ISBLANK(INDIRECT("R9.Web!D"&amp;SUM(18,38*9,28))),"",INDIRECT("R9.Web!D"&amp;SUM(18,38*9,28))))</f>
        <v>N/D</v>
      </c>
      <c r="AT47" s="215" t="str" cm="1">
        <f t="array" aca="1" ref="AT47" ca="1">IF($B47="","",IF(ISBLANK(INDIRECT("R9.Web!D"&amp;SUM(18,38*10,28))),"",INDIRECT("R9.Web!D"&amp;SUM(18,38*10,28))))</f>
        <v>N/T</v>
      </c>
      <c r="AU47" s="215" t="str" cm="1">
        <f t="array" aca="1" ref="AU47" ca="1">IF($B47="","",IF(ISBLANK(INDIRECT("R9.Web!D"&amp;SUM(18,38*11,28))),"",INDIRECT("R9.Web!D"&amp;SUM(18,38*11,28))))</f>
        <v>N/T</v>
      </c>
      <c r="AV47" s="215" t="str" cm="1">
        <f t="array" aca="1" ref="AV47" ca="1">IF($B47="","",IF(ISBLANK(INDIRECT("R9.Web!D"&amp;SUM(18,38*12,28))),"",INDIRECT("R9.Web!D"&amp;SUM(18,38*12,28))))</f>
        <v>N/D</v>
      </c>
      <c r="AW47" s="215" t="str" cm="1">
        <f t="array" aca="1" ref="AW47" ca="1">IF($B47="","",IF(ISBLANK(INDIRECT("R9.Web!D"&amp;SUM(18,38*13,28))),"",INDIRECT("R9.Web!D"&amp;SUM(18,38*13,28))))</f>
        <v>N/T</v>
      </c>
      <c r="AX47" s="215" t="str" cm="1">
        <f t="array" aca="1" ref="AX47" ca="1">IF($B47="","",IF(ISBLANK(INDIRECT("R9.Web!D"&amp;SUM(18,38*14,28))),"",INDIRECT("R9.Web!D"&amp;SUM(18,38*14,28))))</f>
        <v>N/T</v>
      </c>
      <c r="AY47" s="215" t="str" cm="1">
        <f t="array" aca="1" ref="AY47" ca="1">IF($B47="","",IF(ISBLANK(INDIRECT("R9.Web!D"&amp;SUM(18,38*15,28))),"",INDIRECT("R9.Web!D"&amp;SUM(18,38*15,28))))</f>
        <v>N/D</v>
      </c>
      <c r="AZ47" s="215" t="str" cm="1">
        <f t="array" aca="1" ref="AZ47" ca="1">IF($B47="","",IF(ISBLANK(INDIRECT("R9.Web!D"&amp;SUM(18,38*16,28))),"",INDIRECT("R9.Web!D"&amp;SUM(18,38*16,28))))</f>
        <v>N/T</v>
      </c>
      <c r="BA47" s="215" t="str" cm="1">
        <f t="array" aca="1" ref="BA47" ca="1">IF($B47="","",IF(ISBLANK(INDIRECT("R9.Web!D"&amp;SUM(18,38*17,28))),"",INDIRECT("R9.Web!D"&amp;SUM(18,38*17,28))))</f>
        <v>N/D</v>
      </c>
      <c r="BB47" s="215" t="str" cm="1">
        <f t="array" aca="1" ref="BB47" ca="1">IF($B47="","",IF(ISBLANK(INDIRECT("R9.Web!D"&amp;SUM(18,38*18,28))),"",INDIRECT("R9.Web!D"&amp;SUM(18,38*18,28))))</f>
        <v>N/T</v>
      </c>
      <c r="BC47" s="215" t="str" cm="1">
        <f t="array" aca="1" ref="BC47" ca="1">IF($B47="","",IF(ISBLANK(INDIRECT("R9.Web!D"&amp;SUM(18,38*19,28))),"",INDIRECT("R9.Web!D"&amp;SUM(18,38*19,28))))</f>
        <v>N/D</v>
      </c>
      <c r="BD47" s="215" t="str" cm="1">
        <f t="array" aca="1" ref="BD47" ca="1">IF($B47="","",IF(ISBLANK(INDIRECT("R9.Web!D"&amp;SUM(18,38*20,28))),"",INDIRECT("R9.Web!D"&amp;SUM(18,38*20,28))))</f>
        <v>N/T</v>
      </c>
      <c r="BE47" s="215" t="str" cm="1">
        <f t="array" aca="1" ref="BE47" ca="1">IF($B47="","",IF(ISBLANK(INDIRECT("R9.Web!D"&amp;SUM(18,38*21,28))),"",INDIRECT("R9.Web!D"&amp;SUM(18,38*21,28))))</f>
        <v>N/T</v>
      </c>
      <c r="BF47" s="215" t="str" cm="1">
        <f t="array" aca="1" ref="BF47" ca="1">IF($B47="","",IF(ISBLANK(INDIRECT("R9.Web!D"&amp;SUM(18,38*22,28))),"",INDIRECT("R9.Web!D"&amp;SUM(18,38*22,28))))</f>
        <v>N/D</v>
      </c>
      <c r="BG47" s="215" t="str" cm="1">
        <f t="array" aca="1" ref="BG47" ca="1">IF($B47="","",IF(ISBLANK(INDIRECT("R9.Web!D"&amp;SUM(18,38*23,28))),"",INDIRECT("R9.Web!D"&amp;SUM(18,38*23,28))))</f>
        <v>N/D</v>
      </c>
      <c r="BH47" s="215" t="str" cm="1">
        <f t="array" aca="1" ref="BH47" ca="1">IF($B47="","",IF(ISBLANK(INDIRECT("R9.Web!D"&amp;SUM(18,38*24,28))),"",INDIRECT("R9.Web!D"&amp;SUM(18,38*24,28))))</f>
        <v>N/T</v>
      </c>
      <c r="BI47" s="215" t="str" cm="1">
        <f t="array" aca="1" ref="BI47" ca="1">IF($B47="","",IF(ISBLANK(INDIRECT("R9.Web!D"&amp;SUM(18,38*25,28))),"",INDIRECT("R9.Web!D"&amp;SUM(18,38*25,28))))</f>
        <v>N/D</v>
      </c>
      <c r="BJ47" s="215" t="str" cm="1">
        <f t="array" aca="1" ref="BJ47" ca="1">IF($B47="","",IF(ISBLANK(INDIRECT("R9.Web!D"&amp;SUM(18,38*26,28))),"",INDIRECT("R9.Web!D"&amp;SUM(18,38*26,28))))</f>
        <v>N/D</v>
      </c>
      <c r="BK47" s="215" t="str" cm="1">
        <f t="array" aca="1" ref="BK47" ca="1">IF($B47="","",IF(ISBLANK(INDIRECT("R9.Web!D"&amp;SUM(18,38*27,28))),"",INDIRECT("R9.Web!D"&amp;SUM(18,38*27,28))))</f>
        <v>N/D</v>
      </c>
      <c r="BL47" s="215" t="str" cm="1">
        <f t="array" aca="1" ref="BL47" ca="1">IF($B47="","",IF(ISBLANK(INDIRECT("R9.Web!D"&amp;SUM(18,38*28,28))),"",INDIRECT("R9.Web!D"&amp;SUM(18,38*28,28))))</f>
        <v>N/D</v>
      </c>
      <c r="BM47" s="215" t="str" cm="1">
        <f t="array" aca="1" ref="BM47" ca="1">IF($B47="","",IF(ISBLANK(INDIRECT("R9.Web!D"&amp;SUM(18,38*29,28))),"",INDIRECT("R9.Web!D"&amp;SUM(18,38*29,28))))</f>
        <v>N/D</v>
      </c>
      <c r="BN47" s="215" t="str" cm="1">
        <f t="array" aca="1" ref="BN47" ca="1">IF($B47="","",IF(ISBLANK(INDIRECT("R9.Web!D"&amp;SUM(18,38*30,28))),"",INDIRECT("R9.Web!D"&amp;SUM(18,38*30,28))))</f>
        <v>N/T</v>
      </c>
      <c r="BO47" s="215" t="str" cm="1">
        <f t="array" aca="1" ref="BO47" ca="1">IF($B47="","",IF(ISBLANK(INDIRECT("R9.Web!D"&amp;SUM(18,38*31,28))),"",INDIRECT("R9.Web!D"&amp;SUM(18,38*31,28))))</f>
        <v>Falla</v>
      </c>
      <c r="BP47" s="215" t="str" cm="1">
        <f t="array" aca="1" ref="BP47" ca="1">IF($B47="","",IF(ISBLANK(INDIRECT("R9.Web!D"&amp;SUM(18,38*32,28))),"",INDIRECT("R9.Web!D"&amp;SUM(18,38*32,28))))</f>
        <v>N/T</v>
      </c>
      <c r="BQ47" s="215" t="str" cm="1">
        <f t="array" aca="1" ref="BQ47" ca="1">IF($B47="","",IF(ISBLANK(INDIRECT("R9.Web!D"&amp;SUM(18,38*33,28))),"",INDIRECT("R9.Web!D"&amp;SUM(18,38*33,28))))</f>
        <v>N/T</v>
      </c>
      <c r="BR47" s="215" t="str" cm="1">
        <f t="array" aca="1" ref="BR47" ca="1">IF($B47="","",IF(ISBLANK(INDIRECT("R9.Web!D"&amp;SUM(18,38*34,28))),"",INDIRECT("R9.Web!D"&amp;SUM(18,38*34,28))))</f>
        <v>N/D</v>
      </c>
      <c r="BS47" s="215" t="str" cm="1">
        <f t="array" aca="1" ref="BS47" ca="1">IF($B47="","",IF(ISBLANK(INDIRECT("R9.Web!D"&amp;SUM(18,38*35,28))),"",INDIRECT("R9.Web!D"&amp;SUM(18,38*35,28))))</f>
        <v>N/T</v>
      </c>
      <c r="BT47" s="215" t="str" cm="1">
        <f t="array" aca="1" ref="BT47" ca="1">IF($B47="","",IF(ISBLANK(INDIRECT("R9.Web!D"&amp;SUM(18,38*36,28))),"",INDIRECT("R9.Web!D"&amp;SUM(18,38*36,28))))</f>
        <v>N/D</v>
      </c>
      <c r="BU47" s="215" t="str" cm="1">
        <f t="array" aca="1" ref="BU47" ca="1">IF($B47="","",IF(ISBLANK(INDIRECT("R9.Web!D"&amp;SUM(18,38*37,28))),"",INDIRECT("R9.Web!D"&amp;SUM(18,38*37,28))))</f>
        <v>Falla</v>
      </c>
      <c r="BV47" s="215" t="str" cm="1">
        <f t="array" aca="1" ref="BV47" ca="1">IF($B47="","",IF(ISBLANK(INDIRECT("R9.Web!D"&amp;SUM(18,38*38,28))),"",INDIRECT("R9.Web!D"&amp;SUM(18,38*38,28))))</f>
        <v>N/D</v>
      </c>
      <c r="BW47" s="215" t="str" cm="1">
        <f t="array" aca="1" ref="BW47" ca="1">IF($B47="","",IF(ISBLANK(INDIRECT("R9.Web!D"&amp;SUM(18,38*39,28))),"",INDIRECT("R9.Web!D"&amp;SUM(18,38*39,28))))</f>
        <v>N/D</v>
      </c>
      <c r="BX47" s="215" t="str" cm="1">
        <f t="array" aca="1" ref="BX47" ca="1">IF($B47="","",IF(ISBLANK(INDIRECT("R9.Web!D"&amp;SUM(18,38*40,28))),"",INDIRECT("R9.Web!D"&amp;SUM(18,38*40,28))))</f>
        <v>N/D</v>
      </c>
      <c r="BY47" s="215" t="str" cm="1">
        <f t="array" aca="1" ref="BY47" ca="1">IF($B47="","",IF(ISBLANK(INDIRECT("R9.Web!D"&amp;SUM(18,38*41,28))),"",INDIRECT("R9.Web!D"&amp;SUM(18,38*41,28))))</f>
        <v>N/T</v>
      </c>
      <c r="BZ47" s="215" t="str" cm="1">
        <f t="array" aca="1" ref="BZ47" ca="1">IF($B47="","",IF(ISBLANK(INDIRECT("R9.Web!D"&amp;SUM(18,38*42,28))),"",INDIRECT("R9.Web!D"&amp;SUM(18,38*42,28))))</f>
        <v>N/T</v>
      </c>
      <c r="CA47" s="215" t="str" cm="1">
        <f t="array" aca="1" ref="CA47" ca="1">IF($B47="","",IF(ISBLANK(INDIRECT("R9.Web!D"&amp;SUM(18,38*43,28))),"",INDIRECT("R9.Web!D"&amp;SUM(18,38*43,28))))</f>
        <v>N/D</v>
      </c>
      <c r="CB47" s="215" t="str" cm="1">
        <f t="array" aca="1" ref="CB47" ca="1">IF($B47="","",IF(ISBLANK(INDIRECT("R9.Web!D"&amp;SUM(18,38*44,28))),"",INDIRECT("R9.Web!D"&amp;SUM(18,38*44,28))))</f>
        <v>N/T</v>
      </c>
      <c r="CC47" s="215" t="str" cm="1">
        <f t="array" aca="1" ref="CC47" ca="1">IF($B47="","",IF(ISBLANK(INDIRECT("R9.Web!D"&amp;SUM(18,38*45,28))),"",INDIRECT("R9.Web!D"&amp;SUM(18,38*45,28))))</f>
        <v>N/T</v>
      </c>
      <c r="CD47" s="215" t="str" cm="1">
        <f t="array" aca="1" ref="CD47" ca="1">IF($B47="","",IF(ISBLANK(INDIRECT("R9.Web!D"&amp;SUM(18,38*46,28))),"",INDIRECT("R9.Web!D"&amp;SUM(18,38*46,28))))</f>
        <v>N/T</v>
      </c>
      <c r="CE47" s="215" t="str" cm="1">
        <f t="array" aca="1" ref="CE47" ca="1">IF($B47="","",IF(ISBLANK(INDIRECT("R9.Web!D"&amp;SUM(18,38*47,28))),"",INDIRECT("R9.Web!D"&amp;SUM(18,38*47,28))))</f>
        <v>N/D</v>
      </c>
      <c r="CF47" s="215" t="str" cm="1">
        <f t="array" aca="1" ref="CF47" ca="1">IF($B47="","",IF(ISBLANK(INDIRECT("R9.Web!D"&amp;SUM(18,38*48,28))),"",INDIRECT("R9.Web!D"&amp;SUM(18,38*48,28))))</f>
        <v>N/T</v>
      </c>
      <c r="CG47" s="215" t="str" cm="1">
        <f t="array" aca="1" ref="CG47" ca="1">IF($B47="","",IF(ISBLANK(INDIRECT("R9.Web!D"&amp;SUM(18,38*49,28))),"",INDIRECT("R9.Web!D"&amp;SUM(18,38*49,28))))</f>
        <v>N/T</v>
      </c>
      <c r="CH47" s="215" t="str" cm="1">
        <f t="array" aca="1" ref="CH47" ca="1">IF($B47="","",IF(ISBLANK(INDIRECT("R11.Software!D"&amp;SUM(18,38*0,28))),"",INDIRECT("R11.Software!D"&amp;SUM(18,38*0,28))))</f>
        <v>N/T</v>
      </c>
      <c r="CI47" s="215" t="str" cm="1">
        <f t="array" aca="1" ref="CI47" ca="1">IF($B47="","",IF(ISBLANK(INDIRECT("R11.Software!D"&amp;SUM(18,38*1,28))),"",INDIRECT("R11.Software!D"&amp;SUM(18,38*1,28))))</f>
        <v>N/T</v>
      </c>
      <c r="CJ47" s="215" t="str" cm="1">
        <f t="array" aca="1" ref="CJ47" ca="1">IF($B47="","",IF(ISBLANK(INDIRECT("R11.Software!D"&amp;SUM(18,38*2,28))),"",INDIRECT("R11.Software!D"&amp;SUM(18,38*2,28))))</f>
        <v>N/T</v>
      </c>
      <c r="CK47" s="215" t="str" cm="1">
        <f t="array" aca="1" ref="CK47" ca="1">IF($B47="","",IF(ISBLANK(INDIRECT("R11.Software!D"&amp;SUM(18,38*3,28))),"",INDIRECT("R11.Software!D"&amp;SUM(18,38*3,28))))</f>
        <v>N/T</v>
      </c>
      <c r="CL47" s="215" t="str" cm="1">
        <f t="array" aca="1" ref="CL47" ca="1">IF($B47="","",IF(ISBLANK(INDIRECT("R11.Software!D"&amp;SUM(18,38*4,28))),"",INDIRECT("R11.Software!D"&amp;SUM(18,38*4,28))))</f>
        <v>N/T</v>
      </c>
      <c r="CM47" s="215" t="str" cm="1">
        <f t="array" aca="1" ref="CM47" ca="1">IF($B47="","",IF(ISBLANK(INDIRECT("R11.Software!D"&amp;SUM(18,38*5,28))),"",INDIRECT("R11.Software!D"&amp;SUM(18,38*5,28))))</f>
        <v>N/T</v>
      </c>
      <c r="CN47" s="215" t="str" cm="1">
        <f t="array" aca="1" ref="CN47" ca="1">IF($B47="","",IF(ISBLANK(INDIRECT("R12.ServiciosApoyo!D"&amp;SUM(18,38*0,28))),"",INDIRECT("R12.ServiciosApoyo!D"&amp;SUM(18,38*0,28))))</f>
        <v>N/T</v>
      </c>
      <c r="CO47" s="215" t="str" cm="1">
        <f t="array" aca="1" ref="CO47" ca="1">IF($B47="","",IF(ISBLANK(INDIRECT("R12.ServiciosApoyo!D"&amp;SUM(18,38*1,28))),"",INDIRECT("R12.ServiciosApoyo!D"&amp;SUM(18,38*1,28))))</f>
        <v>N/T</v>
      </c>
      <c r="CP47" s="215" t="str" cm="1">
        <f t="array" aca="1" ref="CP47" ca="1">IF($B47="","",IF(ISBLANK(INDIRECT("R12.ServiciosApoyo!D"&amp;SUM(18,38*2,28))),"",INDIRECT("R12.ServiciosApoyo!D"&amp;SUM(18,38*2,28))))</f>
        <v>N/T</v>
      </c>
      <c r="CQ47" s="215" t="str" cm="1">
        <f t="array" aca="1" ref="CQ47" ca="1">IF($B47="","",IF(ISBLANK(INDIRECT("R12.ServiciosApoyo!D"&amp;SUM(18,38*3,28))),"",INDIRECT("R12.ServiciosApoyo!D"&amp;SUM(18,38*3,28))))</f>
        <v>N/T</v>
      </c>
      <c r="CR47" s="215" t="str" cm="1">
        <f t="array" aca="1" ref="CR47" ca="1">IF($B47="","",IF(ISBLANK(INDIRECT("R12.ServiciosApoyo!D"&amp;SUM(18,38*4,28))),"",INDIRECT("R12.ServiciosApoyo!D"&amp;SUM(18,38*4,28))))</f>
        <v>N/T</v>
      </c>
      <c r="CU47" s="100"/>
      <c r="CV47" s="29"/>
      <c r="CW47" s="29"/>
      <c r="CX47" s="29"/>
    </row>
    <row r="48" spans="2:102" ht="20.25">
      <c r="B48" s="181" t="n" cm="1">
        <f t="array" ref="B48">IFERROR(INDEX('03.Muestra'!$B$8:$B$42,SMALL(IF("Página Web"='03.Muestra'!$D$8:$D$42,ROW('03.Muestra'!$B$8:$B$42)-MIN(ROW('03.Muestra'!$D$8:$D$42))+1,""),ROW()-19)),"")</f>
        <v>1.0</v>
      </c>
      <c r="C48" s="97" t="str" cm="1">
        <f t="array" ref="C48">IFERROR(INDEX('03.Muestra'!$C$8:$C$42,SMALL(IF("Página Web"='03.Muestra'!$D$8:$D$42,ROW('03.Muestra'!$C$8:$C$42)-MIN(ROW('03.Muestra'!$D$8:$D$42))+1,""),ROW()-19)),"")</f>
        <v>Home - PortCastelló</v>
      </c>
      <c r="D48" s="98" t="str" cm="1">
        <f t="array" ref="D48">IFERROR(INDEX('03.Muestra'!$F$8:$F$42,SMALL(IF("Página Web"='03.Muestra'!$D$8:$D$42,ROW('03.Muestra'!$F$8:$F$42)-MIN(ROW('03.Muestra'!$D$8:$D$42))+1,""),ROW()-19)),"")</f>
        <v>https://www.portcastello.com/</v>
      </c>
      <c r="E48" s="215" t="str" cm="1">
        <f t="array" aca="1" ref="E48" ca="1">IF($B48="","",IF(ISBLANK(INDIRECT("R5.Genéricos!D"&amp;SUM(18,38*0,29))),"",INDIRECT("R5.Genéricos!D"&amp;SUM(18,38*0,29))))</f>
        <v>N/T</v>
      </c>
      <c r="F48" s="215" t="str" cm="1">
        <f t="array" aca="1" ref="F48" ca="1">IF($B48="","",IF(ISBLANK(INDIRECT("R5.Genéricos!D"&amp;SUM(18,38*1,29))),"",INDIRECT("R5.Genéricos!D"&amp;SUM(18,38*1,29))))</f>
        <v>N/T</v>
      </c>
      <c r="G48" s="215" t="str" cm="1">
        <f t="array" aca="1" ref="G48" ca="1">IF($B48="","",IF(ISBLANK(INDIRECT("R5.Genéricos!D"&amp;SUM(18,38*2,29))),"",INDIRECT("R5.Genéricos!D"&amp;SUM(18,38*2,29))))</f>
        <v>N/T</v>
      </c>
      <c r="H48" s="215" t="str" cm="1">
        <f t="array" aca="1" ref="H48" ca="1">IF($B48="","",IF(ISBLANK(INDIRECT("R6.Voz!D"&amp;SUM(18,38*0,29))),"",INDIRECT("R6.Voz!D"&amp;SUM(18,38*0,29))))</f>
        <v>N/T</v>
      </c>
      <c r="I48" s="215" t="str" cm="1">
        <f t="array" aca="1" ref="I48" ca="1">IF($B48="","",IF(ISBLANK(INDIRECT("R6.Voz!D"&amp;SUM(18,38*1,29))),"",INDIRECT("R6.Voz!D"&amp;SUM(18,38*1,29))))</f>
        <v>N/T</v>
      </c>
      <c r="J48" s="215" t="str" cm="1">
        <f t="array" aca="1" ref="J48" ca="1">IF($B48="","",IF(ISBLANK(INDIRECT("R6.Voz!D"&amp;SUM(18,38*2,29))),"",INDIRECT("R6.Voz!D"&amp;SUM(18,38*2,29))))</f>
        <v>N/T</v>
      </c>
      <c r="K48" s="215" t="str" cm="1">
        <f t="array" aca="1" ref="K48" ca="1">IF($B48="","",IF(ISBLANK(INDIRECT("R6.Voz!D"&amp;SUM(18,38*3,29))),"",INDIRECT("R6.Voz!D"&amp;SUM(18,38*3,29))))</f>
        <v>N/T</v>
      </c>
      <c r="L48" s="215" t="str" cm="1">
        <f t="array" aca="1" ref="L48" ca="1">IF($B48="","",IF(ISBLANK(INDIRECT("R6.Voz!D"&amp;SUM(18,38*4,29))),"",INDIRECT("R6.Voz!D"&amp;SUM(18,38*4,29))))</f>
        <v>N/T</v>
      </c>
      <c r="M48" s="215" t="str" cm="1">
        <f t="array" aca="1" ref="M48" ca="1">IF($B48="","",IF(ISBLANK(INDIRECT("R6.Voz!D"&amp;SUM(18,38*5,29))),"",INDIRECT("R6.Voz!D"&amp;SUM(18,38*5,29))))</f>
        <v>N/T</v>
      </c>
      <c r="N48" s="215" t="str" cm="1">
        <f t="array" aca="1" ref="N48" ca="1">IF($B48="","",IF(ISBLANK(INDIRECT("R6.Voz!D"&amp;SUM(18,38*6,29))),"",INDIRECT("R6.Voz!D"&amp;SUM(18,38*6,29))))</f>
        <v>N/T</v>
      </c>
      <c r="O48" s="215" t="str" cm="1">
        <f t="array" aca="1" ref="O48" ca="1">IF($B48="","",IF(ISBLANK(INDIRECT("R6.Voz!D"&amp;SUM(18,38*7,29))),"",INDIRECT("R6.Voz!D"&amp;SUM(18,38*7,29))))</f>
        <v>N/T</v>
      </c>
      <c r="P48" s="215" t="str" cm="1">
        <f t="array" aca="1" ref="P48" ca="1">IF($B48="","",IF(ISBLANK(INDIRECT("R6.Voz!D"&amp;SUM(18,38*8,29))),"",INDIRECT("R6.Voz!D"&amp;SUM(18,38*8,29))))</f>
        <v>N/T</v>
      </c>
      <c r="Q48" s="215" t="str" cm="1">
        <f t="array" aca="1" ref="Q48" ca="1">IF($B48="","",IF(ISBLANK(INDIRECT("R6.Voz!D"&amp;SUM(18,38*9,29))),"",INDIRECT("R6.Voz!D"&amp;SUM(18,38*9,29))))</f>
        <v>N/T</v>
      </c>
      <c r="R48" s="215" t="str" cm="1">
        <f t="array" aca="1" ref="R48" ca="1">IF($B48="","",IF(ISBLANK(INDIRECT("R6.Voz!D"&amp;SUM(18,38*10,29))),"",INDIRECT("R6.Voz!D"&amp;SUM(18,38*10,29))))</f>
        <v>N/T</v>
      </c>
      <c r="S48" s="215" t="str" cm="1">
        <f t="array" aca="1" ref="S48" ca="1">IF($B48="","",IF(ISBLANK(INDIRECT("R6.Voz!D"&amp;SUM(18,38*11,29))),"",INDIRECT("R6.Voz!D"&amp;SUM(18,38*11,29))))</f>
        <v>N/T</v>
      </c>
      <c r="T48" s="215" t="str" cm="1">
        <f t="array" aca="1" ref="T48" ca="1">IF($B48="","",IF(ISBLANK(INDIRECT("R6.Voz!D"&amp;SUM(18,38*12,29))),"",INDIRECT("R6.Voz!D"&amp;SUM(18,38*12,29))))</f>
        <v>N/T</v>
      </c>
      <c r="U48" s="215" t="str" cm="1">
        <f t="array" aca="1" ref="U48" ca="1">IF($B48="","",IF(ISBLANK(INDIRECT("R6.Voz!D"&amp;SUM(18,38*13,29))),"",INDIRECT("R6.Voz!D"&amp;SUM(18,38*13,29))))</f>
        <v>N/T</v>
      </c>
      <c r="V48" s="215" t="str" cm="1">
        <f t="array" aca="1" ref="V48" ca="1">IF($B48="","",IF(ISBLANK(INDIRECT("R6.Voz!D"&amp;SUM(18,38*14,29))),"",INDIRECT("R6.Voz!D"&amp;SUM(18,38*14,29))))</f>
        <v>N/T</v>
      </c>
      <c r="W48" s="215" t="str" cm="1">
        <f t="array" aca="1" ref="W48" ca="1">IF($B48="","",IF(ISBLANK(INDIRECT("R6.Voz!D"&amp;SUM(18,38*15,29))),"",INDIRECT("R6.Voz!D"&amp;SUM(18,38*15,29))))</f>
        <v>N/T</v>
      </c>
      <c r="X48" s="215" t="str" cm="1">
        <f t="array" aca="1" ref="X48" ca="1">IF($B48="","",IF(ISBLANK(INDIRECT("R6.Voz!D"&amp;SUM(18,38*16,29))),"",INDIRECT("R6.Voz!D"&amp;SUM(18,38*16,29))))</f>
        <v>N/T</v>
      </c>
      <c r="Y48" s="215" t="str" cm="1">
        <f t="array" aca="1" ref="Y48" ca="1">IF($B48="","",IF(ISBLANK(INDIRECT("R6.Voz!D"&amp;SUM(18,38*17,29))),"",INDIRECT("R6.Voz!D"&amp;SUM(18,38*17,29))))</f>
        <v>N/T</v>
      </c>
      <c r="Z48" s="215" t="str" cm="1">
        <f t="array" aca="1" ref="Z48" ca="1">IF($B48="","",IF(ISBLANK(INDIRECT("R6.Voz!D"&amp;SUM(18,38*18,29))),"",INDIRECT("R6.Voz!D"&amp;SUM(18,38*18,29))))</f>
        <v>N/T</v>
      </c>
      <c r="AA48" s="215" t="str" cm="1">
        <f t="array" aca="1" ref="AA48" ca="1">IF($B48="","",IF(ISBLANK(INDIRECT("R7.Video!D"&amp;SUM(18,38*0,29))),"",INDIRECT("R7.Video!D"&amp;SUM(18,38*0,29))))</f>
        <v>N/T</v>
      </c>
      <c r="AB48" s="215" t="str" cm="1">
        <f t="array" aca="1" ref="AB48" ca="1">IF($B48="","",IF(ISBLANK(INDIRECT("R7.Video!D"&amp;SUM(18,38*1,29))),"",INDIRECT("R7.Video!D"&amp;SUM(18,38*1,29))))</f>
        <v>N/T</v>
      </c>
      <c r="AC48" s="215" t="str" cm="1">
        <f t="array" aca="1" ref="AC48" ca="1">IF($B48="","",IF(ISBLANK(INDIRECT("R7.Video!D"&amp;SUM(18,38*2,29))),"",INDIRECT("R7.Video!D"&amp;SUM(18,38*2,29))))</f>
        <v>N/T</v>
      </c>
      <c r="AD48" s="215" t="str" cm="1">
        <f t="array" aca="1" ref="AD48" ca="1">IF($B48="","",IF(ISBLANK(INDIRECT("R7.Video!D"&amp;SUM(18,38*3,29))),"",INDIRECT("R7.Video!D"&amp;SUM(18,38*3,29))))</f>
        <v>N/T</v>
      </c>
      <c r="AE48" s="215" t="str" cm="1">
        <f t="array" aca="1" ref="AE48" ca="1">IF($B48="","",IF(ISBLANK(INDIRECT("R7.Video!D"&amp;SUM(18,38*4,29))),"",INDIRECT("R7.Video!D"&amp;SUM(18,38*4,29))))</f>
        <v>N/T</v>
      </c>
      <c r="AF48" s="215" t="str" cm="1">
        <f t="array" aca="1" ref="AF48" ca="1">IF($B48="","",IF(ISBLANK(INDIRECT("R7.Video!D"&amp;SUM(18,38*5,29))),"",INDIRECT("R7.Video!D"&amp;SUM(18,38*5,29))))</f>
        <v>N/T</v>
      </c>
      <c r="AG48" s="215" t="str" cm="1">
        <f t="array" aca="1" ref="AG48" ca="1">IF($B48="","",IF(ISBLANK(INDIRECT("R7.Video!D"&amp;SUM(18,38*6,29))),"",INDIRECT("R7.Video!D"&amp;SUM(18,38*6,29))))</f>
        <v>N/T</v>
      </c>
      <c r="AH48" s="215" t="str" cm="1">
        <f t="array" aca="1" ref="AH48" ca="1">IF($B48="","",IF(ISBLANK(INDIRECT("R7.Video!D"&amp;SUM(18,38*7,29))),"",INDIRECT("R7.Video!D"&amp;SUM(18,38*7,29))))</f>
        <v>N/T</v>
      </c>
      <c r="AI48" s="215" t="str" cm="1">
        <f t="array" aca="1" ref="AI48" ca="1">IF($B48="","",IF(ISBLANK(INDIRECT("R7.Video!D"&amp;SUM(18,38*8,29))),"",INDIRECT("R7.Video!D"&amp;SUM(18,38*8,29))))</f>
        <v>N/T</v>
      </c>
      <c r="AJ48" s="215" t="str" cm="1">
        <f t="array" aca="1" ref="AJ48" ca="1">IF($B48="","",IF(ISBLANK(INDIRECT("R9.Web!D"&amp;SUM(18,38*0,29))),"",INDIRECT("R9.Web!D"&amp;SUM(18,38*0,29))))</f>
        <v>N/D</v>
      </c>
      <c r="AK48" s="215" t="str" cm="1">
        <f t="array" aca="1" ref="AK48" ca="1">IF($B48="","",IF(ISBLANK(INDIRECT("R9.Web!D"&amp;SUM(18,38*1,29))),"",INDIRECT("R9.Web!D"&amp;SUM(18,38*1,29))))</f>
        <v>N/T</v>
      </c>
      <c r="AL48" s="215" t="str" cm="1">
        <f t="array" aca="1" ref="AL48" ca="1">IF($B48="","",IF(ISBLANK(INDIRECT("R9.Web!D"&amp;SUM(18,38*2,29))),"",INDIRECT("R9.Web!D"&amp;SUM(18,38*2,29))))</f>
        <v>N/T</v>
      </c>
      <c r="AM48" s="215" t="str" cm="1">
        <f t="array" aca="1" ref="AM48" ca="1">IF($B48="","",IF(ISBLANK(INDIRECT("R9.Web!D"&amp;SUM(18,38*3,29))),"",INDIRECT("R9.Web!D"&amp;SUM(18,38*3,29))))</f>
        <v>N/T</v>
      </c>
      <c r="AN48" s="215" t="str" cm="1">
        <f t="array" aca="1" ref="AN48" ca="1">IF($B48="","",IF(ISBLANK(INDIRECT("R9.Web!D"&amp;SUM(18,38*4,29))),"",INDIRECT("R9.Web!D"&amp;SUM(18,38*4,29))))</f>
        <v>N/T</v>
      </c>
      <c r="AO48" s="215" t="str" cm="1">
        <f t="array" aca="1" ref="AO48" ca="1">IF($B48="","",IF(ISBLANK(INDIRECT("R9.Web!D"&amp;SUM(18,38*5,29))),"",INDIRECT("R9.Web!D"&amp;SUM(18,38*5,29))))</f>
        <v>N/D</v>
      </c>
      <c r="AP48" s="215" t="str" cm="1">
        <f t="array" aca="1" ref="AP48" ca="1">IF($B48="","",IF(ISBLANK(INDIRECT("R9.Web!D"&amp;SUM(18,38*6,29))),"",INDIRECT("R9.Web!D"&amp;SUM(18,38*6,29))))</f>
        <v>N/T</v>
      </c>
      <c r="AQ48" s="215" t="str" cm="1">
        <f t="array" aca="1" ref="AQ48" ca="1">IF($B48="","",IF(ISBLANK(INDIRECT("R9.Web!D"&amp;SUM(18,38*7,29))),"",INDIRECT("R9.Web!D"&amp;SUM(18,38*7,29))))</f>
        <v>N/T</v>
      </c>
      <c r="AR48" s="215" t="str" cm="1">
        <f t="array" aca="1" ref="AR48" ca="1">IF($B48="","",IF(ISBLANK(INDIRECT("R9.Web!D"&amp;SUM(18,38*8,29))),"",INDIRECT("R9.Web!D"&amp;SUM(18,38*8,29))))</f>
        <v>N/D</v>
      </c>
      <c r="AS48" s="215" t="str" cm="1">
        <f t="array" aca="1" ref="AS48" ca="1">IF($B48="","",IF(ISBLANK(INDIRECT("R9.Web!D"&amp;SUM(18,38*9,29))),"",INDIRECT("R9.Web!D"&amp;SUM(18,38*9,29))))</f>
        <v>N/D</v>
      </c>
      <c r="AT48" s="215" t="str" cm="1">
        <f t="array" aca="1" ref="AT48" ca="1">IF($B48="","",IF(ISBLANK(INDIRECT("R9.Web!D"&amp;SUM(18,38*10,29))),"",INDIRECT("R9.Web!D"&amp;SUM(18,38*10,29))))</f>
        <v>N/T</v>
      </c>
      <c r="AU48" s="215" t="str" cm="1">
        <f t="array" aca="1" ref="AU48" ca="1">IF($B48="","",IF(ISBLANK(INDIRECT("R9.Web!D"&amp;SUM(18,38*11,29))),"",INDIRECT("R9.Web!D"&amp;SUM(18,38*11,29))))</f>
        <v>N/T</v>
      </c>
      <c r="AV48" s="215" t="str" cm="1">
        <f t="array" aca="1" ref="AV48" ca="1">IF($B48="","",IF(ISBLANK(INDIRECT("R9.Web!D"&amp;SUM(18,38*12,29))),"",INDIRECT("R9.Web!D"&amp;SUM(18,38*12,29))))</f>
        <v>N/D</v>
      </c>
      <c r="AW48" s="215" t="str" cm="1">
        <f t="array" aca="1" ref="AW48" ca="1">IF($B48="","",IF(ISBLANK(INDIRECT("R9.Web!D"&amp;SUM(18,38*13,29))),"",INDIRECT("R9.Web!D"&amp;SUM(18,38*13,29))))</f>
        <v>N/T</v>
      </c>
      <c r="AX48" s="215" t="str" cm="1">
        <f t="array" aca="1" ref="AX48" ca="1">IF($B48="","",IF(ISBLANK(INDIRECT("R9.Web!D"&amp;SUM(18,38*14,29))),"",INDIRECT("R9.Web!D"&amp;SUM(18,38*14,29))))</f>
        <v>N/T</v>
      </c>
      <c r="AY48" s="215" t="str" cm="1">
        <f t="array" aca="1" ref="AY48" ca="1">IF($B48="","",IF(ISBLANK(INDIRECT("R9.Web!D"&amp;SUM(18,38*15,29))),"",INDIRECT("R9.Web!D"&amp;SUM(18,38*15,29))))</f>
        <v>N/D</v>
      </c>
      <c r="AZ48" s="215" t="str" cm="1">
        <f t="array" aca="1" ref="AZ48" ca="1">IF($B48="","",IF(ISBLANK(INDIRECT("R9.Web!D"&amp;SUM(18,38*16,29))),"",INDIRECT("R9.Web!D"&amp;SUM(18,38*16,29))))</f>
        <v>N/T</v>
      </c>
      <c r="BA48" s="215" t="str" cm="1">
        <f t="array" aca="1" ref="BA48" ca="1">IF($B48="","",IF(ISBLANK(INDIRECT("R9.Web!D"&amp;SUM(18,38*17,29))),"",INDIRECT("R9.Web!D"&amp;SUM(18,38*17,29))))</f>
        <v>N/D</v>
      </c>
      <c r="BB48" s="215" t="str" cm="1">
        <f t="array" aca="1" ref="BB48" ca="1">IF($B48="","",IF(ISBLANK(INDIRECT("R9.Web!D"&amp;SUM(18,38*18,29))),"",INDIRECT("R9.Web!D"&amp;SUM(18,38*18,29))))</f>
        <v>N/T</v>
      </c>
      <c r="BC48" s="215" t="str" cm="1">
        <f t="array" aca="1" ref="BC48" ca="1">IF($B48="","",IF(ISBLANK(INDIRECT("R9.Web!D"&amp;SUM(18,38*19,29))),"",INDIRECT("R9.Web!D"&amp;SUM(18,38*19,29))))</f>
        <v>N/D</v>
      </c>
      <c r="BD48" s="215" t="str" cm="1">
        <f t="array" aca="1" ref="BD48" ca="1">IF($B48="","",IF(ISBLANK(INDIRECT("R9.Web!D"&amp;SUM(18,38*20,29))),"",INDIRECT("R9.Web!D"&amp;SUM(18,38*20,29))))</f>
        <v>N/T</v>
      </c>
      <c r="BE48" s="215" t="str" cm="1">
        <f t="array" aca="1" ref="BE48" ca="1">IF($B48="","",IF(ISBLANK(INDIRECT("R9.Web!D"&amp;SUM(18,38*21,29))),"",INDIRECT("R9.Web!D"&amp;SUM(18,38*21,29))))</f>
        <v>N/T</v>
      </c>
      <c r="BF48" s="215" t="str" cm="1">
        <f t="array" aca="1" ref="BF48" ca="1">IF($B48="","",IF(ISBLANK(INDIRECT("R9.Web!D"&amp;SUM(18,38*22,29))),"",INDIRECT("R9.Web!D"&amp;SUM(18,38*22,29))))</f>
        <v>N/D</v>
      </c>
      <c r="BG48" s="215" t="str" cm="1">
        <f t="array" aca="1" ref="BG48" ca="1">IF($B48="","",IF(ISBLANK(INDIRECT("R9.Web!D"&amp;SUM(18,38*23,29))),"",INDIRECT("R9.Web!D"&amp;SUM(18,38*23,29))))</f>
        <v>N/D</v>
      </c>
      <c r="BH48" s="215" t="str" cm="1">
        <f t="array" aca="1" ref="BH48" ca="1">IF($B48="","",IF(ISBLANK(INDIRECT("R9.Web!D"&amp;SUM(18,38*24,29))),"",INDIRECT("R9.Web!D"&amp;SUM(18,38*24,29))))</f>
        <v>N/T</v>
      </c>
      <c r="BI48" s="215" t="str" cm="1">
        <f t="array" aca="1" ref="BI48" ca="1">IF($B48="","",IF(ISBLANK(INDIRECT("R9.Web!D"&amp;SUM(18,38*25,29))),"",INDIRECT("R9.Web!D"&amp;SUM(18,38*25,29))))</f>
        <v>N/D</v>
      </c>
      <c r="BJ48" s="215" t="str" cm="1">
        <f t="array" aca="1" ref="BJ48" ca="1">IF($B48="","",IF(ISBLANK(INDIRECT("R9.Web!D"&amp;SUM(18,38*26,29))),"",INDIRECT("R9.Web!D"&amp;SUM(18,38*26,29))))</f>
        <v>N/D</v>
      </c>
      <c r="BK48" s="215" t="str" cm="1">
        <f t="array" aca="1" ref="BK48" ca="1">IF($B48="","",IF(ISBLANK(INDIRECT("R9.Web!D"&amp;SUM(18,38*27,29))),"",INDIRECT("R9.Web!D"&amp;SUM(18,38*27,29))))</f>
        <v>N/D</v>
      </c>
      <c r="BL48" s="215" t="str" cm="1">
        <f t="array" aca="1" ref="BL48" ca="1">IF($B48="","",IF(ISBLANK(INDIRECT("R9.Web!D"&amp;SUM(18,38*28,29))),"",INDIRECT("R9.Web!D"&amp;SUM(18,38*28,29))))</f>
        <v>Falla</v>
      </c>
      <c r="BM48" s="215" t="str" cm="1">
        <f t="array" aca="1" ref="BM48" ca="1">IF($B48="","",IF(ISBLANK(INDIRECT("R9.Web!D"&amp;SUM(18,38*29,29))),"",INDIRECT("R9.Web!D"&amp;SUM(18,38*29,29))))</f>
        <v>N/D</v>
      </c>
      <c r="BN48" s="215" t="str" cm="1">
        <f t="array" aca="1" ref="BN48" ca="1">IF($B48="","",IF(ISBLANK(INDIRECT("R9.Web!D"&amp;SUM(18,38*30,29))),"",INDIRECT("R9.Web!D"&amp;SUM(18,38*30,29))))</f>
        <v>N/T</v>
      </c>
      <c r="BO48" s="215" t="str" cm="1">
        <f t="array" aca="1" ref="BO48" ca="1">IF($B48="","",IF(ISBLANK(INDIRECT("R9.Web!D"&amp;SUM(18,38*31,29))),"",INDIRECT("R9.Web!D"&amp;SUM(18,38*31,29))))</f>
        <v>Falla</v>
      </c>
      <c r="BP48" s="215" t="str" cm="1">
        <f t="array" aca="1" ref="BP48" ca="1">IF($B48="","",IF(ISBLANK(INDIRECT("R9.Web!D"&amp;SUM(18,38*32,29))),"",INDIRECT("R9.Web!D"&amp;SUM(18,38*32,29))))</f>
        <v>N/T</v>
      </c>
      <c r="BQ48" s="215" t="str" cm="1">
        <f t="array" aca="1" ref="BQ48" ca="1">IF($B48="","",IF(ISBLANK(INDIRECT("R9.Web!D"&amp;SUM(18,38*33,29))),"",INDIRECT("R9.Web!D"&amp;SUM(18,38*33,29))))</f>
        <v>N/T</v>
      </c>
      <c r="BR48" s="215" t="str" cm="1">
        <f t="array" aca="1" ref="BR48" ca="1">IF($B48="","",IF(ISBLANK(INDIRECT("R9.Web!D"&amp;SUM(18,38*34,29))),"",INDIRECT("R9.Web!D"&amp;SUM(18,38*34,29))))</f>
        <v>N/D</v>
      </c>
      <c r="BS48" s="215" t="str" cm="1">
        <f t="array" aca="1" ref="BS48" ca="1">IF($B48="","",IF(ISBLANK(INDIRECT("R9.Web!D"&amp;SUM(18,38*35,29))),"",INDIRECT("R9.Web!D"&amp;SUM(18,38*35,29))))</f>
        <v>N/T</v>
      </c>
      <c r="BT48" s="215" t="str" cm="1">
        <f t="array" aca="1" ref="BT48" ca="1">IF($B48="","",IF(ISBLANK(INDIRECT("R9.Web!D"&amp;SUM(18,38*36,29))),"",INDIRECT("R9.Web!D"&amp;SUM(18,38*36,29))))</f>
        <v>N/D</v>
      </c>
      <c r="BU48" s="215" t="str" cm="1">
        <f t="array" aca="1" ref="BU48" ca="1">IF($B48="","",IF(ISBLANK(INDIRECT("R9.Web!D"&amp;SUM(18,38*37,29))),"",INDIRECT("R9.Web!D"&amp;SUM(18,38*37,29))))</f>
        <v>Falla</v>
      </c>
      <c r="BV48" s="215" t="str" cm="1">
        <f t="array" aca="1" ref="BV48" ca="1">IF($B48="","",IF(ISBLANK(INDIRECT("R9.Web!D"&amp;SUM(18,38*38,29))),"",INDIRECT("R9.Web!D"&amp;SUM(18,38*38,29))))</f>
        <v>N/D</v>
      </c>
      <c r="BW48" s="215" t="str" cm="1">
        <f t="array" aca="1" ref="BW48" ca="1">IF($B48="","",IF(ISBLANK(INDIRECT("R9.Web!D"&amp;SUM(18,38*39,29))),"",INDIRECT("R9.Web!D"&amp;SUM(18,38*39,29))))</f>
        <v>N/D</v>
      </c>
      <c r="BX48" s="215" t="str" cm="1">
        <f t="array" aca="1" ref="BX48" ca="1">IF($B48="","",IF(ISBLANK(INDIRECT("R9.Web!D"&amp;SUM(18,38*40,29))),"",INDIRECT("R9.Web!D"&amp;SUM(18,38*40,29))))</f>
        <v>N/D</v>
      </c>
      <c r="BY48" s="215" t="str" cm="1">
        <f t="array" aca="1" ref="BY48" ca="1">IF($B48="","",IF(ISBLANK(INDIRECT("R9.Web!D"&amp;SUM(18,38*41,29))),"",INDIRECT("R9.Web!D"&amp;SUM(18,38*41,29))))</f>
        <v>N/T</v>
      </c>
      <c r="BZ48" s="215" t="str" cm="1">
        <f t="array" aca="1" ref="BZ48" ca="1">IF($B48="","",IF(ISBLANK(INDIRECT("R9.Web!D"&amp;SUM(18,38*42,29))),"",INDIRECT("R9.Web!D"&amp;SUM(18,38*42,29))))</f>
        <v>N/T</v>
      </c>
      <c r="CA48" s="215" t="str" cm="1">
        <f t="array" aca="1" ref="CA48" ca="1">IF($B48="","",IF(ISBLANK(INDIRECT("R9.Web!D"&amp;SUM(18,38*43,29))),"",INDIRECT("R9.Web!D"&amp;SUM(18,38*43,29))))</f>
        <v>N/D</v>
      </c>
      <c r="CB48" s="215" t="str" cm="1">
        <f t="array" aca="1" ref="CB48" ca="1">IF($B48="","",IF(ISBLANK(INDIRECT("R9.Web!D"&amp;SUM(18,38*44,29))),"",INDIRECT("R9.Web!D"&amp;SUM(18,38*44,29))))</f>
        <v>N/T</v>
      </c>
      <c r="CC48" s="215" t="str" cm="1">
        <f t="array" aca="1" ref="CC48" ca="1">IF($B48="","",IF(ISBLANK(INDIRECT("R9.Web!D"&amp;SUM(18,38*45,29))),"",INDIRECT("R9.Web!D"&amp;SUM(18,38*45,29))))</f>
        <v>N/T</v>
      </c>
      <c r="CD48" s="215" t="str" cm="1">
        <f t="array" aca="1" ref="CD48" ca="1">IF($B48="","",IF(ISBLANK(INDIRECT("R9.Web!D"&amp;SUM(18,38*46,29))),"",INDIRECT("R9.Web!D"&amp;SUM(18,38*46,29))))</f>
        <v>N/T</v>
      </c>
      <c r="CE48" s="215" t="str" cm="1">
        <f t="array" aca="1" ref="CE48" ca="1">IF($B48="","",IF(ISBLANK(INDIRECT("R9.Web!D"&amp;SUM(18,38*47,29))),"",INDIRECT("R9.Web!D"&amp;SUM(18,38*47,29))))</f>
        <v>N/D</v>
      </c>
      <c r="CF48" s="215" t="str" cm="1">
        <f t="array" aca="1" ref="CF48" ca="1">IF($B48="","",IF(ISBLANK(INDIRECT("R9.Web!D"&amp;SUM(18,38*48,29))),"",INDIRECT("R9.Web!D"&amp;SUM(18,38*48,29))))</f>
        <v>N/T</v>
      </c>
      <c r="CG48" s="215" t="str" cm="1">
        <f t="array" aca="1" ref="CG48" ca="1">IF($B48="","",IF(ISBLANK(INDIRECT("R9.Web!D"&amp;SUM(18,38*49,29))),"",INDIRECT("R9.Web!D"&amp;SUM(18,38*49,29))))</f>
        <v>N/T</v>
      </c>
      <c r="CH48" s="215" t="str" cm="1">
        <f t="array" aca="1" ref="CH48" ca="1">IF($B48="","",IF(ISBLANK(INDIRECT("R11.Software!D"&amp;SUM(18,38*0,29))),"",INDIRECT("R11.Software!D"&amp;SUM(18,38*0,29))))</f>
        <v>N/T</v>
      </c>
      <c r="CI48" s="215" t="str" cm="1">
        <f t="array" aca="1" ref="CI48" ca="1">IF($B48="","",IF(ISBLANK(INDIRECT("R11.Software!D"&amp;SUM(18,38*1,29))),"",INDIRECT("R11.Software!D"&amp;SUM(18,38*1,29))))</f>
        <v>N/T</v>
      </c>
      <c r="CJ48" s="215" t="str" cm="1">
        <f t="array" aca="1" ref="CJ48" ca="1">IF($B48="","",IF(ISBLANK(INDIRECT("R11.Software!D"&amp;SUM(18,38*2,29))),"",INDIRECT("R11.Software!D"&amp;SUM(18,38*2,29))))</f>
        <v>N/T</v>
      </c>
      <c r="CK48" s="215" t="str" cm="1">
        <f t="array" aca="1" ref="CK48" ca="1">IF($B48="","",IF(ISBLANK(INDIRECT("R11.Software!D"&amp;SUM(18,38*3,29))),"",INDIRECT("R11.Software!D"&amp;SUM(18,38*3,29))))</f>
        <v>N/T</v>
      </c>
      <c r="CL48" s="215" t="str" cm="1">
        <f t="array" aca="1" ref="CL48" ca="1">IF($B48="","",IF(ISBLANK(INDIRECT("R11.Software!D"&amp;SUM(18,38*4,29))),"",INDIRECT("R11.Software!D"&amp;SUM(18,38*4,29))))</f>
        <v>N/T</v>
      </c>
      <c r="CM48" s="215" t="str" cm="1">
        <f t="array" aca="1" ref="CM48" ca="1">IF($B48="","",IF(ISBLANK(INDIRECT("R11.Software!D"&amp;SUM(18,38*5,29))),"",INDIRECT("R11.Software!D"&amp;SUM(18,38*5,29))))</f>
        <v>N/T</v>
      </c>
      <c r="CN48" s="215" t="str" cm="1">
        <f t="array" aca="1" ref="CN48" ca="1">IF($B48="","",IF(ISBLANK(INDIRECT("R12.ServiciosApoyo!D"&amp;SUM(18,38*0,29))),"",INDIRECT("R12.ServiciosApoyo!D"&amp;SUM(18,38*0,29))))</f>
        <v>N/T</v>
      </c>
      <c r="CO48" s="215" t="str" cm="1">
        <f t="array" aca="1" ref="CO48" ca="1">IF($B48="","",IF(ISBLANK(INDIRECT("R12.ServiciosApoyo!D"&amp;SUM(18,38*1,29))),"",INDIRECT("R12.ServiciosApoyo!D"&amp;SUM(18,38*1,29))))</f>
        <v>N/T</v>
      </c>
      <c r="CP48" s="215" t="str" cm="1">
        <f t="array" aca="1" ref="CP48" ca="1">IF($B48="","",IF(ISBLANK(INDIRECT("R12.ServiciosApoyo!D"&amp;SUM(18,38*2,29))),"",INDIRECT("R12.ServiciosApoyo!D"&amp;SUM(18,38*2,29))))</f>
        <v>N/T</v>
      </c>
      <c r="CQ48" s="215" t="str" cm="1">
        <f t="array" aca="1" ref="CQ48" ca="1">IF($B48="","",IF(ISBLANK(INDIRECT("R12.ServiciosApoyo!D"&amp;SUM(18,38*3,29))),"",INDIRECT("R12.ServiciosApoyo!D"&amp;SUM(18,38*3,29))))</f>
        <v>N/T</v>
      </c>
      <c r="CR48" s="215" t="str" cm="1">
        <f t="array" aca="1" ref="CR48" ca="1">IF($B48="","",IF(ISBLANK(INDIRECT("R12.ServiciosApoyo!D"&amp;SUM(18,38*4,29))),"",INDIRECT("R12.ServiciosApoyo!D"&amp;SUM(18,38*4,29))))</f>
        <v>N/T</v>
      </c>
      <c r="CU48" s="100"/>
      <c r="CV48" s="29"/>
      <c r="CW48" s="29"/>
      <c r="CX48" s="29"/>
    </row>
    <row r="49" spans="2:102" ht="20.25">
      <c r="B49" s="181" t="n" cm="1">
        <f t="array" ref="B49">IFERROR(INDEX('03.Muestra'!$B$8:$B$42,SMALL(IF("Página Web"='03.Muestra'!$D$8:$D$42,ROW('03.Muestra'!$B$8:$B$42)-MIN(ROW('03.Muestra'!$D$8:$D$42))+1,""),ROW()-19)),"")</f>
        <v>1.0</v>
      </c>
      <c r="C49" s="97" t="str" cm="1">
        <f t="array" ref="C49">IFERROR(INDEX('03.Muestra'!$C$8:$C$42,SMALL(IF("Página Web"='03.Muestra'!$D$8:$D$42,ROW('03.Muestra'!$C$8:$C$42)-MIN(ROW('03.Muestra'!$D$8:$D$42))+1,""),ROW()-19)),"")</f>
        <v>Home - PortCastelló</v>
      </c>
      <c r="D49" s="98" t="str" cm="1">
        <f t="array" ref="D49">IFERROR(INDEX('03.Muestra'!$F$8:$F$42,SMALL(IF("Página Web"='03.Muestra'!$D$8:$D$42,ROW('03.Muestra'!$F$8:$F$42)-MIN(ROW('03.Muestra'!$D$8:$D$42))+1,""),ROW()-19)),"")</f>
        <v>https://www.portcastello.com/</v>
      </c>
      <c r="E49" s="215" t="str" cm="1">
        <f t="array" aca="1" ref="E49" ca="1">IF($B49="","",IF(ISBLANK(INDIRECT("R5.Genéricos!D"&amp;SUM(18,38*0,30))),"",INDIRECT("R5.Genéricos!D"&amp;SUM(18,38*0,30))))</f>
        <v>N/T</v>
      </c>
      <c r="F49" s="215" t="str" cm="1">
        <f t="array" aca="1" ref="F49" ca="1">IF($B49="","",IF(ISBLANK(INDIRECT("R5.Genéricos!D"&amp;SUM(18,38*1,30))),"",INDIRECT("R5.Genéricos!D"&amp;SUM(18,38*1,30))))</f>
        <v>N/T</v>
      </c>
      <c r="G49" s="215" t="str" cm="1">
        <f t="array" aca="1" ref="G49" ca="1">IF($B49="","",IF(ISBLANK(INDIRECT("R5.Genéricos!D"&amp;SUM(18,38*2,30))),"",INDIRECT("R5.Genéricos!D"&amp;SUM(18,38*2,30))))</f>
        <v>N/T</v>
      </c>
      <c r="H49" s="215" t="str" cm="1">
        <f t="array" aca="1" ref="H49" ca="1">IF($B49="","",IF(ISBLANK(INDIRECT("R6.Voz!D"&amp;SUM(18,38*0,30))),"",INDIRECT("R6.Voz!D"&amp;SUM(18,38*0,30))))</f>
        <v>N/T</v>
      </c>
      <c r="I49" s="215" t="str" cm="1">
        <f t="array" aca="1" ref="I49" ca="1">IF($B49="","",IF(ISBLANK(INDIRECT("R6.Voz!D"&amp;SUM(18,38*1,30))),"",INDIRECT("R6.Voz!D"&amp;SUM(18,38*1,30))))</f>
        <v>N/T</v>
      </c>
      <c r="J49" s="215" t="str" cm="1">
        <f t="array" aca="1" ref="J49" ca="1">IF($B49="","",IF(ISBLANK(INDIRECT("R6.Voz!D"&amp;SUM(18,38*2,30))),"",INDIRECT("R6.Voz!D"&amp;SUM(18,38*2,30))))</f>
        <v>N/T</v>
      </c>
      <c r="K49" s="215" t="str" cm="1">
        <f t="array" aca="1" ref="K49" ca="1">IF($B49="","",IF(ISBLANK(INDIRECT("R6.Voz!D"&amp;SUM(18,38*3,30))),"",INDIRECT("R6.Voz!D"&amp;SUM(18,38*3,30))))</f>
        <v>N/T</v>
      </c>
      <c r="L49" s="215" t="str" cm="1">
        <f t="array" aca="1" ref="L49" ca="1">IF($B49="","",IF(ISBLANK(INDIRECT("R6.Voz!D"&amp;SUM(18,38*4,30))),"",INDIRECT("R6.Voz!D"&amp;SUM(18,38*4,30))))</f>
        <v>N/T</v>
      </c>
      <c r="M49" s="215" t="str" cm="1">
        <f t="array" aca="1" ref="M49" ca="1">IF($B49="","",IF(ISBLANK(INDIRECT("R6.Voz!D"&amp;SUM(18,38*5,30))),"",INDIRECT("R6.Voz!D"&amp;SUM(18,38*5,30))))</f>
        <v>N/T</v>
      </c>
      <c r="N49" s="215" t="str" cm="1">
        <f t="array" aca="1" ref="N49" ca="1">IF($B49="","",IF(ISBLANK(INDIRECT("R6.Voz!D"&amp;SUM(18,38*6,30))),"",INDIRECT("R6.Voz!D"&amp;SUM(18,38*6,30))))</f>
        <v>N/T</v>
      </c>
      <c r="O49" s="215" t="str" cm="1">
        <f t="array" aca="1" ref="O49" ca="1">IF($B49="","",IF(ISBLANK(INDIRECT("R6.Voz!D"&amp;SUM(18,38*7,30))),"",INDIRECT("R6.Voz!D"&amp;SUM(18,38*7,30))))</f>
        <v>N/T</v>
      </c>
      <c r="P49" s="215" t="str" cm="1">
        <f t="array" aca="1" ref="P49" ca="1">IF($B49="","",IF(ISBLANK(INDIRECT("R6.Voz!D"&amp;SUM(18,38*8,30))),"",INDIRECT("R6.Voz!D"&amp;SUM(18,38*8,30))))</f>
        <v>N/T</v>
      </c>
      <c r="Q49" s="215" t="str" cm="1">
        <f t="array" aca="1" ref="Q49" ca="1">IF($B49="","",IF(ISBLANK(INDIRECT("R6.Voz!D"&amp;SUM(18,38*9,30))),"",INDIRECT("R6.Voz!D"&amp;SUM(18,38*9,30))))</f>
        <v>N/T</v>
      </c>
      <c r="R49" s="215" t="str" cm="1">
        <f t="array" aca="1" ref="R49" ca="1">IF($B49="","",IF(ISBLANK(INDIRECT("R6.Voz!D"&amp;SUM(18,38*10,30))),"",INDIRECT("R6.Voz!D"&amp;SUM(18,38*10,30))))</f>
        <v>N/T</v>
      </c>
      <c r="S49" s="215" t="str" cm="1">
        <f t="array" aca="1" ref="S49" ca="1">IF($B49="","",IF(ISBLANK(INDIRECT("R6.Voz!D"&amp;SUM(18,38*11,30))),"",INDIRECT("R6.Voz!D"&amp;SUM(18,38*11,30))))</f>
        <v>N/T</v>
      </c>
      <c r="T49" s="215" t="str" cm="1">
        <f t="array" aca="1" ref="T49" ca="1">IF($B49="","",IF(ISBLANK(INDIRECT("R6.Voz!D"&amp;SUM(18,38*12,30))),"",INDIRECT("R6.Voz!D"&amp;SUM(18,38*12,30))))</f>
        <v>N/T</v>
      </c>
      <c r="U49" s="215" t="str" cm="1">
        <f t="array" aca="1" ref="U49" ca="1">IF($B49="","",IF(ISBLANK(INDIRECT("R6.Voz!D"&amp;SUM(18,38*13,30))),"",INDIRECT("R6.Voz!D"&amp;SUM(18,38*13,30))))</f>
        <v>N/T</v>
      </c>
      <c r="V49" s="215" t="str" cm="1">
        <f t="array" aca="1" ref="V49" ca="1">IF($B49="","",IF(ISBLANK(INDIRECT("R6.Voz!D"&amp;SUM(18,38*14,30))),"",INDIRECT("R6.Voz!D"&amp;SUM(18,38*14,30))))</f>
        <v>N/T</v>
      </c>
      <c r="W49" s="215" t="str" cm="1">
        <f t="array" aca="1" ref="W49" ca="1">IF($B49="","",IF(ISBLANK(INDIRECT("R6.Voz!D"&amp;SUM(18,38*15,30))),"",INDIRECT("R6.Voz!D"&amp;SUM(18,38*15,30))))</f>
        <v>N/T</v>
      </c>
      <c r="X49" s="215" t="str" cm="1">
        <f t="array" aca="1" ref="X49" ca="1">IF($B49="","",IF(ISBLANK(INDIRECT("R6.Voz!D"&amp;SUM(18,38*16,30))),"",INDIRECT("R6.Voz!D"&amp;SUM(18,38*16,30))))</f>
        <v>N/T</v>
      </c>
      <c r="Y49" s="215" t="str" cm="1">
        <f t="array" aca="1" ref="Y49" ca="1">IF($B49="","",IF(ISBLANK(INDIRECT("R6.Voz!D"&amp;SUM(18,38*17,30))),"",INDIRECT("R6.Voz!D"&amp;SUM(18,38*17,30))))</f>
        <v>N/T</v>
      </c>
      <c r="Z49" s="215" t="str" cm="1">
        <f t="array" aca="1" ref="Z49" ca="1">IF($B49="","",IF(ISBLANK(INDIRECT("R6.Voz!D"&amp;SUM(18,38*18,30))),"",INDIRECT("R6.Voz!D"&amp;SUM(18,38*18,30))))</f>
        <v>N/T</v>
      </c>
      <c r="AA49" s="215" t="str" cm="1">
        <f t="array" aca="1" ref="AA49" ca="1">IF($B49="","",IF(ISBLANK(INDIRECT("R7.Video!D"&amp;SUM(18,38*0,30))),"",INDIRECT("R7.Video!D"&amp;SUM(18,38*0,30))))</f>
        <v>N/T</v>
      </c>
      <c r="AB49" s="215" t="str" cm="1">
        <f t="array" aca="1" ref="AB49" ca="1">IF($B49="","",IF(ISBLANK(INDIRECT("R7.Video!D"&amp;SUM(18,38*1,30))),"",INDIRECT("R7.Video!D"&amp;SUM(18,38*1,30))))</f>
        <v>N/T</v>
      </c>
      <c r="AC49" s="215" t="str" cm="1">
        <f t="array" aca="1" ref="AC49" ca="1">IF($B49="","",IF(ISBLANK(INDIRECT("R7.Video!D"&amp;SUM(18,38*2,30))),"",INDIRECT("R7.Video!D"&amp;SUM(18,38*2,30))))</f>
        <v>N/T</v>
      </c>
      <c r="AD49" s="215" t="str" cm="1">
        <f t="array" aca="1" ref="AD49" ca="1">IF($B49="","",IF(ISBLANK(INDIRECT("R7.Video!D"&amp;SUM(18,38*3,30))),"",INDIRECT("R7.Video!D"&amp;SUM(18,38*3,30))))</f>
        <v>N/T</v>
      </c>
      <c r="AE49" s="215" t="str" cm="1">
        <f t="array" aca="1" ref="AE49" ca="1">IF($B49="","",IF(ISBLANK(INDIRECT("R7.Video!D"&amp;SUM(18,38*4,30))),"",INDIRECT("R7.Video!D"&amp;SUM(18,38*4,30))))</f>
        <v>N/T</v>
      </c>
      <c r="AF49" s="215" t="str" cm="1">
        <f t="array" aca="1" ref="AF49" ca="1">IF($B49="","",IF(ISBLANK(INDIRECT("R7.Video!D"&amp;SUM(18,38*5,30))),"",INDIRECT("R7.Video!D"&amp;SUM(18,38*5,30))))</f>
        <v>N/T</v>
      </c>
      <c r="AG49" s="215" t="str" cm="1">
        <f t="array" aca="1" ref="AG49" ca="1">IF($B49="","",IF(ISBLANK(INDIRECT("R7.Video!D"&amp;SUM(18,38*6,30))),"",INDIRECT("R7.Video!D"&amp;SUM(18,38*6,30))))</f>
        <v>N/T</v>
      </c>
      <c r="AH49" s="215" t="str" cm="1">
        <f t="array" aca="1" ref="AH49" ca="1">IF($B49="","",IF(ISBLANK(INDIRECT("R7.Video!D"&amp;SUM(18,38*7,30))),"",INDIRECT("R7.Video!D"&amp;SUM(18,38*7,30))))</f>
        <v>N/T</v>
      </c>
      <c r="AI49" s="215" t="str" cm="1">
        <f t="array" aca="1" ref="AI49" ca="1">IF($B49="","",IF(ISBLANK(INDIRECT("R7.Video!D"&amp;SUM(18,38*8,30))),"",INDIRECT("R7.Video!D"&amp;SUM(18,38*8,30))))</f>
        <v>N/T</v>
      </c>
      <c r="AJ49" s="215" t="str" cm="1">
        <f t="array" aca="1" ref="AJ49" ca="1">IF($B49="","",IF(ISBLANK(INDIRECT("R9.Web!D"&amp;SUM(18,38*0,30))),"",INDIRECT("R9.Web!D"&amp;SUM(18,38*0,30))))</f>
        <v>N/D</v>
      </c>
      <c r="AK49" s="215" t="str" cm="1">
        <f t="array" aca="1" ref="AK49" ca="1">IF($B49="","",IF(ISBLANK(INDIRECT("R9.Web!D"&amp;SUM(18,38*1,30))),"",INDIRECT("R9.Web!D"&amp;SUM(18,38*1,30))))</f>
        <v>N/T</v>
      </c>
      <c r="AL49" s="215" t="str" cm="1">
        <f t="array" aca="1" ref="AL49" ca="1">IF($B49="","",IF(ISBLANK(INDIRECT("R9.Web!D"&amp;SUM(18,38*2,30))),"",INDIRECT("R9.Web!D"&amp;SUM(18,38*2,30))))</f>
        <v>N/T</v>
      </c>
      <c r="AM49" s="215" t="str" cm="1">
        <f t="array" aca="1" ref="AM49" ca="1">IF($B49="","",IF(ISBLANK(INDIRECT("R9.Web!D"&amp;SUM(18,38*3,30))),"",INDIRECT("R9.Web!D"&amp;SUM(18,38*3,30))))</f>
        <v>N/T</v>
      </c>
      <c r="AN49" s="215" t="str" cm="1">
        <f t="array" aca="1" ref="AN49" ca="1">IF($B49="","",IF(ISBLANK(INDIRECT("R9.Web!D"&amp;SUM(18,38*4,30))),"",INDIRECT("R9.Web!D"&amp;SUM(18,38*4,30))))</f>
        <v>N/T</v>
      </c>
      <c r="AO49" s="215" t="str" cm="1">
        <f t="array" aca="1" ref="AO49" ca="1">IF($B49="","",IF(ISBLANK(INDIRECT("R9.Web!D"&amp;SUM(18,38*5,30))),"",INDIRECT("R9.Web!D"&amp;SUM(18,38*5,30))))</f>
        <v>N/D</v>
      </c>
      <c r="AP49" s="215" t="str" cm="1">
        <f t="array" aca="1" ref="AP49" ca="1">IF($B49="","",IF(ISBLANK(INDIRECT("R9.Web!D"&amp;SUM(18,38*6,30))),"",INDIRECT("R9.Web!D"&amp;SUM(18,38*6,30))))</f>
        <v>N/T</v>
      </c>
      <c r="AQ49" s="215" t="str" cm="1">
        <f t="array" aca="1" ref="AQ49" ca="1">IF($B49="","",IF(ISBLANK(INDIRECT("R9.Web!D"&amp;SUM(18,38*7,30))),"",INDIRECT("R9.Web!D"&amp;SUM(18,38*7,30))))</f>
        <v>N/T</v>
      </c>
      <c r="AR49" s="215" t="str" cm="1">
        <f t="array" aca="1" ref="AR49" ca="1">IF($B49="","",IF(ISBLANK(INDIRECT("R9.Web!D"&amp;SUM(18,38*8,30))),"",INDIRECT("R9.Web!D"&amp;SUM(18,38*8,30))))</f>
        <v>N/D</v>
      </c>
      <c r="AS49" s="215" t="str" cm="1">
        <f t="array" aca="1" ref="AS49" ca="1">IF($B49="","",IF(ISBLANK(INDIRECT("R9.Web!D"&amp;SUM(18,38*9,30))),"",INDIRECT("R9.Web!D"&amp;SUM(18,38*9,30))))</f>
        <v>N/D</v>
      </c>
      <c r="AT49" s="215" t="str" cm="1">
        <f t="array" aca="1" ref="AT49" ca="1">IF($B49="","",IF(ISBLANK(INDIRECT("R9.Web!D"&amp;SUM(18,38*10,30))),"",INDIRECT("R9.Web!D"&amp;SUM(18,38*10,30))))</f>
        <v>N/T</v>
      </c>
      <c r="AU49" s="215" t="str" cm="1">
        <f t="array" aca="1" ref="AU49" ca="1">IF($B49="","",IF(ISBLANK(INDIRECT("R9.Web!D"&amp;SUM(18,38*11,30))),"",INDIRECT("R9.Web!D"&amp;SUM(18,38*11,30))))</f>
        <v>N/T</v>
      </c>
      <c r="AV49" s="215" t="str" cm="1">
        <f t="array" aca="1" ref="AV49" ca="1">IF($B49="","",IF(ISBLANK(INDIRECT("R9.Web!D"&amp;SUM(18,38*12,30))),"",INDIRECT("R9.Web!D"&amp;SUM(18,38*12,30))))</f>
        <v>N/D</v>
      </c>
      <c r="AW49" s="215" t="str" cm="1">
        <f t="array" aca="1" ref="AW49" ca="1">IF($B49="","",IF(ISBLANK(INDIRECT("R9.Web!D"&amp;SUM(18,38*13,30))),"",INDIRECT("R9.Web!D"&amp;SUM(18,38*13,30))))</f>
        <v>N/T</v>
      </c>
      <c r="AX49" s="215" t="str" cm="1">
        <f t="array" aca="1" ref="AX49" ca="1">IF($B49="","",IF(ISBLANK(INDIRECT("R9.Web!D"&amp;SUM(18,38*14,30))),"",INDIRECT("R9.Web!D"&amp;SUM(18,38*14,30))))</f>
        <v>N/T</v>
      </c>
      <c r="AY49" s="215" t="str" cm="1">
        <f t="array" aca="1" ref="AY49" ca="1">IF($B49="","",IF(ISBLANK(INDIRECT("R9.Web!D"&amp;SUM(18,38*15,30))),"",INDIRECT("R9.Web!D"&amp;SUM(18,38*15,30))))</f>
        <v>N/D</v>
      </c>
      <c r="AZ49" s="215" t="str" cm="1">
        <f t="array" aca="1" ref="AZ49" ca="1">IF($B49="","",IF(ISBLANK(INDIRECT("R9.Web!D"&amp;SUM(18,38*16,30))),"",INDIRECT("R9.Web!D"&amp;SUM(18,38*16,30))))</f>
        <v>N/T</v>
      </c>
      <c r="BA49" s="215" t="str" cm="1">
        <f t="array" aca="1" ref="BA49" ca="1">IF($B49="","",IF(ISBLANK(INDIRECT("R9.Web!D"&amp;SUM(18,38*17,30))),"",INDIRECT("R9.Web!D"&amp;SUM(18,38*17,30))))</f>
        <v>N/D</v>
      </c>
      <c r="BB49" s="215" t="str" cm="1">
        <f t="array" aca="1" ref="BB49" ca="1">IF($B49="","",IF(ISBLANK(INDIRECT("R9.Web!D"&amp;SUM(18,38*18,30))),"",INDIRECT("R9.Web!D"&amp;SUM(18,38*18,30))))</f>
        <v>N/T</v>
      </c>
      <c r="BC49" s="215" t="str" cm="1">
        <f t="array" aca="1" ref="BC49" ca="1">IF($B49="","",IF(ISBLANK(INDIRECT("R9.Web!D"&amp;SUM(18,38*19,30))),"",INDIRECT("R9.Web!D"&amp;SUM(18,38*19,30))))</f>
        <v>N/D</v>
      </c>
      <c r="BD49" s="215" t="str" cm="1">
        <f t="array" aca="1" ref="BD49" ca="1">IF($B49="","",IF(ISBLANK(INDIRECT("R9.Web!D"&amp;SUM(18,38*20,30))),"",INDIRECT("R9.Web!D"&amp;SUM(18,38*20,30))))</f>
        <v>N/T</v>
      </c>
      <c r="BE49" s="215" t="str" cm="1">
        <f t="array" aca="1" ref="BE49" ca="1">IF($B49="","",IF(ISBLANK(INDIRECT("R9.Web!D"&amp;SUM(18,38*21,30))),"",INDIRECT("R9.Web!D"&amp;SUM(18,38*21,30))))</f>
        <v>N/T</v>
      </c>
      <c r="BF49" s="215" t="str" cm="1">
        <f t="array" aca="1" ref="BF49" ca="1">IF($B49="","",IF(ISBLANK(INDIRECT("R9.Web!D"&amp;SUM(18,38*22,30))),"",INDIRECT("R9.Web!D"&amp;SUM(18,38*22,30))))</f>
        <v>N/D</v>
      </c>
      <c r="BG49" s="215" t="str" cm="1">
        <f t="array" aca="1" ref="BG49" ca="1">IF($B49="","",IF(ISBLANK(INDIRECT("R9.Web!D"&amp;SUM(18,38*23,30))),"",INDIRECT("R9.Web!D"&amp;SUM(18,38*23,30))))</f>
        <v>N/D</v>
      </c>
      <c r="BH49" s="215" t="str" cm="1">
        <f t="array" aca="1" ref="BH49" ca="1">IF($B49="","",IF(ISBLANK(INDIRECT("R9.Web!D"&amp;SUM(18,38*24,30))),"",INDIRECT("R9.Web!D"&amp;SUM(18,38*24,30))))</f>
        <v>N/T</v>
      </c>
      <c r="BI49" s="215" t="str" cm="1">
        <f t="array" aca="1" ref="BI49" ca="1">IF($B49="","",IF(ISBLANK(INDIRECT("R9.Web!D"&amp;SUM(18,38*25,30))),"",INDIRECT("R9.Web!D"&amp;SUM(18,38*25,30))))</f>
        <v>N/D</v>
      </c>
      <c r="BJ49" s="215" t="str" cm="1">
        <f t="array" aca="1" ref="BJ49" ca="1">IF($B49="","",IF(ISBLANK(INDIRECT("R9.Web!D"&amp;SUM(18,38*26,30))),"",INDIRECT("R9.Web!D"&amp;SUM(18,38*26,30))))</f>
        <v>N/D</v>
      </c>
      <c r="BK49" s="215" t="str" cm="1">
        <f t="array" aca="1" ref="BK49" ca="1">IF($B49="","",IF(ISBLANK(INDIRECT("R9.Web!D"&amp;SUM(18,38*27,30))),"",INDIRECT("R9.Web!D"&amp;SUM(18,38*27,30))))</f>
        <v>N/D</v>
      </c>
      <c r="BL49" s="215" t="str" cm="1">
        <f t="array" aca="1" ref="BL49" ca="1">IF($B49="","",IF(ISBLANK(INDIRECT("R9.Web!D"&amp;SUM(18,38*28,30))),"",INDIRECT("R9.Web!D"&amp;SUM(18,38*28,30))))</f>
        <v>N/D</v>
      </c>
      <c r="BM49" s="215" t="str" cm="1">
        <f t="array" aca="1" ref="BM49" ca="1">IF($B49="","",IF(ISBLANK(INDIRECT("R9.Web!D"&amp;SUM(18,38*29,30))),"",INDIRECT("R9.Web!D"&amp;SUM(18,38*29,30))))</f>
        <v>N/D</v>
      </c>
      <c r="BN49" s="215" t="str" cm="1">
        <f t="array" aca="1" ref="BN49" ca="1">IF($B49="","",IF(ISBLANK(INDIRECT("R9.Web!D"&amp;SUM(18,38*30,30))),"",INDIRECT("R9.Web!D"&amp;SUM(18,38*30,30))))</f>
        <v>N/T</v>
      </c>
      <c r="BO49" s="215" t="str" cm="1">
        <f t="array" aca="1" ref="BO49" ca="1">IF($B49="","",IF(ISBLANK(INDIRECT("R9.Web!D"&amp;SUM(18,38*31,30))),"",INDIRECT("R9.Web!D"&amp;SUM(18,38*31,30))))</f>
        <v>Falla</v>
      </c>
      <c r="BP49" s="215" t="str" cm="1">
        <f t="array" aca="1" ref="BP49" ca="1">IF($B49="","",IF(ISBLANK(INDIRECT("R9.Web!D"&amp;SUM(18,38*32,30))),"",INDIRECT("R9.Web!D"&amp;SUM(18,38*32,30))))</f>
        <v>N/T</v>
      </c>
      <c r="BQ49" s="215" t="str" cm="1">
        <f t="array" aca="1" ref="BQ49" ca="1">IF($B49="","",IF(ISBLANK(INDIRECT("R9.Web!D"&amp;SUM(18,38*33,30))),"",INDIRECT("R9.Web!D"&amp;SUM(18,38*33,30))))</f>
        <v>N/T</v>
      </c>
      <c r="BR49" s="215" t="str" cm="1">
        <f t="array" aca="1" ref="BR49" ca="1">IF($B49="","",IF(ISBLANK(INDIRECT("R9.Web!D"&amp;SUM(18,38*34,30))),"",INDIRECT("R9.Web!D"&amp;SUM(18,38*34,30))))</f>
        <v>N/D</v>
      </c>
      <c r="BS49" s="215" t="str" cm="1">
        <f t="array" aca="1" ref="BS49" ca="1">IF($B49="","",IF(ISBLANK(INDIRECT("R9.Web!D"&amp;SUM(18,38*35,30))),"",INDIRECT("R9.Web!D"&amp;SUM(18,38*35,30))))</f>
        <v>N/T</v>
      </c>
      <c r="BT49" s="215" t="str" cm="1">
        <f t="array" aca="1" ref="BT49" ca="1">IF($B49="","",IF(ISBLANK(INDIRECT("R9.Web!D"&amp;SUM(18,38*36,30))),"",INDIRECT("R9.Web!D"&amp;SUM(18,38*36,30))))</f>
        <v>N/D</v>
      </c>
      <c r="BU49" s="215" t="str" cm="1">
        <f t="array" aca="1" ref="BU49" ca="1">IF($B49="","",IF(ISBLANK(INDIRECT("R9.Web!D"&amp;SUM(18,38*37,30))),"",INDIRECT("R9.Web!D"&amp;SUM(18,38*37,30))))</f>
        <v>Falla</v>
      </c>
      <c r="BV49" s="215" t="str" cm="1">
        <f t="array" aca="1" ref="BV49" ca="1">IF($B49="","",IF(ISBLANK(INDIRECT("R9.Web!D"&amp;SUM(18,38*38,30))),"",INDIRECT("R9.Web!D"&amp;SUM(18,38*38,30))))</f>
        <v>N/D</v>
      </c>
      <c r="BW49" s="215" t="str" cm="1">
        <f t="array" aca="1" ref="BW49" ca="1">IF($B49="","",IF(ISBLANK(INDIRECT("R9.Web!D"&amp;SUM(18,38*39,30))),"",INDIRECT("R9.Web!D"&amp;SUM(18,38*39,30))))</f>
        <v>N/D</v>
      </c>
      <c r="BX49" s="215" t="str" cm="1">
        <f t="array" aca="1" ref="BX49" ca="1">IF($B49="","",IF(ISBLANK(INDIRECT("R9.Web!D"&amp;SUM(18,38*40,30))),"",INDIRECT("R9.Web!D"&amp;SUM(18,38*40,30))))</f>
        <v>N/D</v>
      </c>
      <c r="BY49" s="215" t="str" cm="1">
        <f t="array" aca="1" ref="BY49" ca="1">IF($B49="","",IF(ISBLANK(INDIRECT("R9.Web!D"&amp;SUM(18,38*41,30))),"",INDIRECT("R9.Web!D"&amp;SUM(18,38*41,30))))</f>
        <v>N/T</v>
      </c>
      <c r="BZ49" s="215" t="str" cm="1">
        <f t="array" aca="1" ref="BZ49" ca="1">IF($B49="","",IF(ISBLANK(INDIRECT("R9.Web!D"&amp;SUM(18,38*42,30))),"",INDIRECT("R9.Web!D"&amp;SUM(18,38*42,30))))</f>
        <v>N/T</v>
      </c>
      <c r="CA49" s="215" t="str" cm="1">
        <f t="array" aca="1" ref="CA49" ca="1">IF($B49="","",IF(ISBLANK(INDIRECT("R9.Web!D"&amp;SUM(18,38*43,30))),"",INDIRECT("R9.Web!D"&amp;SUM(18,38*43,30))))</f>
        <v>N/D</v>
      </c>
      <c r="CB49" s="215" t="str" cm="1">
        <f t="array" aca="1" ref="CB49" ca="1">IF($B49="","",IF(ISBLANK(INDIRECT("R9.Web!D"&amp;SUM(18,38*44,30))),"",INDIRECT("R9.Web!D"&amp;SUM(18,38*44,30))))</f>
        <v>N/T</v>
      </c>
      <c r="CC49" s="215" t="str" cm="1">
        <f t="array" aca="1" ref="CC49" ca="1">IF($B49="","",IF(ISBLANK(INDIRECT("R9.Web!D"&amp;SUM(18,38*45,30))),"",INDIRECT("R9.Web!D"&amp;SUM(18,38*45,30))))</f>
        <v>N/T</v>
      </c>
      <c r="CD49" s="215" t="str" cm="1">
        <f t="array" aca="1" ref="CD49" ca="1">IF($B49="","",IF(ISBLANK(INDIRECT("R9.Web!D"&amp;SUM(18,38*46,30))),"",INDIRECT("R9.Web!D"&amp;SUM(18,38*46,30))))</f>
        <v>N/T</v>
      </c>
      <c r="CE49" s="215" t="str" cm="1">
        <f t="array" aca="1" ref="CE49" ca="1">IF($B49="","",IF(ISBLANK(INDIRECT("R9.Web!D"&amp;SUM(18,38*47,30))),"",INDIRECT("R9.Web!D"&amp;SUM(18,38*47,30))))</f>
        <v>N/D</v>
      </c>
      <c r="CF49" s="215" t="str" cm="1">
        <f t="array" aca="1" ref="CF49" ca="1">IF($B49="","",IF(ISBLANK(INDIRECT("R9.Web!D"&amp;SUM(18,38*48,30))),"",INDIRECT("R9.Web!D"&amp;SUM(18,38*48,30))))</f>
        <v>N/T</v>
      </c>
      <c r="CG49" s="215" t="str" cm="1">
        <f t="array" aca="1" ref="CG49" ca="1">IF($B49="","",IF(ISBLANK(INDIRECT("R9.Web!D"&amp;SUM(18,38*49,30))),"",INDIRECT("R9.Web!D"&amp;SUM(18,38*49,30))))</f>
        <v>N/T</v>
      </c>
      <c r="CH49" s="215" t="str" cm="1">
        <f t="array" aca="1" ref="CH49" ca="1">IF($B49="","",IF(ISBLANK(INDIRECT("R11.Software!D"&amp;SUM(18,38*0,30))),"",INDIRECT("R11.Software!D"&amp;SUM(18,38*0,30))))</f>
        <v>N/T</v>
      </c>
      <c r="CI49" s="215" t="str" cm="1">
        <f t="array" aca="1" ref="CI49" ca="1">IF($B49="","",IF(ISBLANK(INDIRECT("R11.Software!D"&amp;SUM(18,38*1,30))),"",INDIRECT("R11.Software!D"&amp;SUM(18,38*1,30))))</f>
        <v>N/T</v>
      </c>
      <c r="CJ49" s="215" t="str" cm="1">
        <f t="array" aca="1" ref="CJ49" ca="1">IF($B49="","",IF(ISBLANK(INDIRECT("R11.Software!D"&amp;SUM(18,38*2,30))),"",INDIRECT("R11.Software!D"&amp;SUM(18,38*2,30))))</f>
        <v>N/T</v>
      </c>
      <c r="CK49" s="215" t="str" cm="1">
        <f t="array" aca="1" ref="CK49" ca="1">IF($B49="","",IF(ISBLANK(INDIRECT("R11.Software!D"&amp;SUM(18,38*3,30))),"",INDIRECT("R11.Software!D"&amp;SUM(18,38*3,30))))</f>
        <v>N/T</v>
      </c>
      <c r="CL49" s="215" t="str" cm="1">
        <f t="array" aca="1" ref="CL49" ca="1">IF($B49="","",IF(ISBLANK(INDIRECT("R11.Software!D"&amp;SUM(18,38*4,30))),"",INDIRECT("R11.Software!D"&amp;SUM(18,38*4,30))))</f>
        <v>N/T</v>
      </c>
      <c r="CM49" s="215" t="str" cm="1">
        <f t="array" aca="1" ref="CM49" ca="1">IF($B49="","",IF(ISBLANK(INDIRECT("R11.Software!D"&amp;SUM(18,38*5,30))),"",INDIRECT("R11.Software!D"&amp;SUM(18,38*5,30))))</f>
        <v>N/T</v>
      </c>
      <c r="CN49" s="215" t="str" cm="1">
        <f t="array" aca="1" ref="CN49" ca="1">IF($B49="","",IF(ISBLANK(INDIRECT("R12.ServiciosApoyo!D"&amp;SUM(18,38*0,30))),"",INDIRECT("R12.ServiciosApoyo!D"&amp;SUM(18,38*0,30))))</f>
        <v>N/T</v>
      </c>
      <c r="CO49" s="215" t="str" cm="1">
        <f t="array" aca="1" ref="CO49" ca="1">IF($B49="","",IF(ISBLANK(INDIRECT("R12.ServiciosApoyo!D"&amp;SUM(18,38*1,30))),"",INDIRECT("R12.ServiciosApoyo!D"&amp;SUM(18,38*1,30))))</f>
        <v>N/T</v>
      </c>
      <c r="CP49" s="215" t="str" cm="1">
        <f t="array" aca="1" ref="CP49" ca="1">IF($B49="","",IF(ISBLANK(INDIRECT("R12.ServiciosApoyo!D"&amp;SUM(18,38*2,30))),"",INDIRECT("R12.ServiciosApoyo!D"&amp;SUM(18,38*2,30))))</f>
        <v>N/T</v>
      </c>
      <c r="CQ49" s="215" t="str" cm="1">
        <f t="array" aca="1" ref="CQ49" ca="1">IF($B49="","",IF(ISBLANK(INDIRECT("R12.ServiciosApoyo!D"&amp;SUM(18,38*3,30))),"",INDIRECT("R12.ServiciosApoyo!D"&amp;SUM(18,38*3,30))))</f>
        <v>N/T</v>
      </c>
      <c r="CR49" s="215" t="str" cm="1">
        <f t="array" aca="1" ref="CR49" ca="1">IF($B49="","",IF(ISBLANK(INDIRECT("R12.ServiciosApoyo!D"&amp;SUM(18,38*4,30))),"",INDIRECT("R12.ServiciosApoyo!D"&amp;SUM(18,38*4,30))))</f>
        <v>N/T</v>
      </c>
      <c r="CU49" s="100"/>
      <c r="CV49" s="29"/>
      <c r="CW49" s="29"/>
      <c r="CX49" s="29"/>
    </row>
    <row r="50" spans="2:102" ht="20.25">
      <c r="B50" s="181" t="n" cm="1">
        <f t="array" ref="B50">IFERROR(INDEX('03.Muestra'!$B$8:$B$42,SMALL(IF("Página Web"='03.Muestra'!$D$8:$D$42,ROW('03.Muestra'!$B$8:$B$42)-MIN(ROW('03.Muestra'!$D$8:$D$42))+1,""),ROW()-19)),"")</f>
        <v>1.0</v>
      </c>
      <c r="C50" s="97" t="str" cm="1">
        <f t="array" ref="C50">IFERROR(INDEX('03.Muestra'!$C$8:$C$42,SMALL(IF("Página Web"='03.Muestra'!$D$8:$D$42,ROW('03.Muestra'!$C$8:$C$42)-MIN(ROW('03.Muestra'!$D$8:$D$42))+1,""),ROW()-19)),"")</f>
        <v>Home - PortCastelló</v>
      </c>
      <c r="D50" s="98" t="str" cm="1">
        <f t="array" ref="D50">IFERROR(INDEX('03.Muestra'!$F$8:$F$42,SMALL(IF("Página Web"='03.Muestra'!$D$8:$D$42,ROW('03.Muestra'!$F$8:$F$42)-MIN(ROW('03.Muestra'!$D$8:$D$42))+1,""),ROW()-19)),"")</f>
        <v>https://www.portcastello.com/</v>
      </c>
      <c r="E50" s="215" t="str" cm="1">
        <f t="array" aca="1" ref="E50" ca="1">IF($B50="","",IF(ISBLANK(INDIRECT("R5.Genéricos!D"&amp;SUM(18,38*0,31))),"",INDIRECT("R5.Genéricos!D"&amp;SUM(18,38*0,31))))</f>
        <v>N/T</v>
      </c>
      <c r="F50" s="215" t="str" cm="1">
        <f t="array" aca="1" ref="F50" ca="1">IF($B50="","",IF(ISBLANK(INDIRECT("R5.Genéricos!D"&amp;SUM(18,38*1,31))),"",INDIRECT("R5.Genéricos!D"&amp;SUM(18,38*1,31))))</f>
        <v>N/T</v>
      </c>
      <c r="G50" s="215" t="str" cm="1">
        <f t="array" aca="1" ref="G50" ca="1">IF($B50="","",IF(ISBLANK(INDIRECT("R5.Genéricos!D"&amp;SUM(18,38*2,31))),"",INDIRECT("R5.Genéricos!D"&amp;SUM(18,38*2,31))))</f>
        <v>N/T</v>
      </c>
      <c r="H50" s="215" t="str" cm="1">
        <f t="array" aca="1" ref="H50" ca="1">IF($B50="","",IF(ISBLANK(INDIRECT("R6.Voz!D"&amp;SUM(18,38*0,31))),"",INDIRECT("R6.Voz!D"&amp;SUM(18,38*0,31))))</f>
        <v>N/T</v>
      </c>
      <c r="I50" s="215" t="str" cm="1">
        <f t="array" aca="1" ref="I50" ca="1">IF($B50="","",IF(ISBLANK(INDIRECT("R6.Voz!D"&amp;SUM(18,38*1,31))),"",INDIRECT("R6.Voz!D"&amp;SUM(18,38*1,31))))</f>
        <v>N/T</v>
      </c>
      <c r="J50" s="215" t="str" cm="1">
        <f t="array" aca="1" ref="J50" ca="1">IF($B50="","",IF(ISBLANK(INDIRECT("R6.Voz!D"&amp;SUM(18,38*2,31))),"",INDIRECT("R6.Voz!D"&amp;SUM(18,38*2,31))))</f>
        <v>N/T</v>
      </c>
      <c r="K50" s="215" t="str" cm="1">
        <f t="array" aca="1" ref="K50" ca="1">IF($B50="","",IF(ISBLANK(INDIRECT("R6.Voz!D"&amp;SUM(18,38*3,31))),"",INDIRECT("R6.Voz!D"&amp;SUM(18,38*3,31))))</f>
        <v>N/T</v>
      </c>
      <c r="L50" s="215" t="str" cm="1">
        <f t="array" aca="1" ref="L50" ca="1">IF($B50="","",IF(ISBLANK(INDIRECT("R6.Voz!D"&amp;SUM(18,38*4,31))),"",INDIRECT("R6.Voz!D"&amp;SUM(18,38*4,31))))</f>
        <v>N/T</v>
      </c>
      <c r="M50" s="215" t="str" cm="1">
        <f t="array" aca="1" ref="M50" ca="1">IF($B50="","",IF(ISBLANK(INDIRECT("R6.Voz!D"&amp;SUM(18,38*5,31))),"",INDIRECT("R6.Voz!D"&amp;SUM(18,38*5,31))))</f>
        <v>N/T</v>
      </c>
      <c r="N50" s="215" t="str" cm="1">
        <f t="array" aca="1" ref="N50" ca="1">IF($B50="","",IF(ISBLANK(INDIRECT("R6.Voz!D"&amp;SUM(18,38*6,31))),"",INDIRECT("R6.Voz!D"&amp;SUM(18,38*6,31))))</f>
        <v>N/T</v>
      </c>
      <c r="O50" s="215" t="str" cm="1">
        <f t="array" aca="1" ref="O50" ca="1">IF($B50="","",IF(ISBLANK(INDIRECT("R6.Voz!D"&amp;SUM(18,38*7,31))),"",INDIRECT("R6.Voz!D"&amp;SUM(18,38*7,31))))</f>
        <v>N/T</v>
      </c>
      <c r="P50" s="215" t="str" cm="1">
        <f t="array" aca="1" ref="P50" ca="1">IF($B50="","",IF(ISBLANK(INDIRECT("R6.Voz!D"&amp;SUM(18,38*8,31))),"",INDIRECT("R6.Voz!D"&amp;SUM(18,38*8,31))))</f>
        <v>N/T</v>
      </c>
      <c r="Q50" s="215" t="str" cm="1">
        <f t="array" aca="1" ref="Q50" ca="1">IF($B50="","",IF(ISBLANK(INDIRECT("R6.Voz!D"&amp;SUM(18,38*9,31))),"",INDIRECT("R6.Voz!D"&amp;SUM(18,38*9,31))))</f>
        <v>N/T</v>
      </c>
      <c r="R50" s="215" t="str" cm="1">
        <f t="array" aca="1" ref="R50" ca="1">IF($B50="","",IF(ISBLANK(INDIRECT("R6.Voz!D"&amp;SUM(18,38*10,31))),"",INDIRECT("R6.Voz!D"&amp;SUM(18,38*10,31))))</f>
        <v>N/T</v>
      </c>
      <c r="S50" s="215" t="str" cm="1">
        <f t="array" aca="1" ref="S50" ca="1">IF($B50="","",IF(ISBLANK(INDIRECT("R6.Voz!D"&amp;SUM(18,38*11,31))),"",INDIRECT("R6.Voz!D"&amp;SUM(18,38*11,31))))</f>
        <v>N/T</v>
      </c>
      <c r="T50" s="215" t="str" cm="1">
        <f t="array" aca="1" ref="T50" ca="1">IF($B50="","",IF(ISBLANK(INDIRECT("R6.Voz!D"&amp;SUM(18,38*12,31))),"",INDIRECT("R6.Voz!D"&amp;SUM(18,38*12,31))))</f>
        <v>N/T</v>
      </c>
      <c r="U50" s="215" t="str" cm="1">
        <f t="array" aca="1" ref="U50" ca="1">IF($B50="","",IF(ISBLANK(INDIRECT("R6.Voz!D"&amp;SUM(18,38*13,31))),"",INDIRECT("R6.Voz!D"&amp;SUM(18,38*13,31))))</f>
        <v>N/T</v>
      </c>
      <c r="V50" s="215" t="str" cm="1">
        <f t="array" aca="1" ref="V50" ca="1">IF($B50="","",IF(ISBLANK(INDIRECT("R6.Voz!D"&amp;SUM(18,38*14,31))),"",INDIRECT("R6.Voz!D"&amp;SUM(18,38*14,31))))</f>
        <v>N/T</v>
      </c>
      <c r="W50" s="215" t="str" cm="1">
        <f t="array" aca="1" ref="W50" ca="1">IF($B50="","",IF(ISBLANK(INDIRECT("R6.Voz!D"&amp;SUM(18,38*15,31))),"",INDIRECT("R6.Voz!D"&amp;SUM(18,38*15,31))))</f>
        <v>N/T</v>
      </c>
      <c r="X50" s="215" t="str" cm="1">
        <f t="array" aca="1" ref="X50" ca="1">IF($B50="","",IF(ISBLANK(INDIRECT("R6.Voz!D"&amp;SUM(18,38*16,31))),"",INDIRECT("R6.Voz!D"&amp;SUM(18,38*16,31))))</f>
        <v>N/T</v>
      </c>
      <c r="Y50" s="215" t="str" cm="1">
        <f t="array" aca="1" ref="Y50" ca="1">IF($B50="","",IF(ISBLANK(INDIRECT("R6.Voz!D"&amp;SUM(18,38*17,31))),"",INDIRECT("R6.Voz!D"&amp;SUM(18,38*17,31))))</f>
        <v>N/T</v>
      </c>
      <c r="Z50" s="215" t="str" cm="1">
        <f t="array" aca="1" ref="Z50" ca="1">IF($B50="","",IF(ISBLANK(INDIRECT("R6.Voz!D"&amp;SUM(18,38*18,31))),"",INDIRECT("R6.Voz!D"&amp;SUM(18,38*18,31))))</f>
        <v>N/T</v>
      </c>
      <c r="AA50" s="215" t="str" cm="1">
        <f t="array" aca="1" ref="AA50" ca="1">IF($B50="","",IF(ISBLANK(INDIRECT("R7.Video!D"&amp;SUM(18,38*0,31))),"",INDIRECT("R7.Video!D"&amp;SUM(18,38*0,31))))</f>
        <v>N/T</v>
      </c>
      <c r="AB50" s="215" t="str" cm="1">
        <f t="array" aca="1" ref="AB50" ca="1">IF($B50="","",IF(ISBLANK(INDIRECT("R7.Video!D"&amp;SUM(18,38*1,31))),"",INDIRECT("R7.Video!D"&amp;SUM(18,38*1,31))))</f>
        <v>N/T</v>
      </c>
      <c r="AC50" s="215" t="str" cm="1">
        <f t="array" aca="1" ref="AC50" ca="1">IF($B50="","",IF(ISBLANK(INDIRECT("R7.Video!D"&amp;SUM(18,38*2,31))),"",INDIRECT("R7.Video!D"&amp;SUM(18,38*2,31))))</f>
        <v>N/T</v>
      </c>
      <c r="AD50" s="215" t="str" cm="1">
        <f t="array" aca="1" ref="AD50" ca="1">IF($B50="","",IF(ISBLANK(INDIRECT("R7.Video!D"&amp;SUM(18,38*3,31))),"",INDIRECT("R7.Video!D"&amp;SUM(18,38*3,31))))</f>
        <v>N/T</v>
      </c>
      <c r="AE50" s="215" t="str" cm="1">
        <f t="array" aca="1" ref="AE50" ca="1">IF($B50="","",IF(ISBLANK(INDIRECT("R7.Video!D"&amp;SUM(18,38*4,31))),"",INDIRECT("R7.Video!D"&amp;SUM(18,38*4,31))))</f>
        <v>N/T</v>
      </c>
      <c r="AF50" s="215" t="str" cm="1">
        <f t="array" aca="1" ref="AF50" ca="1">IF($B50="","",IF(ISBLANK(INDIRECT("R7.Video!D"&amp;SUM(18,38*5,31))),"",INDIRECT("R7.Video!D"&amp;SUM(18,38*5,31))))</f>
        <v>N/T</v>
      </c>
      <c r="AG50" s="215" t="str" cm="1">
        <f t="array" aca="1" ref="AG50" ca="1">IF($B50="","",IF(ISBLANK(INDIRECT("R7.Video!D"&amp;SUM(18,38*6,31))),"",INDIRECT("R7.Video!D"&amp;SUM(18,38*6,31))))</f>
        <v>N/T</v>
      </c>
      <c r="AH50" s="215" t="str" cm="1">
        <f t="array" aca="1" ref="AH50" ca="1">IF($B50="","",IF(ISBLANK(INDIRECT("R7.Video!D"&amp;SUM(18,38*7,31))),"",INDIRECT("R7.Video!D"&amp;SUM(18,38*7,31))))</f>
        <v>N/T</v>
      </c>
      <c r="AI50" s="215" t="str" cm="1">
        <f t="array" aca="1" ref="AI50" ca="1">IF($B50="","",IF(ISBLANK(INDIRECT("R7.Video!D"&amp;SUM(18,38*8,31))),"",INDIRECT("R7.Video!D"&amp;SUM(18,38*8,31))))</f>
        <v>N/T</v>
      </c>
      <c r="AJ50" s="215" t="str" cm="1">
        <f t="array" aca="1" ref="AJ50" ca="1">IF($B50="","",IF(ISBLANK(INDIRECT("R9.Web!D"&amp;SUM(18,38*0,31))),"",INDIRECT("R9.Web!D"&amp;SUM(18,38*0,31))))</f>
        <v>N/D</v>
      </c>
      <c r="AK50" s="215" t="str" cm="1">
        <f t="array" aca="1" ref="AK50" ca="1">IF($B50="","",IF(ISBLANK(INDIRECT("R9.Web!D"&amp;SUM(18,38*1,31))),"",INDIRECT("R9.Web!D"&amp;SUM(18,38*1,31))))</f>
        <v>N/T</v>
      </c>
      <c r="AL50" s="215" t="str" cm="1">
        <f t="array" aca="1" ref="AL50" ca="1">IF($B50="","",IF(ISBLANK(INDIRECT("R9.Web!D"&amp;SUM(18,38*2,31))),"",INDIRECT("R9.Web!D"&amp;SUM(18,38*2,31))))</f>
        <v>N/T</v>
      </c>
      <c r="AM50" s="215" t="str" cm="1">
        <f t="array" aca="1" ref="AM50" ca="1">IF($B50="","",IF(ISBLANK(INDIRECT("R9.Web!D"&amp;SUM(18,38*3,31))),"",INDIRECT("R9.Web!D"&amp;SUM(18,38*3,31))))</f>
        <v>N/T</v>
      </c>
      <c r="AN50" s="215" t="str" cm="1">
        <f t="array" aca="1" ref="AN50" ca="1">IF($B50="","",IF(ISBLANK(INDIRECT("R9.Web!D"&amp;SUM(18,38*4,31))),"",INDIRECT("R9.Web!D"&amp;SUM(18,38*4,31))))</f>
        <v>N/T</v>
      </c>
      <c r="AO50" s="215" t="str" cm="1">
        <f t="array" aca="1" ref="AO50" ca="1">IF($B50="","",IF(ISBLANK(INDIRECT("R9.Web!D"&amp;SUM(18,38*5,31))),"",INDIRECT("R9.Web!D"&amp;SUM(18,38*5,31))))</f>
        <v>N/D</v>
      </c>
      <c r="AP50" s="215" t="str" cm="1">
        <f t="array" aca="1" ref="AP50" ca="1">IF($B50="","",IF(ISBLANK(INDIRECT("R9.Web!D"&amp;SUM(18,38*6,31))),"",INDIRECT("R9.Web!D"&amp;SUM(18,38*6,31))))</f>
        <v>N/T</v>
      </c>
      <c r="AQ50" s="215" t="str" cm="1">
        <f t="array" aca="1" ref="AQ50" ca="1">IF($B50="","",IF(ISBLANK(INDIRECT("R9.Web!D"&amp;SUM(18,38*7,31))),"",INDIRECT("R9.Web!D"&amp;SUM(18,38*7,31))))</f>
        <v>N/T</v>
      </c>
      <c r="AR50" s="215" t="str" cm="1">
        <f t="array" aca="1" ref="AR50" ca="1">IF($B50="","",IF(ISBLANK(INDIRECT("R9.Web!D"&amp;SUM(18,38*8,31))),"",INDIRECT("R9.Web!D"&amp;SUM(18,38*8,31))))</f>
        <v>N/D</v>
      </c>
      <c r="AS50" s="215" t="str" cm="1">
        <f t="array" aca="1" ref="AS50" ca="1">IF($B50="","",IF(ISBLANK(INDIRECT("R9.Web!D"&amp;SUM(18,38*9,31))),"",INDIRECT("R9.Web!D"&amp;SUM(18,38*9,31))))</f>
        <v>N/D</v>
      </c>
      <c r="AT50" s="215" t="str" cm="1">
        <f t="array" aca="1" ref="AT50" ca="1">IF($B50="","",IF(ISBLANK(INDIRECT("R9.Web!D"&amp;SUM(18,38*10,31))),"",INDIRECT("R9.Web!D"&amp;SUM(18,38*10,31))))</f>
        <v>N/T</v>
      </c>
      <c r="AU50" s="215" t="str" cm="1">
        <f t="array" aca="1" ref="AU50" ca="1">IF($B50="","",IF(ISBLANK(INDIRECT("R9.Web!D"&amp;SUM(18,38*11,31))),"",INDIRECT("R9.Web!D"&amp;SUM(18,38*11,31))))</f>
        <v>N/T</v>
      </c>
      <c r="AV50" s="215" t="str" cm="1">
        <f t="array" aca="1" ref="AV50" ca="1">IF($B50="","",IF(ISBLANK(INDIRECT("R9.Web!D"&amp;SUM(18,38*12,31))),"",INDIRECT("R9.Web!D"&amp;SUM(18,38*12,31))))</f>
        <v>N/D</v>
      </c>
      <c r="AW50" s="215" t="str" cm="1">
        <f t="array" aca="1" ref="AW50" ca="1">IF($B50="","",IF(ISBLANK(INDIRECT("R9.Web!D"&amp;SUM(18,38*13,31))),"",INDIRECT("R9.Web!D"&amp;SUM(18,38*13,31))))</f>
        <v>N/T</v>
      </c>
      <c r="AX50" s="215" t="str" cm="1">
        <f t="array" aca="1" ref="AX50" ca="1">IF($B50="","",IF(ISBLANK(INDIRECT("R9.Web!D"&amp;SUM(18,38*14,31))),"",INDIRECT("R9.Web!D"&amp;SUM(18,38*14,31))))</f>
        <v>N/T</v>
      </c>
      <c r="AY50" s="215" t="str" cm="1">
        <f t="array" aca="1" ref="AY50" ca="1">IF($B50="","",IF(ISBLANK(INDIRECT("R9.Web!D"&amp;SUM(18,38*15,31))),"",INDIRECT("R9.Web!D"&amp;SUM(18,38*15,31))))</f>
        <v>N/D</v>
      </c>
      <c r="AZ50" s="215" t="str" cm="1">
        <f t="array" aca="1" ref="AZ50" ca="1">IF($B50="","",IF(ISBLANK(INDIRECT("R9.Web!D"&amp;SUM(18,38*16,31))),"",INDIRECT("R9.Web!D"&amp;SUM(18,38*16,31))))</f>
        <v>N/T</v>
      </c>
      <c r="BA50" s="215" t="str" cm="1">
        <f t="array" aca="1" ref="BA50" ca="1">IF($B50="","",IF(ISBLANK(INDIRECT("R9.Web!D"&amp;SUM(18,38*17,31))),"",INDIRECT("R9.Web!D"&amp;SUM(18,38*17,31))))</f>
        <v>N/D</v>
      </c>
      <c r="BB50" s="215" t="str" cm="1">
        <f t="array" aca="1" ref="BB50" ca="1">IF($B50="","",IF(ISBLANK(INDIRECT("R9.Web!D"&amp;SUM(18,38*18,31))),"",INDIRECT("R9.Web!D"&amp;SUM(18,38*18,31))))</f>
        <v>N/T</v>
      </c>
      <c r="BC50" s="215" t="str" cm="1">
        <f t="array" aca="1" ref="BC50" ca="1">IF($B50="","",IF(ISBLANK(INDIRECT("R9.Web!D"&amp;SUM(18,38*19,31))),"",INDIRECT("R9.Web!D"&amp;SUM(18,38*19,31))))</f>
        <v>N/D</v>
      </c>
      <c r="BD50" s="215" t="str" cm="1">
        <f t="array" aca="1" ref="BD50" ca="1">IF($B50="","",IF(ISBLANK(INDIRECT("R9.Web!D"&amp;SUM(18,38*20,31))),"",INDIRECT("R9.Web!D"&amp;SUM(18,38*20,31))))</f>
        <v>N/T</v>
      </c>
      <c r="BE50" s="215" t="str" cm="1">
        <f t="array" aca="1" ref="BE50" ca="1">IF($B50="","",IF(ISBLANK(INDIRECT("R9.Web!D"&amp;SUM(18,38*21,31))),"",INDIRECT("R9.Web!D"&amp;SUM(18,38*21,31))))</f>
        <v>N/T</v>
      </c>
      <c r="BF50" s="215" t="str" cm="1">
        <f t="array" aca="1" ref="BF50" ca="1">IF($B50="","",IF(ISBLANK(INDIRECT("R9.Web!D"&amp;SUM(18,38*22,31))),"",INDIRECT("R9.Web!D"&amp;SUM(18,38*22,31))))</f>
        <v>N/D</v>
      </c>
      <c r="BG50" s="215" t="str" cm="1">
        <f t="array" aca="1" ref="BG50" ca="1">IF($B50="","",IF(ISBLANK(INDIRECT("R9.Web!D"&amp;SUM(18,38*23,31))),"",INDIRECT("R9.Web!D"&amp;SUM(18,38*23,31))))</f>
        <v>N/D</v>
      </c>
      <c r="BH50" s="215" t="str" cm="1">
        <f t="array" aca="1" ref="BH50" ca="1">IF($B50="","",IF(ISBLANK(INDIRECT("R9.Web!D"&amp;SUM(18,38*24,31))),"",INDIRECT("R9.Web!D"&amp;SUM(18,38*24,31))))</f>
        <v>N/T</v>
      </c>
      <c r="BI50" s="215" t="str" cm="1">
        <f t="array" aca="1" ref="BI50" ca="1">IF($B50="","",IF(ISBLANK(INDIRECT("R9.Web!D"&amp;SUM(18,38*25,31))),"",INDIRECT("R9.Web!D"&amp;SUM(18,38*25,31))))</f>
        <v>N/D</v>
      </c>
      <c r="BJ50" s="215" t="str" cm="1">
        <f t="array" aca="1" ref="BJ50" ca="1">IF($B50="","",IF(ISBLANK(INDIRECT("R9.Web!D"&amp;SUM(18,38*26,31))),"",INDIRECT("R9.Web!D"&amp;SUM(18,38*26,31))))</f>
        <v>N/D</v>
      </c>
      <c r="BK50" s="215" t="str" cm="1">
        <f t="array" aca="1" ref="BK50" ca="1">IF($B50="","",IF(ISBLANK(INDIRECT("R9.Web!D"&amp;SUM(18,38*27,31))),"",INDIRECT("R9.Web!D"&amp;SUM(18,38*27,31))))</f>
        <v>N/D</v>
      </c>
      <c r="BL50" s="215" t="str" cm="1">
        <f t="array" aca="1" ref="BL50" ca="1">IF($B50="","",IF(ISBLANK(INDIRECT("R9.Web!D"&amp;SUM(18,38*28,31))),"",INDIRECT("R9.Web!D"&amp;SUM(18,38*28,31))))</f>
        <v>N/D</v>
      </c>
      <c r="BM50" s="215" t="str" cm="1">
        <f t="array" aca="1" ref="BM50" ca="1">IF($B50="","",IF(ISBLANK(INDIRECT("R9.Web!D"&amp;SUM(18,38*29,31))),"",INDIRECT("R9.Web!D"&amp;SUM(18,38*29,31))))</f>
        <v>N/D</v>
      </c>
      <c r="BN50" s="215" t="str" cm="1">
        <f t="array" aca="1" ref="BN50" ca="1">IF($B50="","",IF(ISBLANK(INDIRECT("R9.Web!D"&amp;SUM(18,38*30,31))),"",INDIRECT("R9.Web!D"&amp;SUM(18,38*30,31))))</f>
        <v>N/T</v>
      </c>
      <c r="BO50" s="215" t="str" cm="1">
        <f t="array" aca="1" ref="BO50" ca="1">IF($B50="","",IF(ISBLANK(INDIRECT("R9.Web!D"&amp;SUM(18,38*31,31))),"",INDIRECT("R9.Web!D"&amp;SUM(18,38*31,31))))</f>
        <v>Falla</v>
      </c>
      <c r="BP50" s="215" t="str" cm="1">
        <f t="array" aca="1" ref="BP50" ca="1">IF($B50="","",IF(ISBLANK(INDIRECT("R9.Web!D"&amp;SUM(18,38*32,31))),"",INDIRECT("R9.Web!D"&amp;SUM(18,38*32,31))))</f>
        <v>N/T</v>
      </c>
      <c r="BQ50" s="215" t="str" cm="1">
        <f t="array" aca="1" ref="BQ50" ca="1">IF($B50="","",IF(ISBLANK(INDIRECT("R9.Web!D"&amp;SUM(18,38*33,31))),"",INDIRECT("R9.Web!D"&amp;SUM(18,38*33,31))))</f>
        <v>N/T</v>
      </c>
      <c r="BR50" s="215" t="str" cm="1">
        <f t="array" aca="1" ref="BR50" ca="1">IF($B50="","",IF(ISBLANK(INDIRECT("R9.Web!D"&amp;SUM(18,38*34,31))),"",INDIRECT("R9.Web!D"&amp;SUM(18,38*34,31))))</f>
        <v>N/D</v>
      </c>
      <c r="BS50" s="215" t="str" cm="1">
        <f t="array" aca="1" ref="BS50" ca="1">IF($B50="","",IF(ISBLANK(INDIRECT("R9.Web!D"&amp;SUM(18,38*35,31))),"",INDIRECT("R9.Web!D"&amp;SUM(18,38*35,31))))</f>
        <v>N/T</v>
      </c>
      <c r="BT50" s="215" t="str" cm="1">
        <f t="array" aca="1" ref="BT50" ca="1">IF($B50="","",IF(ISBLANK(INDIRECT("R9.Web!D"&amp;SUM(18,38*36,31))),"",INDIRECT("R9.Web!D"&amp;SUM(18,38*36,31))))</f>
        <v>N/D</v>
      </c>
      <c r="BU50" s="215" t="str" cm="1">
        <f t="array" aca="1" ref="BU50" ca="1">IF($B50="","",IF(ISBLANK(INDIRECT("R9.Web!D"&amp;SUM(18,38*37,31))),"",INDIRECT("R9.Web!D"&amp;SUM(18,38*37,31))))</f>
        <v>Falla</v>
      </c>
      <c r="BV50" s="215" t="str" cm="1">
        <f t="array" aca="1" ref="BV50" ca="1">IF($B50="","",IF(ISBLANK(INDIRECT("R9.Web!D"&amp;SUM(18,38*38,31))),"",INDIRECT("R9.Web!D"&amp;SUM(18,38*38,31))))</f>
        <v>N/D</v>
      </c>
      <c r="BW50" s="215" t="str" cm="1">
        <f t="array" aca="1" ref="BW50" ca="1">IF($B50="","",IF(ISBLANK(INDIRECT("R9.Web!D"&amp;SUM(18,38*39,31))),"",INDIRECT("R9.Web!D"&amp;SUM(18,38*39,31))))</f>
        <v>N/D</v>
      </c>
      <c r="BX50" s="215" t="str" cm="1">
        <f t="array" aca="1" ref="BX50" ca="1">IF($B50="","",IF(ISBLANK(INDIRECT("R9.Web!D"&amp;SUM(18,38*40,31))),"",INDIRECT("R9.Web!D"&amp;SUM(18,38*40,31))))</f>
        <v>N/D</v>
      </c>
      <c r="BY50" s="215" t="str" cm="1">
        <f t="array" aca="1" ref="BY50" ca="1">IF($B50="","",IF(ISBLANK(INDIRECT("R9.Web!D"&amp;SUM(18,38*41,31))),"",INDIRECT("R9.Web!D"&amp;SUM(18,38*41,31))))</f>
        <v>N/T</v>
      </c>
      <c r="BZ50" s="215" t="str" cm="1">
        <f t="array" aca="1" ref="BZ50" ca="1">IF($B50="","",IF(ISBLANK(INDIRECT("R9.Web!D"&amp;SUM(18,38*42,31))),"",INDIRECT("R9.Web!D"&amp;SUM(18,38*42,31))))</f>
        <v>N/T</v>
      </c>
      <c r="CA50" s="215" t="str" cm="1">
        <f t="array" aca="1" ref="CA50" ca="1">IF($B50="","",IF(ISBLANK(INDIRECT("R9.Web!D"&amp;SUM(18,38*43,31))),"",INDIRECT("R9.Web!D"&amp;SUM(18,38*43,31))))</f>
        <v>N/D</v>
      </c>
      <c r="CB50" s="215" t="str" cm="1">
        <f t="array" aca="1" ref="CB50" ca="1">IF($B50="","",IF(ISBLANK(INDIRECT("R9.Web!D"&amp;SUM(18,38*44,31))),"",INDIRECT("R9.Web!D"&amp;SUM(18,38*44,31))))</f>
        <v>N/T</v>
      </c>
      <c r="CC50" s="215" t="str" cm="1">
        <f t="array" aca="1" ref="CC50" ca="1">IF($B50="","",IF(ISBLANK(INDIRECT("R9.Web!D"&amp;SUM(18,38*45,31))),"",INDIRECT("R9.Web!D"&amp;SUM(18,38*45,31))))</f>
        <v>N/T</v>
      </c>
      <c r="CD50" s="215" t="str" cm="1">
        <f t="array" aca="1" ref="CD50" ca="1">IF($B50="","",IF(ISBLANK(INDIRECT("R9.Web!D"&amp;SUM(18,38*46,31))),"",INDIRECT("R9.Web!D"&amp;SUM(18,38*46,31))))</f>
        <v>N/T</v>
      </c>
      <c r="CE50" s="215" t="str" cm="1">
        <f t="array" aca="1" ref="CE50" ca="1">IF($B50="","",IF(ISBLANK(INDIRECT("R9.Web!D"&amp;SUM(18,38*47,31))),"",INDIRECT("R9.Web!D"&amp;SUM(18,38*47,31))))</f>
        <v>N/D</v>
      </c>
      <c r="CF50" s="215" t="str" cm="1">
        <f t="array" aca="1" ref="CF50" ca="1">IF($B50="","",IF(ISBLANK(INDIRECT("R9.Web!D"&amp;SUM(18,38*48,31))),"",INDIRECT("R9.Web!D"&amp;SUM(18,38*48,31))))</f>
        <v>N/T</v>
      </c>
      <c r="CG50" s="215" t="str" cm="1">
        <f t="array" aca="1" ref="CG50" ca="1">IF($B50="","",IF(ISBLANK(INDIRECT("R9.Web!D"&amp;SUM(18,38*49,31))),"",INDIRECT("R9.Web!D"&amp;SUM(18,38*49,31))))</f>
        <v>N/T</v>
      </c>
      <c r="CH50" s="215" t="str" cm="1">
        <f t="array" aca="1" ref="CH50" ca="1">IF($B50="","",IF(ISBLANK(INDIRECT("R11.Software!D"&amp;SUM(18,38*0,31))),"",INDIRECT("R11.Software!D"&amp;SUM(18,38*0,31))))</f>
        <v>N/T</v>
      </c>
      <c r="CI50" s="215" t="str" cm="1">
        <f t="array" aca="1" ref="CI50" ca="1">IF($B50="","",IF(ISBLANK(INDIRECT("R11.Software!D"&amp;SUM(18,38*1,31))),"",INDIRECT("R11.Software!D"&amp;SUM(18,38*1,31))))</f>
        <v>N/T</v>
      </c>
      <c r="CJ50" s="215" t="str" cm="1">
        <f t="array" aca="1" ref="CJ50" ca="1">IF($B50="","",IF(ISBLANK(INDIRECT("R11.Software!D"&amp;SUM(18,38*2,31))),"",INDIRECT("R11.Software!D"&amp;SUM(18,38*2,31))))</f>
        <v>N/T</v>
      </c>
      <c r="CK50" s="215" t="str" cm="1">
        <f t="array" aca="1" ref="CK50" ca="1">IF($B50="","",IF(ISBLANK(INDIRECT("R11.Software!D"&amp;SUM(18,38*3,31))),"",INDIRECT("R11.Software!D"&amp;SUM(18,38*3,31))))</f>
        <v>N/T</v>
      </c>
      <c r="CL50" s="215" t="str" cm="1">
        <f t="array" aca="1" ref="CL50" ca="1">IF($B50="","",IF(ISBLANK(INDIRECT("R11.Software!D"&amp;SUM(18,38*4,31))),"",INDIRECT("R11.Software!D"&amp;SUM(18,38*4,31))))</f>
        <v>N/T</v>
      </c>
      <c r="CM50" s="215" t="str" cm="1">
        <f t="array" aca="1" ref="CM50" ca="1">IF($B50="","",IF(ISBLANK(INDIRECT("R11.Software!D"&amp;SUM(18,38*5,31))),"",INDIRECT("R11.Software!D"&amp;SUM(18,38*5,31))))</f>
        <v>N/T</v>
      </c>
      <c r="CN50" s="215" t="str" cm="1">
        <f t="array" aca="1" ref="CN50" ca="1">IF($B50="","",IF(ISBLANK(INDIRECT("R12.ServiciosApoyo!D"&amp;SUM(18,38*0,31))),"",INDIRECT("R12.ServiciosApoyo!D"&amp;SUM(18,38*0,31))))</f>
        <v>N/T</v>
      </c>
      <c r="CO50" s="215" t="str" cm="1">
        <f t="array" aca="1" ref="CO50" ca="1">IF($B50="","",IF(ISBLANK(INDIRECT("R12.ServiciosApoyo!D"&amp;SUM(18,38*1,31))),"",INDIRECT("R12.ServiciosApoyo!D"&amp;SUM(18,38*1,31))))</f>
        <v>N/T</v>
      </c>
      <c r="CP50" s="215" t="str" cm="1">
        <f t="array" aca="1" ref="CP50" ca="1">IF($B50="","",IF(ISBLANK(INDIRECT("R12.ServiciosApoyo!D"&amp;SUM(18,38*2,31))),"",INDIRECT("R12.ServiciosApoyo!D"&amp;SUM(18,38*2,31))))</f>
        <v>N/T</v>
      </c>
      <c r="CQ50" s="215" t="str" cm="1">
        <f t="array" aca="1" ref="CQ50" ca="1">IF($B50="","",IF(ISBLANK(INDIRECT("R12.ServiciosApoyo!D"&amp;SUM(18,38*3,31))),"",INDIRECT("R12.ServiciosApoyo!D"&amp;SUM(18,38*3,31))))</f>
        <v>N/T</v>
      </c>
      <c r="CR50" s="215" t="str" cm="1">
        <f t="array" aca="1" ref="CR50" ca="1">IF($B50="","",IF(ISBLANK(INDIRECT("R12.ServiciosApoyo!D"&amp;SUM(18,38*4,31))),"",INDIRECT("R12.ServiciosApoyo!D"&amp;SUM(18,38*4,31))))</f>
        <v>N/T</v>
      </c>
      <c r="CU50" s="100"/>
      <c r="CV50" s="29"/>
      <c r="CW50" s="29"/>
      <c r="CX50" s="29"/>
    </row>
    <row r="51" spans="2:102" ht="20.25">
      <c r="B51" s="181" t="n" cm="1">
        <f t="array" ref="B51">IFERROR(INDEX('03.Muestra'!$B$8:$B$42,SMALL(IF("Página Web"='03.Muestra'!$D$8:$D$42,ROW('03.Muestra'!$B$8:$B$42)-MIN(ROW('03.Muestra'!$D$8:$D$42))+1,""),ROW()-19)),"")</f>
        <v>1.0</v>
      </c>
      <c r="C51" s="97" t="str" cm="1">
        <f t="array" ref="C51">IFERROR(INDEX('03.Muestra'!$C$8:$C$42,SMALL(IF("Página Web"='03.Muestra'!$D$8:$D$42,ROW('03.Muestra'!$C$8:$C$42)-MIN(ROW('03.Muestra'!$D$8:$D$42))+1,""),ROW()-19)),"")</f>
        <v>Home - PortCastelló</v>
      </c>
      <c r="D51" s="98" t="str" cm="1">
        <f t="array" ref="D51">IFERROR(INDEX('03.Muestra'!$F$8:$F$42,SMALL(IF("Página Web"='03.Muestra'!$D$8:$D$42,ROW('03.Muestra'!$F$8:$F$42)-MIN(ROW('03.Muestra'!$D$8:$D$42))+1,""),ROW()-19)),"")</f>
        <v>https://www.portcastello.com/</v>
      </c>
      <c r="E51" s="215" t="str" cm="1">
        <f t="array" aca="1" ref="E51" ca="1">IF($B51="","",IF(ISBLANK(INDIRECT("R5.Genéricos!D"&amp;SUM(18,38*0,32))),"",INDIRECT("R5.Genéricos!D"&amp;SUM(18,38*0,32))))</f>
        <v>N/T</v>
      </c>
      <c r="F51" s="215" t="str" cm="1">
        <f t="array" aca="1" ref="F51" ca="1">IF($B51="","",IF(ISBLANK(INDIRECT("R5.Genéricos!D"&amp;SUM(18,38*1,32))),"",INDIRECT("R5.Genéricos!D"&amp;SUM(18,38*1,32))))</f>
        <v>N/T</v>
      </c>
      <c r="G51" s="215" t="str" cm="1">
        <f t="array" aca="1" ref="G51" ca="1">IF($B51="","",IF(ISBLANK(INDIRECT("R5.Genéricos!D"&amp;SUM(18,38*2,32))),"",INDIRECT("R5.Genéricos!D"&amp;SUM(18,38*2,32))))</f>
        <v>N/T</v>
      </c>
      <c r="H51" s="215" t="str" cm="1">
        <f t="array" aca="1" ref="H51" ca="1">IF($B51="","",IF(ISBLANK(INDIRECT("R6.Voz!D"&amp;SUM(18,38*0,32))),"",INDIRECT("R6.Voz!D"&amp;SUM(18,38*0,32))))</f>
        <v>N/T</v>
      </c>
      <c r="I51" s="215" t="str" cm="1">
        <f t="array" aca="1" ref="I51" ca="1">IF($B51="","",IF(ISBLANK(INDIRECT("R6.Voz!D"&amp;SUM(18,38*1,32))),"",INDIRECT("R6.Voz!D"&amp;SUM(18,38*1,32))))</f>
        <v>N/T</v>
      </c>
      <c r="J51" s="215" t="str" cm="1">
        <f t="array" aca="1" ref="J51" ca="1">IF($B51="","",IF(ISBLANK(INDIRECT("R6.Voz!D"&amp;SUM(18,38*2,32))),"",INDIRECT("R6.Voz!D"&amp;SUM(18,38*2,32))))</f>
        <v>N/T</v>
      </c>
      <c r="K51" s="215" t="str" cm="1">
        <f t="array" aca="1" ref="K51" ca="1">IF($B51="","",IF(ISBLANK(INDIRECT("R6.Voz!D"&amp;SUM(18,38*3,32))),"",INDIRECT("R6.Voz!D"&amp;SUM(18,38*3,32))))</f>
        <v>N/T</v>
      </c>
      <c r="L51" s="215" t="str" cm="1">
        <f t="array" aca="1" ref="L51" ca="1">IF($B51="","",IF(ISBLANK(INDIRECT("R6.Voz!D"&amp;SUM(18,38*4,32))),"",INDIRECT("R6.Voz!D"&amp;SUM(18,38*4,32))))</f>
        <v>N/T</v>
      </c>
      <c r="M51" s="215" t="str" cm="1">
        <f t="array" aca="1" ref="M51" ca="1">IF($B51="","",IF(ISBLANK(INDIRECT("R6.Voz!D"&amp;SUM(18,38*5,32))),"",INDIRECT("R6.Voz!D"&amp;SUM(18,38*5,32))))</f>
        <v>N/T</v>
      </c>
      <c r="N51" s="215" t="str" cm="1">
        <f t="array" aca="1" ref="N51" ca="1">IF($B51="","",IF(ISBLANK(INDIRECT("R6.Voz!D"&amp;SUM(18,38*6,32))),"",INDIRECT("R6.Voz!D"&amp;SUM(18,38*6,32))))</f>
        <v>N/T</v>
      </c>
      <c r="O51" s="215" t="str" cm="1">
        <f t="array" aca="1" ref="O51" ca="1">IF($B51="","",IF(ISBLANK(INDIRECT("R6.Voz!D"&amp;SUM(18,38*7,32))),"",INDIRECT("R6.Voz!D"&amp;SUM(18,38*7,32))))</f>
        <v>N/T</v>
      </c>
      <c r="P51" s="215" t="str" cm="1">
        <f t="array" aca="1" ref="P51" ca="1">IF($B51="","",IF(ISBLANK(INDIRECT("R6.Voz!D"&amp;SUM(18,38*8,32))),"",INDIRECT("R6.Voz!D"&amp;SUM(18,38*8,32))))</f>
        <v>N/T</v>
      </c>
      <c r="Q51" s="215" t="str" cm="1">
        <f t="array" aca="1" ref="Q51" ca="1">IF($B51="","",IF(ISBLANK(INDIRECT("R6.Voz!D"&amp;SUM(18,38*9,32))),"",INDIRECT("R6.Voz!D"&amp;SUM(18,38*9,32))))</f>
        <v>N/T</v>
      </c>
      <c r="R51" s="215" t="str" cm="1">
        <f t="array" aca="1" ref="R51" ca="1">IF($B51="","",IF(ISBLANK(INDIRECT("R6.Voz!D"&amp;SUM(18,38*10,32))),"",INDIRECT("R6.Voz!D"&amp;SUM(18,38*10,32))))</f>
        <v>N/T</v>
      </c>
      <c r="S51" s="215" t="str" cm="1">
        <f t="array" aca="1" ref="S51" ca="1">IF($B51="","",IF(ISBLANK(INDIRECT("R6.Voz!D"&amp;SUM(18,38*11,32))),"",INDIRECT("R6.Voz!D"&amp;SUM(18,38*11,32))))</f>
        <v>N/T</v>
      </c>
      <c r="T51" s="215" t="str" cm="1">
        <f t="array" aca="1" ref="T51" ca="1">IF($B51="","",IF(ISBLANK(INDIRECT("R6.Voz!D"&amp;SUM(18,38*12,32))),"",INDIRECT("R6.Voz!D"&amp;SUM(18,38*12,32))))</f>
        <v>N/T</v>
      </c>
      <c r="U51" s="215" t="str" cm="1">
        <f t="array" aca="1" ref="U51" ca="1">IF($B51="","",IF(ISBLANK(INDIRECT("R6.Voz!D"&amp;SUM(18,38*13,32))),"",INDIRECT("R6.Voz!D"&amp;SUM(18,38*13,32))))</f>
        <v>N/T</v>
      </c>
      <c r="V51" s="215" t="str" cm="1">
        <f t="array" aca="1" ref="V51" ca="1">IF($B51="","",IF(ISBLANK(INDIRECT("R6.Voz!D"&amp;SUM(18,38*14,32))),"",INDIRECT("R6.Voz!D"&amp;SUM(18,38*14,32))))</f>
        <v>N/T</v>
      </c>
      <c r="W51" s="215" t="str" cm="1">
        <f t="array" aca="1" ref="W51" ca="1">IF($B51="","",IF(ISBLANK(INDIRECT("R6.Voz!D"&amp;SUM(18,38*15,32))),"",INDIRECT("R6.Voz!D"&amp;SUM(18,38*15,32))))</f>
        <v>N/T</v>
      </c>
      <c r="X51" s="215" t="str" cm="1">
        <f t="array" aca="1" ref="X51" ca="1">IF($B51="","",IF(ISBLANK(INDIRECT("R6.Voz!D"&amp;SUM(18,38*16,32))),"",INDIRECT("R6.Voz!D"&amp;SUM(18,38*16,32))))</f>
        <v>N/T</v>
      </c>
      <c r="Y51" s="215" t="str" cm="1">
        <f t="array" aca="1" ref="Y51" ca="1">IF($B51="","",IF(ISBLANK(INDIRECT("R6.Voz!D"&amp;SUM(18,38*17,32))),"",INDIRECT("R6.Voz!D"&amp;SUM(18,38*17,32))))</f>
        <v>N/T</v>
      </c>
      <c r="Z51" s="215" t="str" cm="1">
        <f t="array" aca="1" ref="Z51" ca="1">IF($B51="","",IF(ISBLANK(INDIRECT("R6.Voz!D"&amp;SUM(18,38*18,32))),"",INDIRECT("R6.Voz!D"&amp;SUM(18,38*18,32))))</f>
        <v>N/T</v>
      </c>
      <c r="AA51" s="215" t="str" cm="1">
        <f t="array" aca="1" ref="AA51" ca="1">IF($B51="","",IF(ISBLANK(INDIRECT("R7.Video!D"&amp;SUM(18,38*0,32))),"",INDIRECT("R7.Video!D"&amp;SUM(18,38*0,32))))</f>
        <v>N/T</v>
      </c>
      <c r="AB51" s="215" t="str" cm="1">
        <f t="array" aca="1" ref="AB51" ca="1">IF($B51="","",IF(ISBLANK(INDIRECT("R7.Video!D"&amp;SUM(18,38*1,32))),"",INDIRECT("R7.Video!D"&amp;SUM(18,38*1,32))))</f>
        <v>N/T</v>
      </c>
      <c r="AC51" s="215" t="str" cm="1">
        <f t="array" aca="1" ref="AC51" ca="1">IF($B51="","",IF(ISBLANK(INDIRECT("R7.Video!D"&amp;SUM(18,38*2,32))),"",INDIRECT("R7.Video!D"&amp;SUM(18,38*2,32))))</f>
        <v>N/T</v>
      </c>
      <c r="AD51" s="215" t="str" cm="1">
        <f t="array" aca="1" ref="AD51" ca="1">IF($B51="","",IF(ISBLANK(INDIRECT("R7.Video!D"&amp;SUM(18,38*3,32))),"",INDIRECT("R7.Video!D"&amp;SUM(18,38*3,32))))</f>
        <v>N/T</v>
      </c>
      <c r="AE51" s="215" t="str" cm="1">
        <f t="array" aca="1" ref="AE51" ca="1">IF($B51="","",IF(ISBLANK(INDIRECT("R7.Video!D"&amp;SUM(18,38*4,32))),"",INDIRECT("R7.Video!D"&amp;SUM(18,38*4,32))))</f>
        <v>N/T</v>
      </c>
      <c r="AF51" s="215" t="str" cm="1">
        <f t="array" aca="1" ref="AF51" ca="1">IF($B51="","",IF(ISBLANK(INDIRECT("R7.Video!D"&amp;SUM(18,38*5,32))),"",INDIRECT("R7.Video!D"&amp;SUM(18,38*5,32))))</f>
        <v>N/T</v>
      </c>
      <c r="AG51" s="215" t="str" cm="1">
        <f t="array" aca="1" ref="AG51" ca="1">IF($B51="","",IF(ISBLANK(INDIRECT("R7.Video!D"&amp;SUM(18,38*6,32))),"",INDIRECT("R7.Video!D"&amp;SUM(18,38*6,32))))</f>
        <v>N/T</v>
      </c>
      <c r="AH51" s="215" t="str" cm="1">
        <f t="array" aca="1" ref="AH51" ca="1">IF($B51="","",IF(ISBLANK(INDIRECT("R7.Video!D"&amp;SUM(18,38*7,32))),"",INDIRECT("R7.Video!D"&amp;SUM(18,38*7,32))))</f>
        <v>N/T</v>
      </c>
      <c r="AI51" s="215" t="str" cm="1">
        <f t="array" aca="1" ref="AI51" ca="1">IF($B51="","",IF(ISBLANK(INDIRECT("R7.Video!D"&amp;SUM(18,38*8,32))),"",INDIRECT("R7.Video!D"&amp;SUM(18,38*8,32))))</f>
        <v>N/T</v>
      </c>
      <c r="AJ51" s="215" t="str" cm="1">
        <f t="array" aca="1" ref="AJ51" ca="1">IF($B51="","",IF(ISBLANK(INDIRECT("R9.Web!D"&amp;SUM(18,38*0,32))),"",INDIRECT("R9.Web!D"&amp;SUM(18,38*0,32))))</f>
        <v>N/D</v>
      </c>
      <c r="AK51" s="215" t="str" cm="1">
        <f t="array" aca="1" ref="AK51" ca="1">IF($B51="","",IF(ISBLANK(INDIRECT("R9.Web!D"&amp;SUM(18,38*1,32))),"",INDIRECT("R9.Web!D"&amp;SUM(18,38*1,32))))</f>
        <v>N/T</v>
      </c>
      <c r="AL51" s="215" t="str" cm="1">
        <f t="array" aca="1" ref="AL51" ca="1">IF($B51="","",IF(ISBLANK(INDIRECT("R9.Web!D"&amp;SUM(18,38*2,32))),"",INDIRECT("R9.Web!D"&amp;SUM(18,38*2,32))))</f>
        <v>N/T</v>
      </c>
      <c r="AM51" s="215" t="str" cm="1">
        <f t="array" aca="1" ref="AM51" ca="1">IF($B51="","",IF(ISBLANK(INDIRECT("R9.Web!D"&amp;SUM(18,38*3,32))),"",INDIRECT("R9.Web!D"&amp;SUM(18,38*3,32))))</f>
        <v>N/T</v>
      </c>
      <c r="AN51" s="215" t="str" cm="1">
        <f t="array" aca="1" ref="AN51" ca="1">IF($B51="","",IF(ISBLANK(INDIRECT("R9.Web!D"&amp;SUM(18,38*4,32))),"",INDIRECT("R9.Web!D"&amp;SUM(18,38*4,32))))</f>
        <v>N/T</v>
      </c>
      <c r="AO51" s="215" t="str" cm="1">
        <f t="array" aca="1" ref="AO51" ca="1">IF($B51="","",IF(ISBLANK(INDIRECT("R9.Web!D"&amp;SUM(18,38*5,32))),"",INDIRECT("R9.Web!D"&amp;SUM(18,38*5,32))))</f>
        <v>N/D</v>
      </c>
      <c r="AP51" s="215" t="str" cm="1">
        <f t="array" aca="1" ref="AP51" ca="1">IF($B51="","",IF(ISBLANK(INDIRECT("R9.Web!D"&amp;SUM(18,38*6,32))),"",INDIRECT("R9.Web!D"&amp;SUM(18,38*6,32))))</f>
        <v>N/T</v>
      </c>
      <c r="AQ51" s="215" t="str" cm="1">
        <f t="array" aca="1" ref="AQ51" ca="1">IF($B51="","",IF(ISBLANK(INDIRECT("R9.Web!D"&amp;SUM(18,38*7,32))),"",INDIRECT("R9.Web!D"&amp;SUM(18,38*7,32))))</f>
        <v>N/T</v>
      </c>
      <c r="AR51" s="215" t="str" cm="1">
        <f t="array" aca="1" ref="AR51" ca="1">IF($B51="","",IF(ISBLANK(INDIRECT("R9.Web!D"&amp;SUM(18,38*8,32))),"",INDIRECT("R9.Web!D"&amp;SUM(18,38*8,32))))</f>
        <v>N/D</v>
      </c>
      <c r="AS51" s="215" t="str" cm="1">
        <f t="array" aca="1" ref="AS51" ca="1">IF($B51="","",IF(ISBLANK(INDIRECT("R9.Web!D"&amp;SUM(18,38*9,32))),"",INDIRECT("R9.Web!D"&amp;SUM(18,38*9,32))))</f>
        <v>N/D</v>
      </c>
      <c r="AT51" s="215" t="str" cm="1">
        <f t="array" aca="1" ref="AT51" ca="1">IF($B51="","",IF(ISBLANK(INDIRECT("R9.Web!D"&amp;SUM(18,38*10,32))),"",INDIRECT("R9.Web!D"&amp;SUM(18,38*10,32))))</f>
        <v>N/T</v>
      </c>
      <c r="AU51" s="215" t="str" cm="1">
        <f t="array" aca="1" ref="AU51" ca="1">IF($B51="","",IF(ISBLANK(INDIRECT("R9.Web!D"&amp;SUM(18,38*11,32))),"",INDIRECT("R9.Web!D"&amp;SUM(18,38*11,32))))</f>
        <v>N/T</v>
      </c>
      <c r="AV51" s="215" t="str" cm="1">
        <f t="array" aca="1" ref="AV51" ca="1">IF($B51="","",IF(ISBLANK(INDIRECT("R9.Web!D"&amp;SUM(18,38*12,32))),"",INDIRECT("R9.Web!D"&amp;SUM(18,38*12,32))))</f>
        <v>N/D</v>
      </c>
      <c r="AW51" s="215" t="str" cm="1">
        <f t="array" aca="1" ref="AW51" ca="1">IF($B51="","",IF(ISBLANK(INDIRECT("R9.Web!D"&amp;SUM(18,38*13,32))),"",INDIRECT("R9.Web!D"&amp;SUM(18,38*13,32))))</f>
        <v>N/T</v>
      </c>
      <c r="AX51" s="215" t="str" cm="1">
        <f t="array" aca="1" ref="AX51" ca="1">IF($B51="","",IF(ISBLANK(INDIRECT("R9.Web!D"&amp;SUM(18,38*14,32))),"",INDIRECT("R9.Web!D"&amp;SUM(18,38*14,32))))</f>
        <v>N/T</v>
      </c>
      <c r="AY51" s="215" t="str" cm="1">
        <f t="array" aca="1" ref="AY51" ca="1">IF($B51="","",IF(ISBLANK(INDIRECT("R9.Web!D"&amp;SUM(18,38*15,32))),"",INDIRECT("R9.Web!D"&amp;SUM(18,38*15,32))))</f>
        <v>N/D</v>
      </c>
      <c r="AZ51" s="215" t="str" cm="1">
        <f t="array" aca="1" ref="AZ51" ca="1">IF($B51="","",IF(ISBLANK(INDIRECT("R9.Web!D"&amp;SUM(18,38*16,32))),"",INDIRECT("R9.Web!D"&amp;SUM(18,38*16,32))))</f>
        <v>N/T</v>
      </c>
      <c r="BA51" s="215" t="str" cm="1">
        <f t="array" aca="1" ref="BA51" ca="1">IF($B51="","",IF(ISBLANK(INDIRECT("R9.Web!D"&amp;SUM(18,38*17,32))),"",INDIRECT("R9.Web!D"&amp;SUM(18,38*17,32))))</f>
        <v>N/D</v>
      </c>
      <c r="BB51" s="215" t="str" cm="1">
        <f t="array" aca="1" ref="BB51" ca="1">IF($B51="","",IF(ISBLANK(INDIRECT("R9.Web!D"&amp;SUM(18,38*18,32))),"",INDIRECT("R9.Web!D"&amp;SUM(18,38*18,32))))</f>
        <v>N/T</v>
      </c>
      <c r="BC51" s="215" t="str" cm="1">
        <f t="array" aca="1" ref="BC51" ca="1">IF($B51="","",IF(ISBLANK(INDIRECT("R9.Web!D"&amp;SUM(18,38*19,32))),"",INDIRECT("R9.Web!D"&amp;SUM(18,38*19,32))))</f>
        <v>N/D</v>
      </c>
      <c r="BD51" s="215" t="str" cm="1">
        <f t="array" aca="1" ref="BD51" ca="1">IF($B51="","",IF(ISBLANK(INDIRECT("R9.Web!D"&amp;SUM(18,38*20,32))),"",INDIRECT("R9.Web!D"&amp;SUM(18,38*20,32))))</f>
        <v>N/T</v>
      </c>
      <c r="BE51" s="215" t="str" cm="1">
        <f t="array" aca="1" ref="BE51" ca="1">IF($B51="","",IF(ISBLANK(INDIRECT("R9.Web!D"&amp;SUM(18,38*21,32))),"",INDIRECT("R9.Web!D"&amp;SUM(18,38*21,32))))</f>
        <v>N/T</v>
      </c>
      <c r="BF51" s="215" t="str" cm="1">
        <f t="array" aca="1" ref="BF51" ca="1">IF($B51="","",IF(ISBLANK(INDIRECT("R9.Web!D"&amp;SUM(18,38*22,32))),"",INDIRECT("R9.Web!D"&amp;SUM(18,38*22,32))))</f>
        <v>N/D</v>
      </c>
      <c r="BG51" s="215" t="str" cm="1">
        <f t="array" aca="1" ref="BG51" ca="1">IF($B51="","",IF(ISBLANK(INDIRECT("R9.Web!D"&amp;SUM(18,38*23,32))),"",INDIRECT("R9.Web!D"&amp;SUM(18,38*23,32))))</f>
        <v>N/D</v>
      </c>
      <c r="BH51" s="215" t="str" cm="1">
        <f t="array" aca="1" ref="BH51" ca="1">IF($B51="","",IF(ISBLANK(INDIRECT("R9.Web!D"&amp;SUM(18,38*24,32))),"",INDIRECT("R9.Web!D"&amp;SUM(18,38*24,32))))</f>
        <v>N/T</v>
      </c>
      <c r="BI51" s="215" t="str" cm="1">
        <f t="array" aca="1" ref="BI51" ca="1">IF($B51="","",IF(ISBLANK(INDIRECT("R9.Web!D"&amp;SUM(18,38*25,32))),"",INDIRECT("R9.Web!D"&amp;SUM(18,38*25,32))))</f>
        <v>N/D</v>
      </c>
      <c r="BJ51" s="215" t="str" cm="1">
        <f t="array" aca="1" ref="BJ51" ca="1">IF($B51="","",IF(ISBLANK(INDIRECT("R9.Web!D"&amp;SUM(18,38*26,32))),"",INDIRECT("R9.Web!D"&amp;SUM(18,38*26,32))))</f>
        <v>N/D</v>
      </c>
      <c r="BK51" s="215" t="str" cm="1">
        <f t="array" aca="1" ref="BK51" ca="1">IF($B51="","",IF(ISBLANK(INDIRECT("R9.Web!D"&amp;SUM(18,38*27,32))),"",INDIRECT("R9.Web!D"&amp;SUM(18,38*27,32))))</f>
        <v>N/D</v>
      </c>
      <c r="BL51" s="215" t="str" cm="1">
        <f t="array" aca="1" ref="BL51" ca="1">IF($B51="","",IF(ISBLANK(INDIRECT("R9.Web!D"&amp;SUM(18,38*28,32))),"",INDIRECT("R9.Web!D"&amp;SUM(18,38*28,32))))</f>
        <v>N/D</v>
      </c>
      <c r="BM51" s="215" t="str" cm="1">
        <f t="array" aca="1" ref="BM51" ca="1">IF($B51="","",IF(ISBLANK(INDIRECT("R9.Web!D"&amp;SUM(18,38*29,32))),"",INDIRECT("R9.Web!D"&amp;SUM(18,38*29,32))))</f>
        <v>N/D</v>
      </c>
      <c r="BN51" s="215" t="str" cm="1">
        <f t="array" aca="1" ref="BN51" ca="1">IF($B51="","",IF(ISBLANK(INDIRECT("R9.Web!D"&amp;SUM(18,38*30,32))),"",INDIRECT("R9.Web!D"&amp;SUM(18,38*30,32))))</f>
        <v>N/T</v>
      </c>
      <c r="BO51" s="215" t="str" cm="1">
        <f t="array" aca="1" ref="BO51" ca="1">IF($B51="","",IF(ISBLANK(INDIRECT("R9.Web!D"&amp;SUM(18,38*31,32))),"",INDIRECT("R9.Web!D"&amp;SUM(18,38*31,32))))</f>
        <v>Falla</v>
      </c>
      <c r="BP51" s="215" t="str" cm="1">
        <f t="array" aca="1" ref="BP51" ca="1">IF($B51="","",IF(ISBLANK(INDIRECT("R9.Web!D"&amp;SUM(18,38*32,32))),"",INDIRECT("R9.Web!D"&amp;SUM(18,38*32,32))))</f>
        <v>N/T</v>
      </c>
      <c r="BQ51" s="215" t="str" cm="1">
        <f t="array" aca="1" ref="BQ51" ca="1">IF($B51="","",IF(ISBLANK(INDIRECT("R9.Web!D"&amp;SUM(18,38*33,32))),"",INDIRECT("R9.Web!D"&amp;SUM(18,38*33,32))))</f>
        <v>N/T</v>
      </c>
      <c r="BR51" s="215" t="str" cm="1">
        <f t="array" aca="1" ref="BR51" ca="1">IF($B51="","",IF(ISBLANK(INDIRECT("R9.Web!D"&amp;SUM(18,38*34,32))),"",INDIRECT("R9.Web!D"&amp;SUM(18,38*34,32))))</f>
        <v>N/D</v>
      </c>
      <c r="BS51" s="215" t="str" cm="1">
        <f t="array" aca="1" ref="BS51" ca="1">IF($B51="","",IF(ISBLANK(INDIRECT("R9.Web!D"&amp;SUM(18,38*35,32))),"",INDIRECT("R9.Web!D"&amp;SUM(18,38*35,32))))</f>
        <v>N/T</v>
      </c>
      <c r="BT51" s="215" t="str" cm="1">
        <f t="array" aca="1" ref="BT51" ca="1">IF($B51="","",IF(ISBLANK(INDIRECT("R9.Web!D"&amp;SUM(18,38*36,32))),"",INDIRECT("R9.Web!D"&amp;SUM(18,38*36,32))))</f>
        <v>N/D</v>
      </c>
      <c r="BU51" s="215" t="str" cm="1">
        <f t="array" aca="1" ref="BU51" ca="1">IF($B51="","",IF(ISBLANK(INDIRECT("R9.Web!D"&amp;SUM(18,38*37,32))),"",INDIRECT("R9.Web!D"&amp;SUM(18,38*37,32))))</f>
        <v>Falla</v>
      </c>
      <c r="BV51" s="215" t="str" cm="1">
        <f t="array" aca="1" ref="BV51" ca="1">IF($B51="","",IF(ISBLANK(INDIRECT("R9.Web!D"&amp;SUM(18,38*38,32))),"",INDIRECT("R9.Web!D"&amp;SUM(18,38*38,32))))</f>
        <v>N/D</v>
      </c>
      <c r="BW51" s="215" t="str" cm="1">
        <f t="array" aca="1" ref="BW51" ca="1">IF($B51="","",IF(ISBLANK(INDIRECT("R9.Web!D"&amp;SUM(18,38*39,32))),"",INDIRECT("R9.Web!D"&amp;SUM(18,38*39,32))))</f>
        <v>N/D</v>
      </c>
      <c r="BX51" s="215" t="str" cm="1">
        <f t="array" aca="1" ref="BX51" ca="1">IF($B51="","",IF(ISBLANK(INDIRECT("R9.Web!D"&amp;SUM(18,38*40,32))),"",INDIRECT("R9.Web!D"&amp;SUM(18,38*40,32))))</f>
        <v>N/D</v>
      </c>
      <c r="BY51" s="215" t="str" cm="1">
        <f t="array" aca="1" ref="BY51" ca="1">IF($B51="","",IF(ISBLANK(INDIRECT("R9.Web!D"&amp;SUM(18,38*41,32))),"",INDIRECT("R9.Web!D"&amp;SUM(18,38*41,32))))</f>
        <v>N/T</v>
      </c>
      <c r="BZ51" s="215" t="str" cm="1">
        <f t="array" aca="1" ref="BZ51" ca="1">IF($B51="","",IF(ISBLANK(INDIRECT("R9.Web!D"&amp;SUM(18,38*42,32))),"",INDIRECT("R9.Web!D"&amp;SUM(18,38*42,32))))</f>
        <v>N/T</v>
      </c>
      <c r="CA51" s="215" t="str" cm="1">
        <f t="array" aca="1" ref="CA51" ca="1">IF($B51="","",IF(ISBLANK(INDIRECT("R9.Web!D"&amp;SUM(18,38*43,32))),"",INDIRECT("R9.Web!D"&amp;SUM(18,38*43,32))))</f>
        <v>N/D</v>
      </c>
      <c r="CB51" s="215" t="str" cm="1">
        <f t="array" aca="1" ref="CB51" ca="1">IF($B51="","",IF(ISBLANK(INDIRECT("R9.Web!D"&amp;SUM(18,38*44,32))),"",INDIRECT("R9.Web!D"&amp;SUM(18,38*44,32))))</f>
        <v>N/T</v>
      </c>
      <c r="CC51" s="215" t="str" cm="1">
        <f t="array" aca="1" ref="CC51" ca="1">IF($B51="","",IF(ISBLANK(INDIRECT("R9.Web!D"&amp;SUM(18,38*45,32))),"",INDIRECT("R9.Web!D"&amp;SUM(18,38*45,32))))</f>
        <v>N/T</v>
      </c>
      <c r="CD51" s="215" t="str" cm="1">
        <f t="array" aca="1" ref="CD51" ca="1">IF($B51="","",IF(ISBLANK(INDIRECT("R9.Web!D"&amp;SUM(18,38*46,32))),"",INDIRECT("R9.Web!D"&amp;SUM(18,38*46,32))))</f>
        <v>N/T</v>
      </c>
      <c r="CE51" s="215" t="str" cm="1">
        <f t="array" aca="1" ref="CE51" ca="1">IF($B51="","",IF(ISBLANK(INDIRECT("R9.Web!D"&amp;SUM(18,38*47,32))),"",INDIRECT("R9.Web!D"&amp;SUM(18,38*47,32))))</f>
        <v>N/D</v>
      </c>
      <c r="CF51" s="215" t="str" cm="1">
        <f t="array" aca="1" ref="CF51" ca="1">IF($B51="","",IF(ISBLANK(INDIRECT("R9.Web!D"&amp;SUM(18,38*48,32))),"",INDIRECT("R9.Web!D"&amp;SUM(18,38*48,32))))</f>
        <v>N/T</v>
      </c>
      <c r="CG51" s="215" t="str" cm="1">
        <f t="array" aca="1" ref="CG51" ca="1">IF($B51="","",IF(ISBLANK(INDIRECT("R9.Web!D"&amp;SUM(18,38*49,32))),"",INDIRECT("R9.Web!D"&amp;SUM(18,38*49,32))))</f>
        <v>N/T</v>
      </c>
      <c r="CH51" s="215" t="str" cm="1">
        <f t="array" aca="1" ref="CH51" ca="1">IF($B51="","",IF(ISBLANK(INDIRECT("R11.Software!D"&amp;SUM(18,38*0,32))),"",INDIRECT("R11.Software!D"&amp;SUM(18,38*0,32))))</f>
        <v>N/T</v>
      </c>
      <c r="CI51" s="215" t="str" cm="1">
        <f t="array" aca="1" ref="CI51" ca="1">IF($B51="","",IF(ISBLANK(INDIRECT("R11.Software!D"&amp;SUM(18,38*1,32))),"",INDIRECT("R11.Software!D"&amp;SUM(18,38*1,32))))</f>
        <v>N/T</v>
      </c>
      <c r="CJ51" s="215" t="str" cm="1">
        <f t="array" aca="1" ref="CJ51" ca="1">IF($B51="","",IF(ISBLANK(INDIRECT("R11.Software!D"&amp;SUM(18,38*2,32))),"",INDIRECT("R11.Software!D"&amp;SUM(18,38*2,32))))</f>
        <v>N/T</v>
      </c>
      <c r="CK51" s="215" t="str" cm="1">
        <f t="array" aca="1" ref="CK51" ca="1">IF($B51="","",IF(ISBLANK(INDIRECT("R11.Software!D"&amp;SUM(18,38*3,32))),"",INDIRECT("R11.Software!D"&amp;SUM(18,38*3,32))))</f>
        <v>N/T</v>
      </c>
      <c r="CL51" s="215" t="str" cm="1">
        <f t="array" aca="1" ref="CL51" ca="1">IF($B51="","",IF(ISBLANK(INDIRECT("R11.Software!D"&amp;SUM(18,38*4,32))),"",INDIRECT("R11.Software!D"&amp;SUM(18,38*4,32))))</f>
        <v>N/T</v>
      </c>
      <c r="CM51" s="215" t="str" cm="1">
        <f t="array" aca="1" ref="CM51" ca="1">IF($B51="","",IF(ISBLANK(INDIRECT("R11.Software!D"&amp;SUM(18,38*5,32))),"",INDIRECT("R11.Software!D"&amp;SUM(18,38*5,32))))</f>
        <v>N/T</v>
      </c>
      <c r="CN51" s="215" t="str" cm="1">
        <f t="array" aca="1" ref="CN51" ca="1">IF($B51="","",IF(ISBLANK(INDIRECT("R12.ServiciosApoyo!D"&amp;SUM(18,38*0,32))),"",INDIRECT("R12.ServiciosApoyo!D"&amp;SUM(18,38*0,32))))</f>
        <v>N/T</v>
      </c>
      <c r="CO51" s="215" t="str" cm="1">
        <f t="array" aca="1" ref="CO51" ca="1">IF($B51="","",IF(ISBLANK(INDIRECT("R12.ServiciosApoyo!D"&amp;SUM(18,38*1,32))),"",INDIRECT("R12.ServiciosApoyo!D"&amp;SUM(18,38*1,32))))</f>
        <v>N/T</v>
      </c>
      <c r="CP51" s="215" t="str" cm="1">
        <f t="array" aca="1" ref="CP51" ca="1">IF($B51="","",IF(ISBLANK(INDIRECT("R12.ServiciosApoyo!D"&amp;SUM(18,38*2,32))),"",INDIRECT("R12.ServiciosApoyo!D"&amp;SUM(18,38*2,32))))</f>
        <v>N/T</v>
      </c>
      <c r="CQ51" s="215" t="str" cm="1">
        <f t="array" aca="1" ref="CQ51" ca="1">IF($B51="","",IF(ISBLANK(INDIRECT("R12.ServiciosApoyo!D"&amp;SUM(18,38*3,32))),"",INDIRECT("R12.ServiciosApoyo!D"&amp;SUM(18,38*3,32))))</f>
        <v>N/T</v>
      </c>
      <c r="CR51" s="215" t="str" cm="1">
        <f t="array" aca="1" ref="CR51" ca="1">IF($B51="","",IF(ISBLANK(INDIRECT("R12.ServiciosApoyo!D"&amp;SUM(18,38*4,32))),"",INDIRECT("R12.ServiciosApoyo!D"&amp;SUM(18,38*4,32))))</f>
        <v>N/T</v>
      </c>
      <c r="CU51" s="100"/>
      <c r="CV51" s="29"/>
      <c r="CW51" s="29"/>
      <c r="CX51" s="29"/>
    </row>
    <row r="52" spans="2:102" ht="20.25">
      <c r="B52" s="181" t="n" cm="1">
        <f t="array" ref="B52">IFERROR(INDEX('03.Muestra'!$B$8:$B$42,SMALL(IF("Página Web"='03.Muestra'!$D$8:$D$42,ROW('03.Muestra'!$B$8:$B$42)-MIN(ROW('03.Muestra'!$D$8:$D$42))+1,""),ROW()-19)),"")</f>
        <v>1.0</v>
      </c>
      <c r="C52" s="97" t="str" cm="1">
        <f t="array" ref="C52">IFERROR(INDEX('03.Muestra'!$C$8:$C$42,SMALL(IF("Página Web"='03.Muestra'!$D$8:$D$42,ROW('03.Muestra'!$C$8:$C$42)-MIN(ROW('03.Muestra'!$D$8:$D$42))+1,""),ROW()-19)),"")</f>
        <v>Home - PortCastelló</v>
      </c>
      <c r="D52" s="98" t="str" cm="1">
        <f t="array" ref="D52">IFERROR(INDEX('03.Muestra'!$F$8:$F$42,SMALL(IF("Página Web"='03.Muestra'!$D$8:$D$42,ROW('03.Muestra'!$F$8:$F$42)-MIN(ROW('03.Muestra'!$D$8:$D$42))+1,""),ROW()-19)),"")</f>
        <v>https://www.portcastello.com/</v>
      </c>
      <c r="E52" s="215" t="str" cm="1">
        <f t="array" aca="1" ref="E52" ca="1">IF($B52="","",IF(ISBLANK(INDIRECT("R5.Genéricos!D"&amp;SUM(18,38*0,33))),"",INDIRECT("R5.Genéricos!D"&amp;SUM(18,38*0,33))))</f>
        <v>N/T</v>
      </c>
      <c r="F52" s="215" t="str" cm="1">
        <f t="array" aca="1" ref="F52" ca="1">IF($B52="","",IF(ISBLANK(INDIRECT("R5.Genéricos!D"&amp;SUM(18,38*1,33))),"",INDIRECT("R5.Genéricos!D"&amp;SUM(18,38*1,33))))</f>
        <v>N/T</v>
      </c>
      <c r="G52" s="215" t="str" cm="1">
        <f t="array" aca="1" ref="G52" ca="1">IF($B52="","",IF(ISBLANK(INDIRECT("R5.Genéricos!D"&amp;SUM(18,38*2,33))),"",INDIRECT("R5.Genéricos!D"&amp;SUM(18,38*2,33))))</f>
        <v>N/T</v>
      </c>
      <c r="H52" s="215" t="str" cm="1">
        <f t="array" aca="1" ref="H52" ca="1">IF($B52="","",IF(ISBLANK(INDIRECT("R6.Voz!D"&amp;SUM(18,38*0,33))),"",INDIRECT("R6.Voz!D"&amp;SUM(18,38*0,33))))</f>
        <v>N/T</v>
      </c>
      <c r="I52" s="215" t="str" cm="1">
        <f t="array" aca="1" ref="I52" ca="1">IF($B52="","",IF(ISBLANK(INDIRECT("R6.Voz!D"&amp;SUM(18,38*1,33))),"",INDIRECT("R6.Voz!D"&amp;SUM(18,38*1,33))))</f>
        <v>N/T</v>
      </c>
      <c r="J52" s="215" t="str" cm="1">
        <f t="array" aca="1" ref="J52" ca="1">IF($B52="","",IF(ISBLANK(INDIRECT("R6.Voz!D"&amp;SUM(18,38*2,33))),"",INDIRECT("R6.Voz!D"&amp;SUM(18,38*2,33))))</f>
        <v>N/T</v>
      </c>
      <c r="K52" s="215" t="str" cm="1">
        <f t="array" aca="1" ref="K52" ca="1">IF($B52="","",IF(ISBLANK(INDIRECT("R6.Voz!D"&amp;SUM(18,38*3,33))),"",INDIRECT("R6.Voz!D"&amp;SUM(18,38*3,33))))</f>
        <v>N/T</v>
      </c>
      <c r="L52" s="215" t="str" cm="1">
        <f t="array" aca="1" ref="L52" ca="1">IF($B52="","",IF(ISBLANK(INDIRECT("R6.Voz!D"&amp;SUM(18,38*4,33))),"",INDIRECT("R6.Voz!D"&amp;SUM(18,38*4,33))))</f>
        <v>N/T</v>
      </c>
      <c r="M52" s="215" t="str" cm="1">
        <f t="array" aca="1" ref="M52" ca="1">IF($B52="","",IF(ISBLANK(INDIRECT("R6.Voz!D"&amp;SUM(18,38*5,33))),"",INDIRECT("R6.Voz!D"&amp;SUM(18,38*5,33))))</f>
        <v>N/T</v>
      </c>
      <c r="N52" s="215" t="str" cm="1">
        <f t="array" aca="1" ref="N52" ca="1">IF($B52="","",IF(ISBLANK(INDIRECT("R6.Voz!D"&amp;SUM(18,38*6,33))),"",INDIRECT("R6.Voz!D"&amp;SUM(18,38*6,33))))</f>
        <v>N/T</v>
      </c>
      <c r="O52" s="215" t="str" cm="1">
        <f t="array" aca="1" ref="O52" ca="1">IF($B52="","",IF(ISBLANK(INDIRECT("R6.Voz!D"&amp;SUM(18,38*7,33))),"",INDIRECT("R6.Voz!D"&amp;SUM(18,38*7,33))))</f>
        <v>N/T</v>
      </c>
      <c r="P52" s="215" t="str" cm="1">
        <f t="array" aca="1" ref="P52" ca="1">IF($B52="","",IF(ISBLANK(INDIRECT("R6.Voz!D"&amp;SUM(18,38*8,33))),"",INDIRECT("R6.Voz!D"&amp;SUM(18,38*8,33))))</f>
        <v>N/T</v>
      </c>
      <c r="Q52" s="215" t="str" cm="1">
        <f t="array" aca="1" ref="Q52" ca="1">IF($B52="","",IF(ISBLANK(INDIRECT("R6.Voz!D"&amp;SUM(18,38*9,33))),"",INDIRECT("R6.Voz!D"&amp;SUM(18,38*9,33))))</f>
        <v>N/T</v>
      </c>
      <c r="R52" s="215" t="str" cm="1">
        <f t="array" aca="1" ref="R52" ca="1">IF($B52="","",IF(ISBLANK(INDIRECT("R6.Voz!D"&amp;SUM(18,38*10,33))),"",INDIRECT("R6.Voz!D"&amp;SUM(18,38*10,33))))</f>
        <v>N/T</v>
      </c>
      <c r="S52" s="215" t="str" cm="1">
        <f t="array" aca="1" ref="S52" ca="1">IF($B52="","",IF(ISBLANK(INDIRECT("R6.Voz!D"&amp;SUM(18,38*11,33))),"",INDIRECT("R6.Voz!D"&amp;SUM(18,38*11,33))))</f>
        <v>N/T</v>
      </c>
      <c r="T52" s="215" t="str" cm="1">
        <f t="array" aca="1" ref="T52" ca="1">IF($B52="","",IF(ISBLANK(INDIRECT("R6.Voz!D"&amp;SUM(18,38*12,33))),"",INDIRECT("R6.Voz!D"&amp;SUM(18,38*12,33))))</f>
        <v>N/T</v>
      </c>
      <c r="U52" s="215" t="str" cm="1">
        <f t="array" aca="1" ref="U52" ca="1">IF($B52="","",IF(ISBLANK(INDIRECT("R6.Voz!D"&amp;SUM(18,38*13,33))),"",INDIRECT("R6.Voz!D"&amp;SUM(18,38*13,33))))</f>
        <v>N/T</v>
      </c>
      <c r="V52" s="215" t="str" cm="1">
        <f t="array" aca="1" ref="V52" ca="1">IF($B52="","",IF(ISBLANK(INDIRECT("R6.Voz!D"&amp;SUM(18,38*14,33))),"",INDIRECT("R6.Voz!D"&amp;SUM(18,38*14,33))))</f>
        <v>N/T</v>
      </c>
      <c r="W52" s="215" t="str" cm="1">
        <f t="array" aca="1" ref="W52" ca="1">IF($B52="","",IF(ISBLANK(INDIRECT("R6.Voz!D"&amp;SUM(18,38*15,33))),"",INDIRECT("R6.Voz!D"&amp;SUM(18,38*15,33))))</f>
        <v>N/T</v>
      </c>
      <c r="X52" s="215" t="str" cm="1">
        <f t="array" aca="1" ref="X52" ca="1">IF($B52="","",IF(ISBLANK(INDIRECT("R6.Voz!D"&amp;SUM(18,38*16,33))),"",INDIRECT("R6.Voz!D"&amp;SUM(18,38*16,33))))</f>
        <v>N/T</v>
      </c>
      <c r="Y52" s="215" t="str" cm="1">
        <f t="array" aca="1" ref="Y52" ca="1">IF($B52="","",IF(ISBLANK(INDIRECT("R6.Voz!D"&amp;SUM(18,38*17,33))),"",INDIRECT("R6.Voz!D"&amp;SUM(18,38*17,33))))</f>
        <v>N/T</v>
      </c>
      <c r="Z52" s="215" t="str" cm="1">
        <f t="array" aca="1" ref="Z52" ca="1">IF($B52="","",IF(ISBLANK(INDIRECT("R6.Voz!D"&amp;SUM(18,38*18,33))),"",INDIRECT("R6.Voz!D"&amp;SUM(18,38*18,33))))</f>
        <v>N/T</v>
      </c>
      <c r="AA52" s="215" t="str" cm="1">
        <f t="array" aca="1" ref="AA52" ca="1">IF($B52="","",IF(ISBLANK(INDIRECT("R7.Video!D"&amp;SUM(18,38*0,33))),"",INDIRECT("R7.Video!D"&amp;SUM(18,38*0,33))))</f>
        <v>N/T</v>
      </c>
      <c r="AB52" s="215" t="str" cm="1">
        <f t="array" aca="1" ref="AB52" ca="1">IF($B52="","",IF(ISBLANK(INDIRECT("R7.Video!D"&amp;SUM(18,38*1,33))),"",INDIRECT("R7.Video!D"&amp;SUM(18,38*1,33))))</f>
        <v>N/T</v>
      </c>
      <c r="AC52" s="215" t="str" cm="1">
        <f t="array" aca="1" ref="AC52" ca="1">IF($B52="","",IF(ISBLANK(INDIRECT("R7.Video!D"&amp;SUM(18,38*2,33))),"",INDIRECT("R7.Video!D"&amp;SUM(18,38*2,33))))</f>
        <v>N/T</v>
      </c>
      <c r="AD52" s="215" t="str" cm="1">
        <f t="array" aca="1" ref="AD52" ca="1">IF($B52="","",IF(ISBLANK(INDIRECT("R7.Video!D"&amp;SUM(18,38*3,33))),"",INDIRECT("R7.Video!D"&amp;SUM(18,38*3,33))))</f>
        <v>N/T</v>
      </c>
      <c r="AE52" s="215" t="str" cm="1">
        <f t="array" aca="1" ref="AE52" ca="1">IF($B52="","",IF(ISBLANK(INDIRECT("R7.Video!D"&amp;SUM(18,38*4,33))),"",INDIRECT("R7.Video!D"&amp;SUM(18,38*4,33))))</f>
        <v>N/T</v>
      </c>
      <c r="AF52" s="215" t="str" cm="1">
        <f t="array" aca="1" ref="AF52" ca="1">IF($B52="","",IF(ISBLANK(INDIRECT("R7.Video!D"&amp;SUM(18,38*5,33))),"",INDIRECT("R7.Video!D"&amp;SUM(18,38*5,33))))</f>
        <v>N/T</v>
      </c>
      <c r="AG52" s="215" t="str" cm="1">
        <f t="array" aca="1" ref="AG52" ca="1">IF($B52="","",IF(ISBLANK(INDIRECT("R7.Video!D"&amp;SUM(18,38*6,33))),"",INDIRECT("R7.Video!D"&amp;SUM(18,38*6,33))))</f>
        <v>N/T</v>
      </c>
      <c r="AH52" s="215" t="str" cm="1">
        <f t="array" aca="1" ref="AH52" ca="1">IF($B52="","",IF(ISBLANK(INDIRECT("R7.Video!D"&amp;SUM(18,38*7,33))),"",INDIRECT("R7.Video!D"&amp;SUM(18,38*7,33))))</f>
        <v>N/T</v>
      </c>
      <c r="AI52" s="215" t="str" cm="1">
        <f t="array" aca="1" ref="AI52" ca="1">IF($B52="","",IF(ISBLANK(INDIRECT("R7.Video!D"&amp;SUM(18,38*8,33))),"",INDIRECT("R7.Video!D"&amp;SUM(18,38*8,33))))</f>
        <v>N/T</v>
      </c>
      <c r="AJ52" s="215" t="str" cm="1">
        <f t="array" aca="1" ref="AJ52" ca="1">IF($B52="","",IF(ISBLANK(INDIRECT("R9.Web!D"&amp;SUM(18,38*0,33))),"",INDIRECT("R9.Web!D"&amp;SUM(18,38*0,33))))</f>
        <v>N/D</v>
      </c>
      <c r="AK52" s="215" t="str" cm="1">
        <f t="array" aca="1" ref="AK52" ca="1">IF($B52="","",IF(ISBLANK(INDIRECT("R9.Web!D"&amp;SUM(18,38*1,33))),"",INDIRECT("R9.Web!D"&amp;SUM(18,38*1,33))))</f>
        <v>N/T</v>
      </c>
      <c r="AL52" s="215" t="str" cm="1">
        <f t="array" aca="1" ref="AL52" ca="1">IF($B52="","",IF(ISBLANK(INDIRECT("R9.Web!D"&amp;SUM(18,38*2,33))),"",INDIRECT("R9.Web!D"&amp;SUM(18,38*2,33))))</f>
        <v>N/T</v>
      </c>
      <c r="AM52" s="215" t="str" cm="1">
        <f t="array" aca="1" ref="AM52" ca="1">IF($B52="","",IF(ISBLANK(INDIRECT("R9.Web!D"&amp;SUM(18,38*3,33))),"",INDIRECT("R9.Web!D"&amp;SUM(18,38*3,33))))</f>
        <v>N/T</v>
      </c>
      <c r="AN52" s="215" t="str" cm="1">
        <f t="array" aca="1" ref="AN52" ca="1">IF($B52="","",IF(ISBLANK(INDIRECT("R9.Web!D"&amp;SUM(18,38*4,33))),"",INDIRECT("R9.Web!D"&amp;SUM(18,38*4,33))))</f>
        <v>N/T</v>
      </c>
      <c r="AO52" s="215" t="str" cm="1">
        <f t="array" aca="1" ref="AO52" ca="1">IF($B52="","",IF(ISBLANK(INDIRECT("R9.Web!D"&amp;SUM(18,38*5,33))),"",INDIRECT("R9.Web!D"&amp;SUM(18,38*5,33))))</f>
        <v>N/D</v>
      </c>
      <c r="AP52" s="215" t="str" cm="1">
        <f t="array" aca="1" ref="AP52" ca="1">IF($B52="","",IF(ISBLANK(INDIRECT("R9.Web!D"&amp;SUM(18,38*6,33))),"",INDIRECT("R9.Web!D"&amp;SUM(18,38*6,33))))</f>
        <v>N/T</v>
      </c>
      <c r="AQ52" s="215" t="str" cm="1">
        <f t="array" aca="1" ref="AQ52" ca="1">IF($B52="","",IF(ISBLANK(INDIRECT("R9.Web!D"&amp;SUM(18,38*7,33))),"",INDIRECT("R9.Web!D"&amp;SUM(18,38*7,33))))</f>
        <v>N/T</v>
      </c>
      <c r="AR52" s="215" t="str" cm="1">
        <f t="array" aca="1" ref="AR52" ca="1">IF($B52="","",IF(ISBLANK(INDIRECT("R9.Web!D"&amp;SUM(18,38*8,33))),"",INDIRECT("R9.Web!D"&amp;SUM(18,38*8,33))))</f>
        <v>N/D</v>
      </c>
      <c r="AS52" s="215" t="str" cm="1">
        <f t="array" aca="1" ref="AS52" ca="1">IF($B52="","",IF(ISBLANK(INDIRECT("R9.Web!D"&amp;SUM(18,38*9,33))),"",INDIRECT("R9.Web!D"&amp;SUM(18,38*9,33))))</f>
        <v>N/D</v>
      </c>
      <c r="AT52" s="215" t="str" cm="1">
        <f t="array" aca="1" ref="AT52" ca="1">IF($B52="","",IF(ISBLANK(INDIRECT("R9.Web!D"&amp;SUM(18,38*10,33))),"",INDIRECT("R9.Web!D"&amp;SUM(18,38*10,33))))</f>
        <v>N/T</v>
      </c>
      <c r="AU52" s="215" t="str" cm="1">
        <f t="array" aca="1" ref="AU52" ca="1">IF($B52="","",IF(ISBLANK(INDIRECT("R9.Web!D"&amp;SUM(18,38*11,33))),"",INDIRECT("R9.Web!D"&amp;SUM(18,38*11,33))))</f>
        <v>N/T</v>
      </c>
      <c r="AV52" s="215" t="str" cm="1">
        <f t="array" aca="1" ref="AV52" ca="1">IF($B52="","",IF(ISBLANK(INDIRECT("R9.Web!D"&amp;SUM(18,38*12,33))),"",INDIRECT("R9.Web!D"&amp;SUM(18,38*12,33))))</f>
        <v>N/D</v>
      </c>
      <c r="AW52" s="215" t="str" cm="1">
        <f t="array" aca="1" ref="AW52" ca="1">IF($B52="","",IF(ISBLANK(INDIRECT("R9.Web!D"&amp;SUM(18,38*13,33))),"",INDIRECT("R9.Web!D"&amp;SUM(18,38*13,33))))</f>
        <v>N/T</v>
      </c>
      <c r="AX52" s="215" t="str" cm="1">
        <f t="array" aca="1" ref="AX52" ca="1">IF($B52="","",IF(ISBLANK(INDIRECT("R9.Web!D"&amp;SUM(18,38*14,33))),"",INDIRECT("R9.Web!D"&amp;SUM(18,38*14,33))))</f>
        <v>N/T</v>
      </c>
      <c r="AY52" s="215" t="str" cm="1">
        <f t="array" aca="1" ref="AY52" ca="1">IF($B52="","",IF(ISBLANK(INDIRECT("R9.Web!D"&amp;SUM(18,38*15,33))),"",INDIRECT("R9.Web!D"&amp;SUM(18,38*15,33))))</f>
        <v>N/D</v>
      </c>
      <c r="AZ52" s="215" t="str" cm="1">
        <f t="array" aca="1" ref="AZ52" ca="1">IF($B52="","",IF(ISBLANK(INDIRECT("R9.Web!D"&amp;SUM(18,38*16,33))),"",INDIRECT("R9.Web!D"&amp;SUM(18,38*16,33))))</f>
        <v>N/T</v>
      </c>
      <c r="BA52" s="215" t="str" cm="1">
        <f t="array" aca="1" ref="BA52" ca="1">IF($B52="","",IF(ISBLANK(INDIRECT("R9.Web!D"&amp;SUM(18,38*17,33))),"",INDIRECT("R9.Web!D"&amp;SUM(18,38*17,33))))</f>
        <v>N/D</v>
      </c>
      <c r="BB52" s="215" t="str" cm="1">
        <f t="array" aca="1" ref="BB52" ca="1">IF($B52="","",IF(ISBLANK(INDIRECT("R9.Web!D"&amp;SUM(18,38*18,33))),"",INDIRECT("R9.Web!D"&amp;SUM(18,38*18,33))))</f>
        <v>N/T</v>
      </c>
      <c r="BC52" s="215" t="str" cm="1">
        <f t="array" aca="1" ref="BC52" ca="1">IF($B52="","",IF(ISBLANK(INDIRECT("R9.Web!D"&amp;SUM(18,38*19,33))),"",INDIRECT("R9.Web!D"&amp;SUM(18,38*19,33))))</f>
        <v>N/D</v>
      </c>
      <c r="BD52" s="215" t="str" cm="1">
        <f t="array" aca="1" ref="BD52" ca="1">IF($B52="","",IF(ISBLANK(INDIRECT("R9.Web!D"&amp;SUM(18,38*20,33))),"",INDIRECT("R9.Web!D"&amp;SUM(18,38*20,33))))</f>
        <v>N/T</v>
      </c>
      <c r="BE52" s="215" t="str" cm="1">
        <f t="array" aca="1" ref="BE52" ca="1">IF($B52="","",IF(ISBLANK(INDIRECT("R9.Web!D"&amp;SUM(18,38*21,33))),"",INDIRECT("R9.Web!D"&amp;SUM(18,38*21,33))))</f>
        <v>N/T</v>
      </c>
      <c r="BF52" s="215" t="str" cm="1">
        <f t="array" aca="1" ref="BF52" ca="1">IF($B52="","",IF(ISBLANK(INDIRECT("R9.Web!D"&amp;SUM(18,38*22,33))),"",INDIRECT("R9.Web!D"&amp;SUM(18,38*22,33))))</f>
        <v>N/D</v>
      </c>
      <c r="BG52" s="215" t="str" cm="1">
        <f t="array" aca="1" ref="BG52" ca="1">IF($B52="","",IF(ISBLANK(INDIRECT("R9.Web!D"&amp;SUM(18,38*23,33))),"",INDIRECT("R9.Web!D"&amp;SUM(18,38*23,33))))</f>
        <v>N/D</v>
      </c>
      <c r="BH52" s="215" t="str" cm="1">
        <f t="array" aca="1" ref="BH52" ca="1">IF($B52="","",IF(ISBLANK(INDIRECT("R9.Web!D"&amp;SUM(18,38*24,33))),"",INDIRECT("R9.Web!D"&amp;SUM(18,38*24,33))))</f>
        <v>N/T</v>
      </c>
      <c r="BI52" s="215" t="str" cm="1">
        <f t="array" aca="1" ref="BI52" ca="1">IF($B52="","",IF(ISBLANK(INDIRECT("R9.Web!D"&amp;SUM(18,38*25,33))),"",INDIRECT("R9.Web!D"&amp;SUM(18,38*25,33))))</f>
        <v>N/D</v>
      </c>
      <c r="BJ52" s="215" t="str" cm="1">
        <f t="array" aca="1" ref="BJ52" ca="1">IF($B52="","",IF(ISBLANK(INDIRECT("R9.Web!D"&amp;SUM(18,38*26,33))),"",INDIRECT("R9.Web!D"&amp;SUM(18,38*26,33))))</f>
        <v>N/D</v>
      </c>
      <c r="BK52" s="215" t="str" cm="1">
        <f t="array" aca="1" ref="BK52" ca="1">IF($B52="","",IF(ISBLANK(INDIRECT("R9.Web!D"&amp;SUM(18,38*27,33))),"",INDIRECT("R9.Web!D"&amp;SUM(18,38*27,33))))</f>
        <v>N/D</v>
      </c>
      <c r="BL52" s="215" t="str" cm="1">
        <f t="array" aca="1" ref="BL52" ca="1">IF($B52="","",IF(ISBLANK(INDIRECT("R9.Web!D"&amp;SUM(18,38*28,33))),"",INDIRECT("R9.Web!D"&amp;SUM(18,38*28,33))))</f>
        <v>N/D</v>
      </c>
      <c r="BM52" s="215" t="str" cm="1">
        <f t="array" aca="1" ref="BM52" ca="1">IF($B52="","",IF(ISBLANK(INDIRECT("R9.Web!D"&amp;SUM(18,38*29,33))),"",INDIRECT("R9.Web!D"&amp;SUM(18,38*29,33))))</f>
        <v>N/D</v>
      </c>
      <c r="BN52" s="215" t="str" cm="1">
        <f t="array" aca="1" ref="BN52" ca="1">IF($B52="","",IF(ISBLANK(INDIRECT("R9.Web!D"&amp;SUM(18,38*30,33))),"",INDIRECT("R9.Web!D"&amp;SUM(18,38*30,33))))</f>
        <v>N/T</v>
      </c>
      <c r="BO52" s="215" t="str" cm="1">
        <f t="array" aca="1" ref="BO52" ca="1">IF($B52="","",IF(ISBLANK(INDIRECT("R9.Web!D"&amp;SUM(18,38*31,33))),"",INDIRECT("R9.Web!D"&amp;SUM(18,38*31,33))))</f>
        <v>Falla</v>
      </c>
      <c r="BP52" s="215" t="str" cm="1">
        <f t="array" aca="1" ref="BP52" ca="1">IF($B52="","",IF(ISBLANK(INDIRECT("R9.Web!D"&amp;SUM(18,38*32,33))),"",INDIRECT("R9.Web!D"&amp;SUM(18,38*32,33))))</f>
        <v>N/T</v>
      </c>
      <c r="BQ52" s="215" t="str" cm="1">
        <f t="array" aca="1" ref="BQ52" ca="1">IF($B52="","",IF(ISBLANK(INDIRECT("R9.Web!D"&amp;SUM(18,38*33,33))),"",INDIRECT("R9.Web!D"&amp;SUM(18,38*33,33))))</f>
        <v>N/T</v>
      </c>
      <c r="BR52" s="215" t="str" cm="1">
        <f t="array" aca="1" ref="BR52" ca="1">IF($B52="","",IF(ISBLANK(INDIRECT("R9.Web!D"&amp;SUM(18,38*34,33))),"",INDIRECT("R9.Web!D"&amp;SUM(18,38*34,33))))</f>
        <v>N/D</v>
      </c>
      <c r="BS52" s="215" t="str" cm="1">
        <f t="array" aca="1" ref="BS52" ca="1">IF($B52="","",IF(ISBLANK(INDIRECT("R9.Web!D"&amp;SUM(18,38*35,33))),"",INDIRECT("R9.Web!D"&amp;SUM(18,38*35,33))))</f>
        <v>N/T</v>
      </c>
      <c r="BT52" s="215" t="str" cm="1">
        <f t="array" aca="1" ref="BT52" ca="1">IF($B52="","",IF(ISBLANK(INDIRECT("R9.Web!D"&amp;SUM(18,38*36,33))),"",INDIRECT("R9.Web!D"&amp;SUM(18,38*36,33))))</f>
        <v>N/D</v>
      </c>
      <c r="BU52" s="215" t="str" cm="1">
        <f t="array" aca="1" ref="BU52" ca="1">IF($B52="","",IF(ISBLANK(INDIRECT("R9.Web!D"&amp;SUM(18,38*37,33))),"",INDIRECT("R9.Web!D"&amp;SUM(18,38*37,33))))</f>
        <v>Falla</v>
      </c>
      <c r="BV52" s="215" t="str" cm="1">
        <f t="array" aca="1" ref="BV52" ca="1">IF($B52="","",IF(ISBLANK(INDIRECT("R9.Web!D"&amp;SUM(18,38*38,33))),"",INDIRECT("R9.Web!D"&amp;SUM(18,38*38,33))))</f>
        <v>N/D</v>
      </c>
      <c r="BW52" s="215" t="str" cm="1">
        <f t="array" aca="1" ref="BW52" ca="1">IF($B52="","",IF(ISBLANK(INDIRECT("R9.Web!D"&amp;SUM(18,38*39,33))),"",INDIRECT("R9.Web!D"&amp;SUM(18,38*39,33))))</f>
        <v>N/D</v>
      </c>
      <c r="BX52" s="215" t="str" cm="1">
        <f t="array" aca="1" ref="BX52" ca="1">IF($B52="","",IF(ISBLANK(INDIRECT("R9.Web!D"&amp;SUM(18,38*40,33))),"",INDIRECT("R9.Web!D"&amp;SUM(18,38*40,33))))</f>
        <v>N/D</v>
      </c>
      <c r="BY52" s="215" t="str" cm="1">
        <f t="array" aca="1" ref="BY52" ca="1">IF($B52="","",IF(ISBLANK(INDIRECT("R9.Web!D"&amp;SUM(18,38*41,33))),"",INDIRECT("R9.Web!D"&amp;SUM(18,38*41,33))))</f>
        <v>N/T</v>
      </c>
      <c r="BZ52" s="215" t="str" cm="1">
        <f t="array" aca="1" ref="BZ52" ca="1">IF($B52="","",IF(ISBLANK(INDIRECT("R9.Web!D"&amp;SUM(18,38*42,33))),"",INDIRECT("R9.Web!D"&amp;SUM(18,38*42,33))))</f>
        <v>N/T</v>
      </c>
      <c r="CA52" s="215" t="str" cm="1">
        <f t="array" aca="1" ref="CA52" ca="1">IF($B52="","",IF(ISBLANK(INDIRECT("R9.Web!D"&amp;SUM(18,38*43,33))),"",INDIRECT("R9.Web!D"&amp;SUM(18,38*43,33))))</f>
        <v>N/D</v>
      </c>
      <c r="CB52" s="215" t="str" cm="1">
        <f t="array" aca="1" ref="CB52" ca="1">IF($B52="","",IF(ISBLANK(INDIRECT("R9.Web!D"&amp;SUM(18,38*44,33))),"",INDIRECT("R9.Web!D"&amp;SUM(18,38*44,33))))</f>
        <v>N/T</v>
      </c>
      <c r="CC52" s="215" t="str" cm="1">
        <f t="array" aca="1" ref="CC52" ca="1">IF($B52="","",IF(ISBLANK(INDIRECT("R9.Web!D"&amp;SUM(18,38*45,33))),"",INDIRECT("R9.Web!D"&amp;SUM(18,38*45,33))))</f>
        <v>N/T</v>
      </c>
      <c r="CD52" s="215" t="str" cm="1">
        <f t="array" aca="1" ref="CD52" ca="1">IF($B52="","",IF(ISBLANK(INDIRECT("R9.Web!D"&amp;SUM(18,38*46,33))),"",INDIRECT("R9.Web!D"&amp;SUM(18,38*46,33))))</f>
        <v>N/T</v>
      </c>
      <c r="CE52" s="215" t="str" cm="1">
        <f t="array" aca="1" ref="CE52" ca="1">IF($B52="","",IF(ISBLANK(INDIRECT("R9.Web!D"&amp;SUM(18,38*47,33))),"",INDIRECT("R9.Web!D"&amp;SUM(18,38*47,33))))</f>
        <v>N/D</v>
      </c>
      <c r="CF52" s="215" t="str" cm="1">
        <f t="array" aca="1" ref="CF52" ca="1">IF($B52="","",IF(ISBLANK(INDIRECT("R9.Web!D"&amp;SUM(18,38*48,33))),"",INDIRECT("R9.Web!D"&amp;SUM(18,38*48,33))))</f>
        <v>N/T</v>
      </c>
      <c r="CG52" s="215" t="str" cm="1">
        <f t="array" aca="1" ref="CG52" ca="1">IF($B52="","",IF(ISBLANK(INDIRECT("R9.Web!D"&amp;SUM(18,38*49,33))),"",INDIRECT("R9.Web!D"&amp;SUM(18,38*49,33))))</f>
        <v>N/T</v>
      </c>
      <c r="CH52" s="215" t="str" cm="1">
        <f t="array" aca="1" ref="CH52" ca="1">IF($B52="","",IF(ISBLANK(INDIRECT("R11.Software!D"&amp;SUM(18,38*0,33))),"",INDIRECT("R11.Software!D"&amp;SUM(18,38*0,33))))</f>
        <v>N/T</v>
      </c>
      <c r="CI52" s="215" t="str" cm="1">
        <f t="array" aca="1" ref="CI52" ca="1">IF($B52="","",IF(ISBLANK(INDIRECT("R11.Software!D"&amp;SUM(18,38*1,33))),"",INDIRECT("R11.Software!D"&amp;SUM(18,38*1,33))))</f>
        <v>N/T</v>
      </c>
      <c r="CJ52" s="215" t="str" cm="1">
        <f t="array" aca="1" ref="CJ52" ca="1">IF($B52="","",IF(ISBLANK(INDIRECT("R11.Software!D"&amp;SUM(18,38*2,33))),"",INDIRECT("R11.Software!D"&amp;SUM(18,38*2,33))))</f>
        <v>N/T</v>
      </c>
      <c r="CK52" s="215" t="str" cm="1">
        <f t="array" aca="1" ref="CK52" ca="1">IF($B52="","",IF(ISBLANK(INDIRECT("R11.Software!D"&amp;SUM(18,38*3,33))),"",INDIRECT("R11.Software!D"&amp;SUM(18,38*3,33))))</f>
        <v>N/T</v>
      </c>
      <c r="CL52" s="215" t="str" cm="1">
        <f t="array" aca="1" ref="CL52" ca="1">IF($B52="","",IF(ISBLANK(INDIRECT("R11.Software!D"&amp;SUM(18,38*4,33))),"",INDIRECT("R11.Software!D"&amp;SUM(18,38*4,33))))</f>
        <v>N/T</v>
      </c>
      <c r="CM52" s="215" t="str" cm="1">
        <f t="array" aca="1" ref="CM52" ca="1">IF($B52="","",IF(ISBLANK(INDIRECT("R11.Software!D"&amp;SUM(18,38*5,33))),"",INDIRECT("R11.Software!D"&amp;SUM(18,38*5,33))))</f>
        <v>N/T</v>
      </c>
      <c r="CN52" s="215" t="str" cm="1">
        <f t="array" aca="1" ref="CN52" ca="1">IF($B52="","",IF(ISBLANK(INDIRECT("R12.ServiciosApoyo!D"&amp;SUM(18,38*0,33))),"",INDIRECT("R12.ServiciosApoyo!D"&amp;SUM(18,38*0,33))))</f>
        <v>N/T</v>
      </c>
      <c r="CO52" s="215" t="str" cm="1">
        <f t="array" aca="1" ref="CO52" ca="1">IF($B52="","",IF(ISBLANK(INDIRECT("R12.ServiciosApoyo!D"&amp;SUM(18,38*1,33))),"",INDIRECT("R12.ServiciosApoyo!D"&amp;SUM(18,38*1,33))))</f>
        <v>N/T</v>
      </c>
      <c r="CP52" s="215" t="str" cm="1">
        <f t="array" aca="1" ref="CP52" ca="1">IF($B52="","",IF(ISBLANK(INDIRECT("R12.ServiciosApoyo!D"&amp;SUM(18,38*2,33))),"",INDIRECT("R12.ServiciosApoyo!D"&amp;SUM(18,38*2,33))))</f>
        <v>N/T</v>
      </c>
      <c r="CQ52" s="215" t="str" cm="1">
        <f t="array" aca="1" ref="CQ52" ca="1">IF($B52="","",IF(ISBLANK(INDIRECT("R12.ServiciosApoyo!D"&amp;SUM(18,38*3,33))),"",INDIRECT("R12.ServiciosApoyo!D"&amp;SUM(18,38*3,33))))</f>
        <v>N/T</v>
      </c>
      <c r="CR52" s="215" t="str" cm="1">
        <f t="array" aca="1" ref="CR52" ca="1">IF($B52="","",IF(ISBLANK(INDIRECT("R12.ServiciosApoyo!D"&amp;SUM(18,38*4,33))),"",INDIRECT("R12.ServiciosApoyo!D"&amp;SUM(18,38*4,33))))</f>
        <v>N/T</v>
      </c>
      <c r="CU52" s="100"/>
      <c r="CV52" s="29"/>
      <c r="CW52" s="29"/>
      <c r="CX52" s="29"/>
    </row>
    <row r="53" spans="2:102" ht="20.25">
      <c r="B53" s="181" t="str" cm="1">
        <f t="array" ref="B53">IFERROR(INDEX('03.Muestra'!$B$8:$B$42,SMALL(IF("Página Web"='03.Muestra'!$D$8:$D$42,ROW('03.Muestra'!$B$8:$B$42)-MIN(ROW('03.Muestra'!$D$8:$D$42))+1,""),ROW()-19)),"")</f>
        <v/>
      </c>
      <c r="C53" s="97" t="str" cm="1">
        <f t="array" ref="C53">IFERROR(INDEX('03.Muestra'!$C$8:$C$42,SMALL(IF("Página Web"='03.Muestra'!$D$8:$D$42,ROW('03.Muestra'!$C$8:$C$42)-MIN(ROW('03.Muestra'!$D$8:$D$42))+1,""),ROW()-19)),"")</f>
        <v/>
      </c>
      <c r="D53" s="98" t="str" cm="1">
        <f t="array" ref="D53">IFERROR(INDEX('03.Muestra'!$F$8:$F$42,SMALL(IF("Página Web"='03.Muestra'!$D$8:$D$42,ROW('03.Muestra'!$F$8:$F$42)-MIN(ROW('03.Muestra'!$D$8:$D$42))+1,""),ROW()-19)),"")</f>
        <v/>
      </c>
      <c r="E53" s="215" t="str" cm="1">
        <f t="array" aca="1" ref="E53" ca="1">IF($B53="","",IF(ISBLANK(INDIRECT("R5.Genéricos!D"&amp;SUM(18,38*0,34))),"",INDIRECT("R5.Genéricos!D"&amp;SUM(18,38*0,34))))</f>
        <v/>
      </c>
      <c r="F53" s="215" t="str" cm="1">
        <f t="array" aca="1" ref="F53" ca="1">IF($B53="","",IF(ISBLANK(INDIRECT("R5.Genéricos!D"&amp;SUM(18,38*1,34))),"",INDIRECT("R5.Genéricos!D"&amp;SUM(18,38*1,34))))</f>
        <v/>
      </c>
      <c r="G53" s="215" t="str" cm="1">
        <f t="array" aca="1" ref="G53" ca="1">IF($B53="","",IF(ISBLANK(INDIRECT("R5.Genéricos!D"&amp;SUM(18,38*2,34))),"",INDIRECT("R5.Genéricos!D"&amp;SUM(18,38*2,34))))</f>
        <v/>
      </c>
      <c r="H53" s="215" t="str" cm="1">
        <f t="array" aca="1" ref="H53" ca="1">IF($B53="","",IF(ISBLANK(INDIRECT("R6.Voz!D"&amp;SUM(18,38*0,34))),"",INDIRECT("R6.Voz!D"&amp;SUM(18,38*0,34))))</f>
        <v/>
      </c>
      <c r="I53" s="215" t="str" cm="1">
        <f t="array" aca="1" ref="I53" ca="1">IF($B53="","",IF(ISBLANK(INDIRECT("R6.Voz!D"&amp;SUM(18,38*1,34))),"",INDIRECT("R6.Voz!D"&amp;SUM(18,38*1,34))))</f>
        <v/>
      </c>
      <c r="J53" s="215" t="str" cm="1">
        <f t="array" aca="1" ref="J53" ca="1">IF($B53="","",IF(ISBLANK(INDIRECT("R6.Voz!D"&amp;SUM(18,38*2,34))),"",INDIRECT("R6.Voz!D"&amp;SUM(18,38*2,34))))</f>
        <v/>
      </c>
      <c r="K53" s="215" t="str" cm="1">
        <f t="array" aca="1" ref="K53" ca="1">IF($B53="","",IF(ISBLANK(INDIRECT("R6.Voz!D"&amp;SUM(18,38*3,34))),"",INDIRECT("R6.Voz!D"&amp;SUM(18,38*3,34))))</f>
        <v/>
      </c>
      <c r="L53" s="215" t="str" cm="1">
        <f t="array" aca="1" ref="L53" ca="1">IF($B53="","",IF(ISBLANK(INDIRECT("R6.Voz!D"&amp;SUM(18,38*4,34))),"",INDIRECT("R6.Voz!D"&amp;SUM(18,38*4,34))))</f>
        <v/>
      </c>
      <c r="M53" s="215" t="str" cm="1">
        <f t="array" aca="1" ref="M53" ca="1">IF($B53="","",IF(ISBLANK(INDIRECT("R6.Voz!D"&amp;SUM(18,38*5,34))),"",INDIRECT("R6.Voz!D"&amp;SUM(18,38*5,34))))</f>
        <v/>
      </c>
      <c r="N53" s="215" t="str" cm="1">
        <f t="array" aca="1" ref="N53" ca="1">IF($B53="","",IF(ISBLANK(INDIRECT("R6.Voz!D"&amp;SUM(18,38*6,34))),"",INDIRECT("R6.Voz!D"&amp;SUM(18,38*6,34))))</f>
        <v/>
      </c>
      <c r="O53" s="215" t="str" cm="1">
        <f t="array" aca="1" ref="O53" ca="1">IF($B53="","",IF(ISBLANK(INDIRECT("R6.Voz!D"&amp;SUM(18,38*7,34))),"",INDIRECT("R6.Voz!D"&amp;SUM(18,38*7,34))))</f>
        <v/>
      </c>
      <c r="P53" s="215" t="str" cm="1">
        <f t="array" aca="1" ref="P53" ca="1">IF($B53="","",IF(ISBLANK(INDIRECT("R6.Voz!D"&amp;SUM(18,38*8,34))),"",INDIRECT("R6.Voz!D"&amp;SUM(18,38*8,34))))</f>
        <v/>
      </c>
      <c r="Q53" s="215" t="str" cm="1">
        <f t="array" aca="1" ref="Q53" ca="1">IF($B53="","",IF(ISBLANK(INDIRECT("R6.Voz!D"&amp;SUM(18,38*9,34))),"",INDIRECT("R6.Voz!D"&amp;SUM(18,38*9,34))))</f>
        <v/>
      </c>
      <c r="R53" s="215" t="str" cm="1">
        <f t="array" aca="1" ref="R53" ca="1">IF($B53="","",IF(ISBLANK(INDIRECT("R6.Voz!D"&amp;SUM(18,38*10,34))),"",INDIRECT("R6.Voz!D"&amp;SUM(18,38*10,34))))</f>
        <v/>
      </c>
      <c r="S53" s="215" t="str" cm="1">
        <f t="array" aca="1" ref="S53" ca="1">IF($B53="","",IF(ISBLANK(INDIRECT("R6.Voz!D"&amp;SUM(18,38*11,34))),"",INDIRECT("R6.Voz!D"&amp;SUM(18,38*11,34))))</f>
        <v/>
      </c>
      <c r="T53" s="215" t="str" cm="1">
        <f t="array" aca="1" ref="T53" ca="1">IF($B53="","",IF(ISBLANK(INDIRECT("R6.Voz!D"&amp;SUM(18,38*12,34))),"",INDIRECT("R6.Voz!D"&amp;SUM(18,38*12,34))))</f>
        <v/>
      </c>
      <c r="U53" s="215" t="str" cm="1">
        <f t="array" aca="1" ref="U53" ca="1">IF($B53="","",IF(ISBLANK(INDIRECT("R6.Voz!D"&amp;SUM(18,38*13,34))),"",INDIRECT("R6.Voz!D"&amp;SUM(18,38*13,34))))</f>
        <v/>
      </c>
      <c r="V53" s="215" t="str" cm="1">
        <f t="array" aca="1" ref="V53" ca="1">IF($B53="","",IF(ISBLANK(INDIRECT("R6.Voz!D"&amp;SUM(18,38*14,34))),"",INDIRECT("R6.Voz!D"&amp;SUM(18,38*14,34))))</f>
        <v/>
      </c>
      <c r="W53" s="215" t="str" cm="1">
        <f t="array" aca="1" ref="W53" ca="1">IF($B53="","",IF(ISBLANK(INDIRECT("R6.Voz!D"&amp;SUM(18,38*15,34))),"",INDIRECT("R6.Voz!D"&amp;SUM(18,38*15,34))))</f>
        <v/>
      </c>
      <c r="X53" s="215" t="str" cm="1">
        <f t="array" aca="1" ref="X53" ca="1">IF($B53="","",IF(ISBLANK(INDIRECT("R6.Voz!D"&amp;SUM(18,38*16,34))),"",INDIRECT("R6.Voz!D"&amp;SUM(18,38*16,34))))</f>
        <v/>
      </c>
      <c r="Y53" s="215" t="str" cm="1">
        <f t="array" aca="1" ref="Y53" ca="1">IF($B53="","",IF(ISBLANK(INDIRECT("R6.Voz!D"&amp;SUM(18,38*17,34))),"",INDIRECT("R6.Voz!D"&amp;SUM(18,38*17,34))))</f>
        <v/>
      </c>
      <c r="Z53" s="215" t="str" cm="1">
        <f t="array" aca="1" ref="Z53" ca="1">IF($B53="","",IF(ISBLANK(INDIRECT("R6.Voz!D"&amp;SUM(18,38*18,34))),"",INDIRECT("R6.Voz!D"&amp;SUM(18,38*18,34))))</f>
        <v/>
      </c>
      <c r="AA53" s="215" t="str" cm="1">
        <f t="array" aca="1" ref="AA53" ca="1">IF($B53="","",IF(ISBLANK(INDIRECT("R7.Video!D"&amp;SUM(18,38*0,34))),"",INDIRECT("R7.Video!D"&amp;SUM(18,38*0,34))))</f>
        <v/>
      </c>
      <c r="AB53" s="215" t="str" cm="1">
        <f t="array" aca="1" ref="AB53" ca="1">IF($B53="","",IF(ISBLANK(INDIRECT("R7.Video!D"&amp;SUM(18,38*1,34))),"",INDIRECT("R7.Video!D"&amp;SUM(18,38*1,34))))</f>
        <v/>
      </c>
      <c r="AC53" s="215" t="str" cm="1">
        <f t="array" aca="1" ref="AC53" ca="1">IF($B53="","",IF(ISBLANK(INDIRECT("R7.Video!D"&amp;SUM(18,38*2,34))),"",INDIRECT("R7.Video!D"&amp;SUM(18,38*2,34))))</f>
        <v/>
      </c>
      <c r="AD53" s="215" t="str" cm="1">
        <f t="array" aca="1" ref="AD53" ca="1">IF($B53="","",IF(ISBLANK(INDIRECT("R7.Video!D"&amp;SUM(18,38*3,34))),"",INDIRECT("R7.Video!D"&amp;SUM(18,38*3,34))))</f>
        <v/>
      </c>
      <c r="AE53" s="215" t="str" cm="1">
        <f t="array" aca="1" ref="AE53" ca="1">IF($B53="","",IF(ISBLANK(INDIRECT("R7.Video!D"&amp;SUM(18,38*4,34))),"",INDIRECT("R7.Video!D"&amp;SUM(18,38*4,34))))</f>
        <v/>
      </c>
      <c r="AF53" s="215" t="str" cm="1">
        <f t="array" aca="1" ref="AF53" ca="1">IF($B53="","",IF(ISBLANK(INDIRECT("R7.Video!D"&amp;SUM(18,38*5,34))),"",INDIRECT("R7.Video!D"&amp;SUM(18,38*5,34))))</f>
        <v/>
      </c>
      <c r="AG53" s="215" t="str" cm="1">
        <f t="array" aca="1" ref="AG53" ca="1">IF($B53="","",IF(ISBLANK(INDIRECT("R7.Video!D"&amp;SUM(18,38*6,34))),"",INDIRECT("R7.Video!D"&amp;SUM(18,38*6,34))))</f>
        <v/>
      </c>
      <c r="AH53" s="215" t="str" cm="1">
        <f t="array" aca="1" ref="AH53" ca="1">IF($B53="","",IF(ISBLANK(INDIRECT("R7.Video!D"&amp;SUM(18,38*7,34))),"",INDIRECT("R7.Video!D"&amp;SUM(18,38*7,34))))</f>
        <v/>
      </c>
      <c r="AI53" s="215" t="str" cm="1">
        <f t="array" aca="1" ref="AI53" ca="1">IF($B53="","",IF(ISBLANK(INDIRECT("R7.Video!D"&amp;SUM(18,38*8,34))),"",INDIRECT("R7.Video!D"&amp;SUM(18,38*8,34))))</f>
        <v/>
      </c>
      <c r="AJ53" s="215" t="str" cm="1">
        <f t="array" aca="1" ref="AJ53" ca="1">IF($B53="","",IF(ISBLANK(INDIRECT("R9.Web!D"&amp;SUM(18,38*0,34))),"",INDIRECT("R9.Web!D"&amp;SUM(18,38*0,34))))</f>
        <v/>
      </c>
      <c r="AK53" s="215" t="str" cm="1">
        <f t="array" aca="1" ref="AK53" ca="1">IF($B53="","",IF(ISBLANK(INDIRECT("R9.Web!D"&amp;SUM(18,38*1,34))),"",INDIRECT("R9.Web!D"&amp;SUM(18,38*1,34))))</f>
        <v/>
      </c>
      <c r="AL53" s="215" t="str" cm="1">
        <f t="array" aca="1" ref="AL53" ca="1">IF($B53="","",IF(ISBLANK(INDIRECT("R9.Web!D"&amp;SUM(18,38*2,34))),"",INDIRECT("R9.Web!D"&amp;SUM(18,38*2,34))))</f>
        <v/>
      </c>
      <c r="AM53" s="215" t="str" cm="1">
        <f t="array" aca="1" ref="AM53" ca="1">IF($B53="","",IF(ISBLANK(INDIRECT("R9.Web!D"&amp;SUM(18,38*3,34))),"",INDIRECT("R9.Web!D"&amp;SUM(18,38*3,34))))</f>
        <v/>
      </c>
      <c r="AN53" s="215" t="str" cm="1">
        <f t="array" aca="1" ref="AN53" ca="1">IF($B53="","",IF(ISBLANK(INDIRECT("R9.Web!D"&amp;SUM(18,38*4,34))),"",INDIRECT("R9.Web!D"&amp;SUM(18,38*4,34))))</f>
        <v/>
      </c>
      <c r="AO53" s="215" t="str" cm="1">
        <f t="array" aca="1" ref="AO53" ca="1">IF($B53="","",IF(ISBLANK(INDIRECT("R9.Web!D"&amp;SUM(18,38*5,34))),"",INDIRECT("R9.Web!D"&amp;SUM(18,38*5,34))))</f>
        <v/>
      </c>
      <c r="AP53" s="215" t="str" cm="1">
        <f t="array" aca="1" ref="AP53" ca="1">IF($B53="","",IF(ISBLANK(INDIRECT("R9.Web!D"&amp;SUM(18,38*6,34))),"",INDIRECT("R9.Web!D"&amp;SUM(18,38*6,34))))</f>
        <v/>
      </c>
      <c r="AQ53" s="215" t="str" cm="1">
        <f t="array" aca="1" ref="AQ53" ca="1">IF($B53="","",IF(ISBLANK(INDIRECT("R9.Web!D"&amp;SUM(18,38*7,34))),"",INDIRECT("R9.Web!D"&amp;SUM(18,38*7,34))))</f>
        <v/>
      </c>
      <c r="AR53" s="215" t="str" cm="1">
        <f t="array" aca="1" ref="AR53" ca="1">IF($B53="","",IF(ISBLANK(INDIRECT("R9.Web!D"&amp;SUM(18,38*8,34))),"",INDIRECT("R9.Web!D"&amp;SUM(18,38*8,34))))</f>
        <v/>
      </c>
      <c r="AS53" s="215" t="str" cm="1">
        <f t="array" aca="1" ref="AS53" ca="1">IF($B53="","",IF(ISBLANK(INDIRECT("R9.Web!D"&amp;SUM(18,38*9,34))),"",INDIRECT("R9.Web!D"&amp;SUM(18,38*9,34))))</f>
        <v/>
      </c>
      <c r="AT53" s="215" t="str" cm="1">
        <f t="array" aca="1" ref="AT53" ca="1">IF($B53="","",IF(ISBLANK(INDIRECT("R9.Web!D"&amp;SUM(18,38*10,34))),"",INDIRECT("R9.Web!D"&amp;SUM(18,38*10,34))))</f>
        <v/>
      </c>
      <c r="AU53" s="215" t="str" cm="1">
        <f t="array" aca="1" ref="AU53" ca="1">IF($B53="","",IF(ISBLANK(INDIRECT("R9.Web!D"&amp;SUM(18,38*11,34))),"",INDIRECT("R9.Web!D"&amp;SUM(18,38*11,34))))</f>
        <v/>
      </c>
      <c r="AV53" s="215" t="str" cm="1">
        <f t="array" aca="1" ref="AV53" ca="1">IF($B53="","",IF(ISBLANK(INDIRECT("R9.Web!D"&amp;SUM(18,38*12,34))),"",INDIRECT("R9.Web!D"&amp;SUM(18,38*12,34))))</f>
        <v/>
      </c>
      <c r="AW53" s="215" t="str" cm="1">
        <f t="array" aca="1" ref="AW53" ca="1">IF($B53="","",IF(ISBLANK(INDIRECT("R9.Web!D"&amp;SUM(18,38*13,34))),"",INDIRECT("R9.Web!D"&amp;SUM(18,38*13,34))))</f>
        <v/>
      </c>
      <c r="AX53" s="215" t="str" cm="1">
        <f t="array" aca="1" ref="AX53" ca="1">IF($B53="","",IF(ISBLANK(INDIRECT("R9.Web!D"&amp;SUM(18,38*14,34))),"",INDIRECT("R9.Web!D"&amp;SUM(18,38*14,34))))</f>
        <v/>
      </c>
      <c r="AY53" s="215" t="str" cm="1">
        <f t="array" aca="1" ref="AY53" ca="1">IF($B53="","",IF(ISBLANK(INDIRECT("R9.Web!D"&amp;SUM(18,38*15,34))),"",INDIRECT("R9.Web!D"&amp;SUM(18,38*15,34))))</f>
        <v/>
      </c>
      <c r="AZ53" s="215" t="str" cm="1">
        <f t="array" aca="1" ref="AZ53" ca="1">IF($B53="","",IF(ISBLANK(INDIRECT("R9.Web!D"&amp;SUM(18,38*16,34))),"",INDIRECT("R9.Web!D"&amp;SUM(18,38*16,34))))</f>
        <v/>
      </c>
      <c r="BA53" s="215" t="str" cm="1">
        <f t="array" aca="1" ref="BA53" ca="1">IF($B53="","",IF(ISBLANK(INDIRECT("R9.Web!D"&amp;SUM(18,38*17,34))),"",INDIRECT("R9.Web!D"&amp;SUM(18,38*17,34))))</f>
        <v/>
      </c>
      <c r="BB53" s="215" t="str" cm="1">
        <f t="array" aca="1" ref="BB53" ca="1">IF($B53="","",IF(ISBLANK(INDIRECT("R9.Web!D"&amp;SUM(18,38*18,34))),"",INDIRECT("R9.Web!D"&amp;SUM(18,38*18,34))))</f>
        <v/>
      </c>
      <c r="BC53" s="215" t="str" cm="1">
        <f t="array" aca="1" ref="BC53" ca="1">IF($B53="","",IF(ISBLANK(INDIRECT("R9.Web!D"&amp;SUM(18,38*19,34))),"",INDIRECT("R9.Web!D"&amp;SUM(18,38*19,34))))</f>
        <v/>
      </c>
      <c r="BD53" s="215" t="str" cm="1">
        <f t="array" aca="1" ref="BD53" ca="1">IF($B53="","",IF(ISBLANK(INDIRECT("R9.Web!D"&amp;SUM(18,38*20,34))),"",INDIRECT("R9.Web!D"&amp;SUM(18,38*20,34))))</f>
        <v/>
      </c>
      <c r="BE53" s="215" t="str" cm="1">
        <f t="array" aca="1" ref="BE53" ca="1">IF($B53="","",IF(ISBLANK(INDIRECT("R9.Web!D"&amp;SUM(18,38*21,34))),"",INDIRECT("R9.Web!D"&amp;SUM(18,38*21,34))))</f>
        <v/>
      </c>
      <c r="BF53" s="215" t="str" cm="1">
        <f t="array" aca="1" ref="BF53" ca="1">IF($B53="","",IF(ISBLANK(INDIRECT("R9.Web!D"&amp;SUM(18,38*22,34))),"",INDIRECT("R9.Web!D"&amp;SUM(18,38*22,34))))</f>
        <v/>
      </c>
      <c r="BG53" s="215" t="str" cm="1">
        <f t="array" aca="1" ref="BG53" ca="1">IF($B53="","",IF(ISBLANK(INDIRECT("R9.Web!D"&amp;SUM(18,38*23,34))),"",INDIRECT("R9.Web!D"&amp;SUM(18,38*23,34))))</f>
        <v/>
      </c>
      <c r="BH53" s="215" t="str" cm="1">
        <f t="array" aca="1" ref="BH53" ca="1">IF($B53="","",IF(ISBLANK(INDIRECT("R9.Web!D"&amp;SUM(18,38*24,34))),"",INDIRECT("R9.Web!D"&amp;SUM(18,38*24,34))))</f>
        <v/>
      </c>
      <c r="BI53" s="215" t="str" cm="1">
        <f t="array" aca="1" ref="BI53" ca="1">IF($B53="","",IF(ISBLANK(INDIRECT("R9.Web!D"&amp;SUM(18,38*25,34))),"",INDIRECT("R9.Web!D"&amp;SUM(18,38*25,34))))</f>
        <v/>
      </c>
      <c r="BJ53" s="215" t="str" cm="1">
        <f t="array" aca="1" ref="BJ53" ca="1">IF($B53="","",IF(ISBLANK(INDIRECT("R9.Web!D"&amp;SUM(18,38*26,34))),"",INDIRECT("R9.Web!D"&amp;SUM(18,38*26,34))))</f>
        <v/>
      </c>
      <c r="BK53" s="215" t="str" cm="1">
        <f t="array" aca="1" ref="BK53" ca="1">IF($B53="","",IF(ISBLANK(INDIRECT("R9.Web!D"&amp;SUM(18,38*27,34))),"",INDIRECT("R9.Web!D"&amp;SUM(18,38*27,34))))</f>
        <v/>
      </c>
      <c r="BL53" s="215" t="str" cm="1">
        <f t="array" aca="1" ref="BL53" ca="1">IF($B53="","",IF(ISBLANK(INDIRECT("R9.Web!D"&amp;SUM(18,38*28,34))),"",INDIRECT("R9.Web!D"&amp;SUM(18,38*28,34))))</f>
        <v/>
      </c>
      <c r="BM53" s="215" t="str" cm="1">
        <f t="array" aca="1" ref="BM53" ca="1">IF($B53="","",IF(ISBLANK(INDIRECT("R9.Web!D"&amp;SUM(18,38*29,34))),"",INDIRECT("R9.Web!D"&amp;SUM(18,38*29,34))))</f>
        <v/>
      </c>
      <c r="BN53" s="215" t="str" cm="1">
        <f t="array" aca="1" ref="BN53" ca="1">IF($B53="","",IF(ISBLANK(INDIRECT("R9.Web!D"&amp;SUM(18,38*30,34))),"",INDIRECT("R9.Web!D"&amp;SUM(18,38*30,34))))</f>
        <v/>
      </c>
      <c r="BO53" s="215" t="str" cm="1">
        <f t="array" aca="1" ref="BO53" ca="1">IF($B53="","",IF(ISBLANK(INDIRECT("R9.Web!D"&amp;SUM(18,38*31,34))),"",INDIRECT("R9.Web!D"&amp;SUM(18,38*31,34))))</f>
        <v/>
      </c>
      <c r="BP53" s="215" t="str" cm="1">
        <f t="array" aca="1" ref="BP53" ca="1">IF($B53="","",IF(ISBLANK(INDIRECT("R9.Web!D"&amp;SUM(18,38*32,34))),"",INDIRECT("R9.Web!D"&amp;SUM(18,38*32,34))))</f>
        <v/>
      </c>
      <c r="BQ53" s="215" t="str" cm="1">
        <f t="array" aca="1" ref="BQ53" ca="1">IF($B53="","",IF(ISBLANK(INDIRECT("R9.Web!D"&amp;SUM(18,38*33,34))),"",INDIRECT("R9.Web!D"&amp;SUM(18,38*33,34))))</f>
        <v/>
      </c>
      <c r="BR53" s="215" t="str" cm="1">
        <f t="array" aca="1" ref="BR53" ca="1">IF($B53="","",IF(ISBLANK(INDIRECT("R9.Web!D"&amp;SUM(18,38*34,34))),"",INDIRECT("R9.Web!D"&amp;SUM(18,38*34,34))))</f>
        <v/>
      </c>
      <c r="BS53" s="215" t="str" cm="1">
        <f t="array" aca="1" ref="BS53" ca="1">IF($B53="","",IF(ISBLANK(INDIRECT("R9.Web!D"&amp;SUM(18,38*35,34))),"",INDIRECT("R9.Web!D"&amp;SUM(18,38*35,34))))</f>
        <v/>
      </c>
      <c r="BT53" s="215" t="str" cm="1">
        <f t="array" aca="1" ref="BT53" ca="1">IF($B53="","",IF(ISBLANK(INDIRECT("R9.Web!D"&amp;SUM(18,38*36,34))),"",INDIRECT("R9.Web!D"&amp;SUM(18,38*36,34))))</f>
        <v/>
      </c>
      <c r="BU53" s="215" t="str" cm="1">
        <f t="array" aca="1" ref="BU53" ca="1">IF($B53="","",IF(ISBLANK(INDIRECT("R9.Web!D"&amp;SUM(18,38*37,34))),"",INDIRECT("R9.Web!D"&amp;SUM(18,38*37,34))))</f>
        <v/>
      </c>
      <c r="BV53" s="215" t="str" cm="1">
        <f t="array" aca="1" ref="BV53" ca="1">IF($B53="","",IF(ISBLANK(INDIRECT("R9.Web!D"&amp;SUM(18,38*38,34))),"",INDIRECT("R9.Web!D"&amp;SUM(18,38*38,34))))</f>
        <v/>
      </c>
      <c r="BW53" s="215" t="str" cm="1">
        <f t="array" aca="1" ref="BW53" ca="1">IF($B53="","",IF(ISBLANK(INDIRECT("R9.Web!D"&amp;SUM(18,38*39,34))),"",INDIRECT("R9.Web!D"&amp;SUM(18,38*39,34))))</f>
        <v/>
      </c>
      <c r="BX53" s="215" t="str" cm="1">
        <f t="array" aca="1" ref="BX53" ca="1">IF($B53="","",IF(ISBLANK(INDIRECT("R9.Web!D"&amp;SUM(18,38*40,34))),"",INDIRECT("R9.Web!D"&amp;SUM(18,38*40,34))))</f>
        <v/>
      </c>
      <c r="BY53" s="215" t="str" cm="1">
        <f t="array" aca="1" ref="BY53" ca="1">IF($B53="","",IF(ISBLANK(INDIRECT("R9.Web!D"&amp;SUM(18,38*41,34))),"",INDIRECT("R9.Web!D"&amp;SUM(18,38*41,34))))</f>
        <v/>
      </c>
      <c r="BZ53" s="215" t="str" cm="1">
        <f t="array" aca="1" ref="BZ53" ca="1">IF($B53="","",IF(ISBLANK(INDIRECT("R9.Web!D"&amp;SUM(18,38*42,34))),"",INDIRECT("R9.Web!D"&amp;SUM(18,38*42,34))))</f>
        <v/>
      </c>
      <c r="CA53" s="215" t="str" cm="1">
        <f t="array" aca="1" ref="CA53" ca="1">IF($B53="","",IF(ISBLANK(INDIRECT("R9.Web!D"&amp;SUM(18,38*43,34))),"",INDIRECT("R9.Web!D"&amp;SUM(18,38*43,34))))</f>
        <v/>
      </c>
      <c r="CB53" s="215" t="str" cm="1">
        <f t="array" aca="1" ref="CB53" ca="1">IF($B53="","",IF(ISBLANK(INDIRECT("R9.Web!D"&amp;SUM(18,38*44,34))),"",INDIRECT("R9.Web!D"&amp;SUM(18,38*44,34))))</f>
        <v/>
      </c>
      <c r="CC53" s="215" t="str" cm="1">
        <f t="array" aca="1" ref="CC53" ca="1">IF($B53="","",IF(ISBLANK(INDIRECT("R9.Web!D"&amp;SUM(18,38*45,34))),"",INDIRECT("R9.Web!D"&amp;SUM(18,38*45,34))))</f>
        <v/>
      </c>
      <c r="CD53" s="215" t="str" cm="1">
        <f t="array" aca="1" ref="CD53" ca="1">IF($B53="","",IF(ISBLANK(INDIRECT("R9.Web!D"&amp;SUM(18,38*46,34))),"",INDIRECT("R9.Web!D"&amp;SUM(18,38*46,34))))</f>
        <v/>
      </c>
      <c r="CE53" s="215" t="str" cm="1">
        <f t="array" aca="1" ref="CE53" ca="1">IF($B53="","",IF(ISBLANK(INDIRECT("R9.Web!D"&amp;SUM(18,38*47,34))),"",INDIRECT("R9.Web!D"&amp;SUM(18,38*47,34))))</f>
        <v/>
      </c>
      <c r="CF53" s="215" t="str" cm="1">
        <f t="array" aca="1" ref="CF53" ca="1">IF($B53="","",IF(ISBLANK(INDIRECT("R9.Web!D"&amp;SUM(18,38*48,34))),"",INDIRECT("R9.Web!D"&amp;SUM(18,38*48,34))))</f>
        <v/>
      </c>
      <c r="CG53" s="215" t="str" cm="1">
        <f t="array" aca="1" ref="CG53" ca="1">IF($B53="","",IF(ISBLANK(INDIRECT("R9.Web!D"&amp;SUM(18,38*49,34))),"",INDIRECT("R9.Web!D"&amp;SUM(18,38*49,34))))</f>
        <v/>
      </c>
      <c r="CH53" s="215" t="str" cm="1">
        <f t="array" aca="1" ref="CH53" ca="1">IF($B53="","",IF(ISBLANK(INDIRECT("R11.Software!D"&amp;SUM(18,38*0,34))),"",INDIRECT("R11.Software!D"&amp;SUM(18,38*0,34))))</f>
        <v/>
      </c>
      <c r="CI53" s="215" t="str" cm="1">
        <f t="array" aca="1" ref="CI53" ca="1">IF($B53="","",IF(ISBLANK(INDIRECT("R11.Software!D"&amp;SUM(18,38*1,34))),"",INDIRECT("R11.Software!D"&amp;SUM(18,38*1,34))))</f>
        <v/>
      </c>
      <c r="CJ53" s="215" t="str" cm="1">
        <f t="array" aca="1" ref="CJ53" ca="1">IF($B53="","",IF(ISBLANK(INDIRECT("R11.Software!D"&amp;SUM(18,38*2,34))),"",INDIRECT("R11.Software!D"&amp;SUM(18,38*2,34))))</f>
        <v/>
      </c>
      <c r="CK53" s="215" t="str" cm="1">
        <f t="array" aca="1" ref="CK53" ca="1">IF($B53="","",IF(ISBLANK(INDIRECT("R11.Software!D"&amp;SUM(18,38*3,34))),"",INDIRECT("R11.Software!D"&amp;SUM(18,38*3,34))))</f>
        <v/>
      </c>
      <c r="CL53" s="215" t="str" cm="1">
        <f t="array" aca="1" ref="CL53" ca="1">IF($B53="","",IF(ISBLANK(INDIRECT("R11.Software!D"&amp;SUM(18,38*4,34))),"",INDIRECT("R11.Software!D"&amp;SUM(18,38*4,34))))</f>
        <v/>
      </c>
      <c r="CM53" s="215" t="str" cm="1">
        <f t="array" aca="1" ref="CM53" ca="1">IF($B53="","",IF(ISBLANK(INDIRECT("R11.Software!D"&amp;SUM(18,38*5,34))),"",INDIRECT("R11.Software!D"&amp;SUM(18,38*5,34))))</f>
        <v/>
      </c>
      <c r="CN53" s="215" t="str" cm="1">
        <f t="array" aca="1" ref="CN53" ca="1">IF($B53="","",IF(ISBLANK(INDIRECT("R12.ServiciosApoyo!D"&amp;SUM(18,38*0,34))),"",INDIRECT("R12.ServiciosApoyo!D"&amp;SUM(18,38*0,34))))</f>
        <v/>
      </c>
      <c r="CO53" s="215" t="str" cm="1">
        <f t="array" aca="1" ref="CO53" ca="1">IF($B53="","",IF(ISBLANK(INDIRECT("R12.ServiciosApoyo!D"&amp;SUM(18,38*1,34))),"",INDIRECT("R12.ServiciosApoyo!D"&amp;SUM(18,38*1,34))))</f>
        <v/>
      </c>
      <c r="CP53" s="215" t="str" cm="1">
        <f t="array" aca="1" ref="CP53" ca="1">IF($B53="","",IF(ISBLANK(INDIRECT("R12.ServiciosApoyo!D"&amp;SUM(18,38*2,34))),"",INDIRECT("R12.ServiciosApoyo!D"&amp;SUM(18,38*2,34))))</f>
        <v/>
      </c>
      <c r="CQ53" s="215" t="str" cm="1">
        <f t="array" aca="1" ref="CQ53" ca="1">IF($B53="","",IF(ISBLANK(INDIRECT("R12.ServiciosApoyo!D"&amp;SUM(18,38*3,34))),"",INDIRECT("R12.ServiciosApoyo!D"&amp;SUM(18,38*3,34))))</f>
        <v/>
      </c>
      <c r="CR53" s="215" t="str" cm="1">
        <f t="array" aca="1" ref="CR53" ca="1">IF($B53="","",IF(ISBLANK(INDIRECT("R12.ServiciosApoyo!D"&amp;SUM(18,38*4,34))),"",INDIRECT("R12.ServiciosApoyo!D"&amp;SUM(18,38*4,34))))</f>
        <v/>
      </c>
      <c r="CU53" s="100"/>
      <c r="CV53" s="29"/>
      <c r="CW53" s="29"/>
      <c r="CX53" s="29"/>
    </row>
    <row r="54" spans="2:102" ht="20.25">
      <c r="B54" s="181" t="str" cm="1">
        <f t="array" ref="B54">IFERROR(INDEX('03.Muestra'!$B$8:$B$42,SMALL(IF("Página Web"='03.Muestra'!$D$8:$D$42,ROW('03.Muestra'!$B$8:$B$42)-MIN(ROW('03.Muestra'!$D$8:$D$42))+1,""),ROW()-19)),"")</f>
        <v/>
      </c>
      <c r="C54" s="97" t="str" cm="1">
        <f t="array" ref="C54">IFERROR(INDEX('03.Muestra'!$C$8:$C$42,SMALL(IF("Página Web"='03.Muestra'!$D$8:$D$42,ROW('03.Muestra'!$C$8:$C$42)-MIN(ROW('03.Muestra'!$D$8:$D$42))+1,""),ROW()-19)),"")</f>
        <v/>
      </c>
      <c r="D54" s="98" t="str" cm="1">
        <f t="array" ref="D54">IFERROR(INDEX('03.Muestra'!$F$8:$F$42,SMALL(IF("Página Web"='03.Muestra'!$D$8:$D$42,ROW('03.Muestra'!$F$8:$F$42)-MIN(ROW('03.Muestra'!$D$8:$D$42))+1,""),ROW()-19)),"")</f>
        <v/>
      </c>
      <c r="E54" s="215" t="str" cm="1">
        <f t="array" aca="1" ref="E54" ca="1">IF($B54="","",IF(ISBLANK(INDIRECT("R5.Genéricos!D"&amp;SUM(18,38*0,35))),"",INDIRECT("R5.Genéricos!D"&amp;SUM(18,38*0,35))))</f>
        <v/>
      </c>
      <c r="F54" s="215" t="str" cm="1">
        <f t="array" aca="1" ref="F54" ca="1">IF($B54="","",IF(ISBLANK(INDIRECT("R5.Genéricos!D"&amp;SUM(18,38*1,35))),"",INDIRECT("R5.Genéricos!D"&amp;SUM(18,38*1,35))))</f>
        <v/>
      </c>
      <c r="G54" s="215" t="str" cm="1">
        <f t="array" aca="1" ref="G54" ca="1">IF($B54="","",IF(ISBLANK(INDIRECT("R5.Genéricos!D"&amp;SUM(18,38*2,35))),"",INDIRECT("R5.Genéricos!D"&amp;SUM(18,38*2,35))))</f>
        <v/>
      </c>
      <c r="H54" s="215" t="str" cm="1">
        <f t="array" aca="1" ref="H54" ca="1">IF($B54="","",IF(ISBLANK(INDIRECT("R6.Voz!D"&amp;SUM(18,38*0,35))),"",INDIRECT("R6.Voz!D"&amp;SUM(18,38*0,35))))</f>
        <v/>
      </c>
      <c r="I54" s="215" t="str" cm="1">
        <f t="array" aca="1" ref="I54" ca="1">IF($B54="","",IF(ISBLANK(INDIRECT("R6.Voz!D"&amp;SUM(18,38*1,35))),"",INDIRECT("R6.Voz!D"&amp;SUM(18,38*1,35))))</f>
        <v/>
      </c>
      <c r="J54" s="215" t="str" cm="1">
        <f t="array" aca="1" ref="J54" ca="1">IF($B54="","",IF(ISBLANK(INDIRECT("R6.Voz!D"&amp;SUM(18,38*2,35))),"",INDIRECT("R6.Voz!D"&amp;SUM(18,38*2,35))))</f>
        <v/>
      </c>
      <c r="K54" s="215" t="str" cm="1">
        <f t="array" aca="1" ref="K54" ca="1">IF($B54="","",IF(ISBLANK(INDIRECT("R6.Voz!D"&amp;SUM(18,38*3,35))),"",INDIRECT("R6.Voz!D"&amp;SUM(18,38*3,35))))</f>
        <v/>
      </c>
      <c r="L54" s="215" t="str" cm="1">
        <f t="array" aca="1" ref="L54" ca="1">IF($B54="","",IF(ISBLANK(INDIRECT("R6.Voz!D"&amp;SUM(18,38*4,35))),"",INDIRECT("R6.Voz!D"&amp;SUM(18,38*4,35))))</f>
        <v/>
      </c>
      <c r="M54" s="215" t="str" cm="1">
        <f t="array" aca="1" ref="M54" ca="1">IF($B54="","",IF(ISBLANK(INDIRECT("R6.Voz!D"&amp;SUM(18,38*5,35))),"",INDIRECT("R6.Voz!D"&amp;SUM(18,38*5,35))))</f>
        <v/>
      </c>
      <c r="N54" s="215" t="str" cm="1">
        <f t="array" aca="1" ref="N54" ca="1">IF($B54="","",IF(ISBLANK(INDIRECT("R6.Voz!D"&amp;SUM(18,38*6,35))),"",INDIRECT("R6.Voz!D"&amp;SUM(18,38*6,35))))</f>
        <v/>
      </c>
      <c r="O54" s="215" t="str" cm="1">
        <f t="array" aca="1" ref="O54" ca="1">IF($B54="","",IF(ISBLANK(INDIRECT("R6.Voz!D"&amp;SUM(18,38*7,35))),"",INDIRECT("R6.Voz!D"&amp;SUM(18,38*7,35))))</f>
        <v/>
      </c>
      <c r="P54" s="215" t="str" cm="1">
        <f t="array" aca="1" ref="P54" ca="1">IF($B54="","",IF(ISBLANK(INDIRECT("R6.Voz!D"&amp;SUM(18,38*8,35))),"",INDIRECT("R6.Voz!D"&amp;SUM(18,38*8,35))))</f>
        <v/>
      </c>
      <c r="Q54" s="215" t="str" cm="1">
        <f t="array" aca="1" ref="Q54" ca="1">IF($B54="","",IF(ISBLANK(INDIRECT("R6.Voz!D"&amp;SUM(18,38*9,35))),"",INDIRECT("R6.Voz!D"&amp;SUM(18,38*9,35))))</f>
        <v/>
      </c>
      <c r="R54" s="215" t="str" cm="1">
        <f t="array" aca="1" ref="R54" ca="1">IF($B54="","",IF(ISBLANK(INDIRECT("R6.Voz!D"&amp;SUM(18,38*10,35))),"",INDIRECT("R6.Voz!D"&amp;SUM(18,38*10,35))))</f>
        <v/>
      </c>
      <c r="S54" s="215" t="str" cm="1">
        <f t="array" aca="1" ref="S54" ca="1">IF($B54="","",IF(ISBLANK(INDIRECT("R6.Voz!D"&amp;SUM(18,38*11,35))),"",INDIRECT("R6.Voz!D"&amp;SUM(18,38*11,35))))</f>
        <v/>
      </c>
      <c r="T54" s="215" t="str" cm="1">
        <f t="array" aca="1" ref="T54" ca="1">IF($B54="","",IF(ISBLANK(INDIRECT("R6.Voz!D"&amp;SUM(18,38*12,35))),"",INDIRECT("R6.Voz!D"&amp;SUM(18,38*12,35))))</f>
        <v/>
      </c>
      <c r="U54" s="215" t="str" cm="1">
        <f t="array" aca="1" ref="U54" ca="1">IF($B54="","",IF(ISBLANK(INDIRECT("R6.Voz!D"&amp;SUM(18,38*13,35))),"",INDIRECT("R6.Voz!D"&amp;SUM(18,38*13,35))))</f>
        <v/>
      </c>
      <c r="V54" s="215" t="str" cm="1">
        <f t="array" aca="1" ref="V54" ca="1">IF($B54="","",IF(ISBLANK(INDIRECT("R6.Voz!D"&amp;SUM(18,38*14,35))),"",INDIRECT("R6.Voz!D"&amp;SUM(18,38*14,35))))</f>
        <v/>
      </c>
      <c r="W54" s="215" t="str" cm="1">
        <f t="array" aca="1" ref="W54" ca="1">IF($B54="","",IF(ISBLANK(INDIRECT("R6.Voz!D"&amp;SUM(18,38*15,35))),"",INDIRECT("R6.Voz!D"&amp;SUM(18,38*15,35))))</f>
        <v/>
      </c>
      <c r="X54" s="215" t="str" cm="1">
        <f t="array" aca="1" ref="X54" ca="1">IF($B54="","",IF(ISBLANK(INDIRECT("R6.Voz!D"&amp;SUM(18,38*16,35))),"",INDIRECT("R6.Voz!D"&amp;SUM(18,38*16,35))))</f>
        <v/>
      </c>
      <c r="Y54" s="215" t="str" cm="1">
        <f t="array" aca="1" ref="Y54" ca="1">IF($B54="","",IF(ISBLANK(INDIRECT("R6.Voz!D"&amp;SUM(18,38*17,35))),"",INDIRECT("R6.Voz!D"&amp;SUM(18,38*17,35))))</f>
        <v/>
      </c>
      <c r="Z54" s="215" t="str" cm="1">
        <f t="array" aca="1" ref="Z54" ca="1">IF($B54="","",IF(ISBLANK(INDIRECT("R6.Voz!D"&amp;SUM(18,38*18,35))),"",INDIRECT("R6.Voz!D"&amp;SUM(18,38*18,35))))</f>
        <v/>
      </c>
      <c r="AA54" s="215" t="str" cm="1">
        <f t="array" aca="1" ref="AA54" ca="1">IF($B54="","",IF(ISBLANK(INDIRECT("R7.Video!D"&amp;SUM(18,38*0,35))),"",INDIRECT("R7.Video!D"&amp;SUM(18,38*0,35))))</f>
        <v/>
      </c>
      <c r="AB54" s="215" t="str" cm="1">
        <f t="array" aca="1" ref="AB54" ca="1">IF($B54="","",IF(ISBLANK(INDIRECT("R7.Video!D"&amp;SUM(18,38*1,35))),"",INDIRECT("R7.Video!D"&amp;SUM(18,38*1,35))))</f>
        <v/>
      </c>
      <c r="AC54" s="215" t="str" cm="1">
        <f t="array" aca="1" ref="AC54" ca="1">IF($B54="","",IF(ISBLANK(INDIRECT("R7.Video!D"&amp;SUM(18,38*2,35))),"",INDIRECT("R7.Video!D"&amp;SUM(18,38*2,35))))</f>
        <v/>
      </c>
      <c r="AD54" s="215" t="str" cm="1">
        <f t="array" aca="1" ref="AD54" ca="1">IF($B54="","",IF(ISBLANK(INDIRECT("R7.Video!D"&amp;SUM(18,38*3,35))),"",INDIRECT("R7.Video!D"&amp;SUM(18,38*3,35))))</f>
        <v/>
      </c>
      <c r="AE54" s="215" t="str" cm="1">
        <f t="array" aca="1" ref="AE54" ca="1">IF($B54="","",IF(ISBLANK(INDIRECT("R7.Video!D"&amp;SUM(18,38*4,35))),"",INDIRECT("R7.Video!D"&amp;SUM(18,38*4,35))))</f>
        <v/>
      </c>
      <c r="AF54" s="215" t="str" cm="1">
        <f t="array" aca="1" ref="AF54" ca="1">IF($B54="","",IF(ISBLANK(INDIRECT("R7.Video!D"&amp;SUM(18,38*5,35))),"",INDIRECT("R7.Video!D"&amp;SUM(18,38*5,35))))</f>
        <v/>
      </c>
      <c r="AG54" s="215" t="str" cm="1">
        <f t="array" aca="1" ref="AG54" ca="1">IF($B54="","",IF(ISBLANK(INDIRECT("R7.Video!D"&amp;SUM(18,38*6,35))),"",INDIRECT("R7.Video!D"&amp;SUM(18,38*6,35))))</f>
        <v/>
      </c>
      <c r="AH54" s="215" t="str" cm="1">
        <f t="array" aca="1" ref="AH54" ca="1">IF($B54="","",IF(ISBLANK(INDIRECT("R7.Video!D"&amp;SUM(18,38*7,35))),"",INDIRECT("R7.Video!D"&amp;SUM(18,38*7,35))))</f>
        <v/>
      </c>
      <c r="AI54" s="215" t="str" cm="1">
        <f t="array" aca="1" ref="AI54" ca="1">IF($B54="","",IF(ISBLANK(INDIRECT("R7.Video!D"&amp;SUM(18,38*8,35))),"",INDIRECT("R7.Video!D"&amp;SUM(18,38*8,35))))</f>
        <v/>
      </c>
      <c r="AJ54" s="215" t="str" cm="1">
        <f t="array" aca="1" ref="AJ54" ca="1">IF($B54="","",IF(ISBLANK(INDIRECT("R9.Web!D"&amp;SUM(18,38*0,35))),"",INDIRECT("R9.Web!D"&amp;SUM(18,38*0,35))))</f>
        <v/>
      </c>
      <c r="AK54" s="215" t="str" cm="1">
        <f t="array" aca="1" ref="AK54" ca="1">IF($B54="","",IF(ISBLANK(INDIRECT("R9.Web!D"&amp;SUM(18,38*1,35))),"",INDIRECT("R9.Web!D"&amp;SUM(18,38*1,35))))</f>
        <v/>
      </c>
      <c r="AL54" s="215" t="str" cm="1">
        <f t="array" aca="1" ref="AL54" ca="1">IF($B54="","",IF(ISBLANK(INDIRECT("R9.Web!D"&amp;SUM(18,38*2,35))),"",INDIRECT("R9.Web!D"&amp;SUM(18,38*2,35))))</f>
        <v/>
      </c>
      <c r="AM54" s="215" t="str" cm="1">
        <f t="array" aca="1" ref="AM54" ca="1">IF($B54="","",IF(ISBLANK(INDIRECT("R9.Web!D"&amp;SUM(18,38*3,35))),"",INDIRECT("R9.Web!D"&amp;SUM(18,38*3,35))))</f>
        <v/>
      </c>
      <c r="AN54" s="215" t="str" cm="1">
        <f t="array" aca="1" ref="AN54" ca="1">IF($B54="","",IF(ISBLANK(INDIRECT("R9.Web!D"&amp;SUM(18,38*4,35))),"",INDIRECT("R9.Web!D"&amp;SUM(18,38*4,35))))</f>
        <v/>
      </c>
      <c r="AO54" s="215" t="str" cm="1">
        <f t="array" aca="1" ref="AO54" ca="1">IF($B54="","",IF(ISBLANK(INDIRECT("R9.Web!D"&amp;SUM(18,38*5,35))),"",INDIRECT("R9.Web!D"&amp;SUM(18,38*5,35))))</f>
        <v/>
      </c>
      <c r="AP54" s="215" t="str" cm="1">
        <f t="array" aca="1" ref="AP54" ca="1">IF($B54="","",IF(ISBLANK(INDIRECT("R9.Web!D"&amp;SUM(18,38*6,35))),"",INDIRECT("R9.Web!D"&amp;SUM(18,38*6,35))))</f>
        <v/>
      </c>
      <c r="AQ54" s="215" t="str" cm="1">
        <f t="array" aca="1" ref="AQ54" ca="1">IF($B54="","",IF(ISBLANK(INDIRECT("R9.Web!D"&amp;SUM(18,38*7,35))),"",INDIRECT("R9.Web!D"&amp;SUM(18,38*7,35))))</f>
        <v/>
      </c>
      <c r="AR54" s="215" t="str" cm="1">
        <f t="array" aca="1" ref="AR54" ca="1">IF($B54="","",IF(ISBLANK(INDIRECT("R9.Web!D"&amp;SUM(18,38*8,35))),"",INDIRECT("R9.Web!D"&amp;SUM(18,38*8,35))))</f>
        <v/>
      </c>
      <c r="AS54" s="215" t="str" cm="1">
        <f t="array" aca="1" ref="AS54" ca="1">IF($B54="","",IF(ISBLANK(INDIRECT("R9.Web!D"&amp;SUM(18,38*9,35))),"",INDIRECT("R9.Web!D"&amp;SUM(18,38*9,35))))</f>
        <v/>
      </c>
      <c r="AT54" s="215" t="str" cm="1">
        <f t="array" aca="1" ref="AT54" ca="1">IF($B54="","",IF(ISBLANK(INDIRECT("R9.Web!D"&amp;SUM(18,38*10,35))),"",INDIRECT("R9.Web!D"&amp;SUM(18,38*10,35))))</f>
        <v/>
      </c>
      <c r="AU54" s="215" t="str" cm="1">
        <f t="array" aca="1" ref="AU54" ca="1">IF($B54="","",IF(ISBLANK(INDIRECT("R9.Web!D"&amp;SUM(18,38*11,35))),"",INDIRECT("R9.Web!D"&amp;SUM(18,38*11,35))))</f>
        <v/>
      </c>
      <c r="AV54" s="215" t="str" cm="1">
        <f t="array" aca="1" ref="AV54" ca="1">IF($B54="","",IF(ISBLANK(INDIRECT("R9.Web!D"&amp;SUM(18,38*12,35))),"",INDIRECT("R9.Web!D"&amp;SUM(18,38*12,35))))</f>
        <v/>
      </c>
      <c r="AW54" s="215" t="str" cm="1">
        <f t="array" aca="1" ref="AW54" ca="1">IF($B54="","",IF(ISBLANK(INDIRECT("R9.Web!D"&amp;SUM(18,38*13,35))),"",INDIRECT("R9.Web!D"&amp;SUM(18,38*13,35))))</f>
        <v/>
      </c>
      <c r="AX54" s="215" t="str" cm="1">
        <f t="array" aca="1" ref="AX54" ca="1">IF($B54="","",IF(ISBLANK(INDIRECT("R9.Web!D"&amp;SUM(18,38*14,35))),"",INDIRECT("R9.Web!D"&amp;SUM(18,38*14,35))))</f>
        <v/>
      </c>
      <c r="AY54" s="215" t="str" cm="1">
        <f t="array" aca="1" ref="AY54" ca="1">IF($B54="","",IF(ISBLANK(INDIRECT("R9.Web!D"&amp;SUM(18,38*15,35))),"",INDIRECT("R9.Web!D"&amp;SUM(18,38*15,35))))</f>
        <v/>
      </c>
      <c r="AZ54" s="215" t="str" cm="1">
        <f t="array" aca="1" ref="AZ54" ca="1">IF($B54="","",IF(ISBLANK(INDIRECT("R9.Web!D"&amp;SUM(18,38*16,35))),"",INDIRECT("R9.Web!D"&amp;SUM(18,38*16,35))))</f>
        <v/>
      </c>
      <c r="BA54" s="215" t="str" cm="1">
        <f t="array" aca="1" ref="BA54" ca="1">IF($B54="","",IF(ISBLANK(INDIRECT("R9.Web!D"&amp;SUM(18,38*17,35))),"",INDIRECT("R9.Web!D"&amp;SUM(18,38*17,35))))</f>
        <v/>
      </c>
      <c r="BB54" s="215" t="str" cm="1">
        <f t="array" aca="1" ref="BB54" ca="1">IF($B54="","",IF(ISBLANK(INDIRECT("R9.Web!D"&amp;SUM(18,38*18,35))),"",INDIRECT("R9.Web!D"&amp;SUM(18,38*18,35))))</f>
        <v/>
      </c>
      <c r="BC54" s="215" t="str" cm="1">
        <f t="array" aca="1" ref="BC54" ca="1">IF($B54="","",IF(ISBLANK(INDIRECT("R9.Web!D"&amp;SUM(18,38*19,35))),"",INDIRECT("R9.Web!D"&amp;SUM(18,38*19,35))))</f>
        <v/>
      </c>
      <c r="BD54" s="215" t="str" cm="1">
        <f t="array" aca="1" ref="BD54" ca="1">IF($B54="","",IF(ISBLANK(INDIRECT("R9.Web!D"&amp;SUM(18,38*20,35))),"",INDIRECT("R9.Web!D"&amp;SUM(18,38*20,35))))</f>
        <v/>
      </c>
      <c r="BE54" s="215" t="str" cm="1">
        <f t="array" aca="1" ref="BE54" ca="1">IF($B54="","",IF(ISBLANK(INDIRECT("R9.Web!D"&amp;SUM(18,38*21,35))),"",INDIRECT("R9.Web!D"&amp;SUM(18,38*21,35))))</f>
        <v/>
      </c>
      <c r="BF54" s="215" t="str" cm="1">
        <f t="array" aca="1" ref="BF54" ca="1">IF($B54="","",IF(ISBLANK(INDIRECT("R9.Web!D"&amp;SUM(18,38*22,35))),"",INDIRECT("R9.Web!D"&amp;SUM(18,38*22,35))))</f>
        <v/>
      </c>
      <c r="BG54" s="215" t="str" cm="1">
        <f t="array" aca="1" ref="BG54" ca="1">IF($B54="","",IF(ISBLANK(INDIRECT("R9.Web!D"&amp;SUM(18,38*23,35))),"",INDIRECT("R9.Web!D"&amp;SUM(18,38*23,35))))</f>
        <v/>
      </c>
      <c r="BH54" s="215" t="str" cm="1">
        <f t="array" aca="1" ref="BH54" ca="1">IF($B54="","",IF(ISBLANK(INDIRECT("R9.Web!D"&amp;SUM(18,38*24,35))),"",INDIRECT("R9.Web!D"&amp;SUM(18,38*24,35))))</f>
        <v/>
      </c>
      <c r="BI54" s="215" t="str" cm="1">
        <f t="array" aca="1" ref="BI54" ca="1">IF($B54="","",IF(ISBLANK(INDIRECT("R9.Web!D"&amp;SUM(18,38*25,35))),"",INDIRECT("R9.Web!D"&amp;SUM(18,38*25,35))))</f>
        <v/>
      </c>
      <c r="BJ54" s="215" t="str" cm="1">
        <f t="array" aca="1" ref="BJ54" ca="1">IF($B54="","",IF(ISBLANK(INDIRECT("R9.Web!D"&amp;SUM(18,38*26,35))),"",INDIRECT("R9.Web!D"&amp;SUM(18,38*26,35))))</f>
        <v/>
      </c>
      <c r="BK54" s="215" t="str" cm="1">
        <f t="array" aca="1" ref="BK54" ca="1">IF($B54="","",IF(ISBLANK(INDIRECT("R9.Web!D"&amp;SUM(18,38*27,35))),"",INDIRECT("R9.Web!D"&amp;SUM(18,38*27,35))))</f>
        <v/>
      </c>
      <c r="BL54" s="215" t="str" cm="1">
        <f t="array" aca="1" ref="BL54" ca="1">IF($B54="","",IF(ISBLANK(INDIRECT("R9.Web!D"&amp;SUM(18,38*28,35))),"",INDIRECT("R9.Web!D"&amp;SUM(18,38*28,35))))</f>
        <v/>
      </c>
      <c r="BM54" s="215" t="str" cm="1">
        <f t="array" aca="1" ref="BM54" ca="1">IF($B54="","",IF(ISBLANK(INDIRECT("R9.Web!D"&amp;SUM(18,38*29,35))),"",INDIRECT("R9.Web!D"&amp;SUM(18,38*29,35))))</f>
        <v/>
      </c>
      <c r="BN54" s="215" t="str" cm="1">
        <f t="array" aca="1" ref="BN54" ca="1">IF($B54="","",IF(ISBLANK(INDIRECT("R9.Web!D"&amp;SUM(18,38*30,35))),"",INDIRECT("R9.Web!D"&amp;SUM(18,38*30,35))))</f>
        <v/>
      </c>
      <c r="BO54" s="215" t="str" cm="1">
        <f t="array" aca="1" ref="BO54" ca="1">IF($B54="","",IF(ISBLANK(INDIRECT("R9.Web!D"&amp;SUM(18,38*31,35))),"",INDIRECT("R9.Web!D"&amp;SUM(18,38*31,35))))</f>
        <v/>
      </c>
      <c r="BP54" s="215" t="str" cm="1">
        <f t="array" aca="1" ref="BP54" ca="1">IF($B54="","",IF(ISBLANK(INDIRECT("R9.Web!D"&amp;SUM(18,38*32,35))),"",INDIRECT("R9.Web!D"&amp;SUM(18,38*32,35))))</f>
        <v/>
      </c>
      <c r="BQ54" s="215" t="str" cm="1">
        <f t="array" aca="1" ref="BQ54" ca="1">IF($B54="","",IF(ISBLANK(INDIRECT("R9.Web!D"&amp;SUM(18,38*33,35))),"",INDIRECT("R9.Web!D"&amp;SUM(18,38*33,35))))</f>
        <v/>
      </c>
      <c r="BR54" s="215" t="str" cm="1">
        <f t="array" aca="1" ref="BR54" ca="1">IF($B54="","",IF(ISBLANK(INDIRECT("R9.Web!D"&amp;SUM(18,38*34,35))),"",INDIRECT("R9.Web!D"&amp;SUM(18,38*34,35))))</f>
        <v/>
      </c>
      <c r="BS54" s="215" t="str" cm="1">
        <f t="array" aca="1" ref="BS54" ca="1">IF($B54="","",IF(ISBLANK(INDIRECT("R9.Web!D"&amp;SUM(18,38*35,35))),"",INDIRECT("R9.Web!D"&amp;SUM(18,38*35,35))))</f>
        <v/>
      </c>
      <c r="BT54" s="215" t="str" cm="1">
        <f t="array" aca="1" ref="BT54" ca="1">IF($B54="","",IF(ISBLANK(INDIRECT("R9.Web!D"&amp;SUM(18,38*36,35))),"",INDIRECT("R9.Web!D"&amp;SUM(18,38*36,35))))</f>
        <v/>
      </c>
      <c r="BU54" s="215" t="str" cm="1">
        <f t="array" aca="1" ref="BU54" ca="1">IF($B54="","",IF(ISBLANK(INDIRECT("R9.Web!D"&amp;SUM(18,38*37,35))),"",INDIRECT("R9.Web!D"&amp;SUM(18,38*37,35))))</f>
        <v/>
      </c>
      <c r="BV54" s="215" t="str" cm="1">
        <f t="array" aca="1" ref="BV54" ca="1">IF($B54="","",IF(ISBLANK(INDIRECT("R9.Web!D"&amp;SUM(18,38*38,35))),"",INDIRECT("R9.Web!D"&amp;SUM(18,38*38,35))))</f>
        <v/>
      </c>
      <c r="BW54" s="215" t="str" cm="1">
        <f t="array" aca="1" ref="BW54" ca="1">IF($B54="","",IF(ISBLANK(INDIRECT("R9.Web!D"&amp;SUM(18,38*39,35))),"",INDIRECT("R9.Web!D"&amp;SUM(18,38*39,35))))</f>
        <v/>
      </c>
      <c r="BX54" s="215" t="str" cm="1">
        <f t="array" aca="1" ref="BX54" ca="1">IF($B54="","",IF(ISBLANK(INDIRECT("R9.Web!D"&amp;SUM(18,38*40,35))),"",INDIRECT("R9.Web!D"&amp;SUM(18,38*40,35))))</f>
        <v/>
      </c>
      <c r="BY54" s="215" t="str" cm="1">
        <f t="array" aca="1" ref="BY54" ca="1">IF($B54="","",IF(ISBLANK(INDIRECT("R9.Web!D"&amp;SUM(18,38*41,35))),"",INDIRECT("R9.Web!D"&amp;SUM(18,38*41,35))))</f>
        <v/>
      </c>
      <c r="BZ54" s="215" t="str" cm="1">
        <f t="array" aca="1" ref="BZ54" ca="1">IF($B54="","",IF(ISBLANK(INDIRECT("R9.Web!D"&amp;SUM(18,38*42,35))),"",INDIRECT("R9.Web!D"&amp;SUM(18,38*42,35))))</f>
        <v/>
      </c>
      <c r="CA54" s="215" t="str" cm="1">
        <f t="array" aca="1" ref="CA54" ca="1">IF($B54="","",IF(ISBLANK(INDIRECT("R9.Web!D"&amp;SUM(18,38*43,35))),"",INDIRECT("R9.Web!D"&amp;SUM(18,38*43,35))))</f>
        <v/>
      </c>
      <c r="CB54" s="215" t="str" cm="1">
        <f t="array" aca="1" ref="CB54" ca="1">IF($B54="","",IF(ISBLANK(INDIRECT("R9.Web!D"&amp;SUM(18,38*44,35))),"",INDIRECT("R9.Web!D"&amp;SUM(18,38*44,35))))</f>
        <v/>
      </c>
      <c r="CC54" s="215" t="str" cm="1">
        <f t="array" aca="1" ref="CC54" ca="1">IF($B54="","",IF(ISBLANK(INDIRECT("R9.Web!D"&amp;SUM(18,38*45,35))),"",INDIRECT("R9.Web!D"&amp;SUM(18,38*45,35))))</f>
        <v/>
      </c>
      <c r="CD54" s="215" t="str" cm="1">
        <f t="array" aca="1" ref="CD54" ca="1">IF($B54="","",IF(ISBLANK(INDIRECT("R9.Web!D"&amp;SUM(18,38*46,35))),"",INDIRECT("R9.Web!D"&amp;SUM(18,38*46,35))))</f>
        <v/>
      </c>
      <c r="CE54" s="215" t="str" cm="1">
        <f t="array" aca="1" ref="CE54" ca="1">IF($B54="","",IF(ISBLANK(INDIRECT("R9.Web!D"&amp;SUM(18,38*47,35))),"",INDIRECT("R9.Web!D"&amp;SUM(18,38*47,35))))</f>
        <v/>
      </c>
      <c r="CF54" s="215" t="str" cm="1">
        <f t="array" aca="1" ref="CF54" ca="1">IF($B54="","",IF(ISBLANK(INDIRECT("R9.Web!D"&amp;SUM(18,38*48,35))),"",INDIRECT("R9.Web!D"&amp;SUM(18,38*48,35))))</f>
        <v/>
      </c>
      <c r="CG54" s="215" t="str" cm="1">
        <f t="array" aca="1" ref="CG54" ca="1">IF($B54="","",IF(ISBLANK(INDIRECT("R9.Web!D"&amp;SUM(18,38*49,35))),"",INDIRECT("R9.Web!D"&amp;SUM(18,38*49,35))))</f>
        <v/>
      </c>
      <c r="CH54" s="215" t="str" cm="1">
        <f t="array" aca="1" ref="CH54" ca="1">IF($B54="","",IF(ISBLANK(INDIRECT("R11.Software!D"&amp;SUM(18,38*0,35))),"",INDIRECT("R11.Software!D"&amp;SUM(18,38*0,35))))</f>
        <v/>
      </c>
      <c r="CI54" s="215" t="str" cm="1">
        <f t="array" aca="1" ref="CI54" ca="1">IF($B54="","",IF(ISBLANK(INDIRECT("R11.Software!D"&amp;SUM(18,38*1,35))),"",INDIRECT("R11.Software!D"&amp;SUM(18,38*1,35))))</f>
        <v/>
      </c>
      <c r="CJ54" s="215" t="str" cm="1">
        <f t="array" aca="1" ref="CJ54" ca="1">IF($B54="","",IF(ISBLANK(INDIRECT("R11.Software!D"&amp;SUM(18,38*2,35))),"",INDIRECT("R11.Software!D"&amp;SUM(18,38*2,35))))</f>
        <v/>
      </c>
      <c r="CK54" s="215" t="str" cm="1">
        <f t="array" aca="1" ref="CK54" ca="1">IF($B54="","",IF(ISBLANK(INDIRECT("R11.Software!D"&amp;SUM(18,38*3,35))),"",INDIRECT("R11.Software!D"&amp;SUM(18,38*3,35))))</f>
        <v/>
      </c>
      <c r="CL54" s="215" t="str" cm="1">
        <f t="array" aca="1" ref="CL54" ca="1">IF($B54="","",IF(ISBLANK(INDIRECT("R11.Software!D"&amp;SUM(18,38*4,35))),"",INDIRECT("R11.Software!D"&amp;SUM(18,38*4,35))))</f>
        <v/>
      </c>
      <c r="CM54" s="215" t="str" cm="1">
        <f t="array" aca="1" ref="CM54" ca="1">IF($B54="","",IF(ISBLANK(INDIRECT("R11.Software!D"&amp;SUM(18,38*5,35))),"",INDIRECT("R11.Software!D"&amp;SUM(18,38*5,35))))</f>
        <v/>
      </c>
      <c r="CN54" s="215" t="str" cm="1">
        <f t="array" aca="1" ref="CN54" ca="1">IF($B54="","",IF(ISBLANK(INDIRECT("R12.ServiciosApoyo!D"&amp;SUM(18,38*0,35))),"",INDIRECT("R12.ServiciosApoyo!D"&amp;SUM(18,38*0,35))))</f>
        <v/>
      </c>
      <c r="CO54" s="215" t="str" cm="1">
        <f t="array" aca="1" ref="CO54" ca="1">IF($B54="","",IF(ISBLANK(INDIRECT("R12.ServiciosApoyo!D"&amp;SUM(18,38*1,35))),"",INDIRECT("R12.ServiciosApoyo!D"&amp;SUM(18,38*1,35))))</f>
        <v/>
      </c>
      <c r="CP54" s="215" t="str" cm="1">
        <f t="array" aca="1" ref="CP54" ca="1">IF($B54="","",IF(ISBLANK(INDIRECT("R12.ServiciosApoyo!D"&amp;SUM(18,38*2,35))),"",INDIRECT("R12.ServiciosApoyo!D"&amp;SUM(18,38*2,35))))</f>
        <v/>
      </c>
      <c r="CQ54" s="215" t="str" cm="1">
        <f t="array" aca="1" ref="CQ54" ca="1">IF($B54="","",IF(ISBLANK(INDIRECT("R12.ServiciosApoyo!D"&amp;SUM(18,38*3,35))),"",INDIRECT("R12.ServiciosApoyo!D"&amp;SUM(18,38*3,35))))</f>
        <v/>
      </c>
      <c r="CR54" s="215" t="str" cm="1">
        <f t="array" aca="1" ref="CR54" ca="1">IF($B54="","",IF(ISBLANK(INDIRECT("R12.ServiciosApoyo!D"&amp;SUM(18,38*4,35))),"",INDIRECT("R12.ServiciosApoyo!D"&amp;SUM(18,38*4,35))))</f>
        <v/>
      </c>
      <c r="CU54" s="100"/>
      <c r="CV54" s="29"/>
      <c r="CW54" s="29"/>
      <c r="CX54" s="29"/>
    </row>
    <row r="55" spans="2:102" ht="21.75" customHeight="1">
      <c r="B55" s="179"/>
      <c r="C55" s="30"/>
      <c r="D55" s="86" t="s">
        <v>361</v>
      </c>
      <c r="E55" s="87" t="str">
        <f ca="1">IF(OR('03.Muestra'!$D$45=0,COUNTIF('03.Muestra'!$D$8:'03.Muestra'!$D$42,"Página Web")=0),"N/A", IF(COUNTIF(INDIRECT("R5.Genéricos!$E"&amp;SUM(19,38*0)):INDIRECT("R5.Genéricos!$E"&amp;SUM(53,38*0)),"ERR")&gt;0,"ERROR", IF(COUNTIF(E20:E54,"N/T")&gt;0, "EN CURSO", IF(COUNTIF(E20:E54,"N/D") &gt; 0,"EN CURSO", IF(COUNT($B20:$B54) = COUNTIF(E20:E54,"N/A"), "N/A", IF(COUNTIF(E20:E54,"Falla")&gt;('DATA - Oculta'!$C$25*((COUNTIF(E20:E54,"Pasa")+COUNTIF(E20:E54,"Falla")))), "NO CONFORME","CONFORME"))))))</f>
        <v>EN CURSO</v>
      </c>
      <c r="F55" s="87" t="str">
        <f ca="1">IF(OR('03.Muestra'!$D$45=0,COUNTIF('03.Muestra'!$D$8:'03.Muestra'!$D$42,"Página Web")=0),"N/A", IF(COUNTIF(INDIRECT("R5.Genéricos!$E"&amp;SUM(19,38*0)):INDIRECT("R5.Genéricos!$E"&amp;SUM(53,38*0)),"ERR")&gt;0,"ERROR", IF(COUNTIF(F20:F54,"N/T")&gt;0, "EN CURSO", IF(COUNTIF(F20:F54,"N/D") &gt; 0,"EN CURSO", IF(COUNT($B20:$B54) = COUNTIF(F20:F54,"N/A"), "N/A", IF(COUNTIF(F20:F54,"Falla")&gt;('DATA - Oculta'!$C$25*((COUNTIF(F20:F54,"Pasa")+COUNTIF(F20:F54,"Falla")))), "NO CONFORME","CONFORME"))))))</f>
        <v>EN CURSO</v>
      </c>
      <c r="G55" s="87" t="str">
        <f ca="1">IF(OR('03.Muestra'!$D$45=0,COUNTIF('03.Muestra'!$D$8:'03.Muestra'!$D$42,"Página Web")=0),"N/A", IF(COUNTIF(INDIRECT("R5.Genéricos!$E"&amp;SUM(19,38*0)):INDIRECT("R5.Genéricos!$E"&amp;SUM(53,38*0)),"ERR")&gt;0,"ERROR", IF(COUNTIF(G20:G54,"N/T")&gt;0, "EN CURSO", IF(COUNTIF(G20:G54,"N/D") &gt; 0,"EN CURSO", IF(COUNT($B20:$B54) = COUNTIF(G20:G54,"N/A"), "N/A", IF(COUNTIF(G20:G54,"Falla")&gt;('DATA - Oculta'!$C$25*((COUNTIF(G20:G54,"Pasa")+COUNTIF(G20:G54,"Falla")))), "NO CONFORME","CONFORME"))))))</f>
        <v>EN CURSO</v>
      </c>
      <c r="H55" s="87" t="str">
        <f ca="1">IF(OR('03.Muestra'!$D$45=0,COUNTIF('03.Muestra'!$D$8:'03.Muestra'!$D$42,"Página Web")=0),"N/A", IF(COUNTIF(INDIRECT("R5.Genéricos!$E"&amp;SUM(19,38*0)):INDIRECT("R5.Genéricos!$E"&amp;SUM(53,38*0)),"ERR")&gt;0,"ERROR", IF(COUNTIF(H20:H54,"N/T")&gt;0, "EN CURSO", IF(COUNTIF(H20:H54,"N/D") &gt; 0,"EN CURSO", IF(COUNT($B20:$B54) = COUNTIF(H20:H54,"N/A"), "N/A", IF(COUNTIF(H20:H54,"Falla")&gt;('DATA - Oculta'!$C$25*((COUNTIF(H20:H54,"Pasa")+COUNTIF(H20:H54,"Falla")))), "NO CONFORME","CONFORME"))))))</f>
        <v>EN CURSO</v>
      </c>
      <c r="I55" s="87" t="str">
        <f ca="1">IF(OR('03.Muestra'!$D$45=0,COUNTIF('03.Muestra'!$D$8:'03.Muestra'!$D$42,"Página Web")=0),"N/A", IF(COUNTIF(INDIRECT("R5.Genéricos!$E"&amp;SUM(19,38*0)):INDIRECT("R5.Genéricos!$E"&amp;SUM(53,38*0)),"ERR")&gt;0,"ERROR", IF(COUNTIF(I20:I54,"N/T")&gt;0, "EN CURSO", IF(COUNTIF(I20:I54,"N/D") &gt; 0,"EN CURSO", IF(COUNT($B20:$B54) = COUNTIF(I20:I54,"N/A"), "N/A", IF(COUNTIF(I20:I54,"Falla")&gt;('DATA - Oculta'!$C$25*((COUNTIF(I20:I54,"Pasa")+COUNTIF(I20:I54,"Falla")))), "NO CONFORME","CONFORME"))))))</f>
        <v>EN CURSO</v>
      </c>
      <c r="J55" s="87" t="str">
        <f ca="1">IF(OR('03.Muestra'!$D$45=0,COUNTIF('03.Muestra'!$D$8:'03.Muestra'!$D$42,"Página Web")=0),"N/A", IF(COUNTIF(INDIRECT("R5.Genéricos!$E"&amp;SUM(19,38*0)):INDIRECT("R5.Genéricos!$E"&amp;SUM(53,38*0)),"ERR")&gt;0,"ERROR", IF(COUNTIF(J20:J54,"N/T")&gt;0, "EN CURSO", IF(COUNTIF(J20:J54,"N/D") &gt; 0,"EN CURSO", IF(COUNT($B20:$B54) = COUNTIF(J20:J54,"N/A"), "N/A", IF(COUNTIF(J20:J54,"Falla")&gt;('DATA - Oculta'!$C$25*((COUNTIF(J20:J54,"Pasa")+COUNTIF(J20:J54,"Falla")))), "NO CONFORME","CONFORME"))))))</f>
        <v>EN CURSO</v>
      </c>
      <c r="K55" s="87" t="str">
        <f ca="1">IF(OR('03.Muestra'!$D$45=0,COUNTIF('03.Muestra'!$D$8:'03.Muestra'!$D$42,"Página Web")=0),"N/A", IF(COUNTIF(INDIRECT("R5.Genéricos!$E"&amp;SUM(19,38*0)):INDIRECT("R5.Genéricos!$E"&amp;SUM(53,38*0)),"ERR")&gt;0,"ERROR", IF(COUNTIF(K20:K54,"N/T")&gt;0, "EN CURSO", IF(COUNTIF(K20:K54,"N/D") &gt; 0,"EN CURSO", IF(COUNT($B20:$B54) = COUNTIF(K20:K54,"N/A"), "N/A", IF(COUNTIF(K20:K54,"Falla")&gt;('DATA - Oculta'!$C$25*((COUNTIF(K20:K54,"Pasa")+COUNTIF(K20:K54,"Falla")))), "NO CONFORME","CONFORME"))))))</f>
        <v>EN CURSO</v>
      </c>
      <c r="L55" s="87" t="str">
        <f ca="1">IF(OR('03.Muestra'!$D$45=0,COUNTIF('03.Muestra'!$D$8:'03.Muestra'!$D$42,"Página Web")=0),"N/A", IF(COUNTIF(INDIRECT("R5.Genéricos!$E"&amp;SUM(19,38*0)):INDIRECT("R5.Genéricos!$E"&amp;SUM(53,38*0)),"ERR")&gt;0,"ERROR", IF(COUNTIF(L20:L54,"N/T")&gt;0, "EN CURSO", IF(COUNTIF(L20:L54,"N/D") &gt; 0,"EN CURSO", IF(COUNT($B20:$B54) = COUNTIF(L20:L54,"N/A"), "N/A", IF(COUNTIF(L20:L54,"Falla")&gt;('DATA - Oculta'!$C$25*((COUNTIF(L20:L54,"Pasa")+COUNTIF(L20:L54,"Falla")))), "NO CONFORME","CONFORME"))))))</f>
        <v>EN CURSO</v>
      </c>
      <c r="M55" s="87" t="str">
        <f ca="1">IF(OR('03.Muestra'!$D$45=0,COUNTIF('03.Muestra'!$D$8:'03.Muestra'!$D$42,"Página Web")=0),"N/A", IF(COUNTIF(INDIRECT("R5.Genéricos!$E"&amp;SUM(19,38*0)):INDIRECT("R5.Genéricos!$E"&amp;SUM(53,38*0)),"ERR")&gt;0,"ERROR", IF(COUNTIF(M20:M54,"N/T")&gt;0, "EN CURSO", IF(COUNTIF(M20:M54,"N/D") &gt; 0,"EN CURSO", IF(COUNT($B20:$B54) = COUNTIF(M20:M54,"N/A"), "N/A", IF(COUNTIF(M20:M54,"Falla")&gt;('DATA - Oculta'!$C$25*((COUNTIF(M20:M54,"Pasa")+COUNTIF(M20:M54,"Falla")))), "NO CONFORME","CONFORME"))))))</f>
        <v>EN CURSO</v>
      </c>
      <c r="N55" s="87" t="str">
        <f ca="1">IF(OR('03.Muestra'!$D$45=0,COUNTIF('03.Muestra'!$D$8:'03.Muestra'!$D$42,"Página Web")=0),"N/A", IF(COUNTIF(INDIRECT("R5.Genéricos!$E"&amp;SUM(19,38*0)):INDIRECT("R5.Genéricos!$E"&amp;SUM(53,38*0)),"ERR")&gt;0,"ERROR", IF(COUNTIF(N20:N54,"N/T")&gt;0, "EN CURSO", IF(COUNTIF(N20:N54,"N/D") &gt; 0,"EN CURSO", IF(COUNT($B20:$B54) = COUNTIF(N20:N54,"N/A"), "N/A", IF(COUNTIF(N20:N54,"Falla")&gt;('DATA - Oculta'!$C$25*((COUNTIF(N20:N54,"Pasa")+COUNTIF(N20:N54,"Falla")))), "NO CONFORME","CONFORME"))))))</f>
        <v>EN CURSO</v>
      </c>
      <c r="O55" s="87" t="str">
        <f ca="1">IF(OR('03.Muestra'!$D$45=0,COUNTIF('03.Muestra'!$D$8:'03.Muestra'!$D$42,"Página Web")=0),"N/A", IF(COUNTIF(INDIRECT("R5.Genéricos!$E"&amp;SUM(19,38*0)):INDIRECT("R5.Genéricos!$E"&amp;SUM(53,38*0)),"ERR")&gt;0,"ERROR", IF(COUNTIF(O20:O54,"N/T")&gt;0, "EN CURSO", IF(COUNTIF(O20:O54,"N/D") &gt; 0,"EN CURSO", IF(COUNT($B20:$B54) = COUNTIF(O20:O54,"N/A"), "N/A", IF(COUNTIF(O20:O54,"Falla")&gt;('DATA - Oculta'!$C$25*((COUNTIF(O20:O54,"Pasa")+COUNTIF(O20:O54,"Falla")))), "NO CONFORME","CONFORME"))))))</f>
        <v>EN CURSO</v>
      </c>
      <c r="P55" s="87" t="str">
        <f ca="1">IF(OR('03.Muestra'!$D$45=0,COUNTIF('03.Muestra'!$D$8:'03.Muestra'!$D$42,"Página Web")=0),"N/A", IF(COUNTIF(INDIRECT("R5.Genéricos!$E"&amp;SUM(19,38*0)):INDIRECT("R5.Genéricos!$E"&amp;SUM(53,38*0)),"ERR")&gt;0,"ERROR", IF(COUNTIF(P20:P54,"N/T")&gt;0, "EN CURSO", IF(COUNTIF(P20:P54,"N/D") &gt; 0,"EN CURSO", IF(COUNT($B20:$B54) = COUNTIF(P20:P54,"N/A"), "N/A", IF(COUNTIF(P20:P54,"Falla")&gt;('DATA - Oculta'!$C$25*((COUNTIF(P20:P54,"Pasa")+COUNTIF(P20:P54,"Falla")))), "NO CONFORME","CONFORME"))))))</f>
        <v>EN CURSO</v>
      </c>
      <c r="Q55" s="87" t="str">
        <f ca="1">IF(OR('03.Muestra'!$D$45=0,COUNTIF('03.Muestra'!$D$8:'03.Muestra'!$D$42,"Página Web")=0),"N/A", IF(COUNTIF(INDIRECT("R5.Genéricos!$E"&amp;SUM(19,38*0)):INDIRECT("R5.Genéricos!$E"&amp;SUM(53,38*0)),"ERR")&gt;0,"ERROR", IF(COUNTIF(Q20:Q54,"N/T")&gt;0, "EN CURSO", IF(COUNTIF(Q20:Q54,"N/D") &gt; 0,"EN CURSO", IF(COUNT($B20:$B54) = COUNTIF(Q20:Q54,"N/A"), "N/A", IF(COUNTIF(Q20:Q54,"Falla")&gt;('DATA - Oculta'!$C$25*((COUNTIF(Q20:Q54,"Pasa")+COUNTIF(Q20:Q54,"Falla")))), "NO CONFORME","CONFORME"))))))</f>
        <v>EN CURSO</v>
      </c>
      <c r="R55" s="87" t="str">
        <f ca="1">IF(OR('03.Muestra'!$D$45=0,COUNTIF('03.Muestra'!$D$8:'03.Muestra'!$D$42,"Página Web")=0),"N/A", IF(COUNTIF(INDIRECT("R5.Genéricos!$E"&amp;SUM(19,38*0)):INDIRECT("R5.Genéricos!$E"&amp;SUM(53,38*0)),"ERR")&gt;0,"ERROR", IF(COUNTIF(R20:R54,"N/T")&gt;0, "EN CURSO", IF(COUNTIF(R20:R54,"N/D") &gt; 0,"EN CURSO", IF(COUNT($B20:$B54) = COUNTIF(R20:R54,"N/A"), "N/A", IF(COUNTIF(R20:R54,"Falla")&gt;('DATA - Oculta'!$C$25*((COUNTIF(R20:R54,"Pasa")+COUNTIF(R20:R54,"Falla")))), "NO CONFORME","CONFORME"))))))</f>
        <v>EN CURSO</v>
      </c>
      <c r="S55" s="87" t="str">
        <f ca="1">IF(OR('03.Muestra'!$D$45=0,COUNTIF('03.Muestra'!$D$8:'03.Muestra'!$D$42,"Página Web")=0),"N/A", IF(COUNTIF(INDIRECT("R5.Genéricos!$E"&amp;SUM(19,38*0)):INDIRECT("R5.Genéricos!$E"&amp;SUM(53,38*0)),"ERR")&gt;0,"ERROR", IF(COUNTIF(S20:S54,"N/T")&gt;0, "EN CURSO", IF(COUNTIF(S20:S54,"N/D") &gt; 0,"EN CURSO", IF(COUNT($B20:$B54) = COUNTIF(S20:S54,"N/A"), "N/A", IF(COUNTIF(S20:S54,"Falla")&gt;('DATA - Oculta'!$C$25*((COUNTIF(S20:S54,"Pasa")+COUNTIF(S20:S54,"Falla")))), "NO CONFORME","CONFORME"))))))</f>
        <v>EN CURSO</v>
      </c>
      <c r="T55" s="87" t="str">
        <f ca="1">IF(OR('03.Muestra'!$D$45=0,COUNTIF('03.Muestra'!$D$8:'03.Muestra'!$D$42,"Página Web")=0),"N/A", IF(COUNTIF(INDIRECT("R5.Genéricos!$E"&amp;SUM(19,38*0)):INDIRECT("R5.Genéricos!$E"&amp;SUM(53,38*0)),"ERR")&gt;0,"ERROR", IF(COUNTIF(T20:T54,"N/T")&gt;0, "EN CURSO", IF(COUNTIF(T20:T54,"N/D") &gt; 0,"EN CURSO", IF(COUNT($B20:$B54) = COUNTIF(T20:T54,"N/A"), "N/A", IF(COUNTIF(T20:T54,"Falla")&gt;('DATA - Oculta'!$C$25*((COUNTIF(T20:T54,"Pasa")+COUNTIF(T20:T54,"Falla")))), "NO CONFORME","CONFORME"))))))</f>
        <v>EN CURSO</v>
      </c>
      <c r="U55" s="87" t="str">
        <f ca="1">IF(OR('03.Muestra'!$D$45=0,COUNTIF('03.Muestra'!$D$8:'03.Muestra'!$D$42,"Página Web")=0),"N/A", IF(COUNTIF(INDIRECT("R5.Genéricos!$E"&amp;SUM(19,38*0)):INDIRECT("R5.Genéricos!$E"&amp;SUM(53,38*0)),"ERR")&gt;0,"ERROR", IF(COUNTIF(U20:U54,"N/T")&gt;0, "EN CURSO", IF(COUNTIF(U20:U54,"N/D") &gt; 0,"EN CURSO", IF(COUNT($B20:$B54) = COUNTIF(U20:U54,"N/A"), "N/A", IF(COUNTIF(U20:U54,"Falla")&gt;('DATA - Oculta'!$C$25*((COUNTIF(U20:U54,"Pasa")+COUNTIF(U20:U54,"Falla")))), "NO CONFORME","CONFORME"))))))</f>
        <v>EN CURSO</v>
      </c>
      <c r="V55" s="87" t="str">
        <f ca="1">IF(OR('03.Muestra'!$D$45=0,COUNTIF('03.Muestra'!$D$8:'03.Muestra'!$D$42,"Página Web")=0),"N/A", IF(COUNTIF(INDIRECT("R5.Genéricos!$E"&amp;SUM(19,38*0)):INDIRECT("R5.Genéricos!$E"&amp;SUM(53,38*0)),"ERR")&gt;0,"ERROR", IF(COUNTIF(V20:V54,"N/T")&gt;0, "EN CURSO", IF(COUNTIF(V20:V54,"N/D") &gt; 0,"EN CURSO", IF(COUNT($B20:$B54) = COUNTIF(V20:V54,"N/A"), "N/A", IF(COUNTIF(V20:V54,"Falla")&gt;('DATA - Oculta'!$C$25*((COUNTIF(V20:V54,"Pasa")+COUNTIF(V20:V54,"Falla")))), "NO CONFORME","CONFORME"))))))</f>
        <v>EN CURSO</v>
      </c>
      <c r="W55" s="87" t="str">
        <f ca="1">IF(OR('03.Muestra'!$D$45=0,COUNTIF('03.Muestra'!$D$8:'03.Muestra'!$D$42,"Página Web")=0),"N/A", IF(COUNTIF(INDIRECT("R5.Genéricos!$E"&amp;SUM(19,38*0)):INDIRECT("R5.Genéricos!$E"&amp;SUM(53,38*0)),"ERR")&gt;0,"ERROR", IF(COUNTIF(W20:W54,"N/T")&gt;0, "EN CURSO", IF(COUNTIF(W20:W54,"N/D") &gt; 0,"EN CURSO", IF(COUNT($B20:$B54) = COUNTIF(W20:W54,"N/A"), "N/A", IF(COUNTIF(W20:W54,"Falla")&gt;('DATA - Oculta'!$C$25*((COUNTIF(W20:W54,"Pasa")+COUNTIF(W20:W54,"Falla")))), "NO CONFORME","CONFORME"))))))</f>
        <v>EN CURSO</v>
      </c>
      <c r="X55" s="87" t="str">
        <f ca="1">IF(OR('03.Muestra'!$D$45=0,COUNTIF('03.Muestra'!$D$8:'03.Muestra'!$D$42,"Página Web")=0),"N/A", IF(COUNTIF(INDIRECT("R5.Genéricos!$E"&amp;SUM(19,38*0)):INDIRECT("R5.Genéricos!$E"&amp;SUM(53,38*0)),"ERR")&gt;0,"ERROR", IF(COUNTIF(X20:X54,"N/T")&gt;0, "EN CURSO", IF(COUNTIF(X20:X54,"N/D") &gt; 0,"EN CURSO", IF(COUNT($B20:$B54) = COUNTIF(X20:X54,"N/A"), "N/A", IF(COUNTIF(X20:X54,"Falla")&gt;('DATA - Oculta'!$C$25*((COUNTIF(X20:X54,"Pasa")+COUNTIF(X20:X54,"Falla")))), "NO CONFORME","CONFORME"))))))</f>
        <v>EN CURSO</v>
      </c>
      <c r="Y55" s="87" t="str">
        <f ca="1">IF(OR('03.Muestra'!$D$45=0,COUNTIF('03.Muestra'!$D$8:'03.Muestra'!$D$42,"Página Web")=0),"N/A", IF(COUNTIF(INDIRECT("R5.Genéricos!$E"&amp;SUM(19,38*0)):INDIRECT("R5.Genéricos!$E"&amp;SUM(53,38*0)),"ERR")&gt;0,"ERROR", IF(COUNTIF(Y20:Y54,"N/T")&gt;0, "EN CURSO", IF(COUNTIF(Y20:Y54,"N/D") &gt; 0,"EN CURSO", IF(COUNT($B20:$B54) = COUNTIF(Y20:Y54,"N/A"), "N/A", IF(COUNTIF(Y20:Y54,"Falla")&gt;('DATA - Oculta'!$C$25*((COUNTIF(Y20:Y54,"Pasa")+COUNTIF(Y20:Y54,"Falla")))), "NO CONFORME","CONFORME"))))))</f>
        <v>EN CURSO</v>
      </c>
      <c r="Z55" s="87" t="str">
        <f ca="1">IF(OR('03.Muestra'!$D$45=0,COUNTIF('03.Muestra'!$D$8:'03.Muestra'!$D$42,"Página Web")=0),"N/A", IF(COUNTIF(INDIRECT("R5.Genéricos!$E"&amp;SUM(19,38*0)):INDIRECT("R5.Genéricos!$E"&amp;SUM(53,38*0)),"ERR")&gt;0,"ERROR", IF(COUNTIF(Z20:Z54,"N/T")&gt;0, "EN CURSO", IF(COUNTIF(Z20:Z54,"N/D") &gt; 0,"EN CURSO", IF(COUNT($B20:$B54) = COUNTIF(Z20:Z54,"N/A"), "N/A", IF(COUNTIF(Z20:Z54,"Falla")&gt;('DATA - Oculta'!$C$25*((COUNTIF(Z20:Z54,"Pasa")+COUNTIF(Z20:Z54,"Falla")))), "NO CONFORME","CONFORME"))))))</f>
        <v>EN CURSO</v>
      </c>
      <c r="AA55" s="87" t="str">
        <f ca="1">IF(OR('03.Muestra'!$D$45=0,COUNTIF('03.Muestra'!$D$8:'03.Muestra'!$D$42,"Página Web")=0),"N/A", IF(COUNTIF(INDIRECT("R5.Genéricos!$E"&amp;SUM(19,38*0)):INDIRECT("R5.Genéricos!$E"&amp;SUM(53,38*0)),"ERR")&gt;0,"ERROR", IF(COUNTIF(AA20:AA54,"N/T")&gt;0, "EN CURSO", IF(COUNTIF(AA20:AA54,"N/D") &gt; 0,"EN CURSO", IF(COUNT($B20:$B54) = COUNTIF(AA20:AA54,"N/A"), "N/A", IF(COUNTIF(AA20:AA54,"Falla")&gt;('DATA - Oculta'!$C$25*((COUNTIF(AA20:AA54,"Pasa")+COUNTIF(AA20:AA54,"Falla")))), "NO CONFORME","CONFORME"))))))</f>
        <v>EN CURSO</v>
      </c>
      <c r="AB55" s="87" t="str">
        <f ca="1">IF(OR('03.Muestra'!$D$45=0,COUNTIF('03.Muestra'!$D$8:'03.Muestra'!$D$42,"Página Web")=0),"N/A", IF(COUNTIF(INDIRECT("R5.Genéricos!$E"&amp;SUM(19,38*0)):INDIRECT("R5.Genéricos!$E"&amp;SUM(53,38*0)),"ERR")&gt;0,"ERROR", IF(COUNTIF(AB20:AB54,"N/T")&gt;0, "EN CURSO", IF(COUNTIF(AB20:AB54,"N/D") &gt; 0,"EN CURSO", IF(COUNT($B20:$B54) = COUNTIF(AB20:AB54,"N/A"), "N/A", IF(COUNTIF(AB20:AB54,"Falla")&gt;('DATA - Oculta'!$C$25*((COUNTIF(AB20:AB54,"Pasa")+COUNTIF(AB20:AB54,"Falla")))), "NO CONFORME","CONFORME"))))))</f>
        <v>EN CURSO</v>
      </c>
      <c r="AC55" s="87" t="str">
        <f ca="1">IF(OR('03.Muestra'!$D$45=0,COUNTIF('03.Muestra'!$D$8:'03.Muestra'!$D$42,"Página Web")=0),"N/A", IF(COUNTIF(INDIRECT("R5.Genéricos!$E"&amp;SUM(19,38*0)):INDIRECT("R5.Genéricos!$E"&amp;SUM(53,38*0)),"ERR")&gt;0,"ERROR", IF(COUNTIF(AC20:AC54,"N/T")&gt;0, "EN CURSO", IF(COUNTIF(AC20:AC54,"N/D") &gt; 0,"EN CURSO", IF(COUNT($B20:$B54) = COUNTIF(AC20:AC54,"N/A"), "N/A", IF(COUNTIF(AC20:AC54,"Falla")&gt;('DATA - Oculta'!$C$25*((COUNTIF(AC20:AC54,"Pasa")+COUNTIF(AC20:AC54,"Falla")))), "NO CONFORME","CONFORME"))))))</f>
        <v>EN CURSO</v>
      </c>
      <c r="AD55" s="87" t="str">
        <f ca="1">IF(OR('03.Muestra'!$D$45=0,COUNTIF('03.Muestra'!$D$8:'03.Muestra'!$D$42,"Página Web")=0),"N/A", IF(COUNTIF(INDIRECT("R5.Genéricos!$E"&amp;SUM(19,38*0)):INDIRECT("R5.Genéricos!$E"&amp;SUM(53,38*0)),"ERR")&gt;0,"ERROR", IF(COUNTIF(AD20:AD54,"N/T")&gt;0, "EN CURSO", IF(COUNTIF(AD20:AD54,"N/D") &gt; 0,"EN CURSO", IF(COUNT($B20:$B54) = COUNTIF(AD20:AD54,"N/A"), "N/A", IF(COUNTIF(AD20:AD54,"Falla")&gt;('DATA - Oculta'!$C$25*((COUNTIF(AD20:AD54,"Pasa")+COUNTIF(AD20:AD54,"Falla")))), "NO CONFORME","CONFORME"))))))</f>
        <v>EN CURSO</v>
      </c>
      <c r="AE55" s="87" t="str">
        <f ca="1">IF(OR('03.Muestra'!$D$45=0,COUNTIF('03.Muestra'!$D$8:'03.Muestra'!$D$42,"Página Web")=0),"N/A", IF(COUNTIF(INDIRECT("R5.Genéricos!$E"&amp;SUM(19,38*0)):INDIRECT("R5.Genéricos!$E"&amp;SUM(53,38*0)),"ERR")&gt;0,"ERROR", IF(COUNTIF(AE20:AE54,"N/T")&gt;0, "EN CURSO", IF(COUNTIF(AE20:AE54,"N/D") &gt; 0,"EN CURSO", IF(COUNT($B20:$B54) = COUNTIF(AE20:AE54,"N/A"), "N/A", IF(COUNTIF(AE20:AE54,"Falla")&gt;('DATA - Oculta'!$C$25*((COUNTIF(AE20:AE54,"Pasa")+COUNTIF(AE20:AE54,"Falla")))), "NO CONFORME","CONFORME"))))))</f>
        <v>EN CURSO</v>
      </c>
      <c r="AF55" s="87" t="str">
        <f ca="1">IF(OR('03.Muestra'!$D$45=0,COUNTIF('03.Muestra'!$D$8:'03.Muestra'!$D$42,"Página Web")=0),"N/A", IF(COUNTIF(INDIRECT("R5.Genéricos!$E"&amp;SUM(19,38*0)):INDIRECT("R5.Genéricos!$E"&amp;SUM(53,38*0)),"ERR")&gt;0,"ERROR", IF(COUNTIF(AF20:AF54,"N/T")&gt;0, "EN CURSO", IF(COUNTIF(AF20:AF54,"N/D") &gt; 0,"EN CURSO", IF(COUNT($B20:$B54) = COUNTIF(AF20:AF54,"N/A"), "N/A", IF(COUNTIF(AF20:AF54,"Falla")&gt;('DATA - Oculta'!$C$25*((COUNTIF(AF20:AF54,"Pasa")+COUNTIF(AF20:AF54,"Falla")))), "NO CONFORME","CONFORME"))))))</f>
        <v>EN CURSO</v>
      </c>
      <c r="AG55" s="87" t="str">
        <f ca="1">IF(OR('03.Muestra'!$D$45=0,COUNTIF('03.Muestra'!$D$8:'03.Muestra'!$D$42,"Página Web")=0),"N/A", IF(COUNTIF(INDIRECT("R5.Genéricos!$E"&amp;SUM(19,38*0)):INDIRECT("R5.Genéricos!$E"&amp;SUM(53,38*0)),"ERR")&gt;0,"ERROR", IF(COUNTIF(AG20:AG54,"N/T")&gt;0, "EN CURSO", IF(COUNTIF(AG20:AG54,"N/D") &gt; 0,"EN CURSO", IF(COUNT($B20:$B54) = COUNTIF(AG20:AG54,"N/A"), "N/A", IF(COUNTIF(AG20:AG54,"Falla")&gt;('DATA - Oculta'!$C$25*((COUNTIF(AG20:AG54,"Pasa")+COUNTIF(AG20:AG54,"Falla")))), "NO CONFORME","CONFORME"))))))</f>
        <v>EN CURSO</v>
      </c>
      <c r="AH55" s="87" t="str">
        <f ca="1">IF(OR('03.Muestra'!$D$45=0,COUNTIF('03.Muestra'!$D$8:'03.Muestra'!$D$42,"Página Web")=0),"N/A", IF(COUNTIF(INDIRECT("R5.Genéricos!$E"&amp;SUM(19,38*0)):INDIRECT("R5.Genéricos!$E"&amp;SUM(53,38*0)),"ERR")&gt;0,"ERROR", IF(COUNTIF(AH20:AH54,"N/T")&gt;0, "EN CURSO", IF(COUNTIF(AH20:AH54,"N/D") &gt; 0,"EN CURSO", IF(COUNT($B20:$B54) = COUNTIF(AH20:AH54,"N/A"), "N/A", IF(COUNTIF(AH20:AH54,"Falla")&gt;('DATA - Oculta'!$C$25*((COUNTIF(AH20:AH54,"Pasa")+COUNTIF(AH20:AH54,"Falla")))), "NO CONFORME","CONFORME"))))))</f>
        <v>EN CURSO</v>
      </c>
      <c r="AI55" s="87" t="str">
        <f ca="1">IF(OR('03.Muestra'!$D$45=0,COUNTIF('03.Muestra'!$D$8:'03.Muestra'!$D$42,"Página Web")=0),"N/A", IF(COUNTIF(INDIRECT("R5.Genéricos!$E"&amp;SUM(19,38*0)):INDIRECT("R5.Genéricos!$E"&amp;SUM(53,38*0)),"ERR")&gt;0,"ERROR", IF(COUNTIF(AI20:AI54,"N/T")&gt;0, "EN CURSO", IF(COUNTIF(AI20:AI54,"N/D") &gt; 0,"EN CURSO", IF(COUNT($B20:$B54) = COUNTIF(AI20:AI54,"N/A"), "N/A", IF(COUNTIF(AI20:AI54,"Falla")&gt;('DATA - Oculta'!$C$25*((COUNTIF(AI20:AI54,"Pasa")+COUNTIF(AI20:AI54,"Falla")))), "NO CONFORME","CONFORME"))))))</f>
        <v>EN CURSO</v>
      </c>
      <c r="AJ55" s="87" t="str">
        <f ca="1">IF(OR('03.Muestra'!$D$45=0,COUNTIF('03.Muestra'!$D$8:'03.Muestra'!$D$42,"Página Web")=0),"N/A", IF(COUNTIF(INDIRECT("R5.Genéricos!$E"&amp;SUM(19,38*0)):INDIRECT("R5.Genéricos!$E"&amp;SUM(53,38*0)),"ERR")&gt;0,"ERROR", IF(COUNTIF(AJ20:AJ54,"N/T")&gt;0, "EN CURSO", IF(COUNTIF(AJ20:AJ54,"N/D") &gt; 0,"EN CURSO", IF(COUNT($B20:$B54) = COUNTIF(AJ20:AJ54,"N/A"), "N/A", IF(COUNTIF(AJ20:AJ54,"Falla")&gt;('DATA - Oculta'!$C$25*((COUNTIF(AJ20:AJ54,"Pasa")+COUNTIF(AJ20:AJ54,"Falla")))), "NO CONFORME","CONFORME"))))))</f>
        <v>EN CURSO</v>
      </c>
      <c r="AK55" s="87" t="str">
        <f ca="1">IF(OR('03.Muestra'!$D$45=0,COUNTIF('03.Muestra'!$D$8:'03.Muestra'!$D$42,"Página Web")=0),"N/A", IF(COUNTIF(INDIRECT("R5.Genéricos!$E"&amp;SUM(19,38*0)):INDIRECT("R5.Genéricos!$E"&amp;SUM(53,38*0)),"ERR")&gt;0,"ERROR", IF(COUNTIF(AK20:AK54,"N/T")&gt;0, "EN CURSO", IF(COUNTIF(AK20:AK54,"N/D") &gt; 0,"EN CURSO", IF(COUNT($B20:$B54) = COUNTIF(AK20:AK54,"N/A"), "N/A", IF(COUNTIF(AK20:AK54,"Falla")&gt;('DATA - Oculta'!$C$25*((COUNTIF(AK20:AK54,"Pasa")+COUNTIF(AK20:AK54,"Falla")))), "NO CONFORME","CONFORME"))))))</f>
        <v>EN CURSO</v>
      </c>
      <c r="AL55" s="87" t="str">
        <f ca="1">IF(OR('03.Muestra'!$D$45=0,COUNTIF('03.Muestra'!$D$8:'03.Muestra'!$D$42,"Página Web")=0),"N/A", IF(COUNTIF(INDIRECT("R5.Genéricos!$E"&amp;SUM(19,38*0)):INDIRECT("R5.Genéricos!$E"&amp;SUM(53,38*0)),"ERR")&gt;0,"ERROR", IF(COUNTIF(AL20:AL54,"N/T")&gt;0, "EN CURSO", IF(COUNTIF(AL20:AL54,"N/D") &gt; 0,"EN CURSO", IF(COUNT($B20:$B54) = COUNTIF(AL20:AL54,"N/A"), "N/A", IF(COUNTIF(AL20:AL54,"Falla")&gt;('DATA - Oculta'!$C$25*((COUNTIF(AL20:AL54,"Pasa")+COUNTIF(AL20:AL54,"Falla")))), "NO CONFORME","CONFORME"))))))</f>
        <v>EN CURSO</v>
      </c>
      <c r="AM55" s="87" t="str">
        <f ca="1">IF(OR('03.Muestra'!$D$45=0,COUNTIF('03.Muestra'!$D$8:'03.Muestra'!$D$42,"Página Web")=0),"N/A", IF(COUNTIF(INDIRECT("R5.Genéricos!$E"&amp;SUM(19,38*0)):INDIRECT("R5.Genéricos!$E"&amp;SUM(53,38*0)),"ERR")&gt;0,"ERROR", IF(COUNTIF(AM20:AM54,"N/T")&gt;0, "EN CURSO", IF(COUNTIF(AM20:AM54,"N/D") &gt; 0,"EN CURSO", IF(COUNT($B20:$B54) = COUNTIF(AM20:AM54,"N/A"), "N/A", IF(COUNTIF(AM20:AM54,"Falla")&gt;('DATA - Oculta'!$C$25*((COUNTIF(AM20:AM54,"Pasa")+COUNTIF(AM20:AM54,"Falla")))), "NO CONFORME","CONFORME"))))))</f>
        <v>EN CURSO</v>
      </c>
      <c r="AN55" s="87" t="str">
        <f ca="1">IF(OR('03.Muestra'!$D$45=0,COUNTIF('03.Muestra'!$D$8:'03.Muestra'!$D$42,"Página Web")=0),"N/A", IF(COUNTIF(INDIRECT("R5.Genéricos!$E"&amp;SUM(19,38*0)):INDIRECT("R5.Genéricos!$E"&amp;SUM(53,38*0)),"ERR")&gt;0,"ERROR", IF(COUNTIF(AN20:AN54,"N/T")&gt;0, "EN CURSO", IF(COUNTIF(AN20:AN54,"N/D") &gt; 0,"EN CURSO", IF(COUNT($B20:$B54) = COUNTIF(AN20:AN54,"N/A"), "N/A", IF(COUNTIF(AN20:AN54,"Falla")&gt;('DATA - Oculta'!$C$25*((COUNTIF(AN20:AN54,"Pasa")+COUNTIF(AN20:AN54,"Falla")))), "NO CONFORME","CONFORME"))))))</f>
        <v>EN CURSO</v>
      </c>
      <c r="AO55" s="87" t="str">
        <f ca="1">IF(OR('03.Muestra'!$D$45=0,COUNTIF('03.Muestra'!$D$8:'03.Muestra'!$D$42,"Página Web")=0),"N/A", IF(COUNTIF(INDIRECT("R5.Genéricos!$E"&amp;SUM(19,38*0)):INDIRECT("R5.Genéricos!$E"&amp;SUM(53,38*0)),"ERR")&gt;0,"ERROR", IF(COUNTIF(AO20:AO54,"N/T")&gt;0, "EN CURSO", IF(COUNTIF(AO20:AO54,"N/D") &gt; 0,"EN CURSO", IF(COUNT($B20:$B54) = COUNTIF(AO20:AO54,"N/A"), "N/A", IF(COUNTIF(AO20:AO54,"Falla")&gt;('DATA - Oculta'!$C$25*((COUNTIF(AO20:AO54,"Pasa")+COUNTIF(AO20:AO54,"Falla")))), "NO CONFORME","CONFORME"))))))</f>
        <v>EN CURSO</v>
      </c>
      <c r="AP55" s="87" t="str">
        <f ca="1">IF(OR('03.Muestra'!$D$45=0,COUNTIF('03.Muestra'!$D$8:'03.Muestra'!$D$42,"Página Web")=0),"N/A", IF(COUNTIF(INDIRECT("R5.Genéricos!$E"&amp;SUM(19,38*0)):INDIRECT("R5.Genéricos!$E"&amp;SUM(53,38*0)),"ERR")&gt;0,"ERROR", IF(COUNTIF(AP20:AP54,"N/T")&gt;0, "EN CURSO", IF(COUNTIF(AP20:AP54,"N/D") &gt; 0,"EN CURSO", IF(COUNT($B20:$B54) = COUNTIF(AP20:AP54,"N/A"), "N/A", IF(COUNTIF(AP20:AP54,"Falla")&gt;('DATA - Oculta'!$C$25*((COUNTIF(AP20:AP54,"Pasa")+COUNTIF(AP20:AP54,"Falla")))), "NO CONFORME","CONFORME"))))))</f>
        <v>EN CURSO</v>
      </c>
      <c r="AQ55" s="87" t="str">
        <f ca="1">IF(OR('03.Muestra'!$D$45=0,COUNTIF('03.Muestra'!$D$8:'03.Muestra'!$D$42,"Página Web")=0),"N/A", IF(COUNTIF(INDIRECT("R5.Genéricos!$E"&amp;SUM(19,38*0)):INDIRECT("R5.Genéricos!$E"&amp;SUM(53,38*0)),"ERR")&gt;0,"ERROR", IF(COUNTIF(AQ20:AQ54,"N/T")&gt;0, "EN CURSO", IF(COUNTIF(AQ20:AQ54,"N/D") &gt; 0,"EN CURSO", IF(COUNT($B20:$B54) = COUNTIF(AQ20:AQ54,"N/A"), "N/A", IF(COUNTIF(AQ20:AQ54,"Falla")&gt;('DATA - Oculta'!$C$25*((COUNTIF(AQ20:AQ54,"Pasa")+COUNTIF(AQ20:AQ54,"Falla")))), "NO CONFORME","CONFORME"))))))</f>
        <v>EN CURSO</v>
      </c>
      <c r="AR55" s="87" t="str">
        <f ca="1">IF(OR('03.Muestra'!$D$45=0,COUNTIF('03.Muestra'!$D$8:'03.Muestra'!$D$42,"Página Web")=0),"N/A", IF(COUNTIF(INDIRECT("R5.Genéricos!$E"&amp;SUM(19,38*0)):INDIRECT("R5.Genéricos!$E"&amp;SUM(53,38*0)),"ERR")&gt;0,"ERROR", IF(COUNTIF(AR20:AR54,"N/T")&gt;0, "EN CURSO", IF(COUNTIF(AR20:AR54,"N/D") &gt; 0,"EN CURSO", IF(COUNT($B20:$B54) = COUNTIF(AR20:AR54,"N/A"), "N/A", IF(COUNTIF(AR20:AR54,"Falla")&gt;('DATA - Oculta'!$C$25*((COUNTIF(AR20:AR54,"Pasa")+COUNTIF(AR20:AR54,"Falla")))), "NO CONFORME","CONFORME"))))))</f>
        <v>EN CURSO</v>
      </c>
      <c r="AS55" s="87" t="str">
        <f ca="1">IF(OR('03.Muestra'!$D$45=0,COUNTIF('03.Muestra'!$D$8:'03.Muestra'!$D$42,"Página Web")=0),"N/A", IF(COUNTIF(INDIRECT("R5.Genéricos!$E"&amp;SUM(19,38*0)):INDIRECT("R5.Genéricos!$E"&amp;SUM(53,38*0)),"ERR")&gt;0,"ERROR", IF(COUNTIF(AS20:AS54,"N/T")&gt;0, "EN CURSO", IF(COUNTIF(AS20:AS54,"N/D") &gt; 0,"EN CURSO", IF(COUNT($B20:$B54) = COUNTIF(AS20:AS54,"N/A"), "N/A", IF(COUNTIF(AS20:AS54,"Falla")&gt;('DATA - Oculta'!$C$25*((COUNTIF(AS20:AS54,"Pasa")+COUNTIF(AS20:AS54,"Falla")))), "NO CONFORME","CONFORME"))))))</f>
        <v>EN CURSO</v>
      </c>
      <c r="AT55" s="87" t="str">
        <f ca="1">IF(OR('03.Muestra'!$D$45=0,COUNTIF('03.Muestra'!$D$8:'03.Muestra'!$D$42,"Página Web")=0),"N/A", IF(COUNTIF(INDIRECT("R5.Genéricos!$E"&amp;SUM(19,38*0)):INDIRECT("R5.Genéricos!$E"&amp;SUM(53,38*0)),"ERR")&gt;0,"ERROR", IF(COUNTIF(AT20:AT54,"N/T")&gt;0, "EN CURSO", IF(COUNTIF(AT20:AT54,"N/D") &gt; 0,"EN CURSO", IF(COUNT($B20:$B54) = COUNTIF(AT20:AT54,"N/A"), "N/A", IF(COUNTIF(AT20:AT54,"Falla")&gt;('DATA - Oculta'!$C$25*((COUNTIF(AT20:AT54,"Pasa")+COUNTIF(AT20:AT54,"Falla")))), "NO CONFORME","CONFORME"))))))</f>
        <v>EN CURSO</v>
      </c>
      <c r="AU55" s="87" t="str">
        <f ca="1">IF(OR('03.Muestra'!$D$45=0,COUNTIF('03.Muestra'!$D$8:'03.Muestra'!$D$42,"Página Web")=0),"N/A", IF(COUNTIF(INDIRECT("R5.Genéricos!$E"&amp;SUM(19,38*0)):INDIRECT("R5.Genéricos!$E"&amp;SUM(53,38*0)),"ERR")&gt;0,"ERROR", IF(COUNTIF(AU20:AU54,"N/T")&gt;0, "EN CURSO", IF(COUNTIF(AU20:AU54,"N/D") &gt; 0,"EN CURSO", IF(COUNT($B20:$B54) = COUNTIF(AU20:AU54,"N/A"), "N/A", IF(COUNTIF(AU20:AU54,"Falla")&gt;('DATA - Oculta'!$C$25*((COUNTIF(AU20:AU54,"Pasa")+COUNTIF(AU20:AU54,"Falla")))), "NO CONFORME","CONFORME"))))))</f>
        <v>EN CURSO</v>
      </c>
      <c r="AV55" s="87" t="str">
        <f ca="1">IF(OR('03.Muestra'!$D$45=0,COUNTIF('03.Muestra'!$D$8:'03.Muestra'!$D$42,"Página Web")=0),"N/A", IF(COUNTIF(INDIRECT("R5.Genéricos!$E"&amp;SUM(19,38*0)):INDIRECT("R5.Genéricos!$E"&amp;SUM(53,38*0)),"ERR")&gt;0,"ERROR", IF(COUNTIF(AV20:AV54,"N/T")&gt;0, "EN CURSO", IF(COUNTIF(AV20:AV54,"N/D") &gt; 0,"EN CURSO", IF(COUNT($B20:$B54) = COUNTIF(AV20:AV54,"N/A"), "N/A", IF(COUNTIF(AV20:AV54,"Falla")&gt;('DATA - Oculta'!$C$25*((COUNTIF(AV20:AV54,"Pasa")+COUNTIF(AV20:AV54,"Falla")))), "NO CONFORME","CONFORME"))))))</f>
        <v>EN CURSO</v>
      </c>
      <c r="AW55" s="87" t="str">
        <f ca="1">IF(OR('03.Muestra'!$D$45=0,COUNTIF('03.Muestra'!$D$8:'03.Muestra'!$D$42,"Página Web")=0),"N/A", IF(COUNTIF(INDIRECT("R5.Genéricos!$E"&amp;SUM(19,38*0)):INDIRECT("R5.Genéricos!$E"&amp;SUM(53,38*0)),"ERR")&gt;0,"ERROR", IF(COUNTIF(AW20:AW54,"N/T")&gt;0, "EN CURSO", IF(COUNTIF(AW20:AW54,"N/D") &gt; 0,"EN CURSO", IF(COUNT($B20:$B54) = COUNTIF(AW20:AW54,"N/A"), "N/A", IF(COUNTIF(AW20:AW54,"Falla")&gt;('DATA - Oculta'!$C$25*((COUNTIF(AW20:AW54,"Pasa")+COUNTIF(AW20:AW54,"Falla")))), "NO CONFORME","CONFORME"))))))</f>
        <v>EN CURSO</v>
      </c>
      <c r="AX55" s="87" t="str">
        <f ca="1">IF(OR('03.Muestra'!$D$45=0,COUNTIF('03.Muestra'!$D$8:'03.Muestra'!$D$42,"Página Web")=0),"N/A", IF(COUNTIF(INDIRECT("R5.Genéricos!$E"&amp;SUM(19,38*0)):INDIRECT("R5.Genéricos!$E"&amp;SUM(53,38*0)),"ERR")&gt;0,"ERROR", IF(COUNTIF(AX20:AX54,"N/T")&gt;0, "EN CURSO", IF(COUNTIF(AX20:AX54,"N/D") &gt; 0,"EN CURSO", IF(COUNT($B20:$B54) = COUNTIF(AX20:AX54,"N/A"), "N/A", IF(COUNTIF(AX20:AX54,"Falla")&gt;('DATA - Oculta'!$C$25*((COUNTIF(AX20:AX54,"Pasa")+COUNTIF(AX20:AX54,"Falla")))), "NO CONFORME","CONFORME"))))))</f>
        <v>EN CURSO</v>
      </c>
      <c r="AY55" s="87" t="str">
        <f ca="1">IF(OR('03.Muestra'!$D$45=0,COUNTIF('03.Muestra'!$D$8:'03.Muestra'!$D$42,"Página Web")=0),"N/A", IF(COUNTIF(INDIRECT("R5.Genéricos!$E"&amp;SUM(19,38*0)):INDIRECT("R5.Genéricos!$E"&amp;SUM(53,38*0)),"ERR")&gt;0,"ERROR", IF(COUNTIF(AY20:AY54,"N/T")&gt;0, "EN CURSO", IF(COUNTIF(AY20:AY54,"N/D") &gt; 0,"EN CURSO", IF(COUNT($B20:$B54) = COUNTIF(AY20:AY54,"N/A"), "N/A", IF(COUNTIF(AY20:AY54,"Falla")&gt;('DATA - Oculta'!$C$25*((COUNTIF(AY20:AY54,"Pasa")+COUNTIF(AY20:AY54,"Falla")))), "NO CONFORME","CONFORME"))))))</f>
        <v>EN CURSO</v>
      </c>
      <c r="AZ55" s="87" t="str">
        <f ca="1">IF(OR('03.Muestra'!$D$45=0,COUNTIF('03.Muestra'!$D$8:'03.Muestra'!$D$42,"Página Web")=0),"N/A", IF(COUNTIF(INDIRECT("R5.Genéricos!$E"&amp;SUM(19,38*0)):INDIRECT("R5.Genéricos!$E"&amp;SUM(53,38*0)),"ERR")&gt;0,"ERROR", IF(COUNTIF(AZ20:AZ54,"N/T")&gt;0, "EN CURSO", IF(COUNTIF(AZ20:AZ54,"N/D") &gt; 0,"EN CURSO", IF(COUNT($B20:$B54) = COUNTIF(AZ20:AZ54,"N/A"), "N/A", IF(COUNTIF(AZ20:AZ54,"Falla")&gt;('DATA - Oculta'!$C$25*((COUNTIF(AZ20:AZ54,"Pasa")+COUNTIF(AZ20:AZ54,"Falla")))), "NO CONFORME","CONFORME"))))))</f>
        <v>EN CURSO</v>
      </c>
      <c r="BA55" s="87" t="str">
        <f ca="1">IF(OR('03.Muestra'!$D$45=0,COUNTIF('03.Muestra'!$D$8:'03.Muestra'!$D$42,"Página Web")=0),"N/A", IF(COUNTIF(INDIRECT("R5.Genéricos!$E"&amp;SUM(19,38*0)):INDIRECT("R5.Genéricos!$E"&amp;SUM(53,38*0)),"ERR")&gt;0,"ERROR", IF(COUNTIF(BA20:BA54,"N/T")&gt;0, "EN CURSO", IF(COUNTIF(BA20:BA54,"N/D") &gt; 0,"EN CURSO", IF(COUNT($B20:$B54) = COUNTIF(BA20:BA54,"N/A"), "N/A", IF(COUNTIF(BA20:BA54,"Falla")&gt;('DATA - Oculta'!$C$25*((COUNTIF(BA20:BA54,"Pasa")+COUNTIF(BA20:BA54,"Falla")))), "NO CONFORME","CONFORME"))))))</f>
        <v>EN CURSO</v>
      </c>
      <c r="BB55" s="87" t="str">
        <f ca="1">IF(OR('03.Muestra'!$D$45=0,COUNTIF('03.Muestra'!$D$8:'03.Muestra'!$D$42,"Página Web")=0),"N/A", IF(COUNTIF(INDIRECT("R5.Genéricos!$E"&amp;SUM(19,38*0)):INDIRECT("R5.Genéricos!$E"&amp;SUM(53,38*0)),"ERR")&gt;0,"ERROR", IF(COUNTIF(BB20:BB54,"N/T")&gt;0, "EN CURSO", IF(COUNTIF(BB20:BB54,"N/D") &gt; 0,"EN CURSO", IF(COUNT($B20:$B54) = COUNTIF(BB20:BB54,"N/A"), "N/A", IF(COUNTIF(BB20:BB54,"Falla")&gt;('DATA - Oculta'!$C$25*((COUNTIF(BB20:BB54,"Pasa")+COUNTIF(BB20:BB54,"Falla")))), "NO CONFORME","CONFORME"))))))</f>
        <v>EN CURSO</v>
      </c>
      <c r="BC55" s="87" t="str">
        <f ca="1">IF(OR('03.Muestra'!$D$45=0,COUNTIF('03.Muestra'!$D$8:'03.Muestra'!$D$42,"Página Web")=0),"N/A", IF(COUNTIF(INDIRECT("R5.Genéricos!$E"&amp;SUM(19,38*0)):INDIRECT("R5.Genéricos!$E"&amp;SUM(53,38*0)),"ERR")&gt;0,"ERROR", IF(COUNTIF(BC20:BC54,"N/T")&gt;0, "EN CURSO", IF(COUNTIF(BC20:BC54,"N/D") &gt; 0,"EN CURSO", IF(COUNT($B20:$B54) = COUNTIF(BC20:BC54,"N/A"), "N/A", IF(COUNTIF(BC20:BC54,"Falla")&gt;('DATA - Oculta'!$C$25*((COUNTIF(BC20:BC54,"Pasa")+COUNTIF(BC20:BC54,"Falla")))), "NO CONFORME","CONFORME"))))))</f>
        <v>EN CURSO</v>
      </c>
      <c r="BD55" s="87" t="str">
        <f ca="1">IF(OR('03.Muestra'!$D$45=0,COUNTIF('03.Muestra'!$D$8:'03.Muestra'!$D$42,"Página Web")=0),"N/A", IF(COUNTIF(INDIRECT("R5.Genéricos!$E"&amp;SUM(19,38*0)):INDIRECT("R5.Genéricos!$E"&amp;SUM(53,38*0)),"ERR")&gt;0,"ERROR", IF(COUNTIF(BD20:BD54,"N/T")&gt;0, "EN CURSO", IF(COUNTIF(BD20:BD54,"N/D") &gt; 0,"EN CURSO", IF(COUNT($B20:$B54) = COUNTIF(BD20:BD54,"N/A"), "N/A", IF(COUNTIF(BD20:BD54,"Falla")&gt;('DATA - Oculta'!$C$25*((COUNTIF(BD20:BD54,"Pasa")+COUNTIF(BD20:BD54,"Falla")))), "NO CONFORME","CONFORME"))))))</f>
        <v>EN CURSO</v>
      </c>
      <c r="BE55" s="87" t="str">
        <f ca="1">IF(OR('03.Muestra'!$D$45=0,COUNTIF('03.Muestra'!$D$8:'03.Muestra'!$D$42,"Página Web")=0),"N/A", IF(COUNTIF(INDIRECT("R5.Genéricos!$E"&amp;SUM(19,38*0)):INDIRECT("R5.Genéricos!$E"&amp;SUM(53,38*0)),"ERR")&gt;0,"ERROR", IF(COUNTIF(BE20:BE54,"N/T")&gt;0, "EN CURSO", IF(COUNTIF(BE20:BE54,"N/D") &gt; 0,"EN CURSO", IF(COUNT($B20:$B54) = COUNTIF(BE20:BE54,"N/A"), "N/A", IF(COUNTIF(BE20:BE54,"Falla")&gt;('DATA - Oculta'!$C$25*((COUNTIF(BE20:BE54,"Pasa")+COUNTIF(BE20:BE54,"Falla")))), "NO CONFORME","CONFORME"))))))</f>
        <v>EN CURSO</v>
      </c>
      <c r="BF55" s="87" t="str">
        <f ca="1">IF(OR('03.Muestra'!$D$45=0,COUNTIF('03.Muestra'!$D$8:'03.Muestra'!$D$42,"Página Web")=0),"N/A", IF(COUNTIF(INDIRECT("R5.Genéricos!$E"&amp;SUM(19,38*0)):INDIRECT("R5.Genéricos!$E"&amp;SUM(53,38*0)),"ERR")&gt;0,"ERROR", IF(COUNTIF(BF20:BF54,"N/T")&gt;0, "EN CURSO", IF(COUNTIF(BF20:BF54,"N/D") &gt; 0,"EN CURSO", IF(COUNT($B20:$B54) = COUNTIF(BF20:BF54,"N/A"), "N/A", IF(COUNTIF(BF20:BF54,"Falla")&gt;('DATA - Oculta'!$C$25*((COUNTIF(BF20:BF54,"Pasa")+COUNTIF(BF20:BF54,"Falla")))), "NO CONFORME","CONFORME"))))))</f>
        <v>EN CURSO</v>
      </c>
      <c r="BG55" s="87" t="str">
        <f ca="1">IF(OR('03.Muestra'!$D$45=0,COUNTIF('03.Muestra'!$D$8:'03.Muestra'!$D$42,"Página Web")=0),"N/A", IF(COUNTIF(INDIRECT("R5.Genéricos!$E"&amp;SUM(19,38*0)):INDIRECT("R5.Genéricos!$E"&amp;SUM(53,38*0)),"ERR")&gt;0,"ERROR", IF(COUNTIF(BG20:BG54,"N/T")&gt;0, "EN CURSO", IF(COUNTIF(BG20:BG54,"N/D") &gt; 0,"EN CURSO", IF(COUNT($B20:$B54) = COUNTIF(BG20:BG54,"N/A"), "N/A", IF(COUNTIF(BG20:BG54,"Falla")&gt;('DATA - Oculta'!$C$25*((COUNTIF(BG20:BG54,"Pasa")+COUNTIF(BG20:BG54,"Falla")))), "NO CONFORME","CONFORME"))))))</f>
        <v>EN CURSO</v>
      </c>
      <c r="BH55" s="87" t="str">
        <f ca="1">IF(OR('03.Muestra'!$D$45=0,COUNTIF('03.Muestra'!$D$8:'03.Muestra'!$D$42,"Página Web")=0),"N/A", IF(COUNTIF(INDIRECT("R5.Genéricos!$E"&amp;SUM(19,38*0)):INDIRECT("R5.Genéricos!$E"&amp;SUM(53,38*0)),"ERR")&gt;0,"ERROR", IF(COUNTIF(BH20:BH54,"N/T")&gt;0, "EN CURSO", IF(COUNTIF(BH20:BH54,"N/D") &gt; 0,"EN CURSO", IF(COUNT($B20:$B54) = COUNTIF(BH20:BH54,"N/A"), "N/A", IF(COUNTIF(BH20:BH54,"Falla")&gt;('DATA - Oculta'!$C$25*((COUNTIF(BH20:BH54,"Pasa")+COUNTIF(BH20:BH54,"Falla")))), "NO CONFORME","CONFORME"))))))</f>
        <v>EN CURSO</v>
      </c>
      <c r="BI55" s="87" t="str">
        <f ca="1">IF(OR('03.Muestra'!$D$45=0,COUNTIF('03.Muestra'!$D$8:'03.Muestra'!$D$42,"Página Web")=0),"N/A", IF(COUNTIF(INDIRECT("R5.Genéricos!$E"&amp;SUM(19,38*0)):INDIRECT("R5.Genéricos!$E"&amp;SUM(53,38*0)),"ERR")&gt;0,"ERROR", IF(COUNTIF(BI20:BI54,"N/T")&gt;0, "EN CURSO", IF(COUNTIF(BI20:BI54,"N/D") &gt; 0,"EN CURSO", IF(COUNT($B20:$B54) = COUNTIF(BI20:BI54,"N/A"), "N/A", IF(COUNTIF(BI20:BI54,"Falla")&gt;('DATA - Oculta'!$C$25*((COUNTIF(BI20:BI54,"Pasa")+COUNTIF(BI20:BI54,"Falla")))), "NO CONFORME","CONFORME"))))))</f>
        <v>EN CURSO</v>
      </c>
      <c r="BJ55" s="87" t="str">
        <f ca="1">IF(OR('03.Muestra'!$D$45=0,COUNTIF('03.Muestra'!$D$8:'03.Muestra'!$D$42,"Página Web")=0),"N/A", IF(COUNTIF(INDIRECT("R5.Genéricos!$E"&amp;SUM(19,38*0)):INDIRECT("R5.Genéricos!$E"&amp;SUM(53,38*0)),"ERR")&gt;0,"ERROR", IF(COUNTIF(BJ20:BJ54,"N/T")&gt;0, "EN CURSO", IF(COUNTIF(BJ20:BJ54,"N/D") &gt; 0,"EN CURSO", IF(COUNT($B20:$B54) = COUNTIF(BJ20:BJ54,"N/A"), "N/A", IF(COUNTIF(BJ20:BJ54,"Falla")&gt;('DATA - Oculta'!$C$25*((COUNTIF(BJ20:BJ54,"Pasa")+COUNTIF(BJ20:BJ54,"Falla")))), "NO CONFORME","CONFORME"))))))</f>
        <v>EN CURSO</v>
      </c>
      <c r="BK55" s="87" t="str">
        <f ca="1">IF(OR('03.Muestra'!$D$45=0,COUNTIF('03.Muestra'!$D$8:'03.Muestra'!$D$42,"Página Web")=0),"N/A", IF(COUNTIF(INDIRECT("R5.Genéricos!$E"&amp;SUM(19,38*0)):INDIRECT("R5.Genéricos!$E"&amp;SUM(53,38*0)),"ERR")&gt;0,"ERROR", IF(COUNTIF(BK20:BK54,"N/T")&gt;0, "EN CURSO", IF(COUNTIF(BK20:BK54,"N/D") &gt; 0,"EN CURSO", IF(COUNT($B20:$B54) = COUNTIF(BK20:BK54,"N/A"), "N/A", IF(COUNTIF(BK20:BK54,"Falla")&gt;('DATA - Oculta'!$C$25*((COUNTIF(BK20:BK54,"Pasa")+COUNTIF(BK20:BK54,"Falla")))), "NO CONFORME","CONFORME"))))))</f>
        <v>EN CURSO</v>
      </c>
      <c r="BL55" s="87" t="str">
        <f ca="1">IF(OR('03.Muestra'!$D$45=0,COUNTIF('03.Muestra'!$D$8:'03.Muestra'!$D$42,"Página Web")=0),"N/A", IF(COUNTIF(INDIRECT("R5.Genéricos!$E"&amp;SUM(19,38*0)):INDIRECT("R5.Genéricos!$E"&amp;SUM(53,38*0)),"ERR")&gt;0,"ERROR", IF(COUNTIF(BL20:BL54,"N/T")&gt;0, "EN CURSO", IF(COUNTIF(BL20:BL54,"N/D") &gt; 0,"EN CURSO", IF(COUNT($B20:$B54) = COUNTIF(BL20:BL54,"N/A"), "N/A", IF(COUNTIF(BL20:BL54,"Falla")&gt;('DATA - Oculta'!$C$25*((COUNTIF(BL20:BL54,"Pasa")+COUNTIF(BL20:BL54,"Falla")))), "NO CONFORME","CONFORME"))))))</f>
        <v>EN CURSO</v>
      </c>
      <c r="BM55" s="87" t="str">
        <f ca="1">IF(OR('03.Muestra'!$D$45=0,COUNTIF('03.Muestra'!$D$8:'03.Muestra'!$D$42,"Página Web")=0),"N/A", IF(COUNTIF(INDIRECT("R5.Genéricos!$E"&amp;SUM(19,38*0)):INDIRECT("R5.Genéricos!$E"&amp;SUM(53,38*0)),"ERR")&gt;0,"ERROR", IF(COUNTIF(BM20:BM54,"N/T")&gt;0, "EN CURSO", IF(COUNTIF(BM20:BM54,"N/D") &gt; 0,"EN CURSO", IF(COUNT($B20:$B54) = COUNTIF(BM20:BM54,"N/A"), "N/A", IF(COUNTIF(BM20:BM54,"Falla")&gt;('DATA - Oculta'!$C$25*((COUNTIF(BM20:BM54,"Pasa")+COUNTIF(BM20:BM54,"Falla")))), "NO CONFORME","CONFORME"))))))</f>
        <v>EN CURSO</v>
      </c>
      <c r="BN55" s="87" t="str">
        <f ca="1">IF(OR('03.Muestra'!$D$45=0,COUNTIF('03.Muestra'!$D$8:'03.Muestra'!$D$42,"Página Web")=0),"N/A", IF(COUNTIF(INDIRECT("R5.Genéricos!$E"&amp;SUM(19,38*0)):INDIRECT("R5.Genéricos!$E"&amp;SUM(53,38*0)),"ERR")&gt;0,"ERROR", IF(COUNTIF(BN20:BN54,"N/T")&gt;0, "EN CURSO", IF(COUNTIF(BN20:BN54,"N/D") &gt; 0,"EN CURSO", IF(COUNT($B20:$B54) = COUNTIF(BN20:BN54,"N/A"), "N/A", IF(COUNTIF(BN20:BN54,"Falla")&gt;('DATA - Oculta'!$C$25*((COUNTIF(BN20:BN54,"Pasa")+COUNTIF(BN20:BN54,"Falla")))), "NO CONFORME","CONFORME"))))))</f>
        <v>EN CURSO</v>
      </c>
      <c r="BO55" s="87" t="str">
        <f ca="1">IF(OR('03.Muestra'!$D$45=0,COUNTIF('03.Muestra'!$D$8:'03.Muestra'!$D$42,"Página Web")=0),"N/A", IF(COUNTIF(INDIRECT("R5.Genéricos!$E"&amp;SUM(19,38*0)):INDIRECT("R5.Genéricos!$E"&amp;SUM(53,38*0)),"ERR")&gt;0,"ERROR", IF(COUNTIF(BO20:BO54,"N/T")&gt;0, "EN CURSO", IF(COUNTIF(BO20:BO54,"N/D") &gt; 0,"EN CURSO", IF(COUNT($B20:$B54) = COUNTIF(BO20:BO54,"N/A"), "N/A", IF(COUNTIF(BO20:BO54,"Falla")&gt;('DATA - Oculta'!$C$25*((COUNTIF(BO20:BO54,"Pasa")+COUNTIF(BO20:BO54,"Falla")))), "NO CONFORME","CONFORME"))))))</f>
        <v>NO CONFORME</v>
      </c>
      <c r="BP55" s="87" t="str">
        <f ca="1">IF(OR('03.Muestra'!$D$45=0,COUNTIF('03.Muestra'!$D$8:'03.Muestra'!$D$42,"Página Web")=0),"N/A", IF(COUNTIF(INDIRECT("R5.Genéricos!$E"&amp;SUM(19,38*0)):INDIRECT("R5.Genéricos!$E"&amp;SUM(53,38*0)),"ERR")&gt;0,"ERROR", IF(COUNTIF(BP20:BP54,"N/T")&gt;0, "EN CURSO", IF(COUNTIF(BP20:BP54,"N/D") &gt; 0,"EN CURSO", IF(COUNT($B20:$B54) = COUNTIF(BP20:BP54,"N/A"), "N/A", IF(COUNTIF(BP20:BP54,"Falla")&gt;('DATA - Oculta'!$C$25*((COUNTIF(BP20:BP54,"Pasa")+COUNTIF(BP20:BP54,"Falla")))), "NO CONFORME","CONFORME"))))))</f>
        <v>EN CURSO</v>
      </c>
      <c r="BQ55" s="87" t="str">
        <f ca="1">IF(OR('03.Muestra'!$D$45=0,COUNTIF('03.Muestra'!$D$8:'03.Muestra'!$D$42,"Página Web")=0),"N/A", IF(COUNTIF(INDIRECT("R5.Genéricos!$E"&amp;SUM(19,38*0)):INDIRECT("R5.Genéricos!$E"&amp;SUM(53,38*0)),"ERR")&gt;0,"ERROR", IF(COUNTIF(BQ20:BQ54,"N/T")&gt;0, "EN CURSO", IF(COUNTIF(BQ20:BQ54,"N/D") &gt; 0,"EN CURSO", IF(COUNT($B20:$B54) = COUNTIF(BQ20:BQ54,"N/A"), "N/A", IF(COUNTIF(BQ20:BQ54,"Falla")&gt;('DATA - Oculta'!$C$25*((COUNTIF(BQ20:BQ54,"Pasa")+COUNTIF(BQ20:BQ54,"Falla")))), "NO CONFORME","CONFORME"))))))</f>
        <v>EN CURSO</v>
      </c>
      <c r="BR55" s="87" t="str">
        <f ca="1">IF(OR('03.Muestra'!$D$45=0,COUNTIF('03.Muestra'!$D$8:'03.Muestra'!$D$42,"Página Web")=0),"N/A", IF(COUNTIF(INDIRECT("R5.Genéricos!$E"&amp;SUM(19,38*0)):INDIRECT("R5.Genéricos!$E"&amp;SUM(53,38*0)),"ERR")&gt;0,"ERROR", IF(COUNTIF(BR20:BR54,"N/T")&gt;0, "EN CURSO", IF(COUNTIF(BR20:BR54,"N/D") &gt; 0,"EN CURSO", IF(COUNT($B20:$B54) = COUNTIF(BR20:BR54,"N/A"), "N/A", IF(COUNTIF(BR20:BR54,"Falla")&gt;('DATA - Oculta'!$C$25*((COUNTIF(BR20:BR54,"Pasa")+COUNTIF(BR20:BR54,"Falla")))), "NO CONFORME","CONFORME"))))))</f>
        <v>EN CURSO</v>
      </c>
      <c r="BS55" s="87" t="str">
        <f ca="1">IF(OR('03.Muestra'!$D$45=0,COUNTIF('03.Muestra'!$D$8:'03.Muestra'!$D$42,"Página Web")=0),"N/A", IF(COUNTIF(INDIRECT("R5.Genéricos!$E"&amp;SUM(19,38*0)):INDIRECT("R5.Genéricos!$E"&amp;SUM(53,38*0)),"ERR")&gt;0,"ERROR", IF(COUNTIF(BS20:BS54,"N/T")&gt;0, "EN CURSO", IF(COUNTIF(BS20:BS54,"N/D") &gt; 0,"EN CURSO", IF(COUNT($B20:$B54) = COUNTIF(BS20:BS54,"N/A"), "N/A", IF(COUNTIF(BS20:BS54,"Falla")&gt;('DATA - Oculta'!$C$25*((COUNTIF(BS20:BS54,"Pasa")+COUNTIF(BS20:BS54,"Falla")))), "NO CONFORME","CONFORME"))))))</f>
        <v>EN CURSO</v>
      </c>
      <c r="BT55" s="87" t="str">
        <f ca="1">IF(OR('03.Muestra'!$D$45=0,COUNTIF('03.Muestra'!$D$8:'03.Muestra'!$D$42,"Página Web")=0),"N/A", IF(COUNTIF(INDIRECT("R5.Genéricos!$E"&amp;SUM(19,38*0)):INDIRECT("R5.Genéricos!$E"&amp;SUM(53,38*0)),"ERR")&gt;0,"ERROR", IF(COUNTIF(BT20:BT54,"N/T")&gt;0, "EN CURSO", IF(COUNTIF(BT20:BT54,"N/D") &gt; 0,"EN CURSO", IF(COUNT($B20:$B54) = COUNTIF(BT20:BT54,"N/A"), "N/A", IF(COUNTIF(BT20:BT54,"Falla")&gt;('DATA - Oculta'!$C$25*((COUNTIF(BT20:BT54,"Pasa")+COUNTIF(BT20:BT54,"Falla")))), "NO CONFORME","CONFORME"))))))</f>
        <v>EN CURSO</v>
      </c>
      <c r="BU55" s="87" t="str">
        <f ca="1">IF(OR('03.Muestra'!$D$45=0,COUNTIF('03.Muestra'!$D$8:'03.Muestra'!$D$42,"Página Web")=0),"N/A", IF(COUNTIF(INDIRECT("R5.Genéricos!$E"&amp;SUM(19,38*0)):INDIRECT("R5.Genéricos!$E"&amp;SUM(53,38*0)),"ERR")&gt;0,"ERROR", IF(COUNTIF(BU20:BU54,"N/T")&gt;0, "EN CURSO", IF(COUNTIF(BU20:BU54,"N/D") &gt; 0,"EN CURSO", IF(COUNT($B20:$B54) = COUNTIF(BU20:BU54,"N/A"), "N/A", IF(COUNTIF(BU20:BU54,"Falla")&gt;('DATA - Oculta'!$C$25*((COUNTIF(BU20:BU54,"Pasa")+COUNTIF(BU20:BU54,"Falla")))), "NO CONFORME","CONFORME"))))))</f>
        <v>EN CURSO</v>
      </c>
      <c r="BV55" s="87" t="str">
        <f ca="1">IF(OR('03.Muestra'!$D$45=0,COUNTIF('03.Muestra'!$D$8:'03.Muestra'!$D$42,"Página Web")=0),"N/A", IF(COUNTIF(INDIRECT("R5.Genéricos!$E"&amp;SUM(19,38*0)):INDIRECT("R5.Genéricos!$E"&amp;SUM(53,38*0)),"ERR")&gt;0,"ERROR", IF(COUNTIF(BV20:BV54,"N/T")&gt;0, "EN CURSO", IF(COUNTIF(BV20:BV54,"N/D") &gt; 0,"EN CURSO", IF(COUNT($B20:$B54) = COUNTIF(BV20:BV54,"N/A"), "N/A", IF(COUNTIF(BV20:BV54,"Falla")&gt;('DATA - Oculta'!$C$25*((COUNTIF(BV20:BV54,"Pasa")+COUNTIF(BV20:BV54,"Falla")))), "NO CONFORME","CONFORME"))))))</f>
        <v>EN CURSO</v>
      </c>
      <c r="BW55" s="87" t="str">
        <f ca="1">IF(OR('03.Muestra'!$D$45=0,COUNTIF('03.Muestra'!$D$8:'03.Muestra'!$D$42,"Página Web")=0),"N/A", IF(COUNTIF(INDIRECT("R5.Genéricos!$E"&amp;SUM(19,38*0)):INDIRECT("R5.Genéricos!$E"&amp;SUM(53,38*0)),"ERR")&gt;0,"ERROR", IF(COUNTIF(BW20:BW54,"N/T")&gt;0, "EN CURSO", IF(COUNTIF(BW20:BW54,"N/D") &gt; 0,"EN CURSO", IF(COUNT($B20:$B54) = COUNTIF(BW20:BW54,"N/A"), "N/A", IF(COUNTIF(BW20:BW54,"Falla")&gt;('DATA - Oculta'!$C$25*((COUNTIF(BW20:BW54,"Pasa")+COUNTIF(BW20:BW54,"Falla")))), "NO CONFORME","CONFORME"))))))</f>
        <v>EN CURSO</v>
      </c>
      <c r="BX55" s="87" t="str">
        <f ca="1">IF(OR('03.Muestra'!$D$45=0,COUNTIF('03.Muestra'!$D$8:'03.Muestra'!$D$42,"Página Web")=0),"N/A", IF(COUNTIF(INDIRECT("R5.Genéricos!$E"&amp;SUM(19,38*0)):INDIRECT("R5.Genéricos!$E"&amp;SUM(53,38*0)),"ERR")&gt;0,"ERROR", IF(COUNTIF(BX20:BX54,"N/T")&gt;0, "EN CURSO", IF(COUNTIF(BX20:BX54,"N/D") &gt; 0,"EN CURSO", IF(COUNT($B20:$B54) = COUNTIF(BX20:BX54,"N/A"), "N/A", IF(COUNTIF(BX20:BX54,"Falla")&gt;('DATA - Oculta'!$C$25*((COUNTIF(BX20:BX54,"Pasa")+COUNTIF(BX20:BX54,"Falla")))), "NO CONFORME","CONFORME"))))))</f>
        <v>EN CURSO</v>
      </c>
      <c r="BY55" s="87" t="str">
        <f ca="1">IF(OR('03.Muestra'!$D$45=0,COUNTIF('03.Muestra'!$D$8:'03.Muestra'!$D$42,"Página Web")=0),"N/A", IF(COUNTIF(INDIRECT("R5.Genéricos!$E"&amp;SUM(19,38*0)):INDIRECT("R5.Genéricos!$E"&amp;SUM(53,38*0)),"ERR")&gt;0,"ERROR", IF(COUNTIF(BY20:BY54,"N/T")&gt;0, "EN CURSO", IF(COUNTIF(BY20:BY54,"N/D") &gt; 0,"EN CURSO", IF(COUNT($B20:$B54) = COUNTIF(BY20:BY54,"N/A"), "N/A", IF(COUNTIF(BY20:BY54,"Falla")&gt;('DATA - Oculta'!$C$25*((COUNTIF(BY20:BY54,"Pasa")+COUNTIF(BY20:BY54,"Falla")))), "NO CONFORME","CONFORME"))))))</f>
        <v>EN CURSO</v>
      </c>
      <c r="BZ55" s="87" t="str">
        <f ca="1">IF(OR('03.Muestra'!$D$45=0,COUNTIF('03.Muestra'!$D$8:'03.Muestra'!$D$42,"Página Web")=0),"N/A", IF(COUNTIF(INDIRECT("R5.Genéricos!$E"&amp;SUM(19,38*0)):INDIRECT("R5.Genéricos!$E"&amp;SUM(53,38*0)),"ERR")&gt;0,"ERROR", IF(COUNTIF(BZ20:BZ54,"N/T")&gt;0, "EN CURSO", IF(COUNTIF(BZ20:BZ54,"N/D") &gt; 0,"EN CURSO", IF(COUNT($B20:$B54) = COUNTIF(BZ20:BZ54,"N/A"), "N/A", IF(COUNTIF(BZ20:BZ54,"Falla")&gt;('DATA - Oculta'!$C$25*((COUNTIF(BZ20:BZ54,"Pasa")+COUNTIF(BZ20:BZ54,"Falla")))), "NO CONFORME","CONFORME"))))))</f>
        <v>EN CURSO</v>
      </c>
      <c r="CA55" s="87" t="str">
        <f ca="1">IF(OR('03.Muestra'!$D$45=0,COUNTIF('03.Muestra'!$D$8:'03.Muestra'!$D$42,"Página Web")=0),"N/A", IF(COUNTIF(INDIRECT("R5.Genéricos!$E"&amp;SUM(19,38*0)):INDIRECT("R5.Genéricos!$E"&amp;SUM(53,38*0)),"ERR")&gt;0,"ERROR", IF(COUNTIF(CA20:CA54,"N/T")&gt;0, "EN CURSO", IF(COUNTIF(CA20:CA54,"N/D") &gt; 0,"EN CURSO", IF(COUNT($B20:$B54) = COUNTIF(CA20:CA54,"N/A"), "N/A", IF(COUNTIF(CA20:CA54,"Falla")&gt;('DATA - Oculta'!$C$25*((COUNTIF(CA20:CA54,"Pasa")+COUNTIF(CA20:CA54,"Falla")))), "NO CONFORME","CONFORME"))))))</f>
        <v>EN CURSO</v>
      </c>
      <c r="CB55" s="87" t="str">
        <f ca="1">IF(OR('03.Muestra'!$D$45=0,COUNTIF('03.Muestra'!$D$8:'03.Muestra'!$D$42,"Página Web")=0),"N/A", IF(COUNTIF(INDIRECT("R5.Genéricos!$E"&amp;SUM(19,38*0)):INDIRECT("R5.Genéricos!$E"&amp;SUM(53,38*0)),"ERR")&gt;0,"ERROR", IF(COUNTIF(CB20:CB54,"N/T")&gt;0, "EN CURSO", IF(COUNTIF(CB20:CB54,"N/D") &gt; 0,"EN CURSO", IF(COUNT($B20:$B54) = COUNTIF(CB20:CB54,"N/A"), "N/A", IF(COUNTIF(CB20:CB54,"Falla")&gt;('DATA - Oculta'!$C$25*((COUNTIF(CB20:CB54,"Pasa")+COUNTIF(CB20:CB54,"Falla")))), "NO CONFORME","CONFORME"))))))</f>
        <v>EN CURSO</v>
      </c>
      <c r="CC55" s="87" t="str">
        <f ca="1">IF(OR('03.Muestra'!$D$45=0,COUNTIF('03.Muestra'!$D$8:'03.Muestra'!$D$42,"Página Web")=0),"N/A", IF(COUNTIF(INDIRECT("R5.Genéricos!$E"&amp;SUM(19,38*0)):INDIRECT("R5.Genéricos!$E"&amp;SUM(53,38*0)),"ERR")&gt;0,"ERROR", IF(COUNTIF(CC20:CC54,"N/T")&gt;0, "EN CURSO", IF(COUNTIF(CC20:CC54,"N/D") &gt; 0,"EN CURSO", IF(COUNT($B20:$B54) = COUNTIF(CC20:CC54,"N/A"), "N/A", IF(COUNTIF(CC20:CC54,"Falla")&gt;('DATA - Oculta'!$C$25*((COUNTIF(CC20:CC54,"Pasa")+COUNTIF(CC20:CC54,"Falla")))), "NO CONFORME","CONFORME"))))))</f>
        <v>EN CURSO</v>
      </c>
      <c r="CD55" s="87" t="str">
        <f ca="1">IF(OR('03.Muestra'!$D$45=0,COUNTIF('03.Muestra'!$D$8:'03.Muestra'!$D$42,"Página Web")=0),"N/A", IF(COUNTIF(INDIRECT("R5.Genéricos!$E"&amp;SUM(19,38*0)):INDIRECT("R5.Genéricos!$E"&amp;SUM(53,38*0)),"ERR")&gt;0,"ERROR", IF(COUNTIF(CD20:CD54,"N/T")&gt;0, "EN CURSO", IF(COUNTIF(CD20:CD54,"N/D") &gt; 0,"EN CURSO", IF(COUNT($B20:$B54) = COUNTIF(CD20:CD54,"N/A"), "N/A", IF(COUNTIF(CD20:CD54,"Falla")&gt;('DATA - Oculta'!$C$25*((COUNTIF(CD20:CD54,"Pasa")+COUNTIF(CD20:CD54,"Falla")))), "NO CONFORME","CONFORME"))))))</f>
        <v>EN CURSO</v>
      </c>
      <c r="CE55" s="87" t="str">
        <f ca="1">IF(OR('03.Muestra'!$D$45=0,COUNTIF('03.Muestra'!$D$8:'03.Muestra'!$D$42,"Página Web")=0),"N/A", IF(COUNTIF(INDIRECT("R5.Genéricos!$E"&amp;SUM(19,38*0)):INDIRECT("R5.Genéricos!$E"&amp;SUM(53,38*0)),"ERR")&gt;0,"ERROR", IF(COUNTIF(CE20:CE54,"N/T")&gt;0, "EN CURSO", IF(COUNTIF(CE20:CE54,"N/D") &gt; 0,"EN CURSO", IF(COUNT($B20:$B54) = COUNTIF(CE20:CE54,"N/A"), "N/A", IF(COUNTIF(CE20:CE54,"Falla")&gt;('DATA - Oculta'!$C$25*((COUNTIF(CE20:CE54,"Pasa")+COUNTIF(CE20:CE54,"Falla")))), "NO CONFORME","CONFORME"))))))</f>
        <v>EN CURSO</v>
      </c>
      <c r="CF55" s="87" t="str">
        <f ca="1">IF(OR('03.Muestra'!$D$45=0,COUNTIF('03.Muestra'!$D$8:'03.Muestra'!$D$42,"Página Web")=0),"N/A", IF(COUNTIF(INDIRECT("R5.Genéricos!$E"&amp;SUM(19,38*0)):INDIRECT("R5.Genéricos!$E"&amp;SUM(53,38*0)),"ERR")&gt;0,"ERROR", IF(COUNTIF(CF20:CF54,"N/T")&gt;0, "EN CURSO", IF(COUNTIF(CF20:CF54,"N/D") &gt; 0,"EN CURSO", IF(COUNT($B20:$B54) = COUNTIF(CF20:CF54,"N/A"), "N/A", IF(COUNTIF(CF20:CF54,"Falla")&gt;('DATA - Oculta'!$C$25*((COUNTIF(CF20:CF54,"Pasa")+COUNTIF(CF20:CF54,"Falla")))), "NO CONFORME","CONFORME"))))))</f>
        <v>EN CURSO</v>
      </c>
      <c r="CG55" s="87" t="str">
        <f ca="1">IF(OR('03.Muestra'!$D$45=0,COUNTIF('03.Muestra'!$D$8:'03.Muestra'!$D$42,"Página Web")=0),"N/A", IF(COUNTIF(INDIRECT("R5.Genéricos!$E"&amp;SUM(19,38*0)):INDIRECT("R5.Genéricos!$E"&amp;SUM(53,38*0)),"ERR")&gt;0,"ERROR", IF(COUNTIF(CG20:CG54,"N/T")&gt;0, "EN CURSO", IF(COUNTIF(CG20:CG54,"N/D") &gt; 0,"EN CURSO", IF(COUNT($B20:$B54) = COUNTIF(CG20:CG54,"N/A"), "N/A", IF(COUNTIF(CG20:CG54,"Falla")&gt;('DATA - Oculta'!$C$25*((COUNTIF(CG20:CG54,"Pasa")+COUNTIF(CG20:CG54,"Falla")))), "NO CONFORME","CONFORME"))))))</f>
        <v>EN CURSO</v>
      </c>
      <c r="CH55" s="87" t="str">
        <f ca="1">IF(OR('03.Muestra'!$D$45=0,COUNTIF('03.Muestra'!$D$8:'03.Muestra'!$D$42,"Página Web")=0),"N/A", IF(COUNTIF(INDIRECT("R5.Genéricos!$E"&amp;SUM(19,38*0)):INDIRECT("R5.Genéricos!$E"&amp;SUM(53,38*0)),"ERR")&gt;0,"ERROR", IF(COUNTIF(CH20:CH54,"N/T")&gt;0, "EN CURSO", IF(COUNTIF(CH20:CH54,"N/D") &gt; 0,"EN CURSO", IF(COUNT($B20:$B54) = COUNTIF(CH20:CH54,"N/A"), "N/A", IF(COUNTIF(CH20:CH54,"Falla")&gt;('DATA - Oculta'!$C$25*((COUNTIF(CH20:CH54,"Pasa")+COUNTIF(CH20:CH54,"Falla")))), "NO CONFORME","CONFORME"))))))</f>
        <v>EN CURSO</v>
      </c>
      <c r="CI55" s="87" t="str">
        <f ca="1">IF(OR('03.Muestra'!$D$45=0,COUNTIF('03.Muestra'!$D$8:'03.Muestra'!$D$42,"Página Web")=0),"N/A", IF(COUNTIF(INDIRECT("R5.Genéricos!$E"&amp;SUM(19,38*0)):INDIRECT("R5.Genéricos!$E"&amp;SUM(53,38*0)),"ERR")&gt;0,"ERROR", IF(COUNTIF(CI20:CI54,"N/T")&gt;0, "EN CURSO", IF(COUNTIF(CI20:CI54,"N/D") &gt; 0,"EN CURSO", IF(COUNT($B20:$B54) = COUNTIF(CI20:CI54,"N/A"), "N/A", IF(COUNTIF(CI20:CI54,"Falla")&gt;('DATA - Oculta'!$C$25*((COUNTIF(CI20:CI54,"Pasa")+COUNTIF(CI20:CI54,"Falla")))), "NO CONFORME","CONFORME"))))))</f>
        <v>EN CURSO</v>
      </c>
      <c r="CJ55" s="87" t="str">
        <f ca="1">IF(OR('03.Muestra'!$D$45=0,COUNTIF('03.Muestra'!$D$8:'03.Muestra'!$D$42,"Página Web")=0),"N/A", IF(COUNTIF(INDIRECT("R5.Genéricos!$E"&amp;SUM(19,38*0)):INDIRECT("R5.Genéricos!$E"&amp;SUM(53,38*0)),"ERR")&gt;0,"ERROR", IF(COUNTIF(CJ20:CJ54,"N/T")&gt;0, "EN CURSO", IF(COUNTIF(CJ20:CJ54,"N/D") &gt; 0,"EN CURSO", IF(COUNT($B20:$B54) = COUNTIF(CJ20:CJ54,"N/A"), "N/A", IF(COUNTIF(CJ20:CJ54,"Falla")&gt;('DATA - Oculta'!$C$25*((COUNTIF(CJ20:CJ54,"Pasa")+COUNTIF(CJ20:CJ54,"Falla")))), "NO CONFORME","CONFORME"))))))</f>
        <v>EN CURSO</v>
      </c>
      <c r="CK55" s="87" t="str">
        <f ca="1">IF(OR('03.Muestra'!$D$45=0,COUNTIF('03.Muestra'!$D$8:'03.Muestra'!$D$42,"Página Web")=0),"N/A", IF(COUNTIF(INDIRECT("R5.Genéricos!$E"&amp;SUM(19,38*0)):INDIRECT("R5.Genéricos!$E"&amp;SUM(53,38*0)),"ERR")&gt;0,"ERROR", IF(COUNTIF(CK20:CK54,"N/T")&gt;0, "EN CURSO", IF(COUNTIF(CK20:CK54,"N/D") &gt; 0,"EN CURSO", IF(COUNT($B20:$B54) = COUNTIF(CK20:CK54,"N/A"), "N/A", IF(COUNTIF(CK20:CK54,"Falla")&gt;('DATA - Oculta'!$C$25*((COUNTIF(CK20:CK54,"Pasa")+COUNTIF(CK20:CK54,"Falla")))), "NO CONFORME","CONFORME"))))))</f>
        <v>EN CURSO</v>
      </c>
      <c r="CL55" s="87" t="str">
        <f ca="1">IF(OR('03.Muestra'!$D$45=0,COUNTIF('03.Muestra'!$D$8:'03.Muestra'!$D$42,"Página Web")=0),"N/A", IF(COUNTIF(INDIRECT("R5.Genéricos!$E"&amp;SUM(19,38*0)):INDIRECT("R5.Genéricos!$E"&amp;SUM(53,38*0)),"ERR")&gt;0,"ERROR", IF(COUNTIF(CL20:CL54,"N/T")&gt;0, "EN CURSO", IF(COUNTIF(CL20:CL54,"N/D") &gt; 0,"EN CURSO", IF(COUNT($B20:$B54) = COUNTIF(CL20:CL54,"N/A"), "N/A", IF(COUNTIF(CL20:CL54,"Falla")&gt;('DATA - Oculta'!$C$25*((COUNTIF(CL20:CL54,"Pasa")+COUNTIF(CL20:CL54,"Falla")))), "NO CONFORME","CONFORME"))))))</f>
        <v>EN CURSO</v>
      </c>
      <c r="CM55" s="87" t="str">
        <f ca="1">IF(OR('03.Muestra'!$D$45=0,COUNTIF('03.Muestra'!$D$8:'03.Muestra'!$D$42,"Página Web")=0),"N/A", IF(COUNTIF(INDIRECT("R5.Genéricos!$E"&amp;SUM(19,38*0)):INDIRECT("R5.Genéricos!$E"&amp;SUM(53,38*0)),"ERR")&gt;0,"ERROR", IF(COUNTIF(CM20:CM54,"N/T")&gt;0, "EN CURSO", IF(COUNTIF(CM20:CM54,"N/D") &gt; 0,"EN CURSO", IF(COUNT($B20:$B54) = COUNTIF(CM20:CM54,"N/A"), "N/A", IF(COUNTIF(CM20:CM54,"Falla")&gt;('DATA - Oculta'!$C$25*((COUNTIF(CM20:CM54,"Pasa")+COUNTIF(CM20:CM54,"Falla")))), "NO CONFORME","CONFORME"))))))</f>
        <v>EN CURSO</v>
      </c>
      <c r="CN55" s="87" t="str">
        <f ca="1">IF(OR('03.Muestra'!$D$45=0,COUNTIF('03.Muestra'!$D$8:'03.Muestra'!$D$42,"Página Web")=0),"N/A", IF(COUNTIF(INDIRECT("R5.Genéricos!$E"&amp;SUM(19,38*0)):INDIRECT("R5.Genéricos!$E"&amp;SUM(53,38*0)),"ERR")&gt;0,"ERROR", IF(COUNTIF(CN20:CN54,"N/T")&gt;0, "EN CURSO", IF(COUNTIF(CN20:CN54,"N/D") &gt; 0,"EN CURSO", IF(COUNT($B20:$B54) = COUNTIF(CN20:CN54,"N/A"), "N/A", IF(COUNTIF(CN20:CN54,"Falla")&gt;('DATA - Oculta'!$C$25*((COUNTIF(CN20:CN54,"Pasa")+COUNTIF(CN20:CN54,"Falla")))), "NO CONFORME","CONFORME"))))))</f>
        <v>EN CURSO</v>
      </c>
      <c r="CO55" s="87" t="str">
        <f ca="1">IF(OR('03.Muestra'!$D$45=0,COUNTIF('03.Muestra'!$D$8:'03.Muestra'!$D$42,"Página Web")=0),"N/A", IF(COUNTIF(INDIRECT("R5.Genéricos!$E"&amp;SUM(19,38*0)):INDIRECT("R5.Genéricos!$E"&amp;SUM(53,38*0)),"ERR")&gt;0,"ERROR", IF(COUNTIF(CO20:CO54,"N/T")&gt;0, "EN CURSO", IF(COUNTIF(CO20:CO54,"N/D") &gt; 0,"EN CURSO", IF(COUNT($B20:$B54) = COUNTIF(CO20:CO54,"N/A"), "N/A", IF(COUNTIF(CO20:CO54,"Falla")&gt;('DATA - Oculta'!$C$25*((COUNTIF(CO20:CO54,"Pasa")+COUNTIF(CO20:CO54,"Falla")))), "NO CONFORME","CONFORME"))))))</f>
        <v>EN CURSO</v>
      </c>
      <c r="CP55" s="87" t="str">
        <f ca="1">IF(OR('03.Muestra'!$D$45=0,COUNTIF('03.Muestra'!$D$8:'03.Muestra'!$D$42,"Página Web")=0),"N/A", IF(COUNTIF(INDIRECT("R5.Genéricos!$E"&amp;SUM(19,38*0)):INDIRECT("R5.Genéricos!$E"&amp;SUM(53,38*0)),"ERR")&gt;0,"ERROR", IF(COUNTIF(CP20:CP54,"N/T")&gt;0, "EN CURSO", IF(COUNTIF(CP20:CP54,"N/D") &gt; 0,"EN CURSO", IF(COUNT($B20:$B54) = COUNTIF(CP20:CP54,"N/A"), "N/A", IF(COUNTIF(CP20:CP54,"Falla")&gt;('DATA - Oculta'!$C$25*((COUNTIF(CP20:CP54,"Pasa")+COUNTIF(CP20:CP54,"Falla")))), "NO CONFORME","CONFORME"))))))</f>
        <v>EN CURSO</v>
      </c>
      <c r="CQ55" s="87" t="str">
        <f ca="1">IF(OR('03.Muestra'!$D$45=0,COUNTIF('03.Muestra'!$D$8:'03.Muestra'!$D$42,"Página Web")=0),"N/A", IF(COUNTIF(INDIRECT("R5.Genéricos!$E"&amp;SUM(19,38*0)):INDIRECT("R5.Genéricos!$E"&amp;SUM(53,38*0)),"ERR")&gt;0,"ERROR", IF(COUNTIF(CQ20:CQ54,"N/T")&gt;0, "EN CURSO", IF(COUNTIF(CQ20:CQ54,"N/D") &gt; 0,"EN CURSO", IF(COUNT($B20:$B54) = COUNTIF(CQ20:CQ54,"N/A"), "N/A", IF(COUNTIF(CQ20:CQ54,"Falla")&gt;('DATA - Oculta'!$C$25*((COUNTIF(CQ20:CQ54,"Pasa")+COUNTIF(CQ20:CQ54,"Falla")))), "NO CONFORME","CONFORME"))))))</f>
        <v>EN CURSO</v>
      </c>
      <c r="CR55" s="87" t="str">
        <f ca="1">IF(OR('03.Muestra'!$D$45=0,COUNTIF('03.Muestra'!$D$8:'03.Muestra'!$D$42,"Página Web")=0),"N/A", IF(COUNTIF(INDIRECT("R5.Genéricos!$E"&amp;SUM(19,38*0)):INDIRECT("R5.Genéricos!$E"&amp;SUM(53,38*0)),"ERR")&gt;0,"ERROR", IF(COUNTIF(CR20:CR54,"N/T")&gt;0, "EN CURSO", IF(COUNTIF(CR20:CR54,"N/D") &gt; 0,"EN CURSO", IF(COUNT($B20:$B54) = COUNTIF(CR20:CR54,"N/A"), "N/A", IF(COUNTIF(CR20:CR54,"Falla")&gt;('DATA - Oculta'!$C$25*((COUNTIF(CR20:CR54,"Pasa")+COUNTIF(CR20:CR54,"Falla")))), "NO CONFORME","CONFORME"))))))</f>
        <v>EN CURSO</v>
      </c>
      <c r="CU55" s="29"/>
      <c r="CV55" s="29"/>
      <c r="CW55" s="29"/>
      <c r="CX55" s="29"/>
    </row>
    <row r="56" spans="2:102" ht="20.25">
      <c r="B56" s="179"/>
      <c r="C56" s="30"/>
      <c r="D56" s="29"/>
      <c r="E56" s="29"/>
      <c r="F56" s="29"/>
      <c r="G56" s="29"/>
      <c r="H56" s="29"/>
      <c r="I56" s="29"/>
      <c r="J56" s="29"/>
      <c r="K56" s="29"/>
      <c r="L56" s="29"/>
      <c r="M56" s="29"/>
      <c r="N56" s="29"/>
      <c r="O56" s="29"/>
      <c r="P56" s="29"/>
      <c r="Q56" s="29"/>
      <c r="R56" s="29"/>
      <c r="S56" s="29"/>
      <c r="T56" s="29"/>
      <c r="U56" s="29"/>
      <c r="V56" s="29"/>
      <c r="W56" s="29"/>
      <c r="X56" s="29"/>
      <c r="Y56" s="29"/>
      <c r="Z56" s="29"/>
      <c r="AA56" s="29"/>
      <c r="AB56" s="29"/>
      <c r="AC56" s="29"/>
      <c r="AD56" s="29"/>
      <c r="AE56" s="29"/>
      <c r="AF56" s="29"/>
      <c r="AG56" s="29"/>
      <c r="AH56" s="29"/>
      <c r="AI56" s="100"/>
      <c r="AJ56" s="29"/>
      <c r="AK56" s="29"/>
      <c r="AL56" s="29"/>
    </row>
    <row r="57" spans="2:102">
      <c r="B57" s="179"/>
      <c r="C57" s="30"/>
      <c r="D57" s="29"/>
      <c r="E57" s="29"/>
      <c r="F57" s="29"/>
      <c r="G57" s="29"/>
      <c r="H57" s="29"/>
      <c r="I57" s="29"/>
      <c r="J57" s="29"/>
      <c r="K57" s="29"/>
      <c r="L57" s="29"/>
      <c r="M57" s="29"/>
      <c r="N57" s="29"/>
      <c r="O57" s="29"/>
      <c r="P57" s="29"/>
      <c r="Q57" s="29"/>
      <c r="R57" s="29"/>
      <c r="S57" s="29"/>
      <c r="T57" s="29"/>
      <c r="U57" s="29"/>
      <c r="V57" s="29"/>
      <c r="W57" s="29"/>
      <c r="X57" s="29"/>
      <c r="Y57" s="29"/>
      <c r="Z57" s="29"/>
      <c r="AA57" s="29"/>
      <c r="AB57" s="29"/>
      <c r="AC57" s="29"/>
      <c r="AD57" s="29"/>
      <c r="AE57" s="29"/>
      <c r="AF57" s="29"/>
      <c r="AG57" s="29"/>
      <c r="AH57" s="29"/>
      <c r="AI57" s="29"/>
      <c r="AJ57" s="29"/>
      <c r="AK57" s="29"/>
      <c r="AL57" s="29"/>
    </row>
    <row r="58" spans="2:102" ht="30.75" customHeight="1" thickBot="1">
      <c r="B58" s="288" t="s">
        <v>154</v>
      </c>
      <c r="C58" s="288"/>
      <c r="D58" s="288"/>
      <c r="E58" s="29"/>
      <c r="F58" s="29"/>
      <c r="G58" s="29"/>
      <c r="H58" s="29"/>
      <c r="I58" s="29"/>
      <c r="J58" s="29"/>
      <c r="K58" s="29"/>
      <c r="L58" s="29"/>
      <c r="M58" s="29"/>
      <c r="N58" s="29"/>
      <c r="O58" s="29"/>
      <c r="P58" s="29"/>
      <c r="Q58" s="29"/>
      <c r="R58" s="29"/>
      <c r="S58" s="29"/>
      <c r="T58" s="29"/>
      <c r="U58" s="29"/>
      <c r="V58" s="29"/>
      <c r="W58" s="29"/>
      <c r="X58" s="29"/>
      <c r="Y58" s="29"/>
      <c r="Z58" s="29"/>
      <c r="AA58" s="29"/>
      <c r="AB58" s="29"/>
      <c r="AC58" s="29"/>
      <c r="AD58" s="29"/>
      <c r="AE58" s="29"/>
      <c r="AF58" s="29"/>
      <c r="AG58" s="29"/>
      <c r="AH58" s="29"/>
      <c r="AI58" s="29"/>
      <c r="AJ58" s="29"/>
      <c r="AK58" s="29"/>
      <c r="AL58" s="29"/>
    </row>
    <row r="59" spans="2:102" ht="23.25" customHeight="1">
      <c r="B59" s="282" t="s">
        <v>50</v>
      </c>
      <c r="C59" s="283"/>
      <c r="D59" s="284"/>
      <c r="E59" s="175"/>
      <c r="F59" s="175"/>
      <c r="G59" s="175"/>
      <c r="H59" s="175"/>
      <c r="I59" s="175"/>
      <c r="J59" s="175"/>
      <c r="K59" s="175"/>
      <c r="L59" s="175"/>
      <c r="M59" s="175"/>
      <c r="N59" s="175"/>
      <c r="O59" s="175"/>
      <c r="P59" s="175"/>
      <c r="Q59" s="175"/>
      <c r="R59" s="175"/>
      <c r="S59" s="175"/>
      <c r="T59" s="175"/>
      <c r="U59" s="175"/>
      <c r="V59" s="175"/>
      <c r="W59" s="175"/>
      <c r="X59" s="175"/>
      <c r="Y59" s="175"/>
      <c r="Z59" s="175"/>
      <c r="AA59" s="175"/>
      <c r="AB59" s="175"/>
      <c r="AC59" s="175"/>
      <c r="AD59" s="175"/>
      <c r="AE59" s="175"/>
      <c r="AF59" s="175"/>
      <c r="AG59" s="175"/>
      <c r="AH59" s="175"/>
      <c r="AI59" s="175"/>
      <c r="AJ59" s="175"/>
      <c r="AK59" s="175"/>
      <c r="AL59" s="175"/>
      <c r="AM59" s="175"/>
      <c r="AN59" s="175"/>
      <c r="AO59" s="175"/>
      <c r="AP59" s="175"/>
      <c r="AQ59" s="175"/>
      <c r="AR59" s="175"/>
      <c r="AS59" s="175"/>
      <c r="AT59" s="175"/>
      <c r="AU59" s="175"/>
      <c r="AV59" s="175"/>
      <c r="AW59" s="175"/>
    </row>
    <row r="60" spans="2:102" ht="21.75" customHeight="1">
      <c r="B60" s="96" t="s">
        <v>268</v>
      </c>
      <c r="C60" s="96" t="s">
        <v>129</v>
      </c>
      <c r="D60" s="96" t="s">
        <v>362</v>
      </c>
      <c r="E60" s="96" t="s">
        <v>197</v>
      </c>
      <c r="F60" s="96" t="s">
        <v>198</v>
      </c>
      <c r="G60" s="96" t="s">
        <v>199</v>
      </c>
      <c r="H60" s="96" t="s">
        <v>200</v>
      </c>
      <c r="I60" s="96" t="s">
        <v>201</v>
      </c>
      <c r="J60" s="96" t="s">
        <v>202</v>
      </c>
      <c r="K60" s="96" t="s">
        <v>203</v>
      </c>
      <c r="L60" s="96" t="s">
        <v>204</v>
      </c>
      <c r="M60" s="96" t="s">
        <v>205</v>
      </c>
      <c r="N60" s="96" t="s">
        <v>206</v>
      </c>
      <c r="O60" s="96" t="s">
        <v>207</v>
      </c>
      <c r="P60" s="96" t="s">
        <v>208</v>
      </c>
      <c r="Q60" s="96" t="s">
        <v>209</v>
      </c>
      <c r="R60" s="96" t="s">
        <v>210</v>
      </c>
      <c r="S60" s="96" t="s">
        <v>211</v>
      </c>
      <c r="T60" s="96" t="s">
        <v>212</v>
      </c>
      <c r="U60" s="96" t="s">
        <v>213</v>
      </c>
      <c r="V60" s="96" t="s">
        <v>214</v>
      </c>
      <c r="W60" s="96" t="s">
        <v>215</v>
      </c>
      <c r="X60" s="96" t="s">
        <v>216</v>
      </c>
      <c r="Y60" s="96" t="s">
        <v>217</v>
      </c>
      <c r="Z60" s="96" t="s">
        <v>218</v>
      </c>
      <c r="AA60" s="96" t="s">
        <v>219</v>
      </c>
      <c r="AB60" s="96" t="s">
        <v>220</v>
      </c>
      <c r="AC60" s="96" t="s">
        <v>221</v>
      </c>
      <c r="AD60" s="96" t="s">
        <v>240</v>
      </c>
      <c r="AE60" s="96" t="s">
        <v>222</v>
      </c>
      <c r="AF60" s="96" t="s">
        <v>223</v>
      </c>
      <c r="AG60" s="96" t="s">
        <v>224</v>
      </c>
      <c r="AH60" s="96" t="s">
        <v>225</v>
      </c>
      <c r="AI60" s="96" t="s">
        <v>226</v>
      </c>
      <c r="AJ60" s="96" t="s">
        <v>227</v>
      </c>
      <c r="AK60" s="96" t="s">
        <v>228</v>
      </c>
      <c r="AL60" s="96" t="s">
        <v>229</v>
      </c>
      <c r="AM60" s="96" t="s">
        <v>230</v>
      </c>
      <c r="AN60" s="96" t="s">
        <v>239</v>
      </c>
      <c r="AO60" s="96" t="s">
        <v>231</v>
      </c>
      <c r="AP60" s="96" t="s">
        <v>232</v>
      </c>
      <c r="AQ60" s="96" t="s">
        <v>233</v>
      </c>
      <c r="AR60" s="96" t="s">
        <v>234</v>
      </c>
      <c r="AS60" s="96" t="s">
        <v>235</v>
      </c>
      <c r="AT60" s="96" t="s">
        <v>236</v>
      </c>
      <c r="AU60" s="96" t="s">
        <v>237</v>
      </c>
      <c r="AV60" s="96" t="s">
        <v>238</v>
      </c>
      <c r="AW60" s="96" t="s">
        <v>351</v>
      </c>
    </row>
    <row r="61" spans="2:102" ht="20.25" customHeight="1">
      <c r="B61" s="181" t="n" cm="1">
        <f t="array" ref="B61">IFERROR(INDEX('03.Muestra'!$B$8:$B$42,SMALL(IF("Documento no web"='03.Muestra'!$D$8:$D$42,ROW('03.Muestra'!$B$8:$B$42)-MIN(ROW('03.Muestra'!$D$8:$D$42))+1,""),ROW()-60)),"")</f>
        <v>1.0</v>
      </c>
      <c r="C61" s="97" t="str" cm="1">
        <f t="array" ref="C61">IFERROR(INDEX('03.Muestra'!$C$8:$C$42,SMALL(IF("Documento no web"='03.Muestra'!$D$8:$D$42,ROW('03.Muestra'!$C$8:$C$42)-MIN(ROW('03.Muestra'!$D$8:$D$42))+1,""),ROW()-60)),"")</f>
        <v>Home - PortCastelló</v>
      </c>
      <c r="D61" s="98" t="str" cm="1">
        <f t="array" ref="D61">IFERROR(INDEX('03.Muestra'!$F$8:$F$42,SMALL(IF("Documento no web"='03.Muestra'!$D$8:$D$42,ROW('03.Muestra'!$F$8:$F$42)-MIN(ROW('03.Muestra'!$D$8:$D$42))+1,""),ROW()-60)),"")</f>
        <v>https://www.portcastello.com/</v>
      </c>
      <c r="E61" s="99" t="str" cm="1">
        <f t="array" aca="1" ref="E61" ca="1">IF($B61="","",IF(ISBLANK(INDIRECT("'R10.Documentos no web'!D"&amp;SUM(18,38*0,1))),"",INDIRECT("'R10.Documentos no web'!D"&amp;SUM(18,38*0,1))))</f>
        <v>N/D</v>
      </c>
      <c r="F61" s="99" t="str" cm="1">
        <f t="array" aca="1" ref="F61" ca="1">IF($B61="","",IF(ISBLANK(INDIRECT("'R10.Documentos no web'!D"&amp;SUM(18,38*1,1))),"",INDIRECT("'R10.Documentos no web'!D"&amp;SUM(18,38*1,1))))</f>
        <v>N/T</v>
      </c>
      <c r="G61" s="99" t="str" cm="1">
        <f t="array" aca="1" ref="G61" ca="1">IF($B61="","",IF(ISBLANK(INDIRECT("'R10.Documentos no web'!D"&amp;SUM(18,38*2,1))),"",INDIRECT("'R10.Documentos no web'!D"&amp;SUM(18,38*2,1))))</f>
        <v>N/T</v>
      </c>
      <c r="H61" s="99" t="str" cm="1">
        <f t="array" aca="1" ref="H61" ca="1">IF($B61="","",IF(ISBLANK(INDIRECT("'R10.Documentos no web'!D"&amp;SUM(18,38*3,1))),"",INDIRECT("'R10.Documentos no web'!D"&amp;SUM(18,38*3,1))))</f>
        <v>N/T</v>
      </c>
      <c r="I61" s="99" t="str" cm="1">
        <f t="array" aca="1" ref="I61" ca="1">IF($B61="","",IF(ISBLANK(INDIRECT("'R10.Documentos no web'!D"&amp;SUM(18,38*4,1))),"",INDIRECT("'R10.Documentos no web'!D"&amp;SUM(18,38*4,1))))</f>
        <v>N/T</v>
      </c>
      <c r="J61" s="99" t="str" cm="1">
        <f t="array" aca="1" ref="J61" ca="1">IF($B61="","",IF(ISBLANK(INDIRECT("'R10.Documentos no web'!D"&amp;SUM(18,38*5,1))),"",INDIRECT("'R10.Documentos no web'!D"&amp;SUM(18,38*5,1))))</f>
        <v>Falla</v>
      </c>
      <c r="K61" s="99" t="str" cm="1">
        <f t="array" aca="1" ref="K61" ca="1">IF($B61="","",IF(ISBLANK(INDIRECT("'R10.Documentos no web'!D"&amp;SUM(18,38*6,1))),"",INDIRECT("'R10.Documentos no web'!D"&amp;SUM(18,38*6,1))))</f>
        <v>N/T</v>
      </c>
      <c r="L61" s="99" t="str" cm="1">
        <f t="array" aca="1" ref="L61" ca="1">IF($B61="","",IF(ISBLANK(INDIRECT("'R10.Documentos no web'!D"&amp;SUM(18,38*7,1))),"",INDIRECT("'R10.Documentos no web'!D"&amp;SUM(18,38*7,1))))</f>
        <v>N/T</v>
      </c>
      <c r="M61" s="99" t="str" cm="1">
        <f t="array" aca="1" ref="M61" ca="1">IF($B61="","",IF(ISBLANK(INDIRECT("'R10.Documentos no web'!D"&amp;SUM(18,38*8,1))),"",INDIRECT("'R10.Documentos no web'!D"&amp;SUM(18,38*8,1))))</f>
        <v>N/T</v>
      </c>
      <c r="N61" s="99" t="str" cm="1">
        <f t="array" aca="1" ref="N61" ca="1">IF($B61="","",IF(ISBLANK(INDIRECT("'R10.Documentos no web'!D"&amp;SUM(18,38*9,1))),"",INDIRECT("'R10.Documentos no web'!D"&amp;SUM(18,38*9,1))))</f>
        <v>N/T</v>
      </c>
      <c r="O61" s="99" t="str" cm="1">
        <f t="array" aca="1" ref="O61" ca="1">IF($B61="","",IF(ISBLANK(INDIRECT("'R10.Documentos no web'!D"&amp;SUM(18,38*10,1))),"",INDIRECT("'R10.Documentos no web'!D"&amp;SUM(18,38*10,1))))</f>
        <v>N/T</v>
      </c>
      <c r="P61" s="99" t="str" cm="1">
        <f t="array" aca="1" ref="P61" ca="1">IF($B61="","",IF(ISBLANK(INDIRECT("'R10.Documentos no web'!D"&amp;SUM(18,38*11,1))),"",INDIRECT("'R10.Documentos no web'!D"&amp;SUM(18,38*11,1))))</f>
        <v>N/T</v>
      </c>
      <c r="Q61" s="99" t="str" cm="1">
        <f t="array" aca="1" ref="Q61" ca="1">IF($B61="","",IF(ISBLANK(INDIRECT("'R10.Documentos no web'!D"&amp;SUM(18,38*12,1))),"",INDIRECT("'R10.Documentos no web'!D"&amp;SUM(18,38*12,1))))</f>
        <v>N/T</v>
      </c>
      <c r="R61" s="99" t="str" cm="1">
        <f t="array" aca="1" ref="R61" ca="1">IF($B61="","",IF(ISBLANK(INDIRECT("'R10.Documentos no web'!D"&amp;SUM(18,38*13,1))),"",INDIRECT("'R10.Documentos no web'!D"&amp;SUM(18,38*13,1))))</f>
        <v>N/T</v>
      </c>
      <c r="S61" s="99" t="str" cm="1">
        <f t="array" aca="1" ref="S61" ca="1">IF($B61="","",IF(ISBLANK(INDIRECT("'R10.Documentos no web'!D"&amp;SUM(18,38*14,1))),"",INDIRECT("'R10.Documentos no web'!D"&amp;SUM(18,38*14,1))))</f>
        <v>N/T</v>
      </c>
      <c r="T61" s="99" t="str" cm="1">
        <f t="array" aca="1" ref="T61" ca="1">IF($B61="","",IF(ISBLANK(INDIRECT("'R10.Documentos no web'!D"&amp;SUM(18,38*15,1))),"",INDIRECT("'R10.Documentos no web'!D"&amp;SUM(18,38*15,1))))</f>
        <v>N/T</v>
      </c>
      <c r="U61" s="99" t="str" cm="1">
        <f t="array" aca="1" ref="U61" ca="1">IF($B61="","",IF(ISBLANK(INDIRECT("'R10.Documentos no web'!D"&amp;SUM(18,38*16,1))),"",INDIRECT("'R10.Documentos no web'!D"&amp;SUM(18,38*16,1))))</f>
        <v>N/T</v>
      </c>
      <c r="V61" s="99" t="str" cm="1">
        <f t="array" aca="1" ref="V61" ca="1">IF($B61="","",IF(ISBLANK(INDIRECT("'R10.Documentos no web'!D"&amp;SUM(18,38*17,1))),"",INDIRECT("'R10.Documentos no web'!D"&amp;SUM(18,38*17,1))))</f>
        <v>N/T</v>
      </c>
      <c r="W61" s="99" t="str" cm="1">
        <f t="array" aca="1" ref="W61" ca="1">IF($B61="","",IF(ISBLANK(INDIRECT("'R10.Documentos no web'!D"&amp;SUM(18,38*18,1))),"",INDIRECT("'R10.Documentos no web'!D"&amp;SUM(18,38*18,1))))</f>
        <v>N/T</v>
      </c>
      <c r="X61" s="99" t="str" cm="1">
        <f t="array" aca="1" ref="X61" ca="1">IF($B61="","",IF(ISBLANK(INDIRECT("'R10.Documentos no web'!D"&amp;SUM(18,38*19,1))),"",INDIRECT("'R10.Documentos no web'!D"&amp;SUM(18,38*19,1))))</f>
        <v>N/T</v>
      </c>
      <c r="Y61" s="99" t="str" cm="1">
        <f t="array" aca="1" ref="Y61" ca="1">IF($B61="","",IF(ISBLANK(INDIRECT("'R10.Documentos no web'!D"&amp;SUM(18,38*20,1))),"",INDIRECT("'R10.Documentos no web'!D"&amp;SUM(18,38*20,1))))</f>
        <v>N/T</v>
      </c>
      <c r="Z61" s="99" t="str" cm="1">
        <f t="array" aca="1" ref="Z61" ca="1">IF($B61="","",IF(ISBLANK(INDIRECT("'R10.Documentos no web'!D"&amp;SUM(18,38*21,1))),"",INDIRECT("'R10.Documentos no web'!D"&amp;SUM(18,38*21,1))))</f>
        <v>N/T</v>
      </c>
      <c r="AA61" s="99" t="str" cm="1">
        <f t="array" aca="1" ref="AA61" ca="1">IF($B61="","",IF(ISBLANK(INDIRECT("'R10.Documentos no web'!D"&amp;SUM(18,38*22,1))),"",INDIRECT("'R10.Documentos no web'!D"&amp;SUM(18,38*22,1))))</f>
        <v>N/T</v>
      </c>
      <c r="AB61" s="99" t="str" cm="1">
        <f t="array" aca="1" ref="AB61" ca="1">IF($B61="","",IF(ISBLANK(INDIRECT("'R10.Documentos no web'!D"&amp;SUM(18,38*23,1))),"",INDIRECT("'R10.Documentos no web'!D"&amp;SUM(18,38*23,1))))</f>
        <v>N/T</v>
      </c>
      <c r="AC61" s="99" t="str" cm="1">
        <f t="array" aca="1" ref="AC61" ca="1">IF($B61="","",IF(ISBLANK(INDIRECT("'R10.Documentos no web'!D"&amp;SUM(18,38*24,1))),"",INDIRECT("'R10.Documentos no web'!D"&amp;SUM(18,38*24,1))))</f>
        <v>N/T</v>
      </c>
      <c r="AD61" s="99" t="str" cm="1">
        <f t="array" aca="1" ref="AD61" ca="1">IF($B61="","",IF(ISBLANK(INDIRECT("'R10.Documentos no web'!D"&amp;SUM(18,38*25,1))),"",INDIRECT("'R10.Documentos no web'!D"&amp;SUM(18,38*25,1))))</f>
        <v>Falla</v>
      </c>
      <c r="AE61" s="99" t="str" cm="1">
        <f t="array" aca="1" ref="AE61" ca="1">IF($B61="","",IF(ISBLANK(INDIRECT("'R10.Documentos no web'!D"&amp;SUM(18,38*26,1))),"",INDIRECT("'R10.Documentos no web'!D"&amp;SUM(18,38*26,1))))</f>
        <v>N/T</v>
      </c>
      <c r="AF61" s="99" t="str" cm="1">
        <f t="array" aca="1" ref="AF61" ca="1">IF($B61="","",IF(ISBLANK(INDIRECT("'R10.Documentos no web'!D"&amp;SUM(18,38*27,1))),"",INDIRECT("'R10.Documentos no web'!D"&amp;SUM(18,38*27,1))))</f>
        <v>N/T</v>
      </c>
      <c r="AG61" s="99" t="str" cm="1">
        <f t="array" aca="1" ref="AG61" ca="1">IF($B61="","",IF(ISBLANK(INDIRECT("'R10.Documentos no web'!D"&amp;SUM(18,38*28,1))),"",INDIRECT("'R10.Documentos no web'!D"&amp;SUM(18,38*28,1))))</f>
        <v>N/T</v>
      </c>
      <c r="AH61" s="99" t="str" cm="1">
        <f t="array" aca="1" ref="AH61" ca="1">IF($B61="","",IF(ISBLANK(INDIRECT("'R10.Documentos no web'!D"&amp;SUM(18,38*29,1))),"",INDIRECT("'R10.Documentos no web'!D"&amp;SUM(18,38*29,1))))</f>
        <v>N/T</v>
      </c>
      <c r="AI61" s="99" t="str" cm="1">
        <f t="array" aca="1" ref="AI61" ca="1">IF($B61="","",IF(ISBLANK(INDIRECT("'R10.Documentos no web'!D"&amp;SUM(18,38*30,1))),"",INDIRECT("'R10.Documentos no web'!D"&amp;SUM(18,38*30,1))))</f>
        <v>N/T</v>
      </c>
      <c r="AJ61" s="99" t="str" cm="1">
        <f t="array" aca="1" ref="AJ61" ca="1">IF($B61="","",IF(ISBLANK(INDIRECT("'R10.Documentos no web'!D"&amp;SUM(18,38*31,1))),"",INDIRECT("'R10.Documentos no web'!D"&amp;SUM(18,38*31,1))))</f>
        <v>N/T</v>
      </c>
      <c r="AK61" s="99" t="str" cm="1">
        <f t="array" aca="1" ref="AK61" ca="1">IF($B61="","",IF(ISBLANK(INDIRECT("'R10.Documentos no web'!D"&amp;SUM(18,38*32,1))),"",INDIRECT("'R10.Documentos no web'!D"&amp;SUM(18,38*32,1))))</f>
        <v>N/T</v>
      </c>
      <c r="AL61" s="99" t="str" cm="1">
        <f t="array" aca="1" ref="AL61" ca="1">IF($B61="","",IF(ISBLANK(INDIRECT("'R10.Documentos no web'!D"&amp;SUM(18,38*33,1))),"",INDIRECT("'R10.Documentos no web'!D"&amp;SUM(18,38*33,1))))</f>
        <v>N/T</v>
      </c>
      <c r="AM61" s="99" t="str" cm="1">
        <f t="array" aca="1" ref="AM61" ca="1">IF($B61="","",IF(ISBLANK(INDIRECT("'R10.Documentos no web'!D"&amp;SUM(18,38*34,1))),"",INDIRECT("'R10.Documentos no web'!D"&amp;SUM(18,38*34,1))))</f>
        <v>N/D</v>
      </c>
      <c r="AN61" s="99" t="str" cm="1">
        <f t="array" aca="1" ref="AN61" ca="1">IF($B61="","",IF(ISBLANK(INDIRECT("'R10.Documentos no web'!D"&amp;SUM(18,38*35,1))),"",INDIRECT("'R10.Documentos no web'!D"&amp;SUM(18,38*35,1))))</f>
        <v>N/T</v>
      </c>
      <c r="AO61" s="99" t="str" cm="1">
        <f t="array" aca="1" ref="AO61" ca="1">IF($B61="","",IF(ISBLANK(INDIRECT("'R10.Documentos no web'!D"&amp;SUM(18,38*36,1))),"",INDIRECT("'R10.Documentos no web'!D"&amp;SUM(18,38*36,1))))</f>
        <v>N/T</v>
      </c>
      <c r="AP61" s="99" t="str" cm="1">
        <f t="array" aca="1" ref="AP61" ca="1">IF($B61="","",IF(ISBLANK(INDIRECT("'R10.Documentos no web'!D"&amp;SUM(18,38*37,1))),"",INDIRECT("'R10.Documentos no web'!D"&amp;SUM(18,38*37,1))))</f>
        <v>N/T</v>
      </c>
      <c r="AQ61" s="99" t="str" cm="1">
        <f t="array" aca="1" ref="AQ61" ca="1">IF($B61="","",IF(ISBLANK(INDIRECT("'R10.Documentos no web'!D"&amp;SUM(18,38*38,1))),"",INDIRECT("'R10.Documentos no web'!D"&amp;SUM(18,38*38,1))))</f>
        <v>N/T</v>
      </c>
      <c r="AR61" s="99" t="str" cm="1">
        <f t="array" aca="1" ref="AR61" ca="1">IF($B61="","",IF(ISBLANK(INDIRECT("'R10.Documentos no web'!D"&amp;SUM(18,38*39,1))),"",INDIRECT("'R10.Documentos no web'!D"&amp;SUM(18,38*39,1))))</f>
        <v>N/T</v>
      </c>
      <c r="AS61" s="99" t="str" cm="1">
        <f t="array" aca="1" ref="AS61" ca="1">IF($B61="","",IF(ISBLANK(INDIRECT("'R10.Documentos no web'!D"&amp;SUM(18,38*40,1))),"",INDIRECT("'R10.Documentos no web'!D"&amp;SUM(18,38*40,1))))</f>
        <v>N/T</v>
      </c>
      <c r="AT61" s="99" t="str" cm="1">
        <f t="array" aca="1" ref="AT61" ca="1">IF($B61="","",IF(ISBLANK(INDIRECT("'R10.Documentos no web'!D"&amp;SUM(18,38*41,1))),"",INDIRECT("'R10.Documentos no web'!D"&amp;SUM(18,38*41,1))))</f>
        <v>N/T</v>
      </c>
      <c r="AU61" s="99" t="str" cm="1">
        <f t="array" aca="1" ref="AU61" ca="1">IF($B61="","",IF(ISBLANK(INDIRECT("'R10.Documentos no web'!D"&amp;SUM(18,38*42,1))),"",INDIRECT("'R10.Documentos no web'!D"&amp;SUM(18,38*42,1))))</f>
        <v>N/T</v>
      </c>
      <c r="AV61" s="99" t="str" cm="1">
        <f t="array" aca="1" ref="AV61" ca="1">IF($B61="","",IF(ISBLANK(INDIRECT("'R10.Documentos no web'!D"&amp;SUM(18,38*43,1))),"",INDIRECT("'R10.Documentos no web'!D"&amp;SUM(18,38*43,1))))</f>
        <v>Falla</v>
      </c>
      <c r="AW61" s="99" t="str" cm="1">
        <f t="array" aca="1" ref="AW61" ca="1">IF($B61="","",IF(ISBLANK(INDIRECT("'R10.Documentos no web'!D"&amp;SUM(18,38*44,1))),"",INDIRECT("'R10.Documentos no web'!D"&amp;SUM(18,38*44,1))))</f>
        <v>N/T</v>
      </c>
    </row>
    <row r="62" spans="2:102" ht="20.25" customHeight="1">
      <c r="B62" s="181" t="n" cm="1">
        <f t="array" ref="B62">IFERROR(INDEX('03.Muestra'!$B$8:$B$42,SMALL(IF("Documento no web"='03.Muestra'!$D$8:$D$42,ROW('03.Muestra'!$B$8:$B$42)-MIN(ROW('03.Muestra'!$D$8:$D$42))+1,""),ROW()-60)),"")</f>
        <v>1.0</v>
      </c>
      <c r="C62" s="97" t="str" cm="1">
        <f t="array" ref="C62">IFERROR(INDEX('03.Muestra'!$C$8:$C$42,SMALL(IF("Documento no web"='03.Muestra'!$D$8:$D$42,ROW('03.Muestra'!$C$8:$C$42)-MIN(ROW('03.Muestra'!$D$8:$D$42))+1,""),ROW()-60)),"")</f>
        <v>Home - PortCastelló</v>
      </c>
      <c r="D62" s="98" t="str" cm="1">
        <f t="array" ref="D62">IFERROR(INDEX('03.Muestra'!$F$8:$F$42,SMALL(IF("Documento no web"='03.Muestra'!$D$8:$D$42,ROW('03.Muestra'!$F$8:$F$42)-MIN(ROW('03.Muestra'!$D$8:$D$42))+1,""),ROW()-60)),"")</f>
        <v>https://www.portcastello.com/</v>
      </c>
      <c r="E62" s="99" t="str" cm="1">
        <f t="array" aca="1" ref="E62" ca="1">IF($B62="","",IF(ISBLANK(INDIRECT("'R10.Documentos no web'!D"&amp;SUM(18,38*0,2))),"",INDIRECT("'R10.Documentos no web'!D"&amp;SUM(18,38*0,2))))</f>
        <v>N/D</v>
      </c>
      <c r="F62" s="99" t="str" cm="1">
        <f t="array" aca="1" ref="F62" ca="1">IF($B62="","",IF(ISBLANK(INDIRECT("'R10.Documentos no web'!D"&amp;SUM(18,38*1,2))),"",INDIRECT("'R10.Documentos no web'!D"&amp;SUM(18,38*1,2))))</f>
        <v>N/T</v>
      </c>
      <c r="G62" s="99" t="str" cm="1">
        <f t="array" aca="1" ref="G62" ca="1">IF($B62="","",IF(ISBLANK(INDIRECT("'R10.Documentos no web'!D"&amp;SUM(18,38*2,2))),"",INDIRECT("'R10.Documentos no web'!D"&amp;SUM(18,38*2,2))))</f>
        <v>N/T</v>
      </c>
      <c r="H62" s="99" t="str" cm="1">
        <f t="array" aca="1" ref="H62" ca="1">IF($B62="","",IF(ISBLANK(INDIRECT("'R10.Documentos no web'!D"&amp;SUM(18,38*3,2))),"",INDIRECT("'R10.Documentos no web'!D"&amp;SUM(18,38*3,2))))</f>
        <v>N/T</v>
      </c>
      <c r="I62" s="99" t="str" cm="1">
        <f t="array" aca="1" ref="I62" ca="1">IF($B62="","",IF(ISBLANK(INDIRECT("'R10.Documentos no web'!D"&amp;SUM(18,38*4,2))),"",INDIRECT("'R10.Documentos no web'!D"&amp;SUM(18,38*4,2))))</f>
        <v>N/T</v>
      </c>
      <c r="J62" s="99" t="str" cm="1">
        <f t="array" aca="1" ref="J62" ca="1">IF($B62="","",IF(ISBLANK(INDIRECT("'R10.Documentos no web'!D"&amp;SUM(18,38*5,2))),"",INDIRECT("'R10.Documentos no web'!D"&amp;SUM(18,38*5,2))))</f>
        <v>Falla</v>
      </c>
      <c r="K62" s="99" t="str" cm="1">
        <f t="array" aca="1" ref="K62" ca="1">IF($B62="","",IF(ISBLANK(INDIRECT("'R10.Documentos no web'!D"&amp;SUM(18,38*6,2))),"",INDIRECT("'R10.Documentos no web'!D"&amp;SUM(18,38*6,2))))</f>
        <v>N/T</v>
      </c>
      <c r="L62" s="99" t="str" cm="1">
        <f t="array" aca="1" ref="L62" ca="1">IF($B62="","",IF(ISBLANK(INDIRECT("'R10.Documentos no web'!D"&amp;SUM(18,38*7,2))),"",INDIRECT("'R10.Documentos no web'!D"&amp;SUM(18,38*7,2))))</f>
        <v>N/T</v>
      </c>
      <c r="M62" s="99" t="str" cm="1">
        <f t="array" aca="1" ref="M62" ca="1">IF($B62="","",IF(ISBLANK(INDIRECT("'R10.Documentos no web'!D"&amp;SUM(18,38*8,2))),"",INDIRECT("'R10.Documentos no web'!D"&amp;SUM(18,38*8,2))))</f>
        <v>N/T</v>
      </c>
      <c r="N62" s="99" t="str" cm="1">
        <f t="array" aca="1" ref="N62" ca="1">IF($B62="","",IF(ISBLANK(INDIRECT("'R10.Documentos no web'!D"&amp;SUM(18,38*9,2))),"",INDIRECT("'R10.Documentos no web'!D"&amp;SUM(18,38*9,2))))</f>
        <v>N/T</v>
      </c>
      <c r="O62" s="99" t="str" cm="1">
        <f t="array" aca="1" ref="O62" ca="1">IF($B62="","",IF(ISBLANK(INDIRECT("'R10.Documentos no web'!D"&amp;SUM(18,38*10,2))),"",INDIRECT("'R10.Documentos no web'!D"&amp;SUM(18,38*10,2))))</f>
        <v>N/T</v>
      </c>
      <c r="P62" s="99" t="str" cm="1">
        <f t="array" aca="1" ref="P62" ca="1">IF($B62="","",IF(ISBLANK(INDIRECT("'R10.Documentos no web'!D"&amp;SUM(18,38*11,2))),"",INDIRECT("'R10.Documentos no web'!D"&amp;SUM(18,38*11,2))))</f>
        <v>N/T</v>
      </c>
      <c r="Q62" s="99" t="str" cm="1">
        <f t="array" aca="1" ref="Q62" ca="1">IF($B62="","",IF(ISBLANK(INDIRECT("'R10.Documentos no web'!D"&amp;SUM(18,38*12,2))),"",INDIRECT("'R10.Documentos no web'!D"&amp;SUM(18,38*12,2))))</f>
        <v>N/T</v>
      </c>
      <c r="R62" s="99" t="str" cm="1">
        <f t="array" aca="1" ref="R62" ca="1">IF($B62="","",IF(ISBLANK(INDIRECT("'R10.Documentos no web'!D"&amp;SUM(18,38*13,2))),"",INDIRECT("'R10.Documentos no web'!D"&amp;SUM(18,38*13,2))))</f>
        <v>N/T</v>
      </c>
      <c r="S62" s="99" t="str" cm="1">
        <f t="array" aca="1" ref="S62" ca="1">IF($B62="","",IF(ISBLANK(INDIRECT("'R10.Documentos no web'!D"&amp;SUM(18,38*14,2))),"",INDIRECT("'R10.Documentos no web'!D"&amp;SUM(18,38*14,2))))</f>
        <v>N/T</v>
      </c>
      <c r="T62" s="99" t="str" cm="1">
        <f t="array" aca="1" ref="T62" ca="1">IF($B62="","",IF(ISBLANK(INDIRECT("'R10.Documentos no web'!D"&amp;SUM(18,38*15,2))),"",INDIRECT("'R10.Documentos no web'!D"&amp;SUM(18,38*15,2))))</f>
        <v>N/T</v>
      </c>
      <c r="U62" s="99" t="str" cm="1">
        <f t="array" aca="1" ref="U62" ca="1">IF($B62="","",IF(ISBLANK(INDIRECT("'R10.Documentos no web'!D"&amp;SUM(18,38*16,2))),"",INDIRECT("'R10.Documentos no web'!D"&amp;SUM(18,38*16,2))))</f>
        <v>N/T</v>
      </c>
      <c r="V62" s="99" t="str" cm="1">
        <f t="array" aca="1" ref="V62" ca="1">IF($B62="","",IF(ISBLANK(INDIRECT("'R10.Documentos no web'!D"&amp;SUM(18,38*17,2))),"",INDIRECT("'R10.Documentos no web'!D"&amp;SUM(18,38*17,2))))</f>
        <v>N/T</v>
      </c>
      <c r="W62" s="99" t="str" cm="1">
        <f t="array" aca="1" ref="W62" ca="1">IF($B62="","",IF(ISBLANK(INDIRECT("'R10.Documentos no web'!D"&amp;SUM(18,38*18,2))),"",INDIRECT("'R10.Documentos no web'!D"&amp;SUM(18,38*18,2))))</f>
        <v>N/T</v>
      </c>
      <c r="X62" s="99" t="str" cm="1">
        <f t="array" aca="1" ref="X62" ca="1">IF($B62="","",IF(ISBLANK(INDIRECT("'R10.Documentos no web'!D"&amp;SUM(18,38*19,2))),"",INDIRECT("'R10.Documentos no web'!D"&amp;SUM(18,38*19,2))))</f>
        <v>N/T</v>
      </c>
      <c r="Y62" s="99" t="str" cm="1">
        <f t="array" aca="1" ref="Y62" ca="1">IF($B62="","",IF(ISBLANK(INDIRECT("'R10.Documentos no web'!D"&amp;SUM(18,38*20,2))),"",INDIRECT("'R10.Documentos no web'!D"&amp;SUM(18,38*20,2))))</f>
        <v>N/T</v>
      </c>
      <c r="Z62" s="99" t="str" cm="1">
        <f t="array" aca="1" ref="Z62" ca="1">IF($B62="","",IF(ISBLANK(INDIRECT("'R10.Documentos no web'!D"&amp;SUM(18,38*21,2))),"",INDIRECT("'R10.Documentos no web'!D"&amp;SUM(18,38*21,2))))</f>
        <v>N/T</v>
      </c>
      <c r="AA62" s="99" t="str" cm="1">
        <f t="array" aca="1" ref="AA62" ca="1">IF($B62="","",IF(ISBLANK(INDIRECT("'R10.Documentos no web'!D"&amp;SUM(18,38*22,2))),"",INDIRECT("'R10.Documentos no web'!D"&amp;SUM(18,38*22,2))))</f>
        <v>N/T</v>
      </c>
      <c r="AB62" s="99" t="str" cm="1">
        <f t="array" aca="1" ref="AB62" ca="1">IF($B62="","",IF(ISBLANK(INDIRECT("'R10.Documentos no web'!D"&amp;SUM(18,38*23,2))),"",INDIRECT("'R10.Documentos no web'!D"&amp;SUM(18,38*23,2))))</f>
        <v>N/T</v>
      </c>
      <c r="AC62" s="99" t="str" cm="1">
        <f t="array" aca="1" ref="AC62" ca="1">IF($B62="","",IF(ISBLANK(INDIRECT("'R10.Documentos no web'!D"&amp;SUM(18,38*24,2))),"",INDIRECT("'R10.Documentos no web'!D"&amp;SUM(18,38*24,2))))</f>
        <v>N/T</v>
      </c>
      <c r="AD62" s="99" t="str" cm="1">
        <f t="array" aca="1" ref="AD62" ca="1">IF($B62="","",IF(ISBLANK(INDIRECT("'R10.Documentos no web'!D"&amp;SUM(18,38*25,2))),"",INDIRECT("'R10.Documentos no web'!D"&amp;SUM(18,38*25,2))))</f>
        <v>Falla</v>
      </c>
      <c r="AE62" s="99" t="str" cm="1">
        <f t="array" aca="1" ref="AE62" ca="1">IF($B62="","",IF(ISBLANK(INDIRECT("'R10.Documentos no web'!D"&amp;SUM(18,38*26,2))),"",INDIRECT("'R10.Documentos no web'!D"&amp;SUM(18,38*26,2))))</f>
        <v>N/T</v>
      </c>
      <c r="AF62" s="99" t="str" cm="1">
        <f t="array" aca="1" ref="AF62" ca="1">IF($B62="","",IF(ISBLANK(INDIRECT("'R10.Documentos no web'!D"&amp;SUM(18,38*27,2))),"",INDIRECT("'R10.Documentos no web'!D"&amp;SUM(18,38*27,2))))</f>
        <v>N/T</v>
      </c>
      <c r="AG62" s="99" t="str" cm="1">
        <f t="array" aca="1" ref="AG62" ca="1">IF($B62="","",IF(ISBLANK(INDIRECT("'R10.Documentos no web'!D"&amp;SUM(18,38*28,2))),"",INDIRECT("'R10.Documentos no web'!D"&amp;SUM(18,38*28,2))))</f>
        <v>N/T</v>
      </c>
      <c r="AH62" s="99" t="str" cm="1">
        <f t="array" aca="1" ref="AH62" ca="1">IF($B62="","",IF(ISBLANK(INDIRECT("'R10.Documentos no web'!D"&amp;SUM(18,38*29,2))),"",INDIRECT("'R10.Documentos no web'!D"&amp;SUM(18,38*29,2))))</f>
        <v>N/T</v>
      </c>
      <c r="AI62" s="99" t="str" cm="1">
        <f t="array" aca="1" ref="AI62" ca="1">IF($B62="","",IF(ISBLANK(INDIRECT("'R10.Documentos no web'!D"&amp;SUM(18,38*30,2))),"",INDIRECT("'R10.Documentos no web'!D"&amp;SUM(18,38*30,2))))</f>
        <v>N/T</v>
      </c>
      <c r="AJ62" s="99" t="str" cm="1">
        <f t="array" aca="1" ref="AJ62" ca="1">IF($B62="","",IF(ISBLANK(INDIRECT("'R10.Documentos no web'!D"&amp;SUM(18,38*31,2))),"",INDIRECT("'R10.Documentos no web'!D"&amp;SUM(18,38*31,2))))</f>
        <v>N/T</v>
      </c>
      <c r="AK62" s="99" t="str" cm="1">
        <f t="array" aca="1" ref="AK62" ca="1">IF($B62="","",IF(ISBLANK(INDIRECT("'R10.Documentos no web'!D"&amp;SUM(18,38*32,2))),"",INDIRECT("'R10.Documentos no web'!D"&amp;SUM(18,38*32,2))))</f>
        <v>N/T</v>
      </c>
      <c r="AL62" s="99" t="str" cm="1">
        <f t="array" aca="1" ref="AL62" ca="1">IF($B62="","",IF(ISBLANK(INDIRECT("'R10.Documentos no web'!D"&amp;SUM(18,38*33,2))),"",INDIRECT("'R10.Documentos no web'!D"&amp;SUM(18,38*33,2))))</f>
        <v>N/T</v>
      </c>
      <c r="AM62" s="99" t="str" cm="1">
        <f t="array" aca="1" ref="AM62" ca="1">IF($B62="","",IF(ISBLANK(INDIRECT("'R10.Documentos no web'!D"&amp;SUM(18,38*34,2))),"",INDIRECT("'R10.Documentos no web'!D"&amp;SUM(18,38*34,2))))</f>
        <v>N/D</v>
      </c>
      <c r="AN62" s="99" t="str" cm="1">
        <f t="array" aca="1" ref="AN62" ca="1">IF($B62="","",IF(ISBLANK(INDIRECT("'R10.Documentos no web'!D"&amp;SUM(18,38*35,2))),"",INDIRECT("'R10.Documentos no web'!D"&amp;SUM(18,38*35,2))))</f>
        <v>N/T</v>
      </c>
      <c r="AO62" s="99" t="str" cm="1">
        <f t="array" aca="1" ref="AO62" ca="1">IF($B62="","",IF(ISBLANK(INDIRECT("'R10.Documentos no web'!D"&amp;SUM(18,38*36,2))),"",INDIRECT("'R10.Documentos no web'!D"&amp;SUM(18,38*36,2))))</f>
        <v>N/T</v>
      </c>
      <c r="AP62" s="99" t="str" cm="1">
        <f t="array" aca="1" ref="AP62" ca="1">IF($B62="","",IF(ISBLANK(INDIRECT("'R10.Documentos no web'!D"&amp;SUM(18,38*37,2))),"",INDIRECT("'R10.Documentos no web'!D"&amp;SUM(18,38*37,2))))</f>
        <v>N/T</v>
      </c>
      <c r="AQ62" s="99" t="str" cm="1">
        <f t="array" aca="1" ref="AQ62" ca="1">IF($B62="","",IF(ISBLANK(INDIRECT("'R10.Documentos no web'!D"&amp;SUM(18,38*38,2))),"",INDIRECT("'R10.Documentos no web'!D"&amp;SUM(18,38*38,2))))</f>
        <v>N/T</v>
      </c>
      <c r="AR62" s="99" t="str" cm="1">
        <f t="array" aca="1" ref="AR62" ca="1">IF($B62="","",IF(ISBLANK(INDIRECT("'R10.Documentos no web'!D"&amp;SUM(18,38*39,2))),"",INDIRECT("'R10.Documentos no web'!D"&amp;SUM(18,38*39,2))))</f>
        <v>N/T</v>
      </c>
      <c r="AS62" s="99" t="str" cm="1">
        <f t="array" aca="1" ref="AS62" ca="1">IF($B62="","",IF(ISBLANK(INDIRECT("'R10.Documentos no web'!D"&amp;SUM(18,38*40,2))),"",INDIRECT("'R10.Documentos no web'!D"&amp;SUM(18,38*40,2))))</f>
        <v>N/T</v>
      </c>
      <c r="AT62" s="99" t="str" cm="1">
        <f t="array" aca="1" ref="AT62" ca="1">IF($B62="","",IF(ISBLANK(INDIRECT("'R10.Documentos no web'!D"&amp;SUM(18,38*41,2))),"",INDIRECT("'R10.Documentos no web'!D"&amp;SUM(18,38*41,2))))</f>
        <v>N/T</v>
      </c>
      <c r="AU62" s="99" t="str" cm="1">
        <f t="array" aca="1" ref="AU62" ca="1">IF($B62="","",IF(ISBLANK(INDIRECT("'R10.Documentos no web'!D"&amp;SUM(18,38*42,2))),"",INDIRECT("'R10.Documentos no web'!D"&amp;SUM(18,38*42,2))))</f>
        <v>N/T</v>
      </c>
      <c r="AV62" s="99" t="str" cm="1">
        <f t="array" aca="1" ref="AV62" ca="1">IF($B62="","",IF(ISBLANK(INDIRECT("'R10.Documentos no web'!D"&amp;SUM(18,38*43,2))),"",INDIRECT("'R10.Documentos no web'!D"&amp;SUM(18,38*43,2))))</f>
        <v>Falla</v>
      </c>
      <c r="AW62" s="99" t="str" cm="1">
        <f t="array" aca="1" ref="AW62" ca="1">IF($B62="","",IF(ISBLANK(INDIRECT("'R10.Documentos no web'!D"&amp;SUM(18,38*44,2))),"",INDIRECT("'R10.Documentos no web'!D"&amp;SUM(18,38*44,2))))</f>
        <v>N/T</v>
      </c>
    </row>
    <row r="63" spans="2:102" ht="20.25" customHeight="1">
      <c r="B63" s="181" t="str" cm="1">
        <f t="array" ref="B63">IFERROR(INDEX('03.Muestra'!$B$8:$B$42,SMALL(IF("Documento no web"='03.Muestra'!$D$8:$D$42,ROW('03.Muestra'!$B$8:$B$42)-MIN(ROW('03.Muestra'!$D$8:$D$42))+1,""),ROW()-60)),"")</f>
        <v/>
      </c>
      <c r="C63" s="97" t="str" cm="1">
        <f t="array" ref="C63">IFERROR(INDEX('03.Muestra'!$C$8:$C$42,SMALL(IF("Documento no web"='03.Muestra'!$D$8:$D$42,ROW('03.Muestra'!$C$8:$C$42)-MIN(ROW('03.Muestra'!$D$8:$D$42))+1,""),ROW()-60)),"")</f>
        <v/>
      </c>
      <c r="D63" s="98" t="str" cm="1">
        <f t="array" ref="D63">IFERROR(INDEX('03.Muestra'!$F$8:$F$42,SMALL(IF("Documento no web"='03.Muestra'!$D$8:$D$42,ROW('03.Muestra'!$F$8:$F$42)-MIN(ROW('03.Muestra'!$D$8:$D$42))+1,""),ROW()-60)),"")</f>
        <v/>
      </c>
      <c r="E63" s="99" t="str" cm="1">
        <f t="array" aca="1" ref="E63" ca="1">IF($B63="","",IF(ISBLANK(INDIRECT("'R10.Documentos no web'!D"&amp;SUM(18,38*0,3))),"",INDIRECT("'R10.Documentos no web'!D"&amp;SUM(18,38*0,3))))</f>
        <v/>
      </c>
      <c r="F63" s="99" t="str" cm="1">
        <f t="array" aca="1" ref="F63" ca="1">IF($B63="","",IF(ISBLANK(INDIRECT("'R10.Documentos no web'!D"&amp;SUM(18,38*1,3))),"",INDIRECT("'R10.Documentos no web'!D"&amp;SUM(18,38*1,3))))</f>
        <v/>
      </c>
      <c r="G63" s="99" t="str" cm="1">
        <f t="array" aca="1" ref="G63" ca="1">IF($B63="","",IF(ISBLANK(INDIRECT("'R10.Documentos no web'!D"&amp;SUM(18,38*2,3))),"",INDIRECT("'R10.Documentos no web'!D"&amp;SUM(18,38*2,3))))</f>
        <v/>
      </c>
      <c r="H63" s="99" t="str" cm="1">
        <f t="array" aca="1" ref="H63" ca="1">IF($B63="","",IF(ISBLANK(INDIRECT("'R10.Documentos no web'!D"&amp;SUM(18,38*3,3))),"",INDIRECT("'R10.Documentos no web'!D"&amp;SUM(18,38*3,3))))</f>
        <v/>
      </c>
      <c r="I63" s="99" t="str" cm="1">
        <f t="array" aca="1" ref="I63" ca="1">IF($B63="","",IF(ISBLANK(INDIRECT("'R10.Documentos no web'!D"&amp;SUM(18,38*4,3))),"",INDIRECT("'R10.Documentos no web'!D"&amp;SUM(18,38*4,3))))</f>
        <v/>
      </c>
      <c r="J63" s="99" t="str" cm="1">
        <f t="array" aca="1" ref="J63" ca="1">IF($B63="","",IF(ISBLANK(INDIRECT("'R10.Documentos no web'!D"&amp;SUM(18,38*5,3))),"",INDIRECT("'R10.Documentos no web'!D"&amp;SUM(18,38*5,3))))</f>
        <v/>
      </c>
      <c r="K63" s="99" t="str" cm="1">
        <f t="array" aca="1" ref="K63" ca="1">IF($B63="","",IF(ISBLANK(INDIRECT("'R10.Documentos no web'!D"&amp;SUM(18,38*6,3))),"",INDIRECT("'R10.Documentos no web'!D"&amp;SUM(18,38*6,3))))</f>
        <v/>
      </c>
      <c r="L63" s="99" t="str" cm="1">
        <f t="array" aca="1" ref="L63" ca="1">IF($B63="","",IF(ISBLANK(INDIRECT("'R10.Documentos no web'!D"&amp;SUM(18,38*7,3))),"",INDIRECT("'R10.Documentos no web'!D"&amp;SUM(18,38*7,3))))</f>
        <v/>
      </c>
      <c r="M63" s="99" t="str" cm="1">
        <f t="array" aca="1" ref="M63" ca="1">IF($B63="","",IF(ISBLANK(INDIRECT("'R10.Documentos no web'!D"&amp;SUM(18,38*8,3))),"",INDIRECT("'R10.Documentos no web'!D"&amp;SUM(18,38*8,3))))</f>
        <v/>
      </c>
      <c r="N63" s="99" t="str" cm="1">
        <f t="array" aca="1" ref="N63" ca="1">IF($B63="","",IF(ISBLANK(INDIRECT("'R10.Documentos no web'!D"&amp;SUM(18,38*9,3))),"",INDIRECT("'R10.Documentos no web'!D"&amp;SUM(18,38*9,3))))</f>
        <v/>
      </c>
      <c r="O63" s="99" t="str" cm="1">
        <f t="array" aca="1" ref="O63" ca="1">IF($B63="","",IF(ISBLANK(INDIRECT("'R10.Documentos no web'!D"&amp;SUM(18,38*10,3))),"",INDIRECT("'R10.Documentos no web'!D"&amp;SUM(18,38*10,3))))</f>
        <v/>
      </c>
      <c r="P63" s="99" t="str" cm="1">
        <f t="array" aca="1" ref="P63" ca="1">IF($B63="","",IF(ISBLANK(INDIRECT("'R10.Documentos no web'!D"&amp;SUM(18,38*11,3))),"",INDIRECT("'R10.Documentos no web'!D"&amp;SUM(18,38*11,3))))</f>
        <v/>
      </c>
      <c r="Q63" s="99" t="str" cm="1">
        <f t="array" aca="1" ref="Q63" ca="1">IF($B63="","",IF(ISBLANK(INDIRECT("'R10.Documentos no web'!D"&amp;SUM(18,38*12,3))),"",INDIRECT("'R10.Documentos no web'!D"&amp;SUM(18,38*12,3))))</f>
        <v/>
      </c>
      <c r="R63" s="99" t="str" cm="1">
        <f t="array" aca="1" ref="R63" ca="1">IF($B63="","",IF(ISBLANK(INDIRECT("'R10.Documentos no web'!D"&amp;SUM(18,38*13,3))),"",INDIRECT("'R10.Documentos no web'!D"&amp;SUM(18,38*13,3))))</f>
        <v/>
      </c>
      <c r="S63" s="99" t="str" cm="1">
        <f t="array" aca="1" ref="S63" ca="1">IF($B63="","",IF(ISBLANK(INDIRECT("'R10.Documentos no web'!D"&amp;SUM(18,38*14,3))),"",INDIRECT("'R10.Documentos no web'!D"&amp;SUM(18,38*14,3))))</f>
        <v/>
      </c>
      <c r="T63" s="99" t="str" cm="1">
        <f t="array" aca="1" ref="T63" ca="1">IF($B63="","",IF(ISBLANK(INDIRECT("'R10.Documentos no web'!D"&amp;SUM(18,38*15,3))),"",INDIRECT("'R10.Documentos no web'!D"&amp;SUM(18,38*15,3))))</f>
        <v/>
      </c>
      <c r="U63" s="99" t="str" cm="1">
        <f t="array" aca="1" ref="U63" ca="1">IF($B63="","",IF(ISBLANK(INDIRECT("'R10.Documentos no web'!D"&amp;SUM(18,38*16,3))),"",INDIRECT("'R10.Documentos no web'!D"&amp;SUM(18,38*16,3))))</f>
        <v/>
      </c>
      <c r="V63" s="99" t="str" cm="1">
        <f t="array" aca="1" ref="V63" ca="1">IF($B63="","",IF(ISBLANK(INDIRECT("'R10.Documentos no web'!D"&amp;SUM(18,38*17,3))),"",INDIRECT("'R10.Documentos no web'!D"&amp;SUM(18,38*17,3))))</f>
        <v/>
      </c>
      <c r="W63" s="99" t="str" cm="1">
        <f t="array" aca="1" ref="W63" ca="1">IF($B63="","",IF(ISBLANK(INDIRECT("'R10.Documentos no web'!D"&amp;SUM(18,38*18,3))),"",INDIRECT("'R10.Documentos no web'!D"&amp;SUM(18,38*18,3))))</f>
        <v/>
      </c>
      <c r="X63" s="99" t="str" cm="1">
        <f t="array" aca="1" ref="X63" ca="1">IF($B63="","",IF(ISBLANK(INDIRECT("'R10.Documentos no web'!D"&amp;SUM(18,38*19,3))),"",INDIRECT("'R10.Documentos no web'!D"&amp;SUM(18,38*19,3))))</f>
        <v/>
      </c>
      <c r="Y63" s="99" t="str" cm="1">
        <f t="array" aca="1" ref="Y63" ca="1">IF($B63="","",IF(ISBLANK(INDIRECT("'R10.Documentos no web'!D"&amp;SUM(18,38*20,3))),"",INDIRECT("'R10.Documentos no web'!D"&amp;SUM(18,38*20,3))))</f>
        <v/>
      </c>
      <c r="Z63" s="99" t="str" cm="1">
        <f t="array" aca="1" ref="Z63" ca="1">IF($B63="","",IF(ISBLANK(INDIRECT("'R10.Documentos no web'!D"&amp;SUM(18,38*21,3))),"",INDIRECT("'R10.Documentos no web'!D"&amp;SUM(18,38*21,3))))</f>
        <v/>
      </c>
      <c r="AA63" s="99" t="str" cm="1">
        <f t="array" aca="1" ref="AA63" ca="1">IF($B63="","",IF(ISBLANK(INDIRECT("'R10.Documentos no web'!D"&amp;SUM(18,38*22,3))),"",INDIRECT("'R10.Documentos no web'!D"&amp;SUM(18,38*22,3))))</f>
        <v/>
      </c>
      <c r="AB63" s="99" t="str" cm="1">
        <f t="array" aca="1" ref="AB63" ca="1">IF($B63="","",IF(ISBLANK(INDIRECT("'R10.Documentos no web'!D"&amp;SUM(18,38*23,3))),"",INDIRECT("'R10.Documentos no web'!D"&amp;SUM(18,38*23,3))))</f>
        <v/>
      </c>
      <c r="AC63" s="99" t="str" cm="1">
        <f t="array" aca="1" ref="AC63" ca="1">IF($B63="","",IF(ISBLANK(INDIRECT("'R10.Documentos no web'!D"&amp;SUM(18,38*24,3))),"",INDIRECT("'R10.Documentos no web'!D"&amp;SUM(18,38*24,3))))</f>
        <v/>
      </c>
      <c r="AD63" s="99" t="str" cm="1">
        <f t="array" aca="1" ref="AD63" ca="1">IF($B63="","",IF(ISBLANK(INDIRECT("'R10.Documentos no web'!D"&amp;SUM(18,38*25,3))),"",INDIRECT("'R10.Documentos no web'!D"&amp;SUM(18,38*25,3))))</f>
        <v/>
      </c>
      <c r="AE63" s="99" t="str" cm="1">
        <f t="array" aca="1" ref="AE63" ca="1">IF($B63="","",IF(ISBLANK(INDIRECT("'R10.Documentos no web'!D"&amp;SUM(18,38*26,3))),"",INDIRECT("'R10.Documentos no web'!D"&amp;SUM(18,38*26,3))))</f>
        <v/>
      </c>
      <c r="AF63" s="99" t="str" cm="1">
        <f t="array" aca="1" ref="AF63" ca="1">IF($B63="","",IF(ISBLANK(INDIRECT("'R10.Documentos no web'!D"&amp;SUM(18,38*27,3))),"",INDIRECT("'R10.Documentos no web'!D"&amp;SUM(18,38*27,3))))</f>
        <v/>
      </c>
      <c r="AG63" s="99" t="str" cm="1">
        <f t="array" aca="1" ref="AG63" ca="1">IF($B63="","",IF(ISBLANK(INDIRECT("'R10.Documentos no web'!D"&amp;SUM(18,38*28,3))),"",INDIRECT("'R10.Documentos no web'!D"&amp;SUM(18,38*28,3))))</f>
        <v/>
      </c>
      <c r="AH63" s="99" t="str" cm="1">
        <f t="array" aca="1" ref="AH63" ca="1">IF($B63="","",IF(ISBLANK(INDIRECT("'R10.Documentos no web'!D"&amp;SUM(18,38*29,3))),"",INDIRECT("'R10.Documentos no web'!D"&amp;SUM(18,38*29,3))))</f>
        <v/>
      </c>
      <c r="AI63" s="99" t="str" cm="1">
        <f t="array" aca="1" ref="AI63" ca="1">IF($B63="","",IF(ISBLANK(INDIRECT("'R10.Documentos no web'!D"&amp;SUM(18,38*30,3))),"",INDIRECT("'R10.Documentos no web'!D"&amp;SUM(18,38*30,3))))</f>
        <v/>
      </c>
      <c r="AJ63" s="99" t="str" cm="1">
        <f t="array" aca="1" ref="AJ63" ca="1">IF($B63="","",IF(ISBLANK(INDIRECT("'R10.Documentos no web'!D"&amp;SUM(18,38*31,3))),"",INDIRECT("'R10.Documentos no web'!D"&amp;SUM(18,38*31,3))))</f>
        <v/>
      </c>
      <c r="AK63" s="99" t="str" cm="1">
        <f t="array" aca="1" ref="AK63" ca="1">IF($B63="","",IF(ISBLANK(INDIRECT("'R10.Documentos no web'!D"&amp;SUM(18,38*32,3))),"",INDIRECT("'R10.Documentos no web'!D"&amp;SUM(18,38*32,3))))</f>
        <v/>
      </c>
      <c r="AL63" s="99" t="str" cm="1">
        <f t="array" aca="1" ref="AL63" ca="1">IF($B63="","",IF(ISBLANK(INDIRECT("'R10.Documentos no web'!D"&amp;SUM(18,38*33,3))),"",INDIRECT("'R10.Documentos no web'!D"&amp;SUM(18,38*33,3))))</f>
        <v/>
      </c>
      <c r="AM63" s="99" t="str" cm="1">
        <f t="array" aca="1" ref="AM63" ca="1">IF($B63="","",IF(ISBLANK(INDIRECT("'R10.Documentos no web'!D"&amp;SUM(18,38*34,3))),"",INDIRECT("'R10.Documentos no web'!D"&amp;SUM(18,38*34,3))))</f>
        <v/>
      </c>
      <c r="AN63" s="99" t="str" cm="1">
        <f t="array" aca="1" ref="AN63" ca="1">IF($B63="","",IF(ISBLANK(INDIRECT("'R10.Documentos no web'!D"&amp;SUM(18,38*35,3))),"",INDIRECT("'R10.Documentos no web'!D"&amp;SUM(18,38*35,3))))</f>
        <v/>
      </c>
      <c r="AO63" s="99" t="str" cm="1">
        <f t="array" aca="1" ref="AO63" ca="1">IF($B63="","",IF(ISBLANK(INDIRECT("'R10.Documentos no web'!D"&amp;SUM(18,38*36,3))),"",INDIRECT("'R10.Documentos no web'!D"&amp;SUM(18,38*36,3))))</f>
        <v/>
      </c>
      <c r="AP63" s="99" t="str" cm="1">
        <f t="array" aca="1" ref="AP63" ca="1">IF($B63="","",IF(ISBLANK(INDIRECT("'R10.Documentos no web'!D"&amp;SUM(18,38*37,3))),"",INDIRECT("'R10.Documentos no web'!D"&amp;SUM(18,38*37,3))))</f>
        <v/>
      </c>
      <c r="AQ63" s="99" t="str" cm="1">
        <f t="array" aca="1" ref="AQ63" ca="1">IF($B63="","",IF(ISBLANK(INDIRECT("'R10.Documentos no web'!D"&amp;SUM(18,38*38,3))),"",INDIRECT("'R10.Documentos no web'!D"&amp;SUM(18,38*38,3))))</f>
        <v/>
      </c>
      <c r="AR63" s="99" t="str" cm="1">
        <f t="array" aca="1" ref="AR63" ca="1">IF($B63="","",IF(ISBLANK(INDIRECT("'R10.Documentos no web'!D"&amp;SUM(18,38*39,3))),"",INDIRECT("'R10.Documentos no web'!D"&amp;SUM(18,38*39,3))))</f>
        <v/>
      </c>
      <c r="AS63" s="99" t="str" cm="1">
        <f t="array" aca="1" ref="AS63" ca="1">IF($B63="","",IF(ISBLANK(INDIRECT("'R10.Documentos no web'!D"&amp;SUM(18,38*40,3))),"",INDIRECT("'R10.Documentos no web'!D"&amp;SUM(18,38*40,3))))</f>
        <v/>
      </c>
      <c r="AT63" s="99" t="str" cm="1">
        <f t="array" aca="1" ref="AT63" ca="1">IF($B63="","",IF(ISBLANK(INDIRECT("'R10.Documentos no web'!D"&amp;SUM(18,38*41,3))),"",INDIRECT("'R10.Documentos no web'!D"&amp;SUM(18,38*41,3))))</f>
        <v/>
      </c>
      <c r="AU63" s="99" t="str" cm="1">
        <f t="array" aca="1" ref="AU63" ca="1">IF($B63="","",IF(ISBLANK(INDIRECT("'R10.Documentos no web'!D"&amp;SUM(18,38*42,3))),"",INDIRECT("'R10.Documentos no web'!D"&amp;SUM(18,38*42,3))))</f>
        <v/>
      </c>
      <c r="AV63" s="99" t="str" cm="1">
        <f t="array" aca="1" ref="AV63" ca="1">IF($B63="","",IF(ISBLANK(INDIRECT("'R10.Documentos no web'!D"&amp;SUM(18,38*43,3))),"",INDIRECT("'R10.Documentos no web'!D"&amp;SUM(18,38*43,3))))</f>
        <v/>
      </c>
      <c r="AW63" s="99" t="str" cm="1">
        <f t="array" aca="1" ref="AW63" ca="1">IF($B63="","",IF(ISBLANK(INDIRECT("'R10.Documentos no web'!D"&amp;SUM(18,38*44,3))),"",INDIRECT("'R10.Documentos no web'!D"&amp;SUM(18,38*44,3))))</f>
        <v/>
      </c>
    </row>
    <row r="64" spans="2:102" ht="20.25" customHeight="1">
      <c r="B64" s="181" t="str" cm="1">
        <f t="array" ref="B64">IFERROR(INDEX('03.Muestra'!$B$8:$B$42,SMALL(IF("Documento no web"='03.Muestra'!$D$8:$D$42,ROW('03.Muestra'!$B$8:$B$42)-MIN(ROW('03.Muestra'!$D$8:$D$42))+1,""),ROW()-60)),"")</f>
        <v/>
      </c>
      <c r="C64" s="97" t="str" cm="1">
        <f t="array" ref="C64">IFERROR(INDEX('03.Muestra'!$C$8:$C$42,SMALL(IF("Documento no web"='03.Muestra'!$D$8:$D$42,ROW('03.Muestra'!$C$8:$C$42)-MIN(ROW('03.Muestra'!$D$8:$D$42))+1,""),ROW()-60)),"")</f>
        <v/>
      </c>
      <c r="D64" s="98" t="str" cm="1">
        <f t="array" ref="D64">IFERROR(INDEX('03.Muestra'!$F$8:$F$42,SMALL(IF("Documento no web"='03.Muestra'!$D$8:$D$42,ROW('03.Muestra'!$F$8:$F$42)-MIN(ROW('03.Muestra'!$D$8:$D$42))+1,""),ROW()-60)),"")</f>
        <v/>
      </c>
      <c r="E64" s="99" t="str" cm="1">
        <f t="array" aca="1" ref="E64" ca="1">IF($B64="","",IF(ISBLANK(INDIRECT("'R10.Documentos no web'!D"&amp;SUM(18,38*0,4))),"",INDIRECT("'R10.Documentos no web'!D"&amp;SUM(18,38*0,4))))</f>
        <v/>
      </c>
      <c r="F64" s="99" t="str" cm="1">
        <f t="array" aca="1" ref="F64" ca="1">IF($B64="","",IF(ISBLANK(INDIRECT("'R10.Documentos no web'!D"&amp;SUM(18,38*1,4))),"",INDIRECT("'R10.Documentos no web'!D"&amp;SUM(18,38*1,4))))</f>
        <v/>
      </c>
      <c r="G64" s="99" t="str" cm="1">
        <f t="array" aca="1" ref="G64" ca="1">IF($B64="","",IF(ISBLANK(INDIRECT("'R10.Documentos no web'!D"&amp;SUM(18,38*2,4))),"",INDIRECT("'R10.Documentos no web'!D"&amp;SUM(18,38*2,4))))</f>
        <v/>
      </c>
      <c r="H64" s="99" t="str" cm="1">
        <f t="array" aca="1" ref="H64" ca="1">IF($B64="","",IF(ISBLANK(INDIRECT("'R10.Documentos no web'!D"&amp;SUM(18,38*3,4))),"",INDIRECT("'R10.Documentos no web'!D"&amp;SUM(18,38*3,4))))</f>
        <v/>
      </c>
      <c r="I64" s="99" t="str" cm="1">
        <f t="array" aca="1" ref="I64" ca="1">IF($B64="","",IF(ISBLANK(INDIRECT("'R10.Documentos no web'!D"&amp;SUM(18,38*4,4))),"",INDIRECT("'R10.Documentos no web'!D"&amp;SUM(18,38*4,4))))</f>
        <v/>
      </c>
      <c r="J64" s="99" t="str" cm="1">
        <f t="array" aca="1" ref="J64" ca="1">IF($B64="","",IF(ISBLANK(INDIRECT("'R10.Documentos no web'!D"&amp;SUM(18,38*5,4))),"",INDIRECT("'R10.Documentos no web'!D"&amp;SUM(18,38*5,4))))</f>
        <v/>
      </c>
      <c r="K64" s="99" t="str" cm="1">
        <f t="array" aca="1" ref="K64" ca="1">IF($B64="","",IF(ISBLANK(INDIRECT("'R10.Documentos no web'!D"&amp;SUM(18,38*6,4))),"",INDIRECT("'R10.Documentos no web'!D"&amp;SUM(18,38*6,4))))</f>
        <v/>
      </c>
      <c r="L64" s="99" t="str" cm="1">
        <f t="array" aca="1" ref="L64" ca="1">IF($B64="","",IF(ISBLANK(INDIRECT("'R10.Documentos no web'!D"&amp;SUM(18,38*7,4))),"",INDIRECT("'R10.Documentos no web'!D"&amp;SUM(18,38*7,4))))</f>
        <v/>
      </c>
      <c r="M64" s="99" t="str" cm="1">
        <f t="array" aca="1" ref="M64" ca="1">IF($B64="","",IF(ISBLANK(INDIRECT("'R10.Documentos no web'!D"&amp;SUM(18,38*8,4))),"",INDIRECT("'R10.Documentos no web'!D"&amp;SUM(18,38*8,4))))</f>
        <v/>
      </c>
      <c r="N64" s="99" t="str" cm="1">
        <f t="array" aca="1" ref="N64" ca="1">IF($B64="","",IF(ISBLANK(INDIRECT("'R10.Documentos no web'!D"&amp;SUM(18,38*9,4))),"",INDIRECT("'R10.Documentos no web'!D"&amp;SUM(18,38*9,4))))</f>
        <v/>
      </c>
      <c r="O64" s="99" t="str" cm="1">
        <f t="array" aca="1" ref="O64" ca="1">IF($B64="","",IF(ISBLANK(INDIRECT("'R10.Documentos no web'!D"&amp;SUM(18,38*10,4))),"",INDIRECT("'R10.Documentos no web'!D"&amp;SUM(18,38*10,4))))</f>
        <v/>
      </c>
      <c r="P64" s="99" t="str" cm="1">
        <f t="array" aca="1" ref="P64" ca="1">IF($B64="","",IF(ISBLANK(INDIRECT("'R10.Documentos no web'!D"&amp;SUM(18,38*11,4))),"",INDIRECT("'R10.Documentos no web'!D"&amp;SUM(18,38*11,4))))</f>
        <v/>
      </c>
      <c r="Q64" s="99" t="str" cm="1">
        <f t="array" aca="1" ref="Q64" ca="1">IF($B64="","",IF(ISBLANK(INDIRECT("'R10.Documentos no web'!D"&amp;SUM(18,38*12,4))),"",INDIRECT("'R10.Documentos no web'!D"&amp;SUM(18,38*12,4))))</f>
        <v/>
      </c>
      <c r="R64" s="99" t="str" cm="1">
        <f t="array" aca="1" ref="R64" ca="1">IF($B64="","",IF(ISBLANK(INDIRECT("'R10.Documentos no web'!D"&amp;SUM(18,38*13,4))),"",INDIRECT("'R10.Documentos no web'!D"&amp;SUM(18,38*13,4))))</f>
        <v/>
      </c>
      <c r="S64" s="99" t="str" cm="1">
        <f t="array" aca="1" ref="S64" ca="1">IF($B64="","",IF(ISBLANK(INDIRECT("'R10.Documentos no web'!D"&amp;SUM(18,38*14,4))),"",INDIRECT("'R10.Documentos no web'!D"&amp;SUM(18,38*14,4))))</f>
        <v/>
      </c>
      <c r="T64" s="99" t="str" cm="1">
        <f t="array" aca="1" ref="T64" ca="1">IF($B64="","",IF(ISBLANK(INDIRECT("'R10.Documentos no web'!D"&amp;SUM(18,38*15,4))),"",INDIRECT("'R10.Documentos no web'!D"&amp;SUM(18,38*15,4))))</f>
        <v/>
      </c>
      <c r="U64" s="99" t="str" cm="1">
        <f t="array" aca="1" ref="U64" ca="1">IF($B64="","",IF(ISBLANK(INDIRECT("'R10.Documentos no web'!D"&amp;SUM(18,38*16,4))),"",INDIRECT("'R10.Documentos no web'!D"&amp;SUM(18,38*16,4))))</f>
        <v/>
      </c>
      <c r="V64" s="99" t="str" cm="1">
        <f t="array" aca="1" ref="V64" ca="1">IF($B64="","",IF(ISBLANK(INDIRECT("'R10.Documentos no web'!D"&amp;SUM(18,38*17,4))),"",INDIRECT("'R10.Documentos no web'!D"&amp;SUM(18,38*17,4))))</f>
        <v/>
      </c>
      <c r="W64" s="99" t="str" cm="1">
        <f t="array" aca="1" ref="W64" ca="1">IF($B64="","",IF(ISBLANK(INDIRECT("'R10.Documentos no web'!D"&amp;SUM(18,38*18,4))),"",INDIRECT("'R10.Documentos no web'!D"&amp;SUM(18,38*18,4))))</f>
        <v/>
      </c>
      <c r="X64" s="99" t="str" cm="1">
        <f t="array" aca="1" ref="X64" ca="1">IF($B64="","",IF(ISBLANK(INDIRECT("'R10.Documentos no web'!D"&amp;SUM(18,38*19,4))),"",INDIRECT("'R10.Documentos no web'!D"&amp;SUM(18,38*19,4))))</f>
        <v/>
      </c>
      <c r="Y64" s="99" t="str" cm="1">
        <f t="array" aca="1" ref="Y64" ca="1">IF($B64="","",IF(ISBLANK(INDIRECT("'R10.Documentos no web'!D"&amp;SUM(18,38*20,4))),"",INDIRECT("'R10.Documentos no web'!D"&amp;SUM(18,38*20,4))))</f>
        <v/>
      </c>
      <c r="Z64" s="99" t="str" cm="1">
        <f t="array" aca="1" ref="Z64" ca="1">IF($B64="","",IF(ISBLANK(INDIRECT("'R10.Documentos no web'!D"&amp;SUM(18,38*21,4))),"",INDIRECT("'R10.Documentos no web'!D"&amp;SUM(18,38*21,4))))</f>
        <v/>
      </c>
      <c r="AA64" s="99" t="str" cm="1">
        <f t="array" aca="1" ref="AA64" ca="1">IF($B64="","",IF(ISBLANK(INDIRECT("'R10.Documentos no web'!D"&amp;SUM(18,38*22,4))),"",INDIRECT("'R10.Documentos no web'!D"&amp;SUM(18,38*22,4))))</f>
        <v/>
      </c>
      <c r="AB64" s="99" t="str" cm="1">
        <f t="array" aca="1" ref="AB64" ca="1">IF($B64="","",IF(ISBLANK(INDIRECT("'R10.Documentos no web'!D"&amp;SUM(18,38*23,4))),"",INDIRECT("'R10.Documentos no web'!D"&amp;SUM(18,38*23,4))))</f>
        <v/>
      </c>
      <c r="AC64" s="99" t="str" cm="1">
        <f t="array" aca="1" ref="AC64" ca="1">IF($B64="","",IF(ISBLANK(INDIRECT("'R10.Documentos no web'!D"&amp;SUM(18,38*24,4))),"",INDIRECT("'R10.Documentos no web'!D"&amp;SUM(18,38*24,4))))</f>
        <v/>
      </c>
      <c r="AD64" s="99" t="str" cm="1">
        <f t="array" aca="1" ref="AD64" ca="1">IF($B64="","",IF(ISBLANK(INDIRECT("'R10.Documentos no web'!D"&amp;SUM(18,38*25,4))),"",INDIRECT("'R10.Documentos no web'!D"&amp;SUM(18,38*25,4))))</f>
        <v/>
      </c>
      <c r="AE64" s="99" t="str" cm="1">
        <f t="array" aca="1" ref="AE64" ca="1">IF($B64="","",IF(ISBLANK(INDIRECT("'R10.Documentos no web'!D"&amp;SUM(18,38*26,4))),"",INDIRECT("'R10.Documentos no web'!D"&amp;SUM(18,38*26,4))))</f>
        <v/>
      </c>
      <c r="AF64" s="99" t="str" cm="1">
        <f t="array" aca="1" ref="AF64" ca="1">IF($B64="","",IF(ISBLANK(INDIRECT("'R10.Documentos no web'!D"&amp;SUM(18,38*27,4))),"",INDIRECT("'R10.Documentos no web'!D"&amp;SUM(18,38*27,4))))</f>
        <v/>
      </c>
      <c r="AG64" s="99" t="str" cm="1">
        <f t="array" aca="1" ref="AG64" ca="1">IF($B64="","",IF(ISBLANK(INDIRECT("'R10.Documentos no web'!D"&amp;SUM(18,38*28,4))),"",INDIRECT("'R10.Documentos no web'!D"&amp;SUM(18,38*28,4))))</f>
        <v/>
      </c>
      <c r="AH64" s="99" t="str" cm="1">
        <f t="array" aca="1" ref="AH64" ca="1">IF($B64="","",IF(ISBLANK(INDIRECT("'R10.Documentos no web'!D"&amp;SUM(18,38*29,4))),"",INDIRECT("'R10.Documentos no web'!D"&amp;SUM(18,38*29,4))))</f>
        <v/>
      </c>
      <c r="AI64" s="99" t="str" cm="1">
        <f t="array" aca="1" ref="AI64" ca="1">IF($B64="","",IF(ISBLANK(INDIRECT("'R10.Documentos no web'!D"&amp;SUM(18,38*30,4))),"",INDIRECT("'R10.Documentos no web'!D"&amp;SUM(18,38*30,4))))</f>
        <v/>
      </c>
      <c r="AJ64" s="99" t="str" cm="1">
        <f t="array" aca="1" ref="AJ64" ca="1">IF($B64="","",IF(ISBLANK(INDIRECT("'R10.Documentos no web'!D"&amp;SUM(18,38*31,4))),"",INDIRECT("'R10.Documentos no web'!D"&amp;SUM(18,38*31,4))))</f>
        <v/>
      </c>
      <c r="AK64" s="99" t="str" cm="1">
        <f t="array" aca="1" ref="AK64" ca="1">IF($B64="","",IF(ISBLANK(INDIRECT("'R10.Documentos no web'!D"&amp;SUM(18,38*32,4))),"",INDIRECT("'R10.Documentos no web'!D"&amp;SUM(18,38*32,4))))</f>
        <v/>
      </c>
      <c r="AL64" s="99" t="str" cm="1">
        <f t="array" aca="1" ref="AL64" ca="1">IF($B64="","",IF(ISBLANK(INDIRECT("'R10.Documentos no web'!D"&amp;SUM(18,38*33,4))),"",INDIRECT("'R10.Documentos no web'!D"&amp;SUM(18,38*33,4))))</f>
        <v/>
      </c>
      <c r="AM64" s="99" t="str" cm="1">
        <f t="array" aca="1" ref="AM64" ca="1">IF($B64="","",IF(ISBLANK(INDIRECT("'R10.Documentos no web'!D"&amp;SUM(18,38*34,4))),"",INDIRECT("'R10.Documentos no web'!D"&amp;SUM(18,38*34,4))))</f>
        <v/>
      </c>
      <c r="AN64" s="99" t="str" cm="1">
        <f t="array" aca="1" ref="AN64" ca="1">IF($B64="","",IF(ISBLANK(INDIRECT("'R10.Documentos no web'!D"&amp;SUM(18,38*35,4))),"",INDIRECT("'R10.Documentos no web'!D"&amp;SUM(18,38*35,4))))</f>
        <v/>
      </c>
      <c r="AO64" s="99" t="str" cm="1">
        <f t="array" aca="1" ref="AO64" ca="1">IF($B64="","",IF(ISBLANK(INDIRECT("'R10.Documentos no web'!D"&amp;SUM(18,38*36,4))),"",INDIRECT("'R10.Documentos no web'!D"&amp;SUM(18,38*36,4))))</f>
        <v/>
      </c>
      <c r="AP64" s="99" t="str" cm="1">
        <f t="array" aca="1" ref="AP64" ca="1">IF($B64="","",IF(ISBLANK(INDIRECT("'R10.Documentos no web'!D"&amp;SUM(18,38*37,4))),"",INDIRECT("'R10.Documentos no web'!D"&amp;SUM(18,38*37,4))))</f>
        <v/>
      </c>
      <c r="AQ64" s="99" t="str" cm="1">
        <f t="array" aca="1" ref="AQ64" ca="1">IF($B64="","",IF(ISBLANK(INDIRECT("'R10.Documentos no web'!D"&amp;SUM(18,38*38,4))),"",INDIRECT("'R10.Documentos no web'!D"&amp;SUM(18,38*38,4))))</f>
        <v/>
      </c>
      <c r="AR64" s="99" t="str" cm="1">
        <f t="array" aca="1" ref="AR64" ca="1">IF($B64="","",IF(ISBLANK(INDIRECT("'R10.Documentos no web'!D"&amp;SUM(18,38*39,4))),"",INDIRECT("'R10.Documentos no web'!D"&amp;SUM(18,38*39,4))))</f>
        <v/>
      </c>
      <c r="AS64" s="99" t="str" cm="1">
        <f t="array" aca="1" ref="AS64" ca="1">IF($B64="","",IF(ISBLANK(INDIRECT("'R10.Documentos no web'!D"&amp;SUM(18,38*40,4))),"",INDIRECT("'R10.Documentos no web'!D"&amp;SUM(18,38*40,4))))</f>
        <v/>
      </c>
      <c r="AT64" s="99" t="str" cm="1">
        <f t="array" aca="1" ref="AT64" ca="1">IF($B64="","",IF(ISBLANK(INDIRECT("'R10.Documentos no web'!D"&amp;SUM(18,38*41,4))),"",INDIRECT("'R10.Documentos no web'!D"&amp;SUM(18,38*41,4))))</f>
        <v/>
      </c>
      <c r="AU64" s="99" t="str" cm="1">
        <f t="array" aca="1" ref="AU64" ca="1">IF($B64="","",IF(ISBLANK(INDIRECT("'R10.Documentos no web'!D"&amp;SUM(18,38*42,4))),"",INDIRECT("'R10.Documentos no web'!D"&amp;SUM(18,38*42,4))))</f>
        <v/>
      </c>
      <c r="AV64" s="99" t="str" cm="1">
        <f t="array" aca="1" ref="AV64" ca="1">IF($B64="","",IF(ISBLANK(INDIRECT("'R10.Documentos no web'!D"&amp;SUM(18,38*43,4))),"",INDIRECT("'R10.Documentos no web'!D"&amp;SUM(18,38*43,4))))</f>
        <v/>
      </c>
      <c r="AW64" s="99" t="str" cm="1">
        <f t="array" aca="1" ref="AW64" ca="1">IF($B64="","",IF(ISBLANK(INDIRECT("'R10.Documentos no web'!D"&amp;SUM(18,38*44,4))),"",INDIRECT("'R10.Documentos no web'!D"&amp;SUM(18,38*44,4))))</f>
        <v/>
      </c>
    </row>
    <row r="65" spans="2:49" ht="20.25" customHeight="1">
      <c r="B65" s="181" t="str" cm="1">
        <f t="array" ref="B65">IFERROR(INDEX('03.Muestra'!$B$8:$B$42,SMALL(IF("Documento no web"='03.Muestra'!$D$8:$D$42,ROW('03.Muestra'!$B$8:$B$42)-MIN(ROW('03.Muestra'!$D$8:$D$42))+1,""),ROW()-60)),"")</f>
        <v/>
      </c>
      <c r="C65" s="97" t="str" cm="1">
        <f t="array" ref="C65">IFERROR(INDEX('03.Muestra'!$C$8:$C$42,SMALL(IF("Documento no web"='03.Muestra'!$D$8:$D$42,ROW('03.Muestra'!$C$8:$C$42)-MIN(ROW('03.Muestra'!$D$8:$D$42))+1,""),ROW()-60)),"")</f>
        <v/>
      </c>
      <c r="D65" s="98" t="str" cm="1">
        <f t="array" ref="D65">IFERROR(INDEX('03.Muestra'!$F$8:$F$42,SMALL(IF("Documento no web"='03.Muestra'!$D$8:$D$42,ROW('03.Muestra'!$F$8:$F$42)-MIN(ROW('03.Muestra'!$D$8:$D$42))+1,""),ROW()-60)),"")</f>
        <v/>
      </c>
      <c r="E65" s="99" t="str" cm="1">
        <f t="array" aca="1" ref="E65" ca="1">IF($B65="","",IF(ISBLANK(INDIRECT("'R10.Documentos no web'!D"&amp;SUM(18,38*0,5))),"",INDIRECT("'R10.Documentos no web'!D"&amp;SUM(18,38*0,5))))</f>
        <v/>
      </c>
      <c r="F65" s="99" t="str" cm="1">
        <f t="array" aca="1" ref="F65" ca="1">IF($B65="","",IF(ISBLANK(INDIRECT("'R10.Documentos no web'!D"&amp;SUM(18,38*1,5))),"",INDIRECT("'R10.Documentos no web'!D"&amp;SUM(18,38*1,5))))</f>
        <v/>
      </c>
      <c r="G65" s="99" t="str" cm="1">
        <f t="array" aca="1" ref="G65" ca="1">IF($B65="","",IF(ISBLANK(INDIRECT("'R10.Documentos no web'!D"&amp;SUM(18,38*2,5))),"",INDIRECT("'R10.Documentos no web'!D"&amp;SUM(18,38*2,5))))</f>
        <v/>
      </c>
      <c r="H65" s="99" t="str" cm="1">
        <f t="array" aca="1" ref="H65" ca="1">IF($B65="","",IF(ISBLANK(INDIRECT("'R10.Documentos no web'!D"&amp;SUM(18,38*3,5))),"",INDIRECT("'R10.Documentos no web'!D"&amp;SUM(18,38*3,5))))</f>
        <v/>
      </c>
      <c r="I65" s="99" t="str" cm="1">
        <f t="array" aca="1" ref="I65" ca="1">IF($B65="","",IF(ISBLANK(INDIRECT("'R10.Documentos no web'!D"&amp;SUM(18,38*4,5))),"",INDIRECT("'R10.Documentos no web'!D"&amp;SUM(18,38*4,5))))</f>
        <v/>
      </c>
      <c r="J65" s="99" t="str" cm="1">
        <f t="array" aca="1" ref="J65" ca="1">IF($B65="","",IF(ISBLANK(INDIRECT("'R10.Documentos no web'!D"&amp;SUM(18,38*5,5))),"",INDIRECT("'R10.Documentos no web'!D"&amp;SUM(18,38*5,5))))</f>
        <v/>
      </c>
      <c r="K65" s="99" t="str" cm="1">
        <f t="array" aca="1" ref="K65" ca="1">IF($B65="","",IF(ISBLANK(INDIRECT("'R10.Documentos no web'!D"&amp;SUM(18,38*6,5))),"",INDIRECT("'R10.Documentos no web'!D"&amp;SUM(18,38*6,5))))</f>
        <v/>
      </c>
      <c r="L65" s="99" t="str" cm="1">
        <f t="array" aca="1" ref="L65" ca="1">IF($B65="","",IF(ISBLANK(INDIRECT("'R10.Documentos no web'!D"&amp;SUM(18,38*7,5))),"",INDIRECT("'R10.Documentos no web'!D"&amp;SUM(18,38*7,5))))</f>
        <v/>
      </c>
      <c r="M65" s="99" t="str" cm="1">
        <f t="array" aca="1" ref="M65" ca="1">IF($B65="","",IF(ISBLANK(INDIRECT("'R10.Documentos no web'!D"&amp;SUM(18,38*8,5))),"",INDIRECT("'R10.Documentos no web'!D"&amp;SUM(18,38*8,5))))</f>
        <v/>
      </c>
      <c r="N65" s="99" t="str" cm="1">
        <f t="array" aca="1" ref="N65" ca="1">IF($B65="","",IF(ISBLANK(INDIRECT("'R10.Documentos no web'!D"&amp;SUM(18,38*9,5))),"",INDIRECT("'R10.Documentos no web'!D"&amp;SUM(18,38*9,5))))</f>
        <v/>
      </c>
      <c r="O65" s="99" t="str" cm="1">
        <f t="array" aca="1" ref="O65" ca="1">IF($B65="","",IF(ISBLANK(INDIRECT("'R10.Documentos no web'!D"&amp;SUM(18,38*10,5))),"",INDIRECT("'R10.Documentos no web'!D"&amp;SUM(18,38*10,5))))</f>
        <v/>
      </c>
      <c r="P65" s="99" t="str" cm="1">
        <f t="array" aca="1" ref="P65" ca="1">IF($B65="","",IF(ISBLANK(INDIRECT("'R10.Documentos no web'!D"&amp;SUM(18,38*11,5))),"",INDIRECT("'R10.Documentos no web'!D"&amp;SUM(18,38*11,5))))</f>
        <v/>
      </c>
      <c r="Q65" s="99" t="str" cm="1">
        <f t="array" aca="1" ref="Q65" ca="1">IF($B65="","",IF(ISBLANK(INDIRECT("'R10.Documentos no web'!D"&amp;SUM(18,38*12,5))),"",INDIRECT("'R10.Documentos no web'!D"&amp;SUM(18,38*12,5))))</f>
        <v/>
      </c>
      <c r="R65" s="99" t="str" cm="1">
        <f t="array" aca="1" ref="R65" ca="1">IF($B65="","",IF(ISBLANK(INDIRECT("'R10.Documentos no web'!D"&amp;SUM(18,38*13,5))),"",INDIRECT("'R10.Documentos no web'!D"&amp;SUM(18,38*13,5))))</f>
        <v/>
      </c>
      <c r="S65" s="99" t="str" cm="1">
        <f t="array" aca="1" ref="S65" ca="1">IF($B65="","",IF(ISBLANK(INDIRECT("'R10.Documentos no web'!D"&amp;SUM(18,38*14,5))),"",INDIRECT("'R10.Documentos no web'!D"&amp;SUM(18,38*14,5))))</f>
        <v/>
      </c>
      <c r="T65" s="99" t="str" cm="1">
        <f t="array" aca="1" ref="T65" ca="1">IF($B65="","",IF(ISBLANK(INDIRECT("'R10.Documentos no web'!D"&amp;SUM(18,38*15,5))),"",INDIRECT("'R10.Documentos no web'!D"&amp;SUM(18,38*15,5))))</f>
        <v/>
      </c>
      <c r="U65" s="99" t="str" cm="1">
        <f t="array" aca="1" ref="U65" ca="1">IF($B65="","",IF(ISBLANK(INDIRECT("'R10.Documentos no web'!D"&amp;SUM(18,38*16,5))),"",INDIRECT("'R10.Documentos no web'!D"&amp;SUM(18,38*16,5))))</f>
        <v/>
      </c>
      <c r="V65" s="99" t="str" cm="1">
        <f t="array" aca="1" ref="V65" ca="1">IF($B65="","",IF(ISBLANK(INDIRECT("'R10.Documentos no web'!D"&amp;SUM(18,38*17,5))),"",INDIRECT("'R10.Documentos no web'!D"&amp;SUM(18,38*17,5))))</f>
        <v/>
      </c>
      <c r="W65" s="99" t="str" cm="1">
        <f t="array" aca="1" ref="W65" ca="1">IF($B65="","",IF(ISBLANK(INDIRECT("'R10.Documentos no web'!D"&amp;SUM(18,38*18,5))),"",INDIRECT("'R10.Documentos no web'!D"&amp;SUM(18,38*18,5))))</f>
        <v/>
      </c>
      <c r="X65" s="99" t="str" cm="1">
        <f t="array" aca="1" ref="X65" ca="1">IF($B65="","",IF(ISBLANK(INDIRECT("'R10.Documentos no web'!D"&amp;SUM(18,38*19,5))),"",INDIRECT("'R10.Documentos no web'!D"&amp;SUM(18,38*19,5))))</f>
        <v/>
      </c>
      <c r="Y65" s="99" t="str" cm="1">
        <f t="array" aca="1" ref="Y65" ca="1">IF($B65="","",IF(ISBLANK(INDIRECT("'R10.Documentos no web'!D"&amp;SUM(18,38*20,5))),"",INDIRECT("'R10.Documentos no web'!D"&amp;SUM(18,38*20,5))))</f>
        <v/>
      </c>
      <c r="Z65" s="99" t="str" cm="1">
        <f t="array" aca="1" ref="Z65" ca="1">IF($B65="","",IF(ISBLANK(INDIRECT("'R10.Documentos no web'!D"&amp;SUM(18,38*21,5))),"",INDIRECT("'R10.Documentos no web'!D"&amp;SUM(18,38*21,5))))</f>
        <v/>
      </c>
      <c r="AA65" s="99" t="str" cm="1">
        <f t="array" aca="1" ref="AA65" ca="1">IF($B65="","",IF(ISBLANK(INDIRECT("'R10.Documentos no web'!D"&amp;SUM(18,38*22,5))),"",INDIRECT("'R10.Documentos no web'!D"&amp;SUM(18,38*22,5))))</f>
        <v/>
      </c>
      <c r="AB65" s="99" t="str" cm="1">
        <f t="array" aca="1" ref="AB65" ca="1">IF($B65="","",IF(ISBLANK(INDIRECT("'R10.Documentos no web'!D"&amp;SUM(18,38*23,5))),"",INDIRECT("'R10.Documentos no web'!D"&amp;SUM(18,38*23,5))))</f>
        <v/>
      </c>
      <c r="AC65" s="99" t="str" cm="1">
        <f t="array" aca="1" ref="AC65" ca="1">IF($B65="","",IF(ISBLANK(INDIRECT("'R10.Documentos no web'!D"&amp;SUM(18,38*24,5))),"",INDIRECT("'R10.Documentos no web'!D"&amp;SUM(18,38*24,5))))</f>
        <v/>
      </c>
      <c r="AD65" s="99" t="str" cm="1">
        <f t="array" aca="1" ref="AD65" ca="1">IF($B65="","",IF(ISBLANK(INDIRECT("'R10.Documentos no web'!D"&amp;SUM(18,38*25,5))),"",INDIRECT("'R10.Documentos no web'!D"&amp;SUM(18,38*25,5))))</f>
        <v/>
      </c>
      <c r="AE65" s="99" t="str" cm="1">
        <f t="array" aca="1" ref="AE65" ca="1">IF($B65="","",IF(ISBLANK(INDIRECT("'R10.Documentos no web'!D"&amp;SUM(18,38*26,5))),"",INDIRECT("'R10.Documentos no web'!D"&amp;SUM(18,38*26,5))))</f>
        <v/>
      </c>
      <c r="AF65" s="99" t="str" cm="1">
        <f t="array" aca="1" ref="AF65" ca="1">IF($B65="","",IF(ISBLANK(INDIRECT("'R10.Documentos no web'!D"&amp;SUM(18,38*27,5))),"",INDIRECT("'R10.Documentos no web'!D"&amp;SUM(18,38*27,5))))</f>
        <v/>
      </c>
      <c r="AG65" s="99" t="str" cm="1">
        <f t="array" aca="1" ref="AG65" ca="1">IF($B65="","",IF(ISBLANK(INDIRECT("'R10.Documentos no web'!D"&amp;SUM(18,38*28,5))),"",INDIRECT("'R10.Documentos no web'!D"&amp;SUM(18,38*28,5))))</f>
        <v/>
      </c>
      <c r="AH65" s="99" t="str" cm="1">
        <f t="array" aca="1" ref="AH65" ca="1">IF($B65="","",IF(ISBLANK(INDIRECT("'R10.Documentos no web'!D"&amp;SUM(18,38*29,5))),"",INDIRECT("'R10.Documentos no web'!D"&amp;SUM(18,38*29,5))))</f>
        <v/>
      </c>
      <c r="AI65" s="99" t="str" cm="1">
        <f t="array" aca="1" ref="AI65" ca="1">IF($B65="","",IF(ISBLANK(INDIRECT("'R10.Documentos no web'!D"&amp;SUM(18,38*30,5))),"",INDIRECT("'R10.Documentos no web'!D"&amp;SUM(18,38*30,5))))</f>
        <v/>
      </c>
      <c r="AJ65" s="99" t="str" cm="1">
        <f t="array" aca="1" ref="AJ65" ca="1">IF($B65="","",IF(ISBLANK(INDIRECT("'R10.Documentos no web'!D"&amp;SUM(18,38*31,5))),"",INDIRECT("'R10.Documentos no web'!D"&amp;SUM(18,38*31,5))))</f>
        <v/>
      </c>
      <c r="AK65" s="99" t="str" cm="1">
        <f t="array" aca="1" ref="AK65" ca="1">IF($B65="","",IF(ISBLANK(INDIRECT("'R10.Documentos no web'!D"&amp;SUM(18,38*32,5))),"",INDIRECT("'R10.Documentos no web'!D"&amp;SUM(18,38*32,5))))</f>
        <v/>
      </c>
      <c r="AL65" s="99" t="str" cm="1">
        <f t="array" aca="1" ref="AL65" ca="1">IF($B65="","",IF(ISBLANK(INDIRECT("'R10.Documentos no web'!D"&amp;SUM(18,38*33,5))),"",INDIRECT("'R10.Documentos no web'!D"&amp;SUM(18,38*33,5))))</f>
        <v/>
      </c>
      <c r="AM65" s="99" t="str" cm="1">
        <f t="array" aca="1" ref="AM65" ca="1">IF($B65="","",IF(ISBLANK(INDIRECT("'R10.Documentos no web'!D"&amp;SUM(18,38*34,5))),"",INDIRECT("'R10.Documentos no web'!D"&amp;SUM(18,38*34,5))))</f>
        <v/>
      </c>
      <c r="AN65" s="99" t="str" cm="1">
        <f t="array" aca="1" ref="AN65" ca="1">IF($B65="","",IF(ISBLANK(INDIRECT("'R10.Documentos no web'!D"&amp;SUM(18,38*35,5))),"",INDIRECT("'R10.Documentos no web'!D"&amp;SUM(18,38*35,5))))</f>
        <v/>
      </c>
      <c r="AO65" s="99" t="str" cm="1">
        <f t="array" aca="1" ref="AO65" ca="1">IF($B65="","",IF(ISBLANK(INDIRECT("'R10.Documentos no web'!D"&amp;SUM(18,38*36,5))),"",INDIRECT("'R10.Documentos no web'!D"&amp;SUM(18,38*36,5))))</f>
        <v/>
      </c>
      <c r="AP65" s="99" t="str" cm="1">
        <f t="array" aca="1" ref="AP65" ca="1">IF($B65="","",IF(ISBLANK(INDIRECT("'R10.Documentos no web'!D"&amp;SUM(18,38*37,5))),"",INDIRECT("'R10.Documentos no web'!D"&amp;SUM(18,38*37,5))))</f>
        <v/>
      </c>
      <c r="AQ65" s="99" t="str" cm="1">
        <f t="array" aca="1" ref="AQ65" ca="1">IF($B65="","",IF(ISBLANK(INDIRECT("'R10.Documentos no web'!D"&amp;SUM(18,38*38,5))),"",INDIRECT("'R10.Documentos no web'!D"&amp;SUM(18,38*38,5))))</f>
        <v/>
      </c>
      <c r="AR65" s="99" t="str" cm="1">
        <f t="array" aca="1" ref="AR65" ca="1">IF($B65="","",IF(ISBLANK(INDIRECT("'R10.Documentos no web'!D"&amp;SUM(18,38*39,5))),"",INDIRECT("'R10.Documentos no web'!D"&amp;SUM(18,38*39,5))))</f>
        <v/>
      </c>
      <c r="AS65" s="99" t="str" cm="1">
        <f t="array" aca="1" ref="AS65" ca="1">IF($B65="","",IF(ISBLANK(INDIRECT("'R10.Documentos no web'!D"&amp;SUM(18,38*40,5))),"",INDIRECT("'R10.Documentos no web'!D"&amp;SUM(18,38*40,5))))</f>
        <v/>
      </c>
      <c r="AT65" s="99" t="str" cm="1">
        <f t="array" aca="1" ref="AT65" ca="1">IF($B65="","",IF(ISBLANK(INDIRECT("'R10.Documentos no web'!D"&amp;SUM(18,38*41,5))),"",INDIRECT("'R10.Documentos no web'!D"&amp;SUM(18,38*41,5))))</f>
        <v/>
      </c>
      <c r="AU65" s="99" t="str" cm="1">
        <f t="array" aca="1" ref="AU65" ca="1">IF($B65="","",IF(ISBLANK(INDIRECT("'R10.Documentos no web'!D"&amp;SUM(18,38*42,5))),"",INDIRECT("'R10.Documentos no web'!D"&amp;SUM(18,38*42,5))))</f>
        <v/>
      </c>
      <c r="AV65" s="99" t="str" cm="1">
        <f t="array" aca="1" ref="AV65" ca="1">IF($B65="","",IF(ISBLANK(INDIRECT("'R10.Documentos no web'!D"&amp;SUM(18,38*43,5))),"",INDIRECT("'R10.Documentos no web'!D"&amp;SUM(18,38*43,5))))</f>
        <v/>
      </c>
      <c r="AW65" s="99" t="str" cm="1">
        <f t="array" aca="1" ref="AW65" ca="1">IF($B65="","",IF(ISBLANK(INDIRECT("'R10.Documentos no web'!D"&amp;SUM(18,38*44,5))),"",INDIRECT("'R10.Documentos no web'!D"&amp;SUM(18,38*44,5))))</f>
        <v/>
      </c>
    </row>
    <row r="66" spans="2:49" ht="20.25" customHeight="1">
      <c r="B66" s="181" t="str" cm="1">
        <f t="array" ref="B66">IFERROR(INDEX('03.Muestra'!$B$8:$B$42,SMALL(IF("Documento no web"='03.Muestra'!$D$8:$D$42,ROW('03.Muestra'!$B$8:$B$42)-MIN(ROW('03.Muestra'!$D$8:$D$42))+1,""),ROW()-60)),"")</f>
        <v/>
      </c>
      <c r="C66" s="97" t="str" cm="1">
        <f t="array" ref="C66">IFERROR(INDEX('03.Muestra'!$C$8:$C$42,SMALL(IF("Documento no web"='03.Muestra'!$D$8:$D$42,ROW('03.Muestra'!$C$8:$C$42)-MIN(ROW('03.Muestra'!$D$8:$D$42))+1,""),ROW()-60)),"")</f>
        <v/>
      </c>
      <c r="D66" s="98" t="str" cm="1">
        <f t="array" ref="D66">IFERROR(INDEX('03.Muestra'!$F$8:$F$42,SMALL(IF("Documento no web"='03.Muestra'!$D$8:$D$42,ROW('03.Muestra'!$F$8:$F$42)-MIN(ROW('03.Muestra'!$D$8:$D$42))+1,""),ROW()-60)),"")</f>
        <v/>
      </c>
      <c r="E66" s="99" t="str" cm="1">
        <f t="array" aca="1" ref="E66" ca="1">IF($B66="","",IF(ISBLANK(INDIRECT("'R10.Documentos no web'!D"&amp;SUM(18,38*0,6))),"",INDIRECT("'R10.Documentos no web'!D"&amp;SUM(18,38*0,6))))</f>
        <v/>
      </c>
      <c r="F66" s="99" t="str" cm="1">
        <f t="array" aca="1" ref="F66" ca="1">IF($B66="","",IF(ISBLANK(INDIRECT("'R10.Documentos no web'!D"&amp;SUM(18,38*1,6))),"",INDIRECT("'R10.Documentos no web'!D"&amp;SUM(18,38*1,6))))</f>
        <v/>
      </c>
      <c r="G66" s="99" t="str" cm="1">
        <f t="array" aca="1" ref="G66" ca="1">IF($B66="","",IF(ISBLANK(INDIRECT("'R10.Documentos no web'!D"&amp;SUM(18,38*2,6))),"",INDIRECT("'R10.Documentos no web'!D"&amp;SUM(18,38*2,6))))</f>
        <v/>
      </c>
      <c r="H66" s="99" t="str" cm="1">
        <f t="array" aca="1" ref="H66" ca="1">IF($B66="","",IF(ISBLANK(INDIRECT("'R10.Documentos no web'!D"&amp;SUM(18,38*3,6))),"",INDIRECT("'R10.Documentos no web'!D"&amp;SUM(18,38*3,6))))</f>
        <v/>
      </c>
      <c r="I66" s="99" t="str" cm="1">
        <f t="array" aca="1" ref="I66" ca="1">IF($B66="","",IF(ISBLANK(INDIRECT("'R10.Documentos no web'!D"&amp;SUM(18,38*4,6))),"",INDIRECT("'R10.Documentos no web'!D"&amp;SUM(18,38*4,6))))</f>
        <v/>
      </c>
      <c r="J66" s="99" t="str" cm="1">
        <f t="array" aca="1" ref="J66" ca="1">IF($B66="","",IF(ISBLANK(INDIRECT("'R10.Documentos no web'!D"&amp;SUM(18,38*5,6))),"",INDIRECT("'R10.Documentos no web'!D"&amp;SUM(18,38*5,6))))</f>
        <v/>
      </c>
      <c r="K66" s="99" t="str" cm="1">
        <f t="array" aca="1" ref="K66" ca="1">IF($B66="","",IF(ISBLANK(INDIRECT("'R10.Documentos no web'!D"&amp;SUM(18,38*6,6))),"",INDIRECT("'R10.Documentos no web'!D"&amp;SUM(18,38*6,6))))</f>
        <v/>
      </c>
      <c r="L66" s="99" t="str" cm="1">
        <f t="array" aca="1" ref="L66" ca="1">IF($B66="","",IF(ISBLANK(INDIRECT("'R10.Documentos no web'!D"&amp;SUM(18,38*7,6))),"",INDIRECT("'R10.Documentos no web'!D"&amp;SUM(18,38*7,6))))</f>
        <v/>
      </c>
      <c r="M66" s="99" t="str" cm="1">
        <f t="array" aca="1" ref="M66" ca="1">IF($B66="","",IF(ISBLANK(INDIRECT("'R10.Documentos no web'!D"&amp;SUM(18,38*8,6))),"",INDIRECT("'R10.Documentos no web'!D"&amp;SUM(18,38*8,6))))</f>
        <v/>
      </c>
      <c r="N66" s="99" t="str" cm="1">
        <f t="array" aca="1" ref="N66" ca="1">IF($B66="","",IF(ISBLANK(INDIRECT("'R10.Documentos no web'!D"&amp;SUM(18,38*9,6))),"",INDIRECT("'R10.Documentos no web'!D"&amp;SUM(18,38*9,6))))</f>
        <v/>
      </c>
      <c r="O66" s="99" t="str" cm="1">
        <f t="array" aca="1" ref="O66" ca="1">IF($B66="","",IF(ISBLANK(INDIRECT("'R10.Documentos no web'!D"&amp;SUM(18,38*10,6))),"",INDIRECT("'R10.Documentos no web'!D"&amp;SUM(18,38*10,6))))</f>
        <v/>
      </c>
      <c r="P66" s="99" t="str" cm="1">
        <f t="array" aca="1" ref="P66" ca="1">IF($B66="","",IF(ISBLANK(INDIRECT("'R10.Documentos no web'!D"&amp;SUM(18,38*11,6))),"",INDIRECT("'R10.Documentos no web'!D"&amp;SUM(18,38*11,6))))</f>
        <v/>
      </c>
      <c r="Q66" s="99" t="str" cm="1">
        <f t="array" aca="1" ref="Q66" ca="1">IF($B66="","",IF(ISBLANK(INDIRECT("'R10.Documentos no web'!D"&amp;SUM(18,38*12,6))),"",INDIRECT("'R10.Documentos no web'!D"&amp;SUM(18,38*12,6))))</f>
        <v/>
      </c>
      <c r="R66" s="99" t="str" cm="1">
        <f t="array" aca="1" ref="R66" ca="1">IF($B66="","",IF(ISBLANK(INDIRECT("'R10.Documentos no web'!D"&amp;SUM(18,38*13,6))),"",INDIRECT("'R10.Documentos no web'!D"&amp;SUM(18,38*13,6))))</f>
        <v/>
      </c>
      <c r="S66" s="99" t="str" cm="1">
        <f t="array" aca="1" ref="S66" ca="1">IF($B66="","",IF(ISBLANK(INDIRECT("'R10.Documentos no web'!D"&amp;SUM(18,38*14,6))),"",INDIRECT("'R10.Documentos no web'!D"&amp;SUM(18,38*14,6))))</f>
        <v/>
      </c>
      <c r="T66" s="99" t="str" cm="1">
        <f t="array" aca="1" ref="T66" ca="1">IF($B66="","",IF(ISBLANK(INDIRECT("'R10.Documentos no web'!D"&amp;SUM(18,38*15,6))),"",INDIRECT("'R10.Documentos no web'!D"&amp;SUM(18,38*15,6))))</f>
        <v/>
      </c>
      <c r="U66" s="99" t="str" cm="1">
        <f t="array" aca="1" ref="U66" ca="1">IF($B66="","",IF(ISBLANK(INDIRECT("'R10.Documentos no web'!D"&amp;SUM(18,38*16,6))),"",INDIRECT("'R10.Documentos no web'!D"&amp;SUM(18,38*16,6))))</f>
        <v/>
      </c>
      <c r="V66" s="99" t="str" cm="1">
        <f t="array" aca="1" ref="V66" ca="1">IF($B66="","",IF(ISBLANK(INDIRECT("'R10.Documentos no web'!D"&amp;SUM(18,38*17,6))),"",INDIRECT("'R10.Documentos no web'!D"&amp;SUM(18,38*17,6))))</f>
        <v/>
      </c>
      <c r="W66" s="99" t="str" cm="1">
        <f t="array" aca="1" ref="W66" ca="1">IF($B66="","",IF(ISBLANK(INDIRECT("'R10.Documentos no web'!D"&amp;SUM(18,38*18,6))),"",INDIRECT("'R10.Documentos no web'!D"&amp;SUM(18,38*18,6))))</f>
        <v/>
      </c>
      <c r="X66" s="99" t="str" cm="1">
        <f t="array" aca="1" ref="X66" ca="1">IF($B66="","",IF(ISBLANK(INDIRECT("'R10.Documentos no web'!D"&amp;SUM(18,38*19,6))),"",INDIRECT("'R10.Documentos no web'!D"&amp;SUM(18,38*19,6))))</f>
        <v/>
      </c>
      <c r="Y66" s="99" t="str" cm="1">
        <f t="array" aca="1" ref="Y66" ca="1">IF($B66="","",IF(ISBLANK(INDIRECT("'R10.Documentos no web'!D"&amp;SUM(18,38*20,6))),"",INDIRECT("'R10.Documentos no web'!D"&amp;SUM(18,38*20,6))))</f>
        <v/>
      </c>
      <c r="Z66" s="99" t="str" cm="1">
        <f t="array" aca="1" ref="Z66" ca="1">IF($B66="","",IF(ISBLANK(INDIRECT("'R10.Documentos no web'!D"&amp;SUM(18,38*21,6))),"",INDIRECT("'R10.Documentos no web'!D"&amp;SUM(18,38*21,6))))</f>
        <v/>
      </c>
      <c r="AA66" s="99" t="str" cm="1">
        <f t="array" aca="1" ref="AA66" ca="1">IF($B66="","",IF(ISBLANK(INDIRECT("'R10.Documentos no web'!D"&amp;SUM(18,38*22,6))),"",INDIRECT("'R10.Documentos no web'!D"&amp;SUM(18,38*22,6))))</f>
        <v/>
      </c>
      <c r="AB66" s="99" t="str" cm="1">
        <f t="array" aca="1" ref="AB66" ca="1">IF($B66="","",IF(ISBLANK(INDIRECT("'R10.Documentos no web'!D"&amp;SUM(18,38*23,6))),"",INDIRECT("'R10.Documentos no web'!D"&amp;SUM(18,38*23,6))))</f>
        <v/>
      </c>
      <c r="AC66" s="99" t="str" cm="1">
        <f t="array" aca="1" ref="AC66" ca="1">IF($B66="","",IF(ISBLANK(INDIRECT("'R10.Documentos no web'!D"&amp;SUM(18,38*24,6))),"",INDIRECT("'R10.Documentos no web'!D"&amp;SUM(18,38*24,6))))</f>
        <v/>
      </c>
      <c r="AD66" s="99" t="str" cm="1">
        <f t="array" aca="1" ref="AD66" ca="1">IF($B66="","",IF(ISBLANK(INDIRECT("'R10.Documentos no web'!D"&amp;SUM(18,38*25,6))),"",INDIRECT("'R10.Documentos no web'!D"&amp;SUM(18,38*25,6))))</f>
        <v/>
      </c>
      <c r="AE66" s="99" t="str" cm="1">
        <f t="array" aca="1" ref="AE66" ca="1">IF($B66="","",IF(ISBLANK(INDIRECT("'R10.Documentos no web'!D"&amp;SUM(18,38*26,6))),"",INDIRECT("'R10.Documentos no web'!D"&amp;SUM(18,38*26,6))))</f>
        <v/>
      </c>
      <c r="AF66" s="99" t="str" cm="1">
        <f t="array" aca="1" ref="AF66" ca="1">IF($B66="","",IF(ISBLANK(INDIRECT("'R10.Documentos no web'!D"&amp;SUM(18,38*27,6))),"",INDIRECT("'R10.Documentos no web'!D"&amp;SUM(18,38*27,6))))</f>
        <v/>
      </c>
      <c r="AG66" s="99" t="str" cm="1">
        <f t="array" aca="1" ref="AG66" ca="1">IF($B66="","",IF(ISBLANK(INDIRECT("'R10.Documentos no web'!D"&amp;SUM(18,38*28,6))),"",INDIRECT("'R10.Documentos no web'!D"&amp;SUM(18,38*28,6))))</f>
        <v/>
      </c>
      <c r="AH66" s="99" t="str" cm="1">
        <f t="array" aca="1" ref="AH66" ca="1">IF($B66="","",IF(ISBLANK(INDIRECT("'R10.Documentos no web'!D"&amp;SUM(18,38*29,6))),"",INDIRECT("'R10.Documentos no web'!D"&amp;SUM(18,38*29,6))))</f>
        <v/>
      </c>
      <c r="AI66" s="99" t="str" cm="1">
        <f t="array" aca="1" ref="AI66" ca="1">IF($B66="","",IF(ISBLANK(INDIRECT("'R10.Documentos no web'!D"&amp;SUM(18,38*30,6))),"",INDIRECT("'R10.Documentos no web'!D"&amp;SUM(18,38*30,6))))</f>
        <v/>
      </c>
      <c r="AJ66" s="99" t="str" cm="1">
        <f t="array" aca="1" ref="AJ66" ca="1">IF($B66="","",IF(ISBLANK(INDIRECT("'R10.Documentos no web'!D"&amp;SUM(18,38*31,6))),"",INDIRECT("'R10.Documentos no web'!D"&amp;SUM(18,38*31,6))))</f>
        <v/>
      </c>
      <c r="AK66" s="99" t="str" cm="1">
        <f t="array" aca="1" ref="AK66" ca="1">IF($B66="","",IF(ISBLANK(INDIRECT("'R10.Documentos no web'!D"&amp;SUM(18,38*32,6))),"",INDIRECT("'R10.Documentos no web'!D"&amp;SUM(18,38*32,6))))</f>
        <v/>
      </c>
      <c r="AL66" s="99" t="str" cm="1">
        <f t="array" aca="1" ref="AL66" ca="1">IF($B66="","",IF(ISBLANK(INDIRECT("'R10.Documentos no web'!D"&amp;SUM(18,38*33,6))),"",INDIRECT("'R10.Documentos no web'!D"&amp;SUM(18,38*33,6))))</f>
        <v/>
      </c>
      <c r="AM66" s="99" t="str" cm="1">
        <f t="array" aca="1" ref="AM66" ca="1">IF($B66="","",IF(ISBLANK(INDIRECT("'R10.Documentos no web'!D"&amp;SUM(18,38*34,6))),"",INDIRECT("'R10.Documentos no web'!D"&amp;SUM(18,38*34,6))))</f>
        <v/>
      </c>
      <c r="AN66" s="99" t="str" cm="1">
        <f t="array" aca="1" ref="AN66" ca="1">IF($B66="","",IF(ISBLANK(INDIRECT("'R10.Documentos no web'!D"&amp;SUM(18,38*35,6))),"",INDIRECT("'R10.Documentos no web'!D"&amp;SUM(18,38*35,6))))</f>
        <v/>
      </c>
      <c r="AO66" s="99" t="str" cm="1">
        <f t="array" aca="1" ref="AO66" ca="1">IF($B66="","",IF(ISBLANK(INDIRECT("'R10.Documentos no web'!D"&amp;SUM(18,38*36,6))),"",INDIRECT("'R10.Documentos no web'!D"&amp;SUM(18,38*36,6))))</f>
        <v/>
      </c>
      <c r="AP66" s="99" t="str" cm="1">
        <f t="array" aca="1" ref="AP66" ca="1">IF($B66="","",IF(ISBLANK(INDIRECT("'R10.Documentos no web'!D"&amp;SUM(18,38*37,6))),"",INDIRECT("'R10.Documentos no web'!D"&amp;SUM(18,38*37,6))))</f>
        <v/>
      </c>
      <c r="AQ66" s="99" t="str" cm="1">
        <f t="array" aca="1" ref="AQ66" ca="1">IF($B66="","",IF(ISBLANK(INDIRECT("'R10.Documentos no web'!D"&amp;SUM(18,38*38,6))),"",INDIRECT("'R10.Documentos no web'!D"&amp;SUM(18,38*38,6))))</f>
        <v/>
      </c>
      <c r="AR66" s="99" t="str" cm="1">
        <f t="array" aca="1" ref="AR66" ca="1">IF($B66="","",IF(ISBLANK(INDIRECT("'R10.Documentos no web'!D"&amp;SUM(18,38*39,6))),"",INDIRECT("'R10.Documentos no web'!D"&amp;SUM(18,38*39,6))))</f>
        <v/>
      </c>
      <c r="AS66" s="99" t="str" cm="1">
        <f t="array" aca="1" ref="AS66" ca="1">IF($B66="","",IF(ISBLANK(INDIRECT("'R10.Documentos no web'!D"&amp;SUM(18,38*40,6))),"",INDIRECT("'R10.Documentos no web'!D"&amp;SUM(18,38*40,6))))</f>
        <v/>
      </c>
      <c r="AT66" s="99" t="str" cm="1">
        <f t="array" aca="1" ref="AT66" ca="1">IF($B66="","",IF(ISBLANK(INDIRECT("'R10.Documentos no web'!D"&amp;SUM(18,38*41,6))),"",INDIRECT("'R10.Documentos no web'!D"&amp;SUM(18,38*41,6))))</f>
        <v/>
      </c>
      <c r="AU66" s="99" t="str" cm="1">
        <f t="array" aca="1" ref="AU66" ca="1">IF($B66="","",IF(ISBLANK(INDIRECT("'R10.Documentos no web'!D"&amp;SUM(18,38*42,6))),"",INDIRECT("'R10.Documentos no web'!D"&amp;SUM(18,38*42,6))))</f>
        <v/>
      </c>
      <c r="AV66" s="99" t="str" cm="1">
        <f t="array" aca="1" ref="AV66" ca="1">IF($B66="","",IF(ISBLANK(INDIRECT("'R10.Documentos no web'!D"&amp;SUM(18,38*43,6))),"",INDIRECT("'R10.Documentos no web'!D"&amp;SUM(18,38*43,6))))</f>
        <v/>
      </c>
      <c r="AW66" s="99" t="str" cm="1">
        <f t="array" aca="1" ref="AW66" ca="1">IF($B66="","",IF(ISBLANK(INDIRECT("'R10.Documentos no web'!D"&amp;SUM(18,38*44,6))),"",INDIRECT("'R10.Documentos no web'!D"&amp;SUM(18,38*44,6))))</f>
        <v/>
      </c>
    </row>
    <row r="67" spans="2:49" ht="20.25" customHeight="1">
      <c r="B67" s="181" t="str" cm="1">
        <f t="array" ref="B67">IFERROR(INDEX('03.Muestra'!$B$8:$B$42,SMALL(IF("Documento no web"='03.Muestra'!$D$8:$D$42,ROW('03.Muestra'!$B$8:$B$42)-MIN(ROW('03.Muestra'!$D$8:$D$42))+1,""),ROW()-60)),"")</f>
        <v/>
      </c>
      <c r="C67" s="97" t="str" cm="1">
        <f t="array" ref="C67">IFERROR(INDEX('03.Muestra'!$C$8:$C$42,SMALL(IF("Documento no web"='03.Muestra'!$D$8:$D$42,ROW('03.Muestra'!$C$8:$C$42)-MIN(ROW('03.Muestra'!$D$8:$D$42))+1,""),ROW()-60)),"")</f>
        <v/>
      </c>
      <c r="D67" s="98" t="str" cm="1">
        <f t="array" ref="D67">IFERROR(INDEX('03.Muestra'!$F$8:$F$42,SMALL(IF("Documento no web"='03.Muestra'!$D$8:$D$42,ROW('03.Muestra'!$F$8:$F$42)-MIN(ROW('03.Muestra'!$D$8:$D$42))+1,""),ROW()-60)),"")</f>
        <v/>
      </c>
      <c r="E67" s="99" t="str" cm="1">
        <f t="array" aca="1" ref="E67" ca="1">IF($B67="","",IF(ISBLANK(INDIRECT("'R10.Documentos no web'!D"&amp;SUM(18,38*0,7))),"",INDIRECT("'R10.Documentos no web'!D"&amp;SUM(18,38*0,7))))</f>
        <v/>
      </c>
      <c r="F67" s="99" t="str" cm="1">
        <f t="array" aca="1" ref="F67" ca="1">IF($B67="","",IF(ISBLANK(INDIRECT("'R10.Documentos no web'!D"&amp;SUM(18,38*1,7))),"",INDIRECT("'R10.Documentos no web'!D"&amp;SUM(18,38*1,7))))</f>
        <v/>
      </c>
      <c r="G67" s="99" t="str" cm="1">
        <f t="array" aca="1" ref="G67" ca="1">IF($B67="","",IF(ISBLANK(INDIRECT("'R10.Documentos no web'!D"&amp;SUM(18,38*2,7))),"",INDIRECT("'R10.Documentos no web'!D"&amp;SUM(18,38*2,7))))</f>
        <v/>
      </c>
      <c r="H67" s="99" t="str" cm="1">
        <f t="array" aca="1" ref="H67" ca="1">IF($B67="","",IF(ISBLANK(INDIRECT("'R10.Documentos no web'!D"&amp;SUM(18,38*3,7))),"",INDIRECT("'R10.Documentos no web'!D"&amp;SUM(18,38*3,7))))</f>
        <v/>
      </c>
      <c r="I67" s="99" t="str" cm="1">
        <f t="array" aca="1" ref="I67" ca="1">IF($B67="","",IF(ISBLANK(INDIRECT("'R10.Documentos no web'!D"&amp;SUM(18,38*4,7))),"",INDIRECT("'R10.Documentos no web'!D"&amp;SUM(18,38*4,7))))</f>
        <v/>
      </c>
      <c r="J67" s="99" t="str" cm="1">
        <f t="array" aca="1" ref="J67" ca="1">IF($B67="","",IF(ISBLANK(INDIRECT("'R10.Documentos no web'!D"&amp;SUM(18,38*5,7))),"",INDIRECT("'R10.Documentos no web'!D"&amp;SUM(18,38*5,7))))</f>
        <v/>
      </c>
      <c r="K67" s="99" t="str" cm="1">
        <f t="array" aca="1" ref="K67" ca="1">IF($B67="","",IF(ISBLANK(INDIRECT("'R10.Documentos no web'!D"&amp;SUM(18,38*6,7))),"",INDIRECT("'R10.Documentos no web'!D"&amp;SUM(18,38*6,7))))</f>
        <v/>
      </c>
      <c r="L67" s="99" t="str" cm="1">
        <f t="array" aca="1" ref="L67" ca="1">IF($B67="","",IF(ISBLANK(INDIRECT("'R10.Documentos no web'!D"&amp;SUM(18,38*7,7))),"",INDIRECT("'R10.Documentos no web'!D"&amp;SUM(18,38*7,7))))</f>
        <v/>
      </c>
      <c r="M67" s="99" t="str" cm="1">
        <f t="array" aca="1" ref="M67" ca="1">IF($B67="","",IF(ISBLANK(INDIRECT("'R10.Documentos no web'!D"&amp;SUM(18,38*8,7))),"",INDIRECT("'R10.Documentos no web'!D"&amp;SUM(18,38*8,7))))</f>
        <v/>
      </c>
      <c r="N67" s="99" t="str" cm="1">
        <f t="array" aca="1" ref="N67" ca="1">IF($B67="","",IF(ISBLANK(INDIRECT("'R10.Documentos no web'!D"&amp;SUM(18,38*9,7))),"",INDIRECT("'R10.Documentos no web'!D"&amp;SUM(18,38*9,7))))</f>
        <v/>
      </c>
      <c r="O67" s="99" t="str" cm="1">
        <f t="array" aca="1" ref="O67" ca="1">IF($B67="","",IF(ISBLANK(INDIRECT("'R10.Documentos no web'!D"&amp;SUM(18,38*10,7))),"",INDIRECT("'R10.Documentos no web'!D"&amp;SUM(18,38*10,7))))</f>
        <v/>
      </c>
      <c r="P67" s="99" t="str" cm="1">
        <f t="array" aca="1" ref="P67" ca="1">IF($B67="","",IF(ISBLANK(INDIRECT("'R10.Documentos no web'!D"&amp;SUM(18,38*11,7))),"",INDIRECT("'R10.Documentos no web'!D"&amp;SUM(18,38*11,7))))</f>
        <v/>
      </c>
      <c r="Q67" s="99" t="str" cm="1">
        <f t="array" aca="1" ref="Q67" ca="1">IF($B67="","",IF(ISBLANK(INDIRECT("'R10.Documentos no web'!D"&amp;SUM(18,38*12,7))),"",INDIRECT("'R10.Documentos no web'!D"&amp;SUM(18,38*12,7))))</f>
        <v/>
      </c>
      <c r="R67" s="99" t="str" cm="1">
        <f t="array" aca="1" ref="R67" ca="1">IF($B67="","",IF(ISBLANK(INDIRECT("'R10.Documentos no web'!D"&amp;SUM(18,38*13,7))),"",INDIRECT("'R10.Documentos no web'!D"&amp;SUM(18,38*13,7))))</f>
        <v/>
      </c>
      <c r="S67" s="99" t="str" cm="1">
        <f t="array" aca="1" ref="S67" ca="1">IF($B67="","",IF(ISBLANK(INDIRECT("'R10.Documentos no web'!D"&amp;SUM(18,38*14,7))),"",INDIRECT("'R10.Documentos no web'!D"&amp;SUM(18,38*14,7))))</f>
        <v/>
      </c>
      <c r="T67" s="99" t="str" cm="1">
        <f t="array" aca="1" ref="T67" ca="1">IF($B67="","",IF(ISBLANK(INDIRECT("'R10.Documentos no web'!D"&amp;SUM(18,38*15,7))),"",INDIRECT("'R10.Documentos no web'!D"&amp;SUM(18,38*15,7))))</f>
        <v/>
      </c>
      <c r="U67" s="99" t="str" cm="1">
        <f t="array" aca="1" ref="U67" ca="1">IF($B67="","",IF(ISBLANK(INDIRECT("'R10.Documentos no web'!D"&amp;SUM(18,38*16,7))),"",INDIRECT("'R10.Documentos no web'!D"&amp;SUM(18,38*16,7))))</f>
        <v/>
      </c>
      <c r="V67" s="99" t="str" cm="1">
        <f t="array" aca="1" ref="V67" ca="1">IF($B67="","",IF(ISBLANK(INDIRECT("'R10.Documentos no web'!D"&amp;SUM(18,38*17,7))),"",INDIRECT("'R10.Documentos no web'!D"&amp;SUM(18,38*17,7))))</f>
        <v/>
      </c>
      <c r="W67" s="99" t="str" cm="1">
        <f t="array" aca="1" ref="W67" ca="1">IF($B67="","",IF(ISBLANK(INDIRECT("'R10.Documentos no web'!D"&amp;SUM(18,38*18,7))),"",INDIRECT("'R10.Documentos no web'!D"&amp;SUM(18,38*18,7))))</f>
        <v/>
      </c>
      <c r="X67" s="99" t="str" cm="1">
        <f t="array" aca="1" ref="X67" ca="1">IF($B67="","",IF(ISBLANK(INDIRECT("'R10.Documentos no web'!D"&amp;SUM(18,38*19,7))),"",INDIRECT("'R10.Documentos no web'!D"&amp;SUM(18,38*19,7))))</f>
        <v/>
      </c>
      <c r="Y67" s="99" t="str" cm="1">
        <f t="array" aca="1" ref="Y67" ca="1">IF($B67="","",IF(ISBLANK(INDIRECT("'R10.Documentos no web'!D"&amp;SUM(18,38*20,7))),"",INDIRECT("'R10.Documentos no web'!D"&amp;SUM(18,38*20,7))))</f>
        <v/>
      </c>
      <c r="Z67" s="99" t="str" cm="1">
        <f t="array" aca="1" ref="Z67" ca="1">IF($B67="","",IF(ISBLANK(INDIRECT("'R10.Documentos no web'!D"&amp;SUM(18,38*21,7))),"",INDIRECT("'R10.Documentos no web'!D"&amp;SUM(18,38*21,7))))</f>
        <v/>
      </c>
      <c r="AA67" s="99" t="str" cm="1">
        <f t="array" aca="1" ref="AA67" ca="1">IF($B67="","",IF(ISBLANK(INDIRECT("'R10.Documentos no web'!D"&amp;SUM(18,38*22,7))),"",INDIRECT("'R10.Documentos no web'!D"&amp;SUM(18,38*22,7))))</f>
        <v/>
      </c>
      <c r="AB67" s="99" t="str" cm="1">
        <f t="array" aca="1" ref="AB67" ca="1">IF($B67="","",IF(ISBLANK(INDIRECT("'R10.Documentos no web'!D"&amp;SUM(18,38*23,7))),"",INDIRECT("'R10.Documentos no web'!D"&amp;SUM(18,38*23,7))))</f>
        <v/>
      </c>
      <c r="AC67" s="99" t="str" cm="1">
        <f t="array" aca="1" ref="AC67" ca="1">IF($B67="","",IF(ISBLANK(INDIRECT("'R10.Documentos no web'!D"&amp;SUM(18,38*24,7))),"",INDIRECT("'R10.Documentos no web'!D"&amp;SUM(18,38*24,7))))</f>
        <v/>
      </c>
      <c r="AD67" s="99" t="str" cm="1">
        <f t="array" aca="1" ref="AD67" ca="1">IF($B67="","",IF(ISBLANK(INDIRECT("'R10.Documentos no web'!D"&amp;SUM(18,38*25,7))),"",INDIRECT("'R10.Documentos no web'!D"&amp;SUM(18,38*25,7))))</f>
        <v/>
      </c>
      <c r="AE67" s="99" t="str" cm="1">
        <f t="array" aca="1" ref="AE67" ca="1">IF($B67="","",IF(ISBLANK(INDIRECT("'R10.Documentos no web'!D"&amp;SUM(18,38*26,7))),"",INDIRECT("'R10.Documentos no web'!D"&amp;SUM(18,38*26,7))))</f>
        <v/>
      </c>
      <c r="AF67" s="99" t="str" cm="1">
        <f t="array" aca="1" ref="AF67" ca="1">IF($B67="","",IF(ISBLANK(INDIRECT("'R10.Documentos no web'!D"&amp;SUM(18,38*27,7))),"",INDIRECT("'R10.Documentos no web'!D"&amp;SUM(18,38*27,7))))</f>
        <v/>
      </c>
      <c r="AG67" s="99" t="str" cm="1">
        <f t="array" aca="1" ref="AG67" ca="1">IF($B67="","",IF(ISBLANK(INDIRECT("'R10.Documentos no web'!D"&amp;SUM(18,38*28,7))),"",INDIRECT("'R10.Documentos no web'!D"&amp;SUM(18,38*28,7))))</f>
        <v/>
      </c>
      <c r="AH67" s="99" t="str" cm="1">
        <f t="array" aca="1" ref="AH67" ca="1">IF($B67="","",IF(ISBLANK(INDIRECT("'R10.Documentos no web'!D"&amp;SUM(18,38*29,7))),"",INDIRECT("'R10.Documentos no web'!D"&amp;SUM(18,38*29,7))))</f>
        <v/>
      </c>
      <c r="AI67" s="99" t="str" cm="1">
        <f t="array" aca="1" ref="AI67" ca="1">IF($B67="","",IF(ISBLANK(INDIRECT("'R10.Documentos no web'!D"&amp;SUM(18,38*30,7))),"",INDIRECT("'R10.Documentos no web'!D"&amp;SUM(18,38*30,7))))</f>
        <v/>
      </c>
      <c r="AJ67" s="99" t="str" cm="1">
        <f t="array" aca="1" ref="AJ67" ca="1">IF($B67="","",IF(ISBLANK(INDIRECT("'R10.Documentos no web'!D"&amp;SUM(18,38*31,7))),"",INDIRECT("'R10.Documentos no web'!D"&amp;SUM(18,38*31,7))))</f>
        <v/>
      </c>
      <c r="AK67" s="99" t="str" cm="1">
        <f t="array" aca="1" ref="AK67" ca="1">IF($B67="","",IF(ISBLANK(INDIRECT("'R10.Documentos no web'!D"&amp;SUM(18,38*32,7))),"",INDIRECT("'R10.Documentos no web'!D"&amp;SUM(18,38*32,7))))</f>
        <v/>
      </c>
      <c r="AL67" s="99" t="str" cm="1">
        <f t="array" aca="1" ref="AL67" ca="1">IF($B67="","",IF(ISBLANK(INDIRECT("'R10.Documentos no web'!D"&amp;SUM(18,38*33,7))),"",INDIRECT("'R10.Documentos no web'!D"&amp;SUM(18,38*33,7))))</f>
        <v/>
      </c>
      <c r="AM67" s="99" t="str" cm="1">
        <f t="array" aca="1" ref="AM67" ca="1">IF($B67="","",IF(ISBLANK(INDIRECT("'R10.Documentos no web'!D"&amp;SUM(18,38*34,7))),"",INDIRECT("'R10.Documentos no web'!D"&amp;SUM(18,38*34,7))))</f>
        <v/>
      </c>
      <c r="AN67" s="99" t="str" cm="1">
        <f t="array" aca="1" ref="AN67" ca="1">IF($B67="","",IF(ISBLANK(INDIRECT("'R10.Documentos no web'!D"&amp;SUM(18,38*35,7))),"",INDIRECT("'R10.Documentos no web'!D"&amp;SUM(18,38*35,7))))</f>
        <v/>
      </c>
      <c r="AO67" s="99" t="str" cm="1">
        <f t="array" aca="1" ref="AO67" ca="1">IF($B67="","",IF(ISBLANK(INDIRECT("'R10.Documentos no web'!D"&amp;SUM(18,38*36,7))),"",INDIRECT("'R10.Documentos no web'!D"&amp;SUM(18,38*36,7))))</f>
        <v/>
      </c>
      <c r="AP67" s="99" t="str" cm="1">
        <f t="array" aca="1" ref="AP67" ca="1">IF($B67="","",IF(ISBLANK(INDIRECT("'R10.Documentos no web'!D"&amp;SUM(18,38*37,7))),"",INDIRECT("'R10.Documentos no web'!D"&amp;SUM(18,38*37,7))))</f>
        <v/>
      </c>
      <c r="AQ67" s="99" t="str" cm="1">
        <f t="array" aca="1" ref="AQ67" ca="1">IF($B67="","",IF(ISBLANK(INDIRECT("'R10.Documentos no web'!D"&amp;SUM(18,38*38,7))),"",INDIRECT("'R10.Documentos no web'!D"&amp;SUM(18,38*38,7))))</f>
        <v/>
      </c>
      <c r="AR67" s="99" t="str" cm="1">
        <f t="array" aca="1" ref="AR67" ca="1">IF($B67="","",IF(ISBLANK(INDIRECT("'R10.Documentos no web'!D"&amp;SUM(18,38*39,7))),"",INDIRECT("'R10.Documentos no web'!D"&amp;SUM(18,38*39,7))))</f>
        <v/>
      </c>
      <c r="AS67" s="99" t="str" cm="1">
        <f t="array" aca="1" ref="AS67" ca="1">IF($B67="","",IF(ISBLANK(INDIRECT("'R10.Documentos no web'!D"&amp;SUM(18,38*40,7))),"",INDIRECT("'R10.Documentos no web'!D"&amp;SUM(18,38*40,7))))</f>
        <v/>
      </c>
      <c r="AT67" s="99" t="str" cm="1">
        <f t="array" aca="1" ref="AT67" ca="1">IF($B67="","",IF(ISBLANK(INDIRECT("'R10.Documentos no web'!D"&amp;SUM(18,38*41,7))),"",INDIRECT("'R10.Documentos no web'!D"&amp;SUM(18,38*41,7))))</f>
        <v/>
      </c>
      <c r="AU67" s="99" t="str" cm="1">
        <f t="array" aca="1" ref="AU67" ca="1">IF($B67="","",IF(ISBLANK(INDIRECT("'R10.Documentos no web'!D"&amp;SUM(18,38*42,7))),"",INDIRECT("'R10.Documentos no web'!D"&amp;SUM(18,38*42,7))))</f>
        <v/>
      </c>
      <c r="AV67" s="99" t="str" cm="1">
        <f t="array" aca="1" ref="AV67" ca="1">IF($B67="","",IF(ISBLANK(INDIRECT("'R10.Documentos no web'!D"&amp;SUM(18,38*43,7))),"",INDIRECT("'R10.Documentos no web'!D"&amp;SUM(18,38*43,7))))</f>
        <v/>
      </c>
      <c r="AW67" s="99" t="str" cm="1">
        <f t="array" aca="1" ref="AW67" ca="1">IF($B67="","",IF(ISBLANK(INDIRECT("'R10.Documentos no web'!D"&amp;SUM(18,38*44,7))),"",INDIRECT("'R10.Documentos no web'!D"&amp;SUM(18,38*44,7))))</f>
        <v/>
      </c>
    </row>
    <row r="68" spans="2:49" ht="20.25" customHeight="1">
      <c r="B68" s="181" t="str" cm="1">
        <f t="array" ref="B68">IFERROR(INDEX('03.Muestra'!$B$8:$B$42,SMALL(IF("Documento no web"='03.Muestra'!$D$8:$D$42,ROW('03.Muestra'!$B$8:$B$42)-MIN(ROW('03.Muestra'!$D$8:$D$42))+1,""),ROW()-60)),"")</f>
        <v/>
      </c>
      <c r="C68" s="97" t="str" cm="1">
        <f t="array" ref="C68">IFERROR(INDEX('03.Muestra'!$C$8:$C$42,SMALL(IF("Documento no web"='03.Muestra'!$D$8:$D$42,ROW('03.Muestra'!$C$8:$C$42)-MIN(ROW('03.Muestra'!$D$8:$D$42))+1,""),ROW()-60)),"")</f>
        <v/>
      </c>
      <c r="D68" s="98" t="str" cm="1">
        <f t="array" ref="D68">IFERROR(INDEX('03.Muestra'!$F$8:$F$42,SMALL(IF("Documento no web"='03.Muestra'!$D$8:$D$42,ROW('03.Muestra'!$F$8:$F$42)-MIN(ROW('03.Muestra'!$D$8:$D$42))+1,""),ROW()-60)),"")</f>
        <v/>
      </c>
      <c r="E68" s="99" t="str" cm="1">
        <f t="array" aca="1" ref="E68" ca="1">IF($B68="","",IF(ISBLANK(INDIRECT("'R10.Documentos no web'!D"&amp;SUM(18,38*0,8))),"",INDIRECT("'R10.Documentos no web'!D"&amp;SUM(18,38*0,8))))</f>
        <v/>
      </c>
      <c r="F68" s="99" t="str" cm="1">
        <f t="array" aca="1" ref="F68" ca="1">IF($B68="","",IF(ISBLANK(INDIRECT("'R10.Documentos no web'!D"&amp;SUM(18,38*1,8))),"",INDIRECT("'R10.Documentos no web'!D"&amp;SUM(18,38*1,8))))</f>
        <v/>
      </c>
      <c r="G68" s="99" t="str" cm="1">
        <f t="array" aca="1" ref="G68" ca="1">IF($B68="","",IF(ISBLANK(INDIRECT("'R10.Documentos no web'!D"&amp;SUM(18,38*2,8))),"",INDIRECT("'R10.Documentos no web'!D"&amp;SUM(18,38*2,8))))</f>
        <v/>
      </c>
      <c r="H68" s="99" t="str" cm="1">
        <f t="array" aca="1" ref="H68" ca="1">IF($B68="","",IF(ISBLANK(INDIRECT("'R10.Documentos no web'!D"&amp;SUM(18,38*3,8))),"",INDIRECT("'R10.Documentos no web'!D"&amp;SUM(18,38*3,8))))</f>
        <v/>
      </c>
      <c r="I68" s="99" t="str" cm="1">
        <f t="array" aca="1" ref="I68" ca="1">IF($B68="","",IF(ISBLANK(INDIRECT("'R10.Documentos no web'!D"&amp;SUM(18,38*4,8))),"",INDIRECT("'R10.Documentos no web'!D"&amp;SUM(18,38*4,8))))</f>
        <v/>
      </c>
      <c r="J68" s="99" t="str" cm="1">
        <f t="array" aca="1" ref="J68" ca="1">IF($B68="","",IF(ISBLANK(INDIRECT("'R10.Documentos no web'!D"&amp;SUM(18,38*5,8))),"",INDIRECT("'R10.Documentos no web'!D"&amp;SUM(18,38*5,8))))</f>
        <v/>
      </c>
      <c r="K68" s="99" t="str" cm="1">
        <f t="array" aca="1" ref="K68" ca="1">IF($B68="","",IF(ISBLANK(INDIRECT("'R10.Documentos no web'!D"&amp;SUM(18,38*6,8))),"",INDIRECT("'R10.Documentos no web'!D"&amp;SUM(18,38*6,8))))</f>
        <v/>
      </c>
      <c r="L68" s="99" t="str" cm="1">
        <f t="array" aca="1" ref="L68" ca="1">IF($B68="","",IF(ISBLANK(INDIRECT("'R10.Documentos no web'!D"&amp;SUM(18,38*7,8))),"",INDIRECT("'R10.Documentos no web'!D"&amp;SUM(18,38*7,8))))</f>
        <v/>
      </c>
      <c r="M68" s="99" t="str" cm="1">
        <f t="array" aca="1" ref="M68" ca="1">IF($B68="","",IF(ISBLANK(INDIRECT("'R10.Documentos no web'!D"&amp;SUM(18,38*8,8))),"",INDIRECT("'R10.Documentos no web'!D"&amp;SUM(18,38*8,8))))</f>
        <v/>
      </c>
      <c r="N68" s="99" t="str" cm="1">
        <f t="array" aca="1" ref="N68" ca="1">IF($B68="","",IF(ISBLANK(INDIRECT("'R10.Documentos no web'!D"&amp;SUM(18,38*9,8))),"",INDIRECT("'R10.Documentos no web'!D"&amp;SUM(18,38*9,8))))</f>
        <v/>
      </c>
      <c r="O68" s="99" t="str" cm="1">
        <f t="array" aca="1" ref="O68" ca="1">IF($B68="","",IF(ISBLANK(INDIRECT("'R10.Documentos no web'!D"&amp;SUM(18,38*10,8))),"",INDIRECT("'R10.Documentos no web'!D"&amp;SUM(18,38*10,8))))</f>
        <v/>
      </c>
      <c r="P68" s="99" t="str" cm="1">
        <f t="array" aca="1" ref="P68" ca="1">IF($B68="","",IF(ISBLANK(INDIRECT("'R10.Documentos no web'!D"&amp;SUM(18,38*11,8))),"",INDIRECT("'R10.Documentos no web'!D"&amp;SUM(18,38*11,8))))</f>
        <v/>
      </c>
      <c r="Q68" s="99" t="str" cm="1">
        <f t="array" aca="1" ref="Q68" ca="1">IF($B68="","",IF(ISBLANK(INDIRECT("'R10.Documentos no web'!D"&amp;SUM(18,38*12,8))),"",INDIRECT("'R10.Documentos no web'!D"&amp;SUM(18,38*12,8))))</f>
        <v/>
      </c>
      <c r="R68" s="99" t="str" cm="1">
        <f t="array" aca="1" ref="R68" ca="1">IF($B68="","",IF(ISBLANK(INDIRECT("'R10.Documentos no web'!D"&amp;SUM(18,38*13,8))),"",INDIRECT("'R10.Documentos no web'!D"&amp;SUM(18,38*13,8))))</f>
        <v/>
      </c>
      <c r="S68" s="99" t="str" cm="1">
        <f t="array" aca="1" ref="S68" ca="1">IF($B68="","",IF(ISBLANK(INDIRECT("'R10.Documentos no web'!D"&amp;SUM(18,38*14,8))),"",INDIRECT("'R10.Documentos no web'!D"&amp;SUM(18,38*14,8))))</f>
        <v/>
      </c>
      <c r="T68" s="99" t="str" cm="1">
        <f t="array" aca="1" ref="T68" ca="1">IF($B68="","",IF(ISBLANK(INDIRECT("'R10.Documentos no web'!D"&amp;SUM(18,38*15,8))),"",INDIRECT("'R10.Documentos no web'!D"&amp;SUM(18,38*15,8))))</f>
        <v/>
      </c>
      <c r="U68" s="99" t="str" cm="1">
        <f t="array" aca="1" ref="U68" ca="1">IF($B68="","",IF(ISBLANK(INDIRECT("'R10.Documentos no web'!D"&amp;SUM(18,38*16,8))),"",INDIRECT("'R10.Documentos no web'!D"&amp;SUM(18,38*16,8))))</f>
        <v/>
      </c>
      <c r="V68" s="99" t="str" cm="1">
        <f t="array" aca="1" ref="V68" ca="1">IF($B68="","",IF(ISBLANK(INDIRECT("'R10.Documentos no web'!D"&amp;SUM(18,38*17,8))),"",INDIRECT("'R10.Documentos no web'!D"&amp;SUM(18,38*17,8))))</f>
        <v/>
      </c>
      <c r="W68" s="99" t="str" cm="1">
        <f t="array" aca="1" ref="W68" ca="1">IF($B68="","",IF(ISBLANK(INDIRECT("'R10.Documentos no web'!D"&amp;SUM(18,38*18,8))),"",INDIRECT("'R10.Documentos no web'!D"&amp;SUM(18,38*18,8))))</f>
        <v/>
      </c>
      <c r="X68" s="99" t="str" cm="1">
        <f t="array" aca="1" ref="X68" ca="1">IF($B68="","",IF(ISBLANK(INDIRECT("'R10.Documentos no web'!D"&amp;SUM(18,38*19,8))),"",INDIRECT("'R10.Documentos no web'!D"&amp;SUM(18,38*19,8))))</f>
        <v/>
      </c>
      <c r="Y68" s="99" t="str" cm="1">
        <f t="array" aca="1" ref="Y68" ca="1">IF($B68="","",IF(ISBLANK(INDIRECT("'R10.Documentos no web'!D"&amp;SUM(18,38*20,8))),"",INDIRECT("'R10.Documentos no web'!D"&amp;SUM(18,38*20,8))))</f>
        <v/>
      </c>
      <c r="Z68" s="99" t="str" cm="1">
        <f t="array" aca="1" ref="Z68" ca="1">IF($B68="","",IF(ISBLANK(INDIRECT("'R10.Documentos no web'!D"&amp;SUM(18,38*21,8))),"",INDIRECT("'R10.Documentos no web'!D"&amp;SUM(18,38*21,8))))</f>
        <v/>
      </c>
      <c r="AA68" s="99" t="str" cm="1">
        <f t="array" aca="1" ref="AA68" ca="1">IF($B68="","",IF(ISBLANK(INDIRECT("'R10.Documentos no web'!D"&amp;SUM(18,38*22,8))),"",INDIRECT("'R10.Documentos no web'!D"&amp;SUM(18,38*22,8))))</f>
        <v/>
      </c>
      <c r="AB68" s="99" t="str" cm="1">
        <f t="array" aca="1" ref="AB68" ca="1">IF($B68="","",IF(ISBLANK(INDIRECT("'R10.Documentos no web'!D"&amp;SUM(18,38*23,8))),"",INDIRECT("'R10.Documentos no web'!D"&amp;SUM(18,38*23,8))))</f>
        <v/>
      </c>
      <c r="AC68" s="99" t="str" cm="1">
        <f t="array" aca="1" ref="AC68" ca="1">IF($B68="","",IF(ISBLANK(INDIRECT("'R10.Documentos no web'!D"&amp;SUM(18,38*24,8))),"",INDIRECT("'R10.Documentos no web'!D"&amp;SUM(18,38*24,8))))</f>
        <v/>
      </c>
      <c r="AD68" s="99" t="str" cm="1">
        <f t="array" aca="1" ref="AD68" ca="1">IF($B68="","",IF(ISBLANK(INDIRECT("'R10.Documentos no web'!D"&amp;SUM(18,38*25,8))),"",INDIRECT("'R10.Documentos no web'!D"&amp;SUM(18,38*25,8))))</f>
        <v/>
      </c>
      <c r="AE68" s="99" t="str" cm="1">
        <f t="array" aca="1" ref="AE68" ca="1">IF($B68="","",IF(ISBLANK(INDIRECT("'R10.Documentos no web'!D"&amp;SUM(18,38*26,8))),"",INDIRECT("'R10.Documentos no web'!D"&amp;SUM(18,38*26,8))))</f>
        <v/>
      </c>
      <c r="AF68" s="99" t="str" cm="1">
        <f t="array" aca="1" ref="AF68" ca="1">IF($B68="","",IF(ISBLANK(INDIRECT("'R10.Documentos no web'!D"&amp;SUM(18,38*27,8))),"",INDIRECT("'R10.Documentos no web'!D"&amp;SUM(18,38*27,8))))</f>
        <v/>
      </c>
      <c r="AG68" s="99" t="str" cm="1">
        <f t="array" aca="1" ref="AG68" ca="1">IF($B68="","",IF(ISBLANK(INDIRECT("'R10.Documentos no web'!D"&amp;SUM(18,38*28,8))),"",INDIRECT("'R10.Documentos no web'!D"&amp;SUM(18,38*28,8))))</f>
        <v/>
      </c>
      <c r="AH68" s="99" t="str" cm="1">
        <f t="array" aca="1" ref="AH68" ca="1">IF($B68="","",IF(ISBLANK(INDIRECT("'R10.Documentos no web'!D"&amp;SUM(18,38*29,8))),"",INDIRECT("'R10.Documentos no web'!D"&amp;SUM(18,38*29,8))))</f>
        <v/>
      </c>
      <c r="AI68" s="99" t="str" cm="1">
        <f t="array" aca="1" ref="AI68" ca="1">IF($B68="","",IF(ISBLANK(INDIRECT("'R10.Documentos no web'!D"&amp;SUM(18,38*30,8))),"",INDIRECT("'R10.Documentos no web'!D"&amp;SUM(18,38*30,8))))</f>
        <v/>
      </c>
      <c r="AJ68" s="99" t="str" cm="1">
        <f t="array" aca="1" ref="AJ68" ca="1">IF($B68="","",IF(ISBLANK(INDIRECT("'R10.Documentos no web'!D"&amp;SUM(18,38*31,8))),"",INDIRECT("'R10.Documentos no web'!D"&amp;SUM(18,38*31,8))))</f>
        <v/>
      </c>
      <c r="AK68" s="99" t="str" cm="1">
        <f t="array" aca="1" ref="AK68" ca="1">IF($B68="","",IF(ISBLANK(INDIRECT("'R10.Documentos no web'!D"&amp;SUM(18,38*32,8))),"",INDIRECT("'R10.Documentos no web'!D"&amp;SUM(18,38*32,8))))</f>
        <v/>
      </c>
      <c r="AL68" s="99" t="str" cm="1">
        <f t="array" aca="1" ref="AL68" ca="1">IF($B68="","",IF(ISBLANK(INDIRECT("'R10.Documentos no web'!D"&amp;SUM(18,38*33,8))),"",INDIRECT("'R10.Documentos no web'!D"&amp;SUM(18,38*33,8))))</f>
        <v/>
      </c>
      <c r="AM68" s="99" t="str" cm="1">
        <f t="array" aca="1" ref="AM68" ca="1">IF($B68="","",IF(ISBLANK(INDIRECT("'R10.Documentos no web'!D"&amp;SUM(18,38*34,8))),"",INDIRECT("'R10.Documentos no web'!D"&amp;SUM(18,38*34,8))))</f>
        <v/>
      </c>
      <c r="AN68" s="99" t="str" cm="1">
        <f t="array" aca="1" ref="AN68" ca="1">IF($B68="","",IF(ISBLANK(INDIRECT("'R10.Documentos no web'!D"&amp;SUM(18,38*35,8))),"",INDIRECT("'R10.Documentos no web'!D"&amp;SUM(18,38*35,8))))</f>
        <v/>
      </c>
      <c r="AO68" s="99" t="str" cm="1">
        <f t="array" aca="1" ref="AO68" ca="1">IF($B68="","",IF(ISBLANK(INDIRECT("'R10.Documentos no web'!D"&amp;SUM(18,38*36,8))),"",INDIRECT("'R10.Documentos no web'!D"&amp;SUM(18,38*36,8))))</f>
        <v/>
      </c>
      <c r="AP68" s="99" t="str" cm="1">
        <f t="array" aca="1" ref="AP68" ca="1">IF($B68="","",IF(ISBLANK(INDIRECT("'R10.Documentos no web'!D"&amp;SUM(18,38*37,8))),"",INDIRECT("'R10.Documentos no web'!D"&amp;SUM(18,38*37,8))))</f>
        <v/>
      </c>
      <c r="AQ68" s="99" t="str" cm="1">
        <f t="array" aca="1" ref="AQ68" ca="1">IF($B68="","",IF(ISBLANK(INDIRECT("'R10.Documentos no web'!D"&amp;SUM(18,38*38,8))),"",INDIRECT("'R10.Documentos no web'!D"&amp;SUM(18,38*38,8))))</f>
        <v/>
      </c>
      <c r="AR68" s="99" t="str" cm="1">
        <f t="array" aca="1" ref="AR68" ca="1">IF($B68="","",IF(ISBLANK(INDIRECT("'R10.Documentos no web'!D"&amp;SUM(18,38*39,8))),"",INDIRECT("'R10.Documentos no web'!D"&amp;SUM(18,38*39,8))))</f>
        <v/>
      </c>
      <c r="AS68" s="99" t="str" cm="1">
        <f t="array" aca="1" ref="AS68" ca="1">IF($B68="","",IF(ISBLANK(INDIRECT("'R10.Documentos no web'!D"&amp;SUM(18,38*40,8))),"",INDIRECT("'R10.Documentos no web'!D"&amp;SUM(18,38*40,8))))</f>
        <v/>
      </c>
      <c r="AT68" s="99" t="str" cm="1">
        <f t="array" aca="1" ref="AT68" ca="1">IF($B68="","",IF(ISBLANK(INDIRECT("'R10.Documentos no web'!D"&amp;SUM(18,38*41,8))),"",INDIRECT("'R10.Documentos no web'!D"&amp;SUM(18,38*41,8))))</f>
        <v/>
      </c>
      <c r="AU68" s="99" t="str" cm="1">
        <f t="array" aca="1" ref="AU68" ca="1">IF($B68="","",IF(ISBLANK(INDIRECT("'R10.Documentos no web'!D"&amp;SUM(18,38*42,8))),"",INDIRECT("'R10.Documentos no web'!D"&amp;SUM(18,38*42,8))))</f>
        <v/>
      </c>
      <c r="AV68" s="99" t="str" cm="1">
        <f t="array" aca="1" ref="AV68" ca="1">IF($B68="","",IF(ISBLANK(INDIRECT("'R10.Documentos no web'!D"&amp;SUM(18,38*43,8))),"",INDIRECT("'R10.Documentos no web'!D"&amp;SUM(18,38*43,8))))</f>
        <v/>
      </c>
      <c r="AW68" s="99" t="str" cm="1">
        <f t="array" aca="1" ref="AW68" ca="1">IF($B68="","",IF(ISBLANK(INDIRECT("'R10.Documentos no web'!D"&amp;SUM(18,38*44,8))),"",INDIRECT("'R10.Documentos no web'!D"&amp;SUM(18,38*44,8))))</f>
        <v/>
      </c>
    </row>
    <row r="69" spans="2:49" ht="20.25" customHeight="1">
      <c r="B69" s="181" t="str" cm="1">
        <f t="array" ref="B69">IFERROR(INDEX('03.Muestra'!$B$8:$B$42,SMALL(IF("Documento no web"='03.Muestra'!$D$8:$D$42,ROW('03.Muestra'!$B$8:$B$42)-MIN(ROW('03.Muestra'!$D$8:$D$42))+1,""),ROW()-60)),"")</f>
        <v/>
      </c>
      <c r="C69" s="97" t="str" cm="1">
        <f t="array" ref="C69">IFERROR(INDEX('03.Muestra'!$C$8:$C$42,SMALL(IF("Documento no web"='03.Muestra'!$D$8:$D$42,ROW('03.Muestra'!$C$8:$C$42)-MIN(ROW('03.Muestra'!$D$8:$D$42))+1,""),ROW()-60)),"")</f>
        <v/>
      </c>
      <c r="D69" s="98" t="str" cm="1">
        <f t="array" ref="D69">IFERROR(INDEX('03.Muestra'!$F$8:$F$42,SMALL(IF("Documento no web"='03.Muestra'!$D$8:$D$42,ROW('03.Muestra'!$F$8:$F$42)-MIN(ROW('03.Muestra'!$D$8:$D$42))+1,""),ROW()-60)),"")</f>
        <v/>
      </c>
      <c r="E69" s="99" t="str" cm="1">
        <f t="array" aca="1" ref="E69" ca="1">IF($B69="","",IF(ISBLANK(INDIRECT("'R10.Documentos no web'!D"&amp;SUM(18,38*0,9))),"",INDIRECT("'R10.Documentos no web'!D"&amp;SUM(18,38*0,9))))</f>
        <v/>
      </c>
      <c r="F69" s="99" t="str" cm="1">
        <f t="array" aca="1" ref="F69" ca="1">IF($B69="","",IF(ISBLANK(INDIRECT("'R10.Documentos no web'!D"&amp;SUM(18,38*1,9))),"",INDIRECT("'R10.Documentos no web'!D"&amp;SUM(18,38*1,9))))</f>
        <v/>
      </c>
      <c r="G69" s="99" t="str" cm="1">
        <f t="array" aca="1" ref="G69" ca="1">IF($B69="","",IF(ISBLANK(INDIRECT("'R10.Documentos no web'!D"&amp;SUM(18,38*2,9))),"",INDIRECT("'R10.Documentos no web'!D"&amp;SUM(18,38*2,9))))</f>
        <v/>
      </c>
      <c r="H69" s="99" t="str" cm="1">
        <f t="array" aca="1" ref="H69" ca="1">IF($B69="","",IF(ISBLANK(INDIRECT("'R10.Documentos no web'!D"&amp;SUM(18,38*3,9))),"",INDIRECT("'R10.Documentos no web'!D"&amp;SUM(18,38*3,9))))</f>
        <v/>
      </c>
      <c r="I69" s="99" t="str" cm="1">
        <f t="array" aca="1" ref="I69" ca="1">IF($B69="","",IF(ISBLANK(INDIRECT("'R10.Documentos no web'!D"&amp;SUM(18,38*4,9))),"",INDIRECT("'R10.Documentos no web'!D"&amp;SUM(18,38*4,9))))</f>
        <v/>
      </c>
      <c r="J69" s="99" t="str" cm="1">
        <f t="array" aca="1" ref="J69" ca="1">IF($B69="","",IF(ISBLANK(INDIRECT("'R10.Documentos no web'!D"&amp;SUM(18,38*5,9))),"",INDIRECT("'R10.Documentos no web'!D"&amp;SUM(18,38*5,9))))</f>
        <v/>
      </c>
      <c r="K69" s="99" t="str" cm="1">
        <f t="array" aca="1" ref="K69" ca="1">IF($B69="","",IF(ISBLANK(INDIRECT("'R10.Documentos no web'!D"&amp;SUM(18,38*6,9))),"",INDIRECT("'R10.Documentos no web'!D"&amp;SUM(18,38*6,9))))</f>
        <v/>
      </c>
      <c r="L69" s="99" t="str" cm="1">
        <f t="array" aca="1" ref="L69" ca="1">IF($B69="","",IF(ISBLANK(INDIRECT("'R10.Documentos no web'!D"&amp;SUM(18,38*7,9))),"",INDIRECT("'R10.Documentos no web'!D"&amp;SUM(18,38*7,9))))</f>
        <v/>
      </c>
      <c r="M69" s="99" t="str" cm="1">
        <f t="array" aca="1" ref="M69" ca="1">IF($B69="","",IF(ISBLANK(INDIRECT("'R10.Documentos no web'!D"&amp;SUM(18,38*8,9))),"",INDIRECT("'R10.Documentos no web'!D"&amp;SUM(18,38*8,9))))</f>
        <v/>
      </c>
      <c r="N69" s="99" t="str" cm="1">
        <f t="array" aca="1" ref="N69" ca="1">IF($B69="","",IF(ISBLANK(INDIRECT("'R10.Documentos no web'!D"&amp;SUM(18,38*9,9))),"",INDIRECT("'R10.Documentos no web'!D"&amp;SUM(18,38*9,9))))</f>
        <v/>
      </c>
      <c r="O69" s="99" t="str" cm="1">
        <f t="array" aca="1" ref="O69" ca="1">IF($B69="","",IF(ISBLANK(INDIRECT("'R10.Documentos no web'!D"&amp;SUM(18,38*10,9))),"",INDIRECT("'R10.Documentos no web'!D"&amp;SUM(18,38*10,9))))</f>
        <v/>
      </c>
      <c r="P69" s="99" t="str" cm="1">
        <f t="array" aca="1" ref="P69" ca="1">IF($B69="","",IF(ISBLANK(INDIRECT("'R10.Documentos no web'!D"&amp;SUM(18,38*11,9))),"",INDIRECT("'R10.Documentos no web'!D"&amp;SUM(18,38*11,9))))</f>
        <v/>
      </c>
      <c r="Q69" s="99" t="str" cm="1">
        <f t="array" aca="1" ref="Q69" ca="1">IF($B69="","",IF(ISBLANK(INDIRECT("'R10.Documentos no web'!D"&amp;SUM(18,38*12,9))),"",INDIRECT("'R10.Documentos no web'!D"&amp;SUM(18,38*12,9))))</f>
        <v/>
      </c>
      <c r="R69" s="99" t="str" cm="1">
        <f t="array" aca="1" ref="R69" ca="1">IF($B69="","",IF(ISBLANK(INDIRECT("'R10.Documentos no web'!D"&amp;SUM(18,38*13,9))),"",INDIRECT("'R10.Documentos no web'!D"&amp;SUM(18,38*13,9))))</f>
        <v/>
      </c>
      <c r="S69" s="99" t="str" cm="1">
        <f t="array" aca="1" ref="S69" ca="1">IF($B69="","",IF(ISBLANK(INDIRECT("'R10.Documentos no web'!D"&amp;SUM(18,38*14,9))),"",INDIRECT("'R10.Documentos no web'!D"&amp;SUM(18,38*14,9))))</f>
        <v/>
      </c>
      <c r="T69" s="99" t="str" cm="1">
        <f t="array" aca="1" ref="T69" ca="1">IF($B69="","",IF(ISBLANK(INDIRECT("'R10.Documentos no web'!D"&amp;SUM(18,38*15,9))),"",INDIRECT("'R10.Documentos no web'!D"&amp;SUM(18,38*15,9))))</f>
        <v/>
      </c>
      <c r="U69" s="99" t="str" cm="1">
        <f t="array" aca="1" ref="U69" ca="1">IF($B69="","",IF(ISBLANK(INDIRECT("'R10.Documentos no web'!D"&amp;SUM(18,38*16,9))),"",INDIRECT("'R10.Documentos no web'!D"&amp;SUM(18,38*16,9))))</f>
        <v/>
      </c>
      <c r="V69" s="99" t="str" cm="1">
        <f t="array" aca="1" ref="V69" ca="1">IF($B69="","",IF(ISBLANK(INDIRECT("'R10.Documentos no web'!D"&amp;SUM(18,38*17,9))),"",INDIRECT("'R10.Documentos no web'!D"&amp;SUM(18,38*17,9))))</f>
        <v/>
      </c>
      <c r="W69" s="99" t="str" cm="1">
        <f t="array" aca="1" ref="W69" ca="1">IF($B69="","",IF(ISBLANK(INDIRECT("'R10.Documentos no web'!D"&amp;SUM(18,38*18,9))),"",INDIRECT("'R10.Documentos no web'!D"&amp;SUM(18,38*18,9))))</f>
        <v/>
      </c>
      <c r="X69" s="99" t="str" cm="1">
        <f t="array" aca="1" ref="X69" ca="1">IF($B69="","",IF(ISBLANK(INDIRECT("'R10.Documentos no web'!D"&amp;SUM(18,38*19,9))),"",INDIRECT("'R10.Documentos no web'!D"&amp;SUM(18,38*19,9))))</f>
        <v/>
      </c>
      <c r="Y69" s="99" t="str" cm="1">
        <f t="array" aca="1" ref="Y69" ca="1">IF($B69="","",IF(ISBLANK(INDIRECT("'R10.Documentos no web'!D"&amp;SUM(18,38*20,9))),"",INDIRECT("'R10.Documentos no web'!D"&amp;SUM(18,38*20,9))))</f>
        <v/>
      </c>
      <c r="Z69" s="99" t="str" cm="1">
        <f t="array" aca="1" ref="Z69" ca="1">IF($B69="","",IF(ISBLANK(INDIRECT("'R10.Documentos no web'!D"&amp;SUM(18,38*21,9))),"",INDIRECT("'R10.Documentos no web'!D"&amp;SUM(18,38*21,9))))</f>
        <v/>
      </c>
      <c r="AA69" s="99" t="str" cm="1">
        <f t="array" aca="1" ref="AA69" ca="1">IF($B69="","",IF(ISBLANK(INDIRECT("'R10.Documentos no web'!D"&amp;SUM(18,38*22,9))),"",INDIRECT("'R10.Documentos no web'!D"&amp;SUM(18,38*22,9))))</f>
        <v/>
      </c>
      <c r="AB69" s="99" t="str" cm="1">
        <f t="array" aca="1" ref="AB69" ca="1">IF($B69="","",IF(ISBLANK(INDIRECT("'R10.Documentos no web'!D"&amp;SUM(18,38*23,9))),"",INDIRECT("'R10.Documentos no web'!D"&amp;SUM(18,38*23,9))))</f>
        <v/>
      </c>
      <c r="AC69" s="99" t="str" cm="1">
        <f t="array" aca="1" ref="AC69" ca="1">IF($B69="","",IF(ISBLANK(INDIRECT("'R10.Documentos no web'!D"&amp;SUM(18,38*24,9))),"",INDIRECT("'R10.Documentos no web'!D"&amp;SUM(18,38*24,9))))</f>
        <v/>
      </c>
      <c r="AD69" s="99" t="str" cm="1">
        <f t="array" aca="1" ref="AD69" ca="1">IF($B69="","",IF(ISBLANK(INDIRECT("'R10.Documentos no web'!D"&amp;SUM(18,38*25,9))),"",INDIRECT("'R10.Documentos no web'!D"&amp;SUM(18,38*25,9))))</f>
        <v/>
      </c>
      <c r="AE69" s="99" t="str" cm="1">
        <f t="array" aca="1" ref="AE69" ca="1">IF($B69="","",IF(ISBLANK(INDIRECT("'R10.Documentos no web'!D"&amp;SUM(18,38*26,9))),"",INDIRECT("'R10.Documentos no web'!D"&amp;SUM(18,38*26,9))))</f>
        <v/>
      </c>
      <c r="AF69" s="99" t="str" cm="1">
        <f t="array" aca="1" ref="AF69" ca="1">IF($B69="","",IF(ISBLANK(INDIRECT("'R10.Documentos no web'!D"&amp;SUM(18,38*27,9))),"",INDIRECT("'R10.Documentos no web'!D"&amp;SUM(18,38*27,9))))</f>
        <v/>
      </c>
      <c r="AG69" s="99" t="str" cm="1">
        <f t="array" aca="1" ref="AG69" ca="1">IF($B69="","",IF(ISBLANK(INDIRECT("'R10.Documentos no web'!D"&amp;SUM(18,38*28,9))),"",INDIRECT("'R10.Documentos no web'!D"&amp;SUM(18,38*28,9))))</f>
        <v/>
      </c>
      <c r="AH69" s="99" t="str" cm="1">
        <f t="array" aca="1" ref="AH69" ca="1">IF($B69="","",IF(ISBLANK(INDIRECT("'R10.Documentos no web'!D"&amp;SUM(18,38*29,9))),"",INDIRECT("'R10.Documentos no web'!D"&amp;SUM(18,38*29,9))))</f>
        <v/>
      </c>
      <c r="AI69" s="99" t="str" cm="1">
        <f t="array" aca="1" ref="AI69" ca="1">IF($B69="","",IF(ISBLANK(INDIRECT("'R10.Documentos no web'!D"&amp;SUM(18,38*30,9))),"",INDIRECT("'R10.Documentos no web'!D"&amp;SUM(18,38*30,9))))</f>
        <v/>
      </c>
      <c r="AJ69" s="99" t="str" cm="1">
        <f t="array" aca="1" ref="AJ69" ca="1">IF($B69="","",IF(ISBLANK(INDIRECT("'R10.Documentos no web'!D"&amp;SUM(18,38*31,9))),"",INDIRECT("'R10.Documentos no web'!D"&amp;SUM(18,38*31,9))))</f>
        <v/>
      </c>
      <c r="AK69" s="99" t="str" cm="1">
        <f t="array" aca="1" ref="AK69" ca="1">IF($B69="","",IF(ISBLANK(INDIRECT("'R10.Documentos no web'!D"&amp;SUM(18,38*32,9))),"",INDIRECT("'R10.Documentos no web'!D"&amp;SUM(18,38*32,9))))</f>
        <v/>
      </c>
      <c r="AL69" s="99" t="str" cm="1">
        <f t="array" aca="1" ref="AL69" ca="1">IF($B69="","",IF(ISBLANK(INDIRECT("'R10.Documentos no web'!D"&amp;SUM(18,38*33,9))),"",INDIRECT("'R10.Documentos no web'!D"&amp;SUM(18,38*33,9))))</f>
        <v/>
      </c>
      <c r="AM69" s="99" t="str" cm="1">
        <f t="array" aca="1" ref="AM69" ca="1">IF($B69="","",IF(ISBLANK(INDIRECT("'R10.Documentos no web'!D"&amp;SUM(18,38*34,9))),"",INDIRECT("'R10.Documentos no web'!D"&amp;SUM(18,38*34,9))))</f>
        <v/>
      </c>
      <c r="AN69" s="99" t="str" cm="1">
        <f t="array" aca="1" ref="AN69" ca="1">IF($B69="","",IF(ISBLANK(INDIRECT("'R10.Documentos no web'!D"&amp;SUM(18,38*35,9))),"",INDIRECT("'R10.Documentos no web'!D"&amp;SUM(18,38*35,9))))</f>
        <v/>
      </c>
      <c r="AO69" s="99" t="str" cm="1">
        <f t="array" aca="1" ref="AO69" ca="1">IF($B69="","",IF(ISBLANK(INDIRECT("'R10.Documentos no web'!D"&amp;SUM(18,38*36,9))),"",INDIRECT("'R10.Documentos no web'!D"&amp;SUM(18,38*36,9))))</f>
        <v/>
      </c>
      <c r="AP69" s="99" t="str" cm="1">
        <f t="array" aca="1" ref="AP69" ca="1">IF($B69="","",IF(ISBLANK(INDIRECT("'R10.Documentos no web'!D"&amp;SUM(18,38*37,9))),"",INDIRECT("'R10.Documentos no web'!D"&amp;SUM(18,38*37,9))))</f>
        <v/>
      </c>
      <c r="AQ69" s="99" t="str" cm="1">
        <f t="array" aca="1" ref="AQ69" ca="1">IF($B69="","",IF(ISBLANK(INDIRECT("'R10.Documentos no web'!D"&amp;SUM(18,38*38,9))),"",INDIRECT("'R10.Documentos no web'!D"&amp;SUM(18,38*38,9))))</f>
        <v/>
      </c>
      <c r="AR69" s="99" t="str" cm="1">
        <f t="array" aca="1" ref="AR69" ca="1">IF($B69="","",IF(ISBLANK(INDIRECT("'R10.Documentos no web'!D"&amp;SUM(18,38*39,9))),"",INDIRECT("'R10.Documentos no web'!D"&amp;SUM(18,38*39,9))))</f>
        <v/>
      </c>
      <c r="AS69" s="99" t="str" cm="1">
        <f t="array" aca="1" ref="AS69" ca="1">IF($B69="","",IF(ISBLANK(INDIRECT("'R10.Documentos no web'!D"&amp;SUM(18,38*40,9))),"",INDIRECT("'R10.Documentos no web'!D"&amp;SUM(18,38*40,9))))</f>
        <v/>
      </c>
      <c r="AT69" s="99" t="str" cm="1">
        <f t="array" aca="1" ref="AT69" ca="1">IF($B69="","",IF(ISBLANK(INDIRECT("'R10.Documentos no web'!D"&amp;SUM(18,38*41,9))),"",INDIRECT("'R10.Documentos no web'!D"&amp;SUM(18,38*41,9))))</f>
        <v/>
      </c>
      <c r="AU69" s="99" t="str" cm="1">
        <f t="array" aca="1" ref="AU69" ca="1">IF($B69="","",IF(ISBLANK(INDIRECT("'R10.Documentos no web'!D"&amp;SUM(18,38*42,9))),"",INDIRECT("'R10.Documentos no web'!D"&amp;SUM(18,38*42,9))))</f>
        <v/>
      </c>
      <c r="AV69" s="99" t="str" cm="1">
        <f t="array" aca="1" ref="AV69" ca="1">IF($B69="","",IF(ISBLANK(INDIRECT("'R10.Documentos no web'!D"&amp;SUM(18,38*43,9))),"",INDIRECT("'R10.Documentos no web'!D"&amp;SUM(18,38*43,9))))</f>
        <v/>
      </c>
      <c r="AW69" s="99" t="str" cm="1">
        <f t="array" aca="1" ref="AW69" ca="1">IF($B69="","",IF(ISBLANK(INDIRECT("'R10.Documentos no web'!D"&amp;SUM(18,38*44,9))),"",INDIRECT("'R10.Documentos no web'!D"&amp;SUM(18,38*44,9))))</f>
        <v/>
      </c>
    </row>
    <row r="70" spans="2:49" ht="20.25" customHeight="1">
      <c r="B70" s="181" t="str" cm="1">
        <f t="array" ref="B70">IFERROR(INDEX('03.Muestra'!$B$8:$B$42,SMALL(IF("Documento no web"='03.Muestra'!$D$8:$D$42,ROW('03.Muestra'!$B$8:$B$42)-MIN(ROW('03.Muestra'!$D$8:$D$42))+1,""),ROW()-60)),"")</f>
        <v/>
      </c>
      <c r="C70" s="97" t="str" cm="1">
        <f t="array" ref="C70">IFERROR(INDEX('03.Muestra'!$C$8:$C$42,SMALL(IF("Documento no web"='03.Muestra'!$D$8:$D$42,ROW('03.Muestra'!$C$8:$C$42)-MIN(ROW('03.Muestra'!$D$8:$D$42))+1,""),ROW()-60)),"")</f>
        <v/>
      </c>
      <c r="D70" s="98" t="str" cm="1">
        <f t="array" ref="D70">IFERROR(INDEX('03.Muestra'!$F$8:$F$42,SMALL(IF("Documento no web"='03.Muestra'!$D$8:$D$42,ROW('03.Muestra'!$F$8:$F$42)-MIN(ROW('03.Muestra'!$D$8:$D$42))+1,""),ROW()-60)),"")</f>
        <v/>
      </c>
      <c r="E70" s="99" t="str" cm="1">
        <f t="array" aca="1" ref="E70" ca="1">IF($B70="","",IF(ISBLANK(INDIRECT("'R10.Documentos no web'!D"&amp;SUM(18,38*0,10))),"",INDIRECT("'R10.Documentos no web'!D"&amp;SUM(18,38*0,10))))</f>
        <v/>
      </c>
      <c r="F70" s="99" t="str" cm="1">
        <f t="array" aca="1" ref="F70" ca="1">IF($B70="","",IF(ISBLANK(INDIRECT("'R10.Documentos no web'!D"&amp;SUM(18,38*1,10))),"",INDIRECT("'R10.Documentos no web'!D"&amp;SUM(18,38*1,10))))</f>
        <v/>
      </c>
      <c r="G70" s="99" t="str" cm="1">
        <f t="array" aca="1" ref="G70" ca="1">IF($B70="","",IF(ISBLANK(INDIRECT("'R10.Documentos no web'!D"&amp;SUM(18,38*2,10))),"",INDIRECT("'R10.Documentos no web'!D"&amp;SUM(18,38*2,10))))</f>
        <v/>
      </c>
      <c r="H70" s="99" t="str" cm="1">
        <f t="array" aca="1" ref="H70" ca="1">IF($B70="","",IF(ISBLANK(INDIRECT("'R10.Documentos no web'!D"&amp;SUM(18,38*3,10))),"",INDIRECT("'R10.Documentos no web'!D"&amp;SUM(18,38*3,10))))</f>
        <v/>
      </c>
      <c r="I70" s="99" t="str" cm="1">
        <f t="array" aca="1" ref="I70" ca="1">IF($B70="","",IF(ISBLANK(INDIRECT("'R10.Documentos no web'!D"&amp;SUM(18,38*4,10))),"",INDIRECT("'R10.Documentos no web'!D"&amp;SUM(18,38*4,10))))</f>
        <v/>
      </c>
      <c r="J70" s="99" t="str" cm="1">
        <f t="array" aca="1" ref="J70" ca="1">IF($B70="","",IF(ISBLANK(INDIRECT("'R10.Documentos no web'!D"&amp;SUM(18,38*5,10))),"",INDIRECT("'R10.Documentos no web'!D"&amp;SUM(18,38*5,10))))</f>
        <v/>
      </c>
      <c r="K70" s="99" t="str" cm="1">
        <f t="array" aca="1" ref="K70" ca="1">IF($B70="","",IF(ISBLANK(INDIRECT("'R10.Documentos no web'!D"&amp;SUM(18,38*6,10))),"",INDIRECT("'R10.Documentos no web'!D"&amp;SUM(18,38*6,10))))</f>
        <v/>
      </c>
      <c r="L70" s="99" t="str" cm="1">
        <f t="array" aca="1" ref="L70" ca="1">IF($B70="","",IF(ISBLANK(INDIRECT("'R10.Documentos no web'!D"&amp;SUM(18,38*7,10))),"",INDIRECT("'R10.Documentos no web'!D"&amp;SUM(18,38*7,10))))</f>
        <v/>
      </c>
      <c r="M70" s="99" t="str" cm="1">
        <f t="array" aca="1" ref="M70" ca="1">IF($B70="","",IF(ISBLANK(INDIRECT("'R10.Documentos no web'!D"&amp;SUM(18,38*8,10))),"",INDIRECT("'R10.Documentos no web'!D"&amp;SUM(18,38*8,10))))</f>
        <v/>
      </c>
      <c r="N70" s="99" t="str" cm="1">
        <f t="array" aca="1" ref="N70" ca="1">IF($B70="","",IF(ISBLANK(INDIRECT("'R10.Documentos no web'!D"&amp;SUM(18,38*9,10))),"",INDIRECT("'R10.Documentos no web'!D"&amp;SUM(18,38*9,10))))</f>
        <v/>
      </c>
      <c r="O70" s="99" t="str" cm="1">
        <f t="array" aca="1" ref="O70" ca="1">IF($B70="","",IF(ISBLANK(INDIRECT("'R10.Documentos no web'!D"&amp;SUM(18,38*10,10))),"",INDIRECT("'R10.Documentos no web'!D"&amp;SUM(18,38*10,10))))</f>
        <v/>
      </c>
      <c r="P70" s="99" t="str" cm="1">
        <f t="array" aca="1" ref="P70" ca="1">IF($B70="","",IF(ISBLANK(INDIRECT("'R10.Documentos no web'!D"&amp;SUM(18,38*11,10))),"",INDIRECT("'R10.Documentos no web'!D"&amp;SUM(18,38*11,10))))</f>
        <v/>
      </c>
      <c r="Q70" s="99" t="str" cm="1">
        <f t="array" aca="1" ref="Q70" ca="1">IF($B70="","",IF(ISBLANK(INDIRECT("'R10.Documentos no web'!D"&amp;SUM(18,38*12,10))),"",INDIRECT("'R10.Documentos no web'!D"&amp;SUM(18,38*12,10))))</f>
        <v/>
      </c>
      <c r="R70" s="99" t="str" cm="1">
        <f t="array" aca="1" ref="R70" ca="1">IF($B70="","",IF(ISBLANK(INDIRECT("'R10.Documentos no web'!D"&amp;SUM(18,38*13,10))),"",INDIRECT("'R10.Documentos no web'!D"&amp;SUM(18,38*13,10))))</f>
        <v/>
      </c>
      <c r="S70" s="99" t="str" cm="1">
        <f t="array" aca="1" ref="S70" ca="1">IF($B70="","",IF(ISBLANK(INDIRECT("'R10.Documentos no web'!D"&amp;SUM(18,38*14,10))),"",INDIRECT("'R10.Documentos no web'!D"&amp;SUM(18,38*14,10))))</f>
        <v/>
      </c>
      <c r="T70" s="99" t="str" cm="1">
        <f t="array" aca="1" ref="T70" ca="1">IF($B70="","",IF(ISBLANK(INDIRECT("'R10.Documentos no web'!D"&amp;SUM(18,38*15,10))),"",INDIRECT("'R10.Documentos no web'!D"&amp;SUM(18,38*15,10))))</f>
        <v/>
      </c>
      <c r="U70" s="99" t="str" cm="1">
        <f t="array" aca="1" ref="U70" ca="1">IF($B70="","",IF(ISBLANK(INDIRECT("'R10.Documentos no web'!D"&amp;SUM(18,38*16,10))),"",INDIRECT("'R10.Documentos no web'!D"&amp;SUM(18,38*16,10))))</f>
        <v/>
      </c>
      <c r="V70" s="99" t="str" cm="1">
        <f t="array" aca="1" ref="V70" ca="1">IF($B70="","",IF(ISBLANK(INDIRECT("'R10.Documentos no web'!D"&amp;SUM(18,38*17,10))),"",INDIRECT("'R10.Documentos no web'!D"&amp;SUM(18,38*17,10))))</f>
        <v/>
      </c>
      <c r="W70" s="99" t="str" cm="1">
        <f t="array" aca="1" ref="W70" ca="1">IF($B70="","",IF(ISBLANK(INDIRECT("'R10.Documentos no web'!D"&amp;SUM(18,38*18,10))),"",INDIRECT("'R10.Documentos no web'!D"&amp;SUM(18,38*18,10))))</f>
        <v/>
      </c>
      <c r="X70" s="99" t="str" cm="1">
        <f t="array" aca="1" ref="X70" ca="1">IF($B70="","",IF(ISBLANK(INDIRECT("'R10.Documentos no web'!D"&amp;SUM(18,38*19,10))),"",INDIRECT("'R10.Documentos no web'!D"&amp;SUM(18,38*19,10))))</f>
        <v/>
      </c>
      <c r="Y70" s="99" t="str" cm="1">
        <f t="array" aca="1" ref="Y70" ca="1">IF($B70="","",IF(ISBLANK(INDIRECT("'R10.Documentos no web'!D"&amp;SUM(18,38*20,10))),"",INDIRECT("'R10.Documentos no web'!D"&amp;SUM(18,38*20,10))))</f>
        <v/>
      </c>
      <c r="Z70" s="99" t="str" cm="1">
        <f t="array" aca="1" ref="Z70" ca="1">IF($B70="","",IF(ISBLANK(INDIRECT("'R10.Documentos no web'!D"&amp;SUM(18,38*21,10))),"",INDIRECT("'R10.Documentos no web'!D"&amp;SUM(18,38*21,10))))</f>
        <v/>
      </c>
      <c r="AA70" s="99" t="str" cm="1">
        <f t="array" aca="1" ref="AA70" ca="1">IF($B70="","",IF(ISBLANK(INDIRECT("'R10.Documentos no web'!D"&amp;SUM(18,38*22,10))),"",INDIRECT("'R10.Documentos no web'!D"&amp;SUM(18,38*22,10))))</f>
        <v/>
      </c>
      <c r="AB70" s="99" t="str" cm="1">
        <f t="array" aca="1" ref="AB70" ca="1">IF($B70="","",IF(ISBLANK(INDIRECT("'R10.Documentos no web'!D"&amp;SUM(18,38*23,10))),"",INDIRECT("'R10.Documentos no web'!D"&amp;SUM(18,38*23,10))))</f>
        <v/>
      </c>
      <c r="AC70" s="99" t="str" cm="1">
        <f t="array" aca="1" ref="AC70" ca="1">IF($B70="","",IF(ISBLANK(INDIRECT("'R10.Documentos no web'!D"&amp;SUM(18,38*24,10))),"",INDIRECT("'R10.Documentos no web'!D"&amp;SUM(18,38*24,10))))</f>
        <v/>
      </c>
      <c r="AD70" s="99" t="str" cm="1">
        <f t="array" aca="1" ref="AD70" ca="1">IF($B70="","",IF(ISBLANK(INDIRECT("'R10.Documentos no web'!D"&amp;SUM(18,38*25,10))),"",INDIRECT("'R10.Documentos no web'!D"&amp;SUM(18,38*25,10))))</f>
        <v/>
      </c>
      <c r="AE70" s="99" t="str" cm="1">
        <f t="array" aca="1" ref="AE70" ca="1">IF($B70="","",IF(ISBLANK(INDIRECT("'R10.Documentos no web'!D"&amp;SUM(18,38*26,10))),"",INDIRECT("'R10.Documentos no web'!D"&amp;SUM(18,38*26,10))))</f>
        <v/>
      </c>
      <c r="AF70" s="99" t="str" cm="1">
        <f t="array" aca="1" ref="AF70" ca="1">IF($B70="","",IF(ISBLANK(INDIRECT("'R10.Documentos no web'!D"&amp;SUM(18,38*27,10))),"",INDIRECT("'R10.Documentos no web'!D"&amp;SUM(18,38*27,10))))</f>
        <v/>
      </c>
      <c r="AG70" s="99" t="str" cm="1">
        <f t="array" aca="1" ref="AG70" ca="1">IF($B70="","",IF(ISBLANK(INDIRECT("'R10.Documentos no web'!D"&amp;SUM(18,38*28,10))),"",INDIRECT("'R10.Documentos no web'!D"&amp;SUM(18,38*28,10))))</f>
        <v/>
      </c>
      <c r="AH70" s="99" t="str" cm="1">
        <f t="array" aca="1" ref="AH70" ca="1">IF($B70="","",IF(ISBLANK(INDIRECT("'R10.Documentos no web'!D"&amp;SUM(18,38*29,10))),"",INDIRECT("'R10.Documentos no web'!D"&amp;SUM(18,38*29,10))))</f>
        <v/>
      </c>
      <c r="AI70" s="99" t="str" cm="1">
        <f t="array" aca="1" ref="AI70" ca="1">IF($B70="","",IF(ISBLANK(INDIRECT("'R10.Documentos no web'!D"&amp;SUM(18,38*30,10))),"",INDIRECT("'R10.Documentos no web'!D"&amp;SUM(18,38*30,10))))</f>
        <v/>
      </c>
      <c r="AJ70" s="99" t="str" cm="1">
        <f t="array" aca="1" ref="AJ70" ca="1">IF($B70="","",IF(ISBLANK(INDIRECT("'R10.Documentos no web'!D"&amp;SUM(18,38*31,10))),"",INDIRECT("'R10.Documentos no web'!D"&amp;SUM(18,38*31,10))))</f>
        <v/>
      </c>
      <c r="AK70" s="99" t="str" cm="1">
        <f t="array" aca="1" ref="AK70" ca="1">IF($B70="","",IF(ISBLANK(INDIRECT("'R10.Documentos no web'!D"&amp;SUM(18,38*32,10))),"",INDIRECT("'R10.Documentos no web'!D"&amp;SUM(18,38*32,10))))</f>
        <v/>
      </c>
      <c r="AL70" s="99" t="str" cm="1">
        <f t="array" aca="1" ref="AL70" ca="1">IF($B70="","",IF(ISBLANK(INDIRECT("'R10.Documentos no web'!D"&amp;SUM(18,38*33,10))),"",INDIRECT("'R10.Documentos no web'!D"&amp;SUM(18,38*33,10))))</f>
        <v/>
      </c>
      <c r="AM70" s="99" t="str" cm="1">
        <f t="array" aca="1" ref="AM70" ca="1">IF($B70="","",IF(ISBLANK(INDIRECT("'R10.Documentos no web'!D"&amp;SUM(18,38*34,10))),"",INDIRECT("'R10.Documentos no web'!D"&amp;SUM(18,38*34,10))))</f>
        <v/>
      </c>
      <c r="AN70" s="99" t="str" cm="1">
        <f t="array" aca="1" ref="AN70" ca="1">IF($B70="","",IF(ISBLANK(INDIRECT("'R10.Documentos no web'!D"&amp;SUM(18,38*35,10))),"",INDIRECT("'R10.Documentos no web'!D"&amp;SUM(18,38*35,10))))</f>
        <v/>
      </c>
      <c r="AO70" s="99" t="str" cm="1">
        <f t="array" aca="1" ref="AO70" ca="1">IF($B70="","",IF(ISBLANK(INDIRECT("'R10.Documentos no web'!D"&amp;SUM(18,38*36,10))),"",INDIRECT("'R10.Documentos no web'!D"&amp;SUM(18,38*36,10))))</f>
        <v/>
      </c>
      <c r="AP70" s="99" t="str" cm="1">
        <f t="array" aca="1" ref="AP70" ca="1">IF($B70="","",IF(ISBLANK(INDIRECT("'R10.Documentos no web'!D"&amp;SUM(18,38*37,10))),"",INDIRECT("'R10.Documentos no web'!D"&amp;SUM(18,38*37,10))))</f>
        <v/>
      </c>
      <c r="AQ70" s="99" t="str" cm="1">
        <f t="array" aca="1" ref="AQ70" ca="1">IF($B70="","",IF(ISBLANK(INDIRECT("'R10.Documentos no web'!D"&amp;SUM(18,38*38,10))),"",INDIRECT("'R10.Documentos no web'!D"&amp;SUM(18,38*38,10))))</f>
        <v/>
      </c>
      <c r="AR70" s="99" t="str" cm="1">
        <f t="array" aca="1" ref="AR70" ca="1">IF($B70="","",IF(ISBLANK(INDIRECT("'R10.Documentos no web'!D"&amp;SUM(18,38*39,10))),"",INDIRECT("'R10.Documentos no web'!D"&amp;SUM(18,38*39,10))))</f>
        <v/>
      </c>
      <c r="AS70" s="99" t="str" cm="1">
        <f t="array" aca="1" ref="AS70" ca="1">IF($B70="","",IF(ISBLANK(INDIRECT("'R10.Documentos no web'!D"&amp;SUM(18,38*40,10))),"",INDIRECT("'R10.Documentos no web'!D"&amp;SUM(18,38*40,10))))</f>
        <v/>
      </c>
      <c r="AT70" s="99" t="str" cm="1">
        <f t="array" aca="1" ref="AT70" ca="1">IF($B70="","",IF(ISBLANK(INDIRECT("'R10.Documentos no web'!D"&amp;SUM(18,38*41,10))),"",INDIRECT("'R10.Documentos no web'!D"&amp;SUM(18,38*41,10))))</f>
        <v/>
      </c>
      <c r="AU70" s="99" t="str" cm="1">
        <f t="array" aca="1" ref="AU70" ca="1">IF($B70="","",IF(ISBLANK(INDIRECT("'R10.Documentos no web'!D"&amp;SUM(18,38*42,10))),"",INDIRECT("'R10.Documentos no web'!D"&amp;SUM(18,38*42,10))))</f>
        <v/>
      </c>
      <c r="AV70" s="99" t="str" cm="1">
        <f t="array" aca="1" ref="AV70" ca="1">IF($B70="","",IF(ISBLANK(INDIRECT("'R10.Documentos no web'!D"&amp;SUM(18,38*43,10))),"",INDIRECT("'R10.Documentos no web'!D"&amp;SUM(18,38*43,10))))</f>
        <v/>
      </c>
      <c r="AW70" s="99" t="str" cm="1">
        <f t="array" aca="1" ref="AW70" ca="1">IF($B70="","",IF(ISBLANK(INDIRECT("'R10.Documentos no web'!D"&amp;SUM(18,38*44,10))),"",INDIRECT("'R10.Documentos no web'!D"&amp;SUM(18,38*44,10))))</f>
        <v/>
      </c>
    </row>
    <row r="71" spans="2:49" ht="20.25" customHeight="1">
      <c r="B71" s="181" t="str" cm="1">
        <f t="array" ref="B71">IFERROR(INDEX('03.Muestra'!$B$8:$B$42,SMALL(IF("Documento no web"='03.Muestra'!$D$8:$D$42,ROW('03.Muestra'!$B$8:$B$42)-MIN(ROW('03.Muestra'!$D$8:$D$42))+1,""),ROW()-60)),"")</f>
        <v/>
      </c>
      <c r="C71" s="97" t="str" cm="1">
        <f t="array" ref="C71">IFERROR(INDEX('03.Muestra'!$C$8:$C$42,SMALL(IF("Documento no web"='03.Muestra'!$D$8:$D$42,ROW('03.Muestra'!$C$8:$C$42)-MIN(ROW('03.Muestra'!$D$8:$D$42))+1,""),ROW()-60)),"")</f>
        <v/>
      </c>
      <c r="D71" s="98" t="str" cm="1">
        <f t="array" ref="D71">IFERROR(INDEX('03.Muestra'!$F$8:$F$42,SMALL(IF("Documento no web"='03.Muestra'!$D$8:$D$42,ROW('03.Muestra'!$F$8:$F$42)-MIN(ROW('03.Muestra'!$D$8:$D$42))+1,""),ROW()-60)),"")</f>
        <v/>
      </c>
      <c r="E71" s="99" t="str" cm="1">
        <f t="array" aca="1" ref="E71" ca="1">IF($B71="","",IF(ISBLANK(INDIRECT("'R10.Documentos no web'!D"&amp;SUM(18,38*0,11))),"",INDIRECT("'R10.Documentos no web'!D"&amp;SUM(18,38*0,11))))</f>
        <v/>
      </c>
      <c r="F71" s="99" t="str" cm="1">
        <f t="array" aca="1" ref="F71" ca="1">IF($B71="","",IF(ISBLANK(INDIRECT("'R10.Documentos no web'!D"&amp;SUM(18,38*1,11))),"",INDIRECT("'R10.Documentos no web'!D"&amp;SUM(18,38*1,11))))</f>
        <v/>
      </c>
      <c r="G71" s="99" t="str" cm="1">
        <f t="array" aca="1" ref="G71" ca="1">IF($B71="","",IF(ISBLANK(INDIRECT("'R10.Documentos no web'!D"&amp;SUM(18,38*2,11))),"",INDIRECT("'R10.Documentos no web'!D"&amp;SUM(18,38*2,11))))</f>
        <v/>
      </c>
      <c r="H71" s="99" t="str" cm="1">
        <f t="array" aca="1" ref="H71" ca="1">IF($B71="","",IF(ISBLANK(INDIRECT("'R10.Documentos no web'!D"&amp;SUM(18,38*3,11))),"",INDIRECT("'R10.Documentos no web'!D"&amp;SUM(18,38*3,11))))</f>
        <v/>
      </c>
      <c r="I71" s="99" t="str" cm="1">
        <f t="array" aca="1" ref="I71" ca="1">IF($B71="","",IF(ISBLANK(INDIRECT("'R10.Documentos no web'!D"&amp;SUM(18,38*4,11))),"",INDIRECT("'R10.Documentos no web'!D"&amp;SUM(18,38*4,11))))</f>
        <v/>
      </c>
      <c r="J71" s="99" t="str" cm="1">
        <f t="array" aca="1" ref="J71" ca="1">IF($B71="","",IF(ISBLANK(INDIRECT("'R10.Documentos no web'!D"&amp;SUM(18,38*5,11))),"",INDIRECT("'R10.Documentos no web'!D"&amp;SUM(18,38*5,11))))</f>
        <v/>
      </c>
      <c r="K71" s="99" t="str" cm="1">
        <f t="array" aca="1" ref="K71" ca="1">IF($B71="","",IF(ISBLANK(INDIRECT("'R10.Documentos no web'!D"&amp;SUM(18,38*6,11))),"",INDIRECT("'R10.Documentos no web'!D"&amp;SUM(18,38*6,11))))</f>
        <v/>
      </c>
      <c r="L71" s="99" t="str" cm="1">
        <f t="array" aca="1" ref="L71" ca="1">IF($B71="","",IF(ISBLANK(INDIRECT("'R10.Documentos no web'!D"&amp;SUM(18,38*7,11))),"",INDIRECT("'R10.Documentos no web'!D"&amp;SUM(18,38*7,11))))</f>
        <v/>
      </c>
      <c r="M71" s="99" t="str" cm="1">
        <f t="array" aca="1" ref="M71" ca="1">IF($B71="","",IF(ISBLANK(INDIRECT("'R10.Documentos no web'!D"&amp;SUM(18,38*8,11))),"",INDIRECT("'R10.Documentos no web'!D"&amp;SUM(18,38*8,11))))</f>
        <v/>
      </c>
      <c r="N71" s="99" t="str" cm="1">
        <f t="array" aca="1" ref="N71" ca="1">IF($B71="","",IF(ISBLANK(INDIRECT("'R10.Documentos no web'!D"&amp;SUM(18,38*9,11))),"",INDIRECT("'R10.Documentos no web'!D"&amp;SUM(18,38*9,11))))</f>
        <v/>
      </c>
      <c r="O71" s="99" t="str" cm="1">
        <f t="array" aca="1" ref="O71" ca="1">IF($B71="","",IF(ISBLANK(INDIRECT("'R10.Documentos no web'!D"&amp;SUM(18,38*10,11))),"",INDIRECT("'R10.Documentos no web'!D"&amp;SUM(18,38*10,11))))</f>
        <v/>
      </c>
      <c r="P71" s="99" t="str" cm="1">
        <f t="array" aca="1" ref="P71" ca="1">IF($B71="","",IF(ISBLANK(INDIRECT("'R10.Documentos no web'!D"&amp;SUM(18,38*11,11))),"",INDIRECT("'R10.Documentos no web'!D"&amp;SUM(18,38*11,11))))</f>
        <v/>
      </c>
      <c r="Q71" s="99" t="str" cm="1">
        <f t="array" aca="1" ref="Q71" ca="1">IF($B71="","",IF(ISBLANK(INDIRECT("'R10.Documentos no web'!D"&amp;SUM(18,38*12,11))),"",INDIRECT("'R10.Documentos no web'!D"&amp;SUM(18,38*12,11))))</f>
        <v/>
      </c>
      <c r="R71" s="99" t="str" cm="1">
        <f t="array" aca="1" ref="R71" ca="1">IF($B71="","",IF(ISBLANK(INDIRECT("'R10.Documentos no web'!D"&amp;SUM(18,38*13,11))),"",INDIRECT("'R10.Documentos no web'!D"&amp;SUM(18,38*13,11))))</f>
        <v/>
      </c>
      <c r="S71" s="99" t="str" cm="1">
        <f t="array" aca="1" ref="S71" ca="1">IF($B71="","",IF(ISBLANK(INDIRECT("'R10.Documentos no web'!D"&amp;SUM(18,38*14,11))),"",INDIRECT("'R10.Documentos no web'!D"&amp;SUM(18,38*14,11))))</f>
        <v/>
      </c>
      <c r="T71" s="99" t="str" cm="1">
        <f t="array" aca="1" ref="T71" ca="1">IF($B71="","",IF(ISBLANK(INDIRECT("'R10.Documentos no web'!D"&amp;SUM(18,38*15,11))),"",INDIRECT("'R10.Documentos no web'!D"&amp;SUM(18,38*15,11))))</f>
        <v/>
      </c>
      <c r="U71" s="99" t="str" cm="1">
        <f t="array" aca="1" ref="U71" ca="1">IF($B71="","",IF(ISBLANK(INDIRECT("'R10.Documentos no web'!D"&amp;SUM(18,38*16,11))),"",INDIRECT("'R10.Documentos no web'!D"&amp;SUM(18,38*16,11))))</f>
        <v/>
      </c>
      <c r="V71" s="99" t="str" cm="1">
        <f t="array" aca="1" ref="V71" ca="1">IF($B71="","",IF(ISBLANK(INDIRECT("'R10.Documentos no web'!D"&amp;SUM(18,38*17,11))),"",INDIRECT("'R10.Documentos no web'!D"&amp;SUM(18,38*17,11))))</f>
        <v/>
      </c>
      <c r="W71" s="99" t="str" cm="1">
        <f t="array" aca="1" ref="W71" ca="1">IF($B71="","",IF(ISBLANK(INDIRECT("'R10.Documentos no web'!D"&amp;SUM(18,38*18,11))),"",INDIRECT("'R10.Documentos no web'!D"&amp;SUM(18,38*18,11))))</f>
        <v/>
      </c>
      <c r="X71" s="99" t="str" cm="1">
        <f t="array" aca="1" ref="X71" ca="1">IF($B71="","",IF(ISBLANK(INDIRECT("'R10.Documentos no web'!D"&amp;SUM(18,38*19,11))),"",INDIRECT("'R10.Documentos no web'!D"&amp;SUM(18,38*19,11))))</f>
        <v/>
      </c>
      <c r="Y71" s="99" t="str" cm="1">
        <f t="array" aca="1" ref="Y71" ca="1">IF($B71="","",IF(ISBLANK(INDIRECT("'R10.Documentos no web'!D"&amp;SUM(18,38*20,11))),"",INDIRECT("'R10.Documentos no web'!D"&amp;SUM(18,38*20,11))))</f>
        <v/>
      </c>
      <c r="Z71" s="99" t="str" cm="1">
        <f t="array" aca="1" ref="Z71" ca="1">IF($B71="","",IF(ISBLANK(INDIRECT("'R10.Documentos no web'!D"&amp;SUM(18,38*21,11))),"",INDIRECT("'R10.Documentos no web'!D"&amp;SUM(18,38*21,11))))</f>
        <v/>
      </c>
      <c r="AA71" s="99" t="str" cm="1">
        <f t="array" aca="1" ref="AA71" ca="1">IF($B71="","",IF(ISBLANK(INDIRECT("'R10.Documentos no web'!D"&amp;SUM(18,38*22,11))),"",INDIRECT("'R10.Documentos no web'!D"&amp;SUM(18,38*22,11))))</f>
        <v/>
      </c>
      <c r="AB71" s="99" t="str" cm="1">
        <f t="array" aca="1" ref="AB71" ca="1">IF($B71="","",IF(ISBLANK(INDIRECT("'R10.Documentos no web'!D"&amp;SUM(18,38*23,11))),"",INDIRECT("'R10.Documentos no web'!D"&amp;SUM(18,38*23,11))))</f>
        <v/>
      </c>
      <c r="AC71" s="99" t="str" cm="1">
        <f t="array" aca="1" ref="AC71" ca="1">IF($B71="","",IF(ISBLANK(INDIRECT("'R10.Documentos no web'!D"&amp;SUM(18,38*24,11))),"",INDIRECT("'R10.Documentos no web'!D"&amp;SUM(18,38*24,11))))</f>
        <v/>
      </c>
      <c r="AD71" s="99" t="str" cm="1">
        <f t="array" aca="1" ref="AD71" ca="1">IF($B71="","",IF(ISBLANK(INDIRECT("'R10.Documentos no web'!D"&amp;SUM(18,38*25,11))),"",INDIRECT("'R10.Documentos no web'!D"&amp;SUM(18,38*25,11))))</f>
        <v/>
      </c>
      <c r="AE71" s="99" t="str" cm="1">
        <f t="array" aca="1" ref="AE71" ca="1">IF($B71="","",IF(ISBLANK(INDIRECT("'R10.Documentos no web'!D"&amp;SUM(18,38*26,11))),"",INDIRECT("'R10.Documentos no web'!D"&amp;SUM(18,38*26,11))))</f>
        <v/>
      </c>
      <c r="AF71" s="99" t="str" cm="1">
        <f t="array" aca="1" ref="AF71" ca="1">IF($B71="","",IF(ISBLANK(INDIRECT("'R10.Documentos no web'!D"&amp;SUM(18,38*27,11))),"",INDIRECT("'R10.Documentos no web'!D"&amp;SUM(18,38*27,11))))</f>
        <v/>
      </c>
      <c r="AG71" s="99" t="str" cm="1">
        <f t="array" aca="1" ref="AG71" ca="1">IF($B71="","",IF(ISBLANK(INDIRECT("'R10.Documentos no web'!D"&amp;SUM(18,38*28,11))),"",INDIRECT("'R10.Documentos no web'!D"&amp;SUM(18,38*28,11))))</f>
        <v/>
      </c>
      <c r="AH71" s="99" t="str" cm="1">
        <f t="array" aca="1" ref="AH71" ca="1">IF($B71="","",IF(ISBLANK(INDIRECT("'R10.Documentos no web'!D"&amp;SUM(18,38*29,11))),"",INDIRECT("'R10.Documentos no web'!D"&amp;SUM(18,38*29,11))))</f>
        <v/>
      </c>
      <c r="AI71" s="99" t="str" cm="1">
        <f t="array" aca="1" ref="AI71" ca="1">IF($B71="","",IF(ISBLANK(INDIRECT("'R10.Documentos no web'!D"&amp;SUM(18,38*30,11))),"",INDIRECT("'R10.Documentos no web'!D"&amp;SUM(18,38*30,11))))</f>
        <v/>
      </c>
      <c r="AJ71" s="99" t="str" cm="1">
        <f t="array" aca="1" ref="AJ71" ca="1">IF($B71="","",IF(ISBLANK(INDIRECT("'R10.Documentos no web'!D"&amp;SUM(18,38*31,11))),"",INDIRECT("'R10.Documentos no web'!D"&amp;SUM(18,38*31,11))))</f>
        <v/>
      </c>
      <c r="AK71" s="99" t="str" cm="1">
        <f t="array" aca="1" ref="AK71" ca="1">IF($B71="","",IF(ISBLANK(INDIRECT("'R10.Documentos no web'!D"&amp;SUM(18,38*32,11))),"",INDIRECT("'R10.Documentos no web'!D"&amp;SUM(18,38*32,11))))</f>
        <v/>
      </c>
      <c r="AL71" s="99" t="str" cm="1">
        <f t="array" aca="1" ref="AL71" ca="1">IF($B71="","",IF(ISBLANK(INDIRECT("'R10.Documentos no web'!D"&amp;SUM(18,38*33,11))),"",INDIRECT("'R10.Documentos no web'!D"&amp;SUM(18,38*33,11))))</f>
        <v/>
      </c>
      <c r="AM71" s="99" t="str" cm="1">
        <f t="array" aca="1" ref="AM71" ca="1">IF($B71="","",IF(ISBLANK(INDIRECT("'R10.Documentos no web'!D"&amp;SUM(18,38*34,11))),"",INDIRECT("'R10.Documentos no web'!D"&amp;SUM(18,38*34,11))))</f>
        <v/>
      </c>
      <c r="AN71" s="99" t="str" cm="1">
        <f t="array" aca="1" ref="AN71" ca="1">IF($B71="","",IF(ISBLANK(INDIRECT("'R10.Documentos no web'!D"&amp;SUM(18,38*35,11))),"",INDIRECT("'R10.Documentos no web'!D"&amp;SUM(18,38*35,11))))</f>
        <v/>
      </c>
      <c r="AO71" s="99" t="str" cm="1">
        <f t="array" aca="1" ref="AO71" ca="1">IF($B71="","",IF(ISBLANK(INDIRECT("'R10.Documentos no web'!D"&amp;SUM(18,38*36,11))),"",INDIRECT("'R10.Documentos no web'!D"&amp;SUM(18,38*36,11))))</f>
        <v/>
      </c>
      <c r="AP71" s="99" t="str" cm="1">
        <f t="array" aca="1" ref="AP71" ca="1">IF($B71="","",IF(ISBLANK(INDIRECT("'R10.Documentos no web'!D"&amp;SUM(18,38*37,11))),"",INDIRECT("'R10.Documentos no web'!D"&amp;SUM(18,38*37,11))))</f>
        <v/>
      </c>
      <c r="AQ71" s="99" t="str" cm="1">
        <f t="array" aca="1" ref="AQ71" ca="1">IF($B71="","",IF(ISBLANK(INDIRECT("'R10.Documentos no web'!D"&amp;SUM(18,38*38,11))),"",INDIRECT("'R10.Documentos no web'!D"&amp;SUM(18,38*38,11))))</f>
        <v/>
      </c>
      <c r="AR71" s="99" t="str" cm="1">
        <f t="array" aca="1" ref="AR71" ca="1">IF($B71="","",IF(ISBLANK(INDIRECT("'R10.Documentos no web'!D"&amp;SUM(18,38*39,11))),"",INDIRECT("'R10.Documentos no web'!D"&amp;SUM(18,38*39,11))))</f>
        <v/>
      </c>
      <c r="AS71" s="99" t="str" cm="1">
        <f t="array" aca="1" ref="AS71" ca="1">IF($B71="","",IF(ISBLANK(INDIRECT("'R10.Documentos no web'!D"&amp;SUM(18,38*40,11))),"",INDIRECT("'R10.Documentos no web'!D"&amp;SUM(18,38*40,11))))</f>
        <v/>
      </c>
      <c r="AT71" s="99" t="str" cm="1">
        <f t="array" aca="1" ref="AT71" ca="1">IF($B71="","",IF(ISBLANK(INDIRECT("'R10.Documentos no web'!D"&amp;SUM(18,38*41,11))),"",INDIRECT("'R10.Documentos no web'!D"&amp;SUM(18,38*41,11))))</f>
        <v/>
      </c>
      <c r="AU71" s="99" t="str" cm="1">
        <f t="array" aca="1" ref="AU71" ca="1">IF($B71="","",IF(ISBLANK(INDIRECT("'R10.Documentos no web'!D"&amp;SUM(18,38*42,11))),"",INDIRECT("'R10.Documentos no web'!D"&amp;SUM(18,38*42,11))))</f>
        <v/>
      </c>
      <c r="AV71" s="99" t="str" cm="1">
        <f t="array" aca="1" ref="AV71" ca="1">IF($B71="","",IF(ISBLANK(INDIRECT("'R10.Documentos no web'!D"&amp;SUM(18,38*43,11))),"",INDIRECT("'R10.Documentos no web'!D"&amp;SUM(18,38*43,11))))</f>
        <v/>
      </c>
      <c r="AW71" s="99" t="str" cm="1">
        <f t="array" aca="1" ref="AW71" ca="1">IF($B71="","",IF(ISBLANK(INDIRECT("'R10.Documentos no web'!D"&amp;SUM(18,38*44,11))),"",INDIRECT("'R10.Documentos no web'!D"&amp;SUM(18,38*44,11))))</f>
        <v/>
      </c>
    </row>
    <row r="72" spans="2:49" ht="20.25" customHeight="1">
      <c r="B72" s="181" t="str" cm="1">
        <f t="array" ref="B72">IFERROR(INDEX('03.Muestra'!$B$8:$B$42,SMALL(IF("Documento no web"='03.Muestra'!$D$8:$D$42,ROW('03.Muestra'!$B$8:$B$42)-MIN(ROW('03.Muestra'!$D$8:$D$42))+1,""),ROW()-60)),"")</f>
        <v/>
      </c>
      <c r="C72" s="97" t="str" cm="1">
        <f t="array" ref="C72">IFERROR(INDEX('03.Muestra'!$C$8:$C$42,SMALL(IF("Documento no web"='03.Muestra'!$D$8:$D$42,ROW('03.Muestra'!$C$8:$C$42)-MIN(ROW('03.Muestra'!$D$8:$D$42))+1,""),ROW()-60)),"")</f>
        <v/>
      </c>
      <c r="D72" s="98" t="str" cm="1">
        <f t="array" ref="D72">IFERROR(INDEX('03.Muestra'!$F$8:$F$42,SMALL(IF("Documento no web"='03.Muestra'!$D$8:$D$42,ROW('03.Muestra'!$F$8:$F$42)-MIN(ROW('03.Muestra'!$D$8:$D$42))+1,""),ROW()-60)),"")</f>
        <v/>
      </c>
      <c r="E72" s="99" t="str" cm="1">
        <f t="array" aca="1" ref="E72" ca="1">IF($B72="","",IF(ISBLANK(INDIRECT("'R10.Documentos no web'!D"&amp;SUM(18,38*0,12))),"",INDIRECT("'R10.Documentos no web'!D"&amp;SUM(18,38*0,12))))</f>
        <v/>
      </c>
      <c r="F72" s="99" t="str" cm="1">
        <f t="array" aca="1" ref="F72" ca="1">IF($B72="","",IF(ISBLANK(INDIRECT("'R10.Documentos no web'!D"&amp;SUM(18,38*1,12))),"",INDIRECT("'R10.Documentos no web'!D"&amp;SUM(18,38*1,12))))</f>
        <v/>
      </c>
      <c r="G72" s="99" t="str" cm="1">
        <f t="array" aca="1" ref="G72" ca="1">IF($B72="","",IF(ISBLANK(INDIRECT("'R10.Documentos no web'!D"&amp;SUM(18,38*2,12))),"",INDIRECT("'R10.Documentos no web'!D"&amp;SUM(18,38*2,12))))</f>
        <v/>
      </c>
      <c r="H72" s="99" t="str" cm="1">
        <f t="array" aca="1" ref="H72" ca="1">IF($B72="","",IF(ISBLANK(INDIRECT("'R10.Documentos no web'!D"&amp;SUM(18,38*3,12))),"",INDIRECT("'R10.Documentos no web'!D"&amp;SUM(18,38*3,12))))</f>
        <v/>
      </c>
      <c r="I72" s="99" t="str" cm="1">
        <f t="array" aca="1" ref="I72" ca="1">IF($B72="","",IF(ISBLANK(INDIRECT("'R10.Documentos no web'!D"&amp;SUM(18,38*4,12))),"",INDIRECT("'R10.Documentos no web'!D"&amp;SUM(18,38*4,12))))</f>
        <v/>
      </c>
      <c r="J72" s="99" t="str" cm="1">
        <f t="array" aca="1" ref="J72" ca="1">IF($B72="","",IF(ISBLANK(INDIRECT("'R10.Documentos no web'!D"&amp;SUM(18,38*5,12))),"",INDIRECT("'R10.Documentos no web'!D"&amp;SUM(18,38*5,12))))</f>
        <v/>
      </c>
      <c r="K72" s="99" t="str" cm="1">
        <f t="array" aca="1" ref="K72" ca="1">IF($B72="","",IF(ISBLANK(INDIRECT("'R10.Documentos no web'!D"&amp;SUM(18,38*6,12))),"",INDIRECT("'R10.Documentos no web'!D"&amp;SUM(18,38*6,12))))</f>
        <v/>
      </c>
      <c r="L72" s="99" t="str" cm="1">
        <f t="array" aca="1" ref="L72" ca="1">IF($B72="","",IF(ISBLANK(INDIRECT("'R10.Documentos no web'!D"&amp;SUM(18,38*7,12))),"",INDIRECT("'R10.Documentos no web'!D"&amp;SUM(18,38*7,12))))</f>
        <v/>
      </c>
      <c r="M72" s="99" t="str" cm="1">
        <f t="array" aca="1" ref="M72" ca="1">IF($B72="","",IF(ISBLANK(INDIRECT("'R10.Documentos no web'!D"&amp;SUM(18,38*8,12))),"",INDIRECT("'R10.Documentos no web'!D"&amp;SUM(18,38*8,12))))</f>
        <v/>
      </c>
      <c r="N72" s="99" t="str" cm="1">
        <f t="array" aca="1" ref="N72" ca="1">IF($B72="","",IF(ISBLANK(INDIRECT("'R10.Documentos no web'!D"&amp;SUM(18,38*9,12))),"",INDIRECT("'R10.Documentos no web'!D"&amp;SUM(18,38*9,12))))</f>
        <v/>
      </c>
      <c r="O72" s="99" t="str" cm="1">
        <f t="array" aca="1" ref="O72" ca="1">IF($B72="","",IF(ISBLANK(INDIRECT("'R10.Documentos no web'!D"&amp;SUM(18,38*10,12))),"",INDIRECT("'R10.Documentos no web'!D"&amp;SUM(18,38*10,12))))</f>
        <v/>
      </c>
      <c r="P72" s="99" t="str" cm="1">
        <f t="array" aca="1" ref="P72" ca="1">IF($B72="","",IF(ISBLANK(INDIRECT("'R10.Documentos no web'!D"&amp;SUM(18,38*11,12))),"",INDIRECT("'R10.Documentos no web'!D"&amp;SUM(18,38*11,12))))</f>
        <v/>
      </c>
      <c r="Q72" s="99" t="str" cm="1">
        <f t="array" aca="1" ref="Q72" ca="1">IF($B72="","",IF(ISBLANK(INDIRECT("'R10.Documentos no web'!D"&amp;SUM(18,38*12,12))),"",INDIRECT("'R10.Documentos no web'!D"&amp;SUM(18,38*12,12))))</f>
        <v/>
      </c>
      <c r="R72" s="99" t="str" cm="1">
        <f t="array" aca="1" ref="R72" ca="1">IF($B72="","",IF(ISBLANK(INDIRECT("'R10.Documentos no web'!D"&amp;SUM(18,38*13,12))),"",INDIRECT("'R10.Documentos no web'!D"&amp;SUM(18,38*13,12))))</f>
        <v/>
      </c>
      <c r="S72" s="99" t="str" cm="1">
        <f t="array" aca="1" ref="S72" ca="1">IF($B72="","",IF(ISBLANK(INDIRECT("'R10.Documentos no web'!D"&amp;SUM(18,38*14,12))),"",INDIRECT("'R10.Documentos no web'!D"&amp;SUM(18,38*14,12))))</f>
        <v/>
      </c>
      <c r="T72" s="99" t="str" cm="1">
        <f t="array" aca="1" ref="T72" ca="1">IF($B72="","",IF(ISBLANK(INDIRECT("'R10.Documentos no web'!D"&amp;SUM(18,38*15,12))),"",INDIRECT("'R10.Documentos no web'!D"&amp;SUM(18,38*15,12))))</f>
        <v/>
      </c>
      <c r="U72" s="99" t="str" cm="1">
        <f t="array" aca="1" ref="U72" ca="1">IF($B72="","",IF(ISBLANK(INDIRECT("'R10.Documentos no web'!D"&amp;SUM(18,38*16,12))),"",INDIRECT("'R10.Documentos no web'!D"&amp;SUM(18,38*16,12))))</f>
        <v/>
      </c>
      <c r="V72" s="99" t="str" cm="1">
        <f t="array" aca="1" ref="V72" ca="1">IF($B72="","",IF(ISBLANK(INDIRECT("'R10.Documentos no web'!D"&amp;SUM(18,38*17,12))),"",INDIRECT("'R10.Documentos no web'!D"&amp;SUM(18,38*17,12))))</f>
        <v/>
      </c>
      <c r="W72" s="99" t="str" cm="1">
        <f t="array" aca="1" ref="W72" ca="1">IF($B72="","",IF(ISBLANK(INDIRECT("'R10.Documentos no web'!D"&amp;SUM(18,38*18,12))),"",INDIRECT("'R10.Documentos no web'!D"&amp;SUM(18,38*18,12))))</f>
        <v/>
      </c>
      <c r="X72" s="99" t="str" cm="1">
        <f t="array" aca="1" ref="X72" ca="1">IF($B72="","",IF(ISBLANK(INDIRECT("'R10.Documentos no web'!D"&amp;SUM(18,38*19,12))),"",INDIRECT("'R10.Documentos no web'!D"&amp;SUM(18,38*19,12))))</f>
        <v/>
      </c>
      <c r="Y72" s="99" t="str" cm="1">
        <f t="array" aca="1" ref="Y72" ca="1">IF($B72="","",IF(ISBLANK(INDIRECT("'R10.Documentos no web'!D"&amp;SUM(18,38*20,12))),"",INDIRECT("'R10.Documentos no web'!D"&amp;SUM(18,38*20,12))))</f>
        <v/>
      </c>
      <c r="Z72" s="99" t="str" cm="1">
        <f t="array" aca="1" ref="Z72" ca="1">IF($B72="","",IF(ISBLANK(INDIRECT("'R10.Documentos no web'!D"&amp;SUM(18,38*21,12))),"",INDIRECT("'R10.Documentos no web'!D"&amp;SUM(18,38*21,12))))</f>
        <v/>
      </c>
      <c r="AA72" s="99" t="str" cm="1">
        <f t="array" aca="1" ref="AA72" ca="1">IF($B72="","",IF(ISBLANK(INDIRECT("'R10.Documentos no web'!D"&amp;SUM(18,38*22,12))),"",INDIRECT("'R10.Documentos no web'!D"&amp;SUM(18,38*22,12))))</f>
        <v/>
      </c>
      <c r="AB72" s="99" t="str" cm="1">
        <f t="array" aca="1" ref="AB72" ca="1">IF($B72="","",IF(ISBLANK(INDIRECT("'R10.Documentos no web'!D"&amp;SUM(18,38*23,12))),"",INDIRECT("'R10.Documentos no web'!D"&amp;SUM(18,38*23,12))))</f>
        <v/>
      </c>
      <c r="AC72" s="99" t="str" cm="1">
        <f t="array" aca="1" ref="AC72" ca="1">IF($B72="","",IF(ISBLANK(INDIRECT("'R10.Documentos no web'!D"&amp;SUM(18,38*24,12))),"",INDIRECT("'R10.Documentos no web'!D"&amp;SUM(18,38*24,12))))</f>
        <v/>
      </c>
      <c r="AD72" s="99" t="str" cm="1">
        <f t="array" aca="1" ref="AD72" ca="1">IF($B72="","",IF(ISBLANK(INDIRECT("'R10.Documentos no web'!D"&amp;SUM(18,38*25,12))),"",INDIRECT("'R10.Documentos no web'!D"&amp;SUM(18,38*25,12))))</f>
        <v/>
      </c>
      <c r="AE72" s="99" t="str" cm="1">
        <f t="array" aca="1" ref="AE72" ca="1">IF($B72="","",IF(ISBLANK(INDIRECT("'R10.Documentos no web'!D"&amp;SUM(18,38*26,12))),"",INDIRECT("'R10.Documentos no web'!D"&amp;SUM(18,38*26,12))))</f>
        <v/>
      </c>
      <c r="AF72" s="99" t="str" cm="1">
        <f t="array" aca="1" ref="AF72" ca="1">IF($B72="","",IF(ISBLANK(INDIRECT("'R10.Documentos no web'!D"&amp;SUM(18,38*27,12))),"",INDIRECT("'R10.Documentos no web'!D"&amp;SUM(18,38*27,12))))</f>
        <v/>
      </c>
      <c r="AG72" s="99" t="str" cm="1">
        <f t="array" aca="1" ref="AG72" ca="1">IF($B72="","",IF(ISBLANK(INDIRECT("'R10.Documentos no web'!D"&amp;SUM(18,38*28,12))),"",INDIRECT("'R10.Documentos no web'!D"&amp;SUM(18,38*28,12))))</f>
        <v/>
      </c>
      <c r="AH72" s="99" t="str" cm="1">
        <f t="array" aca="1" ref="AH72" ca="1">IF($B72="","",IF(ISBLANK(INDIRECT("'R10.Documentos no web'!D"&amp;SUM(18,38*29,12))),"",INDIRECT("'R10.Documentos no web'!D"&amp;SUM(18,38*29,12))))</f>
        <v/>
      </c>
      <c r="AI72" s="99" t="str" cm="1">
        <f t="array" aca="1" ref="AI72" ca="1">IF($B72="","",IF(ISBLANK(INDIRECT("'R10.Documentos no web'!D"&amp;SUM(18,38*30,12))),"",INDIRECT("'R10.Documentos no web'!D"&amp;SUM(18,38*30,12))))</f>
        <v/>
      </c>
      <c r="AJ72" s="99" t="str" cm="1">
        <f t="array" aca="1" ref="AJ72" ca="1">IF($B72="","",IF(ISBLANK(INDIRECT("'R10.Documentos no web'!D"&amp;SUM(18,38*31,12))),"",INDIRECT("'R10.Documentos no web'!D"&amp;SUM(18,38*31,12))))</f>
        <v/>
      </c>
      <c r="AK72" s="99" t="str" cm="1">
        <f t="array" aca="1" ref="AK72" ca="1">IF($B72="","",IF(ISBLANK(INDIRECT("'R10.Documentos no web'!D"&amp;SUM(18,38*32,12))),"",INDIRECT("'R10.Documentos no web'!D"&amp;SUM(18,38*32,12))))</f>
        <v/>
      </c>
      <c r="AL72" s="99" t="str" cm="1">
        <f t="array" aca="1" ref="AL72" ca="1">IF($B72="","",IF(ISBLANK(INDIRECT("'R10.Documentos no web'!D"&amp;SUM(18,38*33,12))),"",INDIRECT("'R10.Documentos no web'!D"&amp;SUM(18,38*33,12))))</f>
        <v/>
      </c>
      <c r="AM72" s="99" t="str" cm="1">
        <f t="array" aca="1" ref="AM72" ca="1">IF($B72="","",IF(ISBLANK(INDIRECT("'R10.Documentos no web'!D"&amp;SUM(18,38*34,12))),"",INDIRECT("'R10.Documentos no web'!D"&amp;SUM(18,38*34,12))))</f>
        <v/>
      </c>
      <c r="AN72" s="99" t="str" cm="1">
        <f t="array" aca="1" ref="AN72" ca="1">IF($B72="","",IF(ISBLANK(INDIRECT("'R10.Documentos no web'!D"&amp;SUM(18,38*35,12))),"",INDIRECT("'R10.Documentos no web'!D"&amp;SUM(18,38*35,12))))</f>
        <v/>
      </c>
      <c r="AO72" s="99" t="str" cm="1">
        <f t="array" aca="1" ref="AO72" ca="1">IF($B72="","",IF(ISBLANK(INDIRECT("'R10.Documentos no web'!D"&amp;SUM(18,38*36,12))),"",INDIRECT("'R10.Documentos no web'!D"&amp;SUM(18,38*36,12))))</f>
        <v/>
      </c>
      <c r="AP72" s="99" t="str" cm="1">
        <f t="array" aca="1" ref="AP72" ca="1">IF($B72="","",IF(ISBLANK(INDIRECT("'R10.Documentos no web'!D"&amp;SUM(18,38*37,12))),"",INDIRECT("'R10.Documentos no web'!D"&amp;SUM(18,38*37,12))))</f>
        <v/>
      </c>
      <c r="AQ72" s="99" t="str" cm="1">
        <f t="array" aca="1" ref="AQ72" ca="1">IF($B72="","",IF(ISBLANK(INDIRECT("'R10.Documentos no web'!D"&amp;SUM(18,38*38,12))),"",INDIRECT("'R10.Documentos no web'!D"&amp;SUM(18,38*38,12))))</f>
        <v/>
      </c>
      <c r="AR72" s="99" t="str" cm="1">
        <f t="array" aca="1" ref="AR72" ca="1">IF($B72="","",IF(ISBLANK(INDIRECT("'R10.Documentos no web'!D"&amp;SUM(18,38*39,12))),"",INDIRECT("'R10.Documentos no web'!D"&amp;SUM(18,38*39,12))))</f>
        <v/>
      </c>
      <c r="AS72" s="99" t="str" cm="1">
        <f t="array" aca="1" ref="AS72" ca="1">IF($B72="","",IF(ISBLANK(INDIRECT("'R10.Documentos no web'!D"&amp;SUM(18,38*40,12))),"",INDIRECT("'R10.Documentos no web'!D"&amp;SUM(18,38*40,12))))</f>
        <v/>
      </c>
      <c r="AT72" s="99" t="str" cm="1">
        <f t="array" aca="1" ref="AT72" ca="1">IF($B72="","",IF(ISBLANK(INDIRECT("'R10.Documentos no web'!D"&amp;SUM(18,38*41,12))),"",INDIRECT("'R10.Documentos no web'!D"&amp;SUM(18,38*41,12))))</f>
        <v/>
      </c>
      <c r="AU72" s="99" t="str" cm="1">
        <f t="array" aca="1" ref="AU72" ca="1">IF($B72="","",IF(ISBLANK(INDIRECT("'R10.Documentos no web'!D"&amp;SUM(18,38*42,12))),"",INDIRECT("'R10.Documentos no web'!D"&amp;SUM(18,38*42,12))))</f>
        <v/>
      </c>
      <c r="AV72" s="99" t="str" cm="1">
        <f t="array" aca="1" ref="AV72" ca="1">IF($B72="","",IF(ISBLANK(INDIRECT("'R10.Documentos no web'!D"&amp;SUM(18,38*43,12))),"",INDIRECT("'R10.Documentos no web'!D"&amp;SUM(18,38*43,12))))</f>
        <v/>
      </c>
      <c r="AW72" s="99" t="str" cm="1">
        <f t="array" aca="1" ref="AW72" ca="1">IF($B72="","",IF(ISBLANK(INDIRECT("'R10.Documentos no web'!D"&amp;SUM(18,38*44,12))),"",INDIRECT("'R10.Documentos no web'!D"&amp;SUM(18,38*44,12))))</f>
        <v/>
      </c>
    </row>
    <row r="73" spans="2:49" ht="20.25" customHeight="1">
      <c r="B73" s="181" t="str" cm="1">
        <f t="array" ref="B73">IFERROR(INDEX('03.Muestra'!$B$8:$B$42,SMALL(IF("Documento no web"='03.Muestra'!$D$8:$D$42,ROW('03.Muestra'!$B$8:$B$42)-MIN(ROW('03.Muestra'!$D$8:$D$42))+1,""),ROW()-60)),"")</f>
        <v/>
      </c>
      <c r="C73" s="97" t="str" cm="1">
        <f t="array" ref="C73">IFERROR(INDEX('03.Muestra'!$C$8:$C$42,SMALL(IF("Documento no web"='03.Muestra'!$D$8:$D$42,ROW('03.Muestra'!$C$8:$C$42)-MIN(ROW('03.Muestra'!$D$8:$D$42))+1,""),ROW()-60)),"")</f>
        <v/>
      </c>
      <c r="D73" s="98" t="str" cm="1">
        <f t="array" ref="D73">IFERROR(INDEX('03.Muestra'!$F$8:$F$42,SMALL(IF("Documento no web"='03.Muestra'!$D$8:$D$42,ROW('03.Muestra'!$F$8:$F$42)-MIN(ROW('03.Muestra'!$D$8:$D$42))+1,""),ROW()-60)),"")</f>
        <v/>
      </c>
      <c r="E73" s="99" t="str" cm="1">
        <f t="array" aca="1" ref="E73" ca="1">IF($B73="","",IF(ISBLANK(INDIRECT("'R10.Documentos no web'!D"&amp;SUM(18,38*0,13))),"",INDIRECT("'R10.Documentos no web'!D"&amp;SUM(18,38*0,13))))</f>
        <v/>
      </c>
      <c r="F73" s="99" t="str" cm="1">
        <f t="array" aca="1" ref="F73" ca="1">IF($B73="","",IF(ISBLANK(INDIRECT("'R10.Documentos no web'!D"&amp;SUM(18,38*1,13))),"",INDIRECT("'R10.Documentos no web'!D"&amp;SUM(18,38*1,13))))</f>
        <v/>
      </c>
      <c r="G73" s="99" t="str" cm="1">
        <f t="array" aca="1" ref="G73" ca="1">IF($B73="","",IF(ISBLANK(INDIRECT("'R10.Documentos no web'!D"&amp;SUM(18,38*2,13))),"",INDIRECT("'R10.Documentos no web'!D"&amp;SUM(18,38*2,13))))</f>
        <v/>
      </c>
      <c r="H73" s="99" t="str" cm="1">
        <f t="array" aca="1" ref="H73" ca="1">IF($B73="","",IF(ISBLANK(INDIRECT("'R10.Documentos no web'!D"&amp;SUM(18,38*3,13))),"",INDIRECT("'R10.Documentos no web'!D"&amp;SUM(18,38*3,13))))</f>
        <v/>
      </c>
      <c r="I73" s="99" t="str" cm="1">
        <f t="array" aca="1" ref="I73" ca="1">IF($B73="","",IF(ISBLANK(INDIRECT("'R10.Documentos no web'!D"&amp;SUM(18,38*4,13))),"",INDIRECT("'R10.Documentos no web'!D"&amp;SUM(18,38*4,13))))</f>
        <v/>
      </c>
      <c r="J73" s="99" t="str" cm="1">
        <f t="array" aca="1" ref="J73" ca="1">IF($B73="","",IF(ISBLANK(INDIRECT("'R10.Documentos no web'!D"&amp;SUM(18,38*5,13))),"",INDIRECT("'R10.Documentos no web'!D"&amp;SUM(18,38*5,13))))</f>
        <v/>
      </c>
      <c r="K73" s="99" t="str" cm="1">
        <f t="array" aca="1" ref="K73" ca="1">IF($B73="","",IF(ISBLANK(INDIRECT("'R10.Documentos no web'!D"&amp;SUM(18,38*6,13))),"",INDIRECT("'R10.Documentos no web'!D"&amp;SUM(18,38*6,13))))</f>
        <v/>
      </c>
      <c r="L73" s="99" t="str" cm="1">
        <f t="array" aca="1" ref="L73" ca="1">IF($B73="","",IF(ISBLANK(INDIRECT("'R10.Documentos no web'!D"&amp;SUM(18,38*7,13))),"",INDIRECT("'R10.Documentos no web'!D"&amp;SUM(18,38*7,13))))</f>
        <v/>
      </c>
      <c r="M73" s="99" t="str" cm="1">
        <f t="array" aca="1" ref="M73" ca="1">IF($B73="","",IF(ISBLANK(INDIRECT("'R10.Documentos no web'!D"&amp;SUM(18,38*8,13))),"",INDIRECT("'R10.Documentos no web'!D"&amp;SUM(18,38*8,13))))</f>
        <v/>
      </c>
      <c r="N73" s="99" t="str" cm="1">
        <f t="array" aca="1" ref="N73" ca="1">IF($B73="","",IF(ISBLANK(INDIRECT("'R10.Documentos no web'!D"&amp;SUM(18,38*9,13))),"",INDIRECT("'R10.Documentos no web'!D"&amp;SUM(18,38*9,13))))</f>
        <v/>
      </c>
      <c r="O73" s="99" t="str" cm="1">
        <f t="array" aca="1" ref="O73" ca="1">IF($B73="","",IF(ISBLANK(INDIRECT("'R10.Documentos no web'!D"&amp;SUM(18,38*10,13))),"",INDIRECT("'R10.Documentos no web'!D"&amp;SUM(18,38*10,13))))</f>
        <v/>
      </c>
      <c r="P73" s="99" t="str" cm="1">
        <f t="array" aca="1" ref="P73" ca="1">IF($B73="","",IF(ISBLANK(INDIRECT("'R10.Documentos no web'!D"&amp;SUM(18,38*11,13))),"",INDIRECT("'R10.Documentos no web'!D"&amp;SUM(18,38*11,13))))</f>
        <v/>
      </c>
      <c r="Q73" s="99" t="str" cm="1">
        <f t="array" aca="1" ref="Q73" ca="1">IF($B73="","",IF(ISBLANK(INDIRECT("'R10.Documentos no web'!D"&amp;SUM(18,38*12,13))),"",INDIRECT("'R10.Documentos no web'!D"&amp;SUM(18,38*12,13))))</f>
        <v/>
      </c>
      <c r="R73" s="99" t="str" cm="1">
        <f t="array" aca="1" ref="R73" ca="1">IF($B73="","",IF(ISBLANK(INDIRECT("'R10.Documentos no web'!D"&amp;SUM(18,38*13,13))),"",INDIRECT("'R10.Documentos no web'!D"&amp;SUM(18,38*13,13))))</f>
        <v/>
      </c>
      <c r="S73" s="99" t="str" cm="1">
        <f t="array" aca="1" ref="S73" ca="1">IF($B73="","",IF(ISBLANK(INDIRECT("'R10.Documentos no web'!D"&amp;SUM(18,38*14,13))),"",INDIRECT("'R10.Documentos no web'!D"&amp;SUM(18,38*14,13))))</f>
        <v/>
      </c>
      <c r="T73" s="99" t="str" cm="1">
        <f t="array" aca="1" ref="T73" ca="1">IF($B73="","",IF(ISBLANK(INDIRECT("'R10.Documentos no web'!D"&amp;SUM(18,38*15,13))),"",INDIRECT("'R10.Documentos no web'!D"&amp;SUM(18,38*15,13))))</f>
        <v/>
      </c>
      <c r="U73" s="99" t="str" cm="1">
        <f t="array" aca="1" ref="U73" ca="1">IF($B73="","",IF(ISBLANK(INDIRECT("'R10.Documentos no web'!D"&amp;SUM(18,38*16,13))),"",INDIRECT("'R10.Documentos no web'!D"&amp;SUM(18,38*16,13))))</f>
        <v/>
      </c>
      <c r="V73" s="99" t="str" cm="1">
        <f t="array" aca="1" ref="V73" ca="1">IF($B73="","",IF(ISBLANK(INDIRECT("'R10.Documentos no web'!D"&amp;SUM(18,38*17,13))),"",INDIRECT("'R10.Documentos no web'!D"&amp;SUM(18,38*17,13))))</f>
        <v/>
      </c>
      <c r="W73" s="99" t="str" cm="1">
        <f t="array" aca="1" ref="W73" ca="1">IF($B73="","",IF(ISBLANK(INDIRECT("'R10.Documentos no web'!D"&amp;SUM(18,38*18,13))),"",INDIRECT("'R10.Documentos no web'!D"&amp;SUM(18,38*18,13))))</f>
        <v/>
      </c>
      <c r="X73" s="99" t="str" cm="1">
        <f t="array" aca="1" ref="X73" ca="1">IF($B73="","",IF(ISBLANK(INDIRECT("'R10.Documentos no web'!D"&amp;SUM(18,38*19,13))),"",INDIRECT("'R10.Documentos no web'!D"&amp;SUM(18,38*19,13))))</f>
        <v/>
      </c>
      <c r="Y73" s="99" t="str" cm="1">
        <f t="array" aca="1" ref="Y73" ca="1">IF($B73="","",IF(ISBLANK(INDIRECT("'R10.Documentos no web'!D"&amp;SUM(18,38*20,13))),"",INDIRECT("'R10.Documentos no web'!D"&amp;SUM(18,38*20,13))))</f>
        <v/>
      </c>
      <c r="Z73" s="99" t="str" cm="1">
        <f t="array" aca="1" ref="Z73" ca="1">IF($B73="","",IF(ISBLANK(INDIRECT("'R10.Documentos no web'!D"&amp;SUM(18,38*21,13))),"",INDIRECT("'R10.Documentos no web'!D"&amp;SUM(18,38*21,13))))</f>
        <v/>
      </c>
      <c r="AA73" s="99" t="str" cm="1">
        <f t="array" aca="1" ref="AA73" ca="1">IF($B73="","",IF(ISBLANK(INDIRECT("'R10.Documentos no web'!D"&amp;SUM(18,38*22,13))),"",INDIRECT("'R10.Documentos no web'!D"&amp;SUM(18,38*22,13))))</f>
        <v/>
      </c>
      <c r="AB73" s="99" t="str" cm="1">
        <f t="array" aca="1" ref="AB73" ca="1">IF($B73="","",IF(ISBLANK(INDIRECT("'R10.Documentos no web'!D"&amp;SUM(18,38*23,13))),"",INDIRECT("'R10.Documentos no web'!D"&amp;SUM(18,38*23,13))))</f>
        <v/>
      </c>
      <c r="AC73" s="99" t="str" cm="1">
        <f t="array" aca="1" ref="AC73" ca="1">IF($B73="","",IF(ISBLANK(INDIRECT("'R10.Documentos no web'!D"&amp;SUM(18,38*24,13))),"",INDIRECT("'R10.Documentos no web'!D"&amp;SUM(18,38*24,13))))</f>
        <v/>
      </c>
      <c r="AD73" s="99" t="str" cm="1">
        <f t="array" aca="1" ref="AD73" ca="1">IF($B73="","",IF(ISBLANK(INDIRECT("'R10.Documentos no web'!D"&amp;SUM(18,38*25,13))),"",INDIRECT("'R10.Documentos no web'!D"&amp;SUM(18,38*25,13))))</f>
        <v/>
      </c>
      <c r="AE73" s="99" t="str" cm="1">
        <f t="array" aca="1" ref="AE73" ca="1">IF($B73="","",IF(ISBLANK(INDIRECT("'R10.Documentos no web'!D"&amp;SUM(18,38*26,13))),"",INDIRECT("'R10.Documentos no web'!D"&amp;SUM(18,38*26,13))))</f>
        <v/>
      </c>
      <c r="AF73" s="99" t="str" cm="1">
        <f t="array" aca="1" ref="AF73" ca="1">IF($B73="","",IF(ISBLANK(INDIRECT("'R10.Documentos no web'!D"&amp;SUM(18,38*27,13))),"",INDIRECT("'R10.Documentos no web'!D"&amp;SUM(18,38*27,13))))</f>
        <v/>
      </c>
      <c r="AG73" s="99" t="str" cm="1">
        <f t="array" aca="1" ref="AG73" ca="1">IF($B73="","",IF(ISBLANK(INDIRECT("'R10.Documentos no web'!D"&amp;SUM(18,38*28,13))),"",INDIRECT("'R10.Documentos no web'!D"&amp;SUM(18,38*28,13))))</f>
        <v/>
      </c>
      <c r="AH73" s="99" t="str" cm="1">
        <f t="array" aca="1" ref="AH73" ca="1">IF($B73="","",IF(ISBLANK(INDIRECT("'R10.Documentos no web'!D"&amp;SUM(18,38*29,13))),"",INDIRECT("'R10.Documentos no web'!D"&amp;SUM(18,38*29,13))))</f>
        <v/>
      </c>
      <c r="AI73" s="99" t="str" cm="1">
        <f t="array" aca="1" ref="AI73" ca="1">IF($B73="","",IF(ISBLANK(INDIRECT("'R10.Documentos no web'!D"&amp;SUM(18,38*30,13))),"",INDIRECT("'R10.Documentos no web'!D"&amp;SUM(18,38*30,13))))</f>
        <v/>
      </c>
      <c r="AJ73" s="99" t="str" cm="1">
        <f t="array" aca="1" ref="AJ73" ca="1">IF($B73="","",IF(ISBLANK(INDIRECT("'R10.Documentos no web'!D"&amp;SUM(18,38*31,13))),"",INDIRECT("'R10.Documentos no web'!D"&amp;SUM(18,38*31,13))))</f>
        <v/>
      </c>
      <c r="AK73" s="99" t="str" cm="1">
        <f t="array" aca="1" ref="AK73" ca="1">IF($B73="","",IF(ISBLANK(INDIRECT("'R10.Documentos no web'!D"&amp;SUM(18,38*32,13))),"",INDIRECT("'R10.Documentos no web'!D"&amp;SUM(18,38*32,13))))</f>
        <v/>
      </c>
      <c r="AL73" s="99" t="str" cm="1">
        <f t="array" aca="1" ref="AL73" ca="1">IF($B73="","",IF(ISBLANK(INDIRECT("'R10.Documentos no web'!D"&amp;SUM(18,38*33,13))),"",INDIRECT("'R10.Documentos no web'!D"&amp;SUM(18,38*33,13))))</f>
        <v/>
      </c>
      <c r="AM73" s="99" t="str" cm="1">
        <f t="array" aca="1" ref="AM73" ca="1">IF($B73="","",IF(ISBLANK(INDIRECT("'R10.Documentos no web'!D"&amp;SUM(18,38*34,13))),"",INDIRECT("'R10.Documentos no web'!D"&amp;SUM(18,38*34,13))))</f>
        <v/>
      </c>
      <c r="AN73" s="99" t="str" cm="1">
        <f t="array" aca="1" ref="AN73" ca="1">IF($B73="","",IF(ISBLANK(INDIRECT("'R10.Documentos no web'!D"&amp;SUM(18,38*35,13))),"",INDIRECT("'R10.Documentos no web'!D"&amp;SUM(18,38*35,13))))</f>
        <v/>
      </c>
      <c r="AO73" s="99" t="str" cm="1">
        <f t="array" aca="1" ref="AO73" ca="1">IF($B73="","",IF(ISBLANK(INDIRECT("'R10.Documentos no web'!D"&amp;SUM(18,38*36,13))),"",INDIRECT("'R10.Documentos no web'!D"&amp;SUM(18,38*36,13))))</f>
        <v/>
      </c>
      <c r="AP73" s="99" t="str" cm="1">
        <f t="array" aca="1" ref="AP73" ca="1">IF($B73="","",IF(ISBLANK(INDIRECT("'R10.Documentos no web'!D"&amp;SUM(18,38*37,13))),"",INDIRECT("'R10.Documentos no web'!D"&amp;SUM(18,38*37,13))))</f>
        <v/>
      </c>
      <c r="AQ73" s="99" t="str" cm="1">
        <f t="array" aca="1" ref="AQ73" ca="1">IF($B73="","",IF(ISBLANK(INDIRECT("'R10.Documentos no web'!D"&amp;SUM(18,38*38,13))),"",INDIRECT("'R10.Documentos no web'!D"&amp;SUM(18,38*38,13))))</f>
        <v/>
      </c>
      <c r="AR73" s="99" t="str" cm="1">
        <f t="array" aca="1" ref="AR73" ca="1">IF($B73="","",IF(ISBLANK(INDIRECT("'R10.Documentos no web'!D"&amp;SUM(18,38*39,13))),"",INDIRECT("'R10.Documentos no web'!D"&amp;SUM(18,38*39,13))))</f>
        <v/>
      </c>
      <c r="AS73" s="99" t="str" cm="1">
        <f t="array" aca="1" ref="AS73" ca="1">IF($B73="","",IF(ISBLANK(INDIRECT("'R10.Documentos no web'!D"&amp;SUM(18,38*40,13))),"",INDIRECT("'R10.Documentos no web'!D"&amp;SUM(18,38*40,13))))</f>
        <v/>
      </c>
      <c r="AT73" s="99" t="str" cm="1">
        <f t="array" aca="1" ref="AT73" ca="1">IF($B73="","",IF(ISBLANK(INDIRECT("'R10.Documentos no web'!D"&amp;SUM(18,38*41,13))),"",INDIRECT("'R10.Documentos no web'!D"&amp;SUM(18,38*41,13))))</f>
        <v/>
      </c>
      <c r="AU73" s="99" t="str" cm="1">
        <f t="array" aca="1" ref="AU73" ca="1">IF($B73="","",IF(ISBLANK(INDIRECT("'R10.Documentos no web'!D"&amp;SUM(18,38*42,13))),"",INDIRECT("'R10.Documentos no web'!D"&amp;SUM(18,38*42,13))))</f>
        <v/>
      </c>
      <c r="AV73" s="99" t="str" cm="1">
        <f t="array" aca="1" ref="AV73" ca="1">IF($B73="","",IF(ISBLANK(INDIRECT("'R10.Documentos no web'!D"&amp;SUM(18,38*43,13))),"",INDIRECT("'R10.Documentos no web'!D"&amp;SUM(18,38*43,13))))</f>
        <v/>
      </c>
      <c r="AW73" s="99" t="str" cm="1">
        <f t="array" aca="1" ref="AW73" ca="1">IF($B73="","",IF(ISBLANK(INDIRECT("'R10.Documentos no web'!D"&amp;SUM(18,38*44,13))),"",INDIRECT("'R10.Documentos no web'!D"&amp;SUM(18,38*44,13))))</f>
        <v/>
      </c>
    </row>
    <row r="74" spans="2:49" ht="20.25" customHeight="1">
      <c r="B74" s="181" t="str" cm="1">
        <f t="array" ref="B74">IFERROR(INDEX('03.Muestra'!$B$8:$B$42,SMALL(IF("Documento no web"='03.Muestra'!$D$8:$D$42,ROW('03.Muestra'!$B$8:$B$42)-MIN(ROW('03.Muestra'!$D$8:$D$42))+1,""),ROW()-60)),"")</f>
        <v/>
      </c>
      <c r="C74" s="97" t="str" cm="1">
        <f t="array" ref="C74">IFERROR(INDEX('03.Muestra'!$C$8:$C$42,SMALL(IF("Documento no web"='03.Muestra'!$D$8:$D$42,ROW('03.Muestra'!$C$8:$C$42)-MIN(ROW('03.Muestra'!$D$8:$D$42))+1,""),ROW()-60)),"")</f>
        <v/>
      </c>
      <c r="D74" s="98" t="str" cm="1">
        <f t="array" ref="D74">IFERROR(INDEX('03.Muestra'!$F$8:$F$42,SMALL(IF("Documento no web"='03.Muestra'!$D$8:$D$42,ROW('03.Muestra'!$F$8:$F$42)-MIN(ROW('03.Muestra'!$D$8:$D$42))+1,""),ROW()-60)),"")</f>
        <v/>
      </c>
      <c r="E74" s="99" t="str" cm="1">
        <f t="array" aca="1" ref="E74" ca="1">IF($B74="","",IF(ISBLANK(INDIRECT("'R10.Documentos no web'!D"&amp;SUM(18,38*0,14))),"",INDIRECT("'R10.Documentos no web'!D"&amp;SUM(18,38*0,14))))</f>
        <v/>
      </c>
      <c r="F74" s="99" t="str" cm="1">
        <f t="array" aca="1" ref="F74" ca="1">IF($B74="","",IF(ISBLANK(INDIRECT("'R10.Documentos no web'!D"&amp;SUM(18,38*1,14))),"",INDIRECT("'R10.Documentos no web'!D"&amp;SUM(18,38*1,14))))</f>
        <v/>
      </c>
      <c r="G74" s="99" t="str" cm="1">
        <f t="array" aca="1" ref="G74" ca="1">IF($B74="","",IF(ISBLANK(INDIRECT("'R10.Documentos no web'!D"&amp;SUM(18,38*2,14))),"",INDIRECT("'R10.Documentos no web'!D"&amp;SUM(18,38*2,14))))</f>
        <v/>
      </c>
      <c r="H74" s="99" t="str" cm="1">
        <f t="array" aca="1" ref="H74" ca="1">IF($B74="","",IF(ISBLANK(INDIRECT("'R10.Documentos no web'!D"&amp;SUM(18,38*3,14))),"",INDIRECT("'R10.Documentos no web'!D"&amp;SUM(18,38*3,14))))</f>
        <v/>
      </c>
      <c r="I74" s="99" t="str" cm="1">
        <f t="array" aca="1" ref="I74" ca="1">IF($B74="","",IF(ISBLANK(INDIRECT("'R10.Documentos no web'!D"&amp;SUM(18,38*4,14))),"",INDIRECT("'R10.Documentos no web'!D"&amp;SUM(18,38*4,14))))</f>
        <v/>
      </c>
      <c r="J74" s="99" t="str" cm="1">
        <f t="array" aca="1" ref="J74" ca="1">IF($B74="","",IF(ISBLANK(INDIRECT("'R10.Documentos no web'!D"&amp;SUM(18,38*5,14))),"",INDIRECT("'R10.Documentos no web'!D"&amp;SUM(18,38*5,14))))</f>
        <v/>
      </c>
      <c r="K74" s="99" t="str" cm="1">
        <f t="array" aca="1" ref="K74" ca="1">IF($B74="","",IF(ISBLANK(INDIRECT("'R10.Documentos no web'!D"&amp;SUM(18,38*6,14))),"",INDIRECT("'R10.Documentos no web'!D"&amp;SUM(18,38*6,14))))</f>
        <v/>
      </c>
      <c r="L74" s="99" t="str" cm="1">
        <f t="array" aca="1" ref="L74" ca="1">IF($B74="","",IF(ISBLANK(INDIRECT("'R10.Documentos no web'!D"&amp;SUM(18,38*7,14))),"",INDIRECT("'R10.Documentos no web'!D"&amp;SUM(18,38*7,14))))</f>
        <v/>
      </c>
      <c r="M74" s="99" t="str" cm="1">
        <f t="array" aca="1" ref="M74" ca="1">IF($B74="","",IF(ISBLANK(INDIRECT("'R10.Documentos no web'!D"&amp;SUM(18,38*8,14))),"",INDIRECT("'R10.Documentos no web'!D"&amp;SUM(18,38*8,14))))</f>
        <v/>
      </c>
      <c r="N74" s="99" t="str" cm="1">
        <f t="array" aca="1" ref="N74" ca="1">IF($B74="","",IF(ISBLANK(INDIRECT("'R10.Documentos no web'!D"&amp;SUM(18,38*9,14))),"",INDIRECT("'R10.Documentos no web'!D"&amp;SUM(18,38*9,14))))</f>
        <v/>
      </c>
      <c r="O74" s="99" t="str" cm="1">
        <f t="array" aca="1" ref="O74" ca="1">IF($B74="","",IF(ISBLANK(INDIRECT("'R10.Documentos no web'!D"&amp;SUM(18,38*10,14))),"",INDIRECT("'R10.Documentos no web'!D"&amp;SUM(18,38*10,14))))</f>
        <v/>
      </c>
      <c r="P74" s="99" t="str" cm="1">
        <f t="array" aca="1" ref="P74" ca="1">IF($B74="","",IF(ISBLANK(INDIRECT("'R10.Documentos no web'!D"&amp;SUM(18,38*11,14))),"",INDIRECT("'R10.Documentos no web'!D"&amp;SUM(18,38*11,14))))</f>
        <v/>
      </c>
      <c r="Q74" s="99" t="str" cm="1">
        <f t="array" aca="1" ref="Q74" ca="1">IF($B74="","",IF(ISBLANK(INDIRECT("'R10.Documentos no web'!D"&amp;SUM(18,38*12,14))),"",INDIRECT("'R10.Documentos no web'!D"&amp;SUM(18,38*12,14))))</f>
        <v/>
      </c>
      <c r="R74" s="99" t="str" cm="1">
        <f t="array" aca="1" ref="R74" ca="1">IF($B74="","",IF(ISBLANK(INDIRECT("'R10.Documentos no web'!D"&amp;SUM(18,38*13,14))),"",INDIRECT("'R10.Documentos no web'!D"&amp;SUM(18,38*13,14))))</f>
        <v/>
      </c>
      <c r="S74" s="99" t="str" cm="1">
        <f t="array" aca="1" ref="S74" ca="1">IF($B74="","",IF(ISBLANK(INDIRECT("'R10.Documentos no web'!D"&amp;SUM(18,38*14,14))),"",INDIRECT("'R10.Documentos no web'!D"&amp;SUM(18,38*14,14))))</f>
        <v/>
      </c>
      <c r="T74" s="99" t="str" cm="1">
        <f t="array" aca="1" ref="T74" ca="1">IF($B74="","",IF(ISBLANK(INDIRECT("'R10.Documentos no web'!D"&amp;SUM(18,38*15,14))),"",INDIRECT("'R10.Documentos no web'!D"&amp;SUM(18,38*15,14))))</f>
        <v/>
      </c>
      <c r="U74" s="99" t="str" cm="1">
        <f t="array" aca="1" ref="U74" ca="1">IF($B74="","",IF(ISBLANK(INDIRECT("'R10.Documentos no web'!D"&amp;SUM(18,38*16,14))),"",INDIRECT("'R10.Documentos no web'!D"&amp;SUM(18,38*16,14))))</f>
        <v/>
      </c>
      <c r="V74" s="99" t="str" cm="1">
        <f t="array" aca="1" ref="V74" ca="1">IF($B74="","",IF(ISBLANK(INDIRECT("'R10.Documentos no web'!D"&amp;SUM(18,38*17,14))),"",INDIRECT("'R10.Documentos no web'!D"&amp;SUM(18,38*17,14))))</f>
        <v/>
      </c>
      <c r="W74" s="99" t="str" cm="1">
        <f t="array" aca="1" ref="W74" ca="1">IF($B74="","",IF(ISBLANK(INDIRECT("'R10.Documentos no web'!D"&amp;SUM(18,38*18,14))),"",INDIRECT("'R10.Documentos no web'!D"&amp;SUM(18,38*18,14))))</f>
        <v/>
      </c>
      <c r="X74" s="99" t="str" cm="1">
        <f t="array" aca="1" ref="X74" ca="1">IF($B74="","",IF(ISBLANK(INDIRECT("'R10.Documentos no web'!D"&amp;SUM(18,38*19,14))),"",INDIRECT("'R10.Documentos no web'!D"&amp;SUM(18,38*19,14))))</f>
        <v/>
      </c>
      <c r="Y74" s="99" t="str" cm="1">
        <f t="array" aca="1" ref="Y74" ca="1">IF($B74="","",IF(ISBLANK(INDIRECT("'R10.Documentos no web'!D"&amp;SUM(18,38*20,14))),"",INDIRECT("'R10.Documentos no web'!D"&amp;SUM(18,38*20,14))))</f>
        <v/>
      </c>
      <c r="Z74" s="99" t="str" cm="1">
        <f t="array" aca="1" ref="Z74" ca="1">IF($B74="","",IF(ISBLANK(INDIRECT("'R10.Documentos no web'!D"&amp;SUM(18,38*21,14))),"",INDIRECT("'R10.Documentos no web'!D"&amp;SUM(18,38*21,14))))</f>
        <v/>
      </c>
      <c r="AA74" s="99" t="str" cm="1">
        <f t="array" aca="1" ref="AA74" ca="1">IF($B74="","",IF(ISBLANK(INDIRECT("'R10.Documentos no web'!D"&amp;SUM(18,38*22,14))),"",INDIRECT("'R10.Documentos no web'!D"&amp;SUM(18,38*22,14))))</f>
        <v/>
      </c>
      <c r="AB74" s="99" t="str" cm="1">
        <f t="array" aca="1" ref="AB74" ca="1">IF($B74="","",IF(ISBLANK(INDIRECT("'R10.Documentos no web'!D"&amp;SUM(18,38*23,14))),"",INDIRECT("'R10.Documentos no web'!D"&amp;SUM(18,38*23,14))))</f>
        <v/>
      </c>
      <c r="AC74" s="99" t="str" cm="1">
        <f t="array" aca="1" ref="AC74" ca="1">IF($B74="","",IF(ISBLANK(INDIRECT("'R10.Documentos no web'!D"&amp;SUM(18,38*24,14))),"",INDIRECT("'R10.Documentos no web'!D"&amp;SUM(18,38*24,14))))</f>
        <v/>
      </c>
      <c r="AD74" s="99" t="str" cm="1">
        <f t="array" aca="1" ref="AD74" ca="1">IF($B74="","",IF(ISBLANK(INDIRECT("'R10.Documentos no web'!D"&amp;SUM(18,38*25,14))),"",INDIRECT("'R10.Documentos no web'!D"&amp;SUM(18,38*25,14))))</f>
        <v/>
      </c>
      <c r="AE74" s="99" t="str" cm="1">
        <f t="array" aca="1" ref="AE74" ca="1">IF($B74="","",IF(ISBLANK(INDIRECT("'R10.Documentos no web'!D"&amp;SUM(18,38*26,14))),"",INDIRECT("'R10.Documentos no web'!D"&amp;SUM(18,38*26,14))))</f>
        <v/>
      </c>
      <c r="AF74" s="99" t="str" cm="1">
        <f t="array" aca="1" ref="AF74" ca="1">IF($B74="","",IF(ISBLANK(INDIRECT("'R10.Documentos no web'!D"&amp;SUM(18,38*27,14))),"",INDIRECT("'R10.Documentos no web'!D"&amp;SUM(18,38*27,14))))</f>
        <v/>
      </c>
      <c r="AG74" s="99" t="str" cm="1">
        <f t="array" aca="1" ref="AG74" ca="1">IF($B74="","",IF(ISBLANK(INDIRECT("'R10.Documentos no web'!D"&amp;SUM(18,38*28,14))),"",INDIRECT("'R10.Documentos no web'!D"&amp;SUM(18,38*28,14))))</f>
        <v/>
      </c>
      <c r="AH74" s="99" t="str" cm="1">
        <f t="array" aca="1" ref="AH74" ca="1">IF($B74="","",IF(ISBLANK(INDIRECT("'R10.Documentos no web'!D"&amp;SUM(18,38*29,14))),"",INDIRECT("'R10.Documentos no web'!D"&amp;SUM(18,38*29,14))))</f>
        <v/>
      </c>
      <c r="AI74" s="99" t="str" cm="1">
        <f t="array" aca="1" ref="AI74" ca="1">IF($B74="","",IF(ISBLANK(INDIRECT("'R10.Documentos no web'!D"&amp;SUM(18,38*30,14))),"",INDIRECT("'R10.Documentos no web'!D"&amp;SUM(18,38*30,14))))</f>
        <v/>
      </c>
      <c r="AJ74" s="99" t="str" cm="1">
        <f t="array" aca="1" ref="AJ74" ca="1">IF($B74="","",IF(ISBLANK(INDIRECT("'R10.Documentos no web'!D"&amp;SUM(18,38*31,14))),"",INDIRECT("'R10.Documentos no web'!D"&amp;SUM(18,38*31,14))))</f>
        <v/>
      </c>
      <c r="AK74" s="99" t="str" cm="1">
        <f t="array" aca="1" ref="AK74" ca="1">IF($B74="","",IF(ISBLANK(INDIRECT("'R10.Documentos no web'!D"&amp;SUM(18,38*32,14))),"",INDIRECT("'R10.Documentos no web'!D"&amp;SUM(18,38*32,14))))</f>
        <v/>
      </c>
      <c r="AL74" s="99" t="str" cm="1">
        <f t="array" aca="1" ref="AL74" ca="1">IF($B74="","",IF(ISBLANK(INDIRECT("'R10.Documentos no web'!D"&amp;SUM(18,38*33,14))),"",INDIRECT("'R10.Documentos no web'!D"&amp;SUM(18,38*33,14))))</f>
        <v/>
      </c>
      <c r="AM74" s="99" t="str" cm="1">
        <f t="array" aca="1" ref="AM74" ca="1">IF($B74="","",IF(ISBLANK(INDIRECT("'R10.Documentos no web'!D"&amp;SUM(18,38*34,14))),"",INDIRECT("'R10.Documentos no web'!D"&amp;SUM(18,38*34,14))))</f>
        <v/>
      </c>
      <c r="AN74" s="99" t="str" cm="1">
        <f t="array" aca="1" ref="AN74" ca="1">IF($B74="","",IF(ISBLANK(INDIRECT("'R10.Documentos no web'!D"&amp;SUM(18,38*35,14))),"",INDIRECT("'R10.Documentos no web'!D"&amp;SUM(18,38*35,14))))</f>
        <v/>
      </c>
      <c r="AO74" s="99" t="str" cm="1">
        <f t="array" aca="1" ref="AO74" ca="1">IF($B74="","",IF(ISBLANK(INDIRECT("'R10.Documentos no web'!D"&amp;SUM(18,38*36,14))),"",INDIRECT("'R10.Documentos no web'!D"&amp;SUM(18,38*36,14))))</f>
        <v/>
      </c>
      <c r="AP74" s="99" t="str" cm="1">
        <f t="array" aca="1" ref="AP74" ca="1">IF($B74="","",IF(ISBLANK(INDIRECT("'R10.Documentos no web'!D"&amp;SUM(18,38*37,14))),"",INDIRECT("'R10.Documentos no web'!D"&amp;SUM(18,38*37,14))))</f>
        <v/>
      </c>
      <c r="AQ74" s="99" t="str" cm="1">
        <f t="array" aca="1" ref="AQ74" ca="1">IF($B74="","",IF(ISBLANK(INDIRECT("'R10.Documentos no web'!D"&amp;SUM(18,38*38,14))),"",INDIRECT("'R10.Documentos no web'!D"&amp;SUM(18,38*38,14))))</f>
        <v/>
      </c>
      <c r="AR74" s="99" t="str" cm="1">
        <f t="array" aca="1" ref="AR74" ca="1">IF($B74="","",IF(ISBLANK(INDIRECT("'R10.Documentos no web'!D"&amp;SUM(18,38*39,14))),"",INDIRECT("'R10.Documentos no web'!D"&amp;SUM(18,38*39,14))))</f>
        <v/>
      </c>
      <c r="AS74" s="99" t="str" cm="1">
        <f t="array" aca="1" ref="AS74" ca="1">IF($B74="","",IF(ISBLANK(INDIRECT("'R10.Documentos no web'!D"&amp;SUM(18,38*40,14))),"",INDIRECT("'R10.Documentos no web'!D"&amp;SUM(18,38*40,14))))</f>
        <v/>
      </c>
      <c r="AT74" s="99" t="str" cm="1">
        <f t="array" aca="1" ref="AT74" ca="1">IF($B74="","",IF(ISBLANK(INDIRECT("'R10.Documentos no web'!D"&amp;SUM(18,38*41,14))),"",INDIRECT("'R10.Documentos no web'!D"&amp;SUM(18,38*41,14))))</f>
        <v/>
      </c>
      <c r="AU74" s="99" t="str" cm="1">
        <f t="array" aca="1" ref="AU74" ca="1">IF($B74="","",IF(ISBLANK(INDIRECT("'R10.Documentos no web'!D"&amp;SUM(18,38*42,14))),"",INDIRECT("'R10.Documentos no web'!D"&amp;SUM(18,38*42,14))))</f>
        <v/>
      </c>
      <c r="AV74" s="99" t="str" cm="1">
        <f t="array" aca="1" ref="AV74" ca="1">IF($B74="","",IF(ISBLANK(INDIRECT("'R10.Documentos no web'!D"&amp;SUM(18,38*43,14))),"",INDIRECT("'R10.Documentos no web'!D"&amp;SUM(18,38*43,14))))</f>
        <v/>
      </c>
      <c r="AW74" s="99" t="str" cm="1">
        <f t="array" aca="1" ref="AW74" ca="1">IF($B74="","",IF(ISBLANK(INDIRECT("'R10.Documentos no web'!D"&amp;SUM(18,38*44,14))),"",INDIRECT("'R10.Documentos no web'!D"&amp;SUM(18,38*44,14))))</f>
        <v/>
      </c>
    </row>
    <row r="75" spans="2:49" ht="20.25" customHeight="1">
      <c r="B75" s="181" t="str" cm="1">
        <f t="array" ref="B75">IFERROR(INDEX('03.Muestra'!$B$8:$B$42,SMALL(IF("Documento no web"='03.Muestra'!$D$8:$D$42,ROW('03.Muestra'!$B$8:$B$42)-MIN(ROW('03.Muestra'!$D$8:$D$42))+1,""),ROW()-60)),"")</f>
        <v/>
      </c>
      <c r="C75" s="97" t="str" cm="1">
        <f t="array" ref="C75">IFERROR(INDEX('03.Muestra'!$C$8:$C$42,SMALL(IF("Documento no web"='03.Muestra'!$D$8:$D$42,ROW('03.Muestra'!$C$8:$C$42)-MIN(ROW('03.Muestra'!$D$8:$D$42))+1,""),ROW()-60)),"")</f>
        <v/>
      </c>
      <c r="D75" s="98" t="str" cm="1">
        <f t="array" ref="D75">IFERROR(INDEX('03.Muestra'!$F$8:$F$42,SMALL(IF("Documento no web"='03.Muestra'!$D$8:$D$42,ROW('03.Muestra'!$F$8:$F$42)-MIN(ROW('03.Muestra'!$D$8:$D$42))+1,""),ROW()-60)),"")</f>
        <v/>
      </c>
      <c r="E75" s="99" t="str" cm="1">
        <f t="array" aca="1" ref="E75" ca="1">IF($B75="","",IF(ISBLANK(INDIRECT("'R10.Documentos no web'!D"&amp;SUM(18,38*0,15))),"",INDIRECT("'R10.Documentos no web'!D"&amp;SUM(18,38*0,15))))</f>
        <v/>
      </c>
      <c r="F75" s="99" t="str" cm="1">
        <f t="array" aca="1" ref="F75" ca="1">IF($B75="","",IF(ISBLANK(INDIRECT("'R10.Documentos no web'!D"&amp;SUM(18,38*1,15))),"",INDIRECT("'R10.Documentos no web'!D"&amp;SUM(18,38*1,15))))</f>
        <v/>
      </c>
      <c r="G75" s="99" t="str" cm="1">
        <f t="array" aca="1" ref="G75" ca="1">IF($B75="","",IF(ISBLANK(INDIRECT("'R10.Documentos no web'!D"&amp;SUM(18,38*2,15))),"",INDIRECT("'R10.Documentos no web'!D"&amp;SUM(18,38*2,15))))</f>
        <v/>
      </c>
      <c r="H75" s="99" t="str" cm="1">
        <f t="array" aca="1" ref="H75" ca="1">IF($B75="","",IF(ISBLANK(INDIRECT("'R10.Documentos no web'!D"&amp;SUM(18,38*3,15))),"",INDIRECT("'R10.Documentos no web'!D"&amp;SUM(18,38*3,15))))</f>
        <v/>
      </c>
      <c r="I75" s="99" t="str" cm="1">
        <f t="array" aca="1" ref="I75" ca="1">IF($B75="","",IF(ISBLANK(INDIRECT("'R10.Documentos no web'!D"&amp;SUM(18,38*4,15))),"",INDIRECT("'R10.Documentos no web'!D"&amp;SUM(18,38*4,15))))</f>
        <v/>
      </c>
      <c r="J75" s="99" t="str" cm="1">
        <f t="array" aca="1" ref="J75" ca="1">IF($B75="","",IF(ISBLANK(INDIRECT("'R10.Documentos no web'!D"&amp;SUM(18,38*5,15))),"",INDIRECT("'R10.Documentos no web'!D"&amp;SUM(18,38*5,15))))</f>
        <v/>
      </c>
      <c r="K75" s="99" t="str" cm="1">
        <f t="array" aca="1" ref="K75" ca="1">IF($B75="","",IF(ISBLANK(INDIRECT("'R10.Documentos no web'!D"&amp;SUM(18,38*6,15))),"",INDIRECT("'R10.Documentos no web'!D"&amp;SUM(18,38*6,15))))</f>
        <v/>
      </c>
      <c r="L75" s="99" t="str" cm="1">
        <f t="array" aca="1" ref="L75" ca="1">IF($B75="","",IF(ISBLANK(INDIRECT("'R10.Documentos no web'!D"&amp;SUM(18,38*7,15))),"",INDIRECT("'R10.Documentos no web'!D"&amp;SUM(18,38*7,15))))</f>
        <v/>
      </c>
      <c r="M75" s="99" t="str" cm="1">
        <f t="array" aca="1" ref="M75" ca="1">IF($B75="","",IF(ISBLANK(INDIRECT("'R10.Documentos no web'!D"&amp;SUM(18,38*8,15))),"",INDIRECT("'R10.Documentos no web'!D"&amp;SUM(18,38*8,15))))</f>
        <v/>
      </c>
      <c r="N75" s="99" t="str" cm="1">
        <f t="array" aca="1" ref="N75" ca="1">IF($B75="","",IF(ISBLANK(INDIRECT("'R10.Documentos no web'!D"&amp;SUM(18,38*9,15))),"",INDIRECT("'R10.Documentos no web'!D"&amp;SUM(18,38*9,15))))</f>
        <v/>
      </c>
      <c r="O75" s="99" t="str" cm="1">
        <f t="array" aca="1" ref="O75" ca="1">IF($B75="","",IF(ISBLANK(INDIRECT("'R10.Documentos no web'!D"&amp;SUM(18,38*10,15))),"",INDIRECT("'R10.Documentos no web'!D"&amp;SUM(18,38*10,15))))</f>
        <v/>
      </c>
      <c r="P75" s="99" t="str" cm="1">
        <f t="array" aca="1" ref="P75" ca="1">IF($B75="","",IF(ISBLANK(INDIRECT("'R10.Documentos no web'!D"&amp;SUM(18,38*11,15))),"",INDIRECT("'R10.Documentos no web'!D"&amp;SUM(18,38*11,15))))</f>
        <v/>
      </c>
      <c r="Q75" s="99" t="str" cm="1">
        <f t="array" aca="1" ref="Q75" ca="1">IF($B75="","",IF(ISBLANK(INDIRECT("'R10.Documentos no web'!D"&amp;SUM(18,38*12,15))),"",INDIRECT("'R10.Documentos no web'!D"&amp;SUM(18,38*12,15))))</f>
        <v/>
      </c>
      <c r="R75" s="99" t="str" cm="1">
        <f t="array" aca="1" ref="R75" ca="1">IF($B75="","",IF(ISBLANK(INDIRECT("'R10.Documentos no web'!D"&amp;SUM(18,38*13,15))),"",INDIRECT("'R10.Documentos no web'!D"&amp;SUM(18,38*13,15))))</f>
        <v/>
      </c>
      <c r="S75" s="99" t="str" cm="1">
        <f t="array" aca="1" ref="S75" ca="1">IF($B75="","",IF(ISBLANK(INDIRECT("'R10.Documentos no web'!D"&amp;SUM(18,38*14,15))),"",INDIRECT("'R10.Documentos no web'!D"&amp;SUM(18,38*14,15))))</f>
        <v/>
      </c>
      <c r="T75" s="99" t="str" cm="1">
        <f t="array" aca="1" ref="T75" ca="1">IF($B75="","",IF(ISBLANK(INDIRECT("'R10.Documentos no web'!D"&amp;SUM(18,38*15,15))),"",INDIRECT("'R10.Documentos no web'!D"&amp;SUM(18,38*15,15))))</f>
        <v/>
      </c>
      <c r="U75" s="99" t="str" cm="1">
        <f t="array" aca="1" ref="U75" ca="1">IF($B75="","",IF(ISBLANK(INDIRECT("'R10.Documentos no web'!D"&amp;SUM(18,38*16,15))),"",INDIRECT("'R10.Documentos no web'!D"&amp;SUM(18,38*16,15))))</f>
        <v/>
      </c>
      <c r="V75" s="99" t="str" cm="1">
        <f t="array" aca="1" ref="V75" ca="1">IF($B75="","",IF(ISBLANK(INDIRECT("'R10.Documentos no web'!D"&amp;SUM(18,38*17,15))),"",INDIRECT("'R10.Documentos no web'!D"&amp;SUM(18,38*17,15))))</f>
        <v/>
      </c>
      <c r="W75" s="99" t="str" cm="1">
        <f t="array" aca="1" ref="W75" ca="1">IF($B75="","",IF(ISBLANK(INDIRECT("'R10.Documentos no web'!D"&amp;SUM(18,38*18,15))),"",INDIRECT("'R10.Documentos no web'!D"&amp;SUM(18,38*18,15))))</f>
        <v/>
      </c>
      <c r="X75" s="99" t="str" cm="1">
        <f t="array" aca="1" ref="X75" ca="1">IF($B75="","",IF(ISBLANK(INDIRECT("'R10.Documentos no web'!D"&amp;SUM(18,38*19,15))),"",INDIRECT("'R10.Documentos no web'!D"&amp;SUM(18,38*19,15))))</f>
        <v/>
      </c>
      <c r="Y75" s="99" t="str" cm="1">
        <f t="array" aca="1" ref="Y75" ca="1">IF($B75="","",IF(ISBLANK(INDIRECT("'R10.Documentos no web'!D"&amp;SUM(18,38*20,15))),"",INDIRECT("'R10.Documentos no web'!D"&amp;SUM(18,38*20,15))))</f>
        <v/>
      </c>
      <c r="Z75" s="99" t="str" cm="1">
        <f t="array" aca="1" ref="Z75" ca="1">IF($B75="","",IF(ISBLANK(INDIRECT("'R10.Documentos no web'!D"&amp;SUM(18,38*21,15))),"",INDIRECT("'R10.Documentos no web'!D"&amp;SUM(18,38*21,15))))</f>
        <v/>
      </c>
      <c r="AA75" s="99" t="str" cm="1">
        <f t="array" aca="1" ref="AA75" ca="1">IF($B75="","",IF(ISBLANK(INDIRECT("'R10.Documentos no web'!D"&amp;SUM(18,38*22,15))),"",INDIRECT("'R10.Documentos no web'!D"&amp;SUM(18,38*22,15))))</f>
        <v/>
      </c>
      <c r="AB75" s="99" t="str" cm="1">
        <f t="array" aca="1" ref="AB75" ca="1">IF($B75="","",IF(ISBLANK(INDIRECT("'R10.Documentos no web'!D"&amp;SUM(18,38*23,15))),"",INDIRECT("'R10.Documentos no web'!D"&amp;SUM(18,38*23,15))))</f>
        <v/>
      </c>
      <c r="AC75" s="99" t="str" cm="1">
        <f t="array" aca="1" ref="AC75" ca="1">IF($B75="","",IF(ISBLANK(INDIRECT("'R10.Documentos no web'!D"&amp;SUM(18,38*24,15))),"",INDIRECT("'R10.Documentos no web'!D"&amp;SUM(18,38*24,15))))</f>
        <v/>
      </c>
      <c r="AD75" s="99" t="str" cm="1">
        <f t="array" aca="1" ref="AD75" ca="1">IF($B75="","",IF(ISBLANK(INDIRECT("'R10.Documentos no web'!D"&amp;SUM(18,38*25,15))),"",INDIRECT("'R10.Documentos no web'!D"&amp;SUM(18,38*25,15))))</f>
        <v/>
      </c>
      <c r="AE75" s="99" t="str" cm="1">
        <f t="array" aca="1" ref="AE75" ca="1">IF($B75="","",IF(ISBLANK(INDIRECT("'R10.Documentos no web'!D"&amp;SUM(18,38*26,15))),"",INDIRECT("'R10.Documentos no web'!D"&amp;SUM(18,38*26,15))))</f>
        <v/>
      </c>
      <c r="AF75" s="99" t="str" cm="1">
        <f t="array" aca="1" ref="AF75" ca="1">IF($B75="","",IF(ISBLANK(INDIRECT("'R10.Documentos no web'!D"&amp;SUM(18,38*27,15))),"",INDIRECT("'R10.Documentos no web'!D"&amp;SUM(18,38*27,15))))</f>
        <v/>
      </c>
      <c r="AG75" s="99" t="str" cm="1">
        <f t="array" aca="1" ref="AG75" ca="1">IF($B75="","",IF(ISBLANK(INDIRECT("'R10.Documentos no web'!D"&amp;SUM(18,38*28,15))),"",INDIRECT("'R10.Documentos no web'!D"&amp;SUM(18,38*28,15))))</f>
        <v/>
      </c>
      <c r="AH75" s="99" t="str" cm="1">
        <f t="array" aca="1" ref="AH75" ca="1">IF($B75="","",IF(ISBLANK(INDIRECT("'R10.Documentos no web'!D"&amp;SUM(18,38*29,15))),"",INDIRECT("'R10.Documentos no web'!D"&amp;SUM(18,38*29,15))))</f>
        <v/>
      </c>
      <c r="AI75" s="99" t="str" cm="1">
        <f t="array" aca="1" ref="AI75" ca="1">IF($B75="","",IF(ISBLANK(INDIRECT("'R10.Documentos no web'!D"&amp;SUM(18,38*30,15))),"",INDIRECT("'R10.Documentos no web'!D"&amp;SUM(18,38*30,15))))</f>
        <v/>
      </c>
      <c r="AJ75" s="99" t="str" cm="1">
        <f t="array" aca="1" ref="AJ75" ca="1">IF($B75="","",IF(ISBLANK(INDIRECT("'R10.Documentos no web'!D"&amp;SUM(18,38*31,15))),"",INDIRECT("'R10.Documentos no web'!D"&amp;SUM(18,38*31,15))))</f>
        <v/>
      </c>
      <c r="AK75" s="99" t="str" cm="1">
        <f t="array" aca="1" ref="AK75" ca="1">IF($B75="","",IF(ISBLANK(INDIRECT("'R10.Documentos no web'!D"&amp;SUM(18,38*32,15))),"",INDIRECT("'R10.Documentos no web'!D"&amp;SUM(18,38*32,15))))</f>
        <v/>
      </c>
      <c r="AL75" s="99" t="str" cm="1">
        <f t="array" aca="1" ref="AL75" ca="1">IF($B75="","",IF(ISBLANK(INDIRECT("'R10.Documentos no web'!D"&amp;SUM(18,38*33,15))),"",INDIRECT("'R10.Documentos no web'!D"&amp;SUM(18,38*33,15))))</f>
        <v/>
      </c>
      <c r="AM75" s="99" t="str" cm="1">
        <f t="array" aca="1" ref="AM75" ca="1">IF($B75="","",IF(ISBLANK(INDIRECT("'R10.Documentos no web'!D"&amp;SUM(18,38*34,15))),"",INDIRECT("'R10.Documentos no web'!D"&amp;SUM(18,38*34,15))))</f>
        <v/>
      </c>
      <c r="AN75" s="99" t="str" cm="1">
        <f t="array" aca="1" ref="AN75" ca="1">IF($B75="","",IF(ISBLANK(INDIRECT("'R10.Documentos no web'!D"&amp;SUM(18,38*35,15))),"",INDIRECT("'R10.Documentos no web'!D"&amp;SUM(18,38*35,15))))</f>
        <v/>
      </c>
      <c r="AO75" s="99" t="str" cm="1">
        <f t="array" aca="1" ref="AO75" ca="1">IF($B75="","",IF(ISBLANK(INDIRECT("'R10.Documentos no web'!D"&amp;SUM(18,38*36,15))),"",INDIRECT("'R10.Documentos no web'!D"&amp;SUM(18,38*36,15))))</f>
        <v/>
      </c>
      <c r="AP75" s="99" t="str" cm="1">
        <f t="array" aca="1" ref="AP75" ca="1">IF($B75="","",IF(ISBLANK(INDIRECT("'R10.Documentos no web'!D"&amp;SUM(18,38*37,15))),"",INDIRECT("'R10.Documentos no web'!D"&amp;SUM(18,38*37,15))))</f>
        <v/>
      </c>
      <c r="AQ75" s="99" t="str" cm="1">
        <f t="array" aca="1" ref="AQ75" ca="1">IF($B75="","",IF(ISBLANK(INDIRECT("'R10.Documentos no web'!D"&amp;SUM(18,38*38,15))),"",INDIRECT("'R10.Documentos no web'!D"&amp;SUM(18,38*38,15))))</f>
        <v/>
      </c>
      <c r="AR75" s="99" t="str" cm="1">
        <f t="array" aca="1" ref="AR75" ca="1">IF($B75="","",IF(ISBLANK(INDIRECT("'R10.Documentos no web'!D"&amp;SUM(18,38*39,15))),"",INDIRECT("'R10.Documentos no web'!D"&amp;SUM(18,38*39,15))))</f>
        <v/>
      </c>
      <c r="AS75" s="99" t="str" cm="1">
        <f t="array" aca="1" ref="AS75" ca="1">IF($B75="","",IF(ISBLANK(INDIRECT("'R10.Documentos no web'!D"&amp;SUM(18,38*40,15))),"",INDIRECT("'R10.Documentos no web'!D"&amp;SUM(18,38*40,15))))</f>
        <v/>
      </c>
      <c r="AT75" s="99" t="str" cm="1">
        <f t="array" aca="1" ref="AT75" ca="1">IF($B75="","",IF(ISBLANK(INDIRECT("'R10.Documentos no web'!D"&amp;SUM(18,38*41,15))),"",INDIRECT("'R10.Documentos no web'!D"&amp;SUM(18,38*41,15))))</f>
        <v/>
      </c>
      <c r="AU75" s="99" t="str" cm="1">
        <f t="array" aca="1" ref="AU75" ca="1">IF($B75="","",IF(ISBLANK(INDIRECT("'R10.Documentos no web'!D"&amp;SUM(18,38*42,15))),"",INDIRECT("'R10.Documentos no web'!D"&amp;SUM(18,38*42,15))))</f>
        <v/>
      </c>
      <c r="AV75" s="99" t="str" cm="1">
        <f t="array" aca="1" ref="AV75" ca="1">IF($B75="","",IF(ISBLANK(INDIRECT("'R10.Documentos no web'!D"&amp;SUM(18,38*43,15))),"",INDIRECT("'R10.Documentos no web'!D"&amp;SUM(18,38*43,15))))</f>
        <v/>
      </c>
      <c r="AW75" s="99" t="str" cm="1">
        <f t="array" aca="1" ref="AW75" ca="1">IF($B75="","",IF(ISBLANK(INDIRECT("'R10.Documentos no web'!D"&amp;SUM(18,38*44,15))),"",INDIRECT("'R10.Documentos no web'!D"&amp;SUM(18,38*44,15))))</f>
        <v/>
      </c>
    </row>
    <row r="76" spans="2:49" ht="20.25" customHeight="1">
      <c r="B76" s="181" t="str" cm="1">
        <f t="array" ref="B76">IFERROR(INDEX('03.Muestra'!$B$8:$B$42,SMALL(IF("Documento no web"='03.Muestra'!$D$8:$D$42,ROW('03.Muestra'!$B$8:$B$42)-MIN(ROW('03.Muestra'!$D$8:$D$42))+1,""),ROW()-60)),"")</f>
        <v/>
      </c>
      <c r="C76" s="97" t="str" cm="1">
        <f t="array" ref="C76">IFERROR(INDEX('03.Muestra'!$C$8:$C$42,SMALL(IF("Documento no web"='03.Muestra'!$D$8:$D$42,ROW('03.Muestra'!$C$8:$C$42)-MIN(ROW('03.Muestra'!$D$8:$D$42))+1,""),ROW()-60)),"")</f>
        <v/>
      </c>
      <c r="D76" s="98" t="str" cm="1">
        <f t="array" ref="D76">IFERROR(INDEX('03.Muestra'!$F$8:$F$42,SMALL(IF("Documento no web"='03.Muestra'!$D$8:$D$42,ROW('03.Muestra'!$F$8:$F$42)-MIN(ROW('03.Muestra'!$D$8:$D$42))+1,""),ROW()-60)),"")</f>
        <v/>
      </c>
      <c r="E76" s="99" t="str" cm="1">
        <f t="array" aca="1" ref="E76" ca="1">IF($B76="","",IF(ISBLANK(INDIRECT("'R10.Documentos no web'!D"&amp;SUM(18,38*0,16))),"",INDIRECT("'R10.Documentos no web'!D"&amp;SUM(18,38*0,16))))</f>
        <v/>
      </c>
      <c r="F76" s="99" t="str" cm="1">
        <f t="array" aca="1" ref="F76" ca="1">IF($B76="","",IF(ISBLANK(INDIRECT("'R10.Documentos no web'!D"&amp;SUM(18,38*1,16))),"",INDIRECT("'R10.Documentos no web'!D"&amp;SUM(18,38*1,16))))</f>
        <v/>
      </c>
      <c r="G76" s="99" t="str" cm="1">
        <f t="array" aca="1" ref="G76" ca="1">IF($B76="","",IF(ISBLANK(INDIRECT("'R10.Documentos no web'!D"&amp;SUM(18,38*2,16))),"",INDIRECT("'R10.Documentos no web'!D"&amp;SUM(18,38*2,16))))</f>
        <v/>
      </c>
      <c r="H76" s="99" t="str" cm="1">
        <f t="array" aca="1" ref="H76" ca="1">IF($B76="","",IF(ISBLANK(INDIRECT("'R10.Documentos no web'!D"&amp;SUM(18,38*3,16))),"",INDIRECT("'R10.Documentos no web'!D"&amp;SUM(18,38*3,16))))</f>
        <v/>
      </c>
      <c r="I76" s="99" t="str" cm="1">
        <f t="array" aca="1" ref="I76" ca="1">IF($B76="","",IF(ISBLANK(INDIRECT("'R10.Documentos no web'!D"&amp;SUM(18,38*4,16))),"",INDIRECT("'R10.Documentos no web'!D"&amp;SUM(18,38*4,16))))</f>
        <v/>
      </c>
      <c r="J76" s="99" t="str" cm="1">
        <f t="array" aca="1" ref="J76" ca="1">IF($B76="","",IF(ISBLANK(INDIRECT("'R10.Documentos no web'!D"&amp;SUM(18,38*5,16))),"",INDIRECT("'R10.Documentos no web'!D"&amp;SUM(18,38*5,16))))</f>
        <v/>
      </c>
      <c r="K76" s="99" t="str" cm="1">
        <f t="array" aca="1" ref="K76" ca="1">IF($B76="","",IF(ISBLANK(INDIRECT("'R10.Documentos no web'!D"&amp;SUM(18,38*6,16))),"",INDIRECT("'R10.Documentos no web'!D"&amp;SUM(18,38*6,16))))</f>
        <v/>
      </c>
      <c r="L76" s="99" t="str" cm="1">
        <f t="array" aca="1" ref="L76" ca="1">IF($B76="","",IF(ISBLANK(INDIRECT("'R10.Documentos no web'!D"&amp;SUM(18,38*7,16))),"",INDIRECT("'R10.Documentos no web'!D"&amp;SUM(18,38*7,16))))</f>
        <v/>
      </c>
      <c r="M76" s="99" t="str" cm="1">
        <f t="array" aca="1" ref="M76" ca="1">IF($B76="","",IF(ISBLANK(INDIRECT("'R10.Documentos no web'!D"&amp;SUM(18,38*8,16))),"",INDIRECT("'R10.Documentos no web'!D"&amp;SUM(18,38*8,16))))</f>
        <v/>
      </c>
      <c r="N76" s="99" t="str" cm="1">
        <f t="array" aca="1" ref="N76" ca="1">IF($B76="","",IF(ISBLANK(INDIRECT("'R10.Documentos no web'!D"&amp;SUM(18,38*9,16))),"",INDIRECT("'R10.Documentos no web'!D"&amp;SUM(18,38*9,16))))</f>
        <v/>
      </c>
      <c r="O76" s="99" t="str" cm="1">
        <f t="array" aca="1" ref="O76" ca="1">IF($B76="","",IF(ISBLANK(INDIRECT("'R10.Documentos no web'!D"&amp;SUM(18,38*10,16))),"",INDIRECT("'R10.Documentos no web'!D"&amp;SUM(18,38*10,16))))</f>
        <v/>
      </c>
      <c r="P76" s="99" t="str" cm="1">
        <f t="array" aca="1" ref="P76" ca="1">IF($B76="","",IF(ISBLANK(INDIRECT("'R10.Documentos no web'!D"&amp;SUM(18,38*11,16))),"",INDIRECT("'R10.Documentos no web'!D"&amp;SUM(18,38*11,16))))</f>
        <v/>
      </c>
      <c r="Q76" s="99" t="str" cm="1">
        <f t="array" aca="1" ref="Q76" ca="1">IF($B76="","",IF(ISBLANK(INDIRECT("'R10.Documentos no web'!D"&amp;SUM(18,38*12,16))),"",INDIRECT("'R10.Documentos no web'!D"&amp;SUM(18,38*12,16))))</f>
        <v/>
      </c>
      <c r="R76" s="99" t="str" cm="1">
        <f t="array" aca="1" ref="R76" ca="1">IF($B76="","",IF(ISBLANK(INDIRECT("'R10.Documentos no web'!D"&amp;SUM(18,38*13,16))),"",INDIRECT("'R10.Documentos no web'!D"&amp;SUM(18,38*13,16))))</f>
        <v/>
      </c>
      <c r="S76" s="99" t="str" cm="1">
        <f t="array" aca="1" ref="S76" ca="1">IF($B76="","",IF(ISBLANK(INDIRECT("'R10.Documentos no web'!D"&amp;SUM(18,38*14,16))),"",INDIRECT("'R10.Documentos no web'!D"&amp;SUM(18,38*14,16))))</f>
        <v/>
      </c>
      <c r="T76" s="99" t="str" cm="1">
        <f t="array" aca="1" ref="T76" ca="1">IF($B76="","",IF(ISBLANK(INDIRECT("'R10.Documentos no web'!D"&amp;SUM(18,38*15,16))),"",INDIRECT("'R10.Documentos no web'!D"&amp;SUM(18,38*15,16))))</f>
        <v/>
      </c>
      <c r="U76" s="99" t="str" cm="1">
        <f t="array" aca="1" ref="U76" ca="1">IF($B76="","",IF(ISBLANK(INDIRECT("'R10.Documentos no web'!D"&amp;SUM(18,38*16,16))),"",INDIRECT("'R10.Documentos no web'!D"&amp;SUM(18,38*16,16))))</f>
        <v/>
      </c>
      <c r="V76" s="99" t="str" cm="1">
        <f t="array" aca="1" ref="V76" ca="1">IF($B76="","",IF(ISBLANK(INDIRECT("'R10.Documentos no web'!D"&amp;SUM(18,38*17,16))),"",INDIRECT("'R10.Documentos no web'!D"&amp;SUM(18,38*17,16))))</f>
        <v/>
      </c>
      <c r="W76" s="99" t="str" cm="1">
        <f t="array" aca="1" ref="W76" ca="1">IF($B76="","",IF(ISBLANK(INDIRECT("'R10.Documentos no web'!D"&amp;SUM(18,38*18,16))),"",INDIRECT("'R10.Documentos no web'!D"&amp;SUM(18,38*18,16))))</f>
        <v/>
      </c>
      <c r="X76" s="99" t="str" cm="1">
        <f t="array" aca="1" ref="X76" ca="1">IF($B76="","",IF(ISBLANK(INDIRECT("'R10.Documentos no web'!D"&amp;SUM(18,38*19,16))),"",INDIRECT("'R10.Documentos no web'!D"&amp;SUM(18,38*19,16))))</f>
        <v/>
      </c>
      <c r="Y76" s="99" t="str" cm="1">
        <f t="array" aca="1" ref="Y76" ca="1">IF($B76="","",IF(ISBLANK(INDIRECT("'R10.Documentos no web'!D"&amp;SUM(18,38*20,16))),"",INDIRECT("'R10.Documentos no web'!D"&amp;SUM(18,38*20,16))))</f>
        <v/>
      </c>
      <c r="Z76" s="99" t="str" cm="1">
        <f t="array" aca="1" ref="Z76" ca="1">IF($B76="","",IF(ISBLANK(INDIRECT("'R10.Documentos no web'!D"&amp;SUM(18,38*21,16))),"",INDIRECT("'R10.Documentos no web'!D"&amp;SUM(18,38*21,16))))</f>
        <v/>
      </c>
      <c r="AA76" s="99" t="str" cm="1">
        <f t="array" aca="1" ref="AA76" ca="1">IF($B76="","",IF(ISBLANK(INDIRECT("'R10.Documentos no web'!D"&amp;SUM(18,38*22,16))),"",INDIRECT("'R10.Documentos no web'!D"&amp;SUM(18,38*22,16))))</f>
        <v/>
      </c>
      <c r="AB76" s="99" t="str" cm="1">
        <f t="array" aca="1" ref="AB76" ca="1">IF($B76="","",IF(ISBLANK(INDIRECT("'R10.Documentos no web'!D"&amp;SUM(18,38*23,16))),"",INDIRECT("'R10.Documentos no web'!D"&amp;SUM(18,38*23,16))))</f>
        <v/>
      </c>
      <c r="AC76" s="99" t="str" cm="1">
        <f t="array" aca="1" ref="AC76" ca="1">IF($B76="","",IF(ISBLANK(INDIRECT("'R10.Documentos no web'!D"&amp;SUM(18,38*24,16))),"",INDIRECT("'R10.Documentos no web'!D"&amp;SUM(18,38*24,16))))</f>
        <v/>
      </c>
      <c r="AD76" s="99" t="str" cm="1">
        <f t="array" aca="1" ref="AD76" ca="1">IF($B76="","",IF(ISBLANK(INDIRECT("'R10.Documentos no web'!D"&amp;SUM(18,38*25,16))),"",INDIRECT("'R10.Documentos no web'!D"&amp;SUM(18,38*25,16))))</f>
        <v/>
      </c>
      <c r="AE76" s="99" t="str" cm="1">
        <f t="array" aca="1" ref="AE76" ca="1">IF($B76="","",IF(ISBLANK(INDIRECT("'R10.Documentos no web'!D"&amp;SUM(18,38*26,16))),"",INDIRECT("'R10.Documentos no web'!D"&amp;SUM(18,38*26,16))))</f>
        <v/>
      </c>
      <c r="AF76" s="99" t="str" cm="1">
        <f t="array" aca="1" ref="AF76" ca="1">IF($B76="","",IF(ISBLANK(INDIRECT("'R10.Documentos no web'!D"&amp;SUM(18,38*27,16))),"",INDIRECT("'R10.Documentos no web'!D"&amp;SUM(18,38*27,16))))</f>
        <v/>
      </c>
      <c r="AG76" s="99" t="str" cm="1">
        <f t="array" aca="1" ref="AG76" ca="1">IF($B76="","",IF(ISBLANK(INDIRECT("'R10.Documentos no web'!D"&amp;SUM(18,38*28,16))),"",INDIRECT("'R10.Documentos no web'!D"&amp;SUM(18,38*28,16))))</f>
        <v/>
      </c>
      <c r="AH76" s="99" t="str" cm="1">
        <f t="array" aca="1" ref="AH76" ca="1">IF($B76="","",IF(ISBLANK(INDIRECT("'R10.Documentos no web'!D"&amp;SUM(18,38*29,16))),"",INDIRECT("'R10.Documentos no web'!D"&amp;SUM(18,38*29,16))))</f>
        <v/>
      </c>
      <c r="AI76" s="99" t="str" cm="1">
        <f t="array" aca="1" ref="AI76" ca="1">IF($B76="","",IF(ISBLANK(INDIRECT("'R10.Documentos no web'!D"&amp;SUM(18,38*30,16))),"",INDIRECT("'R10.Documentos no web'!D"&amp;SUM(18,38*30,16))))</f>
        <v/>
      </c>
      <c r="AJ76" s="99" t="str" cm="1">
        <f t="array" aca="1" ref="AJ76" ca="1">IF($B76="","",IF(ISBLANK(INDIRECT("'R10.Documentos no web'!D"&amp;SUM(18,38*31,16))),"",INDIRECT("'R10.Documentos no web'!D"&amp;SUM(18,38*31,16))))</f>
        <v/>
      </c>
      <c r="AK76" s="99" t="str" cm="1">
        <f t="array" aca="1" ref="AK76" ca="1">IF($B76="","",IF(ISBLANK(INDIRECT("'R10.Documentos no web'!D"&amp;SUM(18,38*32,16))),"",INDIRECT("'R10.Documentos no web'!D"&amp;SUM(18,38*32,16))))</f>
        <v/>
      </c>
      <c r="AL76" s="99" t="str" cm="1">
        <f t="array" aca="1" ref="AL76" ca="1">IF($B76="","",IF(ISBLANK(INDIRECT("'R10.Documentos no web'!D"&amp;SUM(18,38*33,16))),"",INDIRECT("'R10.Documentos no web'!D"&amp;SUM(18,38*33,16))))</f>
        <v/>
      </c>
      <c r="AM76" s="99" t="str" cm="1">
        <f t="array" aca="1" ref="AM76" ca="1">IF($B76="","",IF(ISBLANK(INDIRECT("'R10.Documentos no web'!D"&amp;SUM(18,38*34,16))),"",INDIRECT("'R10.Documentos no web'!D"&amp;SUM(18,38*34,16))))</f>
        <v/>
      </c>
      <c r="AN76" s="99" t="str" cm="1">
        <f t="array" aca="1" ref="AN76" ca="1">IF($B76="","",IF(ISBLANK(INDIRECT("'R10.Documentos no web'!D"&amp;SUM(18,38*35,16))),"",INDIRECT("'R10.Documentos no web'!D"&amp;SUM(18,38*35,16))))</f>
        <v/>
      </c>
      <c r="AO76" s="99" t="str" cm="1">
        <f t="array" aca="1" ref="AO76" ca="1">IF($B76="","",IF(ISBLANK(INDIRECT("'R10.Documentos no web'!D"&amp;SUM(18,38*36,16))),"",INDIRECT("'R10.Documentos no web'!D"&amp;SUM(18,38*36,16))))</f>
        <v/>
      </c>
      <c r="AP76" s="99" t="str" cm="1">
        <f t="array" aca="1" ref="AP76" ca="1">IF($B76="","",IF(ISBLANK(INDIRECT("'R10.Documentos no web'!D"&amp;SUM(18,38*37,16))),"",INDIRECT("'R10.Documentos no web'!D"&amp;SUM(18,38*37,16))))</f>
        <v/>
      </c>
      <c r="AQ76" s="99" t="str" cm="1">
        <f t="array" aca="1" ref="AQ76" ca="1">IF($B76="","",IF(ISBLANK(INDIRECT("'R10.Documentos no web'!D"&amp;SUM(18,38*38,16))),"",INDIRECT("'R10.Documentos no web'!D"&amp;SUM(18,38*38,16))))</f>
        <v/>
      </c>
      <c r="AR76" s="99" t="str" cm="1">
        <f t="array" aca="1" ref="AR76" ca="1">IF($B76="","",IF(ISBLANK(INDIRECT("'R10.Documentos no web'!D"&amp;SUM(18,38*39,16))),"",INDIRECT("'R10.Documentos no web'!D"&amp;SUM(18,38*39,16))))</f>
        <v/>
      </c>
      <c r="AS76" s="99" t="str" cm="1">
        <f t="array" aca="1" ref="AS76" ca="1">IF($B76="","",IF(ISBLANK(INDIRECT("'R10.Documentos no web'!D"&amp;SUM(18,38*40,16))),"",INDIRECT("'R10.Documentos no web'!D"&amp;SUM(18,38*40,16))))</f>
        <v/>
      </c>
      <c r="AT76" s="99" t="str" cm="1">
        <f t="array" aca="1" ref="AT76" ca="1">IF($B76="","",IF(ISBLANK(INDIRECT("'R10.Documentos no web'!D"&amp;SUM(18,38*41,16))),"",INDIRECT("'R10.Documentos no web'!D"&amp;SUM(18,38*41,16))))</f>
        <v/>
      </c>
      <c r="AU76" s="99" t="str" cm="1">
        <f t="array" aca="1" ref="AU76" ca="1">IF($B76="","",IF(ISBLANK(INDIRECT("'R10.Documentos no web'!D"&amp;SUM(18,38*42,16))),"",INDIRECT("'R10.Documentos no web'!D"&amp;SUM(18,38*42,16))))</f>
        <v/>
      </c>
      <c r="AV76" s="99" t="str" cm="1">
        <f t="array" aca="1" ref="AV76" ca="1">IF($B76="","",IF(ISBLANK(INDIRECT("'R10.Documentos no web'!D"&amp;SUM(18,38*43,16))),"",INDIRECT("'R10.Documentos no web'!D"&amp;SUM(18,38*43,16))))</f>
        <v/>
      </c>
      <c r="AW76" s="99" t="str" cm="1">
        <f t="array" aca="1" ref="AW76" ca="1">IF($B76="","",IF(ISBLANK(INDIRECT("'R10.Documentos no web'!D"&amp;SUM(18,38*44,16))),"",INDIRECT("'R10.Documentos no web'!D"&amp;SUM(18,38*44,16))))</f>
        <v/>
      </c>
    </row>
    <row r="77" spans="2:49" ht="20.25" customHeight="1">
      <c r="B77" s="181" t="str" cm="1">
        <f t="array" ref="B77">IFERROR(INDEX('03.Muestra'!$B$8:$B$42,SMALL(IF("Documento no web"='03.Muestra'!$D$8:$D$42,ROW('03.Muestra'!$B$8:$B$42)-MIN(ROW('03.Muestra'!$D$8:$D$42))+1,""),ROW()-60)),"")</f>
        <v/>
      </c>
      <c r="C77" s="97" t="str" cm="1">
        <f t="array" ref="C77">IFERROR(INDEX('03.Muestra'!$C$8:$C$42,SMALL(IF("Documento no web"='03.Muestra'!$D$8:$D$42,ROW('03.Muestra'!$C$8:$C$42)-MIN(ROW('03.Muestra'!$D$8:$D$42))+1,""),ROW()-60)),"")</f>
        <v/>
      </c>
      <c r="D77" s="98" t="str" cm="1">
        <f t="array" ref="D77">IFERROR(INDEX('03.Muestra'!$F$8:$F$42,SMALL(IF("Documento no web"='03.Muestra'!$D$8:$D$42,ROW('03.Muestra'!$F$8:$F$42)-MIN(ROW('03.Muestra'!$D$8:$D$42))+1,""),ROW()-60)),"")</f>
        <v/>
      </c>
      <c r="E77" s="99" t="str" cm="1">
        <f t="array" aca="1" ref="E77" ca="1">IF($B77="","",IF(ISBLANK(INDIRECT("'R10.Documentos no web'!D"&amp;SUM(18,38*0,17))),"",INDIRECT("'R10.Documentos no web'!D"&amp;SUM(18,38*0,17))))</f>
        <v/>
      </c>
      <c r="F77" s="99" t="str" cm="1">
        <f t="array" aca="1" ref="F77" ca="1">IF($B77="","",IF(ISBLANK(INDIRECT("'R10.Documentos no web'!D"&amp;SUM(18,38*1,17))),"",INDIRECT("'R10.Documentos no web'!D"&amp;SUM(18,38*1,17))))</f>
        <v/>
      </c>
      <c r="G77" s="99" t="str" cm="1">
        <f t="array" aca="1" ref="G77" ca="1">IF($B77="","",IF(ISBLANK(INDIRECT("'R10.Documentos no web'!D"&amp;SUM(18,38*2,17))),"",INDIRECT("'R10.Documentos no web'!D"&amp;SUM(18,38*2,17))))</f>
        <v/>
      </c>
      <c r="H77" s="99" t="str" cm="1">
        <f t="array" aca="1" ref="H77" ca="1">IF($B77="","",IF(ISBLANK(INDIRECT("'R10.Documentos no web'!D"&amp;SUM(18,38*3,17))),"",INDIRECT("'R10.Documentos no web'!D"&amp;SUM(18,38*3,17))))</f>
        <v/>
      </c>
      <c r="I77" s="99" t="str" cm="1">
        <f t="array" aca="1" ref="I77" ca="1">IF($B77="","",IF(ISBLANK(INDIRECT("'R10.Documentos no web'!D"&amp;SUM(18,38*4,17))),"",INDIRECT("'R10.Documentos no web'!D"&amp;SUM(18,38*4,17))))</f>
        <v/>
      </c>
      <c r="J77" s="99" t="str" cm="1">
        <f t="array" aca="1" ref="J77" ca="1">IF($B77="","",IF(ISBLANK(INDIRECT("'R10.Documentos no web'!D"&amp;SUM(18,38*5,17))),"",INDIRECT("'R10.Documentos no web'!D"&amp;SUM(18,38*5,17))))</f>
        <v/>
      </c>
      <c r="K77" s="99" t="str" cm="1">
        <f t="array" aca="1" ref="K77" ca="1">IF($B77="","",IF(ISBLANK(INDIRECT("'R10.Documentos no web'!D"&amp;SUM(18,38*6,17))),"",INDIRECT("'R10.Documentos no web'!D"&amp;SUM(18,38*6,17))))</f>
        <v/>
      </c>
      <c r="L77" s="99" t="str" cm="1">
        <f t="array" aca="1" ref="L77" ca="1">IF($B77="","",IF(ISBLANK(INDIRECT("'R10.Documentos no web'!D"&amp;SUM(18,38*7,17))),"",INDIRECT("'R10.Documentos no web'!D"&amp;SUM(18,38*7,17))))</f>
        <v/>
      </c>
      <c r="M77" s="99" t="str" cm="1">
        <f t="array" aca="1" ref="M77" ca="1">IF($B77="","",IF(ISBLANK(INDIRECT("'R10.Documentos no web'!D"&amp;SUM(18,38*8,17))),"",INDIRECT("'R10.Documentos no web'!D"&amp;SUM(18,38*8,17))))</f>
        <v/>
      </c>
      <c r="N77" s="99" t="str" cm="1">
        <f t="array" aca="1" ref="N77" ca="1">IF($B77="","",IF(ISBLANK(INDIRECT("'R10.Documentos no web'!D"&amp;SUM(18,38*9,17))),"",INDIRECT("'R10.Documentos no web'!D"&amp;SUM(18,38*9,17))))</f>
        <v/>
      </c>
      <c r="O77" s="99" t="str" cm="1">
        <f t="array" aca="1" ref="O77" ca="1">IF($B77="","",IF(ISBLANK(INDIRECT("'R10.Documentos no web'!D"&amp;SUM(18,38*10,17))),"",INDIRECT("'R10.Documentos no web'!D"&amp;SUM(18,38*10,17))))</f>
        <v/>
      </c>
      <c r="P77" s="99" t="str" cm="1">
        <f t="array" aca="1" ref="P77" ca="1">IF($B77="","",IF(ISBLANK(INDIRECT("'R10.Documentos no web'!D"&amp;SUM(18,38*11,17))),"",INDIRECT("'R10.Documentos no web'!D"&amp;SUM(18,38*11,17))))</f>
        <v/>
      </c>
      <c r="Q77" s="99" t="str" cm="1">
        <f t="array" aca="1" ref="Q77" ca="1">IF($B77="","",IF(ISBLANK(INDIRECT("'R10.Documentos no web'!D"&amp;SUM(18,38*12,17))),"",INDIRECT("'R10.Documentos no web'!D"&amp;SUM(18,38*12,17))))</f>
        <v/>
      </c>
      <c r="R77" s="99" t="str" cm="1">
        <f t="array" aca="1" ref="R77" ca="1">IF($B77="","",IF(ISBLANK(INDIRECT("'R10.Documentos no web'!D"&amp;SUM(18,38*13,17))),"",INDIRECT("'R10.Documentos no web'!D"&amp;SUM(18,38*13,17))))</f>
        <v/>
      </c>
      <c r="S77" s="99" t="str" cm="1">
        <f t="array" aca="1" ref="S77" ca="1">IF($B77="","",IF(ISBLANK(INDIRECT("'R10.Documentos no web'!D"&amp;SUM(18,38*14,17))),"",INDIRECT("'R10.Documentos no web'!D"&amp;SUM(18,38*14,17))))</f>
        <v/>
      </c>
      <c r="T77" s="99" t="str" cm="1">
        <f t="array" aca="1" ref="T77" ca="1">IF($B77="","",IF(ISBLANK(INDIRECT("'R10.Documentos no web'!D"&amp;SUM(18,38*15,17))),"",INDIRECT("'R10.Documentos no web'!D"&amp;SUM(18,38*15,17))))</f>
        <v/>
      </c>
      <c r="U77" s="99" t="str" cm="1">
        <f t="array" aca="1" ref="U77" ca="1">IF($B77="","",IF(ISBLANK(INDIRECT("'R10.Documentos no web'!D"&amp;SUM(18,38*16,17))),"",INDIRECT("'R10.Documentos no web'!D"&amp;SUM(18,38*16,17))))</f>
        <v/>
      </c>
      <c r="V77" s="99" t="str" cm="1">
        <f t="array" aca="1" ref="V77" ca="1">IF($B77="","",IF(ISBLANK(INDIRECT("'R10.Documentos no web'!D"&amp;SUM(18,38*17,17))),"",INDIRECT("'R10.Documentos no web'!D"&amp;SUM(18,38*17,17))))</f>
        <v/>
      </c>
      <c r="W77" s="99" t="str" cm="1">
        <f t="array" aca="1" ref="W77" ca="1">IF($B77="","",IF(ISBLANK(INDIRECT("'R10.Documentos no web'!D"&amp;SUM(18,38*18,17))),"",INDIRECT("'R10.Documentos no web'!D"&amp;SUM(18,38*18,17))))</f>
        <v/>
      </c>
      <c r="X77" s="99" t="str" cm="1">
        <f t="array" aca="1" ref="X77" ca="1">IF($B77="","",IF(ISBLANK(INDIRECT("'R10.Documentos no web'!D"&amp;SUM(18,38*19,17))),"",INDIRECT("'R10.Documentos no web'!D"&amp;SUM(18,38*19,17))))</f>
        <v/>
      </c>
      <c r="Y77" s="99" t="str" cm="1">
        <f t="array" aca="1" ref="Y77" ca="1">IF($B77="","",IF(ISBLANK(INDIRECT("'R10.Documentos no web'!D"&amp;SUM(18,38*20,17))),"",INDIRECT("'R10.Documentos no web'!D"&amp;SUM(18,38*20,17))))</f>
        <v/>
      </c>
      <c r="Z77" s="99" t="str" cm="1">
        <f t="array" aca="1" ref="Z77" ca="1">IF($B77="","",IF(ISBLANK(INDIRECT("'R10.Documentos no web'!D"&amp;SUM(18,38*21,17))),"",INDIRECT("'R10.Documentos no web'!D"&amp;SUM(18,38*21,17))))</f>
        <v/>
      </c>
      <c r="AA77" s="99" t="str" cm="1">
        <f t="array" aca="1" ref="AA77" ca="1">IF($B77="","",IF(ISBLANK(INDIRECT("'R10.Documentos no web'!D"&amp;SUM(18,38*22,17))),"",INDIRECT("'R10.Documentos no web'!D"&amp;SUM(18,38*22,17))))</f>
        <v/>
      </c>
      <c r="AB77" s="99" t="str" cm="1">
        <f t="array" aca="1" ref="AB77" ca="1">IF($B77="","",IF(ISBLANK(INDIRECT("'R10.Documentos no web'!D"&amp;SUM(18,38*23,17))),"",INDIRECT("'R10.Documentos no web'!D"&amp;SUM(18,38*23,17))))</f>
        <v/>
      </c>
      <c r="AC77" s="99" t="str" cm="1">
        <f t="array" aca="1" ref="AC77" ca="1">IF($B77="","",IF(ISBLANK(INDIRECT("'R10.Documentos no web'!D"&amp;SUM(18,38*24,17))),"",INDIRECT("'R10.Documentos no web'!D"&amp;SUM(18,38*24,17))))</f>
        <v/>
      </c>
      <c r="AD77" s="99" t="str" cm="1">
        <f t="array" aca="1" ref="AD77" ca="1">IF($B77="","",IF(ISBLANK(INDIRECT("'R10.Documentos no web'!D"&amp;SUM(18,38*25,17))),"",INDIRECT("'R10.Documentos no web'!D"&amp;SUM(18,38*25,17))))</f>
        <v/>
      </c>
      <c r="AE77" s="99" t="str" cm="1">
        <f t="array" aca="1" ref="AE77" ca="1">IF($B77="","",IF(ISBLANK(INDIRECT("'R10.Documentos no web'!D"&amp;SUM(18,38*26,17))),"",INDIRECT("'R10.Documentos no web'!D"&amp;SUM(18,38*26,17))))</f>
        <v/>
      </c>
      <c r="AF77" s="99" t="str" cm="1">
        <f t="array" aca="1" ref="AF77" ca="1">IF($B77="","",IF(ISBLANK(INDIRECT("'R10.Documentos no web'!D"&amp;SUM(18,38*27,17))),"",INDIRECT("'R10.Documentos no web'!D"&amp;SUM(18,38*27,17))))</f>
        <v/>
      </c>
      <c r="AG77" s="99" t="str" cm="1">
        <f t="array" aca="1" ref="AG77" ca="1">IF($B77="","",IF(ISBLANK(INDIRECT("'R10.Documentos no web'!D"&amp;SUM(18,38*28,17))),"",INDIRECT("'R10.Documentos no web'!D"&amp;SUM(18,38*28,17))))</f>
        <v/>
      </c>
      <c r="AH77" s="99" t="str" cm="1">
        <f t="array" aca="1" ref="AH77" ca="1">IF($B77="","",IF(ISBLANK(INDIRECT("'R10.Documentos no web'!D"&amp;SUM(18,38*29,17))),"",INDIRECT("'R10.Documentos no web'!D"&amp;SUM(18,38*29,17))))</f>
        <v/>
      </c>
      <c r="AI77" s="99" t="str" cm="1">
        <f t="array" aca="1" ref="AI77" ca="1">IF($B77="","",IF(ISBLANK(INDIRECT("'R10.Documentos no web'!D"&amp;SUM(18,38*30,17))),"",INDIRECT("'R10.Documentos no web'!D"&amp;SUM(18,38*30,17))))</f>
        <v/>
      </c>
      <c r="AJ77" s="99" t="str" cm="1">
        <f t="array" aca="1" ref="AJ77" ca="1">IF($B77="","",IF(ISBLANK(INDIRECT("'R10.Documentos no web'!D"&amp;SUM(18,38*31,17))),"",INDIRECT("'R10.Documentos no web'!D"&amp;SUM(18,38*31,17))))</f>
        <v/>
      </c>
      <c r="AK77" s="99" t="str" cm="1">
        <f t="array" aca="1" ref="AK77" ca="1">IF($B77="","",IF(ISBLANK(INDIRECT("'R10.Documentos no web'!D"&amp;SUM(18,38*32,17))),"",INDIRECT("'R10.Documentos no web'!D"&amp;SUM(18,38*32,17))))</f>
        <v/>
      </c>
      <c r="AL77" s="99" t="str" cm="1">
        <f t="array" aca="1" ref="AL77" ca="1">IF($B77="","",IF(ISBLANK(INDIRECT("'R10.Documentos no web'!D"&amp;SUM(18,38*33,17))),"",INDIRECT("'R10.Documentos no web'!D"&amp;SUM(18,38*33,17))))</f>
        <v/>
      </c>
      <c r="AM77" s="99" t="str" cm="1">
        <f t="array" aca="1" ref="AM77" ca="1">IF($B77="","",IF(ISBLANK(INDIRECT("'R10.Documentos no web'!D"&amp;SUM(18,38*34,17))),"",INDIRECT("'R10.Documentos no web'!D"&amp;SUM(18,38*34,17))))</f>
        <v/>
      </c>
      <c r="AN77" s="99" t="str" cm="1">
        <f t="array" aca="1" ref="AN77" ca="1">IF($B77="","",IF(ISBLANK(INDIRECT("'R10.Documentos no web'!D"&amp;SUM(18,38*35,17))),"",INDIRECT("'R10.Documentos no web'!D"&amp;SUM(18,38*35,17))))</f>
        <v/>
      </c>
      <c r="AO77" s="99" t="str" cm="1">
        <f t="array" aca="1" ref="AO77" ca="1">IF($B77="","",IF(ISBLANK(INDIRECT("'R10.Documentos no web'!D"&amp;SUM(18,38*36,17))),"",INDIRECT("'R10.Documentos no web'!D"&amp;SUM(18,38*36,17))))</f>
        <v/>
      </c>
      <c r="AP77" s="99" t="str" cm="1">
        <f t="array" aca="1" ref="AP77" ca="1">IF($B77="","",IF(ISBLANK(INDIRECT("'R10.Documentos no web'!D"&amp;SUM(18,38*37,17))),"",INDIRECT("'R10.Documentos no web'!D"&amp;SUM(18,38*37,17))))</f>
        <v/>
      </c>
      <c r="AQ77" s="99" t="str" cm="1">
        <f t="array" aca="1" ref="AQ77" ca="1">IF($B77="","",IF(ISBLANK(INDIRECT("'R10.Documentos no web'!D"&amp;SUM(18,38*38,17))),"",INDIRECT("'R10.Documentos no web'!D"&amp;SUM(18,38*38,17))))</f>
        <v/>
      </c>
      <c r="AR77" s="99" t="str" cm="1">
        <f t="array" aca="1" ref="AR77" ca="1">IF($B77="","",IF(ISBLANK(INDIRECT("'R10.Documentos no web'!D"&amp;SUM(18,38*39,17))),"",INDIRECT("'R10.Documentos no web'!D"&amp;SUM(18,38*39,17))))</f>
        <v/>
      </c>
      <c r="AS77" s="99" t="str" cm="1">
        <f t="array" aca="1" ref="AS77" ca="1">IF($B77="","",IF(ISBLANK(INDIRECT("'R10.Documentos no web'!D"&amp;SUM(18,38*40,17))),"",INDIRECT("'R10.Documentos no web'!D"&amp;SUM(18,38*40,17))))</f>
        <v/>
      </c>
      <c r="AT77" s="99" t="str" cm="1">
        <f t="array" aca="1" ref="AT77" ca="1">IF($B77="","",IF(ISBLANK(INDIRECT("'R10.Documentos no web'!D"&amp;SUM(18,38*41,17))),"",INDIRECT("'R10.Documentos no web'!D"&amp;SUM(18,38*41,17))))</f>
        <v/>
      </c>
      <c r="AU77" s="99" t="str" cm="1">
        <f t="array" aca="1" ref="AU77" ca="1">IF($B77="","",IF(ISBLANK(INDIRECT("'R10.Documentos no web'!D"&amp;SUM(18,38*42,17))),"",INDIRECT("'R10.Documentos no web'!D"&amp;SUM(18,38*42,17))))</f>
        <v/>
      </c>
      <c r="AV77" s="99" t="str" cm="1">
        <f t="array" aca="1" ref="AV77" ca="1">IF($B77="","",IF(ISBLANK(INDIRECT("'R10.Documentos no web'!D"&amp;SUM(18,38*43,17))),"",INDIRECT("'R10.Documentos no web'!D"&amp;SUM(18,38*43,17))))</f>
        <v/>
      </c>
      <c r="AW77" s="99" t="str" cm="1">
        <f t="array" aca="1" ref="AW77" ca="1">IF($B77="","",IF(ISBLANK(INDIRECT("'R10.Documentos no web'!D"&amp;SUM(18,38*44,17))),"",INDIRECT("'R10.Documentos no web'!D"&amp;SUM(18,38*44,17))))</f>
        <v/>
      </c>
    </row>
    <row r="78" spans="2:49" ht="20.25" customHeight="1">
      <c r="B78" s="181" t="str" cm="1">
        <f t="array" ref="B78">IFERROR(INDEX('03.Muestra'!$B$8:$B$42,SMALL(IF("Documento no web"='03.Muestra'!$D$8:$D$42,ROW('03.Muestra'!$B$8:$B$42)-MIN(ROW('03.Muestra'!$D$8:$D$42))+1,""),ROW()-60)),"")</f>
        <v/>
      </c>
      <c r="C78" s="97" t="str" cm="1">
        <f t="array" ref="C78">IFERROR(INDEX('03.Muestra'!$C$8:$C$42,SMALL(IF("Documento no web"='03.Muestra'!$D$8:$D$42,ROW('03.Muestra'!$C$8:$C$42)-MIN(ROW('03.Muestra'!$D$8:$D$42))+1,""),ROW()-60)),"")</f>
        <v/>
      </c>
      <c r="D78" s="98" t="str" cm="1">
        <f t="array" ref="D78">IFERROR(INDEX('03.Muestra'!$F$8:$F$42,SMALL(IF("Documento no web"='03.Muestra'!$D$8:$D$42,ROW('03.Muestra'!$F$8:$F$42)-MIN(ROW('03.Muestra'!$D$8:$D$42))+1,""),ROW()-60)),"")</f>
        <v/>
      </c>
      <c r="E78" s="99" t="str" cm="1">
        <f t="array" aca="1" ref="E78" ca="1">IF($B78="","",IF(ISBLANK(INDIRECT("'R10.Documentos no web'!D"&amp;SUM(18,38*0,18))),"",INDIRECT("'R10.Documentos no web'!D"&amp;SUM(18,38*0,18))))</f>
        <v/>
      </c>
      <c r="F78" s="99" t="str" cm="1">
        <f t="array" aca="1" ref="F78" ca="1">IF($B78="","",IF(ISBLANK(INDIRECT("'R10.Documentos no web'!D"&amp;SUM(18,38*1,18))),"",INDIRECT("'R10.Documentos no web'!D"&amp;SUM(18,38*1,18))))</f>
        <v/>
      </c>
      <c r="G78" s="99" t="str" cm="1">
        <f t="array" aca="1" ref="G78" ca="1">IF($B78="","",IF(ISBLANK(INDIRECT("'R10.Documentos no web'!D"&amp;SUM(18,38*2,18))),"",INDIRECT("'R10.Documentos no web'!D"&amp;SUM(18,38*2,18))))</f>
        <v/>
      </c>
      <c r="H78" s="99" t="str" cm="1">
        <f t="array" aca="1" ref="H78" ca="1">IF($B78="","",IF(ISBLANK(INDIRECT("'R10.Documentos no web'!D"&amp;SUM(18,38*3,18))),"",INDIRECT("'R10.Documentos no web'!D"&amp;SUM(18,38*3,18))))</f>
        <v/>
      </c>
      <c r="I78" s="99" t="str" cm="1">
        <f t="array" aca="1" ref="I78" ca="1">IF($B78="","",IF(ISBLANK(INDIRECT("'R10.Documentos no web'!D"&amp;SUM(18,38*4,18))),"",INDIRECT("'R10.Documentos no web'!D"&amp;SUM(18,38*4,18))))</f>
        <v/>
      </c>
      <c r="J78" s="99" t="str" cm="1">
        <f t="array" aca="1" ref="J78" ca="1">IF($B78="","",IF(ISBLANK(INDIRECT("'R10.Documentos no web'!D"&amp;SUM(18,38*5,18))),"",INDIRECT("'R10.Documentos no web'!D"&amp;SUM(18,38*5,18))))</f>
        <v/>
      </c>
      <c r="K78" s="99" t="str" cm="1">
        <f t="array" aca="1" ref="K78" ca="1">IF($B78="","",IF(ISBLANK(INDIRECT("'R10.Documentos no web'!D"&amp;SUM(18,38*6,18))),"",INDIRECT("'R10.Documentos no web'!D"&amp;SUM(18,38*6,18))))</f>
        <v/>
      </c>
      <c r="L78" s="99" t="str" cm="1">
        <f t="array" aca="1" ref="L78" ca="1">IF($B78="","",IF(ISBLANK(INDIRECT("'R10.Documentos no web'!D"&amp;SUM(18,38*7,18))),"",INDIRECT("'R10.Documentos no web'!D"&amp;SUM(18,38*7,18))))</f>
        <v/>
      </c>
      <c r="M78" s="99" t="str" cm="1">
        <f t="array" aca="1" ref="M78" ca="1">IF($B78="","",IF(ISBLANK(INDIRECT("'R10.Documentos no web'!D"&amp;SUM(18,38*8,18))),"",INDIRECT("'R10.Documentos no web'!D"&amp;SUM(18,38*8,18))))</f>
        <v/>
      </c>
      <c r="N78" s="99" t="str" cm="1">
        <f t="array" aca="1" ref="N78" ca="1">IF($B78="","",IF(ISBLANK(INDIRECT("'R10.Documentos no web'!D"&amp;SUM(18,38*9,18))),"",INDIRECT("'R10.Documentos no web'!D"&amp;SUM(18,38*9,18))))</f>
        <v/>
      </c>
      <c r="O78" s="99" t="str" cm="1">
        <f t="array" aca="1" ref="O78" ca="1">IF($B78="","",IF(ISBLANK(INDIRECT("'R10.Documentos no web'!D"&amp;SUM(18,38*10,18))),"",INDIRECT("'R10.Documentos no web'!D"&amp;SUM(18,38*10,18))))</f>
        <v/>
      </c>
      <c r="P78" s="99" t="str" cm="1">
        <f t="array" aca="1" ref="P78" ca="1">IF($B78="","",IF(ISBLANK(INDIRECT("'R10.Documentos no web'!D"&amp;SUM(18,38*11,18))),"",INDIRECT("'R10.Documentos no web'!D"&amp;SUM(18,38*11,18))))</f>
        <v/>
      </c>
      <c r="Q78" s="99" t="str" cm="1">
        <f t="array" aca="1" ref="Q78" ca="1">IF($B78="","",IF(ISBLANK(INDIRECT("'R10.Documentos no web'!D"&amp;SUM(18,38*12,18))),"",INDIRECT("'R10.Documentos no web'!D"&amp;SUM(18,38*12,18))))</f>
        <v/>
      </c>
      <c r="R78" s="99" t="str" cm="1">
        <f t="array" aca="1" ref="R78" ca="1">IF($B78="","",IF(ISBLANK(INDIRECT("'R10.Documentos no web'!D"&amp;SUM(18,38*13,18))),"",INDIRECT("'R10.Documentos no web'!D"&amp;SUM(18,38*13,18))))</f>
        <v/>
      </c>
      <c r="S78" s="99" t="str" cm="1">
        <f t="array" aca="1" ref="S78" ca="1">IF($B78="","",IF(ISBLANK(INDIRECT("'R10.Documentos no web'!D"&amp;SUM(18,38*14,18))),"",INDIRECT("'R10.Documentos no web'!D"&amp;SUM(18,38*14,18))))</f>
        <v/>
      </c>
      <c r="T78" s="99" t="str" cm="1">
        <f t="array" aca="1" ref="T78" ca="1">IF($B78="","",IF(ISBLANK(INDIRECT("'R10.Documentos no web'!D"&amp;SUM(18,38*15,18))),"",INDIRECT("'R10.Documentos no web'!D"&amp;SUM(18,38*15,18))))</f>
        <v/>
      </c>
      <c r="U78" s="99" t="str" cm="1">
        <f t="array" aca="1" ref="U78" ca="1">IF($B78="","",IF(ISBLANK(INDIRECT("'R10.Documentos no web'!D"&amp;SUM(18,38*16,18))),"",INDIRECT("'R10.Documentos no web'!D"&amp;SUM(18,38*16,18))))</f>
        <v/>
      </c>
      <c r="V78" s="99" t="str" cm="1">
        <f t="array" aca="1" ref="V78" ca="1">IF($B78="","",IF(ISBLANK(INDIRECT("'R10.Documentos no web'!D"&amp;SUM(18,38*17,18))),"",INDIRECT("'R10.Documentos no web'!D"&amp;SUM(18,38*17,18))))</f>
        <v/>
      </c>
      <c r="W78" s="99" t="str" cm="1">
        <f t="array" aca="1" ref="W78" ca="1">IF($B78="","",IF(ISBLANK(INDIRECT("'R10.Documentos no web'!D"&amp;SUM(18,38*18,18))),"",INDIRECT("'R10.Documentos no web'!D"&amp;SUM(18,38*18,18))))</f>
        <v/>
      </c>
      <c r="X78" s="99" t="str" cm="1">
        <f t="array" aca="1" ref="X78" ca="1">IF($B78="","",IF(ISBLANK(INDIRECT("'R10.Documentos no web'!D"&amp;SUM(18,38*19,18))),"",INDIRECT("'R10.Documentos no web'!D"&amp;SUM(18,38*19,18))))</f>
        <v/>
      </c>
      <c r="Y78" s="99" t="str" cm="1">
        <f t="array" aca="1" ref="Y78" ca="1">IF($B78="","",IF(ISBLANK(INDIRECT("'R10.Documentos no web'!D"&amp;SUM(18,38*20,18))),"",INDIRECT("'R10.Documentos no web'!D"&amp;SUM(18,38*20,18))))</f>
        <v/>
      </c>
      <c r="Z78" s="99" t="str" cm="1">
        <f t="array" aca="1" ref="Z78" ca="1">IF($B78="","",IF(ISBLANK(INDIRECT("'R10.Documentos no web'!D"&amp;SUM(18,38*21,18))),"",INDIRECT("'R10.Documentos no web'!D"&amp;SUM(18,38*21,18))))</f>
        <v/>
      </c>
      <c r="AA78" s="99" t="str" cm="1">
        <f t="array" aca="1" ref="AA78" ca="1">IF($B78="","",IF(ISBLANK(INDIRECT("'R10.Documentos no web'!D"&amp;SUM(18,38*22,18))),"",INDIRECT("'R10.Documentos no web'!D"&amp;SUM(18,38*22,18))))</f>
        <v/>
      </c>
      <c r="AB78" s="99" t="str" cm="1">
        <f t="array" aca="1" ref="AB78" ca="1">IF($B78="","",IF(ISBLANK(INDIRECT("'R10.Documentos no web'!D"&amp;SUM(18,38*23,18))),"",INDIRECT("'R10.Documentos no web'!D"&amp;SUM(18,38*23,18))))</f>
        <v/>
      </c>
      <c r="AC78" s="99" t="str" cm="1">
        <f t="array" aca="1" ref="AC78" ca="1">IF($B78="","",IF(ISBLANK(INDIRECT("'R10.Documentos no web'!D"&amp;SUM(18,38*24,18))),"",INDIRECT("'R10.Documentos no web'!D"&amp;SUM(18,38*24,18))))</f>
        <v/>
      </c>
      <c r="AD78" s="99" t="str" cm="1">
        <f t="array" aca="1" ref="AD78" ca="1">IF($B78="","",IF(ISBLANK(INDIRECT("'R10.Documentos no web'!D"&amp;SUM(18,38*25,18))),"",INDIRECT("'R10.Documentos no web'!D"&amp;SUM(18,38*25,18))))</f>
        <v/>
      </c>
      <c r="AE78" s="99" t="str" cm="1">
        <f t="array" aca="1" ref="AE78" ca="1">IF($B78="","",IF(ISBLANK(INDIRECT("'R10.Documentos no web'!D"&amp;SUM(18,38*26,18))),"",INDIRECT("'R10.Documentos no web'!D"&amp;SUM(18,38*26,18))))</f>
        <v/>
      </c>
      <c r="AF78" s="99" t="str" cm="1">
        <f t="array" aca="1" ref="AF78" ca="1">IF($B78="","",IF(ISBLANK(INDIRECT("'R10.Documentos no web'!D"&amp;SUM(18,38*27,18))),"",INDIRECT("'R10.Documentos no web'!D"&amp;SUM(18,38*27,18))))</f>
        <v/>
      </c>
      <c r="AG78" s="99" t="str" cm="1">
        <f t="array" aca="1" ref="AG78" ca="1">IF($B78="","",IF(ISBLANK(INDIRECT("'R10.Documentos no web'!D"&amp;SUM(18,38*28,18))),"",INDIRECT("'R10.Documentos no web'!D"&amp;SUM(18,38*28,18))))</f>
        <v/>
      </c>
      <c r="AH78" s="99" t="str" cm="1">
        <f t="array" aca="1" ref="AH78" ca="1">IF($B78="","",IF(ISBLANK(INDIRECT("'R10.Documentos no web'!D"&amp;SUM(18,38*29,18))),"",INDIRECT("'R10.Documentos no web'!D"&amp;SUM(18,38*29,18))))</f>
        <v/>
      </c>
      <c r="AI78" s="99" t="str" cm="1">
        <f t="array" aca="1" ref="AI78" ca="1">IF($B78="","",IF(ISBLANK(INDIRECT("'R10.Documentos no web'!D"&amp;SUM(18,38*30,18))),"",INDIRECT("'R10.Documentos no web'!D"&amp;SUM(18,38*30,18))))</f>
        <v/>
      </c>
      <c r="AJ78" s="99" t="str" cm="1">
        <f t="array" aca="1" ref="AJ78" ca="1">IF($B78="","",IF(ISBLANK(INDIRECT("'R10.Documentos no web'!D"&amp;SUM(18,38*31,18))),"",INDIRECT("'R10.Documentos no web'!D"&amp;SUM(18,38*31,18))))</f>
        <v/>
      </c>
      <c r="AK78" s="99" t="str" cm="1">
        <f t="array" aca="1" ref="AK78" ca="1">IF($B78="","",IF(ISBLANK(INDIRECT("'R10.Documentos no web'!D"&amp;SUM(18,38*32,18))),"",INDIRECT("'R10.Documentos no web'!D"&amp;SUM(18,38*32,18))))</f>
        <v/>
      </c>
      <c r="AL78" s="99" t="str" cm="1">
        <f t="array" aca="1" ref="AL78" ca="1">IF($B78="","",IF(ISBLANK(INDIRECT("'R10.Documentos no web'!D"&amp;SUM(18,38*33,18))),"",INDIRECT("'R10.Documentos no web'!D"&amp;SUM(18,38*33,18))))</f>
        <v/>
      </c>
      <c r="AM78" s="99" t="str" cm="1">
        <f t="array" aca="1" ref="AM78" ca="1">IF($B78="","",IF(ISBLANK(INDIRECT("'R10.Documentos no web'!D"&amp;SUM(18,38*34,18))),"",INDIRECT("'R10.Documentos no web'!D"&amp;SUM(18,38*34,18))))</f>
        <v/>
      </c>
      <c r="AN78" s="99" t="str" cm="1">
        <f t="array" aca="1" ref="AN78" ca="1">IF($B78="","",IF(ISBLANK(INDIRECT("'R10.Documentos no web'!D"&amp;SUM(18,38*35,18))),"",INDIRECT("'R10.Documentos no web'!D"&amp;SUM(18,38*35,18))))</f>
        <v/>
      </c>
      <c r="AO78" s="99" t="str" cm="1">
        <f t="array" aca="1" ref="AO78" ca="1">IF($B78="","",IF(ISBLANK(INDIRECT("'R10.Documentos no web'!D"&amp;SUM(18,38*36,18))),"",INDIRECT("'R10.Documentos no web'!D"&amp;SUM(18,38*36,18))))</f>
        <v/>
      </c>
      <c r="AP78" s="99" t="str" cm="1">
        <f t="array" aca="1" ref="AP78" ca="1">IF($B78="","",IF(ISBLANK(INDIRECT("'R10.Documentos no web'!D"&amp;SUM(18,38*37,18))),"",INDIRECT("'R10.Documentos no web'!D"&amp;SUM(18,38*37,18))))</f>
        <v/>
      </c>
      <c r="AQ78" s="99" t="str" cm="1">
        <f t="array" aca="1" ref="AQ78" ca="1">IF($B78="","",IF(ISBLANK(INDIRECT("'R10.Documentos no web'!D"&amp;SUM(18,38*38,18))),"",INDIRECT("'R10.Documentos no web'!D"&amp;SUM(18,38*38,18))))</f>
        <v/>
      </c>
      <c r="AR78" s="99" t="str" cm="1">
        <f t="array" aca="1" ref="AR78" ca="1">IF($B78="","",IF(ISBLANK(INDIRECT("'R10.Documentos no web'!D"&amp;SUM(18,38*39,18))),"",INDIRECT("'R10.Documentos no web'!D"&amp;SUM(18,38*39,18))))</f>
        <v/>
      </c>
      <c r="AS78" s="99" t="str" cm="1">
        <f t="array" aca="1" ref="AS78" ca="1">IF($B78="","",IF(ISBLANK(INDIRECT("'R10.Documentos no web'!D"&amp;SUM(18,38*40,18))),"",INDIRECT("'R10.Documentos no web'!D"&amp;SUM(18,38*40,18))))</f>
        <v/>
      </c>
      <c r="AT78" s="99" t="str" cm="1">
        <f t="array" aca="1" ref="AT78" ca="1">IF($B78="","",IF(ISBLANK(INDIRECT("'R10.Documentos no web'!D"&amp;SUM(18,38*41,18))),"",INDIRECT("'R10.Documentos no web'!D"&amp;SUM(18,38*41,18))))</f>
        <v/>
      </c>
      <c r="AU78" s="99" t="str" cm="1">
        <f t="array" aca="1" ref="AU78" ca="1">IF($B78="","",IF(ISBLANK(INDIRECT("'R10.Documentos no web'!D"&amp;SUM(18,38*42,18))),"",INDIRECT("'R10.Documentos no web'!D"&amp;SUM(18,38*42,18))))</f>
        <v/>
      </c>
      <c r="AV78" s="99" t="str" cm="1">
        <f t="array" aca="1" ref="AV78" ca="1">IF($B78="","",IF(ISBLANK(INDIRECT("'R10.Documentos no web'!D"&amp;SUM(18,38*43,18))),"",INDIRECT("'R10.Documentos no web'!D"&amp;SUM(18,38*43,18))))</f>
        <v/>
      </c>
      <c r="AW78" s="99" t="str" cm="1">
        <f t="array" aca="1" ref="AW78" ca="1">IF($B78="","",IF(ISBLANK(INDIRECT("'R10.Documentos no web'!D"&amp;SUM(18,38*44,18))),"",INDIRECT("'R10.Documentos no web'!D"&amp;SUM(18,38*44,18))))</f>
        <v/>
      </c>
    </row>
    <row r="79" spans="2:49" ht="20.25" customHeight="1">
      <c r="B79" s="181" t="str" cm="1">
        <f t="array" ref="B79">IFERROR(INDEX('03.Muestra'!$B$8:$B$42,SMALL(IF("Documento no web"='03.Muestra'!$D$8:$D$42,ROW('03.Muestra'!$B$8:$B$42)-MIN(ROW('03.Muestra'!$D$8:$D$42))+1,""),ROW()-60)),"")</f>
        <v/>
      </c>
      <c r="C79" s="97" t="str" cm="1">
        <f t="array" ref="C79">IFERROR(INDEX('03.Muestra'!$C$8:$C$42,SMALL(IF("Documento no web"='03.Muestra'!$D$8:$D$42,ROW('03.Muestra'!$C$8:$C$42)-MIN(ROW('03.Muestra'!$D$8:$D$42))+1,""),ROW()-60)),"")</f>
        <v/>
      </c>
      <c r="D79" s="98" t="str" cm="1">
        <f t="array" ref="D79">IFERROR(INDEX('03.Muestra'!$F$8:$F$42,SMALL(IF("Documento no web"='03.Muestra'!$D$8:$D$42,ROW('03.Muestra'!$F$8:$F$42)-MIN(ROW('03.Muestra'!$D$8:$D$42))+1,""),ROW()-60)),"")</f>
        <v/>
      </c>
      <c r="E79" s="99" t="str" cm="1">
        <f t="array" aca="1" ref="E79" ca="1">IF($B79="","",IF(ISBLANK(INDIRECT("'R10.Documentos no web'!D"&amp;SUM(18,38*0,19))),"",INDIRECT("'R10.Documentos no web'!D"&amp;SUM(18,38*0,19))))</f>
        <v/>
      </c>
      <c r="F79" s="99" t="str" cm="1">
        <f t="array" aca="1" ref="F79" ca="1">IF($B79="","",IF(ISBLANK(INDIRECT("'R10.Documentos no web'!D"&amp;SUM(18,38*1,19))),"",INDIRECT("'R10.Documentos no web'!D"&amp;SUM(18,38*1,19))))</f>
        <v/>
      </c>
      <c r="G79" s="99" t="str" cm="1">
        <f t="array" aca="1" ref="G79" ca="1">IF($B79="","",IF(ISBLANK(INDIRECT("'R10.Documentos no web'!D"&amp;SUM(18,38*2,19))),"",INDIRECT("'R10.Documentos no web'!D"&amp;SUM(18,38*2,19))))</f>
        <v/>
      </c>
      <c r="H79" s="99" t="str" cm="1">
        <f t="array" aca="1" ref="H79" ca="1">IF($B79="","",IF(ISBLANK(INDIRECT("'R10.Documentos no web'!D"&amp;SUM(18,38*3,19))),"",INDIRECT("'R10.Documentos no web'!D"&amp;SUM(18,38*3,19))))</f>
        <v/>
      </c>
      <c r="I79" s="99" t="str" cm="1">
        <f t="array" aca="1" ref="I79" ca="1">IF($B79="","",IF(ISBLANK(INDIRECT("'R10.Documentos no web'!D"&amp;SUM(18,38*4,19))),"",INDIRECT("'R10.Documentos no web'!D"&amp;SUM(18,38*4,19))))</f>
        <v/>
      </c>
      <c r="J79" s="99" t="str" cm="1">
        <f t="array" aca="1" ref="J79" ca="1">IF($B79="","",IF(ISBLANK(INDIRECT("'R10.Documentos no web'!D"&amp;SUM(18,38*5,19))),"",INDIRECT("'R10.Documentos no web'!D"&amp;SUM(18,38*5,19))))</f>
        <v/>
      </c>
      <c r="K79" s="99" t="str" cm="1">
        <f t="array" aca="1" ref="K79" ca="1">IF($B79="","",IF(ISBLANK(INDIRECT("'R10.Documentos no web'!D"&amp;SUM(18,38*6,19))),"",INDIRECT("'R10.Documentos no web'!D"&amp;SUM(18,38*6,19))))</f>
        <v/>
      </c>
      <c r="L79" s="99" t="str" cm="1">
        <f t="array" aca="1" ref="L79" ca="1">IF($B79="","",IF(ISBLANK(INDIRECT("'R10.Documentos no web'!D"&amp;SUM(18,38*7,19))),"",INDIRECT("'R10.Documentos no web'!D"&amp;SUM(18,38*7,19))))</f>
        <v/>
      </c>
      <c r="M79" s="99" t="str" cm="1">
        <f t="array" aca="1" ref="M79" ca="1">IF($B79="","",IF(ISBLANK(INDIRECT("'R10.Documentos no web'!D"&amp;SUM(18,38*8,19))),"",INDIRECT("'R10.Documentos no web'!D"&amp;SUM(18,38*8,19))))</f>
        <v/>
      </c>
      <c r="N79" s="99" t="str" cm="1">
        <f t="array" aca="1" ref="N79" ca="1">IF($B79="","",IF(ISBLANK(INDIRECT("'R10.Documentos no web'!D"&amp;SUM(18,38*9,19))),"",INDIRECT("'R10.Documentos no web'!D"&amp;SUM(18,38*9,19))))</f>
        <v/>
      </c>
      <c r="O79" s="99" t="str" cm="1">
        <f t="array" aca="1" ref="O79" ca="1">IF($B79="","",IF(ISBLANK(INDIRECT("'R10.Documentos no web'!D"&amp;SUM(18,38*10,19))),"",INDIRECT("'R10.Documentos no web'!D"&amp;SUM(18,38*10,19))))</f>
        <v/>
      </c>
      <c r="P79" s="99" t="str" cm="1">
        <f t="array" aca="1" ref="P79" ca="1">IF($B79="","",IF(ISBLANK(INDIRECT("'R10.Documentos no web'!D"&amp;SUM(18,38*11,19))),"",INDIRECT("'R10.Documentos no web'!D"&amp;SUM(18,38*11,19))))</f>
        <v/>
      </c>
      <c r="Q79" s="99" t="str" cm="1">
        <f t="array" aca="1" ref="Q79" ca="1">IF($B79="","",IF(ISBLANK(INDIRECT("'R10.Documentos no web'!D"&amp;SUM(18,38*12,19))),"",INDIRECT("'R10.Documentos no web'!D"&amp;SUM(18,38*12,19))))</f>
        <v/>
      </c>
      <c r="R79" s="99" t="str" cm="1">
        <f t="array" aca="1" ref="R79" ca="1">IF($B79="","",IF(ISBLANK(INDIRECT("'R10.Documentos no web'!D"&amp;SUM(18,38*13,19))),"",INDIRECT("'R10.Documentos no web'!D"&amp;SUM(18,38*13,19))))</f>
        <v/>
      </c>
      <c r="S79" s="99" t="str" cm="1">
        <f t="array" aca="1" ref="S79" ca="1">IF($B79="","",IF(ISBLANK(INDIRECT("'R10.Documentos no web'!D"&amp;SUM(18,38*14,19))),"",INDIRECT("'R10.Documentos no web'!D"&amp;SUM(18,38*14,19))))</f>
        <v/>
      </c>
      <c r="T79" s="99" t="str" cm="1">
        <f t="array" aca="1" ref="T79" ca="1">IF($B79="","",IF(ISBLANK(INDIRECT("'R10.Documentos no web'!D"&amp;SUM(18,38*15,19))),"",INDIRECT("'R10.Documentos no web'!D"&amp;SUM(18,38*15,19))))</f>
        <v/>
      </c>
      <c r="U79" s="99" t="str" cm="1">
        <f t="array" aca="1" ref="U79" ca="1">IF($B79="","",IF(ISBLANK(INDIRECT("'R10.Documentos no web'!D"&amp;SUM(18,38*16,19))),"",INDIRECT("'R10.Documentos no web'!D"&amp;SUM(18,38*16,19))))</f>
        <v/>
      </c>
      <c r="V79" s="99" t="str" cm="1">
        <f t="array" aca="1" ref="V79" ca="1">IF($B79="","",IF(ISBLANK(INDIRECT("'R10.Documentos no web'!D"&amp;SUM(18,38*17,19))),"",INDIRECT("'R10.Documentos no web'!D"&amp;SUM(18,38*17,19))))</f>
        <v/>
      </c>
      <c r="W79" s="99" t="str" cm="1">
        <f t="array" aca="1" ref="W79" ca="1">IF($B79="","",IF(ISBLANK(INDIRECT("'R10.Documentos no web'!D"&amp;SUM(18,38*18,19))),"",INDIRECT("'R10.Documentos no web'!D"&amp;SUM(18,38*18,19))))</f>
        <v/>
      </c>
      <c r="X79" s="99" t="str" cm="1">
        <f t="array" aca="1" ref="X79" ca="1">IF($B79="","",IF(ISBLANK(INDIRECT("'R10.Documentos no web'!D"&amp;SUM(18,38*19,19))),"",INDIRECT("'R10.Documentos no web'!D"&amp;SUM(18,38*19,19))))</f>
        <v/>
      </c>
      <c r="Y79" s="99" t="str" cm="1">
        <f t="array" aca="1" ref="Y79" ca="1">IF($B79="","",IF(ISBLANK(INDIRECT("'R10.Documentos no web'!D"&amp;SUM(18,38*20,19))),"",INDIRECT("'R10.Documentos no web'!D"&amp;SUM(18,38*20,19))))</f>
        <v/>
      </c>
      <c r="Z79" s="99" t="str" cm="1">
        <f t="array" aca="1" ref="Z79" ca="1">IF($B79="","",IF(ISBLANK(INDIRECT("'R10.Documentos no web'!D"&amp;SUM(18,38*21,19))),"",INDIRECT("'R10.Documentos no web'!D"&amp;SUM(18,38*21,19))))</f>
        <v/>
      </c>
      <c r="AA79" s="99" t="str" cm="1">
        <f t="array" aca="1" ref="AA79" ca="1">IF($B79="","",IF(ISBLANK(INDIRECT("'R10.Documentos no web'!D"&amp;SUM(18,38*22,19))),"",INDIRECT("'R10.Documentos no web'!D"&amp;SUM(18,38*22,19))))</f>
        <v/>
      </c>
      <c r="AB79" s="99" t="str" cm="1">
        <f t="array" aca="1" ref="AB79" ca="1">IF($B79="","",IF(ISBLANK(INDIRECT("'R10.Documentos no web'!D"&amp;SUM(18,38*23,19))),"",INDIRECT("'R10.Documentos no web'!D"&amp;SUM(18,38*23,19))))</f>
        <v/>
      </c>
      <c r="AC79" s="99" t="str" cm="1">
        <f t="array" aca="1" ref="AC79" ca="1">IF($B79="","",IF(ISBLANK(INDIRECT("'R10.Documentos no web'!D"&amp;SUM(18,38*24,19))),"",INDIRECT("'R10.Documentos no web'!D"&amp;SUM(18,38*24,19))))</f>
        <v/>
      </c>
      <c r="AD79" s="99" t="str" cm="1">
        <f t="array" aca="1" ref="AD79" ca="1">IF($B79="","",IF(ISBLANK(INDIRECT("'R10.Documentos no web'!D"&amp;SUM(18,38*25,19))),"",INDIRECT("'R10.Documentos no web'!D"&amp;SUM(18,38*25,19))))</f>
        <v/>
      </c>
      <c r="AE79" s="99" t="str" cm="1">
        <f t="array" aca="1" ref="AE79" ca="1">IF($B79="","",IF(ISBLANK(INDIRECT("'R10.Documentos no web'!D"&amp;SUM(18,38*26,19))),"",INDIRECT("'R10.Documentos no web'!D"&amp;SUM(18,38*26,19))))</f>
        <v/>
      </c>
      <c r="AF79" s="99" t="str" cm="1">
        <f t="array" aca="1" ref="AF79" ca="1">IF($B79="","",IF(ISBLANK(INDIRECT("'R10.Documentos no web'!D"&amp;SUM(18,38*27,19))),"",INDIRECT("'R10.Documentos no web'!D"&amp;SUM(18,38*27,19))))</f>
        <v/>
      </c>
      <c r="AG79" s="99" t="str" cm="1">
        <f t="array" aca="1" ref="AG79" ca="1">IF($B79="","",IF(ISBLANK(INDIRECT("'R10.Documentos no web'!D"&amp;SUM(18,38*28,19))),"",INDIRECT("'R10.Documentos no web'!D"&amp;SUM(18,38*28,19))))</f>
        <v/>
      </c>
      <c r="AH79" s="99" t="str" cm="1">
        <f t="array" aca="1" ref="AH79" ca="1">IF($B79="","",IF(ISBLANK(INDIRECT("'R10.Documentos no web'!D"&amp;SUM(18,38*29,19))),"",INDIRECT("'R10.Documentos no web'!D"&amp;SUM(18,38*29,19))))</f>
        <v/>
      </c>
      <c r="AI79" s="99" t="str" cm="1">
        <f t="array" aca="1" ref="AI79" ca="1">IF($B79="","",IF(ISBLANK(INDIRECT("'R10.Documentos no web'!D"&amp;SUM(18,38*30,19))),"",INDIRECT("'R10.Documentos no web'!D"&amp;SUM(18,38*30,19))))</f>
        <v/>
      </c>
      <c r="AJ79" s="99" t="str" cm="1">
        <f t="array" aca="1" ref="AJ79" ca="1">IF($B79="","",IF(ISBLANK(INDIRECT("'R10.Documentos no web'!D"&amp;SUM(18,38*31,19))),"",INDIRECT("'R10.Documentos no web'!D"&amp;SUM(18,38*31,19))))</f>
        <v/>
      </c>
      <c r="AK79" s="99" t="str" cm="1">
        <f t="array" aca="1" ref="AK79" ca="1">IF($B79="","",IF(ISBLANK(INDIRECT("'R10.Documentos no web'!D"&amp;SUM(18,38*32,19))),"",INDIRECT("'R10.Documentos no web'!D"&amp;SUM(18,38*32,19))))</f>
        <v/>
      </c>
      <c r="AL79" s="99" t="str" cm="1">
        <f t="array" aca="1" ref="AL79" ca="1">IF($B79="","",IF(ISBLANK(INDIRECT("'R10.Documentos no web'!D"&amp;SUM(18,38*33,19))),"",INDIRECT("'R10.Documentos no web'!D"&amp;SUM(18,38*33,19))))</f>
        <v/>
      </c>
      <c r="AM79" s="99" t="str" cm="1">
        <f t="array" aca="1" ref="AM79" ca="1">IF($B79="","",IF(ISBLANK(INDIRECT("'R10.Documentos no web'!D"&amp;SUM(18,38*34,19))),"",INDIRECT("'R10.Documentos no web'!D"&amp;SUM(18,38*34,19))))</f>
        <v/>
      </c>
      <c r="AN79" s="99" t="str" cm="1">
        <f t="array" aca="1" ref="AN79" ca="1">IF($B79="","",IF(ISBLANK(INDIRECT("'R10.Documentos no web'!D"&amp;SUM(18,38*35,19))),"",INDIRECT("'R10.Documentos no web'!D"&amp;SUM(18,38*35,19))))</f>
        <v/>
      </c>
      <c r="AO79" s="99" t="str" cm="1">
        <f t="array" aca="1" ref="AO79" ca="1">IF($B79="","",IF(ISBLANK(INDIRECT("'R10.Documentos no web'!D"&amp;SUM(18,38*36,19))),"",INDIRECT("'R10.Documentos no web'!D"&amp;SUM(18,38*36,19))))</f>
        <v/>
      </c>
      <c r="AP79" s="99" t="str" cm="1">
        <f t="array" aca="1" ref="AP79" ca="1">IF($B79="","",IF(ISBLANK(INDIRECT("'R10.Documentos no web'!D"&amp;SUM(18,38*37,19))),"",INDIRECT("'R10.Documentos no web'!D"&amp;SUM(18,38*37,19))))</f>
        <v/>
      </c>
      <c r="AQ79" s="99" t="str" cm="1">
        <f t="array" aca="1" ref="AQ79" ca="1">IF($B79="","",IF(ISBLANK(INDIRECT("'R10.Documentos no web'!D"&amp;SUM(18,38*38,19))),"",INDIRECT("'R10.Documentos no web'!D"&amp;SUM(18,38*38,19))))</f>
        <v/>
      </c>
      <c r="AR79" s="99" t="str" cm="1">
        <f t="array" aca="1" ref="AR79" ca="1">IF($B79="","",IF(ISBLANK(INDIRECT("'R10.Documentos no web'!D"&amp;SUM(18,38*39,19))),"",INDIRECT("'R10.Documentos no web'!D"&amp;SUM(18,38*39,19))))</f>
        <v/>
      </c>
      <c r="AS79" s="99" t="str" cm="1">
        <f t="array" aca="1" ref="AS79" ca="1">IF($B79="","",IF(ISBLANK(INDIRECT("'R10.Documentos no web'!D"&amp;SUM(18,38*40,19))),"",INDIRECT("'R10.Documentos no web'!D"&amp;SUM(18,38*40,19))))</f>
        <v/>
      </c>
      <c r="AT79" s="99" t="str" cm="1">
        <f t="array" aca="1" ref="AT79" ca="1">IF($B79="","",IF(ISBLANK(INDIRECT("'R10.Documentos no web'!D"&amp;SUM(18,38*41,19))),"",INDIRECT("'R10.Documentos no web'!D"&amp;SUM(18,38*41,19))))</f>
        <v/>
      </c>
      <c r="AU79" s="99" t="str" cm="1">
        <f t="array" aca="1" ref="AU79" ca="1">IF($B79="","",IF(ISBLANK(INDIRECT("'R10.Documentos no web'!D"&amp;SUM(18,38*42,19))),"",INDIRECT("'R10.Documentos no web'!D"&amp;SUM(18,38*42,19))))</f>
        <v/>
      </c>
      <c r="AV79" s="99" t="str" cm="1">
        <f t="array" aca="1" ref="AV79" ca="1">IF($B79="","",IF(ISBLANK(INDIRECT("'R10.Documentos no web'!D"&amp;SUM(18,38*43,19))),"",INDIRECT("'R10.Documentos no web'!D"&amp;SUM(18,38*43,19))))</f>
        <v/>
      </c>
      <c r="AW79" s="99" t="str" cm="1">
        <f t="array" aca="1" ref="AW79" ca="1">IF($B79="","",IF(ISBLANK(INDIRECT("'R10.Documentos no web'!D"&amp;SUM(18,38*44,19))),"",INDIRECT("'R10.Documentos no web'!D"&amp;SUM(18,38*44,19))))</f>
        <v/>
      </c>
    </row>
    <row r="80" spans="2:49" ht="20.25" customHeight="1">
      <c r="B80" s="181" t="str" cm="1">
        <f t="array" ref="B80">IFERROR(INDEX('03.Muestra'!$B$8:$B$42,SMALL(IF("Documento no web"='03.Muestra'!$D$8:$D$42,ROW('03.Muestra'!$B$8:$B$42)-MIN(ROW('03.Muestra'!$D$8:$D$42))+1,""),ROW()-60)),"")</f>
        <v/>
      </c>
      <c r="C80" s="97" t="str" cm="1">
        <f t="array" ref="C80">IFERROR(INDEX('03.Muestra'!$C$8:$C$42,SMALL(IF("Documento no web"='03.Muestra'!$D$8:$D$42,ROW('03.Muestra'!$C$8:$C$42)-MIN(ROW('03.Muestra'!$D$8:$D$42))+1,""),ROW()-60)),"")</f>
        <v/>
      </c>
      <c r="D80" s="98" t="str" cm="1">
        <f t="array" ref="D80">IFERROR(INDEX('03.Muestra'!$F$8:$F$42,SMALL(IF("Documento no web"='03.Muestra'!$D$8:$D$42,ROW('03.Muestra'!$F$8:$F$42)-MIN(ROW('03.Muestra'!$D$8:$D$42))+1,""),ROW()-60)),"")</f>
        <v/>
      </c>
      <c r="E80" s="99" t="str" cm="1">
        <f t="array" aca="1" ref="E80" ca="1">IF($B80="","",IF(ISBLANK(INDIRECT("'R10.Documentos no web'!D"&amp;SUM(18,38*0,20))),"",INDIRECT("'R10.Documentos no web'!D"&amp;SUM(18,38*0,20))))</f>
        <v/>
      </c>
      <c r="F80" s="99" t="str" cm="1">
        <f t="array" aca="1" ref="F80" ca="1">IF($B80="","",IF(ISBLANK(INDIRECT("'R10.Documentos no web'!D"&amp;SUM(18,38*1,20))),"",INDIRECT("'R10.Documentos no web'!D"&amp;SUM(18,38*1,20))))</f>
        <v/>
      </c>
      <c r="G80" s="99" t="str" cm="1">
        <f t="array" aca="1" ref="G80" ca="1">IF($B80="","",IF(ISBLANK(INDIRECT("'R10.Documentos no web'!D"&amp;SUM(18,38*2,20))),"",INDIRECT("'R10.Documentos no web'!D"&amp;SUM(18,38*2,20))))</f>
        <v/>
      </c>
      <c r="H80" s="99" t="str" cm="1">
        <f t="array" aca="1" ref="H80" ca="1">IF($B80="","",IF(ISBLANK(INDIRECT("'R10.Documentos no web'!D"&amp;SUM(18,38*3,20))),"",INDIRECT("'R10.Documentos no web'!D"&amp;SUM(18,38*3,20))))</f>
        <v/>
      </c>
      <c r="I80" s="99" t="str" cm="1">
        <f t="array" aca="1" ref="I80" ca="1">IF($B80="","",IF(ISBLANK(INDIRECT("'R10.Documentos no web'!D"&amp;SUM(18,38*4,20))),"",INDIRECT("'R10.Documentos no web'!D"&amp;SUM(18,38*4,20))))</f>
        <v/>
      </c>
      <c r="J80" s="99" t="str" cm="1">
        <f t="array" aca="1" ref="J80" ca="1">IF($B80="","",IF(ISBLANK(INDIRECT("'R10.Documentos no web'!D"&amp;SUM(18,38*5,20))),"",INDIRECT("'R10.Documentos no web'!D"&amp;SUM(18,38*5,20))))</f>
        <v/>
      </c>
      <c r="K80" s="99" t="str" cm="1">
        <f t="array" aca="1" ref="K80" ca="1">IF($B80="","",IF(ISBLANK(INDIRECT("'R10.Documentos no web'!D"&amp;SUM(18,38*6,20))),"",INDIRECT("'R10.Documentos no web'!D"&amp;SUM(18,38*6,20))))</f>
        <v/>
      </c>
      <c r="L80" s="99" t="str" cm="1">
        <f t="array" aca="1" ref="L80" ca="1">IF($B80="","",IF(ISBLANK(INDIRECT("'R10.Documentos no web'!D"&amp;SUM(18,38*7,20))),"",INDIRECT("'R10.Documentos no web'!D"&amp;SUM(18,38*7,20))))</f>
        <v/>
      </c>
      <c r="M80" s="99" t="str" cm="1">
        <f t="array" aca="1" ref="M80" ca="1">IF($B80="","",IF(ISBLANK(INDIRECT("'R10.Documentos no web'!D"&amp;SUM(18,38*8,20))),"",INDIRECT("'R10.Documentos no web'!D"&amp;SUM(18,38*8,20))))</f>
        <v/>
      </c>
      <c r="N80" s="99" t="str" cm="1">
        <f t="array" aca="1" ref="N80" ca="1">IF($B80="","",IF(ISBLANK(INDIRECT("'R10.Documentos no web'!D"&amp;SUM(18,38*9,20))),"",INDIRECT("'R10.Documentos no web'!D"&amp;SUM(18,38*9,20))))</f>
        <v/>
      </c>
      <c r="O80" s="99" t="str" cm="1">
        <f t="array" aca="1" ref="O80" ca="1">IF($B80="","",IF(ISBLANK(INDIRECT("'R10.Documentos no web'!D"&amp;SUM(18,38*10,20))),"",INDIRECT("'R10.Documentos no web'!D"&amp;SUM(18,38*10,20))))</f>
        <v/>
      </c>
      <c r="P80" s="99" t="str" cm="1">
        <f t="array" aca="1" ref="P80" ca="1">IF($B80="","",IF(ISBLANK(INDIRECT("'R10.Documentos no web'!D"&amp;SUM(18,38*11,20))),"",INDIRECT("'R10.Documentos no web'!D"&amp;SUM(18,38*11,20))))</f>
        <v/>
      </c>
      <c r="Q80" s="99" t="str" cm="1">
        <f t="array" aca="1" ref="Q80" ca="1">IF($B80="","",IF(ISBLANK(INDIRECT("'R10.Documentos no web'!D"&amp;SUM(18,38*12,20))),"",INDIRECT("'R10.Documentos no web'!D"&amp;SUM(18,38*12,20))))</f>
        <v/>
      </c>
      <c r="R80" s="99" t="str" cm="1">
        <f t="array" aca="1" ref="R80" ca="1">IF($B80="","",IF(ISBLANK(INDIRECT("'R10.Documentos no web'!D"&amp;SUM(18,38*13,20))),"",INDIRECT("'R10.Documentos no web'!D"&amp;SUM(18,38*13,20))))</f>
        <v/>
      </c>
      <c r="S80" s="99" t="str" cm="1">
        <f t="array" aca="1" ref="S80" ca="1">IF($B80="","",IF(ISBLANK(INDIRECT("'R10.Documentos no web'!D"&amp;SUM(18,38*14,20))),"",INDIRECT("'R10.Documentos no web'!D"&amp;SUM(18,38*14,20))))</f>
        <v/>
      </c>
      <c r="T80" s="99" t="str" cm="1">
        <f t="array" aca="1" ref="T80" ca="1">IF($B80="","",IF(ISBLANK(INDIRECT("'R10.Documentos no web'!D"&amp;SUM(18,38*15,20))),"",INDIRECT("'R10.Documentos no web'!D"&amp;SUM(18,38*15,20))))</f>
        <v/>
      </c>
      <c r="U80" s="99" t="str" cm="1">
        <f t="array" aca="1" ref="U80" ca="1">IF($B80="","",IF(ISBLANK(INDIRECT("'R10.Documentos no web'!D"&amp;SUM(18,38*16,20))),"",INDIRECT("'R10.Documentos no web'!D"&amp;SUM(18,38*16,20))))</f>
        <v/>
      </c>
      <c r="V80" s="99" t="str" cm="1">
        <f t="array" aca="1" ref="V80" ca="1">IF($B80="","",IF(ISBLANK(INDIRECT("'R10.Documentos no web'!D"&amp;SUM(18,38*17,20))),"",INDIRECT("'R10.Documentos no web'!D"&amp;SUM(18,38*17,20))))</f>
        <v/>
      </c>
      <c r="W80" s="99" t="str" cm="1">
        <f t="array" aca="1" ref="W80" ca="1">IF($B80="","",IF(ISBLANK(INDIRECT("'R10.Documentos no web'!D"&amp;SUM(18,38*18,20))),"",INDIRECT("'R10.Documentos no web'!D"&amp;SUM(18,38*18,20))))</f>
        <v/>
      </c>
      <c r="X80" s="99" t="str" cm="1">
        <f t="array" aca="1" ref="X80" ca="1">IF($B80="","",IF(ISBLANK(INDIRECT("'R10.Documentos no web'!D"&amp;SUM(18,38*19,20))),"",INDIRECT("'R10.Documentos no web'!D"&amp;SUM(18,38*19,20))))</f>
        <v/>
      </c>
      <c r="Y80" s="99" t="str" cm="1">
        <f t="array" aca="1" ref="Y80" ca="1">IF($B80="","",IF(ISBLANK(INDIRECT("'R10.Documentos no web'!D"&amp;SUM(18,38*20,20))),"",INDIRECT("'R10.Documentos no web'!D"&amp;SUM(18,38*20,20))))</f>
        <v/>
      </c>
      <c r="Z80" s="99" t="str" cm="1">
        <f t="array" aca="1" ref="Z80" ca="1">IF($B80="","",IF(ISBLANK(INDIRECT("'R10.Documentos no web'!D"&amp;SUM(18,38*21,20))),"",INDIRECT("'R10.Documentos no web'!D"&amp;SUM(18,38*21,20))))</f>
        <v/>
      </c>
      <c r="AA80" s="99" t="str" cm="1">
        <f t="array" aca="1" ref="AA80" ca="1">IF($B80="","",IF(ISBLANK(INDIRECT("'R10.Documentos no web'!D"&amp;SUM(18,38*22,20))),"",INDIRECT("'R10.Documentos no web'!D"&amp;SUM(18,38*22,20))))</f>
        <v/>
      </c>
      <c r="AB80" s="99" t="str" cm="1">
        <f t="array" aca="1" ref="AB80" ca="1">IF($B80="","",IF(ISBLANK(INDIRECT("'R10.Documentos no web'!D"&amp;SUM(18,38*23,20))),"",INDIRECT("'R10.Documentos no web'!D"&amp;SUM(18,38*23,20))))</f>
        <v/>
      </c>
      <c r="AC80" s="99" t="str" cm="1">
        <f t="array" aca="1" ref="AC80" ca="1">IF($B80="","",IF(ISBLANK(INDIRECT("'R10.Documentos no web'!D"&amp;SUM(18,38*24,20))),"",INDIRECT("'R10.Documentos no web'!D"&amp;SUM(18,38*24,20))))</f>
        <v/>
      </c>
      <c r="AD80" s="99" t="str" cm="1">
        <f t="array" aca="1" ref="AD80" ca="1">IF($B80="","",IF(ISBLANK(INDIRECT("'R10.Documentos no web'!D"&amp;SUM(18,38*25,20))),"",INDIRECT("'R10.Documentos no web'!D"&amp;SUM(18,38*25,20))))</f>
        <v/>
      </c>
      <c r="AE80" s="99" t="str" cm="1">
        <f t="array" aca="1" ref="AE80" ca="1">IF($B80="","",IF(ISBLANK(INDIRECT("'R10.Documentos no web'!D"&amp;SUM(18,38*26,20))),"",INDIRECT("'R10.Documentos no web'!D"&amp;SUM(18,38*26,20))))</f>
        <v/>
      </c>
      <c r="AF80" s="99" t="str" cm="1">
        <f t="array" aca="1" ref="AF80" ca="1">IF($B80="","",IF(ISBLANK(INDIRECT("'R10.Documentos no web'!D"&amp;SUM(18,38*27,20))),"",INDIRECT("'R10.Documentos no web'!D"&amp;SUM(18,38*27,20))))</f>
        <v/>
      </c>
      <c r="AG80" s="99" t="str" cm="1">
        <f t="array" aca="1" ref="AG80" ca="1">IF($B80="","",IF(ISBLANK(INDIRECT("'R10.Documentos no web'!D"&amp;SUM(18,38*28,20))),"",INDIRECT("'R10.Documentos no web'!D"&amp;SUM(18,38*28,20))))</f>
        <v/>
      </c>
      <c r="AH80" s="99" t="str" cm="1">
        <f t="array" aca="1" ref="AH80" ca="1">IF($B80="","",IF(ISBLANK(INDIRECT("'R10.Documentos no web'!D"&amp;SUM(18,38*29,20))),"",INDIRECT("'R10.Documentos no web'!D"&amp;SUM(18,38*29,20))))</f>
        <v/>
      </c>
      <c r="AI80" s="99" t="str" cm="1">
        <f t="array" aca="1" ref="AI80" ca="1">IF($B80="","",IF(ISBLANK(INDIRECT("'R10.Documentos no web'!D"&amp;SUM(18,38*30,20))),"",INDIRECT("'R10.Documentos no web'!D"&amp;SUM(18,38*30,20))))</f>
        <v/>
      </c>
      <c r="AJ80" s="99" t="str" cm="1">
        <f t="array" aca="1" ref="AJ80" ca="1">IF($B80="","",IF(ISBLANK(INDIRECT("'R10.Documentos no web'!D"&amp;SUM(18,38*31,20))),"",INDIRECT("'R10.Documentos no web'!D"&amp;SUM(18,38*31,20))))</f>
        <v/>
      </c>
      <c r="AK80" s="99" t="str" cm="1">
        <f t="array" aca="1" ref="AK80" ca="1">IF($B80="","",IF(ISBLANK(INDIRECT("'R10.Documentos no web'!D"&amp;SUM(18,38*32,20))),"",INDIRECT("'R10.Documentos no web'!D"&amp;SUM(18,38*32,20))))</f>
        <v/>
      </c>
      <c r="AL80" s="99" t="str" cm="1">
        <f t="array" aca="1" ref="AL80" ca="1">IF($B80="","",IF(ISBLANK(INDIRECT("'R10.Documentos no web'!D"&amp;SUM(18,38*33,20))),"",INDIRECT("'R10.Documentos no web'!D"&amp;SUM(18,38*33,20))))</f>
        <v/>
      </c>
      <c r="AM80" s="99" t="str" cm="1">
        <f t="array" aca="1" ref="AM80" ca="1">IF($B80="","",IF(ISBLANK(INDIRECT("'R10.Documentos no web'!D"&amp;SUM(18,38*34,20))),"",INDIRECT("'R10.Documentos no web'!D"&amp;SUM(18,38*34,20))))</f>
        <v/>
      </c>
      <c r="AN80" s="99" t="str" cm="1">
        <f t="array" aca="1" ref="AN80" ca="1">IF($B80="","",IF(ISBLANK(INDIRECT("'R10.Documentos no web'!D"&amp;SUM(18,38*35,20))),"",INDIRECT("'R10.Documentos no web'!D"&amp;SUM(18,38*35,20))))</f>
        <v/>
      </c>
      <c r="AO80" s="99" t="str" cm="1">
        <f t="array" aca="1" ref="AO80" ca="1">IF($B80="","",IF(ISBLANK(INDIRECT("'R10.Documentos no web'!D"&amp;SUM(18,38*36,20))),"",INDIRECT("'R10.Documentos no web'!D"&amp;SUM(18,38*36,20))))</f>
        <v/>
      </c>
      <c r="AP80" s="99" t="str" cm="1">
        <f t="array" aca="1" ref="AP80" ca="1">IF($B80="","",IF(ISBLANK(INDIRECT("'R10.Documentos no web'!D"&amp;SUM(18,38*37,20))),"",INDIRECT("'R10.Documentos no web'!D"&amp;SUM(18,38*37,20))))</f>
        <v/>
      </c>
      <c r="AQ80" s="99" t="str" cm="1">
        <f t="array" aca="1" ref="AQ80" ca="1">IF($B80="","",IF(ISBLANK(INDIRECT("'R10.Documentos no web'!D"&amp;SUM(18,38*38,20))),"",INDIRECT("'R10.Documentos no web'!D"&amp;SUM(18,38*38,20))))</f>
        <v/>
      </c>
      <c r="AR80" s="99" t="str" cm="1">
        <f t="array" aca="1" ref="AR80" ca="1">IF($B80="","",IF(ISBLANK(INDIRECT("'R10.Documentos no web'!D"&amp;SUM(18,38*39,20))),"",INDIRECT("'R10.Documentos no web'!D"&amp;SUM(18,38*39,20))))</f>
        <v/>
      </c>
      <c r="AS80" s="99" t="str" cm="1">
        <f t="array" aca="1" ref="AS80" ca="1">IF($B80="","",IF(ISBLANK(INDIRECT("'R10.Documentos no web'!D"&amp;SUM(18,38*40,20))),"",INDIRECT("'R10.Documentos no web'!D"&amp;SUM(18,38*40,20))))</f>
        <v/>
      </c>
      <c r="AT80" s="99" t="str" cm="1">
        <f t="array" aca="1" ref="AT80" ca="1">IF($B80="","",IF(ISBLANK(INDIRECT("'R10.Documentos no web'!D"&amp;SUM(18,38*41,20))),"",INDIRECT("'R10.Documentos no web'!D"&amp;SUM(18,38*41,20))))</f>
        <v/>
      </c>
      <c r="AU80" s="99" t="str" cm="1">
        <f t="array" aca="1" ref="AU80" ca="1">IF($B80="","",IF(ISBLANK(INDIRECT("'R10.Documentos no web'!D"&amp;SUM(18,38*42,20))),"",INDIRECT("'R10.Documentos no web'!D"&amp;SUM(18,38*42,20))))</f>
        <v/>
      </c>
      <c r="AV80" s="99" t="str" cm="1">
        <f t="array" aca="1" ref="AV80" ca="1">IF($B80="","",IF(ISBLANK(INDIRECT("'R10.Documentos no web'!D"&amp;SUM(18,38*43,20))),"",INDIRECT("'R10.Documentos no web'!D"&amp;SUM(18,38*43,20))))</f>
        <v/>
      </c>
      <c r="AW80" s="99" t="str" cm="1">
        <f t="array" aca="1" ref="AW80" ca="1">IF($B80="","",IF(ISBLANK(INDIRECT("'R10.Documentos no web'!D"&amp;SUM(18,38*44,20))),"",INDIRECT("'R10.Documentos no web'!D"&amp;SUM(18,38*44,20))))</f>
        <v/>
      </c>
    </row>
    <row r="81" spans="2:49" ht="20.25" customHeight="1">
      <c r="B81" s="181" t="str" cm="1">
        <f t="array" ref="B81">IFERROR(INDEX('03.Muestra'!$B$8:$B$42,SMALL(IF("Documento no web"='03.Muestra'!$D$8:$D$42,ROW('03.Muestra'!$B$8:$B$42)-MIN(ROW('03.Muestra'!$D$8:$D$42))+1,""),ROW()-60)),"")</f>
        <v/>
      </c>
      <c r="C81" s="97" t="str" cm="1">
        <f t="array" ref="C81">IFERROR(INDEX('03.Muestra'!$C$8:$C$42,SMALL(IF("Documento no web"='03.Muestra'!$D$8:$D$42,ROW('03.Muestra'!$C$8:$C$42)-MIN(ROW('03.Muestra'!$D$8:$D$42))+1,""),ROW()-60)),"")</f>
        <v/>
      </c>
      <c r="D81" s="98" t="str" cm="1">
        <f t="array" ref="D81">IFERROR(INDEX('03.Muestra'!$F$8:$F$42,SMALL(IF("Documento no web"='03.Muestra'!$D$8:$D$42,ROW('03.Muestra'!$F$8:$F$42)-MIN(ROW('03.Muestra'!$D$8:$D$42))+1,""),ROW()-60)),"")</f>
        <v/>
      </c>
      <c r="E81" s="99" t="str" cm="1">
        <f t="array" aca="1" ref="E81" ca="1">IF($B81="","",IF(ISBLANK(INDIRECT("'R10.Documentos no web'!D"&amp;SUM(18,38*0,21))),"",INDIRECT("'R10.Documentos no web'!D"&amp;SUM(18,38*0,21))))</f>
        <v/>
      </c>
      <c r="F81" s="99" t="str" cm="1">
        <f t="array" aca="1" ref="F81" ca="1">IF($B81="","",IF(ISBLANK(INDIRECT("'R10.Documentos no web'!D"&amp;SUM(18,38*1,21))),"",INDIRECT("'R10.Documentos no web'!D"&amp;SUM(18,38*1,21))))</f>
        <v/>
      </c>
      <c r="G81" s="99" t="str" cm="1">
        <f t="array" aca="1" ref="G81" ca="1">IF($B81="","",IF(ISBLANK(INDIRECT("'R10.Documentos no web'!D"&amp;SUM(18,38*2,21))),"",INDIRECT("'R10.Documentos no web'!D"&amp;SUM(18,38*2,21))))</f>
        <v/>
      </c>
      <c r="H81" s="99" t="str" cm="1">
        <f t="array" aca="1" ref="H81" ca="1">IF($B81="","",IF(ISBLANK(INDIRECT("'R10.Documentos no web'!D"&amp;SUM(18,38*3,21))),"",INDIRECT("'R10.Documentos no web'!D"&amp;SUM(18,38*3,21))))</f>
        <v/>
      </c>
      <c r="I81" s="99" t="str" cm="1">
        <f t="array" aca="1" ref="I81" ca="1">IF($B81="","",IF(ISBLANK(INDIRECT("'R10.Documentos no web'!D"&amp;SUM(18,38*4,21))),"",INDIRECT("'R10.Documentos no web'!D"&amp;SUM(18,38*4,21))))</f>
        <v/>
      </c>
      <c r="J81" s="99" t="str" cm="1">
        <f t="array" aca="1" ref="J81" ca="1">IF($B81="","",IF(ISBLANK(INDIRECT("'R10.Documentos no web'!D"&amp;SUM(18,38*5,21))),"",INDIRECT("'R10.Documentos no web'!D"&amp;SUM(18,38*5,21))))</f>
        <v/>
      </c>
      <c r="K81" s="99" t="str" cm="1">
        <f t="array" aca="1" ref="K81" ca="1">IF($B81="","",IF(ISBLANK(INDIRECT("'R10.Documentos no web'!D"&amp;SUM(18,38*6,21))),"",INDIRECT("'R10.Documentos no web'!D"&amp;SUM(18,38*6,21))))</f>
        <v/>
      </c>
      <c r="L81" s="99" t="str" cm="1">
        <f t="array" aca="1" ref="L81" ca="1">IF($B81="","",IF(ISBLANK(INDIRECT("'R10.Documentos no web'!D"&amp;SUM(18,38*7,21))),"",INDIRECT("'R10.Documentos no web'!D"&amp;SUM(18,38*7,21))))</f>
        <v/>
      </c>
      <c r="M81" s="99" t="str" cm="1">
        <f t="array" aca="1" ref="M81" ca="1">IF($B81="","",IF(ISBLANK(INDIRECT("'R10.Documentos no web'!D"&amp;SUM(18,38*8,21))),"",INDIRECT("'R10.Documentos no web'!D"&amp;SUM(18,38*8,21))))</f>
        <v/>
      </c>
      <c r="N81" s="99" t="str" cm="1">
        <f t="array" aca="1" ref="N81" ca="1">IF($B81="","",IF(ISBLANK(INDIRECT("'R10.Documentos no web'!D"&amp;SUM(18,38*9,21))),"",INDIRECT("'R10.Documentos no web'!D"&amp;SUM(18,38*9,21))))</f>
        <v/>
      </c>
      <c r="O81" s="99" t="str" cm="1">
        <f t="array" aca="1" ref="O81" ca="1">IF($B81="","",IF(ISBLANK(INDIRECT("'R10.Documentos no web'!D"&amp;SUM(18,38*10,21))),"",INDIRECT("'R10.Documentos no web'!D"&amp;SUM(18,38*10,21))))</f>
        <v/>
      </c>
      <c r="P81" s="99" t="str" cm="1">
        <f t="array" aca="1" ref="P81" ca="1">IF($B81="","",IF(ISBLANK(INDIRECT("'R10.Documentos no web'!D"&amp;SUM(18,38*11,21))),"",INDIRECT("'R10.Documentos no web'!D"&amp;SUM(18,38*11,21))))</f>
        <v/>
      </c>
      <c r="Q81" s="99" t="str" cm="1">
        <f t="array" aca="1" ref="Q81" ca="1">IF($B81="","",IF(ISBLANK(INDIRECT("'R10.Documentos no web'!D"&amp;SUM(18,38*12,21))),"",INDIRECT("'R10.Documentos no web'!D"&amp;SUM(18,38*12,21))))</f>
        <v/>
      </c>
      <c r="R81" s="99" t="str" cm="1">
        <f t="array" aca="1" ref="R81" ca="1">IF($B81="","",IF(ISBLANK(INDIRECT("'R10.Documentos no web'!D"&amp;SUM(18,38*13,21))),"",INDIRECT("'R10.Documentos no web'!D"&amp;SUM(18,38*13,21))))</f>
        <v/>
      </c>
      <c r="S81" s="99" t="str" cm="1">
        <f t="array" aca="1" ref="S81" ca="1">IF($B81="","",IF(ISBLANK(INDIRECT("'R10.Documentos no web'!D"&amp;SUM(18,38*14,21))),"",INDIRECT("'R10.Documentos no web'!D"&amp;SUM(18,38*14,21))))</f>
        <v/>
      </c>
      <c r="T81" s="99" t="str" cm="1">
        <f t="array" aca="1" ref="T81" ca="1">IF($B81="","",IF(ISBLANK(INDIRECT("'R10.Documentos no web'!D"&amp;SUM(18,38*15,21))),"",INDIRECT("'R10.Documentos no web'!D"&amp;SUM(18,38*15,21))))</f>
        <v/>
      </c>
      <c r="U81" s="99" t="str" cm="1">
        <f t="array" aca="1" ref="U81" ca="1">IF($B81="","",IF(ISBLANK(INDIRECT("'R10.Documentos no web'!D"&amp;SUM(18,38*16,21))),"",INDIRECT("'R10.Documentos no web'!D"&amp;SUM(18,38*16,21))))</f>
        <v/>
      </c>
      <c r="V81" s="99" t="str" cm="1">
        <f t="array" aca="1" ref="V81" ca="1">IF($B81="","",IF(ISBLANK(INDIRECT("'R10.Documentos no web'!D"&amp;SUM(18,38*17,21))),"",INDIRECT("'R10.Documentos no web'!D"&amp;SUM(18,38*17,21))))</f>
        <v/>
      </c>
      <c r="W81" s="99" t="str" cm="1">
        <f t="array" aca="1" ref="W81" ca="1">IF($B81="","",IF(ISBLANK(INDIRECT("'R10.Documentos no web'!D"&amp;SUM(18,38*18,21))),"",INDIRECT("'R10.Documentos no web'!D"&amp;SUM(18,38*18,21))))</f>
        <v/>
      </c>
      <c r="X81" s="99" t="str" cm="1">
        <f t="array" aca="1" ref="X81" ca="1">IF($B81="","",IF(ISBLANK(INDIRECT("'R10.Documentos no web'!D"&amp;SUM(18,38*19,21))),"",INDIRECT("'R10.Documentos no web'!D"&amp;SUM(18,38*19,21))))</f>
        <v/>
      </c>
      <c r="Y81" s="99" t="str" cm="1">
        <f t="array" aca="1" ref="Y81" ca="1">IF($B81="","",IF(ISBLANK(INDIRECT("'R10.Documentos no web'!D"&amp;SUM(18,38*20,21))),"",INDIRECT("'R10.Documentos no web'!D"&amp;SUM(18,38*20,21))))</f>
        <v/>
      </c>
      <c r="Z81" s="99" t="str" cm="1">
        <f t="array" aca="1" ref="Z81" ca="1">IF($B81="","",IF(ISBLANK(INDIRECT("'R10.Documentos no web'!D"&amp;SUM(18,38*21,21))),"",INDIRECT("'R10.Documentos no web'!D"&amp;SUM(18,38*21,21))))</f>
        <v/>
      </c>
      <c r="AA81" s="99" t="str" cm="1">
        <f t="array" aca="1" ref="AA81" ca="1">IF($B81="","",IF(ISBLANK(INDIRECT("'R10.Documentos no web'!D"&amp;SUM(18,38*22,21))),"",INDIRECT("'R10.Documentos no web'!D"&amp;SUM(18,38*22,21))))</f>
        <v/>
      </c>
      <c r="AB81" s="99" t="str" cm="1">
        <f t="array" aca="1" ref="AB81" ca="1">IF($B81="","",IF(ISBLANK(INDIRECT("'R10.Documentos no web'!D"&amp;SUM(18,38*23,21))),"",INDIRECT("'R10.Documentos no web'!D"&amp;SUM(18,38*23,21))))</f>
        <v/>
      </c>
      <c r="AC81" s="99" t="str" cm="1">
        <f t="array" aca="1" ref="AC81" ca="1">IF($B81="","",IF(ISBLANK(INDIRECT("'R10.Documentos no web'!D"&amp;SUM(18,38*24,21))),"",INDIRECT("'R10.Documentos no web'!D"&amp;SUM(18,38*24,21))))</f>
        <v/>
      </c>
      <c r="AD81" s="99" t="str" cm="1">
        <f t="array" aca="1" ref="AD81" ca="1">IF($B81="","",IF(ISBLANK(INDIRECT("'R10.Documentos no web'!D"&amp;SUM(18,38*25,21))),"",INDIRECT("'R10.Documentos no web'!D"&amp;SUM(18,38*25,21))))</f>
        <v/>
      </c>
      <c r="AE81" s="99" t="str" cm="1">
        <f t="array" aca="1" ref="AE81" ca="1">IF($B81="","",IF(ISBLANK(INDIRECT("'R10.Documentos no web'!D"&amp;SUM(18,38*26,21))),"",INDIRECT("'R10.Documentos no web'!D"&amp;SUM(18,38*26,21))))</f>
        <v/>
      </c>
      <c r="AF81" s="99" t="str" cm="1">
        <f t="array" aca="1" ref="AF81" ca="1">IF($B81="","",IF(ISBLANK(INDIRECT("'R10.Documentos no web'!D"&amp;SUM(18,38*27,21))),"",INDIRECT("'R10.Documentos no web'!D"&amp;SUM(18,38*27,21))))</f>
        <v/>
      </c>
      <c r="AG81" s="99" t="str" cm="1">
        <f t="array" aca="1" ref="AG81" ca="1">IF($B81="","",IF(ISBLANK(INDIRECT("'R10.Documentos no web'!D"&amp;SUM(18,38*28,21))),"",INDIRECT("'R10.Documentos no web'!D"&amp;SUM(18,38*28,21))))</f>
        <v/>
      </c>
      <c r="AH81" s="99" t="str" cm="1">
        <f t="array" aca="1" ref="AH81" ca="1">IF($B81="","",IF(ISBLANK(INDIRECT("'R10.Documentos no web'!D"&amp;SUM(18,38*29,21))),"",INDIRECT("'R10.Documentos no web'!D"&amp;SUM(18,38*29,21))))</f>
        <v/>
      </c>
      <c r="AI81" s="99" t="str" cm="1">
        <f t="array" aca="1" ref="AI81" ca="1">IF($B81="","",IF(ISBLANK(INDIRECT("'R10.Documentos no web'!D"&amp;SUM(18,38*30,21))),"",INDIRECT("'R10.Documentos no web'!D"&amp;SUM(18,38*30,21))))</f>
        <v/>
      </c>
      <c r="AJ81" s="99" t="str" cm="1">
        <f t="array" aca="1" ref="AJ81" ca="1">IF($B81="","",IF(ISBLANK(INDIRECT("'R10.Documentos no web'!D"&amp;SUM(18,38*31,21))),"",INDIRECT("'R10.Documentos no web'!D"&amp;SUM(18,38*31,21))))</f>
        <v/>
      </c>
      <c r="AK81" s="99" t="str" cm="1">
        <f t="array" aca="1" ref="AK81" ca="1">IF($B81="","",IF(ISBLANK(INDIRECT("'R10.Documentos no web'!D"&amp;SUM(18,38*32,21))),"",INDIRECT("'R10.Documentos no web'!D"&amp;SUM(18,38*32,21))))</f>
        <v/>
      </c>
      <c r="AL81" s="99" t="str" cm="1">
        <f t="array" aca="1" ref="AL81" ca="1">IF($B81="","",IF(ISBLANK(INDIRECT("'R10.Documentos no web'!D"&amp;SUM(18,38*33,21))),"",INDIRECT("'R10.Documentos no web'!D"&amp;SUM(18,38*33,21))))</f>
        <v/>
      </c>
      <c r="AM81" s="99" t="str" cm="1">
        <f t="array" aca="1" ref="AM81" ca="1">IF($B81="","",IF(ISBLANK(INDIRECT("'R10.Documentos no web'!D"&amp;SUM(18,38*34,21))),"",INDIRECT("'R10.Documentos no web'!D"&amp;SUM(18,38*34,21))))</f>
        <v/>
      </c>
      <c r="AN81" s="99" t="str" cm="1">
        <f t="array" aca="1" ref="AN81" ca="1">IF($B81="","",IF(ISBLANK(INDIRECT("'R10.Documentos no web'!D"&amp;SUM(18,38*35,21))),"",INDIRECT("'R10.Documentos no web'!D"&amp;SUM(18,38*35,21))))</f>
        <v/>
      </c>
      <c r="AO81" s="99" t="str" cm="1">
        <f t="array" aca="1" ref="AO81" ca="1">IF($B81="","",IF(ISBLANK(INDIRECT("'R10.Documentos no web'!D"&amp;SUM(18,38*36,21))),"",INDIRECT("'R10.Documentos no web'!D"&amp;SUM(18,38*36,21))))</f>
        <v/>
      </c>
      <c r="AP81" s="99" t="str" cm="1">
        <f t="array" aca="1" ref="AP81" ca="1">IF($B81="","",IF(ISBLANK(INDIRECT("'R10.Documentos no web'!D"&amp;SUM(18,38*37,21))),"",INDIRECT("'R10.Documentos no web'!D"&amp;SUM(18,38*37,21))))</f>
        <v/>
      </c>
      <c r="AQ81" s="99" t="str" cm="1">
        <f t="array" aca="1" ref="AQ81" ca="1">IF($B81="","",IF(ISBLANK(INDIRECT("'R10.Documentos no web'!D"&amp;SUM(18,38*38,21))),"",INDIRECT("'R10.Documentos no web'!D"&amp;SUM(18,38*38,21))))</f>
        <v/>
      </c>
      <c r="AR81" s="99" t="str" cm="1">
        <f t="array" aca="1" ref="AR81" ca="1">IF($B81="","",IF(ISBLANK(INDIRECT("'R10.Documentos no web'!D"&amp;SUM(18,38*39,21))),"",INDIRECT("'R10.Documentos no web'!D"&amp;SUM(18,38*39,21))))</f>
        <v/>
      </c>
      <c r="AS81" s="99" t="str" cm="1">
        <f t="array" aca="1" ref="AS81" ca="1">IF($B81="","",IF(ISBLANK(INDIRECT("'R10.Documentos no web'!D"&amp;SUM(18,38*40,21))),"",INDIRECT("'R10.Documentos no web'!D"&amp;SUM(18,38*40,21))))</f>
        <v/>
      </c>
      <c r="AT81" s="99" t="str" cm="1">
        <f t="array" aca="1" ref="AT81" ca="1">IF($B81="","",IF(ISBLANK(INDIRECT("'R10.Documentos no web'!D"&amp;SUM(18,38*41,21))),"",INDIRECT("'R10.Documentos no web'!D"&amp;SUM(18,38*41,21))))</f>
        <v/>
      </c>
      <c r="AU81" s="99" t="str" cm="1">
        <f t="array" aca="1" ref="AU81" ca="1">IF($B81="","",IF(ISBLANK(INDIRECT("'R10.Documentos no web'!D"&amp;SUM(18,38*42,21))),"",INDIRECT("'R10.Documentos no web'!D"&amp;SUM(18,38*42,21))))</f>
        <v/>
      </c>
      <c r="AV81" s="99" t="str" cm="1">
        <f t="array" aca="1" ref="AV81" ca="1">IF($B81="","",IF(ISBLANK(INDIRECT("'R10.Documentos no web'!D"&amp;SUM(18,38*43,21))),"",INDIRECT("'R10.Documentos no web'!D"&amp;SUM(18,38*43,21))))</f>
        <v/>
      </c>
      <c r="AW81" s="99" t="str" cm="1">
        <f t="array" aca="1" ref="AW81" ca="1">IF($B81="","",IF(ISBLANK(INDIRECT("'R10.Documentos no web'!D"&amp;SUM(18,38*44,21))),"",INDIRECT("'R10.Documentos no web'!D"&amp;SUM(18,38*44,21))))</f>
        <v/>
      </c>
    </row>
    <row r="82" spans="2:49" ht="20.25" customHeight="1">
      <c r="B82" s="181" t="str" cm="1">
        <f t="array" ref="B82">IFERROR(INDEX('03.Muestra'!$B$8:$B$42,SMALL(IF("Documento no web"='03.Muestra'!$D$8:$D$42,ROW('03.Muestra'!$B$8:$B$42)-MIN(ROW('03.Muestra'!$D$8:$D$42))+1,""),ROW()-60)),"")</f>
        <v/>
      </c>
      <c r="C82" s="97" t="str" cm="1">
        <f t="array" ref="C82">IFERROR(INDEX('03.Muestra'!$C$8:$C$42,SMALL(IF("Documento no web"='03.Muestra'!$D$8:$D$42,ROW('03.Muestra'!$C$8:$C$42)-MIN(ROW('03.Muestra'!$D$8:$D$42))+1,""),ROW()-60)),"")</f>
        <v/>
      </c>
      <c r="D82" s="98" t="str" cm="1">
        <f t="array" ref="D82">IFERROR(INDEX('03.Muestra'!$F$8:$F$42,SMALL(IF("Documento no web"='03.Muestra'!$D$8:$D$42,ROW('03.Muestra'!$F$8:$F$42)-MIN(ROW('03.Muestra'!$D$8:$D$42))+1,""),ROW()-60)),"")</f>
        <v/>
      </c>
      <c r="E82" s="99" t="str" cm="1">
        <f t="array" aca="1" ref="E82" ca="1">IF($B82="","",IF(ISBLANK(INDIRECT("'R10.Documentos no web'!D"&amp;SUM(18,38*0,22))),"",INDIRECT("'R10.Documentos no web'!D"&amp;SUM(18,38*0,22))))</f>
        <v/>
      </c>
      <c r="F82" s="99" t="str" cm="1">
        <f t="array" aca="1" ref="F82" ca="1">IF($B82="","",IF(ISBLANK(INDIRECT("'R10.Documentos no web'!D"&amp;SUM(18,38*1,22))),"",INDIRECT("'R10.Documentos no web'!D"&amp;SUM(18,38*1,22))))</f>
        <v/>
      </c>
      <c r="G82" s="99" t="str" cm="1">
        <f t="array" aca="1" ref="G82" ca="1">IF($B82="","",IF(ISBLANK(INDIRECT("'R10.Documentos no web'!D"&amp;SUM(18,38*2,22))),"",INDIRECT("'R10.Documentos no web'!D"&amp;SUM(18,38*2,22))))</f>
        <v/>
      </c>
      <c r="H82" s="99" t="str" cm="1">
        <f t="array" aca="1" ref="H82" ca="1">IF($B82="","",IF(ISBLANK(INDIRECT("'R10.Documentos no web'!D"&amp;SUM(18,38*3,22))),"",INDIRECT("'R10.Documentos no web'!D"&amp;SUM(18,38*3,22))))</f>
        <v/>
      </c>
      <c r="I82" s="99" t="str" cm="1">
        <f t="array" aca="1" ref="I82" ca="1">IF($B82="","",IF(ISBLANK(INDIRECT("'R10.Documentos no web'!D"&amp;SUM(18,38*4,22))),"",INDIRECT("'R10.Documentos no web'!D"&amp;SUM(18,38*4,22))))</f>
        <v/>
      </c>
      <c r="J82" s="99" t="str" cm="1">
        <f t="array" aca="1" ref="J82" ca="1">IF($B82="","",IF(ISBLANK(INDIRECT("'R10.Documentos no web'!D"&amp;SUM(18,38*5,22))),"",INDIRECT("'R10.Documentos no web'!D"&amp;SUM(18,38*5,22))))</f>
        <v/>
      </c>
      <c r="K82" s="99" t="str" cm="1">
        <f t="array" aca="1" ref="K82" ca="1">IF($B82="","",IF(ISBLANK(INDIRECT("'R10.Documentos no web'!D"&amp;SUM(18,38*6,22))),"",INDIRECT("'R10.Documentos no web'!D"&amp;SUM(18,38*6,22))))</f>
        <v/>
      </c>
      <c r="L82" s="99" t="str" cm="1">
        <f t="array" aca="1" ref="L82" ca="1">IF($B82="","",IF(ISBLANK(INDIRECT("'R10.Documentos no web'!D"&amp;SUM(18,38*7,22))),"",INDIRECT("'R10.Documentos no web'!D"&amp;SUM(18,38*7,22))))</f>
        <v/>
      </c>
      <c r="M82" s="99" t="str" cm="1">
        <f t="array" aca="1" ref="M82" ca="1">IF($B82="","",IF(ISBLANK(INDIRECT("'R10.Documentos no web'!D"&amp;SUM(18,38*8,22))),"",INDIRECT("'R10.Documentos no web'!D"&amp;SUM(18,38*8,22))))</f>
        <v/>
      </c>
      <c r="N82" s="99" t="str" cm="1">
        <f t="array" aca="1" ref="N82" ca="1">IF($B82="","",IF(ISBLANK(INDIRECT("'R10.Documentos no web'!D"&amp;SUM(18,38*9,22))),"",INDIRECT("'R10.Documentos no web'!D"&amp;SUM(18,38*9,22))))</f>
        <v/>
      </c>
      <c r="O82" s="99" t="str" cm="1">
        <f t="array" aca="1" ref="O82" ca="1">IF($B82="","",IF(ISBLANK(INDIRECT("'R10.Documentos no web'!D"&amp;SUM(18,38*10,22))),"",INDIRECT("'R10.Documentos no web'!D"&amp;SUM(18,38*10,22))))</f>
        <v/>
      </c>
      <c r="P82" s="99" t="str" cm="1">
        <f t="array" aca="1" ref="P82" ca="1">IF($B82="","",IF(ISBLANK(INDIRECT("'R10.Documentos no web'!D"&amp;SUM(18,38*11,22))),"",INDIRECT("'R10.Documentos no web'!D"&amp;SUM(18,38*11,22))))</f>
        <v/>
      </c>
      <c r="Q82" s="99" t="str" cm="1">
        <f t="array" aca="1" ref="Q82" ca="1">IF($B82="","",IF(ISBLANK(INDIRECT("'R10.Documentos no web'!D"&amp;SUM(18,38*12,22))),"",INDIRECT("'R10.Documentos no web'!D"&amp;SUM(18,38*12,22))))</f>
        <v/>
      </c>
      <c r="R82" s="99" t="str" cm="1">
        <f t="array" aca="1" ref="R82" ca="1">IF($B82="","",IF(ISBLANK(INDIRECT("'R10.Documentos no web'!D"&amp;SUM(18,38*13,22))),"",INDIRECT("'R10.Documentos no web'!D"&amp;SUM(18,38*13,22))))</f>
        <v/>
      </c>
      <c r="S82" s="99" t="str" cm="1">
        <f t="array" aca="1" ref="S82" ca="1">IF($B82="","",IF(ISBLANK(INDIRECT("'R10.Documentos no web'!D"&amp;SUM(18,38*14,22))),"",INDIRECT("'R10.Documentos no web'!D"&amp;SUM(18,38*14,22))))</f>
        <v/>
      </c>
      <c r="T82" s="99" t="str" cm="1">
        <f t="array" aca="1" ref="T82" ca="1">IF($B82="","",IF(ISBLANK(INDIRECT("'R10.Documentos no web'!D"&amp;SUM(18,38*15,22))),"",INDIRECT("'R10.Documentos no web'!D"&amp;SUM(18,38*15,22))))</f>
        <v/>
      </c>
      <c r="U82" s="99" t="str" cm="1">
        <f t="array" aca="1" ref="U82" ca="1">IF($B82="","",IF(ISBLANK(INDIRECT("'R10.Documentos no web'!D"&amp;SUM(18,38*16,22))),"",INDIRECT("'R10.Documentos no web'!D"&amp;SUM(18,38*16,22))))</f>
        <v/>
      </c>
      <c r="V82" s="99" t="str" cm="1">
        <f t="array" aca="1" ref="V82" ca="1">IF($B82="","",IF(ISBLANK(INDIRECT("'R10.Documentos no web'!D"&amp;SUM(18,38*17,22))),"",INDIRECT("'R10.Documentos no web'!D"&amp;SUM(18,38*17,22))))</f>
        <v/>
      </c>
      <c r="W82" s="99" t="str" cm="1">
        <f t="array" aca="1" ref="W82" ca="1">IF($B82="","",IF(ISBLANK(INDIRECT("'R10.Documentos no web'!D"&amp;SUM(18,38*18,22))),"",INDIRECT("'R10.Documentos no web'!D"&amp;SUM(18,38*18,22))))</f>
        <v/>
      </c>
      <c r="X82" s="99" t="str" cm="1">
        <f t="array" aca="1" ref="X82" ca="1">IF($B82="","",IF(ISBLANK(INDIRECT("'R10.Documentos no web'!D"&amp;SUM(18,38*19,22))),"",INDIRECT("'R10.Documentos no web'!D"&amp;SUM(18,38*19,22))))</f>
        <v/>
      </c>
      <c r="Y82" s="99" t="str" cm="1">
        <f t="array" aca="1" ref="Y82" ca="1">IF($B82="","",IF(ISBLANK(INDIRECT("'R10.Documentos no web'!D"&amp;SUM(18,38*20,22))),"",INDIRECT("'R10.Documentos no web'!D"&amp;SUM(18,38*20,22))))</f>
        <v/>
      </c>
      <c r="Z82" s="99" t="str" cm="1">
        <f t="array" aca="1" ref="Z82" ca="1">IF($B82="","",IF(ISBLANK(INDIRECT("'R10.Documentos no web'!D"&amp;SUM(18,38*21,22))),"",INDIRECT("'R10.Documentos no web'!D"&amp;SUM(18,38*21,22))))</f>
        <v/>
      </c>
      <c r="AA82" s="99" t="str" cm="1">
        <f t="array" aca="1" ref="AA82" ca="1">IF($B82="","",IF(ISBLANK(INDIRECT("'R10.Documentos no web'!D"&amp;SUM(18,38*22,22))),"",INDIRECT("'R10.Documentos no web'!D"&amp;SUM(18,38*22,22))))</f>
        <v/>
      </c>
      <c r="AB82" s="99" t="str" cm="1">
        <f t="array" aca="1" ref="AB82" ca="1">IF($B82="","",IF(ISBLANK(INDIRECT("'R10.Documentos no web'!D"&amp;SUM(18,38*23,22))),"",INDIRECT("'R10.Documentos no web'!D"&amp;SUM(18,38*23,22))))</f>
        <v/>
      </c>
      <c r="AC82" s="99" t="str" cm="1">
        <f t="array" aca="1" ref="AC82" ca="1">IF($B82="","",IF(ISBLANK(INDIRECT("'R10.Documentos no web'!D"&amp;SUM(18,38*24,22))),"",INDIRECT("'R10.Documentos no web'!D"&amp;SUM(18,38*24,22))))</f>
        <v/>
      </c>
      <c r="AD82" s="99" t="str" cm="1">
        <f t="array" aca="1" ref="AD82" ca="1">IF($B82="","",IF(ISBLANK(INDIRECT("'R10.Documentos no web'!D"&amp;SUM(18,38*25,22))),"",INDIRECT("'R10.Documentos no web'!D"&amp;SUM(18,38*25,22))))</f>
        <v/>
      </c>
      <c r="AE82" s="99" t="str" cm="1">
        <f t="array" aca="1" ref="AE82" ca="1">IF($B82="","",IF(ISBLANK(INDIRECT("'R10.Documentos no web'!D"&amp;SUM(18,38*26,22))),"",INDIRECT("'R10.Documentos no web'!D"&amp;SUM(18,38*26,22))))</f>
        <v/>
      </c>
      <c r="AF82" s="99" t="str" cm="1">
        <f t="array" aca="1" ref="AF82" ca="1">IF($B82="","",IF(ISBLANK(INDIRECT("'R10.Documentos no web'!D"&amp;SUM(18,38*27,22))),"",INDIRECT("'R10.Documentos no web'!D"&amp;SUM(18,38*27,22))))</f>
        <v/>
      </c>
      <c r="AG82" s="99" t="str" cm="1">
        <f t="array" aca="1" ref="AG82" ca="1">IF($B82="","",IF(ISBLANK(INDIRECT("'R10.Documentos no web'!D"&amp;SUM(18,38*28,22))),"",INDIRECT("'R10.Documentos no web'!D"&amp;SUM(18,38*28,22))))</f>
        <v/>
      </c>
      <c r="AH82" s="99" t="str" cm="1">
        <f t="array" aca="1" ref="AH82" ca="1">IF($B82="","",IF(ISBLANK(INDIRECT("'R10.Documentos no web'!D"&amp;SUM(18,38*29,22))),"",INDIRECT("'R10.Documentos no web'!D"&amp;SUM(18,38*29,22))))</f>
        <v/>
      </c>
      <c r="AI82" s="99" t="str" cm="1">
        <f t="array" aca="1" ref="AI82" ca="1">IF($B82="","",IF(ISBLANK(INDIRECT("'R10.Documentos no web'!D"&amp;SUM(18,38*30,22))),"",INDIRECT("'R10.Documentos no web'!D"&amp;SUM(18,38*30,22))))</f>
        <v/>
      </c>
      <c r="AJ82" s="99" t="str" cm="1">
        <f t="array" aca="1" ref="AJ82" ca="1">IF($B82="","",IF(ISBLANK(INDIRECT("'R10.Documentos no web'!D"&amp;SUM(18,38*31,22))),"",INDIRECT("'R10.Documentos no web'!D"&amp;SUM(18,38*31,22))))</f>
        <v/>
      </c>
      <c r="AK82" s="99" t="str" cm="1">
        <f t="array" aca="1" ref="AK82" ca="1">IF($B82="","",IF(ISBLANK(INDIRECT("'R10.Documentos no web'!D"&amp;SUM(18,38*32,22))),"",INDIRECT("'R10.Documentos no web'!D"&amp;SUM(18,38*32,22))))</f>
        <v/>
      </c>
      <c r="AL82" s="99" t="str" cm="1">
        <f t="array" aca="1" ref="AL82" ca="1">IF($B82="","",IF(ISBLANK(INDIRECT("'R10.Documentos no web'!D"&amp;SUM(18,38*33,22))),"",INDIRECT("'R10.Documentos no web'!D"&amp;SUM(18,38*33,22))))</f>
        <v/>
      </c>
      <c r="AM82" s="99" t="str" cm="1">
        <f t="array" aca="1" ref="AM82" ca="1">IF($B82="","",IF(ISBLANK(INDIRECT("'R10.Documentos no web'!D"&amp;SUM(18,38*34,22))),"",INDIRECT("'R10.Documentos no web'!D"&amp;SUM(18,38*34,22))))</f>
        <v/>
      </c>
      <c r="AN82" s="99" t="str" cm="1">
        <f t="array" aca="1" ref="AN82" ca="1">IF($B82="","",IF(ISBLANK(INDIRECT("'R10.Documentos no web'!D"&amp;SUM(18,38*35,22))),"",INDIRECT("'R10.Documentos no web'!D"&amp;SUM(18,38*35,22))))</f>
        <v/>
      </c>
      <c r="AO82" s="99" t="str" cm="1">
        <f t="array" aca="1" ref="AO82" ca="1">IF($B82="","",IF(ISBLANK(INDIRECT("'R10.Documentos no web'!D"&amp;SUM(18,38*36,22))),"",INDIRECT("'R10.Documentos no web'!D"&amp;SUM(18,38*36,22))))</f>
        <v/>
      </c>
      <c r="AP82" s="99" t="str" cm="1">
        <f t="array" aca="1" ref="AP82" ca="1">IF($B82="","",IF(ISBLANK(INDIRECT("'R10.Documentos no web'!D"&amp;SUM(18,38*37,22))),"",INDIRECT("'R10.Documentos no web'!D"&amp;SUM(18,38*37,22))))</f>
        <v/>
      </c>
      <c r="AQ82" s="99" t="str" cm="1">
        <f t="array" aca="1" ref="AQ82" ca="1">IF($B82="","",IF(ISBLANK(INDIRECT("'R10.Documentos no web'!D"&amp;SUM(18,38*38,22))),"",INDIRECT("'R10.Documentos no web'!D"&amp;SUM(18,38*38,22))))</f>
        <v/>
      </c>
      <c r="AR82" s="99" t="str" cm="1">
        <f t="array" aca="1" ref="AR82" ca="1">IF($B82="","",IF(ISBLANK(INDIRECT("'R10.Documentos no web'!D"&amp;SUM(18,38*39,22))),"",INDIRECT("'R10.Documentos no web'!D"&amp;SUM(18,38*39,22))))</f>
        <v/>
      </c>
      <c r="AS82" s="99" t="str" cm="1">
        <f t="array" aca="1" ref="AS82" ca="1">IF($B82="","",IF(ISBLANK(INDIRECT("'R10.Documentos no web'!D"&amp;SUM(18,38*40,22))),"",INDIRECT("'R10.Documentos no web'!D"&amp;SUM(18,38*40,22))))</f>
        <v/>
      </c>
      <c r="AT82" s="99" t="str" cm="1">
        <f t="array" aca="1" ref="AT82" ca="1">IF($B82="","",IF(ISBLANK(INDIRECT("'R10.Documentos no web'!D"&amp;SUM(18,38*41,22))),"",INDIRECT("'R10.Documentos no web'!D"&amp;SUM(18,38*41,22))))</f>
        <v/>
      </c>
      <c r="AU82" s="99" t="str" cm="1">
        <f t="array" aca="1" ref="AU82" ca="1">IF($B82="","",IF(ISBLANK(INDIRECT("'R10.Documentos no web'!D"&amp;SUM(18,38*42,22))),"",INDIRECT("'R10.Documentos no web'!D"&amp;SUM(18,38*42,22))))</f>
        <v/>
      </c>
      <c r="AV82" s="99" t="str" cm="1">
        <f t="array" aca="1" ref="AV82" ca="1">IF($B82="","",IF(ISBLANK(INDIRECT("'R10.Documentos no web'!D"&amp;SUM(18,38*43,22))),"",INDIRECT("'R10.Documentos no web'!D"&amp;SUM(18,38*43,22))))</f>
        <v/>
      </c>
      <c r="AW82" s="99" t="str" cm="1">
        <f t="array" aca="1" ref="AW82" ca="1">IF($B82="","",IF(ISBLANK(INDIRECT("'R10.Documentos no web'!D"&amp;SUM(18,38*44,22))),"",INDIRECT("'R10.Documentos no web'!D"&amp;SUM(18,38*44,22))))</f>
        <v/>
      </c>
    </row>
    <row r="83" spans="2:49" ht="20.25" customHeight="1">
      <c r="B83" s="181" t="str" cm="1">
        <f t="array" ref="B83">IFERROR(INDEX('03.Muestra'!$B$8:$B$42,SMALL(IF("Documento no web"='03.Muestra'!$D$8:$D$42,ROW('03.Muestra'!$B$8:$B$42)-MIN(ROW('03.Muestra'!$D$8:$D$42))+1,""),ROW()-60)),"")</f>
        <v/>
      </c>
      <c r="C83" s="97" t="str" cm="1">
        <f t="array" ref="C83">IFERROR(INDEX('03.Muestra'!$C$8:$C$42,SMALL(IF("Documento no web"='03.Muestra'!$D$8:$D$42,ROW('03.Muestra'!$C$8:$C$42)-MIN(ROW('03.Muestra'!$D$8:$D$42))+1,""),ROW()-60)),"")</f>
        <v/>
      </c>
      <c r="D83" s="98" t="str" cm="1">
        <f t="array" ref="D83">IFERROR(INDEX('03.Muestra'!$F$8:$F$42,SMALL(IF("Documento no web"='03.Muestra'!$D$8:$D$42,ROW('03.Muestra'!$F$8:$F$42)-MIN(ROW('03.Muestra'!$D$8:$D$42))+1,""),ROW()-60)),"")</f>
        <v/>
      </c>
      <c r="E83" s="99" t="str" cm="1">
        <f t="array" aca="1" ref="E83" ca="1">IF($B83="","",IF(ISBLANK(INDIRECT("'R10.Documentos no web'!D"&amp;SUM(18,38*0,23))),"",INDIRECT("'R10.Documentos no web'!D"&amp;SUM(18,38*0,23))))</f>
        <v/>
      </c>
      <c r="F83" s="99" t="str" cm="1">
        <f t="array" aca="1" ref="F83" ca="1">IF($B83="","",IF(ISBLANK(INDIRECT("'R10.Documentos no web'!D"&amp;SUM(18,38*1,23))),"",INDIRECT("'R10.Documentos no web'!D"&amp;SUM(18,38*1,23))))</f>
        <v/>
      </c>
      <c r="G83" s="99" t="str" cm="1">
        <f t="array" aca="1" ref="G83" ca="1">IF($B83="","",IF(ISBLANK(INDIRECT("'R10.Documentos no web'!D"&amp;SUM(18,38*2,23))),"",INDIRECT("'R10.Documentos no web'!D"&amp;SUM(18,38*2,23))))</f>
        <v/>
      </c>
      <c r="H83" s="99" t="str" cm="1">
        <f t="array" aca="1" ref="H83" ca="1">IF($B83="","",IF(ISBLANK(INDIRECT("'R10.Documentos no web'!D"&amp;SUM(18,38*3,23))),"",INDIRECT("'R10.Documentos no web'!D"&amp;SUM(18,38*3,23))))</f>
        <v/>
      </c>
      <c r="I83" s="99" t="str" cm="1">
        <f t="array" aca="1" ref="I83" ca="1">IF($B83="","",IF(ISBLANK(INDIRECT("'R10.Documentos no web'!D"&amp;SUM(18,38*4,23))),"",INDIRECT("'R10.Documentos no web'!D"&amp;SUM(18,38*4,23))))</f>
        <v/>
      </c>
      <c r="J83" s="99" t="str" cm="1">
        <f t="array" aca="1" ref="J83" ca="1">IF($B83="","",IF(ISBLANK(INDIRECT("'R10.Documentos no web'!D"&amp;SUM(18,38*5,23))),"",INDIRECT("'R10.Documentos no web'!D"&amp;SUM(18,38*5,23))))</f>
        <v/>
      </c>
      <c r="K83" s="99" t="str" cm="1">
        <f t="array" aca="1" ref="K83" ca="1">IF($B83="","",IF(ISBLANK(INDIRECT("'R10.Documentos no web'!D"&amp;SUM(18,38*6,23))),"",INDIRECT("'R10.Documentos no web'!D"&amp;SUM(18,38*6,23))))</f>
        <v/>
      </c>
      <c r="L83" s="99" t="str" cm="1">
        <f t="array" aca="1" ref="L83" ca="1">IF($B83="","",IF(ISBLANK(INDIRECT("'R10.Documentos no web'!D"&amp;SUM(18,38*7,23))),"",INDIRECT("'R10.Documentos no web'!D"&amp;SUM(18,38*7,23))))</f>
        <v/>
      </c>
      <c r="M83" s="99" t="str" cm="1">
        <f t="array" aca="1" ref="M83" ca="1">IF($B83="","",IF(ISBLANK(INDIRECT("'R10.Documentos no web'!D"&amp;SUM(18,38*8,23))),"",INDIRECT("'R10.Documentos no web'!D"&amp;SUM(18,38*8,23))))</f>
        <v/>
      </c>
      <c r="N83" s="99" t="str" cm="1">
        <f t="array" aca="1" ref="N83" ca="1">IF($B83="","",IF(ISBLANK(INDIRECT("'R10.Documentos no web'!D"&amp;SUM(18,38*9,23))),"",INDIRECT("'R10.Documentos no web'!D"&amp;SUM(18,38*9,23))))</f>
        <v/>
      </c>
      <c r="O83" s="99" t="str" cm="1">
        <f t="array" aca="1" ref="O83" ca="1">IF($B83="","",IF(ISBLANK(INDIRECT("'R10.Documentos no web'!D"&amp;SUM(18,38*10,23))),"",INDIRECT("'R10.Documentos no web'!D"&amp;SUM(18,38*10,23))))</f>
        <v/>
      </c>
      <c r="P83" s="99" t="str" cm="1">
        <f t="array" aca="1" ref="P83" ca="1">IF($B83="","",IF(ISBLANK(INDIRECT("'R10.Documentos no web'!D"&amp;SUM(18,38*11,23))),"",INDIRECT("'R10.Documentos no web'!D"&amp;SUM(18,38*11,23))))</f>
        <v/>
      </c>
      <c r="Q83" s="99" t="str" cm="1">
        <f t="array" aca="1" ref="Q83" ca="1">IF($B83="","",IF(ISBLANK(INDIRECT("'R10.Documentos no web'!D"&amp;SUM(18,38*12,23))),"",INDIRECT("'R10.Documentos no web'!D"&amp;SUM(18,38*12,23))))</f>
        <v/>
      </c>
      <c r="R83" s="99" t="str" cm="1">
        <f t="array" aca="1" ref="R83" ca="1">IF($B83="","",IF(ISBLANK(INDIRECT("'R10.Documentos no web'!D"&amp;SUM(18,38*13,23))),"",INDIRECT("'R10.Documentos no web'!D"&amp;SUM(18,38*13,23))))</f>
        <v/>
      </c>
      <c r="S83" s="99" t="str" cm="1">
        <f t="array" aca="1" ref="S83" ca="1">IF($B83="","",IF(ISBLANK(INDIRECT("'R10.Documentos no web'!D"&amp;SUM(18,38*14,23))),"",INDIRECT("'R10.Documentos no web'!D"&amp;SUM(18,38*14,23))))</f>
        <v/>
      </c>
      <c r="T83" s="99" t="str" cm="1">
        <f t="array" aca="1" ref="T83" ca="1">IF($B83="","",IF(ISBLANK(INDIRECT("'R10.Documentos no web'!D"&amp;SUM(18,38*15,23))),"",INDIRECT("'R10.Documentos no web'!D"&amp;SUM(18,38*15,23))))</f>
        <v/>
      </c>
      <c r="U83" s="99" t="str" cm="1">
        <f t="array" aca="1" ref="U83" ca="1">IF($B83="","",IF(ISBLANK(INDIRECT("'R10.Documentos no web'!D"&amp;SUM(18,38*16,23))),"",INDIRECT("'R10.Documentos no web'!D"&amp;SUM(18,38*16,23))))</f>
        <v/>
      </c>
      <c r="V83" s="99" t="str" cm="1">
        <f t="array" aca="1" ref="V83" ca="1">IF($B83="","",IF(ISBLANK(INDIRECT("'R10.Documentos no web'!D"&amp;SUM(18,38*17,23))),"",INDIRECT("'R10.Documentos no web'!D"&amp;SUM(18,38*17,23))))</f>
        <v/>
      </c>
      <c r="W83" s="99" t="str" cm="1">
        <f t="array" aca="1" ref="W83" ca="1">IF($B83="","",IF(ISBLANK(INDIRECT("'R10.Documentos no web'!D"&amp;SUM(18,38*18,23))),"",INDIRECT("'R10.Documentos no web'!D"&amp;SUM(18,38*18,23))))</f>
        <v/>
      </c>
      <c r="X83" s="99" t="str" cm="1">
        <f t="array" aca="1" ref="X83" ca="1">IF($B83="","",IF(ISBLANK(INDIRECT("'R10.Documentos no web'!D"&amp;SUM(18,38*19,23))),"",INDIRECT("'R10.Documentos no web'!D"&amp;SUM(18,38*19,23))))</f>
        <v/>
      </c>
      <c r="Y83" s="99" t="str" cm="1">
        <f t="array" aca="1" ref="Y83" ca="1">IF($B83="","",IF(ISBLANK(INDIRECT("'R10.Documentos no web'!D"&amp;SUM(18,38*20,23))),"",INDIRECT("'R10.Documentos no web'!D"&amp;SUM(18,38*20,23))))</f>
        <v/>
      </c>
      <c r="Z83" s="99" t="str" cm="1">
        <f t="array" aca="1" ref="Z83" ca="1">IF($B83="","",IF(ISBLANK(INDIRECT("'R10.Documentos no web'!D"&amp;SUM(18,38*21,23))),"",INDIRECT("'R10.Documentos no web'!D"&amp;SUM(18,38*21,23))))</f>
        <v/>
      </c>
      <c r="AA83" s="99" t="str" cm="1">
        <f t="array" aca="1" ref="AA83" ca="1">IF($B83="","",IF(ISBLANK(INDIRECT("'R10.Documentos no web'!D"&amp;SUM(18,38*22,23))),"",INDIRECT("'R10.Documentos no web'!D"&amp;SUM(18,38*22,23))))</f>
        <v/>
      </c>
      <c r="AB83" s="99" t="str" cm="1">
        <f t="array" aca="1" ref="AB83" ca="1">IF($B83="","",IF(ISBLANK(INDIRECT("'R10.Documentos no web'!D"&amp;SUM(18,38*23,23))),"",INDIRECT("'R10.Documentos no web'!D"&amp;SUM(18,38*23,23))))</f>
        <v/>
      </c>
      <c r="AC83" s="99" t="str" cm="1">
        <f t="array" aca="1" ref="AC83" ca="1">IF($B83="","",IF(ISBLANK(INDIRECT("'R10.Documentos no web'!D"&amp;SUM(18,38*24,23))),"",INDIRECT("'R10.Documentos no web'!D"&amp;SUM(18,38*24,23))))</f>
        <v/>
      </c>
      <c r="AD83" s="99" t="str" cm="1">
        <f t="array" aca="1" ref="AD83" ca="1">IF($B83="","",IF(ISBLANK(INDIRECT("'R10.Documentos no web'!D"&amp;SUM(18,38*25,23))),"",INDIRECT("'R10.Documentos no web'!D"&amp;SUM(18,38*25,23))))</f>
        <v/>
      </c>
      <c r="AE83" s="99" t="str" cm="1">
        <f t="array" aca="1" ref="AE83" ca="1">IF($B83="","",IF(ISBLANK(INDIRECT("'R10.Documentos no web'!D"&amp;SUM(18,38*26,23))),"",INDIRECT("'R10.Documentos no web'!D"&amp;SUM(18,38*26,23))))</f>
        <v/>
      </c>
      <c r="AF83" s="99" t="str" cm="1">
        <f t="array" aca="1" ref="AF83" ca="1">IF($B83="","",IF(ISBLANK(INDIRECT("'R10.Documentos no web'!D"&amp;SUM(18,38*27,23))),"",INDIRECT("'R10.Documentos no web'!D"&amp;SUM(18,38*27,23))))</f>
        <v/>
      </c>
      <c r="AG83" s="99" t="str" cm="1">
        <f t="array" aca="1" ref="AG83" ca="1">IF($B83="","",IF(ISBLANK(INDIRECT("'R10.Documentos no web'!D"&amp;SUM(18,38*28,23))),"",INDIRECT("'R10.Documentos no web'!D"&amp;SUM(18,38*28,23))))</f>
        <v/>
      </c>
      <c r="AH83" s="99" t="str" cm="1">
        <f t="array" aca="1" ref="AH83" ca="1">IF($B83="","",IF(ISBLANK(INDIRECT("'R10.Documentos no web'!D"&amp;SUM(18,38*29,23))),"",INDIRECT("'R10.Documentos no web'!D"&amp;SUM(18,38*29,23))))</f>
        <v/>
      </c>
      <c r="AI83" s="99" t="str" cm="1">
        <f t="array" aca="1" ref="AI83" ca="1">IF($B83="","",IF(ISBLANK(INDIRECT("'R10.Documentos no web'!D"&amp;SUM(18,38*30,23))),"",INDIRECT("'R10.Documentos no web'!D"&amp;SUM(18,38*30,23))))</f>
        <v/>
      </c>
      <c r="AJ83" s="99" t="str" cm="1">
        <f t="array" aca="1" ref="AJ83" ca="1">IF($B83="","",IF(ISBLANK(INDIRECT("'R10.Documentos no web'!D"&amp;SUM(18,38*31,23))),"",INDIRECT("'R10.Documentos no web'!D"&amp;SUM(18,38*31,23))))</f>
        <v/>
      </c>
      <c r="AK83" s="99" t="str" cm="1">
        <f t="array" aca="1" ref="AK83" ca="1">IF($B83="","",IF(ISBLANK(INDIRECT("'R10.Documentos no web'!D"&amp;SUM(18,38*32,23))),"",INDIRECT("'R10.Documentos no web'!D"&amp;SUM(18,38*32,23))))</f>
        <v/>
      </c>
      <c r="AL83" s="99" t="str" cm="1">
        <f t="array" aca="1" ref="AL83" ca="1">IF($B83="","",IF(ISBLANK(INDIRECT("'R10.Documentos no web'!D"&amp;SUM(18,38*33,23))),"",INDIRECT("'R10.Documentos no web'!D"&amp;SUM(18,38*33,23))))</f>
        <v/>
      </c>
      <c r="AM83" s="99" t="str" cm="1">
        <f t="array" aca="1" ref="AM83" ca="1">IF($B83="","",IF(ISBLANK(INDIRECT("'R10.Documentos no web'!D"&amp;SUM(18,38*34,23))),"",INDIRECT("'R10.Documentos no web'!D"&amp;SUM(18,38*34,23))))</f>
        <v/>
      </c>
      <c r="AN83" s="99" t="str" cm="1">
        <f t="array" aca="1" ref="AN83" ca="1">IF($B83="","",IF(ISBLANK(INDIRECT("'R10.Documentos no web'!D"&amp;SUM(18,38*35,23))),"",INDIRECT("'R10.Documentos no web'!D"&amp;SUM(18,38*35,23))))</f>
        <v/>
      </c>
      <c r="AO83" s="99" t="str" cm="1">
        <f t="array" aca="1" ref="AO83" ca="1">IF($B83="","",IF(ISBLANK(INDIRECT("'R10.Documentos no web'!D"&amp;SUM(18,38*36,23))),"",INDIRECT("'R10.Documentos no web'!D"&amp;SUM(18,38*36,23))))</f>
        <v/>
      </c>
      <c r="AP83" s="99" t="str" cm="1">
        <f t="array" aca="1" ref="AP83" ca="1">IF($B83="","",IF(ISBLANK(INDIRECT("'R10.Documentos no web'!D"&amp;SUM(18,38*37,23))),"",INDIRECT("'R10.Documentos no web'!D"&amp;SUM(18,38*37,23))))</f>
        <v/>
      </c>
      <c r="AQ83" s="99" t="str" cm="1">
        <f t="array" aca="1" ref="AQ83" ca="1">IF($B83="","",IF(ISBLANK(INDIRECT("'R10.Documentos no web'!D"&amp;SUM(18,38*38,23))),"",INDIRECT("'R10.Documentos no web'!D"&amp;SUM(18,38*38,23))))</f>
        <v/>
      </c>
      <c r="AR83" s="99" t="str" cm="1">
        <f t="array" aca="1" ref="AR83" ca="1">IF($B83="","",IF(ISBLANK(INDIRECT("'R10.Documentos no web'!D"&amp;SUM(18,38*39,23))),"",INDIRECT("'R10.Documentos no web'!D"&amp;SUM(18,38*39,23))))</f>
        <v/>
      </c>
      <c r="AS83" s="99" t="str" cm="1">
        <f t="array" aca="1" ref="AS83" ca="1">IF($B83="","",IF(ISBLANK(INDIRECT("'R10.Documentos no web'!D"&amp;SUM(18,38*40,23))),"",INDIRECT("'R10.Documentos no web'!D"&amp;SUM(18,38*40,23))))</f>
        <v/>
      </c>
      <c r="AT83" s="99" t="str" cm="1">
        <f t="array" aca="1" ref="AT83" ca="1">IF($B83="","",IF(ISBLANK(INDIRECT("'R10.Documentos no web'!D"&amp;SUM(18,38*41,23))),"",INDIRECT("'R10.Documentos no web'!D"&amp;SUM(18,38*41,23))))</f>
        <v/>
      </c>
      <c r="AU83" s="99" t="str" cm="1">
        <f t="array" aca="1" ref="AU83" ca="1">IF($B83="","",IF(ISBLANK(INDIRECT("'R10.Documentos no web'!D"&amp;SUM(18,38*42,23))),"",INDIRECT("'R10.Documentos no web'!D"&amp;SUM(18,38*42,23))))</f>
        <v/>
      </c>
      <c r="AV83" s="99" t="str" cm="1">
        <f t="array" aca="1" ref="AV83" ca="1">IF($B83="","",IF(ISBLANK(INDIRECT("'R10.Documentos no web'!D"&amp;SUM(18,38*43,23))),"",INDIRECT("'R10.Documentos no web'!D"&amp;SUM(18,38*43,23))))</f>
        <v/>
      </c>
      <c r="AW83" s="99" t="str" cm="1">
        <f t="array" aca="1" ref="AW83" ca="1">IF($B83="","",IF(ISBLANK(INDIRECT("'R10.Documentos no web'!D"&amp;SUM(18,38*44,23))),"",INDIRECT("'R10.Documentos no web'!D"&amp;SUM(18,38*44,23))))</f>
        <v/>
      </c>
    </row>
    <row r="84" spans="2:49" ht="20.25" customHeight="1">
      <c r="B84" s="181" t="str" cm="1">
        <f t="array" ref="B84">IFERROR(INDEX('03.Muestra'!$B$8:$B$42,SMALL(IF("Documento no web"='03.Muestra'!$D$8:$D$42,ROW('03.Muestra'!$B$8:$B$42)-MIN(ROW('03.Muestra'!$D$8:$D$42))+1,""),ROW()-60)),"")</f>
        <v/>
      </c>
      <c r="C84" s="97" t="str" cm="1">
        <f t="array" ref="C84">IFERROR(INDEX('03.Muestra'!$C$8:$C$42,SMALL(IF("Documento no web"='03.Muestra'!$D$8:$D$42,ROW('03.Muestra'!$C$8:$C$42)-MIN(ROW('03.Muestra'!$D$8:$D$42))+1,""),ROW()-60)),"")</f>
        <v/>
      </c>
      <c r="D84" s="98" t="str" cm="1">
        <f t="array" ref="D84">IFERROR(INDEX('03.Muestra'!$F$8:$F$42,SMALL(IF("Documento no web"='03.Muestra'!$D$8:$D$42,ROW('03.Muestra'!$F$8:$F$42)-MIN(ROW('03.Muestra'!$D$8:$D$42))+1,""),ROW()-60)),"")</f>
        <v/>
      </c>
      <c r="E84" s="99" t="str" cm="1">
        <f t="array" aca="1" ref="E84" ca="1">IF($B84="","",IF(ISBLANK(INDIRECT("'R10.Documentos no web'!D"&amp;SUM(18,38*0,24))),"",INDIRECT("'R10.Documentos no web'!D"&amp;SUM(18,38*0,24))))</f>
        <v/>
      </c>
      <c r="F84" s="99" t="str" cm="1">
        <f t="array" aca="1" ref="F84" ca="1">IF($B84="","",IF(ISBLANK(INDIRECT("'R10.Documentos no web'!D"&amp;SUM(18,38*1,24))),"",INDIRECT("'R10.Documentos no web'!D"&amp;SUM(18,38*1,24))))</f>
        <v/>
      </c>
      <c r="G84" s="99" t="str" cm="1">
        <f t="array" aca="1" ref="G84" ca="1">IF($B84="","",IF(ISBLANK(INDIRECT("'R10.Documentos no web'!D"&amp;SUM(18,38*2,24))),"",INDIRECT("'R10.Documentos no web'!D"&amp;SUM(18,38*2,24))))</f>
        <v/>
      </c>
      <c r="H84" s="99" t="str" cm="1">
        <f t="array" aca="1" ref="H84" ca="1">IF($B84="","",IF(ISBLANK(INDIRECT("'R10.Documentos no web'!D"&amp;SUM(18,38*3,24))),"",INDIRECT("'R10.Documentos no web'!D"&amp;SUM(18,38*3,24))))</f>
        <v/>
      </c>
      <c r="I84" s="99" t="str" cm="1">
        <f t="array" aca="1" ref="I84" ca="1">IF($B84="","",IF(ISBLANK(INDIRECT("'R10.Documentos no web'!D"&amp;SUM(18,38*4,24))),"",INDIRECT("'R10.Documentos no web'!D"&amp;SUM(18,38*4,24))))</f>
        <v/>
      </c>
      <c r="J84" s="99" t="str" cm="1">
        <f t="array" aca="1" ref="J84" ca="1">IF($B84="","",IF(ISBLANK(INDIRECT("'R10.Documentos no web'!D"&amp;SUM(18,38*5,24))),"",INDIRECT("'R10.Documentos no web'!D"&amp;SUM(18,38*5,24))))</f>
        <v/>
      </c>
      <c r="K84" s="99" t="str" cm="1">
        <f t="array" aca="1" ref="K84" ca="1">IF($B84="","",IF(ISBLANK(INDIRECT("'R10.Documentos no web'!D"&amp;SUM(18,38*6,24))),"",INDIRECT("'R10.Documentos no web'!D"&amp;SUM(18,38*6,24))))</f>
        <v/>
      </c>
      <c r="L84" s="99" t="str" cm="1">
        <f t="array" aca="1" ref="L84" ca="1">IF($B84="","",IF(ISBLANK(INDIRECT("'R10.Documentos no web'!D"&amp;SUM(18,38*7,24))),"",INDIRECT("'R10.Documentos no web'!D"&amp;SUM(18,38*7,24))))</f>
        <v/>
      </c>
      <c r="M84" s="99" t="str" cm="1">
        <f t="array" aca="1" ref="M84" ca="1">IF($B84="","",IF(ISBLANK(INDIRECT("'R10.Documentos no web'!D"&amp;SUM(18,38*8,24))),"",INDIRECT("'R10.Documentos no web'!D"&amp;SUM(18,38*8,24))))</f>
        <v/>
      </c>
      <c r="N84" s="99" t="str" cm="1">
        <f t="array" aca="1" ref="N84" ca="1">IF($B84="","",IF(ISBLANK(INDIRECT("'R10.Documentos no web'!D"&amp;SUM(18,38*9,24))),"",INDIRECT("'R10.Documentos no web'!D"&amp;SUM(18,38*9,24))))</f>
        <v/>
      </c>
      <c r="O84" s="99" t="str" cm="1">
        <f t="array" aca="1" ref="O84" ca="1">IF($B84="","",IF(ISBLANK(INDIRECT("'R10.Documentos no web'!D"&amp;SUM(18,38*10,24))),"",INDIRECT("'R10.Documentos no web'!D"&amp;SUM(18,38*10,24))))</f>
        <v/>
      </c>
      <c r="P84" s="99" t="str" cm="1">
        <f t="array" aca="1" ref="P84" ca="1">IF($B84="","",IF(ISBLANK(INDIRECT("'R10.Documentos no web'!D"&amp;SUM(18,38*11,24))),"",INDIRECT("'R10.Documentos no web'!D"&amp;SUM(18,38*11,24))))</f>
        <v/>
      </c>
      <c r="Q84" s="99" t="str" cm="1">
        <f t="array" aca="1" ref="Q84" ca="1">IF($B84="","",IF(ISBLANK(INDIRECT("'R10.Documentos no web'!D"&amp;SUM(18,38*12,24))),"",INDIRECT("'R10.Documentos no web'!D"&amp;SUM(18,38*12,24))))</f>
        <v/>
      </c>
      <c r="R84" s="99" t="str" cm="1">
        <f t="array" aca="1" ref="R84" ca="1">IF($B84="","",IF(ISBLANK(INDIRECT("'R10.Documentos no web'!D"&amp;SUM(18,38*13,24))),"",INDIRECT("'R10.Documentos no web'!D"&amp;SUM(18,38*13,24))))</f>
        <v/>
      </c>
      <c r="S84" s="99" t="str" cm="1">
        <f t="array" aca="1" ref="S84" ca="1">IF($B84="","",IF(ISBLANK(INDIRECT("'R10.Documentos no web'!D"&amp;SUM(18,38*14,24))),"",INDIRECT("'R10.Documentos no web'!D"&amp;SUM(18,38*14,24))))</f>
        <v/>
      </c>
      <c r="T84" s="99" t="str" cm="1">
        <f t="array" aca="1" ref="T84" ca="1">IF($B84="","",IF(ISBLANK(INDIRECT("'R10.Documentos no web'!D"&amp;SUM(18,38*15,24))),"",INDIRECT("'R10.Documentos no web'!D"&amp;SUM(18,38*15,24))))</f>
        <v/>
      </c>
      <c r="U84" s="99" t="str" cm="1">
        <f t="array" aca="1" ref="U84" ca="1">IF($B84="","",IF(ISBLANK(INDIRECT("'R10.Documentos no web'!D"&amp;SUM(18,38*16,24))),"",INDIRECT("'R10.Documentos no web'!D"&amp;SUM(18,38*16,24))))</f>
        <v/>
      </c>
      <c r="V84" s="99" t="str" cm="1">
        <f t="array" aca="1" ref="V84" ca="1">IF($B84="","",IF(ISBLANK(INDIRECT("'R10.Documentos no web'!D"&amp;SUM(18,38*17,24))),"",INDIRECT("'R10.Documentos no web'!D"&amp;SUM(18,38*17,24))))</f>
        <v/>
      </c>
      <c r="W84" s="99" t="str" cm="1">
        <f t="array" aca="1" ref="W84" ca="1">IF($B84="","",IF(ISBLANK(INDIRECT("'R10.Documentos no web'!D"&amp;SUM(18,38*18,24))),"",INDIRECT("'R10.Documentos no web'!D"&amp;SUM(18,38*18,24))))</f>
        <v/>
      </c>
      <c r="X84" s="99" t="str" cm="1">
        <f t="array" aca="1" ref="X84" ca="1">IF($B84="","",IF(ISBLANK(INDIRECT("'R10.Documentos no web'!D"&amp;SUM(18,38*19,24))),"",INDIRECT("'R10.Documentos no web'!D"&amp;SUM(18,38*19,24))))</f>
        <v/>
      </c>
      <c r="Y84" s="99" t="str" cm="1">
        <f t="array" aca="1" ref="Y84" ca="1">IF($B84="","",IF(ISBLANK(INDIRECT("'R10.Documentos no web'!D"&amp;SUM(18,38*20,24))),"",INDIRECT("'R10.Documentos no web'!D"&amp;SUM(18,38*20,24))))</f>
        <v/>
      </c>
      <c r="Z84" s="99" t="str" cm="1">
        <f t="array" aca="1" ref="Z84" ca="1">IF($B84="","",IF(ISBLANK(INDIRECT("'R10.Documentos no web'!D"&amp;SUM(18,38*21,24))),"",INDIRECT("'R10.Documentos no web'!D"&amp;SUM(18,38*21,24))))</f>
        <v/>
      </c>
      <c r="AA84" s="99" t="str" cm="1">
        <f t="array" aca="1" ref="AA84" ca="1">IF($B84="","",IF(ISBLANK(INDIRECT("'R10.Documentos no web'!D"&amp;SUM(18,38*22,24))),"",INDIRECT("'R10.Documentos no web'!D"&amp;SUM(18,38*22,24))))</f>
        <v/>
      </c>
      <c r="AB84" s="99" t="str" cm="1">
        <f t="array" aca="1" ref="AB84" ca="1">IF($B84="","",IF(ISBLANK(INDIRECT("'R10.Documentos no web'!D"&amp;SUM(18,38*23,24))),"",INDIRECT("'R10.Documentos no web'!D"&amp;SUM(18,38*23,24))))</f>
        <v/>
      </c>
      <c r="AC84" s="99" t="str" cm="1">
        <f t="array" aca="1" ref="AC84" ca="1">IF($B84="","",IF(ISBLANK(INDIRECT("'R10.Documentos no web'!D"&amp;SUM(18,38*24,24))),"",INDIRECT("'R10.Documentos no web'!D"&amp;SUM(18,38*24,24))))</f>
        <v/>
      </c>
      <c r="AD84" s="99" t="str" cm="1">
        <f t="array" aca="1" ref="AD84" ca="1">IF($B84="","",IF(ISBLANK(INDIRECT("'R10.Documentos no web'!D"&amp;SUM(18,38*25,24))),"",INDIRECT("'R10.Documentos no web'!D"&amp;SUM(18,38*25,24))))</f>
        <v/>
      </c>
      <c r="AE84" s="99" t="str" cm="1">
        <f t="array" aca="1" ref="AE84" ca="1">IF($B84="","",IF(ISBLANK(INDIRECT("'R10.Documentos no web'!D"&amp;SUM(18,38*26,24))),"",INDIRECT("'R10.Documentos no web'!D"&amp;SUM(18,38*26,24))))</f>
        <v/>
      </c>
      <c r="AF84" s="99" t="str" cm="1">
        <f t="array" aca="1" ref="AF84" ca="1">IF($B84="","",IF(ISBLANK(INDIRECT("'R10.Documentos no web'!D"&amp;SUM(18,38*27,24))),"",INDIRECT("'R10.Documentos no web'!D"&amp;SUM(18,38*27,24))))</f>
        <v/>
      </c>
      <c r="AG84" s="99" t="str" cm="1">
        <f t="array" aca="1" ref="AG84" ca="1">IF($B84="","",IF(ISBLANK(INDIRECT("'R10.Documentos no web'!D"&amp;SUM(18,38*28,24))),"",INDIRECT("'R10.Documentos no web'!D"&amp;SUM(18,38*28,24))))</f>
        <v/>
      </c>
      <c r="AH84" s="99" t="str" cm="1">
        <f t="array" aca="1" ref="AH84" ca="1">IF($B84="","",IF(ISBLANK(INDIRECT("'R10.Documentos no web'!D"&amp;SUM(18,38*29,24))),"",INDIRECT("'R10.Documentos no web'!D"&amp;SUM(18,38*29,24))))</f>
        <v/>
      </c>
      <c r="AI84" s="99" t="str" cm="1">
        <f t="array" aca="1" ref="AI84" ca="1">IF($B84="","",IF(ISBLANK(INDIRECT("'R10.Documentos no web'!D"&amp;SUM(18,38*30,24))),"",INDIRECT("'R10.Documentos no web'!D"&amp;SUM(18,38*30,24))))</f>
        <v/>
      </c>
      <c r="AJ84" s="99" t="str" cm="1">
        <f t="array" aca="1" ref="AJ84" ca="1">IF($B84="","",IF(ISBLANK(INDIRECT("'R10.Documentos no web'!D"&amp;SUM(18,38*31,24))),"",INDIRECT("'R10.Documentos no web'!D"&amp;SUM(18,38*31,24))))</f>
        <v/>
      </c>
      <c r="AK84" s="99" t="str" cm="1">
        <f t="array" aca="1" ref="AK84" ca="1">IF($B84="","",IF(ISBLANK(INDIRECT("'R10.Documentos no web'!D"&amp;SUM(18,38*32,24))),"",INDIRECT("'R10.Documentos no web'!D"&amp;SUM(18,38*32,24))))</f>
        <v/>
      </c>
      <c r="AL84" s="99" t="str" cm="1">
        <f t="array" aca="1" ref="AL84" ca="1">IF($B84="","",IF(ISBLANK(INDIRECT("'R10.Documentos no web'!D"&amp;SUM(18,38*33,24))),"",INDIRECT("'R10.Documentos no web'!D"&amp;SUM(18,38*33,24))))</f>
        <v/>
      </c>
      <c r="AM84" s="99" t="str" cm="1">
        <f t="array" aca="1" ref="AM84" ca="1">IF($B84="","",IF(ISBLANK(INDIRECT("'R10.Documentos no web'!D"&amp;SUM(18,38*34,24))),"",INDIRECT("'R10.Documentos no web'!D"&amp;SUM(18,38*34,24))))</f>
        <v/>
      </c>
      <c r="AN84" s="99" t="str" cm="1">
        <f t="array" aca="1" ref="AN84" ca="1">IF($B84="","",IF(ISBLANK(INDIRECT("'R10.Documentos no web'!D"&amp;SUM(18,38*35,24))),"",INDIRECT("'R10.Documentos no web'!D"&amp;SUM(18,38*35,24))))</f>
        <v/>
      </c>
      <c r="AO84" s="99" t="str" cm="1">
        <f t="array" aca="1" ref="AO84" ca="1">IF($B84="","",IF(ISBLANK(INDIRECT("'R10.Documentos no web'!D"&amp;SUM(18,38*36,24))),"",INDIRECT("'R10.Documentos no web'!D"&amp;SUM(18,38*36,24))))</f>
        <v/>
      </c>
      <c r="AP84" s="99" t="str" cm="1">
        <f t="array" aca="1" ref="AP84" ca="1">IF($B84="","",IF(ISBLANK(INDIRECT("'R10.Documentos no web'!D"&amp;SUM(18,38*37,24))),"",INDIRECT("'R10.Documentos no web'!D"&amp;SUM(18,38*37,24))))</f>
        <v/>
      </c>
      <c r="AQ84" s="99" t="str" cm="1">
        <f t="array" aca="1" ref="AQ84" ca="1">IF($B84="","",IF(ISBLANK(INDIRECT("'R10.Documentos no web'!D"&amp;SUM(18,38*38,24))),"",INDIRECT("'R10.Documentos no web'!D"&amp;SUM(18,38*38,24))))</f>
        <v/>
      </c>
      <c r="AR84" s="99" t="str" cm="1">
        <f t="array" aca="1" ref="AR84" ca="1">IF($B84="","",IF(ISBLANK(INDIRECT("'R10.Documentos no web'!D"&amp;SUM(18,38*39,24))),"",INDIRECT("'R10.Documentos no web'!D"&amp;SUM(18,38*39,24))))</f>
        <v/>
      </c>
      <c r="AS84" s="99" t="str" cm="1">
        <f t="array" aca="1" ref="AS84" ca="1">IF($B84="","",IF(ISBLANK(INDIRECT("'R10.Documentos no web'!D"&amp;SUM(18,38*40,24))),"",INDIRECT("'R10.Documentos no web'!D"&amp;SUM(18,38*40,24))))</f>
        <v/>
      </c>
      <c r="AT84" s="99" t="str" cm="1">
        <f t="array" aca="1" ref="AT84" ca="1">IF($B84="","",IF(ISBLANK(INDIRECT("'R10.Documentos no web'!D"&amp;SUM(18,38*41,24))),"",INDIRECT("'R10.Documentos no web'!D"&amp;SUM(18,38*41,24))))</f>
        <v/>
      </c>
      <c r="AU84" s="99" t="str" cm="1">
        <f t="array" aca="1" ref="AU84" ca="1">IF($B84="","",IF(ISBLANK(INDIRECT("'R10.Documentos no web'!D"&amp;SUM(18,38*42,24))),"",INDIRECT("'R10.Documentos no web'!D"&amp;SUM(18,38*42,24))))</f>
        <v/>
      </c>
      <c r="AV84" s="99" t="str" cm="1">
        <f t="array" aca="1" ref="AV84" ca="1">IF($B84="","",IF(ISBLANK(INDIRECT("'R10.Documentos no web'!D"&amp;SUM(18,38*43,24))),"",INDIRECT("'R10.Documentos no web'!D"&amp;SUM(18,38*43,24))))</f>
        <v/>
      </c>
      <c r="AW84" s="99" t="str" cm="1">
        <f t="array" aca="1" ref="AW84" ca="1">IF($B84="","",IF(ISBLANK(INDIRECT("'R10.Documentos no web'!D"&amp;SUM(18,38*44,24))),"",INDIRECT("'R10.Documentos no web'!D"&amp;SUM(18,38*44,24))))</f>
        <v/>
      </c>
    </row>
    <row r="85" spans="2:49" ht="20.25" customHeight="1">
      <c r="B85" s="181" t="str" cm="1">
        <f t="array" ref="B85">IFERROR(INDEX('03.Muestra'!$B$8:$B$42,SMALL(IF("Documento no web"='03.Muestra'!$D$8:$D$42,ROW('03.Muestra'!$B$8:$B$42)-MIN(ROW('03.Muestra'!$D$8:$D$42))+1,""),ROW()-60)),"")</f>
        <v/>
      </c>
      <c r="C85" s="97" t="str" cm="1">
        <f t="array" ref="C85">IFERROR(INDEX('03.Muestra'!$C$8:$C$42,SMALL(IF("Documento no web"='03.Muestra'!$D$8:$D$42,ROW('03.Muestra'!$C$8:$C$42)-MIN(ROW('03.Muestra'!$D$8:$D$42))+1,""),ROW()-60)),"")</f>
        <v/>
      </c>
      <c r="D85" s="98" t="str" cm="1">
        <f t="array" ref="D85">IFERROR(INDEX('03.Muestra'!$F$8:$F$42,SMALL(IF("Documento no web"='03.Muestra'!$D$8:$D$42,ROW('03.Muestra'!$F$8:$F$42)-MIN(ROW('03.Muestra'!$D$8:$D$42))+1,""),ROW()-60)),"")</f>
        <v/>
      </c>
      <c r="E85" s="99" t="str" cm="1">
        <f t="array" aca="1" ref="E85" ca="1">IF($B85="","",IF(ISBLANK(INDIRECT("'R10.Documentos no web'!D"&amp;SUM(18,38*0,25))),"",INDIRECT("'R10.Documentos no web'!D"&amp;SUM(18,38*0,25))))</f>
        <v/>
      </c>
      <c r="F85" s="99" t="str" cm="1">
        <f t="array" aca="1" ref="F85" ca="1">IF($B85="","",IF(ISBLANK(INDIRECT("'R10.Documentos no web'!D"&amp;SUM(18,38*1,25))),"",INDIRECT("'R10.Documentos no web'!D"&amp;SUM(18,38*1,25))))</f>
        <v/>
      </c>
      <c r="G85" s="99" t="str" cm="1">
        <f t="array" aca="1" ref="G85" ca="1">IF($B85="","",IF(ISBLANK(INDIRECT("'R10.Documentos no web'!D"&amp;SUM(18,38*2,25))),"",INDIRECT("'R10.Documentos no web'!D"&amp;SUM(18,38*2,25))))</f>
        <v/>
      </c>
      <c r="H85" s="99" t="str" cm="1">
        <f t="array" aca="1" ref="H85" ca="1">IF($B85="","",IF(ISBLANK(INDIRECT("'R10.Documentos no web'!D"&amp;SUM(18,38*3,25))),"",INDIRECT("'R10.Documentos no web'!D"&amp;SUM(18,38*3,25))))</f>
        <v/>
      </c>
      <c r="I85" s="99" t="str" cm="1">
        <f t="array" aca="1" ref="I85" ca="1">IF($B85="","",IF(ISBLANK(INDIRECT("'R10.Documentos no web'!D"&amp;SUM(18,38*4,25))),"",INDIRECT("'R10.Documentos no web'!D"&amp;SUM(18,38*4,25))))</f>
        <v/>
      </c>
      <c r="J85" s="99" t="str" cm="1">
        <f t="array" aca="1" ref="J85" ca="1">IF($B85="","",IF(ISBLANK(INDIRECT("'R10.Documentos no web'!D"&amp;SUM(18,38*5,25))),"",INDIRECT("'R10.Documentos no web'!D"&amp;SUM(18,38*5,25))))</f>
        <v/>
      </c>
      <c r="K85" s="99" t="str" cm="1">
        <f t="array" aca="1" ref="K85" ca="1">IF($B85="","",IF(ISBLANK(INDIRECT("'R10.Documentos no web'!D"&amp;SUM(18,38*6,25))),"",INDIRECT("'R10.Documentos no web'!D"&amp;SUM(18,38*6,25))))</f>
        <v/>
      </c>
      <c r="L85" s="99" t="str" cm="1">
        <f t="array" aca="1" ref="L85" ca="1">IF($B85="","",IF(ISBLANK(INDIRECT("'R10.Documentos no web'!D"&amp;SUM(18,38*7,25))),"",INDIRECT("'R10.Documentos no web'!D"&amp;SUM(18,38*7,25))))</f>
        <v/>
      </c>
      <c r="M85" s="99" t="str" cm="1">
        <f t="array" aca="1" ref="M85" ca="1">IF($B85="","",IF(ISBLANK(INDIRECT("'R10.Documentos no web'!D"&amp;SUM(18,38*8,25))),"",INDIRECT("'R10.Documentos no web'!D"&amp;SUM(18,38*8,25))))</f>
        <v/>
      </c>
      <c r="N85" s="99" t="str" cm="1">
        <f t="array" aca="1" ref="N85" ca="1">IF($B85="","",IF(ISBLANK(INDIRECT("'R10.Documentos no web'!D"&amp;SUM(18,38*9,25))),"",INDIRECT("'R10.Documentos no web'!D"&amp;SUM(18,38*9,25))))</f>
        <v/>
      </c>
      <c r="O85" s="99" t="str" cm="1">
        <f t="array" aca="1" ref="O85" ca="1">IF($B85="","",IF(ISBLANK(INDIRECT("'R10.Documentos no web'!D"&amp;SUM(18,38*10,25))),"",INDIRECT("'R10.Documentos no web'!D"&amp;SUM(18,38*10,25))))</f>
        <v/>
      </c>
      <c r="P85" s="99" t="str" cm="1">
        <f t="array" aca="1" ref="P85" ca="1">IF($B85="","",IF(ISBLANK(INDIRECT("'R10.Documentos no web'!D"&amp;SUM(18,38*11,25))),"",INDIRECT("'R10.Documentos no web'!D"&amp;SUM(18,38*11,25))))</f>
        <v/>
      </c>
      <c r="Q85" s="99" t="str" cm="1">
        <f t="array" aca="1" ref="Q85" ca="1">IF($B85="","",IF(ISBLANK(INDIRECT("'R10.Documentos no web'!D"&amp;SUM(18,38*12,25))),"",INDIRECT("'R10.Documentos no web'!D"&amp;SUM(18,38*12,25))))</f>
        <v/>
      </c>
      <c r="R85" s="99" t="str" cm="1">
        <f t="array" aca="1" ref="R85" ca="1">IF($B85="","",IF(ISBLANK(INDIRECT("'R10.Documentos no web'!D"&amp;SUM(18,38*13,25))),"",INDIRECT("'R10.Documentos no web'!D"&amp;SUM(18,38*13,25))))</f>
        <v/>
      </c>
      <c r="S85" s="99" t="str" cm="1">
        <f t="array" aca="1" ref="S85" ca="1">IF($B85="","",IF(ISBLANK(INDIRECT("'R10.Documentos no web'!D"&amp;SUM(18,38*14,25))),"",INDIRECT("'R10.Documentos no web'!D"&amp;SUM(18,38*14,25))))</f>
        <v/>
      </c>
      <c r="T85" s="99" t="str" cm="1">
        <f t="array" aca="1" ref="T85" ca="1">IF($B85="","",IF(ISBLANK(INDIRECT("'R10.Documentos no web'!D"&amp;SUM(18,38*15,25))),"",INDIRECT("'R10.Documentos no web'!D"&amp;SUM(18,38*15,25))))</f>
        <v/>
      </c>
      <c r="U85" s="99" t="str" cm="1">
        <f t="array" aca="1" ref="U85" ca="1">IF($B85="","",IF(ISBLANK(INDIRECT("'R10.Documentos no web'!D"&amp;SUM(18,38*16,25))),"",INDIRECT("'R10.Documentos no web'!D"&amp;SUM(18,38*16,25))))</f>
        <v/>
      </c>
      <c r="V85" s="99" t="str" cm="1">
        <f t="array" aca="1" ref="V85" ca="1">IF($B85="","",IF(ISBLANK(INDIRECT("'R10.Documentos no web'!D"&amp;SUM(18,38*17,25))),"",INDIRECT("'R10.Documentos no web'!D"&amp;SUM(18,38*17,25))))</f>
        <v/>
      </c>
      <c r="W85" s="99" t="str" cm="1">
        <f t="array" aca="1" ref="W85" ca="1">IF($B85="","",IF(ISBLANK(INDIRECT("'R10.Documentos no web'!D"&amp;SUM(18,38*18,25))),"",INDIRECT("'R10.Documentos no web'!D"&amp;SUM(18,38*18,25))))</f>
        <v/>
      </c>
      <c r="X85" s="99" t="str" cm="1">
        <f t="array" aca="1" ref="X85" ca="1">IF($B85="","",IF(ISBLANK(INDIRECT("'R10.Documentos no web'!D"&amp;SUM(18,38*19,25))),"",INDIRECT("'R10.Documentos no web'!D"&amp;SUM(18,38*19,25))))</f>
        <v/>
      </c>
      <c r="Y85" s="99" t="str" cm="1">
        <f t="array" aca="1" ref="Y85" ca="1">IF($B85="","",IF(ISBLANK(INDIRECT("'R10.Documentos no web'!D"&amp;SUM(18,38*20,25))),"",INDIRECT("'R10.Documentos no web'!D"&amp;SUM(18,38*20,25))))</f>
        <v/>
      </c>
      <c r="Z85" s="99" t="str" cm="1">
        <f t="array" aca="1" ref="Z85" ca="1">IF($B85="","",IF(ISBLANK(INDIRECT("'R10.Documentos no web'!D"&amp;SUM(18,38*21,25))),"",INDIRECT("'R10.Documentos no web'!D"&amp;SUM(18,38*21,25))))</f>
        <v/>
      </c>
      <c r="AA85" s="99" t="str" cm="1">
        <f t="array" aca="1" ref="AA85" ca="1">IF($B85="","",IF(ISBLANK(INDIRECT("'R10.Documentos no web'!D"&amp;SUM(18,38*22,25))),"",INDIRECT("'R10.Documentos no web'!D"&amp;SUM(18,38*22,25))))</f>
        <v/>
      </c>
      <c r="AB85" s="99" t="str" cm="1">
        <f t="array" aca="1" ref="AB85" ca="1">IF($B85="","",IF(ISBLANK(INDIRECT("'R10.Documentos no web'!D"&amp;SUM(18,38*23,25))),"",INDIRECT("'R10.Documentos no web'!D"&amp;SUM(18,38*23,25))))</f>
        <v/>
      </c>
      <c r="AC85" s="99" t="str" cm="1">
        <f t="array" aca="1" ref="AC85" ca="1">IF($B85="","",IF(ISBLANK(INDIRECT("'R10.Documentos no web'!D"&amp;SUM(18,38*24,25))),"",INDIRECT("'R10.Documentos no web'!D"&amp;SUM(18,38*24,25))))</f>
        <v/>
      </c>
      <c r="AD85" s="99" t="str" cm="1">
        <f t="array" aca="1" ref="AD85" ca="1">IF($B85="","",IF(ISBLANK(INDIRECT("'R10.Documentos no web'!D"&amp;SUM(18,38*25,25))),"",INDIRECT("'R10.Documentos no web'!D"&amp;SUM(18,38*25,25))))</f>
        <v/>
      </c>
      <c r="AE85" s="99" t="str" cm="1">
        <f t="array" aca="1" ref="AE85" ca="1">IF($B85="","",IF(ISBLANK(INDIRECT("'R10.Documentos no web'!D"&amp;SUM(18,38*26,25))),"",INDIRECT("'R10.Documentos no web'!D"&amp;SUM(18,38*26,25))))</f>
        <v/>
      </c>
      <c r="AF85" s="99" t="str" cm="1">
        <f t="array" aca="1" ref="AF85" ca="1">IF($B85="","",IF(ISBLANK(INDIRECT("'R10.Documentos no web'!D"&amp;SUM(18,38*27,25))),"",INDIRECT("'R10.Documentos no web'!D"&amp;SUM(18,38*27,25))))</f>
        <v/>
      </c>
      <c r="AG85" s="99" t="str" cm="1">
        <f t="array" aca="1" ref="AG85" ca="1">IF($B85="","",IF(ISBLANK(INDIRECT("'R10.Documentos no web'!D"&amp;SUM(18,38*28,25))),"",INDIRECT("'R10.Documentos no web'!D"&amp;SUM(18,38*28,25))))</f>
        <v/>
      </c>
      <c r="AH85" s="99" t="str" cm="1">
        <f t="array" aca="1" ref="AH85" ca="1">IF($B85="","",IF(ISBLANK(INDIRECT("'R10.Documentos no web'!D"&amp;SUM(18,38*29,25))),"",INDIRECT("'R10.Documentos no web'!D"&amp;SUM(18,38*29,25))))</f>
        <v/>
      </c>
      <c r="AI85" s="99" t="str" cm="1">
        <f t="array" aca="1" ref="AI85" ca="1">IF($B85="","",IF(ISBLANK(INDIRECT("'R10.Documentos no web'!D"&amp;SUM(18,38*30,25))),"",INDIRECT("'R10.Documentos no web'!D"&amp;SUM(18,38*30,25))))</f>
        <v/>
      </c>
      <c r="AJ85" s="99" t="str" cm="1">
        <f t="array" aca="1" ref="AJ85" ca="1">IF($B85="","",IF(ISBLANK(INDIRECT("'R10.Documentos no web'!D"&amp;SUM(18,38*31,25))),"",INDIRECT("'R10.Documentos no web'!D"&amp;SUM(18,38*31,25))))</f>
        <v/>
      </c>
      <c r="AK85" s="99" t="str" cm="1">
        <f t="array" aca="1" ref="AK85" ca="1">IF($B85="","",IF(ISBLANK(INDIRECT("'R10.Documentos no web'!D"&amp;SUM(18,38*32,25))),"",INDIRECT("'R10.Documentos no web'!D"&amp;SUM(18,38*32,25))))</f>
        <v/>
      </c>
      <c r="AL85" s="99" t="str" cm="1">
        <f t="array" aca="1" ref="AL85" ca="1">IF($B85="","",IF(ISBLANK(INDIRECT("'R10.Documentos no web'!D"&amp;SUM(18,38*33,25))),"",INDIRECT("'R10.Documentos no web'!D"&amp;SUM(18,38*33,25))))</f>
        <v/>
      </c>
      <c r="AM85" s="99" t="str" cm="1">
        <f t="array" aca="1" ref="AM85" ca="1">IF($B85="","",IF(ISBLANK(INDIRECT("'R10.Documentos no web'!D"&amp;SUM(18,38*34,25))),"",INDIRECT("'R10.Documentos no web'!D"&amp;SUM(18,38*34,25))))</f>
        <v/>
      </c>
      <c r="AN85" s="99" t="str" cm="1">
        <f t="array" aca="1" ref="AN85" ca="1">IF($B85="","",IF(ISBLANK(INDIRECT("'R10.Documentos no web'!D"&amp;SUM(18,38*35,25))),"",INDIRECT("'R10.Documentos no web'!D"&amp;SUM(18,38*35,25))))</f>
        <v/>
      </c>
      <c r="AO85" s="99" t="str" cm="1">
        <f t="array" aca="1" ref="AO85" ca="1">IF($B85="","",IF(ISBLANK(INDIRECT("'R10.Documentos no web'!D"&amp;SUM(18,38*36,25))),"",INDIRECT("'R10.Documentos no web'!D"&amp;SUM(18,38*36,25))))</f>
        <v/>
      </c>
      <c r="AP85" s="99" t="str" cm="1">
        <f t="array" aca="1" ref="AP85" ca="1">IF($B85="","",IF(ISBLANK(INDIRECT("'R10.Documentos no web'!D"&amp;SUM(18,38*37,25))),"",INDIRECT("'R10.Documentos no web'!D"&amp;SUM(18,38*37,25))))</f>
        <v/>
      </c>
      <c r="AQ85" s="99" t="str" cm="1">
        <f t="array" aca="1" ref="AQ85" ca="1">IF($B85="","",IF(ISBLANK(INDIRECT("'R10.Documentos no web'!D"&amp;SUM(18,38*38,25))),"",INDIRECT("'R10.Documentos no web'!D"&amp;SUM(18,38*38,25))))</f>
        <v/>
      </c>
      <c r="AR85" s="99" t="str" cm="1">
        <f t="array" aca="1" ref="AR85" ca="1">IF($B85="","",IF(ISBLANK(INDIRECT("'R10.Documentos no web'!D"&amp;SUM(18,38*39,25))),"",INDIRECT("'R10.Documentos no web'!D"&amp;SUM(18,38*39,25))))</f>
        <v/>
      </c>
      <c r="AS85" s="99" t="str" cm="1">
        <f t="array" aca="1" ref="AS85" ca="1">IF($B85="","",IF(ISBLANK(INDIRECT("'R10.Documentos no web'!D"&amp;SUM(18,38*40,25))),"",INDIRECT("'R10.Documentos no web'!D"&amp;SUM(18,38*40,25))))</f>
        <v/>
      </c>
      <c r="AT85" s="99" t="str" cm="1">
        <f t="array" aca="1" ref="AT85" ca="1">IF($B85="","",IF(ISBLANK(INDIRECT("'R10.Documentos no web'!D"&amp;SUM(18,38*41,25))),"",INDIRECT("'R10.Documentos no web'!D"&amp;SUM(18,38*41,25))))</f>
        <v/>
      </c>
      <c r="AU85" s="99" t="str" cm="1">
        <f t="array" aca="1" ref="AU85" ca="1">IF($B85="","",IF(ISBLANK(INDIRECT("'R10.Documentos no web'!D"&amp;SUM(18,38*42,25))),"",INDIRECT("'R10.Documentos no web'!D"&amp;SUM(18,38*42,25))))</f>
        <v/>
      </c>
      <c r="AV85" s="99" t="str" cm="1">
        <f t="array" aca="1" ref="AV85" ca="1">IF($B85="","",IF(ISBLANK(INDIRECT("'R10.Documentos no web'!D"&amp;SUM(18,38*43,25))),"",INDIRECT("'R10.Documentos no web'!D"&amp;SUM(18,38*43,25))))</f>
        <v/>
      </c>
      <c r="AW85" s="99" t="str" cm="1">
        <f t="array" aca="1" ref="AW85" ca="1">IF($B85="","",IF(ISBLANK(INDIRECT("'R10.Documentos no web'!D"&amp;SUM(18,38*44,25))),"",INDIRECT("'R10.Documentos no web'!D"&amp;SUM(18,38*44,25))))</f>
        <v/>
      </c>
    </row>
    <row r="86" spans="2:49" ht="20.25" customHeight="1">
      <c r="B86" s="181" t="str" cm="1">
        <f t="array" ref="B86">IFERROR(INDEX('03.Muestra'!$B$8:$B$42,SMALL(IF("Documento no web"='03.Muestra'!$D$8:$D$42,ROW('03.Muestra'!$B$8:$B$42)-MIN(ROW('03.Muestra'!$D$8:$D$42))+1,""),ROW()-60)),"")</f>
        <v/>
      </c>
      <c r="C86" s="97" t="str" cm="1">
        <f t="array" ref="C86">IFERROR(INDEX('03.Muestra'!$C$8:$C$42,SMALL(IF("Documento no web"='03.Muestra'!$D$8:$D$42,ROW('03.Muestra'!$C$8:$C$42)-MIN(ROW('03.Muestra'!$D$8:$D$42))+1,""),ROW()-60)),"")</f>
        <v/>
      </c>
      <c r="D86" s="98" t="str" cm="1">
        <f t="array" ref="D86">IFERROR(INDEX('03.Muestra'!$F$8:$F$42,SMALL(IF("Documento no web"='03.Muestra'!$D$8:$D$42,ROW('03.Muestra'!$F$8:$F$42)-MIN(ROW('03.Muestra'!$D$8:$D$42))+1,""),ROW()-60)),"")</f>
        <v/>
      </c>
      <c r="E86" s="99" t="str" cm="1">
        <f t="array" aca="1" ref="E86" ca="1">IF($B86="","",IF(ISBLANK(INDIRECT("'R10.Documentos no web'!D"&amp;SUM(18,38*0,26))),"",INDIRECT("'R10.Documentos no web'!D"&amp;SUM(18,38*0,26))))</f>
        <v/>
      </c>
      <c r="F86" s="99" t="str" cm="1">
        <f t="array" aca="1" ref="F86" ca="1">IF($B86="","",IF(ISBLANK(INDIRECT("'R10.Documentos no web'!D"&amp;SUM(18,38*1,26))),"",INDIRECT("'R10.Documentos no web'!D"&amp;SUM(18,38*1,26))))</f>
        <v/>
      </c>
      <c r="G86" s="99" t="str" cm="1">
        <f t="array" aca="1" ref="G86" ca="1">IF($B86="","",IF(ISBLANK(INDIRECT("'R10.Documentos no web'!D"&amp;SUM(18,38*2,26))),"",INDIRECT("'R10.Documentos no web'!D"&amp;SUM(18,38*2,26))))</f>
        <v/>
      </c>
      <c r="H86" s="99" t="str" cm="1">
        <f t="array" aca="1" ref="H86" ca="1">IF($B86="","",IF(ISBLANK(INDIRECT("'R10.Documentos no web'!D"&amp;SUM(18,38*3,26))),"",INDIRECT("'R10.Documentos no web'!D"&amp;SUM(18,38*3,26))))</f>
        <v/>
      </c>
      <c r="I86" s="99" t="str" cm="1">
        <f t="array" aca="1" ref="I86" ca="1">IF($B86="","",IF(ISBLANK(INDIRECT("'R10.Documentos no web'!D"&amp;SUM(18,38*4,26))),"",INDIRECT("'R10.Documentos no web'!D"&amp;SUM(18,38*4,26))))</f>
        <v/>
      </c>
      <c r="J86" s="99" t="str" cm="1">
        <f t="array" aca="1" ref="J86" ca="1">IF($B86="","",IF(ISBLANK(INDIRECT("'R10.Documentos no web'!D"&amp;SUM(18,38*5,26))),"",INDIRECT("'R10.Documentos no web'!D"&amp;SUM(18,38*5,26))))</f>
        <v/>
      </c>
      <c r="K86" s="99" t="str" cm="1">
        <f t="array" aca="1" ref="K86" ca="1">IF($B86="","",IF(ISBLANK(INDIRECT("'R10.Documentos no web'!D"&amp;SUM(18,38*6,26))),"",INDIRECT("'R10.Documentos no web'!D"&amp;SUM(18,38*6,26))))</f>
        <v/>
      </c>
      <c r="L86" s="99" t="str" cm="1">
        <f t="array" aca="1" ref="L86" ca="1">IF($B86="","",IF(ISBLANK(INDIRECT("'R10.Documentos no web'!D"&amp;SUM(18,38*7,26))),"",INDIRECT("'R10.Documentos no web'!D"&amp;SUM(18,38*7,26))))</f>
        <v/>
      </c>
      <c r="M86" s="99" t="str" cm="1">
        <f t="array" aca="1" ref="M86" ca="1">IF($B86="","",IF(ISBLANK(INDIRECT("'R10.Documentos no web'!D"&amp;SUM(18,38*8,26))),"",INDIRECT("'R10.Documentos no web'!D"&amp;SUM(18,38*8,26))))</f>
        <v/>
      </c>
      <c r="N86" s="99" t="str" cm="1">
        <f t="array" aca="1" ref="N86" ca="1">IF($B86="","",IF(ISBLANK(INDIRECT("'R10.Documentos no web'!D"&amp;SUM(18,38*9,26))),"",INDIRECT("'R10.Documentos no web'!D"&amp;SUM(18,38*9,26))))</f>
        <v/>
      </c>
      <c r="O86" s="99" t="str" cm="1">
        <f t="array" aca="1" ref="O86" ca="1">IF($B86="","",IF(ISBLANK(INDIRECT("'R10.Documentos no web'!D"&amp;SUM(18,38*10,26))),"",INDIRECT("'R10.Documentos no web'!D"&amp;SUM(18,38*10,26))))</f>
        <v/>
      </c>
      <c r="P86" s="99" t="str" cm="1">
        <f t="array" aca="1" ref="P86" ca="1">IF($B86="","",IF(ISBLANK(INDIRECT("'R10.Documentos no web'!D"&amp;SUM(18,38*11,26))),"",INDIRECT("'R10.Documentos no web'!D"&amp;SUM(18,38*11,26))))</f>
        <v/>
      </c>
      <c r="Q86" s="99" t="str" cm="1">
        <f t="array" aca="1" ref="Q86" ca="1">IF($B86="","",IF(ISBLANK(INDIRECT("'R10.Documentos no web'!D"&amp;SUM(18,38*12,26))),"",INDIRECT("'R10.Documentos no web'!D"&amp;SUM(18,38*12,26))))</f>
        <v/>
      </c>
      <c r="R86" s="99" t="str" cm="1">
        <f t="array" aca="1" ref="R86" ca="1">IF($B86="","",IF(ISBLANK(INDIRECT("'R10.Documentos no web'!D"&amp;SUM(18,38*13,26))),"",INDIRECT("'R10.Documentos no web'!D"&amp;SUM(18,38*13,26))))</f>
        <v/>
      </c>
      <c r="S86" s="99" t="str" cm="1">
        <f t="array" aca="1" ref="S86" ca="1">IF($B86="","",IF(ISBLANK(INDIRECT("'R10.Documentos no web'!D"&amp;SUM(18,38*14,26))),"",INDIRECT("'R10.Documentos no web'!D"&amp;SUM(18,38*14,26))))</f>
        <v/>
      </c>
      <c r="T86" s="99" t="str" cm="1">
        <f t="array" aca="1" ref="T86" ca="1">IF($B86="","",IF(ISBLANK(INDIRECT("'R10.Documentos no web'!D"&amp;SUM(18,38*15,26))),"",INDIRECT("'R10.Documentos no web'!D"&amp;SUM(18,38*15,26))))</f>
        <v/>
      </c>
      <c r="U86" s="99" t="str" cm="1">
        <f t="array" aca="1" ref="U86" ca="1">IF($B86="","",IF(ISBLANK(INDIRECT("'R10.Documentos no web'!D"&amp;SUM(18,38*16,26))),"",INDIRECT("'R10.Documentos no web'!D"&amp;SUM(18,38*16,26))))</f>
        <v/>
      </c>
      <c r="V86" s="99" t="str" cm="1">
        <f t="array" aca="1" ref="V86" ca="1">IF($B86="","",IF(ISBLANK(INDIRECT("'R10.Documentos no web'!D"&amp;SUM(18,38*17,26))),"",INDIRECT("'R10.Documentos no web'!D"&amp;SUM(18,38*17,26))))</f>
        <v/>
      </c>
      <c r="W86" s="99" t="str" cm="1">
        <f t="array" aca="1" ref="W86" ca="1">IF($B86="","",IF(ISBLANK(INDIRECT("'R10.Documentos no web'!D"&amp;SUM(18,38*18,26))),"",INDIRECT("'R10.Documentos no web'!D"&amp;SUM(18,38*18,26))))</f>
        <v/>
      </c>
      <c r="X86" s="99" t="str" cm="1">
        <f t="array" aca="1" ref="X86" ca="1">IF($B86="","",IF(ISBLANK(INDIRECT("'R10.Documentos no web'!D"&amp;SUM(18,38*19,26))),"",INDIRECT("'R10.Documentos no web'!D"&amp;SUM(18,38*19,26))))</f>
        <v/>
      </c>
      <c r="Y86" s="99" t="str" cm="1">
        <f t="array" aca="1" ref="Y86" ca="1">IF($B86="","",IF(ISBLANK(INDIRECT("'R10.Documentos no web'!D"&amp;SUM(18,38*20,26))),"",INDIRECT("'R10.Documentos no web'!D"&amp;SUM(18,38*20,26))))</f>
        <v/>
      </c>
      <c r="Z86" s="99" t="str" cm="1">
        <f t="array" aca="1" ref="Z86" ca="1">IF($B86="","",IF(ISBLANK(INDIRECT("'R10.Documentos no web'!D"&amp;SUM(18,38*21,26))),"",INDIRECT("'R10.Documentos no web'!D"&amp;SUM(18,38*21,26))))</f>
        <v/>
      </c>
      <c r="AA86" s="99" t="str" cm="1">
        <f t="array" aca="1" ref="AA86" ca="1">IF($B86="","",IF(ISBLANK(INDIRECT("'R10.Documentos no web'!D"&amp;SUM(18,38*22,26))),"",INDIRECT("'R10.Documentos no web'!D"&amp;SUM(18,38*22,26))))</f>
        <v/>
      </c>
      <c r="AB86" s="99" t="str" cm="1">
        <f t="array" aca="1" ref="AB86" ca="1">IF($B86="","",IF(ISBLANK(INDIRECT("'R10.Documentos no web'!D"&amp;SUM(18,38*23,26))),"",INDIRECT("'R10.Documentos no web'!D"&amp;SUM(18,38*23,26))))</f>
        <v/>
      </c>
      <c r="AC86" s="99" t="str" cm="1">
        <f t="array" aca="1" ref="AC86" ca="1">IF($B86="","",IF(ISBLANK(INDIRECT("'R10.Documentos no web'!D"&amp;SUM(18,38*24,26))),"",INDIRECT("'R10.Documentos no web'!D"&amp;SUM(18,38*24,26))))</f>
        <v/>
      </c>
      <c r="AD86" s="99" t="str" cm="1">
        <f t="array" aca="1" ref="AD86" ca="1">IF($B86="","",IF(ISBLANK(INDIRECT("'R10.Documentos no web'!D"&amp;SUM(18,38*25,26))),"",INDIRECT("'R10.Documentos no web'!D"&amp;SUM(18,38*25,26))))</f>
        <v/>
      </c>
      <c r="AE86" s="99" t="str" cm="1">
        <f t="array" aca="1" ref="AE86" ca="1">IF($B86="","",IF(ISBLANK(INDIRECT("'R10.Documentos no web'!D"&amp;SUM(18,38*26,26))),"",INDIRECT("'R10.Documentos no web'!D"&amp;SUM(18,38*26,26))))</f>
        <v/>
      </c>
      <c r="AF86" s="99" t="str" cm="1">
        <f t="array" aca="1" ref="AF86" ca="1">IF($B86="","",IF(ISBLANK(INDIRECT("'R10.Documentos no web'!D"&amp;SUM(18,38*27,26))),"",INDIRECT("'R10.Documentos no web'!D"&amp;SUM(18,38*27,26))))</f>
        <v/>
      </c>
      <c r="AG86" s="99" t="str" cm="1">
        <f t="array" aca="1" ref="AG86" ca="1">IF($B86="","",IF(ISBLANK(INDIRECT("'R10.Documentos no web'!D"&amp;SUM(18,38*28,26))),"",INDIRECT("'R10.Documentos no web'!D"&amp;SUM(18,38*28,26))))</f>
        <v/>
      </c>
      <c r="AH86" s="99" t="str" cm="1">
        <f t="array" aca="1" ref="AH86" ca="1">IF($B86="","",IF(ISBLANK(INDIRECT("'R10.Documentos no web'!D"&amp;SUM(18,38*29,26))),"",INDIRECT("'R10.Documentos no web'!D"&amp;SUM(18,38*29,26))))</f>
        <v/>
      </c>
      <c r="AI86" s="99" t="str" cm="1">
        <f t="array" aca="1" ref="AI86" ca="1">IF($B86="","",IF(ISBLANK(INDIRECT("'R10.Documentos no web'!D"&amp;SUM(18,38*30,26))),"",INDIRECT("'R10.Documentos no web'!D"&amp;SUM(18,38*30,26))))</f>
        <v/>
      </c>
      <c r="AJ86" s="99" t="str" cm="1">
        <f t="array" aca="1" ref="AJ86" ca="1">IF($B86="","",IF(ISBLANK(INDIRECT("'R10.Documentos no web'!D"&amp;SUM(18,38*31,26))),"",INDIRECT("'R10.Documentos no web'!D"&amp;SUM(18,38*31,26))))</f>
        <v/>
      </c>
      <c r="AK86" s="99" t="str" cm="1">
        <f t="array" aca="1" ref="AK86" ca="1">IF($B86="","",IF(ISBLANK(INDIRECT("'R10.Documentos no web'!D"&amp;SUM(18,38*32,26))),"",INDIRECT("'R10.Documentos no web'!D"&amp;SUM(18,38*32,26))))</f>
        <v/>
      </c>
      <c r="AL86" s="99" t="str" cm="1">
        <f t="array" aca="1" ref="AL86" ca="1">IF($B86="","",IF(ISBLANK(INDIRECT("'R10.Documentos no web'!D"&amp;SUM(18,38*33,26))),"",INDIRECT("'R10.Documentos no web'!D"&amp;SUM(18,38*33,26))))</f>
        <v/>
      </c>
      <c r="AM86" s="99" t="str" cm="1">
        <f t="array" aca="1" ref="AM86" ca="1">IF($B86="","",IF(ISBLANK(INDIRECT("'R10.Documentos no web'!D"&amp;SUM(18,38*34,26))),"",INDIRECT("'R10.Documentos no web'!D"&amp;SUM(18,38*34,26))))</f>
        <v/>
      </c>
      <c r="AN86" s="99" t="str" cm="1">
        <f t="array" aca="1" ref="AN86" ca="1">IF($B86="","",IF(ISBLANK(INDIRECT("'R10.Documentos no web'!D"&amp;SUM(18,38*35,26))),"",INDIRECT("'R10.Documentos no web'!D"&amp;SUM(18,38*35,26))))</f>
        <v/>
      </c>
      <c r="AO86" s="99" t="str" cm="1">
        <f t="array" aca="1" ref="AO86" ca="1">IF($B86="","",IF(ISBLANK(INDIRECT("'R10.Documentos no web'!D"&amp;SUM(18,38*36,26))),"",INDIRECT("'R10.Documentos no web'!D"&amp;SUM(18,38*36,26))))</f>
        <v/>
      </c>
      <c r="AP86" s="99" t="str" cm="1">
        <f t="array" aca="1" ref="AP86" ca="1">IF($B86="","",IF(ISBLANK(INDIRECT("'R10.Documentos no web'!D"&amp;SUM(18,38*37,26))),"",INDIRECT("'R10.Documentos no web'!D"&amp;SUM(18,38*37,26))))</f>
        <v/>
      </c>
      <c r="AQ86" s="99" t="str" cm="1">
        <f t="array" aca="1" ref="AQ86" ca="1">IF($B86="","",IF(ISBLANK(INDIRECT("'R10.Documentos no web'!D"&amp;SUM(18,38*38,26))),"",INDIRECT("'R10.Documentos no web'!D"&amp;SUM(18,38*38,26))))</f>
        <v/>
      </c>
      <c r="AR86" s="99" t="str" cm="1">
        <f t="array" aca="1" ref="AR86" ca="1">IF($B86="","",IF(ISBLANK(INDIRECT("'R10.Documentos no web'!D"&amp;SUM(18,38*39,26))),"",INDIRECT("'R10.Documentos no web'!D"&amp;SUM(18,38*39,26))))</f>
        <v/>
      </c>
      <c r="AS86" s="99" t="str" cm="1">
        <f t="array" aca="1" ref="AS86" ca="1">IF($B86="","",IF(ISBLANK(INDIRECT("'R10.Documentos no web'!D"&amp;SUM(18,38*40,26))),"",INDIRECT("'R10.Documentos no web'!D"&amp;SUM(18,38*40,26))))</f>
        <v/>
      </c>
      <c r="AT86" s="99" t="str" cm="1">
        <f t="array" aca="1" ref="AT86" ca="1">IF($B86="","",IF(ISBLANK(INDIRECT("'R10.Documentos no web'!D"&amp;SUM(18,38*41,26))),"",INDIRECT("'R10.Documentos no web'!D"&amp;SUM(18,38*41,26))))</f>
        <v/>
      </c>
      <c r="AU86" s="99" t="str" cm="1">
        <f t="array" aca="1" ref="AU86" ca="1">IF($B86="","",IF(ISBLANK(INDIRECT("'R10.Documentos no web'!D"&amp;SUM(18,38*42,26))),"",INDIRECT("'R10.Documentos no web'!D"&amp;SUM(18,38*42,26))))</f>
        <v/>
      </c>
      <c r="AV86" s="99" t="str" cm="1">
        <f t="array" aca="1" ref="AV86" ca="1">IF($B86="","",IF(ISBLANK(INDIRECT("'R10.Documentos no web'!D"&amp;SUM(18,38*43,26))),"",INDIRECT("'R10.Documentos no web'!D"&amp;SUM(18,38*43,26))))</f>
        <v/>
      </c>
      <c r="AW86" s="99" t="str" cm="1">
        <f t="array" aca="1" ref="AW86" ca="1">IF($B86="","",IF(ISBLANK(INDIRECT("'R10.Documentos no web'!D"&amp;SUM(18,38*44,26))),"",INDIRECT("'R10.Documentos no web'!D"&amp;SUM(18,38*44,26))))</f>
        <v/>
      </c>
    </row>
    <row r="87" spans="2:49" ht="20.25" customHeight="1">
      <c r="B87" s="181" t="str" cm="1">
        <f t="array" ref="B87">IFERROR(INDEX('03.Muestra'!$B$8:$B$42,SMALL(IF("Documento no web"='03.Muestra'!$D$8:$D$42,ROW('03.Muestra'!$B$8:$B$42)-MIN(ROW('03.Muestra'!$D$8:$D$42))+1,""),ROW()-60)),"")</f>
        <v/>
      </c>
      <c r="C87" s="97" t="str" cm="1">
        <f t="array" ref="C87">IFERROR(INDEX('03.Muestra'!$C$8:$C$42,SMALL(IF("Documento no web"='03.Muestra'!$D$8:$D$42,ROW('03.Muestra'!$C$8:$C$42)-MIN(ROW('03.Muestra'!$D$8:$D$42))+1,""),ROW()-60)),"")</f>
        <v/>
      </c>
      <c r="D87" s="98" t="str" cm="1">
        <f t="array" ref="D87">IFERROR(INDEX('03.Muestra'!$F$8:$F$42,SMALL(IF("Documento no web"='03.Muestra'!$D$8:$D$42,ROW('03.Muestra'!$F$8:$F$42)-MIN(ROW('03.Muestra'!$D$8:$D$42))+1,""),ROW()-60)),"")</f>
        <v/>
      </c>
      <c r="E87" s="99" t="str" cm="1">
        <f t="array" aca="1" ref="E87" ca="1">IF($B87="","",IF(ISBLANK(INDIRECT("'R10.Documentos no web'!D"&amp;SUM(18,38*0,27))),"",INDIRECT("'R10.Documentos no web'!D"&amp;SUM(18,38*0,27))))</f>
        <v/>
      </c>
      <c r="F87" s="99" t="str" cm="1">
        <f t="array" aca="1" ref="F87" ca="1">IF($B87="","",IF(ISBLANK(INDIRECT("'R10.Documentos no web'!D"&amp;SUM(18,38*1,27))),"",INDIRECT("'R10.Documentos no web'!D"&amp;SUM(18,38*1,27))))</f>
        <v/>
      </c>
      <c r="G87" s="99" t="str" cm="1">
        <f t="array" aca="1" ref="G87" ca="1">IF($B87="","",IF(ISBLANK(INDIRECT("'R10.Documentos no web'!D"&amp;SUM(18,38*2,27))),"",INDIRECT("'R10.Documentos no web'!D"&amp;SUM(18,38*2,27))))</f>
        <v/>
      </c>
      <c r="H87" s="99" t="str" cm="1">
        <f t="array" aca="1" ref="H87" ca="1">IF($B87="","",IF(ISBLANK(INDIRECT("'R10.Documentos no web'!D"&amp;SUM(18,38*3,27))),"",INDIRECT("'R10.Documentos no web'!D"&amp;SUM(18,38*3,27))))</f>
        <v/>
      </c>
      <c r="I87" s="99" t="str" cm="1">
        <f t="array" aca="1" ref="I87" ca="1">IF($B87="","",IF(ISBLANK(INDIRECT("'R10.Documentos no web'!D"&amp;SUM(18,38*4,27))),"",INDIRECT("'R10.Documentos no web'!D"&amp;SUM(18,38*4,27))))</f>
        <v/>
      </c>
      <c r="J87" s="99" t="str" cm="1">
        <f t="array" aca="1" ref="J87" ca="1">IF($B87="","",IF(ISBLANK(INDIRECT("'R10.Documentos no web'!D"&amp;SUM(18,38*5,27))),"",INDIRECT("'R10.Documentos no web'!D"&amp;SUM(18,38*5,27))))</f>
        <v/>
      </c>
      <c r="K87" s="99" t="str" cm="1">
        <f t="array" aca="1" ref="K87" ca="1">IF($B87="","",IF(ISBLANK(INDIRECT("'R10.Documentos no web'!D"&amp;SUM(18,38*6,27))),"",INDIRECT("'R10.Documentos no web'!D"&amp;SUM(18,38*6,27))))</f>
        <v/>
      </c>
      <c r="L87" s="99" t="str" cm="1">
        <f t="array" aca="1" ref="L87" ca="1">IF($B87="","",IF(ISBLANK(INDIRECT("'R10.Documentos no web'!D"&amp;SUM(18,38*7,27))),"",INDIRECT("'R10.Documentos no web'!D"&amp;SUM(18,38*7,27))))</f>
        <v/>
      </c>
      <c r="M87" s="99" t="str" cm="1">
        <f t="array" aca="1" ref="M87" ca="1">IF($B87="","",IF(ISBLANK(INDIRECT("'R10.Documentos no web'!D"&amp;SUM(18,38*8,27))),"",INDIRECT("'R10.Documentos no web'!D"&amp;SUM(18,38*8,27))))</f>
        <v/>
      </c>
      <c r="N87" s="99" t="str" cm="1">
        <f t="array" aca="1" ref="N87" ca="1">IF($B87="","",IF(ISBLANK(INDIRECT("'R10.Documentos no web'!D"&amp;SUM(18,38*9,27))),"",INDIRECT("'R10.Documentos no web'!D"&amp;SUM(18,38*9,27))))</f>
        <v/>
      </c>
      <c r="O87" s="99" t="str" cm="1">
        <f t="array" aca="1" ref="O87" ca="1">IF($B87="","",IF(ISBLANK(INDIRECT("'R10.Documentos no web'!D"&amp;SUM(18,38*10,27))),"",INDIRECT("'R10.Documentos no web'!D"&amp;SUM(18,38*10,27))))</f>
        <v/>
      </c>
      <c r="P87" s="99" t="str" cm="1">
        <f t="array" aca="1" ref="P87" ca="1">IF($B87="","",IF(ISBLANK(INDIRECT("'R10.Documentos no web'!D"&amp;SUM(18,38*11,27))),"",INDIRECT("'R10.Documentos no web'!D"&amp;SUM(18,38*11,27))))</f>
        <v/>
      </c>
      <c r="Q87" s="99" t="str" cm="1">
        <f t="array" aca="1" ref="Q87" ca="1">IF($B87="","",IF(ISBLANK(INDIRECT("'R10.Documentos no web'!D"&amp;SUM(18,38*12,27))),"",INDIRECT("'R10.Documentos no web'!D"&amp;SUM(18,38*12,27))))</f>
        <v/>
      </c>
      <c r="R87" s="99" t="str" cm="1">
        <f t="array" aca="1" ref="R87" ca="1">IF($B87="","",IF(ISBLANK(INDIRECT("'R10.Documentos no web'!D"&amp;SUM(18,38*13,27))),"",INDIRECT("'R10.Documentos no web'!D"&amp;SUM(18,38*13,27))))</f>
        <v/>
      </c>
      <c r="S87" s="99" t="str" cm="1">
        <f t="array" aca="1" ref="S87" ca="1">IF($B87="","",IF(ISBLANK(INDIRECT("'R10.Documentos no web'!D"&amp;SUM(18,38*14,27))),"",INDIRECT("'R10.Documentos no web'!D"&amp;SUM(18,38*14,27))))</f>
        <v/>
      </c>
      <c r="T87" s="99" t="str" cm="1">
        <f t="array" aca="1" ref="T87" ca="1">IF($B87="","",IF(ISBLANK(INDIRECT("'R10.Documentos no web'!D"&amp;SUM(18,38*15,27))),"",INDIRECT("'R10.Documentos no web'!D"&amp;SUM(18,38*15,27))))</f>
        <v/>
      </c>
      <c r="U87" s="99" t="str" cm="1">
        <f t="array" aca="1" ref="U87" ca="1">IF($B87="","",IF(ISBLANK(INDIRECT("'R10.Documentos no web'!D"&amp;SUM(18,38*16,27))),"",INDIRECT("'R10.Documentos no web'!D"&amp;SUM(18,38*16,27))))</f>
        <v/>
      </c>
      <c r="V87" s="99" t="str" cm="1">
        <f t="array" aca="1" ref="V87" ca="1">IF($B87="","",IF(ISBLANK(INDIRECT("'R10.Documentos no web'!D"&amp;SUM(18,38*17,27))),"",INDIRECT("'R10.Documentos no web'!D"&amp;SUM(18,38*17,27))))</f>
        <v/>
      </c>
      <c r="W87" s="99" t="str" cm="1">
        <f t="array" aca="1" ref="W87" ca="1">IF($B87="","",IF(ISBLANK(INDIRECT("'R10.Documentos no web'!D"&amp;SUM(18,38*18,27))),"",INDIRECT("'R10.Documentos no web'!D"&amp;SUM(18,38*18,27))))</f>
        <v/>
      </c>
      <c r="X87" s="99" t="str" cm="1">
        <f t="array" aca="1" ref="X87" ca="1">IF($B87="","",IF(ISBLANK(INDIRECT("'R10.Documentos no web'!D"&amp;SUM(18,38*19,27))),"",INDIRECT("'R10.Documentos no web'!D"&amp;SUM(18,38*19,27))))</f>
        <v/>
      </c>
      <c r="Y87" s="99" t="str" cm="1">
        <f t="array" aca="1" ref="Y87" ca="1">IF($B87="","",IF(ISBLANK(INDIRECT("'R10.Documentos no web'!D"&amp;SUM(18,38*20,27))),"",INDIRECT("'R10.Documentos no web'!D"&amp;SUM(18,38*20,27))))</f>
        <v/>
      </c>
      <c r="Z87" s="99" t="str" cm="1">
        <f t="array" aca="1" ref="Z87" ca="1">IF($B87="","",IF(ISBLANK(INDIRECT("'R10.Documentos no web'!D"&amp;SUM(18,38*21,27))),"",INDIRECT("'R10.Documentos no web'!D"&amp;SUM(18,38*21,27))))</f>
        <v/>
      </c>
      <c r="AA87" s="99" t="str" cm="1">
        <f t="array" aca="1" ref="AA87" ca="1">IF($B87="","",IF(ISBLANK(INDIRECT("'R10.Documentos no web'!D"&amp;SUM(18,38*22,27))),"",INDIRECT("'R10.Documentos no web'!D"&amp;SUM(18,38*22,27))))</f>
        <v/>
      </c>
      <c r="AB87" s="99" t="str" cm="1">
        <f t="array" aca="1" ref="AB87" ca="1">IF($B87="","",IF(ISBLANK(INDIRECT("'R10.Documentos no web'!D"&amp;SUM(18,38*23,27))),"",INDIRECT("'R10.Documentos no web'!D"&amp;SUM(18,38*23,27))))</f>
        <v/>
      </c>
      <c r="AC87" s="99" t="str" cm="1">
        <f t="array" aca="1" ref="AC87" ca="1">IF($B87="","",IF(ISBLANK(INDIRECT("'R10.Documentos no web'!D"&amp;SUM(18,38*24,27))),"",INDIRECT("'R10.Documentos no web'!D"&amp;SUM(18,38*24,27))))</f>
        <v/>
      </c>
      <c r="AD87" s="99" t="str" cm="1">
        <f t="array" aca="1" ref="AD87" ca="1">IF($B87="","",IF(ISBLANK(INDIRECT("'R10.Documentos no web'!D"&amp;SUM(18,38*25,27))),"",INDIRECT("'R10.Documentos no web'!D"&amp;SUM(18,38*25,27))))</f>
        <v/>
      </c>
      <c r="AE87" s="99" t="str" cm="1">
        <f t="array" aca="1" ref="AE87" ca="1">IF($B87="","",IF(ISBLANK(INDIRECT("'R10.Documentos no web'!D"&amp;SUM(18,38*26,27))),"",INDIRECT("'R10.Documentos no web'!D"&amp;SUM(18,38*26,27))))</f>
        <v/>
      </c>
      <c r="AF87" s="99" t="str" cm="1">
        <f t="array" aca="1" ref="AF87" ca="1">IF($B87="","",IF(ISBLANK(INDIRECT("'R10.Documentos no web'!D"&amp;SUM(18,38*27,27))),"",INDIRECT("'R10.Documentos no web'!D"&amp;SUM(18,38*27,27))))</f>
        <v/>
      </c>
      <c r="AG87" s="99" t="str" cm="1">
        <f t="array" aca="1" ref="AG87" ca="1">IF($B87="","",IF(ISBLANK(INDIRECT("'R10.Documentos no web'!D"&amp;SUM(18,38*28,27))),"",INDIRECT("'R10.Documentos no web'!D"&amp;SUM(18,38*28,27))))</f>
        <v/>
      </c>
      <c r="AH87" s="99" t="str" cm="1">
        <f t="array" aca="1" ref="AH87" ca="1">IF($B87="","",IF(ISBLANK(INDIRECT("'R10.Documentos no web'!D"&amp;SUM(18,38*29,27))),"",INDIRECT("'R10.Documentos no web'!D"&amp;SUM(18,38*29,27))))</f>
        <v/>
      </c>
      <c r="AI87" s="99" t="str" cm="1">
        <f t="array" aca="1" ref="AI87" ca="1">IF($B87="","",IF(ISBLANK(INDIRECT("'R10.Documentos no web'!D"&amp;SUM(18,38*30,27))),"",INDIRECT("'R10.Documentos no web'!D"&amp;SUM(18,38*30,27))))</f>
        <v/>
      </c>
      <c r="AJ87" s="99" t="str" cm="1">
        <f t="array" aca="1" ref="AJ87" ca="1">IF($B87="","",IF(ISBLANK(INDIRECT("'R10.Documentos no web'!D"&amp;SUM(18,38*31,27))),"",INDIRECT("'R10.Documentos no web'!D"&amp;SUM(18,38*31,27))))</f>
        <v/>
      </c>
      <c r="AK87" s="99" t="str" cm="1">
        <f t="array" aca="1" ref="AK87" ca="1">IF($B87="","",IF(ISBLANK(INDIRECT("'R10.Documentos no web'!D"&amp;SUM(18,38*32,27))),"",INDIRECT("'R10.Documentos no web'!D"&amp;SUM(18,38*32,27))))</f>
        <v/>
      </c>
      <c r="AL87" s="99" t="str" cm="1">
        <f t="array" aca="1" ref="AL87" ca="1">IF($B87="","",IF(ISBLANK(INDIRECT("'R10.Documentos no web'!D"&amp;SUM(18,38*33,27))),"",INDIRECT("'R10.Documentos no web'!D"&amp;SUM(18,38*33,27))))</f>
        <v/>
      </c>
      <c r="AM87" s="99" t="str" cm="1">
        <f t="array" aca="1" ref="AM87" ca="1">IF($B87="","",IF(ISBLANK(INDIRECT("'R10.Documentos no web'!D"&amp;SUM(18,38*34,27))),"",INDIRECT("'R10.Documentos no web'!D"&amp;SUM(18,38*34,27))))</f>
        <v/>
      </c>
      <c r="AN87" s="99" t="str" cm="1">
        <f t="array" aca="1" ref="AN87" ca="1">IF($B87="","",IF(ISBLANK(INDIRECT("'R10.Documentos no web'!D"&amp;SUM(18,38*35,27))),"",INDIRECT("'R10.Documentos no web'!D"&amp;SUM(18,38*35,27))))</f>
        <v/>
      </c>
      <c r="AO87" s="99" t="str" cm="1">
        <f t="array" aca="1" ref="AO87" ca="1">IF($B87="","",IF(ISBLANK(INDIRECT("'R10.Documentos no web'!D"&amp;SUM(18,38*36,27))),"",INDIRECT("'R10.Documentos no web'!D"&amp;SUM(18,38*36,27))))</f>
        <v/>
      </c>
      <c r="AP87" s="99" t="str" cm="1">
        <f t="array" aca="1" ref="AP87" ca="1">IF($B87="","",IF(ISBLANK(INDIRECT("'R10.Documentos no web'!D"&amp;SUM(18,38*37,27))),"",INDIRECT("'R10.Documentos no web'!D"&amp;SUM(18,38*37,27))))</f>
        <v/>
      </c>
      <c r="AQ87" s="99" t="str" cm="1">
        <f t="array" aca="1" ref="AQ87" ca="1">IF($B87="","",IF(ISBLANK(INDIRECT("'R10.Documentos no web'!D"&amp;SUM(18,38*38,27))),"",INDIRECT("'R10.Documentos no web'!D"&amp;SUM(18,38*38,27))))</f>
        <v/>
      </c>
      <c r="AR87" s="99" t="str" cm="1">
        <f t="array" aca="1" ref="AR87" ca="1">IF($B87="","",IF(ISBLANK(INDIRECT("'R10.Documentos no web'!D"&amp;SUM(18,38*39,27))),"",INDIRECT("'R10.Documentos no web'!D"&amp;SUM(18,38*39,27))))</f>
        <v/>
      </c>
      <c r="AS87" s="99" t="str" cm="1">
        <f t="array" aca="1" ref="AS87" ca="1">IF($B87="","",IF(ISBLANK(INDIRECT("'R10.Documentos no web'!D"&amp;SUM(18,38*40,27))),"",INDIRECT("'R10.Documentos no web'!D"&amp;SUM(18,38*40,27))))</f>
        <v/>
      </c>
      <c r="AT87" s="99" t="str" cm="1">
        <f t="array" aca="1" ref="AT87" ca="1">IF($B87="","",IF(ISBLANK(INDIRECT("'R10.Documentos no web'!D"&amp;SUM(18,38*41,27))),"",INDIRECT("'R10.Documentos no web'!D"&amp;SUM(18,38*41,27))))</f>
        <v/>
      </c>
      <c r="AU87" s="99" t="str" cm="1">
        <f t="array" aca="1" ref="AU87" ca="1">IF($B87="","",IF(ISBLANK(INDIRECT("'R10.Documentos no web'!D"&amp;SUM(18,38*42,27))),"",INDIRECT("'R10.Documentos no web'!D"&amp;SUM(18,38*42,27))))</f>
        <v/>
      </c>
      <c r="AV87" s="99" t="str" cm="1">
        <f t="array" aca="1" ref="AV87" ca="1">IF($B87="","",IF(ISBLANK(INDIRECT("'R10.Documentos no web'!D"&amp;SUM(18,38*43,27))),"",INDIRECT("'R10.Documentos no web'!D"&amp;SUM(18,38*43,27))))</f>
        <v/>
      </c>
      <c r="AW87" s="99" t="str" cm="1">
        <f t="array" aca="1" ref="AW87" ca="1">IF($B87="","",IF(ISBLANK(INDIRECT("'R10.Documentos no web'!D"&amp;SUM(18,38*44,27))),"",INDIRECT("'R10.Documentos no web'!D"&amp;SUM(18,38*44,27))))</f>
        <v/>
      </c>
    </row>
    <row r="88" spans="2:49" ht="20.25" customHeight="1">
      <c r="B88" s="181" t="str" cm="1">
        <f t="array" ref="B88">IFERROR(INDEX('03.Muestra'!$B$8:$B$42,SMALL(IF("Documento no web"='03.Muestra'!$D$8:$D$42,ROW('03.Muestra'!$B$8:$B$42)-MIN(ROW('03.Muestra'!$D$8:$D$42))+1,""),ROW()-60)),"")</f>
        <v/>
      </c>
      <c r="C88" s="97" t="str" cm="1">
        <f t="array" ref="C88">IFERROR(INDEX('03.Muestra'!$C$8:$C$42,SMALL(IF("Documento no web"='03.Muestra'!$D$8:$D$42,ROW('03.Muestra'!$C$8:$C$42)-MIN(ROW('03.Muestra'!$D$8:$D$42))+1,""),ROW()-60)),"")</f>
        <v/>
      </c>
      <c r="D88" s="98" t="str" cm="1">
        <f t="array" ref="D88">IFERROR(INDEX('03.Muestra'!$F$8:$F$42,SMALL(IF("Documento no web"='03.Muestra'!$D$8:$D$42,ROW('03.Muestra'!$F$8:$F$42)-MIN(ROW('03.Muestra'!$D$8:$D$42))+1,""),ROW()-60)),"")</f>
        <v/>
      </c>
      <c r="E88" s="99" t="str" cm="1">
        <f t="array" aca="1" ref="E88" ca="1">IF($B88="","",IF(ISBLANK(INDIRECT("'R10.Documentos no web'!D"&amp;SUM(18,38*0,28))),"",INDIRECT("'R10.Documentos no web'!D"&amp;SUM(18,38*0,28))))</f>
        <v/>
      </c>
      <c r="F88" s="99" t="str" cm="1">
        <f t="array" aca="1" ref="F88" ca="1">IF($B88="","",IF(ISBLANK(INDIRECT("'R10.Documentos no web'!D"&amp;SUM(18,38*1,28))),"",INDIRECT("'R10.Documentos no web'!D"&amp;SUM(18,38*1,28))))</f>
        <v/>
      </c>
      <c r="G88" s="99" t="str" cm="1">
        <f t="array" aca="1" ref="G88" ca="1">IF($B88="","",IF(ISBLANK(INDIRECT("'R10.Documentos no web'!D"&amp;SUM(18,38*2,28))),"",INDIRECT("'R10.Documentos no web'!D"&amp;SUM(18,38*2,28))))</f>
        <v/>
      </c>
      <c r="H88" s="99" t="str" cm="1">
        <f t="array" aca="1" ref="H88" ca="1">IF($B88="","",IF(ISBLANK(INDIRECT("'R10.Documentos no web'!D"&amp;SUM(18,38*3,28))),"",INDIRECT("'R10.Documentos no web'!D"&amp;SUM(18,38*3,28))))</f>
        <v/>
      </c>
      <c r="I88" s="99" t="str" cm="1">
        <f t="array" aca="1" ref="I88" ca="1">IF($B88="","",IF(ISBLANK(INDIRECT("'R10.Documentos no web'!D"&amp;SUM(18,38*4,28))),"",INDIRECT("'R10.Documentos no web'!D"&amp;SUM(18,38*4,28))))</f>
        <v/>
      </c>
      <c r="J88" s="99" t="str" cm="1">
        <f t="array" aca="1" ref="J88" ca="1">IF($B88="","",IF(ISBLANK(INDIRECT("'R10.Documentos no web'!D"&amp;SUM(18,38*5,28))),"",INDIRECT("'R10.Documentos no web'!D"&amp;SUM(18,38*5,28))))</f>
        <v/>
      </c>
      <c r="K88" s="99" t="str" cm="1">
        <f t="array" aca="1" ref="K88" ca="1">IF($B88="","",IF(ISBLANK(INDIRECT("'R10.Documentos no web'!D"&amp;SUM(18,38*6,28))),"",INDIRECT("'R10.Documentos no web'!D"&amp;SUM(18,38*6,28))))</f>
        <v/>
      </c>
      <c r="L88" s="99" t="str" cm="1">
        <f t="array" aca="1" ref="L88" ca="1">IF($B88="","",IF(ISBLANK(INDIRECT("'R10.Documentos no web'!D"&amp;SUM(18,38*7,28))),"",INDIRECT("'R10.Documentos no web'!D"&amp;SUM(18,38*7,28))))</f>
        <v/>
      </c>
      <c r="M88" s="99" t="str" cm="1">
        <f t="array" aca="1" ref="M88" ca="1">IF($B88="","",IF(ISBLANK(INDIRECT("'R10.Documentos no web'!D"&amp;SUM(18,38*8,28))),"",INDIRECT("'R10.Documentos no web'!D"&amp;SUM(18,38*8,28))))</f>
        <v/>
      </c>
      <c r="N88" s="99" t="str" cm="1">
        <f t="array" aca="1" ref="N88" ca="1">IF($B88="","",IF(ISBLANK(INDIRECT("'R10.Documentos no web'!D"&amp;SUM(18,38*9,28))),"",INDIRECT("'R10.Documentos no web'!D"&amp;SUM(18,38*9,28))))</f>
        <v/>
      </c>
      <c r="O88" s="99" t="str" cm="1">
        <f t="array" aca="1" ref="O88" ca="1">IF($B88="","",IF(ISBLANK(INDIRECT("'R10.Documentos no web'!D"&amp;SUM(18,38*10,28))),"",INDIRECT("'R10.Documentos no web'!D"&amp;SUM(18,38*10,28))))</f>
        <v/>
      </c>
      <c r="P88" s="99" t="str" cm="1">
        <f t="array" aca="1" ref="P88" ca="1">IF($B88="","",IF(ISBLANK(INDIRECT("'R10.Documentos no web'!D"&amp;SUM(18,38*11,28))),"",INDIRECT("'R10.Documentos no web'!D"&amp;SUM(18,38*11,28))))</f>
        <v/>
      </c>
      <c r="Q88" s="99" t="str" cm="1">
        <f t="array" aca="1" ref="Q88" ca="1">IF($B88="","",IF(ISBLANK(INDIRECT("'R10.Documentos no web'!D"&amp;SUM(18,38*12,28))),"",INDIRECT("'R10.Documentos no web'!D"&amp;SUM(18,38*12,28))))</f>
        <v/>
      </c>
      <c r="R88" s="99" t="str" cm="1">
        <f t="array" aca="1" ref="R88" ca="1">IF($B88="","",IF(ISBLANK(INDIRECT("'R10.Documentos no web'!D"&amp;SUM(18,38*13,28))),"",INDIRECT("'R10.Documentos no web'!D"&amp;SUM(18,38*13,28))))</f>
        <v/>
      </c>
      <c r="S88" s="99" t="str" cm="1">
        <f t="array" aca="1" ref="S88" ca="1">IF($B88="","",IF(ISBLANK(INDIRECT("'R10.Documentos no web'!D"&amp;SUM(18,38*14,28))),"",INDIRECT("'R10.Documentos no web'!D"&amp;SUM(18,38*14,28))))</f>
        <v/>
      </c>
      <c r="T88" s="99" t="str" cm="1">
        <f t="array" aca="1" ref="T88" ca="1">IF($B88="","",IF(ISBLANK(INDIRECT("'R10.Documentos no web'!D"&amp;SUM(18,38*15,28))),"",INDIRECT("'R10.Documentos no web'!D"&amp;SUM(18,38*15,28))))</f>
        <v/>
      </c>
      <c r="U88" s="99" t="str" cm="1">
        <f t="array" aca="1" ref="U88" ca="1">IF($B88="","",IF(ISBLANK(INDIRECT("'R10.Documentos no web'!D"&amp;SUM(18,38*16,28))),"",INDIRECT("'R10.Documentos no web'!D"&amp;SUM(18,38*16,28))))</f>
        <v/>
      </c>
      <c r="V88" s="99" t="str" cm="1">
        <f t="array" aca="1" ref="V88" ca="1">IF($B88="","",IF(ISBLANK(INDIRECT("'R10.Documentos no web'!D"&amp;SUM(18,38*17,28))),"",INDIRECT("'R10.Documentos no web'!D"&amp;SUM(18,38*17,28))))</f>
        <v/>
      </c>
      <c r="W88" s="99" t="str" cm="1">
        <f t="array" aca="1" ref="W88" ca="1">IF($B88="","",IF(ISBLANK(INDIRECT("'R10.Documentos no web'!D"&amp;SUM(18,38*18,28))),"",INDIRECT("'R10.Documentos no web'!D"&amp;SUM(18,38*18,28))))</f>
        <v/>
      </c>
      <c r="X88" s="99" t="str" cm="1">
        <f t="array" aca="1" ref="X88" ca="1">IF($B88="","",IF(ISBLANK(INDIRECT("'R10.Documentos no web'!D"&amp;SUM(18,38*19,28))),"",INDIRECT("'R10.Documentos no web'!D"&amp;SUM(18,38*19,28))))</f>
        <v/>
      </c>
      <c r="Y88" s="99" t="str" cm="1">
        <f t="array" aca="1" ref="Y88" ca="1">IF($B88="","",IF(ISBLANK(INDIRECT("'R10.Documentos no web'!D"&amp;SUM(18,38*20,28))),"",INDIRECT("'R10.Documentos no web'!D"&amp;SUM(18,38*20,28))))</f>
        <v/>
      </c>
      <c r="Z88" s="99" t="str" cm="1">
        <f t="array" aca="1" ref="Z88" ca="1">IF($B88="","",IF(ISBLANK(INDIRECT("'R10.Documentos no web'!D"&amp;SUM(18,38*21,28))),"",INDIRECT("'R10.Documentos no web'!D"&amp;SUM(18,38*21,28))))</f>
        <v/>
      </c>
      <c r="AA88" s="99" t="str" cm="1">
        <f t="array" aca="1" ref="AA88" ca="1">IF($B88="","",IF(ISBLANK(INDIRECT("'R10.Documentos no web'!D"&amp;SUM(18,38*22,28))),"",INDIRECT("'R10.Documentos no web'!D"&amp;SUM(18,38*22,28))))</f>
        <v/>
      </c>
      <c r="AB88" s="99" t="str" cm="1">
        <f t="array" aca="1" ref="AB88" ca="1">IF($B88="","",IF(ISBLANK(INDIRECT("'R10.Documentos no web'!D"&amp;SUM(18,38*23,28))),"",INDIRECT("'R10.Documentos no web'!D"&amp;SUM(18,38*23,28))))</f>
        <v/>
      </c>
      <c r="AC88" s="99" t="str" cm="1">
        <f t="array" aca="1" ref="AC88" ca="1">IF($B88="","",IF(ISBLANK(INDIRECT("'R10.Documentos no web'!D"&amp;SUM(18,38*24,28))),"",INDIRECT("'R10.Documentos no web'!D"&amp;SUM(18,38*24,28))))</f>
        <v/>
      </c>
      <c r="AD88" s="99" t="str" cm="1">
        <f t="array" aca="1" ref="AD88" ca="1">IF($B88="","",IF(ISBLANK(INDIRECT("'R10.Documentos no web'!D"&amp;SUM(18,38*25,28))),"",INDIRECT("'R10.Documentos no web'!D"&amp;SUM(18,38*25,28))))</f>
        <v/>
      </c>
      <c r="AE88" s="99" t="str" cm="1">
        <f t="array" aca="1" ref="AE88" ca="1">IF($B88="","",IF(ISBLANK(INDIRECT("'R10.Documentos no web'!D"&amp;SUM(18,38*26,28))),"",INDIRECT("'R10.Documentos no web'!D"&amp;SUM(18,38*26,28))))</f>
        <v/>
      </c>
      <c r="AF88" s="99" t="str" cm="1">
        <f t="array" aca="1" ref="AF88" ca="1">IF($B88="","",IF(ISBLANK(INDIRECT("'R10.Documentos no web'!D"&amp;SUM(18,38*27,28))),"",INDIRECT("'R10.Documentos no web'!D"&amp;SUM(18,38*27,28))))</f>
        <v/>
      </c>
      <c r="AG88" s="99" t="str" cm="1">
        <f t="array" aca="1" ref="AG88" ca="1">IF($B88="","",IF(ISBLANK(INDIRECT("'R10.Documentos no web'!D"&amp;SUM(18,38*28,28))),"",INDIRECT("'R10.Documentos no web'!D"&amp;SUM(18,38*28,28))))</f>
        <v/>
      </c>
      <c r="AH88" s="99" t="str" cm="1">
        <f t="array" aca="1" ref="AH88" ca="1">IF($B88="","",IF(ISBLANK(INDIRECT("'R10.Documentos no web'!D"&amp;SUM(18,38*29,28))),"",INDIRECT("'R10.Documentos no web'!D"&amp;SUM(18,38*29,28))))</f>
        <v/>
      </c>
      <c r="AI88" s="99" t="str" cm="1">
        <f t="array" aca="1" ref="AI88" ca="1">IF($B88="","",IF(ISBLANK(INDIRECT("'R10.Documentos no web'!D"&amp;SUM(18,38*30,28))),"",INDIRECT("'R10.Documentos no web'!D"&amp;SUM(18,38*30,28))))</f>
        <v/>
      </c>
      <c r="AJ88" s="99" t="str" cm="1">
        <f t="array" aca="1" ref="AJ88" ca="1">IF($B88="","",IF(ISBLANK(INDIRECT("'R10.Documentos no web'!D"&amp;SUM(18,38*31,28))),"",INDIRECT("'R10.Documentos no web'!D"&amp;SUM(18,38*31,28))))</f>
        <v/>
      </c>
      <c r="AK88" s="99" t="str" cm="1">
        <f t="array" aca="1" ref="AK88" ca="1">IF($B88="","",IF(ISBLANK(INDIRECT("'R10.Documentos no web'!D"&amp;SUM(18,38*32,28))),"",INDIRECT("'R10.Documentos no web'!D"&amp;SUM(18,38*32,28))))</f>
        <v/>
      </c>
      <c r="AL88" s="99" t="str" cm="1">
        <f t="array" aca="1" ref="AL88" ca="1">IF($B88="","",IF(ISBLANK(INDIRECT("'R10.Documentos no web'!D"&amp;SUM(18,38*33,28))),"",INDIRECT("'R10.Documentos no web'!D"&amp;SUM(18,38*33,28))))</f>
        <v/>
      </c>
      <c r="AM88" s="99" t="str" cm="1">
        <f t="array" aca="1" ref="AM88" ca="1">IF($B88="","",IF(ISBLANK(INDIRECT("'R10.Documentos no web'!D"&amp;SUM(18,38*34,28))),"",INDIRECT("'R10.Documentos no web'!D"&amp;SUM(18,38*34,28))))</f>
        <v/>
      </c>
      <c r="AN88" s="99" t="str" cm="1">
        <f t="array" aca="1" ref="AN88" ca="1">IF($B88="","",IF(ISBLANK(INDIRECT("'R10.Documentos no web'!D"&amp;SUM(18,38*35,28))),"",INDIRECT("'R10.Documentos no web'!D"&amp;SUM(18,38*35,28))))</f>
        <v/>
      </c>
      <c r="AO88" s="99" t="str" cm="1">
        <f t="array" aca="1" ref="AO88" ca="1">IF($B88="","",IF(ISBLANK(INDIRECT("'R10.Documentos no web'!D"&amp;SUM(18,38*36,28))),"",INDIRECT("'R10.Documentos no web'!D"&amp;SUM(18,38*36,28))))</f>
        <v/>
      </c>
      <c r="AP88" s="99" t="str" cm="1">
        <f t="array" aca="1" ref="AP88" ca="1">IF($B88="","",IF(ISBLANK(INDIRECT("'R10.Documentos no web'!D"&amp;SUM(18,38*37,28))),"",INDIRECT("'R10.Documentos no web'!D"&amp;SUM(18,38*37,28))))</f>
        <v/>
      </c>
      <c r="AQ88" s="99" t="str" cm="1">
        <f t="array" aca="1" ref="AQ88" ca="1">IF($B88="","",IF(ISBLANK(INDIRECT("'R10.Documentos no web'!D"&amp;SUM(18,38*38,28))),"",INDIRECT("'R10.Documentos no web'!D"&amp;SUM(18,38*38,28))))</f>
        <v/>
      </c>
      <c r="AR88" s="99" t="str" cm="1">
        <f t="array" aca="1" ref="AR88" ca="1">IF($B88="","",IF(ISBLANK(INDIRECT("'R10.Documentos no web'!D"&amp;SUM(18,38*39,28))),"",INDIRECT("'R10.Documentos no web'!D"&amp;SUM(18,38*39,28))))</f>
        <v/>
      </c>
      <c r="AS88" s="99" t="str" cm="1">
        <f t="array" aca="1" ref="AS88" ca="1">IF($B88="","",IF(ISBLANK(INDIRECT("'R10.Documentos no web'!D"&amp;SUM(18,38*40,28))),"",INDIRECT("'R10.Documentos no web'!D"&amp;SUM(18,38*40,28))))</f>
        <v/>
      </c>
      <c r="AT88" s="99" t="str" cm="1">
        <f t="array" aca="1" ref="AT88" ca="1">IF($B88="","",IF(ISBLANK(INDIRECT("'R10.Documentos no web'!D"&amp;SUM(18,38*41,28))),"",INDIRECT("'R10.Documentos no web'!D"&amp;SUM(18,38*41,28))))</f>
        <v/>
      </c>
      <c r="AU88" s="99" t="str" cm="1">
        <f t="array" aca="1" ref="AU88" ca="1">IF($B88="","",IF(ISBLANK(INDIRECT("'R10.Documentos no web'!D"&amp;SUM(18,38*42,28))),"",INDIRECT("'R10.Documentos no web'!D"&amp;SUM(18,38*42,28))))</f>
        <v/>
      </c>
      <c r="AV88" s="99" t="str" cm="1">
        <f t="array" aca="1" ref="AV88" ca="1">IF($B88="","",IF(ISBLANK(INDIRECT("'R10.Documentos no web'!D"&amp;SUM(18,38*43,28))),"",INDIRECT("'R10.Documentos no web'!D"&amp;SUM(18,38*43,28))))</f>
        <v/>
      </c>
      <c r="AW88" s="99" t="str" cm="1">
        <f t="array" aca="1" ref="AW88" ca="1">IF($B88="","",IF(ISBLANK(INDIRECT("'R10.Documentos no web'!D"&amp;SUM(18,38*44,28))),"",INDIRECT("'R10.Documentos no web'!D"&amp;SUM(18,38*44,28))))</f>
        <v/>
      </c>
    </row>
    <row r="89" spans="2:49" ht="20.25" customHeight="1">
      <c r="B89" s="181" t="str" cm="1">
        <f t="array" ref="B89">IFERROR(INDEX('03.Muestra'!$B$8:$B$42,SMALL(IF("Documento no web"='03.Muestra'!$D$8:$D$42,ROW('03.Muestra'!$B$8:$B$42)-MIN(ROW('03.Muestra'!$D$8:$D$42))+1,""),ROW()-60)),"")</f>
        <v/>
      </c>
      <c r="C89" s="97" t="str" cm="1">
        <f t="array" ref="C89">IFERROR(INDEX('03.Muestra'!$C$8:$C$42,SMALL(IF("Documento no web"='03.Muestra'!$D$8:$D$42,ROW('03.Muestra'!$C$8:$C$42)-MIN(ROW('03.Muestra'!$D$8:$D$42))+1,""),ROW()-60)),"")</f>
        <v/>
      </c>
      <c r="D89" s="98" t="str" cm="1">
        <f t="array" ref="D89">IFERROR(INDEX('03.Muestra'!$F$8:$F$42,SMALL(IF("Documento no web"='03.Muestra'!$D$8:$D$42,ROW('03.Muestra'!$F$8:$F$42)-MIN(ROW('03.Muestra'!$D$8:$D$42))+1,""),ROW()-60)),"")</f>
        <v/>
      </c>
      <c r="E89" s="99" t="str" cm="1">
        <f t="array" aca="1" ref="E89" ca="1">IF($B89="","",IF(ISBLANK(INDIRECT("'R10.Documentos no web'!D"&amp;SUM(18,38*0,29))),"",INDIRECT("'R10.Documentos no web'!D"&amp;SUM(18,38*0,29))))</f>
        <v/>
      </c>
      <c r="F89" s="99" t="str" cm="1">
        <f t="array" aca="1" ref="F89" ca="1">IF($B89="","",IF(ISBLANK(INDIRECT("'R10.Documentos no web'!D"&amp;SUM(18,38*1,29))),"",INDIRECT("'R10.Documentos no web'!D"&amp;SUM(18,38*1,29))))</f>
        <v/>
      </c>
      <c r="G89" s="99" t="str" cm="1">
        <f t="array" aca="1" ref="G89" ca="1">IF($B89="","",IF(ISBLANK(INDIRECT("'R10.Documentos no web'!D"&amp;SUM(18,38*2,29))),"",INDIRECT("'R10.Documentos no web'!D"&amp;SUM(18,38*2,29))))</f>
        <v/>
      </c>
      <c r="H89" s="99" t="str" cm="1">
        <f t="array" aca="1" ref="H89" ca="1">IF($B89="","",IF(ISBLANK(INDIRECT("'R10.Documentos no web'!D"&amp;SUM(18,38*3,29))),"",INDIRECT("'R10.Documentos no web'!D"&amp;SUM(18,38*3,29))))</f>
        <v/>
      </c>
      <c r="I89" s="99" t="str" cm="1">
        <f t="array" aca="1" ref="I89" ca="1">IF($B89="","",IF(ISBLANK(INDIRECT("'R10.Documentos no web'!D"&amp;SUM(18,38*4,29))),"",INDIRECT("'R10.Documentos no web'!D"&amp;SUM(18,38*4,29))))</f>
        <v/>
      </c>
      <c r="J89" s="99" t="str" cm="1">
        <f t="array" aca="1" ref="J89" ca="1">IF($B89="","",IF(ISBLANK(INDIRECT("'R10.Documentos no web'!D"&amp;SUM(18,38*5,29))),"",INDIRECT("'R10.Documentos no web'!D"&amp;SUM(18,38*5,29))))</f>
        <v/>
      </c>
      <c r="K89" s="99" t="str" cm="1">
        <f t="array" aca="1" ref="K89" ca="1">IF($B89="","",IF(ISBLANK(INDIRECT("'R10.Documentos no web'!D"&amp;SUM(18,38*6,29))),"",INDIRECT("'R10.Documentos no web'!D"&amp;SUM(18,38*6,29))))</f>
        <v/>
      </c>
      <c r="L89" s="99" t="str" cm="1">
        <f t="array" aca="1" ref="L89" ca="1">IF($B89="","",IF(ISBLANK(INDIRECT("'R10.Documentos no web'!D"&amp;SUM(18,38*7,29))),"",INDIRECT("'R10.Documentos no web'!D"&amp;SUM(18,38*7,29))))</f>
        <v/>
      </c>
      <c r="M89" s="99" t="str" cm="1">
        <f t="array" aca="1" ref="M89" ca="1">IF($B89="","",IF(ISBLANK(INDIRECT("'R10.Documentos no web'!D"&amp;SUM(18,38*8,29))),"",INDIRECT("'R10.Documentos no web'!D"&amp;SUM(18,38*8,29))))</f>
        <v/>
      </c>
      <c r="N89" s="99" t="str" cm="1">
        <f t="array" aca="1" ref="N89" ca="1">IF($B89="","",IF(ISBLANK(INDIRECT("'R10.Documentos no web'!D"&amp;SUM(18,38*9,29))),"",INDIRECT("'R10.Documentos no web'!D"&amp;SUM(18,38*9,29))))</f>
        <v/>
      </c>
      <c r="O89" s="99" t="str" cm="1">
        <f t="array" aca="1" ref="O89" ca="1">IF($B89="","",IF(ISBLANK(INDIRECT("'R10.Documentos no web'!D"&amp;SUM(18,38*10,29))),"",INDIRECT("'R10.Documentos no web'!D"&amp;SUM(18,38*10,29))))</f>
        <v/>
      </c>
      <c r="P89" s="99" t="str" cm="1">
        <f t="array" aca="1" ref="P89" ca="1">IF($B89="","",IF(ISBLANK(INDIRECT("'R10.Documentos no web'!D"&amp;SUM(18,38*11,29))),"",INDIRECT("'R10.Documentos no web'!D"&amp;SUM(18,38*11,29))))</f>
        <v/>
      </c>
      <c r="Q89" s="99" t="str" cm="1">
        <f t="array" aca="1" ref="Q89" ca="1">IF($B89="","",IF(ISBLANK(INDIRECT("'R10.Documentos no web'!D"&amp;SUM(18,38*12,29))),"",INDIRECT("'R10.Documentos no web'!D"&amp;SUM(18,38*12,29))))</f>
        <v/>
      </c>
      <c r="R89" s="99" t="str" cm="1">
        <f t="array" aca="1" ref="R89" ca="1">IF($B89="","",IF(ISBLANK(INDIRECT("'R10.Documentos no web'!D"&amp;SUM(18,38*13,29))),"",INDIRECT("'R10.Documentos no web'!D"&amp;SUM(18,38*13,29))))</f>
        <v/>
      </c>
      <c r="S89" s="99" t="str" cm="1">
        <f t="array" aca="1" ref="S89" ca="1">IF($B89="","",IF(ISBLANK(INDIRECT("'R10.Documentos no web'!D"&amp;SUM(18,38*14,29))),"",INDIRECT("'R10.Documentos no web'!D"&amp;SUM(18,38*14,29))))</f>
        <v/>
      </c>
      <c r="T89" s="99" t="str" cm="1">
        <f t="array" aca="1" ref="T89" ca="1">IF($B89="","",IF(ISBLANK(INDIRECT("'R10.Documentos no web'!D"&amp;SUM(18,38*15,29))),"",INDIRECT("'R10.Documentos no web'!D"&amp;SUM(18,38*15,29))))</f>
        <v/>
      </c>
      <c r="U89" s="99" t="str" cm="1">
        <f t="array" aca="1" ref="U89" ca="1">IF($B89="","",IF(ISBLANK(INDIRECT("'R10.Documentos no web'!D"&amp;SUM(18,38*16,29))),"",INDIRECT("'R10.Documentos no web'!D"&amp;SUM(18,38*16,29))))</f>
        <v/>
      </c>
      <c r="V89" s="99" t="str" cm="1">
        <f t="array" aca="1" ref="V89" ca="1">IF($B89="","",IF(ISBLANK(INDIRECT("'R10.Documentos no web'!D"&amp;SUM(18,38*17,29))),"",INDIRECT("'R10.Documentos no web'!D"&amp;SUM(18,38*17,29))))</f>
        <v/>
      </c>
      <c r="W89" s="99" t="str" cm="1">
        <f t="array" aca="1" ref="W89" ca="1">IF($B89="","",IF(ISBLANK(INDIRECT("'R10.Documentos no web'!D"&amp;SUM(18,38*18,29))),"",INDIRECT("'R10.Documentos no web'!D"&amp;SUM(18,38*18,29))))</f>
        <v/>
      </c>
      <c r="X89" s="99" t="str" cm="1">
        <f t="array" aca="1" ref="X89" ca="1">IF($B89="","",IF(ISBLANK(INDIRECT("'R10.Documentos no web'!D"&amp;SUM(18,38*19,29))),"",INDIRECT("'R10.Documentos no web'!D"&amp;SUM(18,38*19,29))))</f>
        <v/>
      </c>
      <c r="Y89" s="99" t="str" cm="1">
        <f t="array" aca="1" ref="Y89" ca="1">IF($B89="","",IF(ISBLANK(INDIRECT("'R10.Documentos no web'!D"&amp;SUM(18,38*20,29))),"",INDIRECT("'R10.Documentos no web'!D"&amp;SUM(18,38*20,29))))</f>
        <v/>
      </c>
      <c r="Z89" s="99" t="str" cm="1">
        <f t="array" aca="1" ref="Z89" ca="1">IF($B89="","",IF(ISBLANK(INDIRECT("'R10.Documentos no web'!D"&amp;SUM(18,38*21,29))),"",INDIRECT("'R10.Documentos no web'!D"&amp;SUM(18,38*21,29))))</f>
        <v/>
      </c>
      <c r="AA89" s="99" t="str" cm="1">
        <f t="array" aca="1" ref="AA89" ca="1">IF($B89="","",IF(ISBLANK(INDIRECT("'R10.Documentos no web'!D"&amp;SUM(18,38*22,29))),"",INDIRECT("'R10.Documentos no web'!D"&amp;SUM(18,38*22,29))))</f>
        <v/>
      </c>
      <c r="AB89" s="99" t="str" cm="1">
        <f t="array" aca="1" ref="AB89" ca="1">IF($B89="","",IF(ISBLANK(INDIRECT("'R10.Documentos no web'!D"&amp;SUM(18,38*23,29))),"",INDIRECT("'R10.Documentos no web'!D"&amp;SUM(18,38*23,29))))</f>
        <v/>
      </c>
      <c r="AC89" s="99" t="str" cm="1">
        <f t="array" aca="1" ref="AC89" ca="1">IF($B89="","",IF(ISBLANK(INDIRECT("'R10.Documentos no web'!D"&amp;SUM(18,38*24,29))),"",INDIRECT("'R10.Documentos no web'!D"&amp;SUM(18,38*24,29))))</f>
        <v/>
      </c>
      <c r="AD89" s="99" t="str" cm="1">
        <f t="array" aca="1" ref="AD89" ca="1">IF($B89="","",IF(ISBLANK(INDIRECT("'R10.Documentos no web'!D"&amp;SUM(18,38*25,29))),"",INDIRECT("'R10.Documentos no web'!D"&amp;SUM(18,38*25,29))))</f>
        <v/>
      </c>
      <c r="AE89" s="99" t="str" cm="1">
        <f t="array" aca="1" ref="AE89" ca="1">IF($B89="","",IF(ISBLANK(INDIRECT("'R10.Documentos no web'!D"&amp;SUM(18,38*26,29))),"",INDIRECT("'R10.Documentos no web'!D"&amp;SUM(18,38*26,29))))</f>
        <v/>
      </c>
      <c r="AF89" s="99" t="str" cm="1">
        <f t="array" aca="1" ref="AF89" ca="1">IF($B89="","",IF(ISBLANK(INDIRECT("'R10.Documentos no web'!D"&amp;SUM(18,38*27,29))),"",INDIRECT("'R10.Documentos no web'!D"&amp;SUM(18,38*27,29))))</f>
        <v/>
      </c>
      <c r="AG89" s="99" t="str" cm="1">
        <f t="array" aca="1" ref="AG89" ca="1">IF($B89="","",IF(ISBLANK(INDIRECT("'R10.Documentos no web'!D"&amp;SUM(18,38*28,29))),"",INDIRECT("'R10.Documentos no web'!D"&amp;SUM(18,38*28,29))))</f>
        <v/>
      </c>
      <c r="AH89" s="99" t="str" cm="1">
        <f t="array" aca="1" ref="AH89" ca="1">IF($B89="","",IF(ISBLANK(INDIRECT("'R10.Documentos no web'!D"&amp;SUM(18,38*29,29))),"",INDIRECT("'R10.Documentos no web'!D"&amp;SUM(18,38*29,29))))</f>
        <v/>
      </c>
      <c r="AI89" s="99" t="str" cm="1">
        <f t="array" aca="1" ref="AI89" ca="1">IF($B89="","",IF(ISBLANK(INDIRECT("'R10.Documentos no web'!D"&amp;SUM(18,38*30,29))),"",INDIRECT("'R10.Documentos no web'!D"&amp;SUM(18,38*30,29))))</f>
        <v/>
      </c>
      <c r="AJ89" s="99" t="str" cm="1">
        <f t="array" aca="1" ref="AJ89" ca="1">IF($B89="","",IF(ISBLANK(INDIRECT("'R10.Documentos no web'!D"&amp;SUM(18,38*31,29))),"",INDIRECT("'R10.Documentos no web'!D"&amp;SUM(18,38*31,29))))</f>
        <v/>
      </c>
      <c r="AK89" s="99" t="str" cm="1">
        <f t="array" aca="1" ref="AK89" ca="1">IF($B89="","",IF(ISBLANK(INDIRECT("'R10.Documentos no web'!D"&amp;SUM(18,38*32,29))),"",INDIRECT("'R10.Documentos no web'!D"&amp;SUM(18,38*32,29))))</f>
        <v/>
      </c>
      <c r="AL89" s="99" t="str" cm="1">
        <f t="array" aca="1" ref="AL89" ca="1">IF($B89="","",IF(ISBLANK(INDIRECT("'R10.Documentos no web'!D"&amp;SUM(18,38*33,29))),"",INDIRECT("'R10.Documentos no web'!D"&amp;SUM(18,38*33,29))))</f>
        <v/>
      </c>
      <c r="AM89" s="99" t="str" cm="1">
        <f t="array" aca="1" ref="AM89" ca="1">IF($B89="","",IF(ISBLANK(INDIRECT("'R10.Documentos no web'!D"&amp;SUM(18,38*34,29))),"",INDIRECT("'R10.Documentos no web'!D"&amp;SUM(18,38*34,29))))</f>
        <v/>
      </c>
      <c r="AN89" s="99" t="str" cm="1">
        <f t="array" aca="1" ref="AN89" ca="1">IF($B89="","",IF(ISBLANK(INDIRECT("'R10.Documentos no web'!D"&amp;SUM(18,38*35,29))),"",INDIRECT("'R10.Documentos no web'!D"&amp;SUM(18,38*35,29))))</f>
        <v/>
      </c>
      <c r="AO89" s="99" t="str" cm="1">
        <f t="array" aca="1" ref="AO89" ca="1">IF($B89="","",IF(ISBLANK(INDIRECT("'R10.Documentos no web'!D"&amp;SUM(18,38*36,29))),"",INDIRECT("'R10.Documentos no web'!D"&amp;SUM(18,38*36,29))))</f>
        <v/>
      </c>
      <c r="AP89" s="99" t="str" cm="1">
        <f t="array" aca="1" ref="AP89" ca="1">IF($B89="","",IF(ISBLANK(INDIRECT("'R10.Documentos no web'!D"&amp;SUM(18,38*37,29))),"",INDIRECT("'R10.Documentos no web'!D"&amp;SUM(18,38*37,29))))</f>
        <v/>
      </c>
      <c r="AQ89" s="99" t="str" cm="1">
        <f t="array" aca="1" ref="AQ89" ca="1">IF($B89="","",IF(ISBLANK(INDIRECT("'R10.Documentos no web'!D"&amp;SUM(18,38*38,29))),"",INDIRECT("'R10.Documentos no web'!D"&amp;SUM(18,38*38,29))))</f>
        <v/>
      </c>
      <c r="AR89" s="99" t="str" cm="1">
        <f t="array" aca="1" ref="AR89" ca="1">IF($B89="","",IF(ISBLANK(INDIRECT("'R10.Documentos no web'!D"&amp;SUM(18,38*39,29))),"",INDIRECT("'R10.Documentos no web'!D"&amp;SUM(18,38*39,29))))</f>
        <v/>
      </c>
      <c r="AS89" s="99" t="str" cm="1">
        <f t="array" aca="1" ref="AS89" ca="1">IF($B89="","",IF(ISBLANK(INDIRECT("'R10.Documentos no web'!D"&amp;SUM(18,38*40,29))),"",INDIRECT("'R10.Documentos no web'!D"&amp;SUM(18,38*40,29))))</f>
        <v/>
      </c>
      <c r="AT89" s="99" t="str" cm="1">
        <f t="array" aca="1" ref="AT89" ca="1">IF($B89="","",IF(ISBLANK(INDIRECT("'R10.Documentos no web'!D"&amp;SUM(18,38*41,29))),"",INDIRECT("'R10.Documentos no web'!D"&amp;SUM(18,38*41,29))))</f>
        <v/>
      </c>
      <c r="AU89" s="99" t="str" cm="1">
        <f t="array" aca="1" ref="AU89" ca="1">IF($B89="","",IF(ISBLANK(INDIRECT("'R10.Documentos no web'!D"&amp;SUM(18,38*42,29))),"",INDIRECT("'R10.Documentos no web'!D"&amp;SUM(18,38*42,29))))</f>
        <v/>
      </c>
      <c r="AV89" s="99" t="str" cm="1">
        <f t="array" aca="1" ref="AV89" ca="1">IF($B89="","",IF(ISBLANK(INDIRECT("'R10.Documentos no web'!D"&amp;SUM(18,38*43,29))),"",INDIRECT("'R10.Documentos no web'!D"&amp;SUM(18,38*43,29))))</f>
        <v/>
      </c>
      <c r="AW89" s="99" t="str" cm="1">
        <f t="array" aca="1" ref="AW89" ca="1">IF($B89="","",IF(ISBLANK(INDIRECT("'R10.Documentos no web'!D"&amp;SUM(18,38*44,29))),"",INDIRECT("'R10.Documentos no web'!D"&amp;SUM(18,38*44,29))))</f>
        <v/>
      </c>
    </row>
    <row r="90" spans="2:49" ht="20.25" customHeight="1">
      <c r="B90" s="181" t="str" cm="1">
        <f t="array" ref="B90">IFERROR(INDEX('03.Muestra'!$B$8:$B$42,SMALL(IF("Documento no web"='03.Muestra'!$D$8:$D$42,ROW('03.Muestra'!$B$8:$B$42)-MIN(ROW('03.Muestra'!$D$8:$D$42))+1,""),ROW()-60)),"")</f>
        <v/>
      </c>
      <c r="C90" s="97" t="str" cm="1">
        <f t="array" ref="C90">IFERROR(INDEX('03.Muestra'!$C$8:$C$42,SMALL(IF("Documento no web"='03.Muestra'!$D$8:$D$42,ROW('03.Muestra'!$C$8:$C$42)-MIN(ROW('03.Muestra'!$D$8:$D$42))+1,""),ROW()-60)),"")</f>
        <v/>
      </c>
      <c r="D90" s="98" t="str" cm="1">
        <f t="array" ref="D90">IFERROR(INDEX('03.Muestra'!$F$8:$F$42,SMALL(IF("Documento no web"='03.Muestra'!$D$8:$D$42,ROW('03.Muestra'!$F$8:$F$42)-MIN(ROW('03.Muestra'!$D$8:$D$42))+1,""),ROW()-60)),"")</f>
        <v/>
      </c>
      <c r="E90" s="99" t="str" cm="1">
        <f t="array" aca="1" ref="E90" ca="1">IF($B90="","",IF(ISBLANK(INDIRECT("'R10.Documentos no web'!D"&amp;SUM(18,38*0,30))),"",INDIRECT("'R10.Documentos no web'!D"&amp;SUM(18,38*0,30))))</f>
        <v/>
      </c>
      <c r="F90" s="99" t="str" cm="1">
        <f t="array" aca="1" ref="F90" ca="1">IF($B90="","",IF(ISBLANK(INDIRECT("'R10.Documentos no web'!D"&amp;SUM(18,38*1,30))),"",INDIRECT("'R10.Documentos no web'!D"&amp;SUM(18,38*1,30))))</f>
        <v/>
      </c>
      <c r="G90" s="99" t="str" cm="1">
        <f t="array" aca="1" ref="G90" ca="1">IF($B90="","",IF(ISBLANK(INDIRECT("'R10.Documentos no web'!D"&amp;SUM(18,38*2,30))),"",INDIRECT("'R10.Documentos no web'!D"&amp;SUM(18,38*2,30))))</f>
        <v/>
      </c>
      <c r="H90" s="99" t="str" cm="1">
        <f t="array" aca="1" ref="H90" ca="1">IF($B90="","",IF(ISBLANK(INDIRECT("'R10.Documentos no web'!D"&amp;SUM(18,38*3,30))),"",INDIRECT("'R10.Documentos no web'!D"&amp;SUM(18,38*3,30))))</f>
        <v/>
      </c>
      <c r="I90" s="99" t="str" cm="1">
        <f t="array" aca="1" ref="I90" ca="1">IF($B90="","",IF(ISBLANK(INDIRECT("'R10.Documentos no web'!D"&amp;SUM(18,38*4,30))),"",INDIRECT("'R10.Documentos no web'!D"&amp;SUM(18,38*4,30))))</f>
        <v/>
      </c>
      <c r="J90" s="99" t="str" cm="1">
        <f t="array" aca="1" ref="J90" ca="1">IF($B90="","",IF(ISBLANK(INDIRECT("'R10.Documentos no web'!D"&amp;SUM(18,38*5,30))),"",INDIRECT("'R10.Documentos no web'!D"&amp;SUM(18,38*5,30))))</f>
        <v/>
      </c>
      <c r="K90" s="99" t="str" cm="1">
        <f t="array" aca="1" ref="K90" ca="1">IF($B90="","",IF(ISBLANK(INDIRECT("'R10.Documentos no web'!D"&amp;SUM(18,38*6,30))),"",INDIRECT("'R10.Documentos no web'!D"&amp;SUM(18,38*6,30))))</f>
        <v/>
      </c>
      <c r="L90" s="99" t="str" cm="1">
        <f t="array" aca="1" ref="L90" ca="1">IF($B90="","",IF(ISBLANK(INDIRECT("'R10.Documentos no web'!D"&amp;SUM(18,38*7,30))),"",INDIRECT("'R10.Documentos no web'!D"&amp;SUM(18,38*7,30))))</f>
        <v/>
      </c>
      <c r="M90" s="99" t="str" cm="1">
        <f t="array" aca="1" ref="M90" ca="1">IF($B90="","",IF(ISBLANK(INDIRECT("'R10.Documentos no web'!D"&amp;SUM(18,38*8,30))),"",INDIRECT("'R10.Documentos no web'!D"&amp;SUM(18,38*8,30))))</f>
        <v/>
      </c>
      <c r="N90" s="99" t="str" cm="1">
        <f t="array" aca="1" ref="N90" ca="1">IF($B90="","",IF(ISBLANK(INDIRECT("'R10.Documentos no web'!D"&amp;SUM(18,38*9,30))),"",INDIRECT("'R10.Documentos no web'!D"&amp;SUM(18,38*9,30))))</f>
        <v/>
      </c>
      <c r="O90" s="99" t="str" cm="1">
        <f t="array" aca="1" ref="O90" ca="1">IF($B90="","",IF(ISBLANK(INDIRECT("'R10.Documentos no web'!D"&amp;SUM(18,38*10,30))),"",INDIRECT("'R10.Documentos no web'!D"&amp;SUM(18,38*10,30))))</f>
        <v/>
      </c>
      <c r="P90" s="99" t="str" cm="1">
        <f t="array" aca="1" ref="P90" ca="1">IF($B90="","",IF(ISBLANK(INDIRECT("'R10.Documentos no web'!D"&amp;SUM(18,38*11,30))),"",INDIRECT("'R10.Documentos no web'!D"&amp;SUM(18,38*11,30))))</f>
        <v/>
      </c>
      <c r="Q90" s="99" t="str" cm="1">
        <f t="array" aca="1" ref="Q90" ca="1">IF($B90="","",IF(ISBLANK(INDIRECT("'R10.Documentos no web'!D"&amp;SUM(18,38*12,30))),"",INDIRECT("'R10.Documentos no web'!D"&amp;SUM(18,38*12,30))))</f>
        <v/>
      </c>
      <c r="R90" s="99" t="str" cm="1">
        <f t="array" aca="1" ref="R90" ca="1">IF($B90="","",IF(ISBLANK(INDIRECT("'R10.Documentos no web'!D"&amp;SUM(18,38*13,30))),"",INDIRECT("'R10.Documentos no web'!D"&amp;SUM(18,38*13,30))))</f>
        <v/>
      </c>
      <c r="S90" s="99" t="str" cm="1">
        <f t="array" aca="1" ref="S90" ca="1">IF($B90="","",IF(ISBLANK(INDIRECT("'R10.Documentos no web'!D"&amp;SUM(18,38*14,30))),"",INDIRECT("'R10.Documentos no web'!D"&amp;SUM(18,38*14,30))))</f>
        <v/>
      </c>
      <c r="T90" s="99" t="str" cm="1">
        <f t="array" aca="1" ref="T90" ca="1">IF($B90="","",IF(ISBLANK(INDIRECT("'R10.Documentos no web'!D"&amp;SUM(18,38*15,30))),"",INDIRECT("'R10.Documentos no web'!D"&amp;SUM(18,38*15,30))))</f>
        <v/>
      </c>
      <c r="U90" s="99" t="str" cm="1">
        <f t="array" aca="1" ref="U90" ca="1">IF($B90="","",IF(ISBLANK(INDIRECT("'R10.Documentos no web'!D"&amp;SUM(18,38*16,30))),"",INDIRECT("'R10.Documentos no web'!D"&amp;SUM(18,38*16,30))))</f>
        <v/>
      </c>
      <c r="V90" s="99" t="str" cm="1">
        <f t="array" aca="1" ref="V90" ca="1">IF($B90="","",IF(ISBLANK(INDIRECT("'R10.Documentos no web'!D"&amp;SUM(18,38*17,30))),"",INDIRECT("'R10.Documentos no web'!D"&amp;SUM(18,38*17,30))))</f>
        <v/>
      </c>
      <c r="W90" s="99" t="str" cm="1">
        <f t="array" aca="1" ref="W90" ca="1">IF($B90="","",IF(ISBLANK(INDIRECT("'R10.Documentos no web'!D"&amp;SUM(18,38*18,30))),"",INDIRECT("'R10.Documentos no web'!D"&amp;SUM(18,38*18,30))))</f>
        <v/>
      </c>
      <c r="X90" s="99" t="str" cm="1">
        <f t="array" aca="1" ref="X90" ca="1">IF($B90="","",IF(ISBLANK(INDIRECT("'R10.Documentos no web'!D"&amp;SUM(18,38*19,30))),"",INDIRECT("'R10.Documentos no web'!D"&amp;SUM(18,38*19,30))))</f>
        <v/>
      </c>
      <c r="Y90" s="99" t="str" cm="1">
        <f t="array" aca="1" ref="Y90" ca="1">IF($B90="","",IF(ISBLANK(INDIRECT("'R10.Documentos no web'!D"&amp;SUM(18,38*20,30))),"",INDIRECT("'R10.Documentos no web'!D"&amp;SUM(18,38*20,30))))</f>
        <v/>
      </c>
      <c r="Z90" s="99" t="str" cm="1">
        <f t="array" aca="1" ref="Z90" ca="1">IF($B90="","",IF(ISBLANK(INDIRECT("'R10.Documentos no web'!D"&amp;SUM(18,38*21,30))),"",INDIRECT("'R10.Documentos no web'!D"&amp;SUM(18,38*21,30))))</f>
        <v/>
      </c>
      <c r="AA90" s="99" t="str" cm="1">
        <f t="array" aca="1" ref="AA90" ca="1">IF($B90="","",IF(ISBLANK(INDIRECT("'R10.Documentos no web'!D"&amp;SUM(18,38*22,30))),"",INDIRECT("'R10.Documentos no web'!D"&amp;SUM(18,38*22,30))))</f>
        <v/>
      </c>
      <c r="AB90" s="99" t="str" cm="1">
        <f t="array" aca="1" ref="AB90" ca="1">IF($B90="","",IF(ISBLANK(INDIRECT("'R10.Documentos no web'!D"&amp;SUM(18,38*23,30))),"",INDIRECT("'R10.Documentos no web'!D"&amp;SUM(18,38*23,30))))</f>
        <v/>
      </c>
      <c r="AC90" s="99" t="str" cm="1">
        <f t="array" aca="1" ref="AC90" ca="1">IF($B90="","",IF(ISBLANK(INDIRECT("'R10.Documentos no web'!D"&amp;SUM(18,38*24,30))),"",INDIRECT("'R10.Documentos no web'!D"&amp;SUM(18,38*24,30))))</f>
        <v/>
      </c>
      <c r="AD90" s="99" t="str" cm="1">
        <f t="array" aca="1" ref="AD90" ca="1">IF($B90="","",IF(ISBLANK(INDIRECT("'R10.Documentos no web'!D"&amp;SUM(18,38*25,30))),"",INDIRECT("'R10.Documentos no web'!D"&amp;SUM(18,38*25,30))))</f>
        <v/>
      </c>
      <c r="AE90" s="99" t="str" cm="1">
        <f t="array" aca="1" ref="AE90" ca="1">IF($B90="","",IF(ISBLANK(INDIRECT("'R10.Documentos no web'!D"&amp;SUM(18,38*26,30))),"",INDIRECT("'R10.Documentos no web'!D"&amp;SUM(18,38*26,30))))</f>
        <v/>
      </c>
      <c r="AF90" s="99" t="str" cm="1">
        <f t="array" aca="1" ref="AF90" ca="1">IF($B90="","",IF(ISBLANK(INDIRECT("'R10.Documentos no web'!D"&amp;SUM(18,38*27,30))),"",INDIRECT("'R10.Documentos no web'!D"&amp;SUM(18,38*27,30))))</f>
        <v/>
      </c>
      <c r="AG90" s="99" t="str" cm="1">
        <f t="array" aca="1" ref="AG90" ca="1">IF($B90="","",IF(ISBLANK(INDIRECT("'R10.Documentos no web'!D"&amp;SUM(18,38*28,30))),"",INDIRECT("'R10.Documentos no web'!D"&amp;SUM(18,38*28,30))))</f>
        <v/>
      </c>
      <c r="AH90" s="99" t="str" cm="1">
        <f t="array" aca="1" ref="AH90" ca="1">IF($B90="","",IF(ISBLANK(INDIRECT("'R10.Documentos no web'!D"&amp;SUM(18,38*29,30))),"",INDIRECT("'R10.Documentos no web'!D"&amp;SUM(18,38*29,30))))</f>
        <v/>
      </c>
      <c r="AI90" s="99" t="str" cm="1">
        <f t="array" aca="1" ref="AI90" ca="1">IF($B90="","",IF(ISBLANK(INDIRECT("'R10.Documentos no web'!D"&amp;SUM(18,38*30,30))),"",INDIRECT("'R10.Documentos no web'!D"&amp;SUM(18,38*30,30))))</f>
        <v/>
      </c>
      <c r="AJ90" s="99" t="str" cm="1">
        <f t="array" aca="1" ref="AJ90" ca="1">IF($B90="","",IF(ISBLANK(INDIRECT("'R10.Documentos no web'!D"&amp;SUM(18,38*31,30))),"",INDIRECT("'R10.Documentos no web'!D"&amp;SUM(18,38*31,30))))</f>
        <v/>
      </c>
      <c r="AK90" s="99" t="str" cm="1">
        <f t="array" aca="1" ref="AK90" ca="1">IF($B90="","",IF(ISBLANK(INDIRECT("'R10.Documentos no web'!D"&amp;SUM(18,38*32,30))),"",INDIRECT("'R10.Documentos no web'!D"&amp;SUM(18,38*32,30))))</f>
        <v/>
      </c>
      <c r="AL90" s="99" t="str" cm="1">
        <f t="array" aca="1" ref="AL90" ca="1">IF($B90="","",IF(ISBLANK(INDIRECT("'R10.Documentos no web'!D"&amp;SUM(18,38*33,30))),"",INDIRECT("'R10.Documentos no web'!D"&amp;SUM(18,38*33,30))))</f>
        <v/>
      </c>
      <c r="AM90" s="99" t="str" cm="1">
        <f t="array" aca="1" ref="AM90" ca="1">IF($B90="","",IF(ISBLANK(INDIRECT("'R10.Documentos no web'!D"&amp;SUM(18,38*34,30))),"",INDIRECT("'R10.Documentos no web'!D"&amp;SUM(18,38*34,30))))</f>
        <v/>
      </c>
      <c r="AN90" s="99" t="str" cm="1">
        <f t="array" aca="1" ref="AN90" ca="1">IF($B90="","",IF(ISBLANK(INDIRECT("'R10.Documentos no web'!D"&amp;SUM(18,38*35,30))),"",INDIRECT("'R10.Documentos no web'!D"&amp;SUM(18,38*35,30))))</f>
        <v/>
      </c>
      <c r="AO90" s="99" t="str" cm="1">
        <f t="array" aca="1" ref="AO90" ca="1">IF($B90="","",IF(ISBLANK(INDIRECT("'R10.Documentos no web'!D"&amp;SUM(18,38*36,30))),"",INDIRECT("'R10.Documentos no web'!D"&amp;SUM(18,38*36,30))))</f>
        <v/>
      </c>
      <c r="AP90" s="99" t="str" cm="1">
        <f t="array" aca="1" ref="AP90" ca="1">IF($B90="","",IF(ISBLANK(INDIRECT("'R10.Documentos no web'!D"&amp;SUM(18,38*37,30))),"",INDIRECT("'R10.Documentos no web'!D"&amp;SUM(18,38*37,30))))</f>
        <v/>
      </c>
      <c r="AQ90" s="99" t="str" cm="1">
        <f t="array" aca="1" ref="AQ90" ca="1">IF($B90="","",IF(ISBLANK(INDIRECT("'R10.Documentos no web'!D"&amp;SUM(18,38*38,30))),"",INDIRECT("'R10.Documentos no web'!D"&amp;SUM(18,38*38,30))))</f>
        <v/>
      </c>
      <c r="AR90" s="99" t="str" cm="1">
        <f t="array" aca="1" ref="AR90" ca="1">IF($B90="","",IF(ISBLANK(INDIRECT("'R10.Documentos no web'!D"&amp;SUM(18,38*39,30))),"",INDIRECT("'R10.Documentos no web'!D"&amp;SUM(18,38*39,30))))</f>
        <v/>
      </c>
      <c r="AS90" s="99" t="str" cm="1">
        <f t="array" aca="1" ref="AS90" ca="1">IF($B90="","",IF(ISBLANK(INDIRECT("'R10.Documentos no web'!D"&amp;SUM(18,38*40,30))),"",INDIRECT("'R10.Documentos no web'!D"&amp;SUM(18,38*40,30))))</f>
        <v/>
      </c>
      <c r="AT90" s="99" t="str" cm="1">
        <f t="array" aca="1" ref="AT90" ca="1">IF($B90="","",IF(ISBLANK(INDIRECT("'R10.Documentos no web'!D"&amp;SUM(18,38*41,30))),"",INDIRECT("'R10.Documentos no web'!D"&amp;SUM(18,38*41,30))))</f>
        <v/>
      </c>
      <c r="AU90" s="99" t="str" cm="1">
        <f t="array" aca="1" ref="AU90" ca="1">IF($B90="","",IF(ISBLANK(INDIRECT("'R10.Documentos no web'!D"&amp;SUM(18,38*42,30))),"",INDIRECT("'R10.Documentos no web'!D"&amp;SUM(18,38*42,30))))</f>
        <v/>
      </c>
      <c r="AV90" s="99" t="str" cm="1">
        <f t="array" aca="1" ref="AV90" ca="1">IF($B90="","",IF(ISBLANK(INDIRECT("'R10.Documentos no web'!D"&amp;SUM(18,38*43,30))),"",INDIRECT("'R10.Documentos no web'!D"&amp;SUM(18,38*43,30))))</f>
        <v/>
      </c>
      <c r="AW90" s="99" t="str" cm="1">
        <f t="array" aca="1" ref="AW90" ca="1">IF($B90="","",IF(ISBLANK(INDIRECT("'R10.Documentos no web'!D"&amp;SUM(18,38*44,30))),"",INDIRECT("'R10.Documentos no web'!D"&amp;SUM(18,38*44,30))))</f>
        <v/>
      </c>
    </row>
    <row r="91" spans="2:49" ht="20.25" customHeight="1">
      <c r="B91" s="181" t="str" cm="1">
        <f t="array" ref="B91">IFERROR(INDEX('03.Muestra'!$B$8:$B$42,SMALL(IF("Documento no web"='03.Muestra'!$D$8:$D$42,ROW('03.Muestra'!$B$8:$B$42)-MIN(ROW('03.Muestra'!$D$8:$D$42))+1,""),ROW()-60)),"")</f>
        <v/>
      </c>
      <c r="C91" s="97" t="str" cm="1">
        <f t="array" ref="C91">IFERROR(INDEX('03.Muestra'!$C$8:$C$42,SMALL(IF("Documento no web"='03.Muestra'!$D$8:$D$42,ROW('03.Muestra'!$C$8:$C$42)-MIN(ROW('03.Muestra'!$D$8:$D$42))+1,""),ROW()-60)),"")</f>
        <v/>
      </c>
      <c r="D91" s="98" t="str" cm="1">
        <f t="array" ref="D91">IFERROR(INDEX('03.Muestra'!$F$8:$F$42,SMALL(IF("Documento no web"='03.Muestra'!$D$8:$D$42,ROW('03.Muestra'!$F$8:$F$42)-MIN(ROW('03.Muestra'!$D$8:$D$42))+1,""),ROW()-60)),"")</f>
        <v/>
      </c>
      <c r="E91" s="99" t="str" cm="1">
        <f t="array" aca="1" ref="E91" ca="1">IF($B91="","",IF(ISBLANK(INDIRECT("'R10.Documentos no web'!D"&amp;SUM(18,38*0,31))),"",INDIRECT("'R10.Documentos no web'!D"&amp;SUM(18,38*0,31))))</f>
        <v/>
      </c>
      <c r="F91" s="99" t="str" cm="1">
        <f t="array" aca="1" ref="F91" ca="1">IF($B91="","",IF(ISBLANK(INDIRECT("'R10.Documentos no web'!D"&amp;SUM(18,38*1,31))),"",INDIRECT("'R10.Documentos no web'!D"&amp;SUM(18,38*1,31))))</f>
        <v/>
      </c>
      <c r="G91" s="99" t="str" cm="1">
        <f t="array" aca="1" ref="G91" ca="1">IF($B91="","",IF(ISBLANK(INDIRECT("'R10.Documentos no web'!D"&amp;SUM(18,38*2,31))),"",INDIRECT("'R10.Documentos no web'!D"&amp;SUM(18,38*2,31))))</f>
        <v/>
      </c>
      <c r="H91" s="99" t="str" cm="1">
        <f t="array" aca="1" ref="H91" ca="1">IF($B91="","",IF(ISBLANK(INDIRECT("'R10.Documentos no web'!D"&amp;SUM(18,38*3,31))),"",INDIRECT("'R10.Documentos no web'!D"&amp;SUM(18,38*3,31))))</f>
        <v/>
      </c>
      <c r="I91" s="99" t="str" cm="1">
        <f t="array" aca="1" ref="I91" ca="1">IF($B91="","",IF(ISBLANK(INDIRECT("'R10.Documentos no web'!D"&amp;SUM(18,38*4,31))),"",INDIRECT("'R10.Documentos no web'!D"&amp;SUM(18,38*4,31))))</f>
        <v/>
      </c>
      <c r="J91" s="99" t="str" cm="1">
        <f t="array" aca="1" ref="J91" ca="1">IF($B91="","",IF(ISBLANK(INDIRECT("'R10.Documentos no web'!D"&amp;SUM(18,38*5,31))),"",INDIRECT("'R10.Documentos no web'!D"&amp;SUM(18,38*5,31))))</f>
        <v/>
      </c>
      <c r="K91" s="99" t="str" cm="1">
        <f t="array" aca="1" ref="K91" ca="1">IF($B91="","",IF(ISBLANK(INDIRECT("'R10.Documentos no web'!D"&amp;SUM(18,38*6,31))),"",INDIRECT("'R10.Documentos no web'!D"&amp;SUM(18,38*6,31))))</f>
        <v/>
      </c>
      <c r="L91" s="99" t="str" cm="1">
        <f t="array" aca="1" ref="L91" ca="1">IF($B91="","",IF(ISBLANK(INDIRECT("'R10.Documentos no web'!D"&amp;SUM(18,38*7,31))),"",INDIRECT("'R10.Documentos no web'!D"&amp;SUM(18,38*7,31))))</f>
        <v/>
      </c>
      <c r="M91" s="99" t="str" cm="1">
        <f t="array" aca="1" ref="M91" ca="1">IF($B91="","",IF(ISBLANK(INDIRECT("'R10.Documentos no web'!D"&amp;SUM(18,38*8,31))),"",INDIRECT("'R10.Documentos no web'!D"&amp;SUM(18,38*8,31))))</f>
        <v/>
      </c>
      <c r="N91" s="99" t="str" cm="1">
        <f t="array" aca="1" ref="N91" ca="1">IF($B91="","",IF(ISBLANK(INDIRECT("'R10.Documentos no web'!D"&amp;SUM(18,38*9,31))),"",INDIRECT("'R10.Documentos no web'!D"&amp;SUM(18,38*9,31))))</f>
        <v/>
      </c>
      <c r="O91" s="99" t="str" cm="1">
        <f t="array" aca="1" ref="O91" ca="1">IF($B91="","",IF(ISBLANK(INDIRECT("'R10.Documentos no web'!D"&amp;SUM(18,38*10,31))),"",INDIRECT("'R10.Documentos no web'!D"&amp;SUM(18,38*10,31))))</f>
        <v/>
      </c>
      <c r="P91" s="99" t="str" cm="1">
        <f t="array" aca="1" ref="P91" ca="1">IF($B91="","",IF(ISBLANK(INDIRECT("'R10.Documentos no web'!D"&amp;SUM(18,38*11,31))),"",INDIRECT("'R10.Documentos no web'!D"&amp;SUM(18,38*11,31))))</f>
        <v/>
      </c>
      <c r="Q91" s="99" t="str" cm="1">
        <f t="array" aca="1" ref="Q91" ca="1">IF($B91="","",IF(ISBLANK(INDIRECT("'R10.Documentos no web'!D"&amp;SUM(18,38*12,31))),"",INDIRECT("'R10.Documentos no web'!D"&amp;SUM(18,38*12,31))))</f>
        <v/>
      </c>
      <c r="R91" s="99" t="str" cm="1">
        <f t="array" aca="1" ref="R91" ca="1">IF($B91="","",IF(ISBLANK(INDIRECT("'R10.Documentos no web'!D"&amp;SUM(18,38*13,31))),"",INDIRECT("'R10.Documentos no web'!D"&amp;SUM(18,38*13,31))))</f>
        <v/>
      </c>
      <c r="S91" s="99" t="str" cm="1">
        <f t="array" aca="1" ref="S91" ca="1">IF($B91="","",IF(ISBLANK(INDIRECT("'R10.Documentos no web'!D"&amp;SUM(18,38*14,31))),"",INDIRECT("'R10.Documentos no web'!D"&amp;SUM(18,38*14,31))))</f>
        <v/>
      </c>
      <c r="T91" s="99" t="str" cm="1">
        <f t="array" aca="1" ref="T91" ca="1">IF($B91="","",IF(ISBLANK(INDIRECT("'R10.Documentos no web'!D"&amp;SUM(18,38*15,31))),"",INDIRECT("'R10.Documentos no web'!D"&amp;SUM(18,38*15,31))))</f>
        <v/>
      </c>
      <c r="U91" s="99" t="str" cm="1">
        <f t="array" aca="1" ref="U91" ca="1">IF($B91="","",IF(ISBLANK(INDIRECT("'R10.Documentos no web'!D"&amp;SUM(18,38*16,31))),"",INDIRECT("'R10.Documentos no web'!D"&amp;SUM(18,38*16,31))))</f>
        <v/>
      </c>
      <c r="V91" s="99" t="str" cm="1">
        <f t="array" aca="1" ref="V91" ca="1">IF($B91="","",IF(ISBLANK(INDIRECT("'R10.Documentos no web'!D"&amp;SUM(18,38*17,31))),"",INDIRECT("'R10.Documentos no web'!D"&amp;SUM(18,38*17,31))))</f>
        <v/>
      </c>
      <c r="W91" s="99" t="str" cm="1">
        <f t="array" aca="1" ref="W91" ca="1">IF($B91="","",IF(ISBLANK(INDIRECT("'R10.Documentos no web'!D"&amp;SUM(18,38*18,31))),"",INDIRECT("'R10.Documentos no web'!D"&amp;SUM(18,38*18,31))))</f>
        <v/>
      </c>
      <c r="X91" s="99" t="str" cm="1">
        <f t="array" aca="1" ref="X91" ca="1">IF($B91="","",IF(ISBLANK(INDIRECT("'R10.Documentos no web'!D"&amp;SUM(18,38*19,31))),"",INDIRECT("'R10.Documentos no web'!D"&amp;SUM(18,38*19,31))))</f>
        <v/>
      </c>
      <c r="Y91" s="99" t="str" cm="1">
        <f t="array" aca="1" ref="Y91" ca="1">IF($B91="","",IF(ISBLANK(INDIRECT("'R10.Documentos no web'!D"&amp;SUM(18,38*20,31))),"",INDIRECT("'R10.Documentos no web'!D"&amp;SUM(18,38*20,31))))</f>
        <v/>
      </c>
      <c r="Z91" s="99" t="str" cm="1">
        <f t="array" aca="1" ref="Z91" ca="1">IF($B91="","",IF(ISBLANK(INDIRECT("'R10.Documentos no web'!D"&amp;SUM(18,38*21,31))),"",INDIRECT("'R10.Documentos no web'!D"&amp;SUM(18,38*21,31))))</f>
        <v/>
      </c>
      <c r="AA91" s="99" t="str" cm="1">
        <f t="array" aca="1" ref="AA91" ca="1">IF($B91="","",IF(ISBLANK(INDIRECT("'R10.Documentos no web'!D"&amp;SUM(18,38*22,31))),"",INDIRECT("'R10.Documentos no web'!D"&amp;SUM(18,38*22,31))))</f>
        <v/>
      </c>
      <c r="AB91" s="99" t="str" cm="1">
        <f t="array" aca="1" ref="AB91" ca="1">IF($B91="","",IF(ISBLANK(INDIRECT("'R10.Documentos no web'!D"&amp;SUM(18,38*23,31))),"",INDIRECT("'R10.Documentos no web'!D"&amp;SUM(18,38*23,31))))</f>
        <v/>
      </c>
      <c r="AC91" s="99" t="str" cm="1">
        <f t="array" aca="1" ref="AC91" ca="1">IF($B91="","",IF(ISBLANK(INDIRECT("'R10.Documentos no web'!D"&amp;SUM(18,38*24,31))),"",INDIRECT("'R10.Documentos no web'!D"&amp;SUM(18,38*24,31))))</f>
        <v/>
      </c>
      <c r="AD91" s="99" t="str" cm="1">
        <f t="array" aca="1" ref="AD91" ca="1">IF($B91="","",IF(ISBLANK(INDIRECT("'R10.Documentos no web'!D"&amp;SUM(18,38*25,31))),"",INDIRECT("'R10.Documentos no web'!D"&amp;SUM(18,38*25,31))))</f>
        <v/>
      </c>
      <c r="AE91" s="99" t="str" cm="1">
        <f t="array" aca="1" ref="AE91" ca="1">IF($B91="","",IF(ISBLANK(INDIRECT("'R10.Documentos no web'!D"&amp;SUM(18,38*26,31))),"",INDIRECT("'R10.Documentos no web'!D"&amp;SUM(18,38*26,31))))</f>
        <v/>
      </c>
      <c r="AF91" s="99" t="str" cm="1">
        <f t="array" aca="1" ref="AF91" ca="1">IF($B91="","",IF(ISBLANK(INDIRECT("'R10.Documentos no web'!D"&amp;SUM(18,38*27,31))),"",INDIRECT("'R10.Documentos no web'!D"&amp;SUM(18,38*27,31))))</f>
        <v/>
      </c>
      <c r="AG91" s="99" t="str" cm="1">
        <f t="array" aca="1" ref="AG91" ca="1">IF($B91="","",IF(ISBLANK(INDIRECT("'R10.Documentos no web'!D"&amp;SUM(18,38*28,31))),"",INDIRECT("'R10.Documentos no web'!D"&amp;SUM(18,38*28,31))))</f>
        <v/>
      </c>
      <c r="AH91" s="99" t="str" cm="1">
        <f t="array" aca="1" ref="AH91" ca="1">IF($B91="","",IF(ISBLANK(INDIRECT("'R10.Documentos no web'!D"&amp;SUM(18,38*29,31))),"",INDIRECT("'R10.Documentos no web'!D"&amp;SUM(18,38*29,31))))</f>
        <v/>
      </c>
      <c r="AI91" s="99" t="str" cm="1">
        <f t="array" aca="1" ref="AI91" ca="1">IF($B91="","",IF(ISBLANK(INDIRECT("'R10.Documentos no web'!D"&amp;SUM(18,38*30,31))),"",INDIRECT("'R10.Documentos no web'!D"&amp;SUM(18,38*30,31))))</f>
        <v/>
      </c>
      <c r="AJ91" s="99" t="str" cm="1">
        <f t="array" aca="1" ref="AJ91" ca="1">IF($B91="","",IF(ISBLANK(INDIRECT("'R10.Documentos no web'!D"&amp;SUM(18,38*31,31))),"",INDIRECT("'R10.Documentos no web'!D"&amp;SUM(18,38*31,31))))</f>
        <v/>
      </c>
      <c r="AK91" s="99" t="str" cm="1">
        <f t="array" aca="1" ref="AK91" ca="1">IF($B91="","",IF(ISBLANK(INDIRECT("'R10.Documentos no web'!D"&amp;SUM(18,38*32,31))),"",INDIRECT("'R10.Documentos no web'!D"&amp;SUM(18,38*32,31))))</f>
        <v/>
      </c>
      <c r="AL91" s="99" t="str" cm="1">
        <f t="array" aca="1" ref="AL91" ca="1">IF($B91="","",IF(ISBLANK(INDIRECT("'R10.Documentos no web'!D"&amp;SUM(18,38*33,31))),"",INDIRECT("'R10.Documentos no web'!D"&amp;SUM(18,38*33,31))))</f>
        <v/>
      </c>
      <c r="AM91" s="99" t="str" cm="1">
        <f t="array" aca="1" ref="AM91" ca="1">IF($B91="","",IF(ISBLANK(INDIRECT("'R10.Documentos no web'!D"&amp;SUM(18,38*34,31))),"",INDIRECT("'R10.Documentos no web'!D"&amp;SUM(18,38*34,31))))</f>
        <v/>
      </c>
      <c r="AN91" s="99" t="str" cm="1">
        <f t="array" aca="1" ref="AN91" ca="1">IF($B91="","",IF(ISBLANK(INDIRECT("'R10.Documentos no web'!D"&amp;SUM(18,38*35,31))),"",INDIRECT("'R10.Documentos no web'!D"&amp;SUM(18,38*35,31))))</f>
        <v/>
      </c>
      <c r="AO91" s="99" t="str" cm="1">
        <f t="array" aca="1" ref="AO91" ca="1">IF($B91="","",IF(ISBLANK(INDIRECT("'R10.Documentos no web'!D"&amp;SUM(18,38*36,31))),"",INDIRECT("'R10.Documentos no web'!D"&amp;SUM(18,38*36,31))))</f>
        <v/>
      </c>
      <c r="AP91" s="99" t="str" cm="1">
        <f t="array" aca="1" ref="AP91" ca="1">IF($B91="","",IF(ISBLANK(INDIRECT("'R10.Documentos no web'!D"&amp;SUM(18,38*37,31))),"",INDIRECT("'R10.Documentos no web'!D"&amp;SUM(18,38*37,31))))</f>
        <v/>
      </c>
      <c r="AQ91" s="99" t="str" cm="1">
        <f t="array" aca="1" ref="AQ91" ca="1">IF($B91="","",IF(ISBLANK(INDIRECT("'R10.Documentos no web'!D"&amp;SUM(18,38*38,31))),"",INDIRECT("'R10.Documentos no web'!D"&amp;SUM(18,38*38,31))))</f>
        <v/>
      </c>
      <c r="AR91" s="99" t="str" cm="1">
        <f t="array" aca="1" ref="AR91" ca="1">IF($B91="","",IF(ISBLANK(INDIRECT("'R10.Documentos no web'!D"&amp;SUM(18,38*39,31))),"",INDIRECT("'R10.Documentos no web'!D"&amp;SUM(18,38*39,31))))</f>
        <v/>
      </c>
      <c r="AS91" s="99" t="str" cm="1">
        <f t="array" aca="1" ref="AS91" ca="1">IF($B91="","",IF(ISBLANK(INDIRECT("'R10.Documentos no web'!D"&amp;SUM(18,38*40,31))),"",INDIRECT("'R10.Documentos no web'!D"&amp;SUM(18,38*40,31))))</f>
        <v/>
      </c>
      <c r="AT91" s="99" t="str" cm="1">
        <f t="array" aca="1" ref="AT91" ca="1">IF($B91="","",IF(ISBLANK(INDIRECT("'R10.Documentos no web'!D"&amp;SUM(18,38*41,31))),"",INDIRECT("'R10.Documentos no web'!D"&amp;SUM(18,38*41,31))))</f>
        <v/>
      </c>
      <c r="AU91" s="99" t="str" cm="1">
        <f t="array" aca="1" ref="AU91" ca="1">IF($B91="","",IF(ISBLANK(INDIRECT("'R10.Documentos no web'!D"&amp;SUM(18,38*42,31))),"",INDIRECT("'R10.Documentos no web'!D"&amp;SUM(18,38*42,31))))</f>
        <v/>
      </c>
      <c r="AV91" s="99" t="str" cm="1">
        <f t="array" aca="1" ref="AV91" ca="1">IF($B91="","",IF(ISBLANK(INDIRECT("'R10.Documentos no web'!D"&amp;SUM(18,38*43,31))),"",INDIRECT("'R10.Documentos no web'!D"&amp;SUM(18,38*43,31))))</f>
        <v/>
      </c>
      <c r="AW91" s="99" t="str" cm="1">
        <f t="array" aca="1" ref="AW91" ca="1">IF($B91="","",IF(ISBLANK(INDIRECT("'R10.Documentos no web'!D"&amp;SUM(18,38*44,31))),"",INDIRECT("'R10.Documentos no web'!D"&amp;SUM(18,38*44,31))))</f>
        <v/>
      </c>
    </row>
    <row r="92" spans="2:49" ht="20.25" customHeight="1">
      <c r="B92" s="181" t="str" cm="1">
        <f t="array" ref="B92">IFERROR(INDEX('03.Muestra'!$B$8:$B$42,SMALL(IF("Documento no web"='03.Muestra'!$D$8:$D$42,ROW('03.Muestra'!$B$8:$B$42)-MIN(ROW('03.Muestra'!$D$8:$D$42))+1,""),ROW()-60)),"")</f>
        <v/>
      </c>
      <c r="C92" s="97" t="str" cm="1">
        <f t="array" ref="C92">IFERROR(INDEX('03.Muestra'!$C$8:$C$42,SMALL(IF("Documento no web"='03.Muestra'!$D$8:$D$42,ROW('03.Muestra'!$C$8:$C$42)-MIN(ROW('03.Muestra'!$D$8:$D$42))+1,""),ROW()-60)),"")</f>
        <v/>
      </c>
      <c r="D92" s="98" t="str" cm="1">
        <f t="array" ref="D92">IFERROR(INDEX('03.Muestra'!$F$8:$F$42,SMALL(IF("Documento no web"='03.Muestra'!$D$8:$D$42,ROW('03.Muestra'!$F$8:$F$42)-MIN(ROW('03.Muestra'!$D$8:$D$42))+1,""),ROW()-60)),"")</f>
        <v/>
      </c>
      <c r="E92" s="99" t="str" cm="1">
        <f t="array" aca="1" ref="E92" ca="1">IF($B92="","",IF(ISBLANK(INDIRECT("'R10.Documentos no web'!D"&amp;SUM(18,38*0,32))),"",INDIRECT("'R10.Documentos no web'!D"&amp;SUM(18,38*0,32))))</f>
        <v/>
      </c>
      <c r="F92" s="99" t="str" cm="1">
        <f t="array" aca="1" ref="F92" ca="1">IF($B92="","",IF(ISBLANK(INDIRECT("'R10.Documentos no web'!D"&amp;SUM(18,38*1,32))),"",INDIRECT("'R10.Documentos no web'!D"&amp;SUM(18,38*1,32))))</f>
        <v/>
      </c>
      <c r="G92" s="99" t="str" cm="1">
        <f t="array" aca="1" ref="G92" ca="1">IF($B92="","",IF(ISBLANK(INDIRECT("'R10.Documentos no web'!D"&amp;SUM(18,38*2,32))),"",INDIRECT("'R10.Documentos no web'!D"&amp;SUM(18,38*2,32))))</f>
        <v/>
      </c>
      <c r="H92" s="99" t="str" cm="1">
        <f t="array" aca="1" ref="H92" ca="1">IF($B92="","",IF(ISBLANK(INDIRECT("'R10.Documentos no web'!D"&amp;SUM(18,38*3,32))),"",INDIRECT("'R10.Documentos no web'!D"&amp;SUM(18,38*3,32))))</f>
        <v/>
      </c>
      <c r="I92" s="99" t="str" cm="1">
        <f t="array" aca="1" ref="I92" ca="1">IF($B92="","",IF(ISBLANK(INDIRECT("'R10.Documentos no web'!D"&amp;SUM(18,38*4,32))),"",INDIRECT("'R10.Documentos no web'!D"&amp;SUM(18,38*4,32))))</f>
        <v/>
      </c>
      <c r="J92" s="99" t="str" cm="1">
        <f t="array" aca="1" ref="J92" ca="1">IF($B92="","",IF(ISBLANK(INDIRECT("'R10.Documentos no web'!D"&amp;SUM(18,38*5,32))),"",INDIRECT("'R10.Documentos no web'!D"&amp;SUM(18,38*5,32))))</f>
        <v/>
      </c>
      <c r="K92" s="99" t="str" cm="1">
        <f t="array" aca="1" ref="K92" ca="1">IF($B92="","",IF(ISBLANK(INDIRECT("'R10.Documentos no web'!D"&amp;SUM(18,38*6,32))),"",INDIRECT("'R10.Documentos no web'!D"&amp;SUM(18,38*6,32))))</f>
        <v/>
      </c>
      <c r="L92" s="99" t="str" cm="1">
        <f t="array" aca="1" ref="L92" ca="1">IF($B92="","",IF(ISBLANK(INDIRECT("'R10.Documentos no web'!D"&amp;SUM(18,38*7,32))),"",INDIRECT("'R10.Documentos no web'!D"&amp;SUM(18,38*7,32))))</f>
        <v/>
      </c>
      <c r="M92" s="99" t="str" cm="1">
        <f t="array" aca="1" ref="M92" ca="1">IF($B92="","",IF(ISBLANK(INDIRECT("'R10.Documentos no web'!D"&amp;SUM(18,38*8,32))),"",INDIRECT("'R10.Documentos no web'!D"&amp;SUM(18,38*8,32))))</f>
        <v/>
      </c>
      <c r="N92" s="99" t="str" cm="1">
        <f t="array" aca="1" ref="N92" ca="1">IF($B92="","",IF(ISBLANK(INDIRECT("'R10.Documentos no web'!D"&amp;SUM(18,38*9,32))),"",INDIRECT("'R10.Documentos no web'!D"&amp;SUM(18,38*9,32))))</f>
        <v/>
      </c>
      <c r="O92" s="99" t="str" cm="1">
        <f t="array" aca="1" ref="O92" ca="1">IF($B92="","",IF(ISBLANK(INDIRECT("'R10.Documentos no web'!D"&amp;SUM(18,38*10,32))),"",INDIRECT("'R10.Documentos no web'!D"&amp;SUM(18,38*10,32))))</f>
        <v/>
      </c>
      <c r="P92" s="99" t="str" cm="1">
        <f t="array" aca="1" ref="P92" ca="1">IF($B92="","",IF(ISBLANK(INDIRECT("'R10.Documentos no web'!D"&amp;SUM(18,38*11,32))),"",INDIRECT("'R10.Documentos no web'!D"&amp;SUM(18,38*11,32))))</f>
        <v/>
      </c>
      <c r="Q92" s="99" t="str" cm="1">
        <f t="array" aca="1" ref="Q92" ca="1">IF($B92="","",IF(ISBLANK(INDIRECT("'R10.Documentos no web'!D"&amp;SUM(18,38*12,32))),"",INDIRECT("'R10.Documentos no web'!D"&amp;SUM(18,38*12,32))))</f>
        <v/>
      </c>
      <c r="R92" s="99" t="str" cm="1">
        <f t="array" aca="1" ref="R92" ca="1">IF($B92="","",IF(ISBLANK(INDIRECT("'R10.Documentos no web'!D"&amp;SUM(18,38*13,32))),"",INDIRECT("'R10.Documentos no web'!D"&amp;SUM(18,38*13,32))))</f>
        <v/>
      </c>
      <c r="S92" s="99" t="str" cm="1">
        <f t="array" aca="1" ref="S92" ca="1">IF($B92="","",IF(ISBLANK(INDIRECT("'R10.Documentos no web'!D"&amp;SUM(18,38*14,32))),"",INDIRECT("'R10.Documentos no web'!D"&amp;SUM(18,38*14,32))))</f>
        <v/>
      </c>
      <c r="T92" s="99" t="str" cm="1">
        <f t="array" aca="1" ref="T92" ca="1">IF($B92="","",IF(ISBLANK(INDIRECT("'R10.Documentos no web'!D"&amp;SUM(18,38*15,32))),"",INDIRECT("'R10.Documentos no web'!D"&amp;SUM(18,38*15,32))))</f>
        <v/>
      </c>
      <c r="U92" s="99" t="str" cm="1">
        <f t="array" aca="1" ref="U92" ca="1">IF($B92="","",IF(ISBLANK(INDIRECT("'R10.Documentos no web'!D"&amp;SUM(18,38*16,32))),"",INDIRECT("'R10.Documentos no web'!D"&amp;SUM(18,38*16,32))))</f>
        <v/>
      </c>
      <c r="V92" s="99" t="str" cm="1">
        <f t="array" aca="1" ref="V92" ca="1">IF($B92="","",IF(ISBLANK(INDIRECT("'R10.Documentos no web'!D"&amp;SUM(18,38*17,32))),"",INDIRECT("'R10.Documentos no web'!D"&amp;SUM(18,38*17,32))))</f>
        <v/>
      </c>
      <c r="W92" s="99" t="str" cm="1">
        <f t="array" aca="1" ref="W92" ca="1">IF($B92="","",IF(ISBLANK(INDIRECT("'R10.Documentos no web'!D"&amp;SUM(18,38*18,32))),"",INDIRECT("'R10.Documentos no web'!D"&amp;SUM(18,38*18,32))))</f>
        <v/>
      </c>
      <c r="X92" s="99" t="str" cm="1">
        <f t="array" aca="1" ref="X92" ca="1">IF($B92="","",IF(ISBLANK(INDIRECT("'R10.Documentos no web'!D"&amp;SUM(18,38*19,32))),"",INDIRECT("'R10.Documentos no web'!D"&amp;SUM(18,38*19,32))))</f>
        <v/>
      </c>
      <c r="Y92" s="99" t="str" cm="1">
        <f t="array" aca="1" ref="Y92" ca="1">IF($B92="","",IF(ISBLANK(INDIRECT("'R10.Documentos no web'!D"&amp;SUM(18,38*20,32))),"",INDIRECT("'R10.Documentos no web'!D"&amp;SUM(18,38*20,32))))</f>
        <v/>
      </c>
      <c r="Z92" s="99" t="str" cm="1">
        <f t="array" aca="1" ref="Z92" ca="1">IF($B92="","",IF(ISBLANK(INDIRECT("'R10.Documentos no web'!D"&amp;SUM(18,38*21,32))),"",INDIRECT("'R10.Documentos no web'!D"&amp;SUM(18,38*21,32))))</f>
        <v/>
      </c>
      <c r="AA92" s="99" t="str" cm="1">
        <f t="array" aca="1" ref="AA92" ca="1">IF($B92="","",IF(ISBLANK(INDIRECT("'R10.Documentos no web'!D"&amp;SUM(18,38*22,32))),"",INDIRECT("'R10.Documentos no web'!D"&amp;SUM(18,38*22,32))))</f>
        <v/>
      </c>
      <c r="AB92" s="99" t="str" cm="1">
        <f t="array" aca="1" ref="AB92" ca="1">IF($B92="","",IF(ISBLANK(INDIRECT("'R10.Documentos no web'!D"&amp;SUM(18,38*23,32))),"",INDIRECT("'R10.Documentos no web'!D"&amp;SUM(18,38*23,32))))</f>
        <v/>
      </c>
      <c r="AC92" s="99" t="str" cm="1">
        <f t="array" aca="1" ref="AC92" ca="1">IF($B92="","",IF(ISBLANK(INDIRECT("'R10.Documentos no web'!D"&amp;SUM(18,38*24,32))),"",INDIRECT("'R10.Documentos no web'!D"&amp;SUM(18,38*24,32))))</f>
        <v/>
      </c>
      <c r="AD92" s="99" t="str" cm="1">
        <f t="array" aca="1" ref="AD92" ca="1">IF($B92="","",IF(ISBLANK(INDIRECT("'R10.Documentos no web'!D"&amp;SUM(18,38*25,32))),"",INDIRECT("'R10.Documentos no web'!D"&amp;SUM(18,38*25,32))))</f>
        <v/>
      </c>
      <c r="AE92" s="99" t="str" cm="1">
        <f t="array" aca="1" ref="AE92" ca="1">IF($B92="","",IF(ISBLANK(INDIRECT("'R10.Documentos no web'!D"&amp;SUM(18,38*26,32))),"",INDIRECT("'R10.Documentos no web'!D"&amp;SUM(18,38*26,32))))</f>
        <v/>
      </c>
      <c r="AF92" s="99" t="str" cm="1">
        <f t="array" aca="1" ref="AF92" ca="1">IF($B92="","",IF(ISBLANK(INDIRECT("'R10.Documentos no web'!D"&amp;SUM(18,38*27,32))),"",INDIRECT("'R10.Documentos no web'!D"&amp;SUM(18,38*27,32))))</f>
        <v/>
      </c>
      <c r="AG92" s="99" t="str" cm="1">
        <f t="array" aca="1" ref="AG92" ca="1">IF($B92="","",IF(ISBLANK(INDIRECT("'R10.Documentos no web'!D"&amp;SUM(18,38*28,32))),"",INDIRECT("'R10.Documentos no web'!D"&amp;SUM(18,38*28,32))))</f>
        <v/>
      </c>
      <c r="AH92" s="99" t="str" cm="1">
        <f t="array" aca="1" ref="AH92" ca="1">IF($B92="","",IF(ISBLANK(INDIRECT("'R10.Documentos no web'!D"&amp;SUM(18,38*29,32))),"",INDIRECT("'R10.Documentos no web'!D"&amp;SUM(18,38*29,32))))</f>
        <v/>
      </c>
      <c r="AI92" s="99" t="str" cm="1">
        <f t="array" aca="1" ref="AI92" ca="1">IF($B92="","",IF(ISBLANK(INDIRECT("'R10.Documentos no web'!D"&amp;SUM(18,38*30,32))),"",INDIRECT("'R10.Documentos no web'!D"&amp;SUM(18,38*30,32))))</f>
        <v/>
      </c>
      <c r="AJ92" s="99" t="str" cm="1">
        <f t="array" aca="1" ref="AJ92" ca="1">IF($B92="","",IF(ISBLANK(INDIRECT("'R10.Documentos no web'!D"&amp;SUM(18,38*31,32))),"",INDIRECT("'R10.Documentos no web'!D"&amp;SUM(18,38*31,32))))</f>
        <v/>
      </c>
      <c r="AK92" s="99" t="str" cm="1">
        <f t="array" aca="1" ref="AK92" ca="1">IF($B92="","",IF(ISBLANK(INDIRECT("'R10.Documentos no web'!D"&amp;SUM(18,38*32,32))),"",INDIRECT("'R10.Documentos no web'!D"&amp;SUM(18,38*32,32))))</f>
        <v/>
      </c>
      <c r="AL92" s="99" t="str" cm="1">
        <f t="array" aca="1" ref="AL92" ca="1">IF($B92="","",IF(ISBLANK(INDIRECT("'R10.Documentos no web'!D"&amp;SUM(18,38*33,32))),"",INDIRECT("'R10.Documentos no web'!D"&amp;SUM(18,38*33,32))))</f>
        <v/>
      </c>
      <c r="AM92" s="99" t="str" cm="1">
        <f t="array" aca="1" ref="AM92" ca="1">IF($B92="","",IF(ISBLANK(INDIRECT("'R10.Documentos no web'!D"&amp;SUM(18,38*34,32))),"",INDIRECT("'R10.Documentos no web'!D"&amp;SUM(18,38*34,32))))</f>
        <v/>
      </c>
      <c r="AN92" s="99" t="str" cm="1">
        <f t="array" aca="1" ref="AN92" ca="1">IF($B92="","",IF(ISBLANK(INDIRECT("'R10.Documentos no web'!D"&amp;SUM(18,38*35,32))),"",INDIRECT("'R10.Documentos no web'!D"&amp;SUM(18,38*35,32))))</f>
        <v/>
      </c>
      <c r="AO92" s="99" t="str" cm="1">
        <f t="array" aca="1" ref="AO92" ca="1">IF($B92="","",IF(ISBLANK(INDIRECT("'R10.Documentos no web'!D"&amp;SUM(18,38*36,32))),"",INDIRECT("'R10.Documentos no web'!D"&amp;SUM(18,38*36,32))))</f>
        <v/>
      </c>
      <c r="AP92" s="99" t="str" cm="1">
        <f t="array" aca="1" ref="AP92" ca="1">IF($B92="","",IF(ISBLANK(INDIRECT("'R10.Documentos no web'!D"&amp;SUM(18,38*37,32))),"",INDIRECT("'R10.Documentos no web'!D"&amp;SUM(18,38*37,32))))</f>
        <v/>
      </c>
      <c r="AQ92" s="99" t="str" cm="1">
        <f t="array" aca="1" ref="AQ92" ca="1">IF($B92="","",IF(ISBLANK(INDIRECT("'R10.Documentos no web'!D"&amp;SUM(18,38*38,32))),"",INDIRECT("'R10.Documentos no web'!D"&amp;SUM(18,38*38,32))))</f>
        <v/>
      </c>
      <c r="AR92" s="99" t="str" cm="1">
        <f t="array" aca="1" ref="AR92" ca="1">IF($B92="","",IF(ISBLANK(INDIRECT("'R10.Documentos no web'!D"&amp;SUM(18,38*39,32))),"",INDIRECT("'R10.Documentos no web'!D"&amp;SUM(18,38*39,32))))</f>
        <v/>
      </c>
      <c r="AS92" s="99" t="str" cm="1">
        <f t="array" aca="1" ref="AS92" ca="1">IF($B92="","",IF(ISBLANK(INDIRECT("'R10.Documentos no web'!D"&amp;SUM(18,38*40,32))),"",INDIRECT("'R10.Documentos no web'!D"&amp;SUM(18,38*40,32))))</f>
        <v/>
      </c>
      <c r="AT92" s="99" t="str" cm="1">
        <f t="array" aca="1" ref="AT92" ca="1">IF($B92="","",IF(ISBLANK(INDIRECT("'R10.Documentos no web'!D"&amp;SUM(18,38*41,32))),"",INDIRECT("'R10.Documentos no web'!D"&amp;SUM(18,38*41,32))))</f>
        <v/>
      </c>
      <c r="AU92" s="99" t="str" cm="1">
        <f t="array" aca="1" ref="AU92" ca="1">IF($B92="","",IF(ISBLANK(INDIRECT("'R10.Documentos no web'!D"&amp;SUM(18,38*42,32))),"",INDIRECT("'R10.Documentos no web'!D"&amp;SUM(18,38*42,32))))</f>
        <v/>
      </c>
      <c r="AV92" s="99" t="str" cm="1">
        <f t="array" aca="1" ref="AV92" ca="1">IF($B92="","",IF(ISBLANK(INDIRECT("'R10.Documentos no web'!D"&amp;SUM(18,38*43,32))),"",INDIRECT("'R10.Documentos no web'!D"&amp;SUM(18,38*43,32))))</f>
        <v/>
      </c>
      <c r="AW92" s="99" t="str" cm="1">
        <f t="array" aca="1" ref="AW92" ca="1">IF($B92="","",IF(ISBLANK(INDIRECT("'R10.Documentos no web'!D"&amp;SUM(18,38*44,32))),"",INDIRECT("'R10.Documentos no web'!D"&amp;SUM(18,38*44,32))))</f>
        <v/>
      </c>
    </row>
    <row r="93" spans="2:49" ht="20.25" customHeight="1">
      <c r="B93" s="181" t="str" cm="1">
        <f t="array" ref="B93">IFERROR(INDEX('03.Muestra'!$B$8:$B$42,SMALL(IF("Documento no web"='03.Muestra'!$D$8:$D$42,ROW('03.Muestra'!$B$8:$B$42)-MIN(ROW('03.Muestra'!$D$8:$D$42))+1,""),ROW()-60)),"")</f>
        <v/>
      </c>
      <c r="C93" s="97" t="str" cm="1">
        <f t="array" ref="C93">IFERROR(INDEX('03.Muestra'!$C$8:$C$42,SMALL(IF("Documento no web"='03.Muestra'!$D$8:$D$42,ROW('03.Muestra'!$C$8:$C$42)-MIN(ROW('03.Muestra'!$D$8:$D$42))+1,""),ROW()-60)),"")</f>
        <v/>
      </c>
      <c r="D93" s="98" t="str" cm="1">
        <f t="array" ref="D93">IFERROR(INDEX('03.Muestra'!$F$8:$F$42,SMALL(IF("Documento no web"='03.Muestra'!$D$8:$D$42,ROW('03.Muestra'!$F$8:$F$42)-MIN(ROW('03.Muestra'!$D$8:$D$42))+1,""),ROW()-60)),"")</f>
        <v/>
      </c>
      <c r="E93" s="99" t="str" cm="1">
        <f t="array" aca="1" ref="E93" ca="1">IF($B93="","",IF(ISBLANK(INDIRECT("'R10.Documentos no web'!D"&amp;SUM(18,38*0,33))),"",INDIRECT("'R10.Documentos no web'!D"&amp;SUM(18,38*0,33))))</f>
        <v/>
      </c>
      <c r="F93" s="99" t="str" cm="1">
        <f t="array" aca="1" ref="F93" ca="1">IF($B93="","",IF(ISBLANK(INDIRECT("'R10.Documentos no web'!D"&amp;SUM(18,38*1,33))),"",INDIRECT("'R10.Documentos no web'!D"&amp;SUM(18,38*1,33))))</f>
        <v/>
      </c>
      <c r="G93" s="99" t="str" cm="1">
        <f t="array" aca="1" ref="G93" ca="1">IF($B93="","",IF(ISBLANK(INDIRECT("'R10.Documentos no web'!D"&amp;SUM(18,38*2,33))),"",INDIRECT("'R10.Documentos no web'!D"&amp;SUM(18,38*2,33))))</f>
        <v/>
      </c>
      <c r="H93" s="99" t="str" cm="1">
        <f t="array" aca="1" ref="H93" ca="1">IF($B93="","",IF(ISBLANK(INDIRECT("'R10.Documentos no web'!D"&amp;SUM(18,38*3,33))),"",INDIRECT("'R10.Documentos no web'!D"&amp;SUM(18,38*3,33))))</f>
        <v/>
      </c>
      <c r="I93" s="99" t="str" cm="1">
        <f t="array" aca="1" ref="I93" ca="1">IF($B93="","",IF(ISBLANK(INDIRECT("'R10.Documentos no web'!D"&amp;SUM(18,38*4,33))),"",INDIRECT("'R10.Documentos no web'!D"&amp;SUM(18,38*4,33))))</f>
        <v/>
      </c>
      <c r="J93" s="99" t="str" cm="1">
        <f t="array" aca="1" ref="J93" ca="1">IF($B93="","",IF(ISBLANK(INDIRECT("'R10.Documentos no web'!D"&amp;SUM(18,38*5,33))),"",INDIRECT("'R10.Documentos no web'!D"&amp;SUM(18,38*5,33))))</f>
        <v/>
      </c>
      <c r="K93" s="99" t="str" cm="1">
        <f t="array" aca="1" ref="K93" ca="1">IF($B93="","",IF(ISBLANK(INDIRECT("'R10.Documentos no web'!D"&amp;SUM(18,38*6,33))),"",INDIRECT("'R10.Documentos no web'!D"&amp;SUM(18,38*6,33))))</f>
        <v/>
      </c>
      <c r="L93" s="99" t="str" cm="1">
        <f t="array" aca="1" ref="L93" ca="1">IF($B93="","",IF(ISBLANK(INDIRECT("'R10.Documentos no web'!D"&amp;SUM(18,38*7,33))),"",INDIRECT("'R10.Documentos no web'!D"&amp;SUM(18,38*7,33))))</f>
        <v/>
      </c>
      <c r="M93" s="99" t="str" cm="1">
        <f t="array" aca="1" ref="M93" ca="1">IF($B93="","",IF(ISBLANK(INDIRECT("'R10.Documentos no web'!D"&amp;SUM(18,38*8,33))),"",INDIRECT("'R10.Documentos no web'!D"&amp;SUM(18,38*8,33))))</f>
        <v/>
      </c>
      <c r="N93" s="99" t="str" cm="1">
        <f t="array" aca="1" ref="N93" ca="1">IF($B93="","",IF(ISBLANK(INDIRECT("'R10.Documentos no web'!D"&amp;SUM(18,38*9,33))),"",INDIRECT("'R10.Documentos no web'!D"&amp;SUM(18,38*9,33))))</f>
        <v/>
      </c>
      <c r="O93" s="99" t="str" cm="1">
        <f t="array" aca="1" ref="O93" ca="1">IF($B93="","",IF(ISBLANK(INDIRECT("'R10.Documentos no web'!D"&amp;SUM(18,38*10,33))),"",INDIRECT("'R10.Documentos no web'!D"&amp;SUM(18,38*10,33))))</f>
        <v/>
      </c>
      <c r="P93" s="99" t="str" cm="1">
        <f t="array" aca="1" ref="P93" ca="1">IF($B93="","",IF(ISBLANK(INDIRECT("'R10.Documentos no web'!D"&amp;SUM(18,38*11,33))),"",INDIRECT("'R10.Documentos no web'!D"&amp;SUM(18,38*11,33))))</f>
        <v/>
      </c>
      <c r="Q93" s="99" t="str" cm="1">
        <f t="array" aca="1" ref="Q93" ca="1">IF($B93="","",IF(ISBLANK(INDIRECT("'R10.Documentos no web'!D"&amp;SUM(18,38*12,33))),"",INDIRECT("'R10.Documentos no web'!D"&amp;SUM(18,38*12,33))))</f>
        <v/>
      </c>
      <c r="R93" s="99" t="str" cm="1">
        <f t="array" aca="1" ref="R93" ca="1">IF($B93="","",IF(ISBLANK(INDIRECT("'R10.Documentos no web'!D"&amp;SUM(18,38*13,33))),"",INDIRECT("'R10.Documentos no web'!D"&amp;SUM(18,38*13,33))))</f>
        <v/>
      </c>
      <c r="S93" s="99" t="str" cm="1">
        <f t="array" aca="1" ref="S93" ca="1">IF($B93="","",IF(ISBLANK(INDIRECT("'R10.Documentos no web'!D"&amp;SUM(18,38*14,33))),"",INDIRECT("'R10.Documentos no web'!D"&amp;SUM(18,38*14,33))))</f>
        <v/>
      </c>
      <c r="T93" s="99" t="str" cm="1">
        <f t="array" aca="1" ref="T93" ca="1">IF($B93="","",IF(ISBLANK(INDIRECT("'R10.Documentos no web'!D"&amp;SUM(18,38*15,33))),"",INDIRECT("'R10.Documentos no web'!D"&amp;SUM(18,38*15,33))))</f>
        <v/>
      </c>
      <c r="U93" s="99" t="str" cm="1">
        <f t="array" aca="1" ref="U93" ca="1">IF($B93="","",IF(ISBLANK(INDIRECT("'R10.Documentos no web'!D"&amp;SUM(18,38*16,33))),"",INDIRECT("'R10.Documentos no web'!D"&amp;SUM(18,38*16,33))))</f>
        <v/>
      </c>
      <c r="V93" s="99" t="str" cm="1">
        <f t="array" aca="1" ref="V93" ca="1">IF($B93="","",IF(ISBLANK(INDIRECT("'R10.Documentos no web'!D"&amp;SUM(18,38*17,33))),"",INDIRECT("'R10.Documentos no web'!D"&amp;SUM(18,38*17,33))))</f>
        <v/>
      </c>
      <c r="W93" s="99" t="str" cm="1">
        <f t="array" aca="1" ref="W93" ca="1">IF($B93="","",IF(ISBLANK(INDIRECT("'R10.Documentos no web'!D"&amp;SUM(18,38*18,33))),"",INDIRECT("'R10.Documentos no web'!D"&amp;SUM(18,38*18,33))))</f>
        <v/>
      </c>
      <c r="X93" s="99" t="str" cm="1">
        <f t="array" aca="1" ref="X93" ca="1">IF($B93="","",IF(ISBLANK(INDIRECT("'R10.Documentos no web'!D"&amp;SUM(18,38*19,33))),"",INDIRECT("'R10.Documentos no web'!D"&amp;SUM(18,38*19,33))))</f>
        <v/>
      </c>
      <c r="Y93" s="99" t="str" cm="1">
        <f t="array" aca="1" ref="Y93" ca="1">IF($B93="","",IF(ISBLANK(INDIRECT("'R10.Documentos no web'!D"&amp;SUM(18,38*20,33))),"",INDIRECT("'R10.Documentos no web'!D"&amp;SUM(18,38*20,33))))</f>
        <v/>
      </c>
      <c r="Z93" s="99" t="str" cm="1">
        <f t="array" aca="1" ref="Z93" ca="1">IF($B93="","",IF(ISBLANK(INDIRECT("'R10.Documentos no web'!D"&amp;SUM(18,38*21,33))),"",INDIRECT("'R10.Documentos no web'!D"&amp;SUM(18,38*21,33))))</f>
        <v/>
      </c>
      <c r="AA93" s="99" t="str" cm="1">
        <f t="array" aca="1" ref="AA93" ca="1">IF($B93="","",IF(ISBLANK(INDIRECT("'R10.Documentos no web'!D"&amp;SUM(18,38*22,33))),"",INDIRECT("'R10.Documentos no web'!D"&amp;SUM(18,38*22,33))))</f>
        <v/>
      </c>
      <c r="AB93" s="99" t="str" cm="1">
        <f t="array" aca="1" ref="AB93" ca="1">IF($B93="","",IF(ISBLANK(INDIRECT("'R10.Documentos no web'!D"&amp;SUM(18,38*23,33))),"",INDIRECT("'R10.Documentos no web'!D"&amp;SUM(18,38*23,33))))</f>
        <v/>
      </c>
      <c r="AC93" s="99" t="str" cm="1">
        <f t="array" aca="1" ref="AC93" ca="1">IF($B93="","",IF(ISBLANK(INDIRECT("'R10.Documentos no web'!D"&amp;SUM(18,38*24,33))),"",INDIRECT("'R10.Documentos no web'!D"&amp;SUM(18,38*24,33))))</f>
        <v/>
      </c>
      <c r="AD93" s="99" t="str" cm="1">
        <f t="array" aca="1" ref="AD93" ca="1">IF($B93="","",IF(ISBLANK(INDIRECT("'R10.Documentos no web'!D"&amp;SUM(18,38*25,33))),"",INDIRECT("'R10.Documentos no web'!D"&amp;SUM(18,38*25,33))))</f>
        <v/>
      </c>
      <c r="AE93" s="99" t="str" cm="1">
        <f t="array" aca="1" ref="AE93" ca="1">IF($B93="","",IF(ISBLANK(INDIRECT("'R10.Documentos no web'!D"&amp;SUM(18,38*26,33))),"",INDIRECT("'R10.Documentos no web'!D"&amp;SUM(18,38*26,33))))</f>
        <v/>
      </c>
      <c r="AF93" s="99" t="str" cm="1">
        <f t="array" aca="1" ref="AF93" ca="1">IF($B93="","",IF(ISBLANK(INDIRECT("'R10.Documentos no web'!D"&amp;SUM(18,38*27,33))),"",INDIRECT("'R10.Documentos no web'!D"&amp;SUM(18,38*27,33))))</f>
        <v/>
      </c>
      <c r="AG93" s="99" t="str" cm="1">
        <f t="array" aca="1" ref="AG93" ca="1">IF($B93="","",IF(ISBLANK(INDIRECT("'R10.Documentos no web'!D"&amp;SUM(18,38*28,33))),"",INDIRECT("'R10.Documentos no web'!D"&amp;SUM(18,38*28,33))))</f>
        <v/>
      </c>
      <c r="AH93" s="99" t="str" cm="1">
        <f t="array" aca="1" ref="AH93" ca="1">IF($B93="","",IF(ISBLANK(INDIRECT("'R10.Documentos no web'!D"&amp;SUM(18,38*29,33))),"",INDIRECT("'R10.Documentos no web'!D"&amp;SUM(18,38*29,33))))</f>
        <v/>
      </c>
      <c r="AI93" s="99" t="str" cm="1">
        <f t="array" aca="1" ref="AI93" ca="1">IF($B93="","",IF(ISBLANK(INDIRECT("'R10.Documentos no web'!D"&amp;SUM(18,38*30,33))),"",INDIRECT("'R10.Documentos no web'!D"&amp;SUM(18,38*30,33))))</f>
        <v/>
      </c>
      <c r="AJ93" s="99" t="str" cm="1">
        <f t="array" aca="1" ref="AJ93" ca="1">IF($B93="","",IF(ISBLANK(INDIRECT("'R10.Documentos no web'!D"&amp;SUM(18,38*31,33))),"",INDIRECT("'R10.Documentos no web'!D"&amp;SUM(18,38*31,33))))</f>
        <v/>
      </c>
      <c r="AK93" s="99" t="str" cm="1">
        <f t="array" aca="1" ref="AK93" ca="1">IF($B93="","",IF(ISBLANK(INDIRECT("'R10.Documentos no web'!D"&amp;SUM(18,38*32,33))),"",INDIRECT("'R10.Documentos no web'!D"&amp;SUM(18,38*32,33))))</f>
        <v/>
      </c>
      <c r="AL93" s="99" t="str" cm="1">
        <f t="array" aca="1" ref="AL93" ca="1">IF($B93="","",IF(ISBLANK(INDIRECT("'R10.Documentos no web'!D"&amp;SUM(18,38*33,33))),"",INDIRECT("'R10.Documentos no web'!D"&amp;SUM(18,38*33,33))))</f>
        <v/>
      </c>
      <c r="AM93" s="99" t="str" cm="1">
        <f t="array" aca="1" ref="AM93" ca="1">IF($B93="","",IF(ISBLANK(INDIRECT("'R10.Documentos no web'!D"&amp;SUM(18,38*34,33))),"",INDIRECT("'R10.Documentos no web'!D"&amp;SUM(18,38*34,33))))</f>
        <v/>
      </c>
      <c r="AN93" s="99" t="str" cm="1">
        <f t="array" aca="1" ref="AN93" ca="1">IF($B93="","",IF(ISBLANK(INDIRECT("'R10.Documentos no web'!D"&amp;SUM(18,38*35,33))),"",INDIRECT("'R10.Documentos no web'!D"&amp;SUM(18,38*35,33))))</f>
        <v/>
      </c>
      <c r="AO93" s="99" t="str" cm="1">
        <f t="array" aca="1" ref="AO93" ca="1">IF($B93="","",IF(ISBLANK(INDIRECT("'R10.Documentos no web'!D"&amp;SUM(18,38*36,33))),"",INDIRECT("'R10.Documentos no web'!D"&amp;SUM(18,38*36,33))))</f>
        <v/>
      </c>
      <c r="AP93" s="99" t="str" cm="1">
        <f t="array" aca="1" ref="AP93" ca="1">IF($B93="","",IF(ISBLANK(INDIRECT("'R10.Documentos no web'!D"&amp;SUM(18,38*37,33))),"",INDIRECT("'R10.Documentos no web'!D"&amp;SUM(18,38*37,33))))</f>
        <v/>
      </c>
      <c r="AQ93" s="99" t="str" cm="1">
        <f t="array" aca="1" ref="AQ93" ca="1">IF($B93="","",IF(ISBLANK(INDIRECT("'R10.Documentos no web'!D"&amp;SUM(18,38*38,33))),"",INDIRECT("'R10.Documentos no web'!D"&amp;SUM(18,38*38,33))))</f>
        <v/>
      </c>
      <c r="AR93" s="99" t="str" cm="1">
        <f t="array" aca="1" ref="AR93" ca="1">IF($B93="","",IF(ISBLANK(INDIRECT("'R10.Documentos no web'!D"&amp;SUM(18,38*39,33))),"",INDIRECT("'R10.Documentos no web'!D"&amp;SUM(18,38*39,33))))</f>
        <v/>
      </c>
      <c r="AS93" s="99" t="str" cm="1">
        <f t="array" aca="1" ref="AS93" ca="1">IF($B93="","",IF(ISBLANK(INDIRECT("'R10.Documentos no web'!D"&amp;SUM(18,38*40,33))),"",INDIRECT("'R10.Documentos no web'!D"&amp;SUM(18,38*40,33))))</f>
        <v/>
      </c>
      <c r="AT93" s="99" t="str" cm="1">
        <f t="array" aca="1" ref="AT93" ca="1">IF($B93="","",IF(ISBLANK(INDIRECT("'R10.Documentos no web'!D"&amp;SUM(18,38*41,33))),"",INDIRECT("'R10.Documentos no web'!D"&amp;SUM(18,38*41,33))))</f>
        <v/>
      </c>
      <c r="AU93" s="99" t="str" cm="1">
        <f t="array" aca="1" ref="AU93" ca="1">IF($B93="","",IF(ISBLANK(INDIRECT("'R10.Documentos no web'!D"&amp;SUM(18,38*42,33))),"",INDIRECT("'R10.Documentos no web'!D"&amp;SUM(18,38*42,33))))</f>
        <v/>
      </c>
      <c r="AV93" s="99" t="str" cm="1">
        <f t="array" aca="1" ref="AV93" ca="1">IF($B93="","",IF(ISBLANK(INDIRECT("'R10.Documentos no web'!D"&amp;SUM(18,38*43,33))),"",INDIRECT("'R10.Documentos no web'!D"&amp;SUM(18,38*43,33))))</f>
        <v/>
      </c>
      <c r="AW93" s="99" t="str" cm="1">
        <f t="array" aca="1" ref="AW93" ca="1">IF($B93="","",IF(ISBLANK(INDIRECT("'R10.Documentos no web'!D"&amp;SUM(18,38*44,33))),"",INDIRECT("'R10.Documentos no web'!D"&amp;SUM(18,38*44,33))))</f>
        <v/>
      </c>
    </row>
    <row r="94" spans="2:49" ht="20.25" customHeight="1">
      <c r="B94" s="181" t="str" cm="1">
        <f t="array" ref="B94">IFERROR(INDEX('03.Muestra'!$B$8:$B$42,SMALL(IF("Documento no web"='03.Muestra'!$D$8:$D$42,ROW('03.Muestra'!$B$8:$B$42)-MIN(ROW('03.Muestra'!$D$8:$D$42))+1,""),ROW()-60)),"")</f>
        <v/>
      </c>
      <c r="C94" s="97" t="str" cm="1">
        <f t="array" ref="C94">IFERROR(INDEX('03.Muestra'!$C$8:$C$42,SMALL(IF("Documento no web"='03.Muestra'!$D$8:$D$42,ROW('03.Muestra'!$C$8:$C$42)-MIN(ROW('03.Muestra'!$D$8:$D$42))+1,""),ROW()-60)),"")</f>
        <v/>
      </c>
      <c r="D94" s="98" t="str" cm="1">
        <f t="array" ref="D94">IFERROR(INDEX('03.Muestra'!$F$8:$F$42,SMALL(IF("Documento no web"='03.Muestra'!$D$8:$D$42,ROW('03.Muestra'!$F$8:$F$42)-MIN(ROW('03.Muestra'!$D$8:$D$42))+1,""),ROW()-60)),"")</f>
        <v/>
      </c>
      <c r="E94" s="99" t="str" cm="1">
        <f t="array" aca="1" ref="E94" ca="1">IF($B94="","",IF(ISBLANK(INDIRECT("'R10.Documentos no web'!D"&amp;SUM(18,38*0,34))),"",INDIRECT("'R10.Documentos no web'!D"&amp;SUM(18,38*0,34))))</f>
        <v/>
      </c>
      <c r="F94" s="99" t="str" cm="1">
        <f t="array" aca="1" ref="F94" ca="1">IF($B94="","",IF(ISBLANK(INDIRECT("'R10.Documentos no web'!D"&amp;SUM(18,38*1,34))),"",INDIRECT("'R10.Documentos no web'!D"&amp;SUM(18,38*1,34))))</f>
        <v/>
      </c>
      <c r="G94" s="99" t="str" cm="1">
        <f t="array" aca="1" ref="G94" ca="1">IF($B94="","",IF(ISBLANK(INDIRECT("'R10.Documentos no web'!D"&amp;SUM(18,38*2,34))),"",INDIRECT("'R10.Documentos no web'!D"&amp;SUM(18,38*2,34))))</f>
        <v/>
      </c>
      <c r="H94" s="99" t="str" cm="1">
        <f t="array" aca="1" ref="H94" ca="1">IF($B94="","",IF(ISBLANK(INDIRECT("'R10.Documentos no web'!D"&amp;SUM(18,38*3,34))),"",INDIRECT("'R10.Documentos no web'!D"&amp;SUM(18,38*3,34))))</f>
        <v/>
      </c>
      <c r="I94" s="99" t="str" cm="1">
        <f t="array" aca="1" ref="I94" ca="1">IF($B94="","",IF(ISBLANK(INDIRECT("'R10.Documentos no web'!D"&amp;SUM(18,38*4,34))),"",INDIRECT("'R10.Documentos no web'!D"&amp;SUM(18,38*4,34))))</f>
        <v/>
      </c>
      <c r="J94" s="99" t="str" cm="1">
        <f t="array" aca="1" ref="J94" ca="1">IF($B94="","",IF(ISBLANK(INDIRECT("'R10.Documentos no web'!D"&amp;SUM(18,38*5,34))),"",INDIRECT("'R10.Documentos no web'!D"&amp;SUM(18,38*5,34))))</f>
        <v/>
      </c>
      <c r="K94" s="99" t="str" cm="1">
        <f t="array" aca="1" ref="K94" ca="1">IF($B94="","",IF(ISBLANK(INDIRECT("'R10.Documentos no web'!D"&amp;SUM(18,38*6,34))),"",INDIRECT("'R10.Documentos no web'!D"&amp;SUM(18,38*6,34))))</f>
        <v/>
      </c>
      <c r="L94" s="99" t="str" cm="1">
        <f t="array" aca="1" ref="L94" ca="1">IF($B94="","",IF(ISBLANK(INDIRECT("'R10.Documentos no web'!D"&amp;SUM(18,38*7,34))),"",INDIRECT("'R10.Documentos no web'!D"&amp;SUM(18,38*7,34))))</f>
        <v/>
      </c>
      <c r="M94" s="99" t="str" cm="1">
        <f t="array" aca="1" ref="M94" ca="1">IF($B94="","",IF(ISBLANK(INDIRECT("'R10.Documentos no web'!D"&amp;SUM(18,38*8,34))),"",INDIRECT("'R10.Documentos no web'!D"&amp;SUM(18,38*8,34))))</f>
        <v/>
      </c>
      <c r="N94" s="99" t="str" cm="1">
        <f t="array" aca="1" ref="N94" ca="1">IF($B94="","",IF(ISBLANK(INDIRECT("'R10.Documentos no web'!D"&amp;SUM(18,38*9,34))),"",INDIRECT("'R10.Documentos no web'!D"&amp;SUM(18,38*9,34))))</f>
        <v/>
      </c>
      <c r="O94" s="99" t="str" cm="1">
        <f t="array" aca="1" ref="O94" ca="1">IF($B94="","",IF(ISBLANK(INDIRECT("'R10.Documentos no web'!D"&amp;SUM(18,38*10,34))),"",INDIRECT("'R10.Documentos no web'!D"&amp;SUM(18,38*10,34))))</f>
        <v/>
      </c>
      <c r="P94" s="99" t="str" cm="1">
        <f t="array" aca="1" ref="P94" ca="1">IF($B94="","",IF(ISBLANK(INDIRECT("'R10.Documentos no web'!D"&amp;SUM(18,38*11,34))),"",INDIRECT("'R10.Documentos no web'!D"&amp;SUM(18,38*11,34))))</f>
        <v/>
      </c>
      <c r="Q94" s="99" t="str" cm="1">
        <f t="array" aca="1" ref="Q94" ca="1">IF($B94="","",IF(ISBLANK(INDIRECT("'R10.Documentos no web'!D"&amp;SUM(18,38*12,34))),"",INDIRECT("'R10.Documentos no web'!D"&amp;SUM(18,38*12,34))))</f>
        <v/>
      </c>
      <c r="R94" s="99" t="str" cm="1">
        <f t="array" aca="1" ref="R94" ca="1">IF($B94="","",IF(ISBLANK(INDIRECT("'R10.Documentos no web'!D"&amp;SUM(18,38*13,34))),"",INDIRECT("'R10.Documentos no web'!D"&amp;SUM(18,38*13,34))))</f>
        <v/>
      </c>
      <c r="S94" s="99" t="str" cm="1">
        <f t="array" aca="1" ref="S94" ca="1">IF($B94="","",IF(ISBLANK(INDIRECT("'R10.Documentos no web'!D"&amp;SUM(18,38*14,34))),"",INDIRECT("'R10.Documentos no web'!D"&amp;SUM(18,38*14,34))))</f>
        <v/>
      </c>
      <c r="T94" s="99" t="str" cm="1">
        <f t="array" aca="1" ref="T94" ca="1">IF($B94="","",IF(ISBLANK(INDIRECT("'R10.Documentos no web'!D"&amp;SUM(18,38*15,34))),"",INDIRECT("'R10.Documentos no web'!D"&amp;SUM(18,38*15,34))))</f>
        <v/>
      </c>
      <c r="U94" s="99" t="str" cm="1">
        <f t="array" aca="1" ref="U94" ca="1">IF($B94="","",IF(ISBLANK(INDIRECT("'R10.Documentos no web'!D"&amp;SUM(18,38*16,34))),"",INDIRECT("'R10.Documentos no web'!D"&amp;SUM(18,38*16,34))))</f>
        <v/>
      </c>
      <c r="V94" s="99" t="str" cm="1">
        <f t="array" aca="1" ref="V94" ca="1">IF($B94="","",IF(ISBLANK(INDIRECT("'R10.Documentos no web'!D"&amp;SUM(18,38*17,34))),"",INDIRECT("'R10.Documentos no web'!D"&amp;SUM(18,38*17,34))))</f>
        <v/>
      </c>
      <c r="W94" s="99" t="str" cm="1">
        <f t="array" aca="1" ref="W94" ca="1">IF($B94="","",IF(ISBLANK(INDIRECT("'R10.Documentos no web'!D"&amp;SUM(18,38*18,34))),"",INDIRECT("'R10.Documentos no web'!D"&amp;SUM(18,38*18,34))))</f>
        <v/>
      </c>
      <c r="X94" s="99" t="str" cm="1">
        <f t="array" aca="1" ref="X94" ca="1">IF($B94="","",IF(ISBLANK(INDIRECT("'R10.Documentos no web'!D"&amp;SUM(18,38*19,34))),"",INDIRECT("'R10.Documentos no web'!D"&amp;SUM(18,38*19,34))))</f>
        <v/>
      </c>
      <c r="Y94" s="99" t="str" cm="1">
        <f t="array" aca="1" ref="Y94" ca="1">IF($B94="","",IF(ISBLANK(INDIRECT("'R10.Documentos no web'!D"&amp;SUM(18,38*20,34))),"",INDIRECT("'R10.Documentos no web'!D"&amp;SUM(18,38*20,34))))</f>
        <v/>
      </c>
      <c r="Z94" s="99" t="str" cm="1">
        <f t="array" aca="1" ref="Z94" ca="1">IF($B94="","",IF(ISBLANK(INDIRECT("'R10.Documentos no web'!D"&amp;SUM(18,38*21,34))),"",INDIRECT("'R10.Documentos no web'!D"&amp;SUM(18,38*21,34))))</f>
        <v/>
      </c>
      <c r="AA94" s="99" t="str" cm="1">
        <f t="array" aca="1" ref="AA94" ca="1">IF($B94="","",IF(ISBLANK(INDIRECT("'R10.Documentos no web'!D"&amp;SUM(18,38*22,34))),"",INDIRECT("'R10.Documentos no web'!D"&amp;SUM(18,38*22,34))))</f>
        <v/>
      </c>
      <c r="AB94" s="99" t="str" cm="1">
        <f t="array" aca="1" ref="AB94" ca="1">IF($B94="","",IF(ISBLANK(INDIRECT("'R10.Documentos no web'!D"&amp;SUM(18,38*23,34))),"",INDIRECT("'R10.Documentos no web'!D"&amp;SUM(18,38*23,34))))</f>
        <v/>
      </c>
      <c r="AC94" s="99" t="str" cm="1">
        <f t="array" aca="1" ref="AC94" ca="1">IF($B94="","",IF(ISBLANK(INDIRECT("'R10.Documentos no web'!D"&amp;SUM(18,38*24,34))),"",INDIRECT("'R10.Documentos no web'!D"&amp;SUM(18,38*24,34))))</f>
        <v/>
      </c>
      <c r="AD94" s="99" t="str" cm="1">
        <f t="array" aca="1" ref="AD94" ca="1">IF($B94="","",IF(ISBLANK(INDIRECT("'R10.Documentos no web'!D"&amp;SUM(18,38*25,34))),"",INDIRECT("'R10.Documentos no web'!D"&amp;SUM(18,38*25,34))))</f>
        <v/>
      </c>
      <c r="AE94" s="99" t="str" cm="1">
        <f t="array" aca="1" ref="AE94" ca="1">IF($B94="","",IF(ISBLANK(INDIRECT("'R10.Documentos no web'!D"&amp;SUM(18,38*26,34))),"",INDIRECT("'R10.Documentos no web'!D"&amp;SUM(18,38*26,34))))</f>
        <v/>
      </c>
      <c r="AF94" s="99" t="str" cm="1">
        <f t="array" aca="1" ref="AF94" ca="1">IF($B94="","",IF(ISBLANK(INDIRECT("'R10.Documentos no web'!D"&amp;SUM(18,38*27,34))),"",INDIRECT("'R10.Documentos no web'!D"&amp;SUM(18,38*27,34))))</f>
        <v/>
      </c>
      <c r="AG94" s="99" t="str" cm="1">
        <f t="array" aca="1" ref="AG94" ca="1">IF($B94="","",IF(ISBLANK(INDIRECT("'R10.Documentos no web'!D"&amp;SUM(18,38*28,34))),"",INDIRECT("'R10.Documentos no web'!D"&amp;SUM(18,38*28,34))))</f>
        <v/>
      </c>
      <c r="AH94" s="99" t="str" cm="1">
        <f t="array" aca="1" ref="AH94" ca="1">IF($B94="","",IF(ISBLANK(INDIRECT("'R10.Documentos no web'!D"&amp;SUM(18,38*29,34))),"",INDIRECT("'R10.Documentos no web'!D"&amp;SUM(18,38*29,34))))</f>
        <v/>
      </c>
      <c r="AI94" s="99" t="str" cm="1">
        <f t="array" aca="1" ref="AI94" ca="1">IF($B94="","",IF(ISBLANK(INDIRECT("'R10.Documentos no web'!D"&amp;SUM(18,38*30,34))),"",INDIRECT("'R10.Documentos no web'!D"&amp;SUM(18,38*30,34))))</f>
        <v/>
      </c>
      <c r="AJ94" s="99" t="str" cm="1">
        <f t="array" aca="1" ref="AJ94" ca="1">IF($B94="","",IF(ISBLANK(INDIRECT("'R10.Documentos no web'!D"&amp;SUM(18,38*31,34))),"",INDIRECT("'R10.Documentos no web'!D"&amp;SUM(18,38*31,34))))</f>
        <v/>
      </c>
      <c r="AK94" s="99" t="str" cm="1">
        <f t="array" aca="1" ref="AK94" ca="1">IF($B94="","",IF(ISBLANK(INDIRECT("'R10.Documentos no web'!D"&amp;SUM(18,38*32,34))),"",INDIRECT("'R10.Documentos no web'!D"&amp;SUM(18,38*32,34))))</f>
        <v/>
      </c>
      <c r="AL94" s="99" t="str" cm="1">
        <f t="array" aca="1" ref="AL94" ca="1">IF($B94="","",IF(ISBLANK(INDIRECT("'R10.Documentos no web'!D"&amp;SUM(18,38*33,34))),"",INDIRECT("'R10.Documentos no web'!D"&amp;SUM(18,38*33,34))))</f>
        <v/>
      </c>
      <c r="AM94" s="99" t="str" cm="1">
        <f t="array" aca="1" ref="AM94" ca="1">IF($B94="","",IF(ISBLANK(INDIRECT("'R10.Documentos no web'!D"&amp;SUM(18,38*34,34))),"",INDIRECT("'R10.Documentos no web'!D"&amp;SUM(18,38*34,34))))</f>
        <v/>
      </c>
      <c r="AN94" s="99" t="str" cm="1">
        <f t="array" aca="1" ref="AN94" ca="1">IF($B94="","",IF(ISBLANK(INDIRECT("'R10.Documentos no web'!D"&amp;SUM(18,38*35,34))),"",INDIRECT("'R10.Documentos no web'!D"&amp;SUM(18,38*35,34))))</f>
        <v/>
      </c>
      <c r="AO94" s="99" t="str" cm="1">
        <f t="array" aca="1" ref="AO94" ca="1">IF($B94="","",IF(ISBLANK(INDIRECT("'R10.Documentos no web'!D"&amp;SUM(18,38*36,34))),"",INDIRECT("'R10.Documentos no web'!D"&amp;SUM(18,38*36,34))))</f>
        <v/>
      </c>
      <c r="AP94" s="99" t="str" cm="1">
        <f t="array" aca="1" ref="AP94" ca="1">IF($B94="","",IF(ISBLANK(INDIRECT("'R10.Documentos no web'!D"&amp;SUM(18,38*37,34))),"",INDIRECT("'R10.Documentos no web'!D"&amp;SUM(18,38*37,34))))</f>
        <v/>
      </c>
      <c r="AQ94" s="99" t="str" cm="1">
        <f t="array" aca="1" ref="AQ94" ca="1">IF($B94="","",IF(ISBLANK(INDIRECT("'R10.Documentos no web'!D"&amp;SUM(18,38*38,34))),"",INDIRECT("'R10.Documentos no web'!D"&amp;SUM(18,38*38,34))))</f>
        <v/>
      </c>
      <c r="AR94" s="99" t="str" cm="1">
        <f t="array" aca="1" ref="AR94" ca="1">IF($B94="","",IF(ISBLANK(INDIRECT("'R10.Documentos no web'!D"&amp;SUM(18,38*39,34))),"",INDIRECT("'R10.Documentos no web'!D"&amp;SUM(18,38*39,34))))</f>
        <v/>
      </c>
      <c r="AS94" s="99" t="str" cm="1">
        <f t="array" aca="1" ref="AS94" ca="1">IF($B94="","",IF(ISBLANK(INDIRECT("'R10.Documentos no web'!D"&amp;SUM(18,38*40,34))),"",INDIRECT("'R10.Documentos no web'!D"&amp;SUM(18,38*40,34))))</f>
        <v/>
      </c>
      <c r="AT94" s="99" t="str" cm="1">
        <f t="array" aca="1" ref="AT94" ca="1">IF($B94="","",IF(ISBLANK(INDIRECT("'R10.Documentos no web'!D"&amp;SUM(18,38*41,34))),"",INDIRECT("'R10.Documentos no web'!D"&amp;SUM(18,38*41,34))))</f>
        <v/>
      </c>
      <c r="AU94" s="99" t="str" cm="1">
        <f t="array" aca="1" ref="AU94" ca="1">IF($B94="","",IF(ISBLANK(INDIRECT("'R10.Documentos no web'!D"&amp;SUM(18,38*42,34))),"",INDIRECT("'R10.Documentos no web'!D"&amp;SUM(18,38*42,34))))</f>
        <v/>
      </c>
      <c r="AV94" s="99" t="str" cm="1">
        <f t="array" aca="1" ref="AV94" ca="1">IF($B94="","",IF(ISBLANK(INDIRECT("'R10.Documentos no web'!D"&amp;SUM(18,38*43,34))),"",INDIRECT("'R10.Documentos no web'!D"&amp;SUM(18,38*43,34))))</f>
        <v/>
      </c>
      <c r="AW94" s="99" t="str" cm="1">
        <f t="array" aca="1" ref="AW94" ca="1">IF($B94="","",IF(ISBLANK(INDIRECT("'R10.Documentos no web'!D"&amp;SUM(18,38*44,34))),"",INDIRECT("'R10.Documentos no web'!D"&amp;SUM(18,38*44,34))))</f>
        <v/>
      </c>
    </row>
    <row r="95" spans="2:49" ht="20.25" customHeight="1">
      <c r="B95" s="181" t="str">
        <f t="array" ref="B95">IFERROR(INDEX('03.Muestra'!$B$8:$B$42,SMALL(IF("Documento no web"='03.Muestra'!$D$8:$D$42,ROW('03.Muestra'!$B$8:$B$42)-MIN(ROW('03.Muestra'!$D$8:$D$42))+1,""),ROW()-101)),"")</f>
        <v/>
      </c>
      <c r="C95" s="97" t="str">
        <f t="array" ref="C95">IFERROR(INDEX('03.Muestra'!$C$8:$C$42,SMALL(IF("Documento no web"='03.Muestra'!$D$8:$D$42,ROW('03.Muestra'!$C$8:$C$42)-MIN(ROW('03.Muestra'!$D$8:$D$42))+1,""),ROW()-101)),"")</f>
        <v/>
      </c>
      <c r="D95" s="98" t="str">
        <f t="array" ref="D95">IFERROR(INDEX('03.Muestra'!$F$8:$F$42,SMALL(IF("Documento no web"='03.Muestra'!$D$8:$D$42,ROW('03.Muestra'!$F$8:$F$42)-MIN(ROW('03.Muestra'!$D$8:$D$42))+1,""),ROW()-101)),"")</f>
        <v/>
      </c>
      <c r="E95" s="99" t="str" cm="1">
        <f t="array" aca="1" ref="E95" ca="1">IF($B95="","",IF(ISBLANK(INDIRECT("'R10.Documentos no web'!D"&amp;SUM(18,38*0,35))),"",INDIRECT("'R10.Documentos no web'!D"&amp;SUM(18,38*0,35))))</f>
        <v/>
      </c>
      <c r="F95" s="99" t="str" cm="1">
        <f t="array" aca="1" ref="F95" ca="1">IF($B95="","",IF(ISBLANK(INDIRECT("'R10.Documentos no web'!D"&amp;SUM(18,38*1,35))),"",INDIRECT("'R10.Documentos no web'!D"&amp;SUM(18,38*1,35))))</f>
        <v/>
      </c>
      <c r="G95" s="99" t="str" cm="1">
        <f t="array" aca="1" ref="G95" ca="1">IF($B95="","",IF(ISBLANK(INDIRECT("'R10.Documentos no web'!D"&amp;SUM(18,38*2,35))),"",INDIRECT("'R10.Documentos no web'!D"&amp;SUM(18,38*2,35))))</f>
        <v/>
      </c>
      <c r="H95" s="99" t="str" cm="1">
        <f t="array" aca="1" ref="H95" ca="1">IF($B95="","",IF(ISBLANK(INDIRECT("'R10.Documentos no web'!D"&amp;SUM(18,38*3,35))),"",INDIRECT("'R10.Documentos no web'!D"&amp;SUM(18,38*3,35))))</f>
        <v/>
      </c>
      <c r="I95" s="99" t="str" cm="1">
        <f t="array" aca="1" ref="I95" ca="1">IF($B95="","",IF(ISBLANK(INDIRECT("'R10.Documentos no web'!D"&amp;SUM(18,38*4,35))),"",INDIRECT("'R10.Documentos no web'!D"&amp;SUM(18,38*4,35))))</f>
        <v/>
      </c>
      <c r="J95" s="99" t="str" cm="1">
        <f t="array" aca="1" ref="J95" ca="1">IF($B95="","",IF(ISBLANK(INDIRECT("'R10.Documentos no web'!D"&amp;SUM(18,38*5,35))),"",INDIRECT("'R10.Documentos no web'!D"&amp;SUM(18,38*5,35))))</f>
        <v/>
      </c>
      <c r="K95" s="99" t="str" cm="1">
        <f t="array" aca="1" ref="K95" ca="1">IF($B95="","",IF(ISBLANK(INDIRECT("'R10.Documentos no web'!D"&amp;SUM(18,38*6,35))),"",INDIRECT("'R10.Documentos no web'!D"&amp;SUM(18,38*6,35))))</f>
        <v/>
      </c>
      <c r="L95" s="99" t="str" cm="1">
        <f t="array" aca="1" ref="L95" ca="1">IF($B95="","",IF(ISBLANK(INDIRECT("'R10.Documentos no web'!D"&amp;SUM(18,38*7,35))),"",INDIRECT("'R10.Documentos no web'!D"&amp;SUM(18,38*7,35))))</f>
        <v/>
      </c>
      <c r="M95" s="99" t="str" cm="1">
        <f t="array" aca="1" ref="M95" ca="1">IF($B95="","",IF(ISBLANK(INDIRECT("'R10.Documentos no web'!D"&amp;SUM(18,38*8,35))),"",INDIRECT("'R10.Documentos no web'!D"&amp;SUM(18,38*8,35))))</f>
        <v/>
      </c>
      <c r="N95" s="99" t="str" cm="1">
        <f t="array" aca="1" ref="N95" ca="1">IF($B95="","",IF(ISBLANK(INDIRECT("'R10.Documentos no web'!D"&amp;SUM(18,38*9,35))),"",INDIRECT("'R10.Documentos no web'!D"&amp;SUM(18,38*9,35))))</f>
        <v/>
      </c>
      <c r="O95" s="99" t="str" cm="1">
        <f t="array" aca="1" ref="O95" ca="1">IF($B95="","",IF(ISBLANK(INDIRECT("'R10.Documentos no web'!D"&amp;SUM(18,38*10,35))),"",INDIRECT("'R10.Documentos no web'!D"&amp;SUM(18,38*10,35))))</f>
        <v/>
      </c>
      <c r="P95" s="99" t="str" cm="1">
        <f t="array" aca="1" ref="P95" ca="1">IF($B95="","",IF(ISBLANK(INDIRECT("'R10.Documentos no web'!D"&amp;SUM(18,38*11,35))),"",INDIRECT("'R10.Documentos no web'!D"&amp;SUM(18,38*11,35))))</f>
        <v/>
      </c>
      <c r="Q95" s="99" t="str" cm="1">
        <f t="array" aca="1" ref="Q95" ca="1">IF($B95="","",IF(ISBLANK(INDIRECT("'R10.Documentos no web'!D"&amp;SUM(18,38*12,35))),"",INDIRECT("'R10.Documentos no web'!D"&amp;SUM(18,38*12,35))))</f>
        <v/>
      </c>
      <c r="R95" s="99" t="str" cm="1">
        <f t="array" aca="1" ref="R95" ca="1">IF($B95="","",IF(ISBLANK(INDIRECT("'R10.Documentos no web'!D"&amp;SUM(18,38*13,35))),"",INDIRECT("'R10.Documentos no web'!D"&amp;SUM(18,38*13,35))))</f>
        <v/>
      </c>
      <c r="S95" s="99" t="str" cm="1">
        <f t="array" aca="1" ref="S95" ca="1">IF($B95="","",IF(ISBLANK(INDIRECT("'R10.Documentos no web'!D"&amp;SUM(18,38*14,35))),"",INDIRECT("'R10.Documentos no web'!D"&amp;SUM(18,38*14,35))))</f>
        <v/>
      </c>
      <c r="T95" s="99" t="str" cm="1">
        <f t="array" aca="1" ref="T95" ca="1">IF($B95="","",IF(ISBLANK(INDIRECT("'R10.Documentos no web'!D"&amp;SUM(18,38*15,35))),"",INDIRECT("'R10.Documentos no web'!D"&amp;SUM(18,38*15,35))))</f>
        <v/>
      </c>
      <c r="U95" s="99" t="str" cm="1">
        <f t="array" aca="1" ref="U95" ca="1">IF($B95="","",IF(ISBLANK(INDIRECT("'R10.Documentos no web'!D"&amp;SUM(18,38*16,35))),"",INDIRECT("'R10.Documentos no web'!D"&amp;SUM(18,38*16,35))))</f>
        <v/>
      </c>
      <c r="V95" s="99" t="str" cm="1">
        <f t="array" aca="1" ref="V95" ca="1">IF($B95="","",IF(ISBLANK(INDIRECT("'R10.Documentos no web'!D"&amp;SUM(18,38*17,35))),"",INDIRECT("'R10.Documentos no web'!D"&amp;SUM(18,38*17,35))))</f>
        <v/>
      </c>
      <c r="W95" s="99" t="str" cm="1">
        <f t="array" aca="1" ref="W95" ca="1">IF($B95="","",IF(ISBLANK(INDIRECT("'R10.Documentos no web'!D"&amp;SUM(18,38*18,35))),"",INDIRECT("'R10.Documentos no web'!D"&amp;SUM(18,38*18,35))))</f>
        <v/>
      </c>
      <c r="X95" s="99" t="str" cm="1">
        <f t="array" aca="1" ref="X95" ca="1">IF($B95="","",IF(ISBLANK(INDIRECT("'R10.Documentos no web'!D"&amp;SUM(18,38*19,35))),"",INDIRECT("'R10.Documentos no web'!D"&amp;SUM(18,38*19,35))))</f>
        <v/>
      </c>
      <c r="Y95" s="99" t="str" cm="1">
        <f t="array" aca="1" ref="Y95" ca="1">IF($B95="","",IF(ISBLANK(INDIRECT("'R10.Documentos no web'!D"&amp;SUM(18,38*20,35))),"",INDIRECT("'R10.Documentos no web'!D"&amp;SUM(18,38*20,35))))</f>
        <v/>
      </c>
      <c r="Z95" s="99" t="str" cm="1">
        <f t="array" aca="1" ref="Z95" ca="1">IF($B95="","",IF(ISBLANK(INDIRECT("'R10.Documentos no web'!D"&amp;SUM(18,38*21,35))),"",INDIRECT("'R10.Documentos no web'!D"&amp;SUM(18,38*21,35))))</f>
        <v/>
      </c>
      <c r="AA95" s="99" t="str" cm="1">
        <f t="array" aca="1" ref="AA95" ca="1">IF($B95="","",IF(ISBLANK(INDIRECT("'R10.Documentos no web'!D"&amp;SUM(18,38*22,35))),"",INDIRECT("'R10.Documentos no web'!D"&amp;SUM(18,38*22,35))))</f>
        <v/>
      </c>
      <c r="AB95" s="99" t="str" cm="1">
        <f t="array" aca="1" ref="AB95" ca="1">IF($B95="","",IF(ISBLANK(INDIRECT("'R10.Documentos no web'!D"&amp;SUM(18,38*23,35))),"",INDIRECT("'R10.Documentos no web'!D"&amp;SUM(18,38*23,35))))</f>
        <v/>
      </c>
      <c r="AC95" s="99" t="str" cm="1">
        <f t="array" aca="1" ref="AC95" ca="1">IF($B95="","",IF(ISBLANK(INDIRECT("'R10.Documentos no web'!D"&amp;SUM(18,38*24,35))),"",INDIRECT("'R10.Documentos no web'!D"&amp;SUM(18,38*24,35))))</f>
        <v/>
      </c>
      <c r="AD95" s="99" t="str" cm="1">
        <f t="array" aca="1" ref="AD95" ca="1">IF($B95="","",IF(ISBLANK(INDIRECT("'R10.Documentos no web'!D"&amp;SUM(18,38*25,35))),"",INDIRECT("'R10.Documentos no web'!D"&amp;SUM(18,38*25,35))))</f>
        <v/>
      </c>
      <c r="AE95" s="99" t="str" cm="1">
        <f t="array" aca="1" ref="AE95" ca="1">IF($B95="","",IF(ISBLANK(INDIRECT("'R10.Documentos no web'!D"&amp;SUM(18,38*26,35))),"",INDIRECT("'R10.Documentos no web'!D"&amp;SUM(18,38*26,35))))</f>
        <v/>
      </c>
      <c r="AF95" s="99" t="str" cm="1">
        <f t="array" aca="1" ref="AF95" ca="1">IF($B95="","",IF(ISBLANK(INDIRECT("'R10.Documentos no web'!D"&amp;SUM(18,38*27,35))),"",INDIRECT("'R10.Documentos no web'!D"&amp;SUM(18,38*27,35))))</f>
        <v/>
      </c>
      <c r="AG95" s="99" t="str" cm="1">
        <f t="array" aca="1" ref="AG95" ca="1">IF($B95="","",IF(ISBLANK(INDIRECT("'R10.Documentos no web'!D"&amp;SUM(18,38*28,35))),"",INDIRECT("'R10.Documentos no web'!D"&amp;SUM(18,38*28,35))))</f>
        <v/>
      </c>
      <c r="AH95" s="99" t="str" cm="1">
        <f t="array" aca="1" ref="AH95" ca="1">IF($B95="","",IF(ISBLANK(INDIRECT("'R10.Documentos no web'!D"&amp;SUM(18,38*29,35))),"",INDIRECT("'R10.Documentos no web'!D"&amp;SUM(18,38*29,35))))</f>
        <v/>
      </c>
      <c r="AI95" s="99" t="str" cm="1">
        <f t="array" aca="1" ref="AI95" ca="1">IF($B95="","",IF(ISBLANK(INDIRECT("'R10.Documentos no web'!D"&amp;SUM(18,38*30,35))),"",INDIRECT("'R10.Documentos no web'!D"&amp;SUM(18,38*30,35))))</f>
        <v/>
      </c>
      <c r="AJ95" s="99" t="str" cm="1">
        <f t="array" aca="1" ref="AJ95" ca="1">IF($B95="","",IF(ISBLANK(INDIRECT("'R10.Documentos no web'!D"&amp;SUM(18,38*31,35))),"",INDIRECT("'R10.Documentos no web'!D"&amp;SUM(18,38*31,35))))</f>
        <v/>
      </c>
      <c r="AK95" s="99" t="str" cm="1">
        <f t="array" aca="1" ref="AK95" ca="1">IF($B95="","",IF(ISBLANK(INDIRECT("'R10.Documentos no web'!D"&amp;SUM(18,38*32,35))),"",INDIRECT("'R10.Documentos no web'!D"&amp;SUM(18,38*32,35))))</f>
        <v/>
      </c>
      <c r="AL95" s="99" t="str" cm="1">
        <f t="array" aca="1" ref="AL95" ca="1">IF($B95="","",IF(ISBLANK(INDIRECT("'R10.Documentos no web'!D"&amp;SUM(18,38*33,35))),"",INDIRECT("'R10.Documentos no web'!D"&amp;SUM(18,38*33,35))))</f>
        <v/>
      </c>
      <c r="AM95" s="99" t="str" cm="1">
        <f t="array" aca="1" ref="AM95" ca="1">IF($B95="","",IF(ISBLANK(INDIRECT("'R10.Documentos no web'!D"&amp;SUM(18,38*34,35))),"",INDIRECT("'R10.Documentos no web'!D"&amp;SUM(18,38*34,35))))</f>
        <v/>
      </c>
      <c r="AN95" s="99" t="str" cm="1">
        <f t="array" aca="1" ref="AN95" ca="1">IF($B95="","",IF(ISBLANK(INDIRECT("'R10.Documentos no web'!D"&amp;SUM(18,38*35,35))),"",INDIRECT("'R10.Documentos no web'!D"&amp;SUM(18,38*35,35))))</f>
        <v/>
      </c>
      <c r="AO95" s="99" t="str" cm="1">
        <f t="array" aca="1" ref="AO95" ca="1">IF($B95="","",IF(ISBLANK(INDIRECT("'R10.Documentos no web'!D"&amp;SUM(18,38*36,35))),"",INDIRECT("'R10.Documentos no web'!D"&amp;SUM(18,38*36,35))))</f>
        <v/>
      </c>
      <c r="AP95" s="99" t="str" cm="1">
        <f t="array" aca="1" ref="AP95" ca="1">IF($B95="","",IF(ISBLANK(INDIRECT("'R10.Documentos no web'!D"&amp;SUM(18,38*37,35))),"",INDIRECT("'R10.Documentos no web'!D"&amp;SUM(18,38*37,35))))</f>
        <v/>
      </c>
      <c r="AQ95" s="99" t="str" cm="1">
        <f t="array" aca="1" ref="AQ95" ca="1">IF($B95="","",IF(ISBLANK(INDIRECT("'R10.Documentos no web'!D"&amp;SUM(18,38*38,35))),"",INDIRECT("'R10.Documentos no web'!D"&amp;SUM(18,38*38,35))))</f>
        <v/>
      </c>
      <c r="AR95" s="99" t="str" cm="1">
        <f t="array" aca="1" ref="AR95" ca="1">IF($B95="","",IF(ISBLANK(INDIRECT("'R10.Documentos no web'!D"&amp;SUM(18,38*39,35))),"",INDIRECT("'R10.Documentos no web'!D"&amp;SUM(18,38*39,35))))</f>
        <v/>
      </c>
      <c r="AS95" s="99" t="str" cm="1">
        <f t="array" aca="1" ref="AS95" ca="1">IF($B95="","",IF(ISBLANK(INDIRECT("'R10.Documentos no web'!D"&amp;SUM(18,38*40,35))),"",INDIRECT("'R10.Documentos no web'!D"&amp;SUM(18,38*40,35))))</f>
        <v/>
      </c>
      <c r="AT95" s="99" t="str" cm="1">
        <f t="array" aca="1" ref="AT95" ca="1">IF($B95="","",IF(ISBLANK(INDIRECT("'R10.Documentos no web'!D"&amp;SUM(18,38*41,35))),"",INDIRECT("'R10.Documentos no web'!D"&amp;SUM(18,38*41,35))))</f>
        <v/>
      </c>
      <c r="AU95" s="99" t="str" cm="1">
        <f t="array" aca="1" ref="AU95" ca="1">IF($B95="","",IF(ISBLANK(INDIRECT("'R10.Documentos no web'!D"&amp;SUM(18,38*42,35))),"",INDIRECT("'R10.Documentos no web'!D"&amp;SUM(18,38*42,35))))</f>
        <v/>
      </c>
      <c r="AV95" s="99" t="str" cm="1">
        <f t="array" aca="1" ref="AV95" ca="1">IF($B95="","",IF(ISBLANK(INDIRECT("'R10.Documentos no web'!D"&amp;SUM(18,38*43,35))),"",INDIRECT("'R10.Documentos no web'!D"&amp;SUM(18,38*43,35))))</f>
        <v/>
      </c>
      <c r="AW95" s="99" t="str" cm="1">
        <f t="array" aca="1" ref="AW95" ca="1">IF($B95="","",IF(ISBLANK(INDIRECT("'R10.Documentos no web'!D"&amp;SUM(18,38*44,35))),"",INDIRECT("'R10.Documentos no web'!D"&amp;SUM(18,38*44,35))))</f>
        <v/>
      </c>
    </row>
    <row r="96" spans="2:49" ht="21.75" customHeight="1">
      <c r="B96" s="179"/>
      <c r="C96" s="30"/>
      <c r="D96" s="86" t="s">
        <v>154</v>
      </c>
      <c r="E96" s="87" t="str">
        <f ca="1">IF(OR('03.Muestra'!$D$45=0,COUNTIF('03.Muestra'!$D$8:'03.Muestra'!$D$42,"Documento no web")=0),"N/A", IF(COUNTIF(INDIRECT("'R10.Documentos no web'!$E"&amp;SUM(19,38*0)):INDIRECT("'R10.Documentos no web'!$E"&amp;SUM(53,38*0)),"ERR")&gt;0,"ERROR", IF(COUNTIF(E61:E95,"N/T")&gt;0, "EN CURSO", IF(COUNTIF(E61:E95,"N/D") &gt; 0,"EN CURSO", IF(COUNT($B61:$B95) = COUNTIF(E61:E95,"N/A"), "N/A", IF(COUNTIF(E61:E95,"Falla")&gt;('DATA - Oculta'!$C$25*((COUNTIF(E61:E95,"Pasa")+COUNTIF(E61:E95,"Falla")))), "NO CONFORME","CONFORME"))))))</f>
        <v>EN CURSO</v>
      </c>
      <c r="F96" s="87" t="str">
        <f ca="1">IF(OR('03.Muestra'!$D$45=0,COUNTIF('03.Muestra'!$D$8:'03.Muestra'!$D$42,"Documento no web")=0),"N/A", IF(COUNTIF(INDIRECT("'R10.Documentos no web'!$E"&amp;SUM(19,38*0)):INDIRECT("'R10.Documentos no web'!$E"&amp;SUM(53,38*0)),"ERR")&gt;0,"ERROR", IF(COUNTIF(F61:F95,"N/T")&gt;0, "EN CURSO", IF(COUNTIF(F61:F95,"N/D") &gt; 0,"EN CURSO", IF(COUNT($B61:$B95) = COUNTIF(F61:F95,"N/A"), "N/A", IF(COUNTIF(F61:F95,"Falla")&gt;('DATA - Oculta'!$C$25*((COUNTIF(F61:F95,"Pasa")+COUNTIF(F61:F95,"Falla")))), "NO CONFORME","CONFORME"))))))</f>
        <v>EN CURSO</v>
      </c>
      <c r="G96" s="87" t="str">
        <f ca="1">IF(OR('03.Muestra'!$D$45=0,COUNTIF('03.Muestra'!$D$8:'03.Muestra'!$D$42,"Documento no web")=0),"N/A", IF(COUNTIF(INDIRECT("'R10.Documentos no web'!$E"&amp;SUM(19,38*0)):INDIRECT("'R10.Documentos no web'!$E"&amp;SUM(53,38*0)),"ERR")&gt;0,"ERROR", IF(COUNTIF(G61:G95,"N/T")&gt;0, "EN CURSO", IF(COUNTIF(G61:G95,"N/D") &gt; 0,"EN CURSO", IF(COUNT($B61:$B95) = COUNTIF(G61:G95,"N/A"), "N/A", IF(COUNTIF(G61:G95,"Falla")&gt;('DATA - Oculta'!$C$25*((COUNTIF(G61:G95,"Pasa")+COUNTIF(G61:G95,"Falla")))), "NO CONFORME","CONFORME"))))))</f>
        <v>EN CURSO</v>
      </c>
      <c r="H96" s="87" t="str">
        <f ca="1">IF(OR('03.Muestra'!$D$45=0,COUNTIF('03.Muestra'!$D$8:'03.Muestra'!$D$42,"Documento no web")=0),"N/A", IF(COUNTIF(INDIRECT("'R10.Documentos no web'!$E"&amp;SUM(19,38*0)):INDIRECT("'R10.Documentos no web'!$E"&amp;SUM(53,38*0)),"ERR")&gt;0,"ERROR", IF(COUNTIF(H61:H95,"N/T")&gt;0, "EN CURSO", IF(COUNTIF(H61:H95,"N/D") &gt; 0,"EN CURSO", IF(COUNT($B61:$B95) = COUNTIF(H61:H95,"N/A"), "N/A", IF(COUNTIF(H61:H95,"Falla")&gt;('DATA - Oculta'!$C$25*((COUNTIF(H61:H95,"Pasa")+COUNTIF(H61:H95,"Falla")))), "NO CONFORME","CONFORME"))))))</f>
        <v>EN CURSO</v>
      </c>
      <c r="I96" s="87" t="str">
        <f ca="1">IF(OR('03.Muestra'!$D$45=0,COUNTIF('03.Muestra'!$D$8:'03.Muestra'!$D$42,"Documento no web")=0),"N/A", IF(COUNTIF(INDIRECT("'R10.Documentos no web'!$E"&amp;SUM(19,38*0)):INDIRECT("'R10.Documentos no web'!$E"&amp;SUM(53,38*0)),"ERR")&gt;0,"ERROR", IF(COUNTIF(I61:I95,"N/T")&gt;0, "EN CURSO", IF(COUNTIF(I61:I95,"N/D") &gt; 0,"EN CURSO", IF(COUNT($B61:$B95) = COUNTIF(I61:I95,"N/A"), "N/A", IF(COUNTIF(I61:I95,"Falla")&gt;('DATA - Oculta'!$C$25*((COUNTIF(I61:I95,"Pasa")+COUNTIF(I61:I95,"Falla")))), "NO CONFORME","CONFORME"))))))</f>
        <v>EN CURSO</v>
      </c>
      <c r="J96" s="87" t="str">
        <f ca="1">IF(OR('03.Muestra'!$D$45=0,COUNTIF('03.Muestra'!$D$8:'03.Muestra'!$D$42,"Documento no web")=0),"N/A", IF(COUNTIF(INDIRECT("'R10.Documentos no web'!$E"&amp;SUM(19,38*0)):INDIRECT("'R10.Documentos no web'!$E"&amp;SUM(53,38*0)),"ERR")&gt;0,"ERROR", IF(COUNTIF(J61:J95,"N/T")&gt;0, "EN CURSO", IF(COUNTIF(J61:J95,"N/D") &gt; 0,"EN CURSO", IF(COUNT($B61:$B95) = COUNTIF(J61:J95,"N/A"), "N/A", IF(COUNTIF(J61:J95,"Falla")&gt;('DATA - Oculta'!$C$25*((COUNTIF(J61:J95,"Pasa")+COUNTIF(J61:J95,"Falla")))), "NO CONFORME","CONFORME"))))))</f>
        <v>NO CONFORME</v>
      </c>
      <c r="K96" s="87" t="str">
        <f ca="1">IF(OR('03.Muestra'!$D$45=0,COUNTIF('03.Muestra'!$D$8:'03.Muestra'!$D$42,"Documento no web")=0),"N/A", IF(COUNTIF(INDIRECT("'R10.Documentos no web'!$E"&amp;SUM(19,38*0)):INDIRECT("'R10.Documentos no web'!$E"&amp;SUM(53,38*0)),"ERR")&gt;0,"ERROR", IF(COUNTIF(K61:K95,"N/T")&gt;0, "EN CURSO", IF(COUNTIF(K61:K95,"N/D") &gt; 0,"EN CURSO", IF(COUNT($B61:$B95) = COUNTIF(K61:K95,"N/A"), "N/A", IF(COUNTIF(K61:K95,"Falla")&gt;('DATA - Oculta'!$C$25*((COUNTIF(K61:K95,"Pasa")+COUNTIF(K61:K95,"Falla")))), "NO CONFORME","CONFORME"))))))</f>
        <v>EN CURSO</v>
      </c>
      <c r="L96" s="87" t="str">
        <f ca="1">IF(OR('03.Muestra'!$D$45=0,COUNTIF('03.Muestra'!$D$8:'03.Muestra'!$D$42,"Documento no web")=0),"N/A", IF(COUNTIF(INDIRECT("'R10.Documentos no web'!$E"&amp;SUM(19,38*0)):INDIRECT("'R10.Documentos no web'!$E"&amp;SUM(53,38*0)),"ERR")&gt;0,"ERROR", IF(COUNTIF(L61:L95,"N/T")&gt;0, "EN CURSO", IF(COUNTIF(L61:L95,"N/D") &gt; 0,"EN CURSO", IF(COUNT($B61:$B95) = COUNTIF(L61:L95,"N/A"), "N/A", IF(COUNTIF(L61:L95,"Falla")&gt;('DATA - Oculta'!$C$25*((COUNTIF(L61:L95,"Pasa")+COUNTIF(L61:L95,"Falla")))), "NO CONFORME","CONFORME"))))))</f>
        <v>EN CURSO</v>
      </c>
      <c r="M96" s="87" t="str">
        <f ca="1">IF(OR('03.Muestra'!$D$45=0,COUNTIF('03.Muestra'!$D$8:'03.Muestra'!$D$42,"Documento no web")=0),"N/A", IF(COUNTIF(INDIRECT("'R10.Documentos no web'!$E"&amp;SUM(19,38*0)):INDIRECT("'R10.Documentos no web'!$E"&amp;SUM(53,38*0)),"ERR")&gt;0,"ERROR", IF(COUNTIF(M61:M95,"N/T")&gt;0, "EN CURSO", IF(COUNTIF(M61:M95,"N/D") &gt; 0,"EN CURSO", IF(COUNT($B61:$B95) = COUNTIF(M61:M95,"N/A"), "N/A", IF(COUNTIF(M61:M95,"Falla")&gt;('DATA - Oculta'!$C$25*((COUNTIF(M61:M95,"Pasa")+COUNTIF(M61:M95,"Falla")))), "NO CONFORME","CONFORME"))))))</f>
        <v>EN CURSO</v>
      </c>
      <c r="N96" s="87" t="str">
        <f ca="1">IF(OR('03.Muestra'!$D$45=0,COUNTIF('03.Muestra'!$D$8:'03.Muestra'!$D$42,"Documento no web")=0),"N/A", IF(COUNTIF(INDIRECT("'R10.Documentos no web'!$E"&amp;SUM(19,38*0)):INDIRECT("'R10.Documentos no web'!$E"&amp;SUM(53,38*0)),"ERR")&gt;0,"ERROR", IF(COUNTIF(N61:N95,"N/T")&gt;0, "EN CURSO", IF(COUNTIF(N61:N95,"N/D") &gt; 0,"EN CURSO", IF(COUNT($B61:$B95) = COUNTIF(N61:N95,"N/A"), "N/A", IF(COUNTIF(N61:N95,"Falla")&gt;('DATA - Oculta'!$C$25*((COUNTIF(N61:N95,"Pasa")+COUNTIF(N61:N95,"Falla")))), "NO CONFORME","CONFORME"))))))</f>
        <v>EN CURSO</v>
      </c>
      <c r="O96" s="87" t="str">
        <f ca="1">IF(OR('03.Muestra'!$D$45=0,COUNTIF('03.Muestra'!$D$8:'03.Muestra'!$D$42,"Documento no web")=0),"N/A", IF(COUNTIF(INDIRECT("'R10.Documentos no web'!$E"&amp;SUM(19,38*0)):INDIRECT("'R10.Documentos no web'!$E"&amp;SUM(53,38*0)),"ERR")&gt;0,"ERROR", IF(COUNTIF(O61:O95,"N/T")&gt;0, "EN CURSO", IF(COUNTIF(O61:O95,"N/D") &gt; 0,"EN CURSO", IF(COUNT($B61:$B95) = COUNTIF(O61:O95,"N/A"), "N/A", IF(COUNTIF(O61:O95,"Falla")&gt;('DATA - Oculta'!$C$25*((COUNTIF(O61:O95,"Pasa")+COUNTIF(O61:O95,"Falla")))), "NO CONFORME","CONFORME"))))))</f>
        <v>EN CURSO</v>
      </c>
      <c r="P96" s="87" t="str">
        <f ca="1">IF(OR('03.Muestra'!$D$45=0,COUNTIF('03.Muestra'!$D$8:'03.Muestra'!$D$42,"Documento no web")=0),"N/A", IF(COUNTIF(INDIRECT("'R10.Documentos no web'!$E"&amp;SUM(19,38*0)):INDIRECT("'R10.Documentos no web'!$E"&amp;SUM(53,38*0)),"ERR")&gt;0,"ERROR", IF(COUNTIF(P61:P95,"N/T")&gt;0, "EN CURSO", IF(COUNTIF(P61:P95,"N/D") &gt; 0,"EN CURSO", IF(COUNT($B61:$B95) = COUNTIF(P61:P95,"N/A"), "N/A", IF(COUNTIF(P61:P95,"Falla")&gt;('DATA - Oculta'!$C$25*((COUNTIF(P61:P95,"Pasa")+COUNTIF(P61:P95,"Falla")))), "NO CONFORME","CONFORME"))))))</f>
        <v>EN CURSO</v>
      </c>
      <c r="Q96" s="87" t="str">
        <f ca="1">IF(OR('03.Muestra'!$D$45=0,COUNTIF('03.Muestra'!$D$8:'03.Muestra'!$D$42,"Documento no web")=0),"N/A", IF(COUNTIF(INDIRECT("'R10.Documentos no web'!$E"&amp;SUM(19,38*0)):INDIRECT("'R10.Documentos no web'!$E"&amp;SUM(53,38*0)),"ERR")&gt;0,"ERROR", IF(COUNTIF(Q61:Q95,"N/T")&gt;0, "EN CURSO", IF(COUNTIF(Q61:Q95,"N/D") &gt; 0,"EN CURSO", IF(COUNT($B61:$B95) = COUNTIF(Q61:Q95,"N/A"), "N/A", IF(COUNTIF(Q61:Q95,"Falla")&gt;('DATA - Oculta'!$C$25*((COUNTIF(Q61:Q95,"Pasa")+COUNTIF(Q61:Q95,"Falla")))), "NO CONFORME","CONFORME"))))))</f>
        <v>EN CURSO</v>
      </c>
      <c r="R96" s="87" t="str">
        <f ca="1">IF(OR('03.Muestra'!$D$45=0,COUNTIF('03.Muestra'!$D$8:'03.Muestra'!$D$42,"Documento no web")=0),"N/A", IF(COUNTIF(INDIRECT("'R10.Documentos no web'!$E"&amp;SUM(19,38*0)):INDIRECT("'R10.Documentos no web'!$E"&amp;SUM(53,38*0)),"ERR")&gt;0,"ERROR", IF(COUNTIF(R61:R95,"N/T")&gt;0, "EN CURSO", IF(COUNTIF(R61:R95,"N/D") &gt; 0,"EN CURSO", IF(COUNT($B61:$B95) = COUNTIF(R61:R95,"N/A"), "N/A", IF(COUNTIF(R61:R95,"Falla")&gt;('DATA - Oculta'!$C$25*((COUNTIF(R61:R95,"Pasa")+COUNTIF(R61:R95,"Falla")))), "NO CONFORME","CONFORME"))))))</f>
        <v>EN CURSO</v>
      </c>
      <c r="S96" s="87" t="str">
        <f ca="1">IF(OR('03.Muestra'!$D$45=0,COUNTIF('03.Muestra'!$D$8:'03.Muestra'!$D$42,"Documento no web")=0),"N/A", IF(COUNTIF(INDIRECT("'R10.Documentos no web'!$E"&amp;SUM(19,38*0)):INDIRECT("'R10.Documentos no web'!$E"&amp;SUM(53,38*0)),"ERR")&gt;0,"ERROR", IF(COUNTIF(S61:S95,"N/T")&gt;0, "EN CURSO", IF(COUNTIF(S61:S95,"N/D") &gt; 0,"EN CURSO", IF(COUNT($B61:$B95) = COUNTIF(S61:S95,"N/A"), "N/A", IF(COUNTIF(S61:S95,"Falla")&gt;('DATA - Oculta'!$C$25*((COUNTIF(S61:S95,"Pasa")+COUNTIF(S61:S95,"Falla")))), "NO CONFORME","CONFORME"))))))</f>
        <v>EN CURSO</v>
      </c>
      <c r="T96" s="87" t="str">
        <f ca="1">IF(OR('03.Muestra'!$D$45=0,COUNTIF('03.Muestra'!$D$8:'03.Muestra'!$D$42,"Documento no web")=0),"N/A", IF(COUNTIF(INDIRECT("'R10.Documentos no web'!$E"&amp;SUM(19,38*0)):INDIRECT("'R10.Documentos no web'!$E"&amp;SUM(53,38*0)),"ERR")&gt;0,"ERROR", IF(COUNTIF(T61:T95,"N/T")&gt;0, "EN CURSO", IF(COUNTIF(T61:T95,"N/D") &gt; 0,"EN CURSO", IF(COUNT($B61:$B95) = COUNTIF(T61:T95,"N/A"), "N/A", IF(COUNTIF(T61:T95,"Falla")&gt;('DATA - Oculta'!$C$25*((COUNTIF(T61:T95,"Pasa")+COUNTIF(T61:T95,"Falla")))), "NO CONFORME","CONFORME"))))))</f>
        <v>EN CURSO</v>
      </c>
      <c r="U96" s="87" t="str">
        <f ca="1">IF(OR('03.Muestra'!$D$45=0,COUNTIF('03.Muestra'!$D$8:'03.Muestra'!$D$42,"Documento no web")=0),"N/A", IF(COUNTIF(INDIRECT("'R10.Documentos no web'!$E"&amp;SUM(19,38*0)):INDIRECT("'R10.Documentos no web'!$E"&amp;SUM(53,38*0)),"ERR")&gt;0,"ERROR", IF(COUNTIF(U61:U95,"N/T")&gt;0, "EN CURSO", IF(COUNTIF(U61:U95,"N/D") &gt; 0,"EN CURSO", IF(COUNT($B61:$B95) = COUNTIF(U61:U95,"N/A"), "N/A", IF(COUNTIF(U61:U95,"Falla")&gt;('DATA - Oculta'!$C$25*((COUNTIF(U61:U95,"Pasa")+COUNTIF(U61:U95,"Falla")))), "NO CONFORME","CONFORME"))))))</f>
        <v>EN CURSO</v>
      </c>
      <c r="V96" s="87" t="str">
        <f ca="1">IF(OR('03.Muestra'!$D$45=0,COUNTIF('03.Muestra'!$D$8:'03.Muestra'!$D$42,"Documento no web")=0),"N/A", IF(COUNTIF(INDIRECT("'R10.Documentos no web'!$E"&amp;SUM(19,38*0)):INDIRECT("'R10.Documentos no web'!$E"&amp;SUM(53,38*0)),"ERR")&gt;0,"ERROR", IF(COUNTIF(V61:V95,"N/T")&gt;0, "EN CURSO", IF(COUNTIF(V61:V95,"N/D") &gt; 0,"EN CURSO", IF(COUNT($B61:$B95) = COUNTIF(V61:V95,"N/A"), "N/A", IF(COUNTIF(V61:V95,"Falla")&gt;('DATA - Oculta'!$C$25*((COUNTIF(V61:V95,"Pasa")+COUNTIF(V61:V95,"Falla")))), "NO CONFORME","CONFORME"))))))</f>
        <v>EN CURSO</v>
      </c>
      <c r="W96" s="87" t="str">
        <f ca="1">IF(OR('03.Muestra'!$D$45=0,COUNTIF('03.Muestra'!$D$8:'03.Muestra'!$D$42,"Documento no web")=0),"N/A", IF(COUNTIF(INDIRECT("'R10.Documentos no web'!$E"&amp;SUM(19,38*0)):INDIRECT("'R10.Documentos no web'!$E"&amp;SUM(53,38*0)),"ERR")&gt;0,"ERROR", IF(COUNTIF(W61:W95,"N/T")&gt;0, "EN CURSO", IF(COUNTIF(W61:W95,"N/D") &gt; 0,"EN CURSO", IF(COUNT($B61:$B95) = COUNTIF(W61:W95,"N/A"), "N/A", IF(COUNTIF(W61:W95,"Falla")&gt;('DATA - Oculta'!$C$25*((COUNTIF(W61:W95,"Pasa")+COUNTIF(W61:W95,"Falla")))), "NO CONFORME","CONFORME"))))))</f>
        <v>EN CURSO</v>
      </c>
      <c r="X96" s="87" t="str">
        <f ca="1">IF(OR('03.Muestra'!$D$45=0,COUNTIF('03.Muestra'!$D$8:'03.Muestra'!$D$42,"Documento no web")=0),"N/A", IF(COUNTIF(INDIRECT("'R10.Documentos no web'!$E"&amp;SUM(19,38*0)):INDIRECT("'R10.Documentos no web'!$E"&amp;SUM(53,38*0)),"ERR")&gt;0,"ERROR", IF(COUNTIF(X61:X95,"N/T")&gt;0, "EN CURSO", IF(COUNTIF(X61:X95,"N/D") &gt; 0,"EN CURSO", IF(COUNT($B61:$B95) = COUNTIF(X61:X95,"N/A"), "N/A", IF(COUNTIF(X61:X95,"Falla")&gt;('DATA - Oculta'!$C$25*((COUNTIF(X61:X95,"Pasa")+COUNTIF(X61:X95,"Falla")))), "NO CONFORME","CONFORME"))))))</f>
        <v>EN CURSO</v>
      </c>
      <c r="Y96" s="87" t="str">
        <f ca="1">IF(OR('03.Muestra'!$D$45=0,COUNTIF('03.Muestra'!$D$8:'03.Muestra'!$D$42,"Documento no web")=0),"N/A", IF(COUNTIF(INDIRECT("'R10.Documentos no web'!$E"&amp;SUM(19,38*0)):INDIRECT("'R10.Documentos no web'!$E"&amp;SUM(53,38*0)),"ERR")&gt;0,"ERROR", IF(COUNTIF(Y61:Y95,"N/T")&gt;0, "EN CURSO", IF(COUNTIF(Y61:Y95,"N/D") &gt; 0,"EN CURSO", IF(COUNT($B61:$B95) = COUNTIF(Y61:Y95,"N/A"), "N/A", IF(COUNTIF(Y61:Y95,"Falla")&gt;('DATA - Oculta'!$C$25*((COUNTIF(Y61:Y95,"Pasa")+COUNTIF(Y61:Y95,"Falla")))), "NO CONFORME","CONFORME"))))))</f>
        <v>EN CURSO</v>
      </c>
      <c r="Z96" s="87" t="str">
        <f ca="1">IF(OR('03.Muestra'!$D$45=0,COUNTIF('03.Muestra'!$D$8:'03.Muestra'!$D$42,"Documento no web")=0),"N/A", IF(COUNTIF(INDIRECT("'R10.Documentos no web'!$E"&amp;SUM(19,38*0)):INDIRECT("'R10.Documentos no web'!$E"&amp;SUM(53,38*0)),"ERR")&gt;0,"ERROR", IF(COUNTIF(Z61:Z95,"N/T")&gt;0, "EN CURSO", IF(COUNTIF(Z61:Z95,"N/D") &gt; 0,"EN CURSO", IF(COUNT($B61:$B95) = COUNTIF(Z61:Z95,"N/A"), "N/A", IF(COUNTIF(Z61:Z95,"Falla")&gt;('DATA - Oculta'!$C$25*((COUNTIF(Z61:Z95,"Pasa")+COUNTIF(Z61:Z95,"Falla")))), "NO CONFORME","CONFORME"))))))</f>
        <v>EN CURSO</v>
      </c>
      <c r="AA96" s="87" t="str">
        <f ca="1">IF(OR('03.Muestra'!$D$45=0,COUNTIF('03.Muestra'!$D$8:'03.Muestra'!$D$42,"Documento no web")=0),"N/A", IF(COUNTIF(INDIRECT("'R10.Documentos no web'!$E"&amp;SUM(19,38*0)):INDIRECT("'R10.Documentos no web'!$E"&amp;SUM(53,38*0)),"ERR")&gt;0,"ERROR", IF(COUNTIF(AA61:AA95,"N/T")&gt;0, "EN CURSO", IF(COUNTIF(AA61:AA95,"N/D") &gt; 0,"EN CURSO", IF(COUNT($B61:$B95) = COUNTIF(AA61:AA95,"N/A"), "N/A", IF(COUNTIF(AA61:AA95,"Falla")&gt;('DATA - Oculta'!$C$25*((COUNTIF(AA61:AA95,"Pasa")+COUNTIF(AA61:AA95,"Falla")))), "NO CONFORME","CONFORME"))))))</f>
        <v>EN CURSO</v>
      </c>
      <c r="AB96" s="87" t="str">
        <f ca="1">IF(OR('03.Muestra'!$D$45=0,COUNTIF('03.Muestra'!$D$8:'03.Muestra'!$D$42,"Documento no web")=0),"N/A", IF(COUNTIF(INDIRECT("'R10.Documentos no web'!$E"&amp;SUM(19,38*0)):INDIRECT("'R10.Documentos no web'!$E"&amp;SUM(53,38*0)),"ERR")&gt;0,"ERROR", IF(COUNTIF(AB61:AB95,"N/T")&gt;0, "EN CURSO", IF(COUNTIF(AB61:AB95,"N/D") &gt; 0,"EN CURSO", IF(COUNT($B61:$B95) = COUNTIF(AB61:AB95,"N/A"), "N/A", IF(COUNTIF(AB61:AB95,"Falla")&gt;('DATA - Oculta'!$C$25*((COUNTIF(AB61:AB95,"Pasa")+COUNTIF(AB61:AB95,"Falla")))), "NO CONFORME","CONFORME"))))))</f>
        <v>EN CURSO</v>
      </c>
      <c r="AC96" s="87" t="str">
        <f ca="1">IF(OR('03.Muestra'!$D$45=0,COUNTIF('03.Muestra'!$D$8:'03.Muestra'!$D$42,"Documento no web")=0),"N/A", IF(COUNTIF(INDIRECT("'R10.Documentos no web'!$E"&amp;SUM(19,38*0)):INDIRECT("'R10.Documentos no web'!$E"&amp;SUM(53,38*0)),"ERR")&gt;0,"ERROR", IF(COUNTIF(AC61:AC95,"N/T")&gt;0, "EN CURSO", IF(COUNTIF(AC61:AC95,"N/D") &gt; 0,"EN CURSO", IF(COUNT($B61:$B95) = COUNTIF(AC61:AC95,"N/A"), "N/A", IF(COUNTIF(AC61:AC95,"Falla")&gt;('DATA - Oculta'!$C$25*((COUNTIF(AC61:AC95,"Pasa")+COUNTIF(AC61:AC95,"Falla")))), "NO CONFORME","CONFORME"))))))</f>
        <v>EN CURSO</v>
      </c>
      <c r="AD96" s="87" t="str">
        <f ca="1">IF(OR('03.Muestra'!$D$45=0,COUNTIF('03.Muestra'!$D$8:'03.Muestra'!$D$42,"Documento no web")=0),"N/A", IF(COUNTIF(INDIRECT("'R10.Documentos no web'!$E"&amp;SUM(19,38*0)):INDIRECT("'R10.Documentos no web'!$E"&amp;SUM(53,38*0)),"ERR")&gt;0,"ERROR", IF(COUNTIF(AD61:AD95,"N/T")&gt;0, "EN CURSO", IF(COUNTIF(AD61:AD95,"N/D") &gt; 0,"EN CURSO", IF(COUNT($B61:$B95) = COUNTIF(AD61:AD95,"N/A"), "N/A", IF(COUNTIF(AD61:AD95,"Falla")&gt;('DATA - Oculta'!$C$25*((COUNTIF(AD61:AD95,"Pasa")+COUNTIF(AD61:AD95,"Falla")))), "NO CONFORME","CONFORME"))))))</f>
        <v>NO CONFORME</v>
      </c>
      <c r="AE96" s="87" t="str">
        <f ca="1">IF(OR('03.Muestra'!$D$45=0,COUNTIF('03.Muestra'!$D$8:'03.Muestra'!$D$42,"Documento no web")=0),"N/A", IF(COUNTIF(INDIRECT("'R10.Documentos no web'!$E"&amp;SUM(19,38*0)):INDIRECT("'R10.Documentos no web'!$E"&amp;SUM(53,38*0)),"ERR")&gt;0,"ERROR", IF(COUNTIF(AE61:AE95,"N/T")&gt;0, "EN CURSO", IF(COUNTIF(AE61:AE95,"N/D") &gt; 0,"EN CURSO", IF(COUNT($B61:$B95) = COUNTIF(AE61:AE95,"N/A"), "N/A", IF(COUNTIF(AE61:AE95,"Falla")&gt;('DATA - Oculta'!$C$25*((COUNTIF(AE61:AE95,"Pasa")+COUNTIF(AE61:AE95,"Falla")))), "NO CONFORME","CONFORME"))))))</f>
        <v>EN CURSO</v>
      </c>
      <c r="AF96" s="87" t="str">
        <f ca="1">IF(OR('03.Muestra'!$D$45=0,COUNTIF('03.Muestra'!$D$8:'03.Muestra'!$D$42,"Documento no web")=0),"N/A", IF(COUNTIF(INDIRECT("'R10.Documentos no web'!$E"&amp;SUM(19,38*0)):INDIRECT("'R10.Documentos no web'!$E"&amp;SUM(53,38*0)),"ERR")&gt;0,"ERROR", IF(COUNTIF(AF61:AF95,"N/T")&gt;0, "EN CURSO", IF(COUNTIF(AF61:AF95,"N/D") &gt; 0,"EN CURSO", IF(COUNT($B61:$B95) = COUNTIF(AF61:AF95,"N/A"), "N/A", IF(COUNTIF(AF61:AF95,"Falla")&gt;('DATA - Oculta'!$C$25*((COUNTIF(AF61:AF95,"Pasa")+COUNTIF(AF61:AF95,"Falla")))), "NO CONFORME","CONFORME"))))))</f>
        <v>EN CURSO</v>
      </c>
      <c r="AG96" s="87" t="str">
        <f ca="1">IF(OR('03.Muestra'!$D$45=0,COUNTIF('03.Muestra'!$D$8:'03.Muestra'!$D$42,"Documento no web")=0),"N/A", IF(COUNTIF(INDIRECT("'R10.Documentos no web'!$E"&amp;SUM(19,38*0)):INDIRECT("'R10.Documentos no web'!$E"&amp;SUM(53,38*0)),"ERR")&gt;0,"ERROR", IF(COUNTIF(AG61:AG95,"N/T")&gt;0, "EN CURSO", IF(COUNTIF(AG61:AG95,"N/D") &gt; 0,"EN CURSO", IF(COUNT($B61:$B95) = COUNTIF(AG61:AG95,"N/A"), "N/A", IF(COUNTIF(AG61:AG95,"Falla")&gt;('DATA - Oculta'!$C$25*((COUNTIF(AG61:AG95,"Pasa")+COUNTIF(AG61:AG95,"Falla")))), "NO CONFORME","CONFORME"))))))</f>
        <v>EN CURSO</v>
      </c>
      <c r="AH96" s="87" t="str">
        <f ca="1">IF(OR('03.Muestra'!$D$45=0,COUNTIF('03.Muestra'!$D$8:'03.Muestra'!$D$42,"Documento no web")=0),"N/A", IF(COUNTIF(INDIRECT("'R10.Documentos no web'!$E"&amp;SUM(19,38*0)):INDIRECT("'R10.Documentos no web'!$E"&amp;SUM(53,38*0)),"ERR")&gt;0,"ERROR", IF(COUNTIF(AH61:AH95,"N/T")&gt;0, "EN CURSO", IF(COUNTIF(AH61:AH95,"N/D") &gt; 0,"EN CURSO", IF(COUNT($B61:$B95) = COUNTIF(AH61:AH95,"N/A"), "N/A", IF(COUNTIF(AH61:AH95,"Falla")&gt;('DATA - Oculta'!$C$25*((COUNTIF(AH61:AH95,"Pasa")+COUNTIF(AH61:AH95,"Falla")))), "NO CONFORME","CONFORME"))))))</f>
        <v>EN CURSO</v>
      </c>
      <c r="AI96" s="87" t="str">
        <f ca="1">IF(OR('03.Muestra'!$D$45=0,COUNTIF('03.Muestra'!$D$8:'03.Muestra'!$D$42,"Documento no web")=0),"N/A", IF(COUNTIF(INDIRECT("'R10.Documentos no web'!$E"&amp;SUM(19,38*0)):INDIRECT("'R10.Documentos no web'!$E"&amp;SUM(53,38*0)),"ERR")&gt;0,"ERROR", IF(COUNTIF(AI61:AI95,"N/T")&gt;0, "EN CURSO", IF(COUNTIF(AI61:AI95,"N/D") &gt; 0,"EN CURSO", IF(COUNT($B61:$B95) = COUNTIF(AI61:AI95,"N/A"), "N/A", IF(COUNTIF(AI61:AI95,"Falla")&gt;('DATA - Oculta'!$C$25*((COUNTIF(AI61:AI95,"Pasa")+COUNTIF(AI61:AI95,"Falla")))), "NO CONFORME","CONFORME"))))))</f>
        <v>EN CURSO</v>
      </c>
      <c r="AJ96" s="87" t="str">
        <f ca="1">IF(OR('03.Muestra'!$D$45=0,COUNTIF('03.Muestra'!$D$8:'03.Muestra'!$D$42,"Documento no web")=0),"N/A", IF(COUNTIF(INDIRECT("'R10.Documentos no web'!$E"&amp;SUM(19,38*0)):INDIRECT("'R10.Documentos no web'!$E"&amp;SUM(53,38*0)),"ERR")&gt;0,"ERROR", IF(COUNTIF(AJ61:AJ95,"N/T")&gt;0, "EN CURSO", IF(COUNTIF(AJ61:AJ95,"N/D") &gt; 0,"EN CURSO", IF(COUNT($B61:$B95) = COUNTIF(AJ61:AJ95,"N/A"), "N/A", IF(COUNTIF(AJ61:AJ95,"Falla")&gt;('DATA - Oculta'!$C$25*((COUNTIF(AJ61:AJ95,"Pasa")+COUNTIF(AJ61:AJ95,"Falla")))), "NO CONFORME","CONFORME"))))))</f>
        <v>EN CURSO</v>
      </c>
      <c r="AK96" s="87" t="str">
        <f ca="1">IF(OR('03.Muestra'!$D$45=0,COUNTIF('03.Muestra'!$D$8:'03.Muestra'!$D$42,"Documento no web")=0),"N/A", IF(COUNTIF(INDIRECT("'R10.Documentos no web'!$E"&amp;SUM(19,38*0)):INDIRECT("'R10.Documentos no web'!$E"&amp;SUM(53,38*0)),"ERR")&gt;0,"ERROR", IF(COUNTIF(AK61:AK95,"N/T")&gt;0, "EN CURSO", IF(COUNTIF(AK61:AK95,"N/D") &gt; 0,"EN CURSO", IF(COUNT($B61:$B95) = COUNTIF(AK61:AK95,"N/A"), "N/A", IF(COUNTIF(AK61:AK95,"Falla")&gt;('DATA - Oculta'!$C$25*((COUNTIF(AK61:AK95,"Pasa")+COUNTIF(AK61:AK95,"Falla")))), "NO CONFORME","CONFORME"))))))</f>
        <v>EN CURSO</v>
      </c>
      <c r="AL96" s="87" t="str">
        <f ca="1">IF(OR('03.Muestra'!$D$45=0,COUNTIF('03.Muestra'!$D$8:'03.Muestra'!$D$42,"Documento no web")=0),"N/A", IF(COUNTIF(INDIRECT("'R10.Documentos no web'!$E"&amp;SUM(19,38*0)):INDIRECT("'R10.Documentos no web'!$E"&amp;SUM(53,38*0)),"ERR")&gt;0,"ERROR", IF(COUNTIF(AL61:AL95,"N/T")&gt;0, "EN CURSO", IF(COUNTIF(AL61:AL95,"N/D") &gt; 0,"EN CURSO", IF(COUNT($B61:$B95) = COUNTIF(AL61:AL95,"N/A"), "N/A", IF(COUNTIF(AL61:AL95,"Falla")&gt;('DATA - Oculta'!$C$25*((COUNTIF(AL61:AL95,"Pasa")+COUNTIF(AL61:AL95,"Falla")))), "NO CONFORME","CONFORME"))))))</f>
        <v>EN CURSO</v>
      </c>
      <c r="AM96" s="87" t="str">
        <f ca="1">IF(OR('03.Muestra'!$D$45=0,COUNTIF('03.Muestra'!$D$8:'03.Muestra'!$D$42,"Documento no web")=0),"N/A", IF(COUNTIF(INDIRECT("'R10.Documentos no web'!$E"&amp;SUM(19,38*0)):INDIRECT("'R10.Documentos no web'!$E"&amp;SUM(53,38*0)),"ERR")&gt;0,"ERROR", IF(COUNTIF(AM61:AM95,"N/T")&gt;0, "EN CURSO", IF(COUNTIF(AM61:AM95,"N/D") &gt; 0,"EN CURSO", IF(COUNT($B61:$B95) = COUNTIF(AM61:AM95,"N/A"), "N/A", IF(COUNTIF(AM61:AM95,"Falla")&gt;('DATA - Oculta'!$C$25*((COUNTIF(AM61:AM95,"Pasa")+COUNTIF(AM61:AM95,"Falla")))), "NO CONFORME","CONFORME"))))))</f>
        <v>EN CURSO</v>
      </c>
      <c r="AN96" s="87" t="str">
        <f ca="1">IF(OR('03.Muestra'!$D$45=0,COUNTIF('03.Muestra'!$D$8:'03.Muestra'!$D$42,"Documento no web")=0),"N/A", IF(COUNTIF(INDIRECT("'R10.Documentos no web'!$E"&amp;SUM(19,38*0)):INDIRECT("'R10.Documentos no web'!$E"&amp;SUM(53,38*0)),"ERR")&gt;0,"ERROR", IF(COUNTIF(AN61:AN95,"N/T")&gt;0, "EN CURSO", IF(COUNTIF(AN61:AN95,"N/D") &gt; 0,"EN CURSO", IF(COUNT($B61:$B95) = COUNTIF(AN61:AN95,"N/A"), "N/A", IF(COUNTIF(AN61:AN95,"Falla")&gt;('DATA - Oculta'!$C$25*((COUNTIF(AN61:AN95,"Pasa")+COUNTIF(AN61:AN95,"Falla")))), "NO CONFORME","CONFORME"))))))</f>
        <v>EN CURSO</v>
      </c>
      <c r="AO96" s="87" t="str">
        <f ca="1">IF(OR('03.Muestra'!$D$45=0,COUNTIF('03.Muestra'!$D$8:'03.Muestra'!$D$42,"Documento no web")=0),"N/A", IF(COUNTIF(INDIRECT("'R10.Documentos no web'!$E"&amp;SUM(19,38*0)):INDIRECT("'R10.Documentos no web'!$E"&amp;SUM(53,38*0)),"ERR")&gt;0,"ERROR", IF(COUNTIF(AO61:AO95,"N/T")&gt;0, "EN CURSO", IF(COUNTIF(AO61:AO95,"N/D") &gt; 0,"EN CURSO", IF(COUNT($B61:$B95) = COUNTIF(AO61:AO95,"N/A"), "N/A", IF(COUNTIF(AO61:AO95,"Falla")&gt;('DATA - Oculta'!$C$25*((COUNTIF(AO61:AO95,"Pasa")+COUNTIF(AO61:AO95,"Falla")))), "NO CONFORME","CONFORME"))))))</f>
        <v>EN CURSO</v>
      </c>
      <c r="AP96" s="87" t="str">
        <f ca="1">IF(OR('03.Muestra'!$D$45=0,COUNTIF('03.Muestra'!$D$8:'03.Muestra'!$D$42,"Documento no web")=0),"N/A", IF(COUNTIF(INDIRECT("'R10.Documentos no web'!$E"&amp;SUM(19,38*0)):INDIRECT("'R10.Documentos no web'!$E"&amp;SUM(53,38*0)),"ERR")&gt;0,"ERROR", IF(COUNTIF(AP61:AP95,"N/T")&gt;0, "EN CURSO", IF(COUNTIF(AP61:AP95,"N/D") &gt; 0,"EN CURSO", IF(COUNT($B61:$B95) = COUNTIF(AP61:AP95,"N/A"), "N/A", IF(COUNTIF(AP61:AP95,"Falla")&gt;('DATA - Oculta'!$C$25*((COUNTIF(AP61:AP95,"Pasa")+COUNTIF(AP61:AP95,"Falla")))), "NO CONFORME","CONFORME"))))))</f>
        <v>EN CURSO</v>
      </c>
      <c r="AQ96" s="87" t="str">
        <f ca="1">IF(OR('03.Muestra'!$D$45=0,COUNTIF('03.Muestra'!$D$8:'03.Muestra'!$D$42,"Documento no web")=0),"N/A", IF(COUNTIF(INDIRECT("'R10.Documentos no web'!$E"&amp;SUM(19,38*0)):INDIRECT("'R10.Documentos no web'!$E"&amp;SUM(53,38*0)),"ERR")&gt;0,"ERROR", IF(COUNTIF(AQ61:AQ95,"N/T")&gt;0, "EN CURSO", IF(COUNTIF(AQ61:AQ95,"N/D") &gt; 0,"EN CURSO", IF(COUNT($B61:$B95) = COUNTIF(AQ61:AQ95,"N/A"), "N/A", IF(COUNTIF(AQ61:AQ95,"Falla")&gt;('DATA - Oculta'!$C$25*((COUNTIF(AQ61:AQ95,"Pasa")+COUNTIF(AQ61:AQ95,"Falla")))), "NO CONFORME","CONFORME"))))))</f>
        <v>EN CURSO</v>
      </c>
      <c r="AR96" s="87" t="str">
        <f ca="1">IF(OR('03.Muestra'!$D$45=0,COUNTIF('03.Muestra'!$D$8:'03.Muestra'!$D$42,"Documento no web")=0),"N/A", IF(COUNTIF(INDIRECT("'R10.Documentos no web'!$E"&amp;SUM(19,38*0)):INDIRECT("'R10.Documentos no web'!$E"&amp;SUM(53,38*0)),"ERR")&gt;0,"ERROR", IF(COUNTIF(AR61:AR95,"N/T")&gt;0, "EN CURSO", IF(COUNTIF(AR61:AR95,"N/D") &gt; 0,"EN CURSO", IF(COUNT($B61:$B95) = COUNTIF(AR61:AR95,"N/A"), "N/A", IF(COUNTIF(AR61:AR95,"Falla")&gt;('DATA - Oculta'!$C$25*((COUNTIF(AR61:AR95,"Pasa")+COUNTIF(AR61:AR95,"Falla")))), "NO CONFORME","CONFORME"))))))</f>
        <v>EN CURSO</v>
      </c>
      <c r="AS96" s="87" t="str">
        <f ca="1">IF(OR('03.Muestra'!$D$45=0,COUNTIF('03.Muestra'!$D$8:'03.Muestra'!$D$42,"Documento no web")=0),"N/A", IF(COUNTIF(INDIRECT("'R10.Documentos no web'!$E"&amp;SUM(19,38*0)):INDIRECT("'R10.Documentos no web'!$E"&amp;SUM(53,38*0)),"ERR")&gt;0,"ERROR", IF(COUNTIF(AS61:AS95,"N/T")&gt;0, "EN CURSO", IF(COUNTIF(AS61:AS95,"N/D") &gt; 0,"EN CURSO", IF(COUNT($B61:$B95) = COUNTIF(AS61:AS95,"N/A"), "N/A", IF(COUNTIF(AS61:AS95,"Falla")&gt;('DATA - Oculta'!$C$25*((COUNTIF(AS61:AS95,"Pasa")+COUNTIF(AS61:AS95,"Falla")))), "NO CONFORME","CONFORME"))))))</f>
        <v>EN CURSO</v>
      </c>
      <c r="AT96" s="87" t="str">
        <f ca="1">IF(OR('03.Muestra'!$D$45=0,COUNTIF('03.Muestra'!$D$8:'03.Muestra'!$D$42,"Documento no web")=0),"N/A", IF(COUNTIF(INDIRECT("'R10.Documentos no web'!$E"&amp;SUM(19,38*0)):INDIRECT("'R10.Documentos no web'!$E"&amp;SUM(53,38*0)),"ERR")&gt;0,"ERROR", IF(COUNTIF(AT61:AT95,"N/T")&gt;0, "EN CURSO", IF(COUNTIF(AT61:AT95,"N/D") &gt; 0,"EN CURSO", IF(COUNT($B61:$B95) = COUNTIF(AT61:AT95,"N/A"), "N/A", IF(COUNTIF(AT61:AT95,"Falla")&gt;('DATA - Oculta'!$C$25*((COUNTIF(AT61:AT95,"Pasa")+COUNTIF(AT61:AT95,"Falla")))), "NO CONFORME","CONFORME"))))))</f>
        <v>EN CURSO</v>
      </c>
      <c r="AU96" s="87" t="str">
        <f ca="1">IF(OR('03.Muestra'!$D$45=0,COUNTIF('03.Muestra'!$D$8:'03.Muestra'!$D$42,"Documento no web")=0),"N/A", IF(COUNTIF(INDIRECT("'R10.Documentos no web'!$E"&amp;SUM(19,38*0)):INDIRECT("'R10.Documentos no web'!$E"&amp;SUM(53,38*0)),"ERR")&gt;0,"ERROR", IF(COUNTIF(AU61:AU95,"N/T")&gt;0, "EN CURSO", IF(COUNTIF(AU61:AU95,"N/D") &gt; 0,"EN CURSO", IF(COUNT($B61:$B95) = COUNTIF(AU61:AU95,"N/A"), "N/A", IF(COUNTIF(AU61:AU95,"Falla")&gt;('DATA - Oculta'!$C$25*((COUNTIF(AU61:AU95,"Pasa")+COUNTIF(AU61:AU95,"Falla")))), "NO CONFORME","CONFORME"))))))</f>
        <v>EN CURSO</v>
      </c>
      <c r="AV96" s="87" t="str">
        <f ca="1">IF(OR('03.Muestra'!$D$45=0,COUNTIF('03.Muestra'!$D$8:'03.Muestra'!$D$42,"Documento no web")=0),"N/A", IF(COUNTIF(INDIRECT("'R10.Documentos no web'!$E"&amp;SUM(19,38*0)):INDIRECT("'R10.Documentos no web'!$E"&amp;SUM(53,38*0)),"ERR")&gt;0,"ERROR", IF(COUNTIF(AV61:AV95,"N/T")&gt;0, "EN CURSO", IF(COUNTIF(AV61:AV95,"N/D") &gt; 0,"EN CURSO", IF(COUNT($B61:$B95) = COUNTIF(AV61:AV95,"N/A"), "N/A", IF(COUNTIF(AV61:AV95,"Falla")&gt;('DATA - Oculta'!$C$25*((COUNTIF(AV61:AV95,"Pasa")+COUNTIF(AV61:AV95,"Falla")))), "NO CONFORME","CONFORME"))))))</f>
        <v>NO CONFORME</v>
      </c>
      <c r="AW96" s="87" t="str">
        <f ca="1">IF(OR('03.Muestra'!$D$45=0,COUNTIF('03.Muestra'!$D$8:'03.Muestra'!$D$42,"Documento no web")=0),"N/A", IF(COUNTIF(INDIRECT("'R10.Documentos no web'!$E"&amp;SUM(19,38*0)):INDIRECT("'R10.Documentos no web'!$E"&amp;SUM(53,38*0)),"ERR")&gt;0,"ERROR", IF(COUNTIF(AW61:AW95,"N/T")&gt;0, "EN CURSO", IF(COUNTIF(AW61:AW95,"N/D") &gt; 0,"EN CURSO", IF(COUNT($B61:$B95) = COUNTIF(AW61:AW95,"N/A"), "N/A", IF(COUNTIF(AW61:AW95,"Falla")&gt;('DATA - Oculta'!$C$25*((COUNTIF(AW61:AW95,"Pasa")+COUNTIF(AW61:AW95,"Falla")))), "NO CONFORME","CONFORME"))))))</f>
        <v>EN CURSO</v>
      </c>
    </row>
  </sheetData>
  <sheetCalcPr fullCalcOnLoad="true"/>
  <sheetProtection password="DC4E" sheet="true" scenarios="true" objects="true"/>
  <mergeCells count="15">
    <mergeCell ref="B59:D59"/>
    <mergeCell ref="B17:D17"/>
    <mergeCell ref="B58:D58"/>
    <mergeCell ref="K6:M6"/>
    <mergeCell ref="B18:D18"/>
    <mergeCell ref="O6:Q6"/>
    <mergeCell ref="C7:D7"/>
    <mergeCell ref="C8:D8"/>
    <mergeCell ref="F14:I14"/>
    <mergeCell ref="C11:D11"/>
    <mergeCell ref="C9:D9"/>
    <mergeCell ref="F13:I13"/>
    <mergeCell ref="K13:L13"/>
    <mergeCell ref="K14:L14"/>
    <mergeCell ref="C10:D10"/>
  </mergeCells>
  <phoneticPr fontId="60" type="noConversion"/>
  <conditionalFormatting sqref="E61:AW95 CF20:CF54 CH20:CR54">
    <cfRule type="cellIs" dxfId="117" priority="779" operator="equal">
      <formula>"Pasa"</formula>
    </cfRule>
    <cfRule type="cellIs" dxfId="116" priority="780" operator="equal">
      <formula>"Falla"</formula>
    </cfRule>
    <cfRule type="cellIs" dxfId="115" priority="781" operator="equal">
      <formula>"N/A"</formula>
    </cfRule>
    <cfRule type="cellIs" dxfId="114" priority="782" operator="equal">
      <formula>"N/T"</formula>
    </cfRule>
    <cfRule type="cellIs" dxfId="113" priority="783" operator="equal">
      <formula>"N/D"</formula>
    </cfRule>
  </conditionalFormatting>
  <conditionalFormatting sqref="E55:CR55 E96:AW96">
    <cfRule type="cellIs" dxfId="112" priority="784" operator="equal">
      <formula>"CONFORME"</formula>
    </cfRule>
    <cfRule type="cellIs" dxfId="111" priority="785" operator="equal">
      <formula>"NO CONFORME"</formula>
    </cfRule>
    <cfRule type="cellIs" dxfId="110" priority="786" operator="equal">
      <formula>"ERROR"</formula>
    </cfRule>
    <cfRule type="cellIs" dxfId="109" priority="787" operator="equal">
      <formula>"N/A"</formula>
    </cfRule>
  </conditionalFormatting>
  <conditionalFormatting sqref="CU20">
    <cfRule type="cellIs" dxfId="108" priority="788" operator="equal">
      <formula>"FALLA"</formula>
    </cfRule>
    <cfRule type="cellIs" dxfId="107" priority="789" operator="equal">
      <formula>"PASA"</formula>
    </cfRule>
  </conditionalFormatting>
  <conditionalFormatting sqref="K14:L14">
    <cfRule type="cellIs" dxfId="106" priority="290" operator="equal">
      <formula>"SI"</formula>
    </cfRule>
    <cfRule type="cellIs" dxfId="105" priority="291" operator="equal">
      <formula>"NO"</formula>
    </cfRule>
  </conditionalFormatting>
  <conditionalFormatting sqref="E20:H54 T20:AC54 BK20:BL54 BN20:BV54 BY20:CD54 AF20:BH54">
    <cfRule type="cellIs" dxfId="104" priority="105" operator="equal">
      <formula>"Pasa"</formula>
    </cfRule>
    <cfRule type="cellIs" dxfId="103" priority="106" operator="equal">
      <formula>"Falla"</formula>
    </cfRule>
    <cfRule type="cellIs" dxfId="102" priority="107" operator="equal">
      <formula>"N/A"</formula>
    </cfRule>
    <cfRule type="cellIs" dxfId="101" priority="108" operator="equal">
      <formula>"N/T"</formula>
    </cfRule>
    <cfRule type="cellIs" dxfId="100" priority="109" operator="equal">
      <formula>"N/D"</formula>
    </cfRule>
  </conditionalFormatting>
  <conditionalFormatting sqref="S20:S54">
    <cfRule type="cellIs" dxfId="99" priority="100" operator="equal">
      <formula>"Pasa"</formula>
    </cfRule>
    <cfRule type="cellIs" dxfId="98" priority="101" operator="equal">
      <formula>"Falla"</formula>
    </cfRule>
    <cfRule type="cellIs" dxfId="97" priority="102" operator="equal">
      <formula>"N/A"</formula>
    </cfRule>
    <cfRule type="cellIs" dxfId="96" priority="103" operator="equal">
      <formula>"N/T"</formula>
    </cfRule>
    <cfRule type="cellIs" dxfId="95" priority="104" operator="equal">
      <formula>"N/D"</formula>
    </cfRule>
  </conditionalFormatting>
  <conditionalFormatting sqref="R20:R54">
    <cfRule type="cellIs" dxfId="94" priority="95" operator="equal">
      <formula>"Pasa"</formula>
    </cfRule>
    <cfRule type="cellIs" dxfId="93" priority="96" operator="equal">
      <formula>"Falla"</formula>
    </cfRule>
    <cfRule type="cellIs" dxfId="92" priority="97" operator="equal">
      <formula>"N/A"</formula>
    </cfRule>
    <cfRule type="cellIs" dxfId="91" priority="98" operator="equal">
      <formula>"N/T"</formula>
    </cfRule>
    <cfRule type="cellIs" dxfId="90" priority="99" operator="equal">
      <formula>"N/D"</formula>
    </cfRule>
  </conditionalFormatting>
  <conditionalFormatting sqref="Q20:Q54">
    <cfRule type="cellIs" dxfId="89" priority="90" operator="equal">
      <formula>"Pasa"</formula>
    </cfRule>
    <cfRule type="cellIs" dxfId="88" priority="91" operator="equal">
      <formula>"Falla"</formula>
    </cfRule>
    <cfRule type="cellIs" dxfId="87" priority="92" operator="equal">
      <formula>"N/A"</formula>
    </cfRule>
    <cfRule type="cellIs" dxfId="86" priority="93" operator="equal">
      <formula>"N/T"</formula>
    </cfRule>
    <cfRule type="cellIs" dxfId="85" priority="94" operator="equal">
      <formula>"N/D"</formula>
    </cfRule>
  </conditionalFormatting>
  <conditionalFormatting sqref="P20:P54">
    <cfRule type="cellIs" dxfId="84" priority="85" operator="equal">
      <formula>"Pasa"</formula>
    </cfRule>
    <cfRule type="cellIs" dxfId="83" priority="86" operator="equal">
      <formula>"Falla"</formula>
    </cfRule>
    <cfRule type="cellIs" dxfId="82" priority="87" operator="equal">
      <formula>"N/A"</formula>
    </cfRule>
    <cfRule type="cellIs" dxfId="81" priority="88" operator="equal">
      <formula>"N/T"</formula>
    </cfRule>
    <cfRule type="cellIs" dxfId="80" priority="89" operator="equal">
      <formula>"N/D"</formula>
    </cfRule>
  </conditionalFormatting>
  <conditionalFormatting sqref="O20:O54">
    <cfRule type="cellIs" dxfId="79" priority="80" operator="equal">
      <formula>"Pasa"</formula>
    </cfRule>
    <cfRule type="cellIs" dxfId="78" priority="81" operator="equal">
      <formula>"Falla"</formula>
    </cfRule>
    <cfRule type="cellIs" dxfId="77" priority="82" operator="equal">
      <formula>"N/A"</formula>
    </cfRule>
    <cfRule type="cellIs" dxfId="76" priority="83" operator="equal">
      <formula>"N/T"</formula>
    </cfRule>
    <cfRule type="cellIs" dxfId="75" priority="84" operator="equal">
      <formula>"N/D"</formula>
    </cfRule>
  </conditionalFormatting>
  <conditionalFormatting sqref="N20:N54">
    <cfRule type="cellIs" dxfId="74" priority="75" operator="equal">
      <formula>"Pasa"</formula>
    </cfRule>
    <cfRule type="cellIs" dxfId="73" priority="76" operator="equal">
      <formula>"Falla"</formula>
    </cfRule>
    <cfRule type="cellIs" dxfId="72" priority="77" operator="equal">
      <formula>"N/A"</formula>
    </cfRule>
    <cfRule type="cellIs" dxfId="71" priority="78" operator="equal">
      <formula>"N/T"</formula>
    </cfRule>
    <cfRule type="cellIs" dxfId="70" priority="79" operator="equal">
      <formula>"N/D"</formula>
    </cfRule>
  </conditionalFormatting>
  <conditionalFormatting sqref="M20:M54">
    <cfRule type="cellIs" dxfId="69" priority="70" operator="equal">
      <formula>"Pasa"</formula>
    </cfRule>
    <cfRule type="cellIs" dxfId="68" priority="71" operator="equal">
      <formula>"Falla"</formula>
    </cfRule>
    <cfRule type="cellIs" dxfId="67" priority="72" operator="equal">
      <formula>"N/A"</formula>
    </cfRule>
    <cfRule type="cellIs" dxfId="66" priority="73" operator="equal">
      <formula>"N/T"</formula>
    </cfRule>
    <cfRule type="cellIs" dxfId="65" priority="74" operator="equal">
      <formula>"N/D"</formula>
    </cfRule>
  </conditionalFormatting>
  <conditionalFormatting sqref="L20:L54">
    <cfRule type="cellIs" dxfId="64" priority="65" operator="equal">
      <formula>"Pasa"</formula>
    </cfRule>
    <cfRule type="cellIs" dxfId="63" priority="66" operator="equal">
      <formula>"Falla"</formula>
    </cfRule>
    <cfRule type="cellIs" dxfId="62" priority="67" operator="equal">
      <formula>"N/A"</formula>
    </cfRule>
    <cfRule type="cellIs" dxfId="61" priority="68" operator="equal">
      <formula>"N/T"</formula>
    </cfRule>
    <cfRule type="cellIs" dxfId="60" priority="69" operator="equal">
      <formula>"N/D"</formula>
    </cfRule>
  </conditionalFormatting>
  <conditionalFormatting sqref="K20:K54">
    <cfRule type="cellIs" dxfId="59" priority="60" operator="equal">
      <formula>"Pasa"</formula>
    </cfRule>
    <cfRule type="cellIs" dxfId="58" priority="61" operator="equal">
      <formula>"Falla"</formula>
    </cfRule>
    <cfRule type="cellIs" dxfId="57" priority="62" operator="equal">
      <formula>"N/A"</formula>
    </cfRule>
    <cfRule type="cellIs" dxfId="56" priority="63" operator="equal">
      <formula>"N/T"</formula>
    </cfRule>
    <cfRule type="cellIs" dxfId="55" priority="64" operator="equal">
      <formula>"N/D"</formula>
    </cfRule>
  </conditionalFormatting>
  <conditionalFormatting sqref="J20:J54">
    <cfRule type="cellIs" dxfId="54" priority="55" operator="equal">
      <formula>"Pasa"</formula>
    </cfRule>
    <cfRule type="cellIs" dxfId="53" priority="56" operator="equal">
      <formula>"Falla"</formula>
    </cfRule>
    <cfRule type="cellIs" dxfId="52" priority="57" operator="equal">
      <formula>"N/A"</formula>
    </cfRule>
    <cfRule type="cellIs" dxfId="51" priority="58" operator="equal">
      <formula>"N/T"</formula>
    </cfRule>
    <cfRule type="cellIs" dxfId="50" priority="59" operator="equal">
      <formula>"N/D"</formula>
    </cfRule>
  </conditionalFormatting>
  <conditionalFormatting sqref="I20:I54">
    <cfRule type="cellIs" dxfId="49" priority="50" operator="equal">
      <formula>"Pasa"</formula>
    </cfRule>
    <cfRule type="cellIs" dxfId="48" priority="51" operator="equal">
      <formula>"Falla"</formula>
    </cfRule>
    <cfRule type="cellIs" dxfId="47" priority="52" operator="equal">
      <formula>"N/A"</formula>
    </cfRule>
    <cfRule type="cellIs" dxfId="46" priority="53" operator="equal">
      <formula>"N/T"</formula>
    </cfRule>
    <cfRule type="cellIs" dxfId="45" priority="54" operator="equal">
      <formula>"N/D"</formula>
    </cfRule>
  </conditionalFormatting>
  <conditionalFormatting sqref="AE20:AE54">
    <cfRule type="cellIs" dxfId="44" priority="45" operator="equal">
      <formula>"Pasa"</formula>
    </cfRule>
    <cfRule type="cellIs" dxfId="43" priority="46" operator="equal">
      <formula>"Falla"</formula>
    </cfRule>
    <cfRule type="cellIs" dxfId="42" priority="47" operator="equal">
      <formula>"N/A"</formula>
    </cfRule>
    <cfRule type="cellIs" dxfId="41" priority="48" operator="equal">
      <formula>"N/T"</formula>
    </cfRule>
    <cfRule type="cellIs" dxfId="40" priority="49" operator="equal">
      <formula>"N/D"</formula>
    </cfRule>
  </conditionalFormatting>
  <conditionalFormatting sqref="AD20:AD54">
    <cfRule type="cellIs" dxfId="39" priority="40" operator="equal">
      <formula>"Pasa"</formula>
    </cfRule>
    <cfRule type="cellIs" dxfId="38" priority="41" operator="equal">
      <formula>"Falla"</formula>
    </cfRule>
    <cfRule type="cellIs" dxfId="37" priority="42" operator="equal">
      <formula>"N/A"</formula>
    </cfRule>
    <cfRule type="cellIs" dxfId="36" priority="43" operator="equal">
      <formula>"N/T"</formula>
    </cfRule>
    <cfRule type="cellIs" dxfId="35" priority="44" operator="equal">
      <formula>"N/D"</formula>
    </cfRule>
  </conditionalFormatting>
  <conditionalFormatting sqref="BJ20:BJ54">
    <cfRule type="cellIs" dxfId="34" priority="35" operator="equal">
      <formula>"Pasa"</formula>
    </cfRule>
    <cfRule type="cellIs" dxfId="33" priority="36" operator="equal">
      <formula>"Falla"</formula>
    </cfRule>
    <cfRule type="cellIs" dxfId="32" priority="37" operator="equal">
      <formula>"N/A"</formula>
    </cfRule>
    <cfRule type="cellIs" dxfId="31" priority="38" operator="equal">
      <formula>"N/T"</formula>
    </cfRule>
    <cfRule type="cellIs" dxfId="30" priority="39" operator="equal">
      <formula>"N/D"</formula>
    </cfRule>
  </conditionalFormatting>
  <conditionalFormatting sqref="BI20:BI54">
    <cfRule type="cellIs" dxfId="29" priority="30" operator="equal">
      <formula>"Pasa"</formula>
    </cfRule>
    <cfRule type="cellIs" dxfId="28" priority="31" operator="equal">
      <formula>"Falla"</formula>
    </cfRule>
    <cfRule type="cellIs" dxfId="27" priority="32" operator="equal">
      <formula>"N/A"</formula>
    </cfRule>
    <cfRule type="cellIs" dxfId="26" priority="33" operator="equal">
      <formula>"N/T"</formula>
    </cfRule>
    <cfRule type="cellIs" dxfId="25" priority="34" operator="equal">
      <formula>"N/D"</formula>
    </cfRule>
  </conditionalFormatting>
  <conditionalFormatting sqref="BM20:BM54">
    <cfRule type="cellIs" dxfId="24" priority="25" operator="equal">
      <formula>"Pasa"</formula>
    </cfRule>
    <cfRule type="cellIs" dxfId="23" priority="26" operator="equal">
      <formula>"Falla"</formula>
    </cfRule>
    <cfRule type="cellIs" dxfId="22" priority="27" operator="equal">
      <formula>"N/A"</formula>
    </cfRule>
    <cfRule type="cellIs" dxfId="21" priority="28" operator="equal">
      <formula>"N/T"</formula>
    </cfRule>
    <cfRule type="cellIs" dxfId="20" priority="29" operator="equal">
      <formula>"N/D"</formula>
    </cfRule>
  </conditionalFormatting>
  <conditionalFormatting sqref="BX20:BX54">
    <cfRule type="cellIs" dxfId="19" priority="20" operator="equal">
      <formula>"Pasa"</formula>
    </cfRule>
    <cfRule type="cellIs" dxfId="18" priority="21" operator="equal">
      <formula>"Falla"</formula>
    </cfRule>
    <cfRule type="cellIs" dxfId="17" priority="22" operator="equal">
      <formula>"N/A"</formula>
    </cfRule>
    <cfRule type="cellIs" dxfId="16" priority="23" operator="equal">
      <formula>"N/T"</formula>
    </cfRule>
    <cfRule type="cellIs" dxfId="15" priority="24" operator="equal">
      <formula>"N/D"</formula>
    </cfRule>
  </conditionalFormatting>
  <conditionalFormatting sqref="BW20:BW54">
    <cfRule type="cellIs" dxfId="14" priority="15" operator="equal">
      <formula>"Pasa"</formula>
    </cfRule>
    <cfRule type="cellIs" dxfId="13" priority="16" operator="equal">
      <formula>"Falla"</formula>
    </cfRule>
    <cfRule type="cellIs" dxfId="12" priority="17" operator="equal">
      <formula>"N/A"</formula>
    </cfRule>
    <cfRule type="cellIs" dxfId="11" priority="18" operator="equal">
      <formula>"N/T"</formula>
    </cfRule>
    <cfRule type="cellIs" dxfId="10" priority="19" operator="equal">
      <formula>"N/D"</formula>
    </cfRule>
  </conditionalFormatting>
  <conditionalFormatting sqref="CE20:CE54">
    <cfRule type="cellIs" dxfId="9" priority="10" operator="equal">
      <formula>"Pasa"</formula>
    </cfRule>
    <cfRule type="cellIs" dxfId="8" priority="11" operator="equal">
      <formula>"Falla"</formula>
    </cfRule>
    <cfRule type="cellIs" dxfId="7" priority="12" operator="equal">
      <formula>"N/A"</formula>
    </cfRule>
    <cfRule type="cellIs" dxfId="6" priority="13" operator="equal">
      <formula>"N/T"</formula>
    </cfRule>
    <cfRule type="cellIs" dxfId="5" priority="14" operator="equal">
      <formula>"N/D"</formula>
    </cfRule>
  </conditionalFormatting>
  <conditionalFormatting sqref="CG20:CG54">
    <cfRule type="cellIs" dxfId="4" priority="1" operator="equal">
      <formula>"Pasa"</formula>
    </cfRule>
    <cfRule type="cellIs" dxfId="3" priority="2" operator="equal">
      <formula>"Falla"</formula>
    </cfRule>
    <cfRule type="cellIs" dxfId="2" priority="3" operator="equal">
      <formula>"N/A"</formula>
    </cfRule>
    <cfRule type="cellIs" dxfId="1" priority="4" operator="equal">
      <formula>"N/T"</formula>
    </cfRule>
    <cfRule type="cellIs" dxfId="0" priority="5" operator="equal">
      <formula>"N/D"</formula>
    </cfRule>
  </conditionalFormatting>
  <printOptions horizontalCentered="1" verticalCentered="1"/>
  <pageMargins left="0.39370078740157483" right="0.39370078740157483" top="0.43307086614173229" bottom="0.43307086614173229" header="0" footer="0"/>
  <pageSetup paperSize="9" scale="40" firstPageNumber="0" pageOrder="overThenDown" orientation="landscape" horizontalDpi="300" verticalDpi="300" r:id="rId1"/>
  <headerFooter>
    <oddHeader>&amp;C&amp;A</oddHeader>
    <oddFooter>&amp;CPage &amp;P</oddFooter>
  </headerFooter>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
  <dimension ref="A1:BL8"/>
  <sheetViews>
    <sheetView topLeftCell="A6" zoomScale="90" zoomScaleNormal="90" workbookViewId="0">
      <selection activeCell="B6" sqref="B6:N8"/>
    </sheetView>
  </sheetViews>
  <sheetFormatPr baseColWidth="10" defaultRowHeight="12.75"/>
  <cols>
    <col min="13" max="13" customWidth="true" width="12.28515625" collapsed="false"/>
    <col min="14" max="14" customWidth="true" width="13.42578125" collapsed="false"/>
  </cols>
  <sheetData>
    <row r="1" spans="1:64" s="40" customFormat="1" ht="25.35" customHeight="1">
      <c r="A1" s="27"/>
      <c r="B1" s="4" t="s">
        <v>0</v>
      </c>
      <c r="C1" s="3"/>
      <c r="D1" s="3"/>
      <c r="E1" s="3"/>
      <c r="F1" s="3"/>
      <c r="G1" s="3"/>
      <c r="H1" s="3"/>
      <c r="I1" s="3"/>
      <c r="J1" s="3"/>
      <c r="K1" s="3"/>
      <c r="L1" s="3"/>
      <c r="M1" s="3"/>
      <c r="N1" s="131"/>
      <c r="O1" s="3"/>
      <c r="P1" s="3"/>
      <c r="Q1" s="3"/>
      <c r="R1" s="3"/>
      <c r="S1" s="3"/>
      <c r="T1" s="3"/>
      <c r="U1" s="3"/>
      <c r="V1" s="3"/>
      <c r="W1" s="3"/>
      <c r="X1" s="3"/>
      <c r="Y1" s="3"/>
      <c r="Z1" s="3"/>
    </row>
    <row r="2" spans="1:64" s="40" customFormat="1" ht="23.65" customHeight="1">
      <c r="A2" s="27"/>
      <c r="B2" s="5" t="s">
        <v>278</v>
      </c>
      <c r="C2" s="3"/>
      <c r="D2" s="3"/>
      <c r="E2" s="3"/>
      <c r="F2" s="3"/>
      <c r="G2" s="3"/>
      <c r="H2" s="3"/>
      <c r="I2" s="3"/>
      <c r="J2" s="3"/>
      <c r="K2" s="3"/>
      <c r="L2" s="3"/>
      <c r="M2" s="3"/>
      <c r="N2" s="3"/>
      <c r="O2" s="3"/>
      <c r="P2" s="3"/>
      <c r="Q2" s="3"/>
      <c r="R2" s="3"/>
      <c r="S2" s="3"/>
      <c r="T2" s="3"/>
      <c r="U2" s="3"/>
      <c r="V2" s="3"/>
      <c r="W2" s="3"/>
      <c r="X2" s="3"/>
      <c r="Y2" s="3"/>
      <c r="Z2" s="3"/>
    </row>
    <row r="3" spans="1:64" s="40" customFormat="1" ht="23.65" customHeight="1">
      <c r="A3" s="27"/>
      <c r="B3" s="5"/>
      <c r="C3" s="3"/>
      <c r="D3" s="3"/>
      <c r="E3" s="3"/>
      <c r="F3" s="3"/>
      <c r="G3" s="3"/>
      <c r="H3" s="3"/>
      <c r="I3" s="3"/>
      <c r="J3" s="3"/>
      <c r="K3" s="3"/>
      <c r="L3" s="3"/>
      <c r="M3" s="3"/>
      <c r="N3" s="3"/>
      <c r="O3" s="3"/>
      <c r="P3" s="3"/>
      <c r="Q3" s="3"/>
      <c r="R3" s="3"/>
      <c r="S3" s="3"/>
      <c r="T3" s="3"/>
      <c r="U3" s="3"/>
      <c r="V3" s="3"/>
      <c r="W3" s="3"/>
      <c r="X3" s="3"/>
      <c r="Y3" s="3"/>
      <c r="Z3" s="3"/>
    </row>
    <row r="4" spans="1:64" s="40" customFormat="1" ht="28.35" customHeight="1">
      <c r="B4" s="291" t="s">
        <v>89</v>
      </c>
      <c r="C4" s="291"/>
      <c r="D4" s="291"/>
      <c r="E4" s="291"/>
      <c r="F4" s="291"/>
      <c r="G4" s="291"/>
      <c r="H4" s="291"/>
      <c r="I4" s="291"/>
      <c r="J4" s="291"/>
      <c r="K4" s="291"/>
      <c r="L4" s="291"/>
      <c r="M4" s="291"/>
      <c r="N4" s="291"/>
      <c r="O4" s="9"/>
      <c r="P4" s="9"/>
      <c r="Q4" s="9"/>
      <c r="R4" s="9"/>
      <c r="S4" s="9"/>
      <c r="T4" s="9"/>
      <c r="U4" s="9"/>
      <c r="V4" s="9"/>
      <c r="W4" s="9"/>
      <c r="X4" s="9"/>
      <c r="Y4" s="9"/>
      <c r="Z4" s="9"/>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row>
    <row r="5" spans="1:64" s="40" customFormat="1" ht="24.75" customHeight="1">
      <c r="A5" s="27"/>
      <c r="B5" s="5"/>
      <c r="C5" s="3"/>
      <c r="D5" s="3"/>
      <c r="E5" s="3"/>
      <c r="F5" s="3"/>
      <c r="G5" s="3"/>
      <c r="H5" s="3"/>
      <c r="I5" s="3"/>
      <c r="J5" s="3"/>
      <c r="K5" s="3"/>
      <c r="L5" s="3"/>
      <c r="M5" s="3"/>
      <c r="N5" s="3"/>
      <c r="O5" s="3"/>
      <c r="P5" s="3"/>
      <c r="Q5" s="3"/>
      <c r="R5" s="3"/>
      <c r="S5" s="3"/>
      <c r="T5" s="3"/>
      <c r="U5" s="3"/>
      <c r="V5" s="3"/>
      <c r="W5" s="3"/>
      <c r="X5" s="3"/>
      <c r="Y5" s="3"/>
      <c r="Z5" s="3"/>
    </row>
    <row r="6" spans="1:64" s="40" customFormat="1" ht="366" customHeight="1">
      <c r="B6" s="289" t="s">
        <v>479</v>
      </c>
      <c r="C6" s="289"/>
      <c r="D6" s="289"/>
      <c r="E6" s="289"/>
      <c r="F6" s="289"/>
      <c r="G6" s="289"/>
      <c r="H6" s="289"/>
      <c r="I6" s="289"/>
      <c r="J6" s="289"/>
      <c r="K6" s="289"/>
      <c r="L6" s="289"/>
      <c r="M6" s="289"/>
      <c r="N6" s="289"/>
    </row>
    <row r="7" spans="1:64" ht="172.5" customHeight="1">
      <c r="A7" s="40"/>
      <c r="B7" s="290"/>
      <c r="C7" s="290"/>
      <c r="D7" s="290"/>
      <c r="E7" s="290"/>
      <c r="F7" s="290"/>
      <c r="G7" s="290"/>
      <c r="H7" s="290"/>
      <c r="I7" s="290"/>
      <c r="J7" s="290"/>
      <c r="K7" s="290"/>
      <c r="L7" s="290"/>
      <c r="M7" s="290"/>
      <c r="N7" s="290"/>
      <c r="O7" s="40"/>
      <c r="P7" s="40"/>
      <c r="Q7" s="40"/>
      <c r="R7" s="40"/>
      <c r="S7" s="40"/>
      <c r="T7" s="40"/>
      <c r="U7" s="40"/>
      <c r="V7" s="40"/>
      <c r="W7" s="40"/>
      <c r="X7" s="40"/>
      <c r="Y7" s="40"/>
      <c r="Z7" s="40"/>
      <c r="AA7" s="40"/>
      <c r="AB7" s="40"/>
      <c r="AC7" s="40"/>
      <c r="AD7" s="40"/>
      <c r="AE7" s="40"/>
      <c r="AF7" s="40"/>
      <c r="AG7" s="40"/>
      <c r="AH7" s="40"/>
      <c r="AI7" s="40"/>
      <c r="AJ7" s="40"/>
      <c r="AK7" s="40"/>
      <c r="AL7" s="40"/>
      <c r="AM7" s="40"/>
      <c r="AN7" s="40"/>
      <c r="AO7" s="40"/>
      <c r="AP7" s="40"/>
      <c r="AQ7" s="40"/>
      <c r="AR7" s="40"/>
      <c r="AS7" s="40"/>
      <c r="AT7" s="40"/>
      <c r="AU7" s="40"/>
      <c r="AV7" s="40"/>
      <c r="AW7" s="40"/>
      <c r="AX7" s="40"/>
      <c r="AY7" s="40"/>
      <c r="AZ7" s="40"/>
      <c r="BA7" s="40"/>
      <c r="BB7" s="40"/>
      <c r="BC7" s="40"/>
      <c r="BD7" s="40"/>
      <c r="BE7" s="40"/>
      <c r="BF7" s="40"/>
      <c r="BG7" s="40"/>
      <c r="BH7" s="40"/>
      <c r="BI7" s="40"/>
      <c r="BJ7" s="40"/>
      <c r="BK7" s="40"/>
      <c r="BL7" s="40"/>
    </row>
    <row r="8" spans="1:64" ht="232.5" customHeight="1">
      <c r="B8" s="290"/>
      <c r="C8" s="290"/>
      <c r="D8" s="290"/>
      <c r="E8" s="290"/>
      <c r="F8" s="290"/>
      <c r="G8" s="290"/>
      <c r="H8" s="290"/>
      <c r="I8" s="290"/>
      <c r="J8" s="290"/>
      <c r="K8" s="290"/>
      <c r="L8" s="290"/>
      <c r="M8" s="290"/>
      <c r="N8" s="290"/>
    </row>
  </sheetData>
  <sheetCalcPr fullCalcOnLoad="true"/>
  <sheetProtection password="DC4E" sheet="true" scenarios="true" objects="true"/>
  <mergeCells count="2">
    <mergeCell ref="B6:N8"/>
    <mergeCell ref="B4:N4"/>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
    <tabColor rgb="FFEEEEEE"/>
  </sheetPr>
  <dimension ref="B7:W56"/>
  <sheetViews>
    <sheetView zoomScale="80" zoomScaleNormal="80" workbookViewId="0">
      <selection activeCell="V24" sqref="V24"/>
    </sheetView>
  </sheetViews>
  <sheetFormatPr baseColWidth="10" defaultColWidth="11.5703125" defaultRowHeight="12.75"/>
  <cols>
    <col min="1" max="1" customWidth="true" width="3.85546875" collapsed="false"/>
    <col min="2" max="2" customWidth="true" width="65.140625" collapsed="false"/>
    <col min="3" max="3" customWidth="true" width="18.85546875" collapsed="false"/>
    <col min="4" max="4" customWidth="true" width="3.85546875" collapsed="false"/>
    <col min="5" max="5" customWidth="true" width="28.140625" collapsed="false"/>
    <col min="6" max="6" customWidth="true" width="3.85546875" collapsed="false"/>
    <col min="7" max="7" customWidth="true" width="33.140625" collapsed="false"/>
    <col min="8" max="8" customWidth="true" width="4.0" collapsed="false"/>
    <col min="9" max="9" customWidth="true" width="17.85546875" collapsed="false"/>
    <col min="10" max="10" customWidth="true" width="3.85546875" collapsed="false"/>
    <col min="11" max="11" customWidth="true" width="6.5703125" collapsed="false"/>
    <col min="12" max="12" customWidth="true" width="3.85546875" collapsed="false"/>
    <col min="13" max="13" customWidth="true" width="8.7109375" collapsed="false"/>
    <col min="14" max="14" customWidth="true" width="3.85546875" collapsed="false"/>
    <col min="15" max="15" customWidth="true" width="25.28515625" collapsed="false"/>
    <col min="16" max="16" customWidth="true" width="3.85546875" collapsed="false"/>
    <col min="18" max="18" customWidth="true" width="3.85546875" collapsed="false"/>
    <col min="19" max="19" customWidth="true" width="22.5703125" collapsed="false"/>
    <col min="20" max="20" customWidth="true" width="3.85546875" collapsed="false"/>
    <col min="21" max="21" customWidth="true" width="11.5703125" collapsed="false"/>
  </cols>
  <sheetData>
    <row r="7" spans="3:23">
      <c r="C7" s="185" t="s">
        <v>51</v>
      </c>
      <c r="D7" s="113"/>
      <c r="E7" s="185" t="s">
        <v>52</v>
      </c>
      <c r="F7" s="113"/>
      <c r="G7" s="185" t="s">
        <v>11</v>
      </c>
      <c r="H7" s="113"/>
      <c r="I7" s="185" t="s">
        <v>53</v>
      </c>
      <c r="J7" s="113"/>
      <c r="K7" s="185" t="s">
        <v>54</v>
      </c>
      <c r="L7" s="113"/>
      <c r="M7" s="185" t="s">
        <v>54</v>
      </c>
      <c r="N7" s="113"/>
      <c r="O7" s="185" t="s">
        <v>55</v>
      </c>
      <c r="P7" s="113"/>
      <c r="Q7" s="40"/>
      <c r="R7" s="113"/>
      <c r="S7" s="185" t="s">
        <v>56</v>
      </c>
      <c r="T7" s="113"/>
      <c r="U7" s="185" t="s">
        <v>32</v>
      </c>
      <c r="V7" s="113"/>
      <c r="W7" s="40"/>
    </row>
    <row r="8" spans="3:23">
      <c r="U8" s="176" t="s">
        <v>267</v>
      </c>
      <c r="V8" s="176"/>
    </row>
    <row r="9" spans="3:23" ht="12.75" customHeight="1">
      <c r="C9" s="3" t="s">
        <v>57</v>
      </c>
      <c r="E9" s="17" t="s">
        <v>5</v>
      </c>
      <c r="G9" t="s">
        <v>58</v>
      </c>
      <c r="I9" t="s">
        <v>59</v>
      </c>
      <c r="K9" t="s">
        <v>60</v>
      </c>
      <c r="M9" t="s">
        <v>61</v>
      </c>
      <c r="O9" t="s">
        <v>62</v>
      </c>
      <c r="S9" s="40" t="s">
        <v>287</v>
      </c>
      <c r="U9" s="22" t="s">
        <v>33</v>
      </c>
      <c r="V9" s="22"/>
    </row>
    <row r="10" spans="3:23" ht="12.75" customHeight="1">
      <c r="C10" s="3" t="s">
        <v>63</v>
      </c>
      <c r="E10" s="17" t="s">
        <v>274</v>
      </c>
      <c r="G10" t="s">
        <v>64</v>
      </c>
      <c r="I10" t="s">
        <v>65</v>
      </c>
      <c r="K10" t="s">
        <v>6</v>
      </c>
      <c r="M10" t="s">
        <v>66</v>
      </c>
      <c r="O10" t="s">
        <v>67</v>
      </c>
      <c r="S10" s="40" t="s">
        <v>288</v>
      </c>
      <c r="U10" s="22" t="s">
        <v>37</v>
      </c>
      <c r="V10" s="22"/>
    </row>
    <row r="11" spans="3:23" ht="12.75" customHeight="1">
      <c r="C11" s="3" t="s">
        <v>68</v>
      </c>
      <c r="E11" s="17" t="s">
        <v>275</v>
      </c>
      <c r="G11" t="s">
        <v>69</v>
      </c>
      <c r="O11" t="s">
        <v>70</v>
      </c>
      <c r="S11" s="40" t="s">
        <v>289</v>
      </c>
      <c r="U11" s="22" t="s">
        <v>35</v>
      </c>
      <c r="V11" s="22"/>
    </row>
    <row r="12" spans="3:23" ht="12.75" customHeight="1">
      <c r="C12" s="3" t="s">
        <v>71</v>
      </c>
      <c r="E12" s="17" t="s">
        <v>7</v>
      </c>
      <c r="O12" t="s">
        <v>72</v>
      </c>
      <c r="U12" s="22" t="s">
        <v>28</v>
      </c>
      <c r="V12" s="22"/>
    </row>
    <row r="13" spans="3:23" ht="12.75" customHeight="1">
      <c r="E13" s="17" t="s">
        <v>8</v>
      </c>
      <c r="O13" t="s">
        <v>73</v>
      </c>
      <c r="U13" s="22" t="s">
        <v>26</v>
      </c>
      <c r="V13" s="22"/>
    </row>
    <row r="14" spans="3:23" ht="12.75" customHeight="1">
      <c r="E14" s="17" t="s">
        <v>9</v>
      </c>
      <c r="O14" t="s">
        <v>74</v>
      </c>
    </row>
    <row r="15" spans="3:23" ht="12.75" customHeight="1">
      <c r="E15" s="17" t="s">
        <v>276</v>
      </c>
      <c r="O15" t="s">
        <v>75</v>
      </c>
    </row>
    <row r="16" spans="3:23" ht="12.75" customHeight="1">
      <c r="E16" s="17" t="s">
        <v>277</v>
      </c>
      <c r="O16" s="40" t="s">
        <v>76</v>
      </c>
    </row>
    <row r="17" spans="2:15" ht="12.75" customHeight="1">
      <c r="E17" s="17" t="s">
        <v>10</v>
      </c>
      <c r="O17" t="s">
        <v>77</v>
      </c>
    </row>
    <row r="18" spans="2:15" ht="12.75" customHeight="1">
      <c r="E18" s="17"/>
      <c r="O18" t="s">
        <v>78</v>
      </c>
    </row>
    <row r="19" spans="2:15" ht="12.75" customHeight="1">
      <c r="E19" s="17"/>
      <c r="O19" t="s">
        <v>79</v>
      </c>
    </row>
    <row r="20" spans="2:15" ht="12.75" customHeight="1">
      <c r="E20" s="32"/>
      <c r="O20" t="s">
        <v>80</v>
      </c>
    </row>
    <row r="21" spans="2:15" ht="12.75" customHeight="1">
      <c r="E21" s="18"/>
      <c r="O21" t="s">
        <v>81</v>
      </c>
    </row>
    <row r="22" spans="2:15" ht="12.75" customHeight="1">
      <c r="O22" t="s">
        <v>66</v>
      </c>
    </row>
    <row r="23" spans="2:15" ht="15.75">
      <c r="B23" s="33" t="s">
        <v>82</v>
      </c>
    </row>
    <row r="25" spans="2:15" ht="15.75">
      <c r="B25" s="34" t="s">
        <v>83</v>
      </c>
      <c r="C25" s="35">
        <v>0.1</v>
      </c>
    </row>
    <row r="26" spans="2:15" ht="15.75">
      <c r="B26" s="34" t="s">
        <v>84</v>
      </c>
      <c r="C26" s="35">
        <v>0.5</v>
      </c>
    </row>
    <row r="27" spans="2:15" ht="15.75">
      <c r="B27" s="34" t="s">
        <v>85</v>
      </c>
      <c r="C27" s="35">
        <v>1</v>
      </c>
    </row>
    <row r="28" spans="2:15">
      <c r="C28" s="36"/>
      <c r="D28" s="36"/>
    </row>
    <row r="29" spans="2:15">
      <c r="C29" s="36"/>
      <c r="D29" s="36"/>
    </row>
    <row r="30" spans="2:15" ht="15">
      <c r="B30" s="37" t="s">
        <v>86</v>
      </c>
      <c r="C30" s="38"/>
      <c r="D30" s="38"/>
    </row>
    <row r="31" spans="2:15" ht="14.25">
      <c r="B31" s="39"/>
      <c r="C31" s="38"/>
      <c r="D31" s="38"/>
    </row>
    <row r="32" spans="2:15" ht="14.25">
      <c r="B32" s="39" t="s">
        <v>87</v>
      </c>
      <c r="C32" s="39">
        <v>28</v>
      </c>
      <c r="D32" s="39"/>
    </row>
    <row r="33" spans="2:4" ht="14.25">
      <c r="B33" s="39" t="s">
        <v>88</v>
      </c>
      <c r="C33" s="39">
        <v>16</v>
      </c>
      <c r="D33" s="39"/>
    </row>
    <row r="34" spans="2:4" ht="14.25">
      <c r="B34" s="39"/>
      <c r="C34" s="39"/>
      <c r="D34" s="39"/>
    </row>
    <row r="35" spans="2:4" ht="14.25">
      <c r="B35" s="39"/>
      <c r="C35" s="39"/>
      <c r="D35" s="39"/>
    </row>
    <row r="36" spans="2:4" ht="14.25">
      <c r="B36" s="39"/>
      <c r="C36" s="39"/>
      <c r="D36" s="39"/>
    </row>
    <row r="37" spans="2:4" ht="14.25">
      <c r="B37" s="39"/>
      <c r="C37" s="39"/>
      <c r="D37" s="39"/>
    </row>
    <row r="38" spans="2:4" ht="14.25">
      <c r="B38" s="39"/>
      <c r="C38" s="39"/>
      <c r="D38" s="39"/>
    </row>
    <row r="39" spans="2:4" ht="14.25">
      <c r="B39" s="39"/>
      <c r="C39" s="39"/>
      <c r="D39" s="39"/>
    </row>
    <row r="40" spans="2:4" ht="14.25">
      <c r="B40" s="39"/>
      <c r="C40" s="39"/>
    </row>
    <row r="41" spans="2:4" ht="14.25">
      <c r="B41" s="39"/>
      <c r="C41" s="39"/>
    </row>
    <row r="42" spans="2:4" ht="14.25">
      <c r="B42" s="39"/>
      <c r="C42" s="39"/>
    </row>
    <row r="43" spans="2:4" ht="14.25">
      <c r="B43" s="39"/>
      <c r="C43" s="39"/>
    </row>
    <row r="44" spans="2:4" ht="14.25">
      <c r="B44" s="39"/>
      <c r="C44" s="39"/>
    </row>
    <row r="45" spans="2:4" ht="14.25">
      <c r="B45" s="39"/>
      <c r="C45" s="39"/>
    </row>
    <row r="46" spans="2:4" ht="14.25">
      <c r="B46" s="39"/>
      <c r="C46" s="39"/>
    </row>
    <row r="47" spans="2:4" ht="14.25">
      <c r="B47" s="39"/>
      <c r="C47" s="39"/>
    </row>
    <row r="48" spans="2:4" ht="14.25">
      <c r="B48" s="39"/>
      <c r="C48" s="39"/>
    </row>
    <row r="49" spans="2:3" ht="14.25">
      <c r="B49" s="39"/>
      <c r="C49" s="39"/>
    </row>
    <row r="50" spans="2:3" ht="14.25">
      <c r="B50" s="39"/>
      <c r="C50" s="39"/>
    </row>
    <row r="51" spans="2:3" ht="14.25">
      <c r="B51" s="39"/>
      <c r="C51" s="39"/>
    </row>
    <row r="52" spans="2:3" ht="14.25">
      <c r="B52" s="39"/>
      <c r="C52" s="39"/>
    </row>
    <row r="53" spans="2:3" ht="14.25">
      <c r="B53" s="39"/>
      <c r="C53" s="39"/>
    </row>
    <row r="54" spans="2:3" ht="14.25">
      <c r="B54" s="39"/>
      <c r="C54" s="39"/>
    </row>
    <row r="55" spans="2:3" ht="14.25">
      <c r="B55" s="39"/>
      <c r="C55" s="39"/>
    </row>
    <row r="56" spans="2:3" ht="14.25">
      <c r="B56" s="39"/>
      <c r="C56" s="39"/>
    </row>
  </sheetData>
  <sheetCalcPr fullCalcOnLoad="true"/>
  <sheetProtection password="DC4E" sheet="true" scenarios="true" objects="true"/>
  <pageMargins left="0.78749999999999998" right="0.78749999999999998" top="1.0249999999999999" bottom="1.0249999999999999" header="0.78749999999999998" footer="0.78749999999999998"/>
  <pageSetup paperSize="9" firstPageNumber="0" orientation="portrait" horizontalDpi="300" verticalDpi="300"/>
  <headerFooter>
    <oddHeader>&amp;C&amp;A</oddHeader>
    <oddFooter>&amp;CPage &amp;P</oddFooter>
  </headerFooter>
  <tableParts count="2">
    <tablePart r:id="rId1"/>
    <tablePart r:id="rId2"/>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
  <dimension ref="A1:FN37"/>
  <sheetViews>
    <sheetView zoomScale="80" zoomScaleNormal="80" workbookViewId="0">
      <selection activeCell="K34" sqref="K34"/>
    </sheetView>
  </sheetViews>
  <sheetFormatPr baseColWidth="10" defaultColWidth="11.42578125" defaultRowHeight="12.75"/>
  <cols>
    <col min="1" max="1" style="40" width="11.42578125" collapsed="false"/>
    <col min="2" max="2" bestFit="true" customWidth="true" style="40" width="13.42578125" collapsed="false"/>
    <col min="3" max="3" customWidth="true" style="40" width="48.42578125" collapsed="false"/>
    <col min="4" max="4" customWidth="true" style="40" width="14.28515625" collapsed="false"/>
    <col min="5" max="5" customWidth="true" style="40" width="14.140625" collapsed="false"/>
    <col min="6" max="8" style="40" width="11.42578125" collapsed="false"/>
    <col min="9" max="9" customWidth="true" style="40" width="2.42578125" collapsed="false"/>
    <col min="10" max="10" customWidth="true" style="40" width="2.7109375" collapsed="false"/>
    <col min="11" max="11" customWidth="true" style="40" width="27.5703125" collapsed="false"/>
    <col min="12" max="12" style="40" width="11.42578125" collapsed="false"/>
    <col min="13" max="13" bestFit="true" customWidth="true" style="40" width="12.28515625" collapsed="false"/>
    <col min="14" max="14" bestFit="true" customWidth="true" style="40" width="9.140625" collapsed="false"/>
    <col min="15" max="15" bestFit="true" customWidth="true" style="40" width="5.5703125" collapsed="false"/>
    <col min="16" max="16" bestFit="true" customWidth="true" style="40" width="8.85546875" collapsed="false"/>
    <col min="17" max="19" customWidth="true" style="40" width="3.5703125" collapsed="false"/>
    <col min="20" max="20" style="40" width="11.42578125" collapsed="false"/>
    <col min="21" max="21" bestFit="true" customWidth="true" style="40" width="14.85546875" collapsed="false"/>
    <col min="22" max="22" bestFit="true" customWidth="true" style="40" width="21.28515625" collapsed="false"/>
    <col min="23" max="25" style="40" width="11.42578125" collapsed="false"/>
    <col min="26" max="26" bestFit="true" customWidth="true" style="40" width="21.28515625" collapsed="false"/>
    <col min="27" max="119" style="40" width="11.42578125" collapsed="false"/>
    <col min="120" max="120" bestFit="true" customWidth="true" style="40" width="14.85546875" collapsed="false"/>
    <col min="121" max="124" style="40" width="11.42578125" collapsed="false"/>
    <col min="125" max="125" bestFit="true" customWidth="true" style="40" width="21.28515625" collapsed="false"/>
    <col min="126" max="16384" style="40" width="11.42578125" collapsed="false"/>
  </cols>
  <sheetData>
    <row r="1" spans="1:170">
      <c r="A1" s="144" t="s">
        <v>124</v>
      </c>
      <c r="B1" s="144"/>
      <c r="C1" s="144" t="s">
        <v>125</v>
      </c>
      <c r="D1" s="144"/>
      <c r="E1" s="144" t="s">
        <v>342</v>
      </c>
      <c r="F1" s="144"/>
      <c r="G1" s="144"/>
      <c r="H1" s="144"/>
      <c r="I1" s="144"/>
      <c r="J1" s="144"/>
      <c r="K1" s="144" t="s">
        <v>345</v>
      </c>
      <c r="L1" s="144"/>
      <c r="M1" s="144"/>
      <c r="T1" s="293" t="s">
        <v>361</v>
      </c>
      <c r="U1" s="293"/>
      <c r="V1" s="293"/>
      <c r="W1" s="293"/>
      <c r="X1" s="293"/>
      <c r="Y1" s="293"/>
      <c r="Z1" s="293"/>
      <c r="AA1" s="293"/>
      <c r="AB1" s="293"/>
      <c r="AC1" s="293"/>
      <c r="AD1" s="293"/>
      <c r="AE1" s="293"/>
      <c r="AF1" s="293"/>
      <c r="AG1" s="293"/>
      <c r="AH1" s="293"/>
      <c r="AI1" s="293"/>
      <c r="AJ1" s="293"/>
      <c r="AK1" s="293"/>
      <c r="AL1" s="293"/>
      <c r="AM1" s="293"/>
      <c r="AN1" s="293"/>
      <c r="AO1" s="293"/>
      <c r="AP1" s="293"/>
      <c r="AQ1" s="293"/>
      <c r="AR1" s="293"/>
      <c r="AS1" s="293"/>
      <c r="AT1" s="293"/>
      <c r="AU1" s="293"/>
      <c r="AV1" s="293"/>
      <c r="AW1" s="293"/>
      <c r="AX1" s="293"/>
      <c r="AY1" s="293"/>
      <c r="AZ1" s="293"/>
      <c r="BA1" s="293"/>
      <c r="BB1" s="293"/>
      <c r="BC1" s="293"/>
      <c r="BD1" s="293"/>
      <c r="BE1" s="293"/>
      <c r="BF1" s="293"/>
      <c r="BG1" s="293"/>
      <c r="BH1" s="293"/>
      <c r="BI1" s="293"/>
      <c r="BJ1" s="293"/>
      <c r="BK1" s="293"/>
      <c r="BL1" s="293"/>
      <c r="BM1" s="293"/>
      <c r="BN1" s="293"/>
      <c r="BO1" s="293"/>
      <c r="BP1" s="293"/>
      <c r="BQ1" s="293"/>
      <c r="BR1" s="293"/>
      <c r="BS1" s="293"/>
      <c r="BT1" s="293"/>
      <c r="BU1" s="293"/>
      <c r="BV1" s="293"/>
      <c r="BW1" s="293"/>
      <c r="BX1" s="293"/>
      <c r="BY1" s="293"/>
      <c r="BZ1" s="293"/>
      <c r="CA1" s="293"/>
      <c r="CB1" s="293"/>
      <c r="CC1" s="293"/>
      <c r="CD1" s="293"/>
      <c r="CE1" s="293"/>
      <c r="CF1" s="293"/>
      <c r="CG1" s="293"/>
      <c r="CH1" s="293"/>
      <c r="CI1" s="293"/>
      <c r="CJ1" s="293"/>
      <c r="CK1" s="293"/>
      <c r="CL1" s="293"/>
      <c r="CM1" s="293"/>
      <c r="CN1" s="293"/>
      <c r="CO1" s="293"/>
      <c r="CP1" s="293"/>
      <c r="CQ1" s="293"/>
      <c r="CR1" s="293"/>
      <c r="CS1" s="293"/>
      <c r="CT1" s="293"/>
      <c r="CU1" s="293"/>
      <c r="CV1" s="293"/>
      <c r="CW1" s="293"/>
      <c r="CX1" s="293"/>
      <c r="CY1" s="293"/>
      <c r="CZ1" s="293"/>
      <c r="DA1" s="293"/>
      <c r="DB1" s="293"/>
      <c r="DC1" s="293"/>
      <c r="DD1" s="293"/>
      <c r="DE1" s="293"/>
      <c r="DF1" s="293"/>
      <c r="DG1" s="293"/>
      <c r="DH1" s="293"/>
      <c r="DI1" s="293"/>
      <c r="DJ1" s="293"/>
      <c r="DK1" s="293"/>
      <c r="DL1" s="293"/>
      <c r="DM1" s="293"/>
      <c r="DN1" s="293"/>
      <c r="DO1" s="292" t="s">
        <v>476</v>
      </c>
      <c r="DP1" s="292"/>
      <c r="DQ1" s="292"/>
      <c r="DR1" s="292"/>
      <c r="DS1" s="292"/>
      <c r="DT1" s="292"/>
      <c r="DU1" s="292"/>
      <c r="DV1" s="292"/>
      <c r="DW1" s="292"/>
      <c r="DX1" s="292"/>
      <c r="DY1" s="292"/>
      <c r="DZ1" s="292"/>
      <c r="EA1" s="292"/>
      <c r="EB1" s="292"/>
      <c r="EC1" s="292"/>
      <c r="ED1" s="292"/>
      <c r="EE1" s="292"/>
      <c r="EF1" s="292"/>
      <c r="EG1" s="292"/>
      <c r="EH1" s="292"/>
      <c r="EI1" s="292"/>
      <c r="EJ1" s="292"/>
      <c r="EK1" s="292"/>
      <c r="EL1" s="292"/>
      <c r="EM1" s="292"/>
      <c r="EN1" s="292"/>
      <c r="EO1" s="292"/>
      <c r="EP1" s="292"/>
      <c r="EQ1" s="292"/>
      <c r="ER1" s="292"/>
      <c r="ES1" s="292"/>
      <c r="ET1" s="292"/>
      <c r="EU1" s="292"/>
      <c r="EV1" s="292"/>
      <c r="EW1" s="292"/>
      <c r="EX1" s="292"/>
      <c r="EY1" s="292"/>
      <c r="EZ1" s="292"/>
      <c r="FA1" s="292"/>
      <c r="FB1" s="292"/>
      <c r="FC1" s="292"/>
      <c r="FD1" s="292"/>
      <c r="FE1" s="292"/>
      <c r="FF1" s="292"/>
      <c r="FG1" s="292"/>
      <c r="FH1" s="292"/>
      <c r="FI1" s="292"/>
      <c r="FJ1" s="292"/>
      <c r="FK1" s="292"/>
      <c r="FL1" s="292"/>
      <c r="FM1" s="292"/>
      <c r="FN1" s="292"/>
    </row>
    <row r="2" spans="1:170">
      <c r="A2" s="40" t="s">
        <v>126</v>
      </c>
      <c r="B2" s="146" t="str">
        <f>'00.Info'!N2</f>
        <v>Versión: 2.0.1</v>
      </c>
      <c r="C2" s="144" t="s">
        <v>127</v>
      </c>
      <c r="D2" s="147" t="n">
        <f>'01.Definición de ámbito'!C7</f>
        <v>0.0</v>
      </c>
      <c r="E2" s="144" t="s">
        <v>293</v>
      </c>
      <c r="F2" s="147" t="str">
        <f>'02.Tecnologías'!C9</f>
        <v>Sí</v>
      </c>
      <c r="G2" s="205" t="s">
        <v>343</v>
      </c>
      <c r="H2" s="205" t="s">
        <v>344</v>
      </c>
      <c r="I2" s="205"/>
      <c r="J2" s="205"/>
      <c r="K2" s="153" t="s">
        <v>346</v>
      </c>
      <c r="L2" s="207" t="n">
        <f>'03.Muestra'!D45</f>
        <v>35.0</v>
      </c>
      <c r="M2" s="144"/>
      <c r="T2" s="145" t="s">
        <v>128</v>
      </c>
      <c r="U2" s="145" t="s">
        <v>129</v>
      </c>
      <c r="V2" s="145" t="s">
        <v>270</v>
      </c>
      <c r="W2" s="145" t="s">
        <v>130</v>
      </c>
      <c r="X2" s="145" t="s">
        <v>341</v>
      </c>
      <c r="Y2" s="145" t="s">
        <v>131</v>
      </c>
      <c r="Z2" s="145" t="s">
        <v>19</v>
      </c>
      <c r="AA2" s="145" t="s">
        <v>98</v>
      </c>
      <c r="AB2" s="145" t="s">
        <v>99</v>
      </c>
      <c r="AC2" s="145" t="s">
        <v>100</v>
      </c>
      <c r="AD2" s="145" t="s">
        <v>101</v>
      </c>
      <c r="AE2" s="145" t="s">
        <v>323</v>
      </c>
      <c r="AF2" s="145" t="s">
        <v>324</v>
      </c>
      <c r="AG2" s="145" t="s">
        <v>325</v>
      </c>
      <c r="AH2" s="145" t="s">
        <v>326</v>
      </c>
      <c r="AI2" s="145" t="s">
        <v>327</v>
      </c>
      <c r="AJ2" s="145" t="s">
        <v>328</v>
      </c>
      <c r="AK2" s="145" t="s">
        <v>329</v>
      </c>
      <c r="AL2" s="145" t="s">
        <v>330</v>
      </c>
      <c r="AM2" s="145" t="s">
        <v>331</v>
      </c>
      <c r="AN2" s="145" t="s">
        <v>332</v>
      </c>
      <c r="AO2" s="145" t="s">
        <v>102</v>
      </c>
      <c r="AP2" s="145" t="s">
        <v>103</v>
      </c>
      <c r="AQ2" s="145" t="s">
        <v>333</v>
      </c>
      <c r="AR2" s="145" t="s">
        <v>104</v>
      </c>
      <c r="AS2" s="145" t="s">
        <v>105</v>
      </c>
      <c r="AT2" s="145" t="s">
        <v>334</v>
      </c>
      <c r="AU2" s="145" t="s">
        <v>335</v>
      </c>
      <c r="AV2" s="145" t="s">
        <v>336</v>
      </c>
      <c r="AW2" s="145" t="s">
        <v>106</v>
      </c>
      <c r="AX2" s="145" t="s">
        <v>107</v>
      </c>
      <c r="AY2" s="145" t="s">
        <v>108</v>
      </c>
      <c r="AZ2" s="145" t="s">
        <v>337</v>
      </c>
      <c r="BA2" s="145" t="s">
        <v>338</v>
      </c>
      <c r="BB2" s="145" t="s">
        <v>109</v>
      </c>
      <c r="BC2" s="145" t="s">
        <v>110</v>
      </c>
      <c r="BD2" s="145" t="s">
        <v>111</v>
      </c>
      <c r="BE2" s="145" t="s">
        <v>112</v>
      </c>
      <c r="BF2" s="145" t="s">
        <v>155</v>
      </c>
      <c r="BG2" s="145" t="s">
        <v>156</v>
      </c>
      <c r="BH2" s="145" t="s">
        <v>157</v>
      </c>
      <c r="BI2" s="145" t="s">
        <v>158</v>
      </c>
      <c r="BJ2" s="145" t="s">
        <v>159</v>
      </c>
      <c r="BK2" s="145" t="s">
        <v>160</v>
      </c>
      <c r="BL2" s="145" t="s">
        <v>161</v>
      </c>
      <c r="BM2" s="145" t="s">
        <v>162</v>
      </c>
      <c r="BN2" s="145" t="s">
        <v>163</v>
      </c>
      <c r="BO2" s="145" t="s">
        <v>164</v>
      </c>
      <c r="BP2" s="145" t="s">
        <v>165</v>
      </c>
      <c r="BQ2" s="145" t="s">
        <v>166</v>
      </c>
      <c r="BR2" s="145" t="s">
        <v>167</v>
      </c>
      <c r="BS2" s="145" t="s">
        <v>168</v>
      </c>
      <c r="BT2" s="145" t="s">
        <v>169</v>
      </c>
      <c r="BU2" s="145" t="s">
        <v>170</v>
      </c>
      <c r="BV2" s="145" t="s">
        <v>171</v>
      </c>
      <c r="BW2" s="145" t="s">
        <v>172</v>
      </c>
      <c r="BX2" s="145" t="s">
        <v>173</v>
      </c>
      <c r="BY2" s="145" t="s">
        <v>174</v>
      </c>
      <c r="BZ2" s="145" t="s">
        <v>175</v>
      </c>
      <c r="CA2" s="145" t="s">
        <v>176</v>
      </c>
      <c r="CB2" s="145" t="s">
        <v>177</v>
      </c>
      <c r="CC2" s="145" t="s">
        <v>178</v>
      </c>
      <c r="CD2" s="145" t="s">
        <v>179</v>
      </c>
      <c r="CE2" s="145" t="s">
        <v>241</v>
      </c>
      <c r="CF2" s="145" t="s">
        <v>242</v>
      </c>
      <c r="CG2" s="145" t="s">
        <v>180</v>
      </c>
      <c r="CH2" s="145" t="s">
        <v>181</v>
      </c>
      <c r="CI2" s="145" t="s">
        <v>243</v>
      </c>
      <c r="CJ2" s="145" t="s">
        <v>182</v>
      </c>
      <c r="CK2" s="145" t="s">
        <v>183</v>
      </c>
      <c r="CL2" s="145" t="s">
        <v>184</v>
      </c>
      <c r="CM2" s="145" t="s">
        <v>185</v>
      </c>
      <c r="CN2" s="145" t="s">
        <v>186</v>
      </c>
      <c r="CO2" s="145" t="s">
        <v>187</v>
      </c>
      <c r="CP2" s="145" t="s">
        <v>188</v>
      </c>
      <c r="CQ2" s="145" t="s">
        <v>244</v>
      </c>
      <c r="CR2" s="145" t="s">
        <v>189</v>
      </c>
      <c r="CS2" s="145" t="s">
        <v>190</v>
      </c>
      <c r="CT2" s="145" t="s">
        <v>245</v>
      </c>
      <c r="CU2" s="145" t="s">
        <v>246</v>
      </c>
      <c r="CV2" s="145" t="s">
        <v>191</v>
      </c>
      <c r="CW2" s="145" t="s">
        <v>192</v>
      </c>
      <c r="CX2" s="145" t="s">
        <v>193</v>
      </c>
      <c r="CY2" s="145" t="s">
        <v>194</v>
      </c>
      <c r="CZ2" s="145" t="s">
        <v>195</v>
      </c>
      <c r="DA2" s="145" t="s">
        <v>196</v>
      </c>
      <c r="DB2" s="145" t="s">
        <v>247</v>
      </c>
      <c r="DC2" s="145" t="s">
        <v>467</v>
      </c>
      <c r="DD2" s="145" t="s">
        <v>113</v>
      </c>
      <c r="DE2" s="145" t="s">
        <v>114</v>
      </c>
      <c r="DF2" s="145" t="s">
        <v>115</v>
      </c>
      <c r="DG2" s="145" t="s">
        <v>116</v>
      </c>
      <c r="DH2" s="145" t="s">
        <v>117</v>
      </c>
      <c r="DI2" s="145" t="s">
        <v>118</v>
      </c>
      <c r="DJ2" s="145" t="s">
        <v>119</v>
      </c>
      <c r="DK2" s="145" t="s">
        <v>120</v>
      </c>
      <c r="DL2" s="145" t="s">
        <v>121</v>
      </c>
      <c r="DM2" s="145" t="s">
        <v>122</v>
      </c>
      <c r="DN2" s="145" t="s">
        <v>123</v>
      </c>
      <c r="DO2" s="145" t="s">
        <v>128</v>
      </c>
      <c r="DP2" s="145" t="s">
        <v>129</v>
      </c>
      <c r="DQ2" s="145" t="s">
        <v>270</v>
      </c>
      <c r="DR2" s="145" t="s">
        <v>130</v>
      </c>
      <c r="DS2" s="145" t="s">
        <v>341</v>
      </c>
      <c r="DT2" s="145" t="s">
        <v>131</v>
      </c>
      <c r="DU2" s="145" t="s">
        <v>19</v>
      </c>
      <c r="DV2" s="145" t="s">
        <v>197</v>
      </c>
      <c r="DW2" s="144" t="s">
        <v>198</v>
      </c>
      <c r="DX2" s="144" t="s">
        <v>199</v>
      </c>
      <c r="DY2" s="144" t="s">
        <v>200</v>
      </c>
      <c r="DZ2" s="144" t="s">
        <v>201</v>
      </c>
      <c r="EA2" s="144" t="s">
        <v>202</v>
      </c>
      <c r="EB2" s="144" t="s">
        <v>203</v>
      </c>
      <c r="EC2" s="144" t="s">
        <v>204</v>
      </c>
      <c r="ED2" s="144" t="s">
        <v>205</v>
      </c>
      <c r="EE2" s="144" t="s">
        <v>206</v>
      </c>
      <c r="EF2" s="144" t="s">
        <v>207</v>
      </c>
      <c r="EG2" s="144" t="s">
        <v>208</v>
      </c>
      <c r="EH2" s="144" t="s">
        <v>209</v>
      </c>
      <c r="EI2" s="144" t="s">
        <v>210</v>
      </c>
      <c r="EJ2" s="144" t="s">
        <v>211</v>
      </c>
      <c r="EK2" s="144" t="s">
        <v>212</v>
      </c>
      <c r="EL2" s="144" t="s">
        <v>213</v>
      </c>
      <c r="EM2" s="144" t="s">
        <v>214</v>
      </c>
      <c r="EN2" s="144" t="s">
        <v>215</v>
      </c>
      <c r="EO2" s="144" t="s">
        <v>216</v>
      </c>
      <c r="EP2" s="144" t="s">
        <v>217</v>
      </c>
      <c r="EQ2" s="144" t="s">
        <v>218</v>
      </c>
      <c r="ER2" s="144" t="s">
        <v>219</v>
      </c>
      <c r="ES2" s="144" t="s">
        <v>220</v>
      </c>
      <c r="ET2" s="144" t="s">
        <v>221</v>
      </c>
      <c r="EU2" s="144" t="s">
        <v>240</v>
      </c>
      <c r="EV2" s="144" t="s">
        <v>222</v>
      </c>
      <c r="EW2" s="144" t="s">
        <v>223</v>
      </c>
      <c r="EX2" s="144" t="s">
        <v>224</v>
      </c>
      <c r="EY2" s="144" t="s">
        <v>225</v>
      </c>
      <c r="EZ2" s="144" t="s">
        <v>226</v>
      </c>
      <c r="FA2" s="144" t="s">
        <v>227</v>
      </c>
      <c r="FB2" s="144" t="s">
        <v>228</v>
      </c>
      <c r="FC2" s="144" t="s">
        <v>229</v>
      </c>
      <c r="FD2" s="144" t="s">
        <v>230</v>
      </c>
      <c r="FE2" s="144" t="s">
        <v>239</v>
      </c>
      <c r="FF2" s="144" t="s">
        <v>231</v>
      </c>
      <c r="FG2" s="144" t="s">
        <v>232</v>
      </c>
      <c r="FH2" s="144" t="s">
        <v>233</v>
      </c>
      <c r="FI2" s="144" t="s">
        <v>234</v>
      </c>
      <c r="FJ2" s="144" t="s">
        <v>235</v>
      </c>
      <c r="FK2" s="144" t="s">
        <v>236</v>
      </c>
      <c r="FL2" s="144" t="s">
        <v>237</v>
      </c>
      <c r="FM2" s="144" t="s">
        <v>238</v>
      </c>
      <c r="FN2" s="144" t="s">
        <v>351</v>
      </c>
    </row>
    <row r="3" spans="1:170">
      <c r="C3" s="144" t="s">
        <v>132</v>
      </c>
      <c r="D3" s="147" t="n">
        <f>'01.Definición de ámbito'!C9</f>
        <v>0.0</v>
      </c>
      <c r="E3" s="144" t="s">
        <v>296</v>
      </c>
      <c r="F3" s="147" t="str">
        <f>'02.Tecnologías'!C10</f>
        <v>No</v>
      </c>
      <c r="G3" s="147" t="n">
        <f>'02.Tecnologías'!K13</f>
        <v>0.0</v>
      </c>
      <c r="H3" s="147" t="n">
        <f>'02.Tecnologías'!L13</f>
        <v>0.0</v>
      </c>
      <c r="I3" s="206"/>
      <c r="J3" s="206"/>
      <c r="K3" s="153" t="s">
        <v>347</v>
      </c>
      <c r="L3" s="207" t="n">
        <f>'03.Muestra'!D47</f>
        <v>35.0</v>
      </c>
      <c r="M3" s="144"/>
      <c r="T3" s="148" t="n">
        <f>RESULTADOS!B20</f>
        <v>1.0</v>
      </c>
      <c r="U3" s="148" t="str">
        <f>RESULTADOS!C20</f>
        <v>Home - PortCastelló</v>
      </c>
      <c r="V3" s="148" t="str">
        <f>IF(T3&lt;&gt;"","Página web","")</f>
        <v>Página web</v>
      </c>
      <c r="W3" s="148" t="str">
        <f t="array" ref="W3:W37">IFERROR(INDEX('03.Muestra'!$E$8:$E$42,SMALL(IF("Página Web"='03.Muestra'!$D$8:$D$42,ROW('03.Muestra'!$E$8:$E$42)-MIN(ROW('03.Muestra'!$D$8:$D$42))+1,""),ROW()-2)),"")</f>
        <v/>
      </c>
      <c r="X3" s="148" t="str">
        <f>RESULTADOS!D20</f>
        <v>https://www.portcastello.com/</v>
      </c>
      <c r="Y3" s="148" t="n">
        <f t="array" ref="Y3:Y37">IFERROR(INDEX('03.Muestra'!$G$8:$G$42,SMALL(IF("Página Web"='03.Muestra'!$D$8:$D$42,ROW('03.Muestra'!$G$8:$GE$42)-MIN(ROW('03.Muestra'!$D$8:$D$42))+1,""),ROW()-2)),"")</f>
        <v>0.0</v>
      </c>
      <c r="Z3" s="237" t="str">
        <f t="array" ref="Z3:Z37">IFERROR(INDEX('03.Muestra'!$H$8:$H$42,SMALL(IF("Página Web"='03.Muestra'!$D$8:$D$42,ROW('03.Muestra'!$H$8:$H$42)-MIN(ROW('03.Muestra'!$D$8:$D$42))+1,""),ROW()-2)),"")</f>
        <v>Ej. Imágenes, tablas, listas, multimedia, formularios, plantilla X, plantilla Y</v>
      </c>
      <c r="AA3" s="146" t="str">
        <f ca="1">RESULTADOS!E20</f>
        <v>N/T</v>
      </c>
      <c r="AB3" s="146" t="str">
        <f ca="1">RESULTADOS!F20</f>
        <v>N/T</v>
      </c>
      <c r="AC3" s="146" t="str">
        <f ca="1">RESULTADOS!G20</f>
        <v>N/T</v>
      </c>
      <c r="AD3" s="146" t="str">
        <f ca="1">RESULTADOS!H20</f>
        <v>N/T</v>
      </c>
      <c r="AE3" s="146" t="str">
        <f ca="1">RESULTADOS!I20</f>
        <v>N/T</v>
      </c>
      <c r="AF3" s="146" t="str">
        <f ca="1">RESULTADOS!J20</f>
        <v>N/T</v>
      </c>
      <c r="AG3" s="146" t="str">
        <f ca="1">RESULTADOS!K20</f>
        <v>N/T</v>
      </c>
      <c r="AH3" s="146" t="str">
        <f ca="1">RESULTADOS!L20</f>
        <v>N/T</v>
      </c>
      <c r="AI3" s="146" t="str">
        <f ca="1">RESULTADOS!M20</f>
        <v>N/T</v>
      </c>
      <c r="AJ3" s="146" t="str">
        <f ca="1">RESULTADOS!N20</f>
        <v>N/T</v>
      </c>
      <c r="AK3" s="146" t="str">
        <f ca="1">RESULTADOS!O20</f>
        <v>N/T</v>
      </c>
      <c r="AL3" s="146" t="str">
        <f ca="1">RESULTADOS!P20</f>
        <v>N/T</v>
      </c>
      <c r="AM3" s="146" t="str">
        <f ca="1">RESULTADOS!Q20</f>
        <v>N/T</v>
      </c>
      <c r="AN3" s="146" t="str">
        <f ca="1">RESULTADOS!R20</f>
        <v>N/T</v>
      </c>
      <c r="AO3" s="146" t="str">
        <f ca="1">RESULTADOS!S20</f>
        <v>N/T</v>
      </c>
      <c r="AP3" s="146" t="str">
        <f ca="1">RESULTADOS!T20</f>
        <v>N/T</v>
      </c>
      <c r="AQ3" s="146" t="str">
        <f ca="1">RESULTADOS!U20</f>
        <v>N/T</v>
      </c>
      <c r="AR3" s="146" t="str">
        <f ca="1">RESULTADOS!V20</f>
        <v>N/T</v>
      </c>
      <c r="AS3" s="146" t="str">
        <f ca="1">RESULTADOS!W20</f>
        <v>N/T</v>
      </c>
      <c r="AT3" s="146" t="str">
        <f ca="1">RESULTADOS!X20</f>
        <v>N/T</v>
      </c>
      <c r="AU3" s="146" t="str">
        <f ca="1">RESULTADOS!Y20</f>
        <v>N/T</v>
      </c>
      <c r="AV3" s="146" t="str">
        <f ca="1">RESULTADOS!Z20</f>
        <v>N/T</v>
      </c>
      <c r="AW3" s="146" t="str">
        <f ca="1">RESULTADOS!AA20</f>
        <v>N/T</v>
      </c>
      <c r="AX3" s="146" t="str">
        <f ca="1">RESULTADOS!AB20</f>
        <v>N/T</v>
      </c>
      <c r="AY3" s="146" t="str">
        <f ca="1">RESULTADOS!AC20</f>
        <v>N/T</v>
      </c>
      <c r="AZ3" s="146" t="str">
        <f ca="1">RESULTADOS!AD20</f>
        <v>N/T</v>
      </c>
      <c r="BA3" s="146" t="str">
        <f ca="1">RESULTADOS!AE20</f>
        <v>N/T</v>
      </c>
      <c r="BB3" s="146" t="str">
        <f ca="1">RESULTADOS!AF20</f>
        <v>N/T</v>
      </c>
      <c r="BC3" s="146" t="str">
        <f ca="1">RESULTADOS!AG20</f>
        <v>N/T</v>
      </c>
      <c r="BD3" s="146" t="str">
        <f ca="1">RESULTADOS!AH20</f>
        <v>N/T</v>
      </c>
      <c r="BE3" s="146" t="str">
        <f ca="1">RESULTADOS!AI20</f>
        <v>N/T</v>
      </c>
      <c r="BF3" s="146" t="str">
        <f ca="1">RESULTADOS!AJ20</f>
        <v>N/D</v>
      </c>
      <c r="BG3" s="146" t="str">
        <f ca="1">RESULTADOS!AK20</f>
        <v>N/T</v>
      </c>
      <c r="BH3" s="146" t="str">
        <f ca="1">RESULTADOS!AL20</f>
        <v>N/T</v>
      </c>
      <c r="BI3" s="146" t="str">
        <f ca="1">RESULTADOS!AM20</f>
        <v>N/T</v>
      </c>
      <c r="BJ3" s="146" t="str">
        <f ca="1">RESULTADOS!AN20</f>
        <v>N/T</v>
      </c>
      <c r="BK3" s="146" t="str">
        <f ca="1">RESULTADOS!AO20</f>
        <v>N/D</v>
      </c>
      <c r="BL3" s="146" t="str">
        <f ca="1">RESULTADOS!AP20</f>
        <v>N/T</v>
      </c>
      <c r="BM3" s="146" t="str">
        <f ca="1">RESULTADOS!AQ20</f>
        <v>N/T</v>
      </c>
      <c r="BN3" s="146" t="str">
        <f ca="1">RESULTADOS!AR20</f>
        <v>N/D</v>
      </c>
      <c r="BO3" s="146" t="str">
        <f ca="1">RESULTADOS!AS20</f>
        <v>N/D</v>
      </c>
      <c r="BP3" s="146" t="str">
        <f ca="1">RESULTADOS!AT20</f>
        <v>N/T</v>
      </c>
      <c r="BQ3" s="146" t="str">
        <f ca="1">RESULTADOS!AU20</f>
        <v>N/T</v>
      </c>
      <c r="BR3" s="146" t="str">
        <f ca="1">RESULTADOS!AV20</f>
        <v>N/D</v>
      </c>
      <c r="BS3" s="146" t="str">
        <f ca="1">RESULTADOS!AW20</f>
        <v>N/T</v>
      </c>
      <c r="BT3" s="146" t="str">
        <f ca="1">RESULTADOS!AX20</f>
        <v>N/T</v>
      </c>
      <c r="BU3" s="146" t="str">
        <f ca="1">RESULTADOS!AY20</f>
        <v>N/D</v>
      </c>
      <c r="BV3" s="146" t="str">
        <f ca="1">RESULTADOS!AZ20</f>
        <v>N/T</v>
      </c>
      <c r="BW3" s="146" t="str">
        <f ca="1">RESULTADOS!BA20</f>
        <v>N/D</v>
      </c>
      <c r="BX3" s="146" t="str">
        <f ca="1">RESULTADOS!BB20</f>
        <v>N/T</v>
      </c>
      <c r="BY3" s="146" t="str">
        <f ca="1">RESULTADOS!BC20</f>
        <v>N/D</v>
      </c>
      <c r="BZ3" s="146" t="str">
        <f ca="1">RESULTADOS!BD20</f>
        <v>N/T</v>
      </c>
      <c r="CA3" s="146" t="str">
        <f ca="1">RESULTADOS!BE20</f>
        <v>N/T</v>
      </c>
      <c r="CB3" s="146" t="str">
        <f ca="1">RESULTADOS!BF20</f>
        <v>N/D</v>
      </c>
      <c r="CC3" s="146" t="str">
        <f ca="1">RESULTADOS!BG20</f>
        <v>N/D</v>
      </c>
      <c r="CD3" s="146" t="str">
        <f ca="1">RESULTADOS!BH20</f>
        <v>N/T</v>
      </c>
      <c r="CE3" s="146" t="str">
        <f ca="1">RESULTADOS!BI20</f>
        <v>N/D</v>
      </c>
      <c r="CF3" s="146" t="str">
        <f ca="1">RESULTADOS!BJ20</f>
        <v>N/D</v>
      </c>
      <c r="CG3" s="146" t="str">
        <f ca="1">RESULTADOS!BK20</f>
        <v>N/D</v>
      </c>
      <c r="CH3" s="146" t="str">
        <f ca="1">RESULTADOS!BL20</f>
        <v>N/D</v>
      </c>
      <c r="CI3" s="146" t="str">
        <f ca="1">RESULTADOS!BM20</f>
        <v>N/D</v>
      </c>
      <c r="CJ3" s="146" t="str">
        <f ca="1">RESULTADOS!BN20</f>
        <v>N/T</v>
      </c>
      <c r="CK3" s="146" t="str">
        <f ca="1">RESULTADOS!BO20</f>
        <v>Falla</v>
      </c>
      <c r="CL3" s="146" t="str">
        <f ca="1">RESULTADOS!BP20</f>
        <v>N/T</v>
      </c>
      <c r="CM3" s="146" t="str">
        <f ca="1">RESULTADOS!BQ20</f>
        <v>N/T</v>
      </c>
      <c r="CN3" s="146" t="str">
        <f ca="1">RESULTADOS!BR20</f>
        <v>N/D</v>
      </c>
      <c r="CO3" s="146" t="str">
        <f ca="1">RESULTADOS!BS20</f>
        <v>N/T</v>
      </c>
      <c r="CP3" s="146" t="str">
        <f ca="1">RESULTADOS!BT20</f>
        <v>N/D</v>
      </c>
      <c r="CQ3" s="146" t="str">
        <f ca="1">RESULTADOS!BU20</f>
        <v>N/D</v>
      </c>
      <c r="CR3" s="146" t="str">
        <f ca="1">RESULTADOS!BV20</f>
        <v>N/D</v>
      </c>
      <c r="CS3" s="146" t="str">
        <f ca="1">RESULTADOS!BW20</f>
        <v>N/D</v>
      </c>
      <c r="CT3" s="146" t="str">
        <f ca="1">RESULTADOS!BX20</f>
        <v>N/D</v>
      </c>
      <c r="CU3" s="146" t="str">
        <f ca="1">RESULTADOS!BY20</f>
        <v>N/T</v>
      </c>
      <c r="CV3" s="146" t="str">
        <f ca="1">RESULTADOS!BZ20</f>
        <v>N/T</v>
      </c>
      <c r="CW3" s="146" t="str">
        <f ca="1">RESULTADOS!CA20</f>
        <v>N/D</v>
      </c>
      <c r="CX3" s="146" t="str">
        <f ca="1">RESULTADOS!CB20</f>
        <v>N/T</v>
      </c>
      <c r="CY3" s="146" t="str">
        <f ca="1">RESULTADOS!CC20</f>
        <v>N/T</v>
      </c>
      <c r="CZ3" s="146" t="str">
        <f ca="1">RESULTADOS!CD20</f>
        <v>N/T</v>
      </c>
      <c r="DA3" s="146" t="str">
        <f ca="1">RESULTADOS!CE20</f>
        <v>N/D</v>
      </c>
      <c r="DB3" s="146" t="str">
        <f ca="1">RESULTADOS!CF20</f>
        <v>N/T</v>
      </c>
      <c r="DC3" s="146" t="str">
        <f ca="1">RESULTADOS!CG20</f>
        <v>N/T</v>
      </c>
      <c r="DD3" s="146" t="str">
        <f ca="1">RESULTADOS!CH20</f>
        <v>N/T</v>
      </c>
      <c r="DE3" s="146" t="str">
        <f ca="1">RESULTADOS!CI20</f>
        <v>N/T</v>
      </c>
      <c r="DF3" s="146" t="str">
        <f ca="1">RESULTADOS!CJ20</f>
        <v>N/T</v>
      </c>
      <c r="DG3" s="146" t="str">
        <f ca="1">RESULTADOS!CK20</f>
        <v>N/T</v>
      </c>
      <c r="DH3" s="146" t="str">
        <f ca="1">RESULTADOS!CL20</f>
        <v>N/T</v>
      </c>
      <c r="DI3" s="146" t="str">
        <f ca="1">RESULTADOS!CM20</f>
        <v>N/T</v>
      </c>
      <c r="DJ3" s="146" t="str">
        <f ca="1">RESULTADOS!CN20</f>
        <v>N/T</v>
      </c>
      <c r="DK3" s="146" t="str">
        <f ca="1">RESULTADOS!CO20</f>
        <v>N/T</v>
      </c>
      <c r="DL3" s="146" t="str">
        <f ca="1">RESULTADOS!CP20</f>
        <v>N/T</v>
      </c>
      <c r="DM3" s="146" t="str">
        <f ca="1">RESULTADOS!CQ20</f>
        <v>N/T</v>
      </c>
      <c r="DN3" s="146" t="str">
        <f ca="1">RESULTADOS!CR20</f>
        <v>N/T</v>
      </c>
      <c r="DO3" s="148" t="n">
        <f>RESULTADOS!B61</f>
        <v>1.0</v>
      </c>
      <c r="DP3" s="148" t="str">
        <f>RESULTADOS!C61</f>
        <v>Home - PortCastelló</v>
      </c>
      <c r="DQ3" s="148" t="str">
        <f>IF(DO3&lt;&gt;"","Documento no web","")</f>
        <v>Documento no web</v>
      </c>
      <c r="DR3" s="148" t="str" cm="1">
        <f t="array" ref="DR3">IFERROR(INDEX('03.Muestra'!$E$8:$E$42,SMALL(IF("Documento no web"='03.Muestra'!$D$8:$D$42,ROW('03.Muestra'!$E$8:$E$42)-MIN(ROW('03.Muestra'!$D$8:$D$42))+1,""),ROW()-2)),"")</f>
        <v/>
      </c>
      <c r="DS3" s="148" t="str">
        <f>RESULTADOS!D61</f>
        <v>https://www.portcastello.com/</v>
      </c>
      <c r="DT3" s="148" t="n" cm="1">
        <f t="array" ref="DT3">IFERROR(INDEX('03.Muestra'!$G$8:$G$42,SMALL(IF("Documento no web"='03.Muestra'!$D$8:$D$42,ROW('03.Muestra'!$G$8:$G$42)-MIN(ROW('03.Muestra'!$D$8:$D$42))+1,""),ROW()-2)),"")</f>
        <v>0.0</v>
      </c>
      <c r="DU3" s="237" t="str" cm="1">
        <f t="array" ref="DU3">IFERROR(INDEX('03.Muestra'!$H$8:$H$42,SMALL(IF("Documento no web"='03.Muestra'!$D$8:$D$42,ROW('03.Muestra'!$H$8:$H$42)-MIN(ROW('03.Muestra'!$D$8:$D$42))+1,""),ROW()-2)),"")</f>
        <v>Ej. Imágenes, tablas, listas, multimedia, formularios, plantilla X, plantilla Y</v>
      </c>
      <c r="DV3" s="146" t="str">
        <f ca="1">RESULTADOS!E61</f>
        <v>N/D</v>
      </c>
      <c r="DW3" s="146" t="str">
        <f ca="1">RESULTADOS!F61</f>
        <v>N/T</v>
      </c>
      <c r="DX3" s="146" t="str">
        <f ca="1">RESULTADOS!G61</f>
        <v>N/T</v>
      </c>
      <c r="DY3" s="146" t="str">
        <f ca="1">RESULTADOS!H61</f>
        <v>N/T</v>
      </c>
      <c r="DZ3" s="146" t="str">
        <f ca="1">RESULTADOS!I61</f>
        <v>N/T</v>
      </c>
      <c r="EA3" s="146" t="str">
        <f ca="1">RESULTADOS!J61</f>
        <v>Falla</v>
      </c>
      <c r="EB3" s="146" t="str">
        <f ca="1">RESULTADOS!K61</f>
        <v>N/T</v>
      </c>
      <c r="EC3" s="146" t="str">
        <f ca="1">RESULTADOS!L61</f>
        <v>N/T</v>
      </c>
      <c r="ED3" s="146" t="str">
        <f ca="1">RESULTADOS!M61</f>
        <v>N/T</v>
      </c>
      <c r="EE3" s="146" t="str">
        <f ca="1">RESULTADOS!N61</f>
        <v>N/T</v>
      </c>
      <c r="EF3" s="146" t="str">
        <f ca="1">RESULTADOS!O61</f>
        <v>N/T</v>
      </c>
      <c r="EG3" s="146" t="str">
        <f ca="1">RESULTADOS!P61</f>
        <v>N/T</v>
      </c>
      <c r="EH3" s="146" t="str">
        <f ca="1">RESULTADOS!Q61</f>
        <v>N/T</v>
      </c>
      <c r="EI3" s="146" t="str">
        <f ca="1">RESULTADOS!R61</f>
        <v>N/T</v>
      </c>
      <c r="EJ3" s="146" t="str">
        <f ca="1">RESULTADOS!S61</f>
        <v>N/T</v>
      </c>
      <c r="EK3" s="146" t="str">
        <f ca="1">RESULTADOS!T61</f>
        <v>N/T</v>
      </c>
      <c r="EL3" s="146" t="str">
        <f ca="1">RESULTADOS!U61</f>
        <v>N/T</v>
      </c>
      <c r="EM3" s="146" t="str">
        <f ca="1">RESULTADOS!V61</f>
        <v>N/T</v>
      </c>
      <c r="EN3" s="146" t="str">
        <f ca="1">RESULTADOS!W61</f>
        <v>N/T</v>
      </c>
      <c r="EO3" s="146" t="str">
        <f ca="1">RESULTADOS!X61</f>
        <v>N/T</v>
      </c>
      <c r="EP3" s="146" t="str">
        <f ca="1">RESULTADOS!Y61</f>
        <v>N/T</v>
      </c>
      <c r="EQ3" s="146" t="str">
        <f ca="1">RESULTADOS!Z61</f>
        <v>N/T</v>
      </c>
      <c r="ER3" s="146" t="str">
        <f ca="1">RESULTADOS!AA61</f>
        <v>N/T</v>
      </c>
      <c r="ES3" s="146" t="str">
        <f ca="1">RESULTADOS!AB61</f>
        <v>N/T</v>
      </c>
      <c r="ET3" s="146" t="str">
        <f ca="1">RESULTADOS!AC61</f>
        <v>N/T</v>
      </c>
      <c r="EU3" s="146" t="str">
        <f ca="1">RESULTADOS!AD61</f>
        <v>Falla</v>
      </c>
      <c r="EV3" s="146" t="str">
        <f ca="1">RESULTADOS!AE61</f>
        <v>N/T</v>
      </c>
      <c r="EW3" s="146" t="str">
        <f ca="1">RESULTADOS!AF61</f>
        <v>N/T</v>
      </c>
      <c r="EX3" s="146" t="str">
        <f ca="1">RESULTADOS!AG61</f>
        <v>N/T</v>
      </c>
      <c r="EY3" s="146" t="str">
        <f ca="1">RESULTADOS!AH61</f>
        <v>N/T</v>
      </c>
      <c r="EZ3" s="146" t="str">
        <f ca="1">RESULTADOS!AI61</f>
        <v>N/T</v>
      </c>
      <c r="FA3" s="146" t="str">
        <f ca="1">RESULTADOS!AJ61</f>
        <v>N/T</v>
      </c>
      <c r="FB3" s="146" t="str">
        <f ca="1">RESULTADOS!AK61</f>
        <v>N/T</v>
      </c>
      <c r="FC3" s="146" t="str">
        <f ca="1">RESULTADOS!AL61</f>
        <v>N/T</v>
      </c>
      <c r="FD3" s="146" t="str">
        <f ca="1">RESULTADOS!AM61</f>
        <v>N/D</v>
      </c>
      <c r="FE3" s="146" t="str">
        <f ca="1">RESULTADOS!AN61</f>
        <v>N/T</v>
      </c>
      <c r="FF3" s="146" t="str">
        <f ca="1">RESULTADOS!AO61</f>
        <v>N/T</v>
      </c>
      <c r="FG3" s="146" t="str">
        <f ca="1">RESULTADOS!AP61</f>
        <v>N/T</v>
      </c>
      <c r="FH3" s="146" t="str">
        <f ca="1">RESULTADOS!AQ61</f>
        <v>N/T</v>
      </c>
      <c r="FI3" s="146" t="str">
        <f ca="1">RESULTADOS!AR61</f>
        <v>N/T</v>
      </c>
      <c r="FJ3" s="146" t="str">
        <f ca="1">RESULTADOS!AS61</f>
        <v>N/T</v>
      </c>
      <c r="FK3" s="146" t="str">
        <f ca="1">RESULTADOS!AT61</f>
        <v>N/T</v>
      </c>
      <c r="FL3" s="146" t="str">
        <f ca="1">RESULTADOS!AU61</f>
        <v>N/T</v>
      </c>
      <c r="FM3" s="146" t="str">
        <f ca="1">RESULTADOS!AV61</f>
        <v>Falla</v>
      </c>
      <c r="FN3" s="146" t="str">
        <f ca="1">RESULTADOS!AW61</f>
        <v>N/T</v>
      </c>
    </row>
    <row r="4" spans="1:170">
      <c r="C4" s="144" t="s">
        <v>135</v>
      </c>
      <c r="D4" s="147" t="n">
        <f>'01.Definición de ámbito'!C11</f>
        <v>0.0</v>
      </c>
      <c r="E4" s="144" t="s">
        <v>299</v>
      </c>
      <c r="F4" s="147" t="str">
        <f>'02.Tecnologías'!C11</f>
        <v>No</v>
      </c>
      <c r="G4" s="147" t="n">
        <f>'02.Tecnologías'!K14</f>
        <v>0.0</v>
      </c>
      <c r="H4" s="147" t="n">
        <f>'02.Tecnologías'!L14</f>
        <v>0.0</v>
      </c>
      <c r="I4" s="206"/>
      <c r="J4" s="206"/>
      <c r="K4" s="153" t="s">
        <v>348</v>
      </c>
      <c r="L4" s="207" t="n">
        <f>'03.Muestra'!D49</f>
        <v>0.0</v>
      </c>
      <c r="M4" s="144"/>
      <c r="T4" s="148" t="n">
        <f>RESULTADOS!B21</f>
        <v>1.0</v>
      </c>
      <c r="U4" s="148" t="str">
        <f>RESULTADOS!C21</f>
        <v>Home - PortCastelló</v>
      </c>
      <c r="V4" s="148" t="str">
        <f t="shared" ref="V4:V37" si="0">IF(T4&lt;&gt;"","Página web","")</f>
        <v>Página web</v>
      </c>
      <c r="W4" s="148" t="str">
        <v/>
      </c>
      <c r="X4" s="148" t="str">
        <f>RESULTADOS!D21</f>
        <v>https://www.portcastello.com/</v>
      </c>
      <c r="Y4" s="148" t="n">
        <v>0.0</v>
      </c>
      <c r="Z4" s="237" t="str">
        <v>Ej. Imágenes, tablas, listas, multimedia, formularios, plantilla X, plantilla Y</v>
      </c>
      <c r="AA4" s="146" t="str">
        <f ca="1">RESULTADOS!E21</f>
        <v>N/T</v>
      </c>
      <c r="AB4" s="146" t="str">
        <f ca="1">RESULTADOS!F21</f>
        <v>N/T</v>
      </c>
      <c r="AC4" s="146" t="str">
        <f ca="1">RESULTADOS!G21</f>
        <v>N/T</v>
      </c>
      <c r="AD4" s="146" t="str">
        <f ca="1">RESULTADOS!H21</f>
        <v>N/T</v>
      </c>
      <c r="AE4" s="146" t="str">
        <f ca="1">RESULTADOS!I21</f>
        <v>N/T</v>
      </c>
      <c r="AF4" s="146" t="str">
        <f ca="1">RESULTADOS!J21</f>
        <v>N/T</v>
      </c>
      <c r="AG4" s="146" t="str">
        <f ca="1">RESULTADOS!K21</f>
        <v>N/T</v>
      </c>
      <c r="AH4" s="146" t="str">
        <f ca="1">RESULTADOS!L21</f>
        <v>N/T</v>
      </c>
      <c r="AI4" s="146" t="str">
        <f ca="1">RESULTADOS!M21</f>
        <v>N/T</v>
      </c>
      <c r="AJ4" s="146" t="str">
        <f ca="1">RESULTADOS!N21</f>
        <v>N/T</v>
      </c>
      <c r="AK4" s="146" t="str">
        <f ca="1">RESULTADOS!O21</f>
        <v>N/T</v>
      </c>
      <c r="AL4" s="146" t="str">
        <f ca="1">RESULTADOS!P21</f>
        <v>N/T</v>
      </c>
      <c r="AM4" s="146" t="str">
        <f ca="1">RESULTADOS!Q21</f>
        <v>N/T</v>
      </c>
      <c r="AN4" s="146" t="str">
        <f ca="1">RESULTADOS!R21</f>
        <v>N/T</v>
      </c>
      <c r="AO4" s="146" t="str">
        <f ca="1">RESULTADOS!S21</f>
        <v>N/T</v>
      </c>
      <c r="AP4" s="146" t="str">
        <f ca="1">RESULTADOS!T21</f>
        <v>N/T</v>
      </c>
      <c r="AQ4" s="146" t="str">
        <f ca="1">RESULTADOS!U21</f>
        <v>N/T</v>
      </c>
      <c r="AR4" s="146" t="str">
        <f ca="1">RESULTADOS!V21</f>
        <v>N/T</v>
      </c>
      <c r="AS4" s="146" t="str">
        <f ca="1">RESULTADOS!W21</f>
        <v>N/T</v>
      </c>
      <c r="AT4" s="146" t="str">
        <f ca="1">RESULTADOS!X21</f>
        <v>N/T</v>
      </c>
      <c r="AU4" s="146" t="str">
        <f ca="1">RESULTADOS!Y21</f>
        <v>N/T</v>
      </c>
      <c r="AV4" s="146" t="str">
        <f ca="1">RESULTADOS!Z21</f>
        <v>N/T</v>
      </c>
      <c r="AW4" s="146" t="str">
        <f ca="1">RESULTADOS!AA21</f>
        <v>N/T</v>
      </c>
      <c r="AX4" s="146" t="str">
        <f ca="1">RESULTADOS!AB21</f>
        <v>N/T</v>
      </c>
      <c r="AY4" s="146" t="str">
        <f ca="1">RESULTADOS!AC21</f>
        <v>N/T</v>
      </c>
      <c r="AZ4" s="146" t="str">
        <f ca="1">RESULTADOS!AD21</f>
        <v>N/T</v>
      </c>
      <c r="BA4" s="146" t="str">
        <f ca="1">RESULTADOS!AE21</f>
        <v>N/T</v>
      </c>
      <c r="BB4" s="146" t="str">
        <f ca="1">RESULTADOS!AF21</f>
        <v>N/T</v>
      </c>
      <c r="BC4" s="146" t="str">
        <f ca="1">RESULTADOS!AG21</f>
        <v>N/T</v>
      </c>
      <c r="BD4" s="146" t="str">
        <f ca="1">RESULTADOS!AH21</f>
        <v>N/T</v>
      </c>
      <c r="BE4" s="146" t="str">
        <f ca="1">RESULTADOS!AI21</f>
        <v>N/T</v>
      </c>
      <c r="BF4" s="146" t="str">
        <f ca="1">RESULTADOS!AJ21</f>
        <v>N/D</v>
      </c>
      <c r="BG4" s="146" t="str">
        <f ca="1">RESULTADOS!AK21</f>
        <v>N/T</v>
      </c>
      <c r="BH4" s="146" t="str">
        <f ca="1">RESULTADOS!AL21</f>
        <v>N/T</v>
      </c>
      <c r="BI4" s="146" t="str">
        <f ca="1">RESULTADOS!AM21</f>
        <v>N/T</v>
      </c>
      <c r="BJ4" s="146" t="str">
        <f ca="1">RESULTADOS!AN21</f>
        <v>N/T</v>
      </c>
      <c r="BK4" s="146" t="str">
        <f ca="1">RESULTADOS!AO21</f>
        <v>N/D</v>
      </c>
      <c r="BL4" s="146" t="str">
        <f ca="1">RESULTADOS!AP21</f>
        <v>N/T</v>
      </c>
      <c r="BM4" s="146" t="str">
        <f ca="1">RESULTADOS!AQ21</f>
        <v>N/T</v>
      </c>
      <c r="BN4" s="146" t="str">
        <f ca="1">RESULTADOS!AR21</f>
        <v>N/D</v>
      </c>
      <c r="BO4" s="146" t="str">
        <f ca="1">RESULTADOS!AS21</f>
        <v>N/D</v>
      </c>
      <c r="BP4" s="146" t="str">
        <f ca="1">RESULTADOS!AT21</f>
        <v>N/T</v>
      </c>
      <c r="BQ4" s="146" t="str">
        <f ca="1">RESULTADOS!AU21</f>
        <v>N/T</v>
      </c>
      <c r="BR4" s="146" t="str">
        <f ca="1">RESULTADOS!AV21</f>
        <v>N/D</v>
      </c>
      <c r="BS4" s="146" t="str">
        <f ca="1">RESULTADOS!AW21</f>
        <v>N/T</v>
      </c>
      <c r="BT4" s="146" t="str">
        <f ca="1">RESULTADOS!AX21</f>
        <v>N/T</v>
      </c>
      <c r="BU4" s="146" t="str">
        <f ca="1">RESULTADOS!AY21</f>
        <v>N/D</v>
      </c>
      <c r="BV4" s="146" t="str">
        <f ca="1">RESULTADOS!AZ21</f>
        <v>N/T</v>
      </c>
      <c r="BW4" s="146" t="str">
        <f ca="1">RESULTADOS!BA21</f>
        <v>N/D</v>
      </c>
      <c r="BX4" s="146" t="str">
        <f ca="1">RESULTADOS!BB21</f>
        <v>N/T</v>
      </c>
      <c r="BY4" s="146" t="str">
        <f ca="1">RESULTADOS!BC21</f>
        <v>N/D</v>
      </c>
      <c r="BZ4" s="146" t="str">
        <f ca="1">RESULTADOS!BD21</f>
        <v>N/T</v>
      </c>
      <c r="CA4" s="146" t="str">
        <f ca="1">RESULTADOS!BE21</f>
        <v>N/T</v>
      </c>
      <c r="CB4" s="146" t="str">
        <f ca="1">RESULTADOS!BF21</f>
        <v>N/D</v>
      </c>
      <c r="CC4" s="146" t="str">
        <f ca="1">RESULTADOS!BG21</f>
        <v>N/D</v>
      </c>
      <c r="CD4" s="146" t="str">
        <f ca="1">RESULTADOS!BH21</f>
        <v>N/T</v>
      </c>
      <c r="CE4" s="146" t="str">
        <f ca="1">RESULTADOS!BI21</f>
        <v>N/D</v>
      </c>
      <c r="CF4" s="146" t="str">
        <f ca="1">RESULTADOS!BJ21</f>
        <v>N/D</v>
      </c>
      <c r="CG4" s="146" t="str">
        <f ca="1">RESULTADOS!BK21</f>
        <v>N/D</v>
      </c>
      <c r="CH4" s="146" t="str">
        <f ca="1">RESULTADOS!BL21</f>
        <v>N/D</v>
      </c>
      <c r="CI4" s="146" t="str">
        <f ca="1">RESULTADOS!BM21</f>
        <v>N/D</v>
      </c>
      <c r="CJ4" s="146" t="str">
        <f ca="1">RESULTADOS!BN21</f>
        <v>N/T</v>
      </c>
      <c r="CK4" s="146" t="str">
        <f ca="1">RESULTADOS!BO21</f>
        <v>Falla</v>
      </c>
      <c r="CL4" s="146" t="str">
        <f ca="1">RESULTADOS!BP21</f>
        <v>N/T</v>
      </c>
      <c r="CM4" s="146" t="str">
        <f ca="1">RESULTADOS!BQ21</f>
        <v>N/T</v>
      </c>
      <c r="CN4" s="146" t="str">
        <f ca="1">RESULTADOS!BR21</f>
        <v>N/D</v>
      </c>
      <c r="CO4" s="146" t="str">
        <f ca="1">RESULTADOS!BS21</f>
        <v>N/T</v>
      </c>
      <c r="CP4" s="146" t="str">
        <f ca="1">RESULTADOS!BT21</f>
        <v>N/D</v>
      </c>
      <c r="CQ4" s="146" t="str">
        <f ca="1">RESULTADOS!BU21</f>
        <v>N/D</v>
      </c>
      <c r="CR4" s="146" t="str">
        <f ca="1">RESULTADOS!BV21</f>
        <v>N/D</v>
      </c>
      <c r="CS4" s="146" t="str">
        <f ca="1">RESULTADOS!BW21</f>
        <v>N/D</v>
      </c>
      <c r="CT4" s="146" t="str">
        <f ca="1">RESULTADOS!BX21</f>
        <v>N/D</v>
      </c>
      <c r="CU4" s="146" t="str">
        <f ca="1">RESULTADOS!BY21</f>
        <v>N/T</v>
      </c>
      <c r="CV4" s="146" t="str">
        <f ca="1">RESULTADOS!BZ21</f>
        <v>N/T</v>
      </c>
      <c r="CW4" s="146" t="str">
        <f ca="1">RESULTADOS!CA21</f>
        <v>N/D</v>
      </c>
      <c r="CX4" s="146" t="str">
        <f ca="1">RESULTADOS!CB21</f>
        <v>N/T</v>
      </c>
      <c r="CY4" s="146" t="str">
        <f ca="1">RESULTADOS!CC21</f>
        <v>N/T</v>
      </c>
      <c r="CZ4" s="146" t="str">
        <f ca="1">RESULTADOS!CD21</f>
        <v>N/T</v>
      </c>
      <c r="DA4" s="146" t="str">
        <f ca="1">RESULTADOS!CE21</f>
        <v>N/D</v>
      </c>
      <c r="DB4" s="146" t="str">
        <f ca="1">RESULTADOS!CF21</f>
        <v>N/T</v>
      </c>
      <c r="DC4" s="146" t="str">
        <f ca="1">RESULTADOS!CG21</f>
        <v>N/T</v>
      </c>
      <c r="DD4" s="146" t="str">
        <f ca="1">RESULTADOS!CH21</f>
        <v>N/T</v>
      </c>
      <c r="DE4" s="146" t="str">
        <f ca="1">RESULTADOS!CI21</f>
        <v>N/T</v>
      </c>
      <c r="DF4" s="146" t="str">
        <f ca="1">RESULTADOS!CJ21</f>
        <v>N/T</v>
      </c>
      <c r="DG4" s="146" t="str">
        <f ca="1">RESULTADOS!CK21</f>
        <v>N/T</v>
      </c>
      <c r="DH4" s="146" t="str">
        <f ca="1">RESULTADOS!CL21</f>
        <v>N/T</v>
      </c>
      <c r="DI4" s="146" t="str">
        <f ca="1">RESULTADOS!CM21</f>
        <v>N/T</v>
      </c>
      <c r="DJ4" s="146" t="str">
        <f ca="1">RESULTADOS!CN21</f>
        <v>N/T</v>
      </c>
      <c r="DK4" s="146" t="str">
        <f ca="1">RESULTADOS!CO21</f>
        <v>N/T</v>
      </c>
      <c r="DL4" s="146" t="str">
        <f ca="1">RESULTADOS!CP21</f>
        <v>N/T</v>
      </c>
      <c r="DM4" s="146" t="str">
        <f ca="1">RESULTADOS!CQ21</f>
        <v>N/T</v>
      </c>
      <c r="DN4" s="146" t="str">
        <f ca="1">RESULTADOS!CR21</f>
        <v>N/T</v>
      </c>
      <c r="DO4" s="148" t="n">
        <f>RESULTADOS!B62</f>
        <v>1.0</v>
      </c>
      <c r="DP4" s="148" t="str">
        <f>RESULTADOS!C62</f>
        <v>Home - PortCastelló</v>
      </c>
      <c r="DQ4" s="148" t="str">
        <f t="shared" ref="DQ4:DQ37" si="1">IF(DO4&lt;&gt;"","Documento no web","")</f>
        <v>Documento no web</v>
      </c>
      <c r="DR4" s="148" t="str" cm="1">
        <f t="array" ref="DR4">IFERROR(INDEX('03.Muestra'!$E$8:$E$42,SMALL(IF("Documento no web"='03.Muestra'!$D$8:$D$42,ROW('03.Muestra'!$E$8:$E$42)-MIN(ROW('03.Muestra'!$D$8:$D$42))+1,""),ROW()-2)),"")</f>
        <v/>
      </c>
      <c r="DS4" s="148" t="str">
        <f>RESULTADOS!D62</f>
        <v>https://www.portcastello.com/</v>
      </c>
      <c r="DT4" s="148" t="n" cm="1">
        <f t="array" ref="DT4">IFERROR(INDEX('03.Muestra'!$G$8:$G$42,SMALL(IF("Documento no web"='03.Muestra'!$D$8:$D$42,ROW('03.Muestra'!$G$8:$G$42)-MIN(ROW('03.Muestra'!$D$8:$D$42))+1,""),ROW()-2)),"")</f>
        <v>0.0</v>
      </c>
      <c r="DU4" s="237" t="str" cm="1">
        <f t="array" ref="DU4">IFERROR(INDEX('03.Muestra'!$H$8:$H$42,SMALL(IF("Documento no web"='03.Muestra'!$D$8:$D$42,ROW('03.Muestra'!$H$8:$H$42)-MIN(ROW('03.Muestra'!$D$8:$D$42))+1,""),ROW()-2)),"")</f>
        <v>Ej. Imágenes, tablas, listas, multimedia, formularios, plantilla X, plantilla Y</v>
      </c>
      <c r="DV4" s="146" t="str">
        <f ca="1">RESULTADOS!E62</f>
        <v>N/D</v>
      </c>
      <c r="DW4" s="146" t="str">
        <f ca="1">RESULTADOS!F62</f>
        <v>N/T</v>
      </c>
      <c r="DX4" s="146" t="str">
        <f ca="1">RESULTADOS!G62</f>
        <v>N/T</v>
      </c>
      <c r="DY4" s="146" t="str">
        <f ca="1">RESULTADOS!H62</f>
        <v>N/T</v>
      </c>
      <c r="DZ4" s="146" t="str">
        <f ca="1">RESULTADOS!I62</f>
        <v>N/T</v>
      </c>
      <c r="EA4" s="146" t="str">
        <f ca="1">RESULTADOS!J62</f>
        <v>Falla</v>
      </c>
      <c r="EB4" s="146" t="str">
        <f ca="1">RESULTADOS!K62</f>
        <v>N/T</v>
      </c>
      <c r="EC4" s="146" t="str">
        <f ca="1">RESULTADOS!L62</f>
        <v>N/T</v>
      </c>
      <c r="ED4" s="146" t="str">
        <f ca="1">RESULTADOS!M62</f>
        <v>N/T</v>
      </c>
      <c r="EE4" s="146" t="str">
        <f ca="1">RESULTADOS!N62</f>
        <v>N/T</v>
      </c>
      <c r="EF4" s="146" t="str">
        <f ca="1">RESULTADOS!O62</f>
        <v>N/T</v>
      </c>
      <c r="EG4" s="146" t="str">
        <f ca="1">RESULTADOS!P62</f>
        <v>N/T</v>
      </c>
      <c r="EH4" s="146" t="str">
        <f ca="1">RESULTADOS!Q62</f>
        <v>N/T</v>
      </c>
      <c r="EI4" s="146" t="str">
        <f ca="1">RESULTADOS!R62</f>
        <v>N/T</v>
      </c>
      <c r="EJ4" s="146" t="str">
        <f ca="1">RESULTADOS!S62</f>
        <v>N/T</v>
      </c>
      <c r="EK4" s="146" t="str">
        <f ca="1">RESULTADOS!T62</f>
        <v>N/T</v>
      </c>
      <c r="EL4" s="146" t="str">
        <f ca="1">RESULTADOS!U62</f>
        <v>N/T</v>
      </c>
      <c r="EM4" s="146" t="str">
        <f ca="1">RESULTADOS!V62</f>
        <v>N/T</v>
      </c>
      <c r="EN4" s="146" t="str">
        <f ca="1">RESULTADOS!W62</f>
        <v>N/T</v>
      </c>
      <c r="EO4" s="146" t="str">
        <f ca="1">RESULTADOS!X62</f>
        <v>N/T</v>
      </c>
      <c r="EP4" s="146" t="str">
        <f ca="1">RESULTADOS!Y62</f>
        <v>N/T</v>
      </c>
      <c r="EQ4" s="146" t="str">
        <f ca="1">RESULTADOS!Z62</f>
        <v>N/T</v>
      </c>
      <c r="ER4" s="146" t="str">
        <f ca="1">RESULTADOS!AA62</f>
        <v>N/T</v>
      </c>
      <c r="ES4" s="146" t="str">
        <f ca="1">RESULTADOS!AB62</f>
        <v>N/T</v>
      </c>
      <c r="ET4" s="146" t="str">
        <f ca="1">RESULTADOS!AC62</f>
        <v>N/T</v>
      </c>
      <c r="EU4" s="146" t="str">
        <f ca="1">RESULTADOS!AD62</f>
        <v>Falla</v>
      </c>
      <c r="EV4" s="146" t="str">
        <f ca="1">RESULTADOS!AE62</f>
        <v>N/T</v>
      </c>
      <c r="EW4" s="146" t="str">
        <f ca="1">RESULTADOS!AF62</f>
        <v>N/T</v>
      </c>
      <c r="EX4" s="146" t="str">
        <f ca="1">RESULTADOS!AG62</f>
        <v>N/T</v>
      </c>
      <c r="EY4" s="146" t="str">
        <f ca="1">RESULTADOS!AH62</f>
        <v>N/T</v>
      </c>
      <c r="EZ4" s="146" t="str">
        <f ca="1">RESULTADOS!AI62</f>
        <v>N/T</v>
      </c>
      <c r="FA4" s="146" t="str">
        <f ca="1">RESULTADOS!AJ62</f>
        <v>N/T</v>
      </c>
      <c r="FB4" s="146" t="str">
        <f ca="1">RESULTADOS!AK62</f>
        <v>N/T</v>
      </c>
      <c r="FC4" s="146" t="str">
        <f ca="1">RESULTADOS!AL62</f>
        <v>N/T</v>
      </c>
      <c r="FD4" s="146" t="str">
        <f ca="1">RESULTADOS!AM62</f>
        <v>N/D</v>
      </c>
      <c r="FE4" s="146" t="str">
        <f ca="1">RESULTADOS!AN62</f>
        <v>N/T</v>
      </c>
      <c r="FF4" s="146" t="str">
        <f ca="1">RESULTADOS!AO62</f>
        <v>N/T</v>
      </c>
      <c r="FG4" s="146" t="str">
        <f ca="1">RESULTADOS!AP62</f>
        <v>N/T</v>
      </c>
      <c r="FH4" s="146" t="str">
        <f ca="1">RESULTADOS!AQ62</f>
        <v>N/T</v>
      </c>
      <c r="FI4" s="146" t="str">
        <f ca="1">RESULTADOS!AR62</f>
        <v>N/T</v>
      </c>
      <c r="FJ4" s="146" t="str">
        <f ca="1">RESULTADOS!AS62</f>
        <v>N/T</v>
      </c>
      <c r="FK4" s="146" t="str">
        <f ca="1">RESULTADOS!AT62</f>
        <v>N/T</v>
      </c>
      <c r="FL4" s="146" t="str">
        <f ca="1">RESULTADOS!AU62</f>
        <v>N/T</v>
      </c>
      <c r="FM4" s="146" t="str">
        <f ca="1">RESULTADOS!AV62</f>
        <v>Falla</v>
      </c>
      <c r="FN4" s="146" t="str">
        <f ca="1">RESULTADOS!AW62</f>
        <v>N/T</v>
      </c>
    </row>
    <row r="5" spans="1:170">
      <c r="C5" s="144" t="s">
        <v>136</v>
      </c>
      <c r="D5" s="147" t="n">
        <f>'01.Definición de ámbito'!C13</f>
        <v>0.0</v>
      </c>
      <c r="E5" s="144" t="s">
        <v>302</v>
      </c>
      <c r="F5" s="147" t="str">
        <f>'02.Tecnologías'!C12</f>
        <v>Sí</v>
      </c>
      <c r="G5" s="147" t="n">
        <f>'02.Tecnologías'!K15</f>
        <v>0.0</v>
      </c>
      <c r="H5" s="147" t="n">
        <f>'02.Tecnologías'!L15</f>
        <v>0.0</v>
      </c>
      <c r="I5" s="206"/>
      <c r="J5" s="206"/>
      <c r="K5" s="153" t="s">
        <v>151</v>
      </c>
      <c r="L5" s="207" t="str">
        <f>'03.Muestra'!D52</f>
        <v>NO</v>
      </c>
      <c r="M5" s="144"/>
      <c r="T5" s="148" t="n">
        <f>RESULTADOS!B22</f>
        <v>1.0</v>
      </c>
      <c r="U5" s="148" t="str">
        <f>RESULTADOS!C22</f>
        <v>Home - PortCastelló</v>
      </c>
      <c r="V5" s="148" t="str">
        <f t="shared" si="0"/>
        <v>Página web</v>
      </c>
      <c r="W5" s="148" t="str">
        <v/>
      </c>
      <c r="X5" s="148" t="str">
        <f>RESULTADOS!D22</f>
        <v>https://www.portcastello.com/</v>
      </c>
      <c r="Y5" s="148" t="n">
        <v>0.0</v>
      </c>
      <c r="Z5" s="237" t="str">
        <v>Ej. Imágenes, tablas, listas, multimedia, formularios, plantilla X, plantilla Y</v>
      </c>
      <c r="AA5" s="146" t="str">
        <f ca="1">RESULTADOS!E22</f>
        <v>N/T</v>
      </c>
      <c r="AB5" s="146" t="str">
        <f ca="1">RESULTADOS!F22</f>
        <v>N/T</v>
      </c>
      <c r="AC5" s="146" t="str">
        <f ca="1">RESULTADOS!G22</f>
        <v>N/T</v>
      </c>
      <c r="AD5" s="146" t="str">
        <f ca="1">RESULTADOS!H22</f>
        <v>N/T</v>
      </c>
      <c r="AE5" s="146" t="str">
        <f ca="1">RESULTADOS!I22</f>
        <v>N/T</v>
      </c>
      <c r="AF5" s="146" t="str">
        <f ca="1">RESULTADOS!J22</f>
        <v>N/T</v>
      </c>
      <c r="AG5" s="146" t="str">
        <f ca="1">RESULTADOS!K22</f>
        <v>N/T</v>
      </c>
      <c r="AH5" s="146" t="str">
        <f ca="1">RESULTADOS!L22</f>
        <v>N/T</v>
      </c>
      <c r="AI5" s="146" t="str">
        <f ca="1">RESULTADOS!M22</f>
        <v>N/T</v>
      </c>
      <c r="AJ5" s="146" t="str">
        <f ca="1">RESULTADOS!N22</f>
        <v>N/T</v>
      </c>
      <c r="AK5" s="146" t="str">
        <f ca="1">RESULTADOS!O22</f>
        <v>N/T</v>
      </c>
      <c r="AL5" s="146" t="str">
        <f ca="1">RESULTADOS!P22</f>
        <v>N/T</v>
      </c>
      <c r="AM5" s="146" t="str">
        <f ca="1">RESULTADOS!Q22</f>
        <v>N/T</v>
      </c>
      <c r="AN5" s="146" t="str">
        <f ca="1">RESULTADOS!R22</f>
        <v>N/T</v>
      </c>
      <c r="AO5" s="146" t="str">
        <f ca="1">RESULTADOS!S22</f>
        <v>N/T</v>
      </c>
      <c r="AP5" s="146" t="str">
        <f ca="1">RESULTADOS!T22</f>
        <v>N/T</v>
      </c>
      <c r="AQ5" s="146" t="str">
        <f ca="1">RESULTADOS!U22</f>
        <v>N/T</v>
      </c>
      <c r="AR5" s="146" t="str">
        <f ca="1">RESULTADOS!V22</f>
        <v>N/T</v>
      </c>
      <c r="AS5" s="146" t="str">
        <f ca="1">RESULTADOS!W22</f>
        <v>N/T</v>
      </c>
      <c r="AT5" s="146" t="str">
        <f ca="1">RESULTADOS!X22</f>
        <v>N/T</v>
      </c>
      <c r="AU5" s="146" t="str">
        <f ca="1">RESULTADOS!Y22</f>
        <v>N/T</v>
      </c>
      <c r="AV5" s="146" t="str">
        <f ca="1">RESULTADOS!Z22</f>
        <v>N/T</v>
      </c>
      <c r="AW5" s="146" t="str">
        <f ca="1">RESULTADOS!AA22</f>
        <v>N/T</v>
      </c>
      <c r="AX5" s="146" t="str">
        <f ca="1">RESULTADOS!AB22</f>
        <v>N/T</v>
      </c>
      <c r="AY5" s="146" t="str">
        <f ca="1">RESULTADOS!AC22</f>
        <v>N/T</v>
      </c>
      <c r="AZ5" s="146" t="str">
        <f ca="1">RESULTADOS!AD22</f>
        <v>N/T</v>
      </c>
      <c r="BA5" s="146" t="str">
        <f ca="1">RESULTADOS!AE22</f>
        <v>N/T</v>
      </c>
      <c r="BB5" s="146" t="str">
        <f ca="1">RESULTADOS!AF22</f>
        <v>N/T</v>
      </c>
      <c r="BC5" s="146" t="str">
        <f ca="1">RESULTADOS!AG22</f>
        <v>N/T</v>
      </c>
      <c r="BD5" s="146" t="str">
        <f ca="1">RESULTADOS!AH22</f>
        <v>N/T</v>
      </c>
      <c r="BE5" s="146" t="str">
        <f ca="1">RESULTADOS!AI22</f>
        <v>N/T</v>
      </c>
      <c r="BF5" s="146" t="str">
        <f ca="1">RESULTADOS!AJ22</f>
        <v>N/D</v>
      </c>
      <c r="BG5" s="146" t="str">
        <f ca="1">RESULTADOS!AK22</f>
        <v>N/T</v>
      </c>
      <c r="BH5" s="146" t="str">
        <f ca="1">RESULTADOS!AL22</f>
        <v>N/T</v>
      </c>
      <c r="BI5" s="146" t="str">
        <f ca="1">RESULTADOS!AM22</f>
        <v>N/T</v>
      </c>
      <c r="BJ5" s="146" t="str">
        <f ca="1">RESULTADOS!AN22</f>
        <v>N/T</v>
      </c>
      <c r="BK5" s="146" t="str">
        <f ca="1">RESULTADOS!AO22</f>
        <v>N/D</v>
      </c>
      <c r="BL5" s="146" t="str">
        <f ca="1">RESULTADOS!AP22</f>
        <v>N/T</v>
      </c>
      <c r="BM5" s="146" t="str">
        <f ca="1">RESULTADOS!AQ22</f>
        <v>N/T</v>
      </c>
      <c r="BN5" s="146" t="str">
        <f ca="1">RESULTADOS!AR22</f>
        <v>N/D</v>
      </c>
      <c r="BO5" s="146" t="str">
        <f ca="1">RESULTADOS!AS22</f>
        <v>N/D</v>
      </c>
      <c r="BP5" s="146" t="str">
        <f ca="1">RESULTADOS!AT22</f>
        <v>N/T</v>
      </c>
      <c r="BQ5" s="146" t="str">
        <f ca="1">RESULTADOS!AU22</f>
        <v>N/T</v>
      </c>
      <c r="BR5" s="146" t="str">
        <f ca="1">RESULTADOS!AV22</f>
        <v>N/D</v>
      </c>
      <c r="BS5" s="146" t="str">
        <f ca="1">RESULTADOS!AW22</f>
        <v>N/T</v>
      </c>
      <c r="BT5" s="146" t="str">
        <f ca="1">RESULTADOS!AX22</f>
        <v>N/T</v>
      </c>
      <c r="BU5" s="146" t="str">
        <f ca="1">RESULTADOS!AY22</f>
        <v>N/D</v>
      </c>
      <c r="BV5" s="146" t="str">
        <f ca="1">RESULTADOS!AZ22</f>
        <v>N/T</v>
      </c>
      <c r="BW5" s="146" t="str">
        <f ca="1">RESULTADOS!BA22</f>
        <v>N/D</v>
      </c>
      <c r="BX5" s="146" t="str">
        <f ca="1">RESULTADOS!BB22</f>
        <v>N/T</v>
      </c>
      <c r="BY5" s="146" t="str">
        <f ca="1">RESULTADOS!BC22</f>
        <v>N/D</v>
      </c>
      <c r="BZ5" s="146" t="str">
        <f ca="1">RESULTADOS!BD22</f>
        <v>N/T</v>
      </c>
      <c r="CA5" s="146" t="str">
        <f ca="1">RESULTADOS!BE22</f>
        <v>N/T</v>
      </c>
      <c r="CB5" s="146" t="str">
        <f ca="1">RESULTADOS!BF22</f>
        <v>N/D</v>
      </c>
      <c r="CC5" s="146" t="str">
        <f ca="1">RESULTADOS!BG22</f>
        <v>N/D</v>
      </c>
      <c r="CD5" s="146" t="str">
        <f ca="1">RESULTADOS!BH22</f>
        <v>N/T</v>
      </c>
      <c r="CE5" s="146" t="str">
        <f ca="1">RESULTADOS!BI22</f>
        <v>N/D</v>
      </c>
      <c r="CF5" s="146" t="str">
        <f ca="1">RESULTADOS!BJ22</f>
        <v>N/D</v>
      </c>
      <c r="CG5" s="146" t="str">
        <f ca="1">RESULTADOS!BK22</f>
        <v>N/D</v>
      </c>
      <c r="CH5" s="146" t="str">
        <f ca="1">RESULTADOS!BL22</f>
        <v>N/D</v>
      </c>
      <c r="CI5" s="146" t="str">
        <f ca="1">RESULTADOS!BM22</f>
        <v>N/D</v>
      </c>
      <c r="CJ5" s="146" t="str">
        <f ca="1">RESULTADOS!BN22</f>
        <v>N/T</v>
      </c>
      <c r="CK5" s="146" t="str">
        <f ca="1">RESULTADOS!BO22</f>
        <v>Falla</v>
      </c>
      <c r="CL5" s="146" t="str">
        <f ca="1">RESULTADOS!BP22</f>
        <v>N/T</v>
      </c>
      <c r="CM5" s="146" t="str">
        <f ca="1">RESULTADOS!BQ22</f>
        <v>N/T</v>
      </c>
      <c r="CN5" s="146" t="str">
        <f ca="1">RESULTADOS!BR22</f>
        <v>N/D</v>
      </c>
      <c r="CO5" s="146" t="str">
        <f ca="1">RESULTADOS!BS22</f>
        <v>N/T</v>
      </c>
      <c r="CP5" s="146" t="str">
        <f ca="1">RESULTADOS!BT22</f>
        <v>N/D</v>
      </c>
      <c r="CQ5" s="146" t="str">
        <f ca="1">RESULTADOS!BU22</f>
        <v>N/D</v>
      </c>
      <c r="CR5" s="146" t="str">
        <f ca="1">RESULTADOS!BV22</f>
        <v>N/D</v>
      </c>
      <c r="CS5" s="146" t="str">
        <f ca="1">RESULTADOS!BW22</f>
        <v>N/D</v>
      </c>
      <c r="CT5" s="146" t="str">
        <f ca="1">RESULTADOS!BX22</f>
        <v>N/D</v>
      </c>
      <c r="CU5" s="146" t="str">
        <f ca="1">RESULTADOS!BY22</f>
        <v>N/T</v>
      </c>
      <c r="CV5" s="146" t="str">
        <f ca="1">RESULTADOS!BZ22</f>
        <v>N/T</v>
      </c>
      <c r="CW5" s="146" t="str">
        <f ca="1">RESULTADOS!CA22</f>
        <v>N/D</v>
      </c>
      <c r="CX5" s="146" t="str">
        <f ca="1">RESULTADOS!CB22</f>
        <v>N/T</v>
      </c>
      <c r="CY5" s="146" t="str">
        <f ca="1">RESULTADOS!CC22</f>
        <v>N/T</v>
      </c>
      <c r="CZ5" s="146" t="str">
        <f ca="1">RESULTADOS!CD22</f>
        <v>N/T</v>
      </c>
      <c r="DA5" s="146" t="str">
        <f ca="1">RESULTADOS!CE22</f>
        <v>N/D</v>
      </c>
      <c r="DB5" s="146" t="str">
        <f ca="1">RESULTADOS!CF22</f>
        <v>N/T</v>
      </c>
      <c r="DC5" s="146" t="str">
        <f ca="1">RESULTADOS!CG22</f>
        <v>N/T</v>
      </c>
      <c r="DD5" s="146" t="str">
        <f ca="1">RESULTADOS!CH22</f>
        <v>N/T</v>
      </c>
      <c r="DE5" s="146" t="str">
        <f ca="1">RESULTADOS!CI22</f>
        <v>N/T</v>
      </c>
      <c r="DF5" s="146" t="str">
        <f ca="1">RESULTADOS!CJ22</f>
        <v>N/T</v>
      </c>
      <c r="DG5" s="146" t="str">
        <f ca="1">RESULTADOS!CK22</f>
        <v>N/T</v>
      </c>
      <c r="DH5" s="146" t="str">
        <f ca="1">RESULTADOS!CL22</f>
        <v>N/T</v>
      </c>
      <c r="DI5" s="146" t="str">
        <f ca="1">RESULTADOS!CM22</f>
        <v>N/T</v>
      </c>
      <c r="DJ5" s="146" t="str">
        <f ca="1">RESULTADOS!CN22</f>
        <v>N/T</v>
      </c>
      <c r="DK5" s="146" t="str">
        <f ca="1">RESULTADOS!CO22</f>
        <v>N/T</v>
      </c>
      <c r="DL5" s="146" t="str">
        <f ca="1">RESULTADOS!CP22</f>
        <v>N/T</v>
      </c>
      <c r="DM5" s="146" t="str">
        <f ca="1">RESULTADOS!CQ22</f>
        <v>N/T</v>
      </c>
      <c r="DN5" s="146" t="str">
        <f ca="1">RESULTADOS!CR22</f>
        <v>N/T</v>
      </c>
      <c r="DO5" s="148" t="str">
        <f>RESULTADOS!B63</f>
        <v/>
      </c>
      <c r="DP5" s="148" t="str">
        <f>RESULTADOS!C63</f>
        <v/>
      </c>
      <c r="DQ5" s="148" t="str">
        <f t="shared" si="1"/>
        <v/>
      </c>
      <c r="DR5" s="148" t="str" cm="1">
        <f t="array" ref="DR5">IFERROR(INDEX('03.Muestra'!$E$8:$E$42,SMALL(IF("Documento no web"='03.Muestra'!$D$8:$D$42,ROW('03.Muestra'!$E$8:$E$42)-MIN(ROW('03.Muestra'!$D$8:$D$42))+1,""),ROW()-2)),"")</f>
        <v/>
      </c>
      <c r="DS5" s="148" t="str">
        <f>RESULTADOS!D63</f>
        <v/>
      </c>
      <c r="DT5" s="148" t="str" cm="1">
        <f t="array" ref="DT5">IFERROR(INDEX('03.Muestra'!$G$8:$G$42,SMALL(IF("Documento no web"='03.Muestra'!$D$8:$D$42,ROW('03.Muestra'!$G$8:$G$42)-MIN(ROW('03.Muestra'!$D$8:$D$42))+1,""),ROW()-2)),"")</f>
        <v/>
      </c>
      <c r="DU5" s="237" t="str" cm="1">
        <f t="array" ref="DU5">IFERROR(INDEX('03.Muestra'!$H$8:$H$42,SMALL(IF("Documento no web"='03.Muestra'!$D$8:$D$42,ROW('03.Muestra'!$H$8:$H$42)-MIN(ROW('03.Muestra'!$D$8:$D$42))+1,""),ROW()-2)),"")</f>
        <v/>
      </c>
      <c r="DV5" s="146" t="str">
        <f ca="1">RESULTADOS!E63</f>
        <v/>
      </c>
      <c r="DW5" s="146" t="str">
        <f ca="1">RESULTADOS!F63</f>
        <v/>
      </c>
      <c r="DX5" s="146" t="str">
        <f ca="1">RESULTADOS!G63</f>
        <v/>
      </c>
      <c r="DY5" s="146" t="str">
        <f ca="1">RESULTADOS!H63</f>
        <v/>
      </c>
      <c r="DZ5" s="146" t="str">
        <f ca="1">RESULTADOS!I63</f>
        <v/>
      </c>
      <c r="EA5" s="146" t="str">
        <f ca="1">RESULTADOS!J63</f>
        <v/>
      </c>
      <c r="EB5" s="146" t="str">
        <f ca="1">RESULTADOS!K63</f>
        <v/>
      </c>
      <c r="EC5" s="146" t="str">
        <f ca="1">RESULTADOS!L63</f>
        <v/>
      </c>
      <c r="ED5" s="146" t="str">
        <f ca="1">RESULTADOS!M63</f>
        <v/>
      </c>
      <c r="EE5" s="146" t="str">
        <f ca="1">RESULTADOS!N63</f>
        <v/>
      </c>
      <c r="EF5" s="146" t="str">
        <f ca="1">RESULTADOS!O63</f>
        <v/>
      </c>
      <c r="EG5" s="146" t="str">
        <f ca="1">RESULTADOS!P63</f>
        <v/>
      </c>
      <c r="EH5" s="146" t="str">
        <f ca="1">RESULTADOS!Q63</f>
        <v/>
      </c>
      <c r="EI5" s="146" t="str">
        <f ca="1">RESULTADOS!R63</f>
        <v/>
      </c>
      <c r="EJ5" s="146" t="str">
        <f ca="1">RESULTADOS!S63</f>
        <v/>
      </c>
      <c r="EK5" s="146" t="str">
        <f ca="1">RESULTADOS!T63</f>
        <v/>
      </c>
      <c r="EL5" s="146" t="str">
        <f ca="1">RESULTADOS!U63</f>
        <v/>
      </c>
      <c r="EM5" s="146" t="str">
        <f ca="1">RESULTADOS!V63</f>
        <v/>
      </c>
      <c r="EN5" s="146" t="str">
        <f ca="1">RESULTADOS!W63</f>
        <v/>
      </c>
      <c r="EO5" s="146" t="str">
        <f ca="1">RESULTADOS!X63</f>
        <v/>
      </c>
      <c r="EP5" s="146" t="str">
        <f ca="1">RESULTADOS!Y63</f>
        <v/>
      </c>
      <c r="EQ5" s="146" t="str">
        <f ca="1">RESULTADOS!Z63</f>
        <v/>
      </c>
      <c r="ER5" s="146" t="str">
        <f ca="1">RESULTADOS!AA63</f>
        <v/>
      </c>
      <c r="ES5" s="146" t="str">
        <f ca="1">RESULTADOS!AB63</f>
        <v/>
      </c>
      <c r="ET5" s="146" t="str">
        <f ca="1">RESULTADOS!AC63</f>
        <v/>
      </c>
      <c r="EU5" s="146" t="str">
        <f ca="1">RESULTADOS!AD63</f>
        <v/>
      </c>
      <c r="EV5" s="146" t="str">
        <f ca="1">RESULTADOS!AE63</f>
        <v/>
      </c>
      <c r="EW5" s="146" t="str">
        <f ca="1">RESULTADOS!AF63</f>
        <v/>
      </c>
      <c r="EX5" s="146" t="str">
        <f ca="1">RESULTADOS!AG63</f>
        <v/>
      </c>
      <c r="EY5" s="146" t="str">
        <f ca="1">RESULTADOS!AH63</f>
        <v/>
      </c>
      <c r="EZ5" s="146" t="str">
        <f ca="1">RESULTADOS!AI63</f>
        <v/>
      </c>
      <c r="FA5" s="146" t="str">
        <f ca="1">RESULTADOS!AJ63</f>
        <v/>
      </c>
      <c r="FB5" s="146" t="str">
        <f ca="1">RESULTADOS!AK63</f>
        <v/>
      </c>
      <c r="FC5" s="146" t="str">
        <f ca="1">RESULTADOS!AL63</f>
        <v/>
      </c>
      <c r="FD5" s="146" t="str">
        <f ca="1">RESULTADOS!AM63</f>
        <v/>
      </c>
      <c r="FE5" s="146" t="str">
        <f ca="1">RESULTADOS!AN63</f>
        <v/>
      </c>
      <c r="FF5" s="146" t="str">
        <f ca="1">RESULTADOS!AO63</f>
        <v/>
      </c>
      <c r="FG5" s="146" t="str">
        <f ca="1">RESULTADOS!AP63</f>
        <v/>
      </c>
      <c r="FH5" s="146" t="str">
        <f ca="1">RESULTADOS!AQ63</f>
        <v/>
      </c>
      <c r="FI5" s="146" t="str">
        <f ca="1">RESULTADOS!AR63</f>
        <v/>
      </c>
      <c r="FJ5" s="146" t="str">
        <f ca="1">RESULTADOS!AS63</f>
        <v/>
      </c>
      <c r="FK5" s="146" t="str">
        <f ca="1">RESULTADOS!AT63</f>
        <v/>
      </c>
      <c r="FL5" s="146" t="str">
        <f ca="1">RESULTADOS!AU63</f>
        <v/>
      </c>
      <c r="FM5" s="146" t="str">
        <f ca="1">RESULTADOS!AV63</f>
        <v/>
      </c>
      <c r="FN5" s="146" t="str">
        <f ca="1">RESULTADOS!AW63</f>
        <v/>
      </c>
    </row>
    <row r="6" spans="1:170">
      <c r="C6" s="144" t="s">
        <v>281</v>
      </c>
      <c r="D6" s="147" t="n">
        <f>'01.Definición de ámbito'!C17</f>
        <v>0.0</v>
      </c>
      <c r="E6" s="144" t="s">
        <v>307</v>
      </c>
      <c r="F6" s="147" t="str">
        <f>'02.Tecnologías'!C13</f>
        <v>Sí</v>
      </c>
      <c r="G6" s="147" t="n">
        <f>'02.Tecnologías'!K16</f>
        <v>0.0</v>
      </c>
      <c r="H6" s="147" t="n">
        <f>'02.Tecnologías'!L16</f>
        <v>0.0</v>
      </c>
      <c r="I6" s="206"/>
      <c r="J6" s="206"/>
      <c r="K6" s="144"/>
      <c r="L6" s="144"/>
      <c r="M6" s="144"/>
      <c r="T6" s="148" t="n">
        <f>RESULTADOS!B23</f>
        <v>1.0</v>
      </c>
      <c r="U6" s="148" t="str">
        <f>RESULTADOS!C23</f>
        <v>Home - PortCastelló</v>
      </c>
      <c r="V6" s="148" t="str">
        <f t="shared" si="0"/>
        <v>Página web</v>
      </c>
      <c r="W6" s="148" t="str">
        <v/>
      </c>
      <c r="X6" s="148" t="str">
        <f>RESULTADOS!D23</f>
        <v>https://www.portcastello.com/</v>
      </c>
      <c r="Y6" s="148" t="n">
        <v>0.0</v>
      </c>
      <c r="Z6" s="237" t="str">
        <v>Ej. Imágenes, tablas, listas, multimedia, formularios, plantilla X, plantilla Y</v>
      </c>
      <c r="AA6" s="146" t="str">
        <f ca="1">RESULTADOS!E23</f>
        <v>N/T</v>
      </c>
      <c r="AB6" s="146" t="str">
        <f ca="1">RESULTADOS!F23</f>
        <v>N/T</v>
      </c>
      <c r="AC6" s="146" t="str">
        <f ca="1">RESULTADOS!G23</f>
        <v>N/T</v>
      </c>
      <c r="AD6" s="146" t="str">
        <f ca="1">RESULTADOS!H23</f>
        <v>N/T</v>
      </c>
      <c r="AE6" s="146" t="str">
        <f ca="1">RESULTADOS!I23</f>
        <v>N/T</v>
      </c>
      <c r="AF6" s="146" t="str">
        <f ca="1">RESULTADOS!J23</f>
        <v>N/T</v>
      </c>
      <c r="AG6" s="146" t="str">
        <f ca="1">RESULTADOS!K23</f>
        <v>N/T</v>
      </c>
      <c r="AH6" s="146" t="str">
        <f ca="1">RESULTADOS!L23</f>
        <v>N/T</v>
      </c>
      <c r="AI6" s="146" t="str">
        <f ca="1">RESULTADOS!M23</f>
        <v>N/T</v>
      </c>
      <c r="AJ6" s="146" t="str">
        <f ca="1">RESULTADOS!N23</f>
        <v>N/T</v>
      </c>
      <c r="AK6" s="146" t="str">
        <f ca="1">RESULTADOS!O23</f>
        <v>N/T</v>
      </c>
      <c r="AL6" s="146" t="str">
        <f ca="1">RESULTADOS!P23</f>
        <v>N/T</v>
      </c>
      <c r="AM6" s="146" t="str">
        <f ca="1">RESULTADOS!Q23</f>
        <v>N/T</v>
      </c>
      <c r="AN6" s="146" t="str">
        <f ca="1">RESULTADOS!R23</f>
        <v>N/T</v>
      </c>
      <c r="AO6" s="146" t="str">
        <f ca="1">RESULTADOS!S23</f>
        <v>N/T</v>
      </c>
      <c r="AP6" s="146" t="str">
        <f ca="1">RESULTADOS!T23</f>
        <v>N/T</v>
      </c>
      <c r="AQ6" s="146" t="str">
        <f ca="1">RESULTADOS!U23</f>
        <v>N/T</v>
      </c>
      <c r="AR6" s="146" t="str">
        <f ca="1">RESULTADOS!V23</f>
        <v>N/T</v>
      </c>
      <c r="AS6" s="146" t="str">
        <f ca="1">RESULTADOS!W23</f>
        <v>N/T</v>
      </c>
      <c r="AT6" s="146" t="str">
        <f ca="1">RESULTADOS!X23</f>
        <v>N/T</v>
      </c>
      <c r="AU6" s="146" t="str">
        <f ca="1">RESULTADOS!Y23</f>
        <v>N/T</v>
      </c>
      <c r="AV6" s="146" t="str">
        <f ca="1">RESULTADOS!Z23</f>
        <v>N/T</v>
      </c>
      <c r="AW6" s="146" t="str">
        <f ca="1">RESULTADOS!AA23</f>
        <v>N/T</v>
      </c>
      <c r="AX6" s="146" t="str">
        <f ca="1">RESULTADOS!AB23</f>
        <v>N/T</v>
      </c>
      <c r="AY6" s="146" t="str">
        <f ca="1">RESULTADOS!AC23</f>
        <v>N/T</v>
      </c>
      <c r="AZ6" s="146" t="str">
        <f ca="1">RESULTADOS!AD23</f>
        <v>N/T</v>
      </c>
      <c r="BA6" s="146" t="str">
        <f ca="1">RESULTADOS!AE23</f>
        <v>N/T</v>
      </c>
      <c r="BB6" s="146" t="str">
        <f ca="1">RESULTADOS!AF23</f>
        <v>N/T</v>
      </c>
      <c r="BC6" s="146" t="str">
        <f ca="1">RESULTADOS!AG23</f>
        <v>N/T</v>
      </c>
      <c r="BD6" s="146" t="str">
        <f ca="1">RESULTADOS!AH23</f>
        <v>N/T</v>
      </c>
      <c r="BE6" s="146" t="str">
        <f ca="1">RESULTADOS!AI23</f>
        <v>N/T</v>
      </c>
      <c r="BF6" s="146" t="str">
        <f ca="1">RESULTADOS!AJ23</f>
        <v>N/D</v>
      </c>
      <c r="BG6" s="146" t="str">
        <f ca="1">RESULTADOS!AK23</f>
        <v>N/T</v>
      </c>
      <c r="BH6" s="146" t="str">
        <f ca="1">RESULTADOS!AL23</f>
        <v>N/T</v>
      </c>
      <c r="BI6" s="146" t="str">
        <f ca="1">RESULTADOS!AM23</f>
        <v>N/T</v>
      </c>
      <c r="BJ6" s="146" t="str">
        <f ca="1">RESULTADOS!AN23</f>
        <v>N/T</v>
      </c>
      <c r="BK6" s="146" t="str">
        <f ca="1">RESULTADOS!AO23</f>
        <v>N/D</v>
      </c>
      <c r="BL6" s="146" t="str">
        <f ca="1">RESULTADOS!AP23</f>
        <v>N/T</v>
      </c>
      <c r="BM6" s="146" t="str">
        <f ca="1">RESULTADOS!AQ23</f>
        <v>N/T</v>
      </c>
      <c r="BN6" s="146" t="str">
        <f ca="1">RESULTADOS!AR23</f>
        <v>N/D</v>
      </c>
      <c r="BO6" s="146" t="str">
        <f ca="1">RESULTADOS!AS23</f>
        <v>N/D</v>
      </c>
      <c r="BP6" s="146" t="str">
        <f ca="1">RESULTADOS!AT23</f>
        <v>N/T</v>
      </c>
      <c r="BQ6" s="146" t="str">
        <f ca="1">RESULTADOS!AU23</f>
        <v>N/T</v>
      </c>
      <c r="BR6" s="146" t="str">
        <f ca="1">RESULTADOS!AV23</f>
        <v>N/D</v>
      </c>
      <c r="BS6" s="146" t="str">
        <f ca="1">RESULTADOS!AW23</f>
        <v>N/T</v>
      </c>
      <c r="BT6" s="146" t="str">
        <f ca="1">RESULTADOS!AX23</f>
        <v>N/T</v>
      </c>
      <c r="BU6" s="146" t="str">
        <f ca="1">RESULTADOS!AY23</f>
        <v>N/D</v>
      </c>
      <c r="BV6" s="146" t="str">
        <f ca="1">RESULTADOS!AZ23</f>
        <v>N/T</v>
      </c>
      <c r="BW6" s="146" t="str">
        <f ca="1">RESULTADOS!BA23</f>
        <v>N/D</v>
      </c>
      <c r="BX6" s="146" t="str">
        <f ca="1">RESULTADOS!BB23</f>
        <v>N/T</v>
      </c>
      <c r="BY6" s="146" t="str">
        <f ca="1">RESULTADOS!BC23</f>
        <v>N/D</v>
      </c>
      <c r="BZ6" s="146" t="str">
        <f ca="1">RESULTADOS!BD23</f>
        <v>N/T</v>
      </c>
      <c r="CA6" s="146" t="str">
        <f ca="1">RESULTADOS!BE23</f>
        <v>N/T</v>
      </c>
      <c r="CB6" s="146" t="str">
        <f ca="1">RESULTADOS!BF23</f>
        <v>N/D</v>
      </c>
      <c r="CC6" s="146" t="str">
        <f ca="1">RESULTADOS!BG23</f>
        <v>N/D</v>
      </c>
      <c r="CD6" s="146" t="str">
        <f ca="1">RESULTADOS!BH23</f>
        <v>N/T</v>
      </c>
      <c r="CE6" s="146" t="str">
        <f ca="1">RESULTADOS!BI23</f>
        <v>N/D</v>
      </c>
      <c r="CF6" s="146" t="str">
        <f ca="1">RESULTADOS!BJ23</f>
        <v>N/D</v>
      </c>
      <c r="CG6" s="146" t="str">
        <f ca="1">RESULTADOS!BK23</f>
        <v>N/D</v>
      </c>
      <c r="CH6" s="146" t="str">
        <f ca="1">RESULTADOS!BL23</f>
        <v>N/D</v>
      </c>
      <c r="CI6" s="146" t="str">
        <f ca="1">RESULTADOS!BM23</f>
        <v>N/D</v>
      </c>
      <c r="CJ6" s="146" t="str">
        <f ca="1">RESULTADOS!BN23</f>
        <v>N/T</v>
      </c>
      <c r="CK6" s="146" t="str">
        <f ca="1">RESULTADOS!BO23</f>
        <v>Falla</v>
      </c>
      <c r="CL6" s="146" t="str">
        <f ca="1">RESULTADOS!BP23</f>
        <v>N/T</v>
      </c>
      <c r="CM6" s="146" t="str">
        <f ca="1">RESULTADOS!BQ23</f>
        <v>N/T</v>
      </c>
      <c r="CN6" s="146" t="str">
        <f ca="1">RESULTADOS!BR23</f>
        <v>N/D</v>
      </c>
      <c r="CO6" s="146" t="str">
        <f ca="1">RESULTADOS!BS23</f>
        <v>N/T</v>
      </c>
      <c r="CP6" s="146" t="str">
        <f ca="1">RESULTADOS!BT23</f>
        <v>N/D</v>
      </c>
      <c r="CQ6" s="146" t="str">
        <f ca="1">RESULTADOS!BU23</f>
        <v>N/D</v>
      </c>
      <c r="CR6" s="146" t="str">
        <f ca="1">RESULTADOS!BV23</f>
        <v>N/D</v>
      </c>
      <c r="CS6" s="146" t="str">
        <f ca="1">RESULTADOS!BW23</f>
        <v>N/D</v>
      </c>
      <c r="CT6" s="146" t="str">
        <f ca="1">RESULTADOS!BX23</f>
        <v>N/D</v>
      </c>
      <c r="CU6" s="146" t="str">
        <f ca="1">RESULTADOS!BY23</f>
        <v>N/T</v>
      </c>
      <c r="CV6" s="146" t="str">
        <f ca="1">RESULTADOS!BZ23</f>
        <v>N/T</v>
      </c>
      <c r="CW6" s="146" t="str">
        <f ca="1">RESULTADOS!CA23</f>
        <v>N/D</v>
      </c>
      <c r="CX6" s="146" t="str">
        <f ca="1">RESULTADOS!CB23</f>
        <v>N/T</v>
      </c>
      <c r="CY6" s="146" t="str">
        <f ca="1">RESULTADOS!CC23</f>
        <v>N/T</v>
      </c>
      <c r="CZ6" s="146" t="str">
        <f ca="1">RESULTADOS!CD23</f>
        <v>N/T</v>
      </c>
      <c r="DA6" s="146" t="str">
        <f ca="1">RESULTADOS!CE23</f>
        <v>N/D</v>
      </c>
      <c r="DB6" s="146" t="str">
        <f ca="1">RESULTADOS!CF23</f>
        <v>N/T</v>
      </c>
      <c r="DC6" s="146" t="str">
        <f ca="1">RESULTADOS!CG23</f>
        <v>N/T</v>
      </c>
      <c r="DD6" s="146" t="str">
        <f ca="1">RESULTADOS!CH23</f>
        <v>N/T</v>
      </c>
      <c r="DE6" s="146" t="str">
        <f ca="1">RESULTADOS!CI23</f>
        <v>N/T</v>
      </c>
      <c r="DF6" s="146" t="str">
        <f ca="1">RESULTADOS!CJ23</f>
        <v>N/T</v>
      </c>
      <c r="DG6" s="146" t="str">
        <f ca="1">RESULTADOS!CK23</f>
        <v>N/T</v>
      </c>
      <c r="DH6" s="146" t="str">
        <f ca="1">RESULTADOS!CL23</f>
        <v>N/T</v>
      </c>
      <c r="DI6" s="146" t="str">
        <f ca="1">RESULTADOS!CM23</f>
        <v>N/T</v>
      </c>
      <c r="DJ6" s="146" t="str">
        <f ca="1">RESULTADOS!CN23</f>
        <v>N/T</v>
      </c>
      <c r="DK6" s="146" t="str">
        <f ca="1">RESULTADOS!CO23</f>
        <v>N/T</v>
      </c>
      <c r="DL6" s="146" t="str">
        <f ca="1">RESULTADOS!CP23</f>
        <v>N/T</v>
      </c>
      <c r="DM6" s="146" t="str">
        <f ca="1">RESULTADOS!CQ23</f>
        <v>N/T</v>
      </c>
      <c r="DN6" s="146" t="str">
        <f ca="1">RESULTADOS!CR23</f>
        <v>N/T</v>
      </c>
      <c r="DO6" s="148" t="str">
        <f>RESULTADOS!B64</f>
        <v/>
      </c>
      <c r="DP6" s="148" t="str">
        <f>RESULTADOS!C64</f>
        <v/>
      </c>
      <c r="DQ6" s="148" t="str">
        <f t="shared" si="1"/>
        <v/>
      </c>
      <c r="DR6" s="148" t="str" cm="1">
        <f t="array" ref="DR6">IFERROR(INDEX('03.Muestra'!$E$8:$E$42,SMALL(IF("Documento no web"='03.Muestra'!$D$8:$D$42,ROW('03.Muestra'!$E$8:$E$42)-MIN(ROW('03.Muestra'!$D$8:$D$42))+1,""),ROW()-2)),"")</f>
        <v/>
      </c>
      <c r="DS6" s="148" t="str">
        <f>RESULTADOS!D64</f>
        <v/>
      </c>
      <c r="DT6" s="148" t="str" cm="1">
        <f t="array" ref="DT6">IFERROR(INDEX('03.Muestra'!$G$8:$G$42,SMALL(IF("Documento no web"='03.Muestra'!$D$8:$D$42,ROW('03.Muestra'!$G$8:$G$42)-MIN(ROW('03.Muestra'!$D$8:$D$42))+1,""),ROW()-2)),"")</f>
        <v/>
      </c>
      <c r="DU6" s="237" t="str" cm="1">
        <f t="array" ref="DU6">IFERROR(INDEX('03.Muestra'!$H$8:$H$42,SMALL(IF("Documento no web"='03.Muestra'!$D$8:$D$42,ROW('03.Muestra'!$H$8:$H$42)-MIN(ROW('03.Muestra'!$D$8:$D$42))+1,""),ROW()-2)),"")</f>
        <v/>
      </c>
      <c r="DV6" s="146" t="str">
        <f ca="1">RESULTADOS!E64</f>
        <v/>
      </c>
      <c r="DW6" s="146" t="str">
        <f ca="1">RESULTADOS!F64</f>
        <v/>
      </c>
      <c r="DX6" s="146" t="str">
        <f ca="1">RESULTADOS!G64</f>
        <v/>
      </c>
      <c r="DY6" s="146" t="str">
        <f ca="1">RESULTADOS!H64</f>
        <v/>
      </c>
      <c r="DZ6" s="146" t="str">
        <f ca="1">RESULTADOS!I64</f>
        <v/>
      </c>
      <c r="EA6" s="146" t="str">
        <f ca="1">RESULTADOS!J64</f>
        <v/>
      </c>
      <c r="EB6" s="146" t="str">
        <f ca="1">RESULTADOS!K64</f>
        <v/>
      </c>
      <c r="EC6" s="146" t="str">
        <f ca="1">RESULTADOS!L64</f>
        <v/>
      </c>
      <c r="ED6" s="146" t="str">
        <f ca="1">RESULTADOS!M64</f>
        <v/>
      </c>
      <c r="EE6" s="146" t="str">
        <f ca="1">RESULTADOS!N64</f>
        <v/>
      </c>
      <c r="EF6" s="146" t="str">
        <f ca="1">RESULTADOS!O64</f>
        <v/>
      </c>
      <c r="EG6" s="146" t="str">
        <f ca="1">RESULTADOS!P64</f>
        <v/>
      </c>
      <c r="EH6" s="146" t="str">
        <f ca="1">RESULTADOS!Q64</f>
        <v/>
      </c>
      <c r="EI6" s="146" t="str">
        <f ca="1">RESULTADOS!R64</f>
        <v/>
      </c>
      <c r="EJ6" s="146" t="str">
        <f ca="1">RESULTADOS!S64</f>
        <v/>
      </c>
      <c r="EK6" s="146" t="str">
        <f ca="1">RESULTADOS!T64</f>
        <v/>
      </c>
      <c r="EL6" s="146" t="str">
        <f ca="1">RESULTADOS!U64</f>
        <v/>
      </c>
      <c r="EM6" s="146" t="str">
        <f ca="1">RESULTADOS!V64</f>
        <v/>
      </c>
      <c r="EN6" s="146" t="str">
        <f ca="1">RESULTADOS!W64</f>
        <v/>
      </c>
      <c r="EO6" s="146" t="str">
        <f ca="1">RESULTADOS!X64</f>
        <v/>
      </c>
      <c r="EP6" s="146" t="str">
        <f ca="1">RESULTADOS!Y64</f>
        <v/>
      </c>
      <c r="EQ6" s="146" t="str">
        <f ca="1">RESULTADOS!Z64</f>
        <v/>
      </c>
      <c r="ER6" s="146" t="str">
        <f ca="1">RESULTADOS!AA64</f>
        <v/>
      </c>
      <c r="ES6" s="146" t="str">
        <f ca="1">RESULTADOS!AB64</f>
        <v/>
      </c>
      <c r="ET6" s="146" t="str">
        <f ca="1">RESULTADOS!AC64</f>
        <v/>
      </c>
      <c r="EU6" s="146" t="str">
        <f ca="1">RESULTADOS!AD64</f>
        <v/>
      </c>
      <c r="EV6" s="146" t="str">
        <f ca="1">RESULTADOS!AE64</f>
        <v/>
      </c>
      <c r="EW6" s="146" t="str">
        <f ca="1">RESULTADOS!AF64</f>
        <v/>
      </c>
      <c r="EX6" s="146" t="str">
        <f ca="1">RESULTADOS!AG64</f>
        <v/>
      </c>
      <c r="EY6" s="146" t="str">
        <f ca="1">RESULTADOS!AH64</f>
        <v/>
      </c>
      <c r="EZ6" s="146" t="str">
        <f ca="1">RESULTADOS!AI64</f>
        <v/>
      </c>
      <c r="FA6" s="146" t="str">
        <f ca="1">RESULTADOS!AJ64</f>
        <v/>
      </c>
      <c r="FB6" s="146" t="str">
        <f ca="1">RESULTADOS!AK64</f>
        <v/>
      </c>
      <c r="FC6" s="146" t="str">
        <f ca="1">RESULTADOS!AL64</f>
        <v/>
      </c>
      <c r="FD6" s="146" t="str">
        <f ca="1">RESULTADOS!AM64</f>
        <v/>
      </c>
      <c r="FE6" s="146" t="str">
        <f ca="1">RESULTADOS!AN64</f>
        <v/>
      </c>
      <c r="FF6" s="146" t="str">
        <f ca="1">RESULTADOS!AO64</f>
        <v/>
      </c>
      <c r="FG6" s="146" t="str">
        <f ca="1">RESULTADOS!AP64</f>
        <v/>
      </c>
      <c r="FH6" s="146" t="str">
        <f ca="1">RESULTADOS!AQ64</f>
        <v/>
      </c>
      <c r="FI6" s="146" t="str">
        <f ca="1">RESULTADOS!AR64</f>
        <v/>
      </c>
      <c r="FJ6" s="146" t="str">
        <f ca="1">RESULTADOS!AS64</f>
        <v/>
      </c>
      <c r="FK6" s="146" t="str">
        <f ca="1">RESULTADOS!AT64</f>
        <v/>
      </c>
      <c r="FL6" s="146" t="str">
        <f ca="1">RESULTADOS!AU64</f>
        <v/>
      </c>
      <c r="FM6" s="146" t="str">
        <f ca="1">RESULTADOS!AV64</f>
        <v/>
      </c>
      <c r="FN6" s="146" t="str">
        <f ca="1">RESULTADOS!AW64</f>
        <v/>
      </c>
    </row>
    <row r="7" spans="1:170">
      <c r="C7" s="144" t="s">
        <v>137</v>
      </c>
      <c r="D7" s="147" t="n">
        <f>'01.Definición de ámbito'!C19</f>
        <v>0.0</v>
      </c>
      <c r="E7" s="144" t="s">
        <v>294</v>
      </c>
      <c r="F7" s="147" t="str">
        <f>'02.Tecnologías'!F9</f>
        <v>No</v>
      </c>
      <c r="G7" s="147" t="n">
        <f>'02.Tecnologías'!K17</f>
        <v>0.0</v>
      </c>
      <c r="H7" s="147" t="n">
        <f>'02.Tecnologías'!L17</f>
        <v>0.0</v>
      </c>
      <c r="I7" s="206"/>
      <c r="J7" s="206"/>
      <c r="K7" s="144"/>
      <c r="L7" s="144"/>
      <c r="M7" s="144"/>
      <c r="T7" s="148" t="n">
        <f>RESULTADOS!B24</f>
        <v>1.0</v>
      </c>
      <c r="U7" s="148" t="str">
        <f>RESULTADOS!C24</f>
        <v>Home - PortCastelló</v>
      </c>
      <c r="V7" s="148" t="str">
        <f t="shared" si="0"/>
        <v>Página web</v>
      </c>
      <c r="W7" s="148" t="str">
        <v/>
      </c>
      <c r="X7" s="148" t="str">
        <f>RESULTADOS!D24</f>
        <v>https://www.portcastello.com/</v>
      </c>
      <c r="Y7" s="148" t="n">
        <v>0.0</v>
      </c>
      <c r="Z7" s="237" t="str">
        <v>Ej. Imágenes, tablas, listas, multimedia, formularios, plantilla X, plantilla Y</v>
      </c>
      <c r="AA7" s="146" t="str">
        <f ca="1">RESULTADOS!E24</f>
        <v>N/T</v>
      </c>
      <c r="AB7" s="146" t="str">
        <f ca="1">RESULTADOS!F24</f>
        <v>N/T</v>
      </c>
      <c r="AC7" s="146" t="str">
        <f ca="1">RESULTADOS!G24</f>
        <v>N/T</v>
      </c>
      <c r="AD7" s="146" t="str">
        <f ca="1">RESULTADOS!H24</f>
        <v>N/T</v>
      </c>
      <c r="AE7" s="146" t="str">
        <f ca="1">RESULTADOS!I24</f>
        <v>N/T</v>
      </c>
      <c r="AF7" s="146" t="str">
        <f ca="1">RESULTADOS!J24</f>
        <v>N/T</v>
      </c>
      <c r="AG7" s="146" t="str">
        <f ca="1">RESULTADOS!K24</f>
        <v>N/T</v>
      </c>
      <c r="AH7" s="146" t="str">
        <f ca="1">RESULTADOS!L24</f>
        <v>N/T</v>
      </c>
      <c r="AI7" s="146" t="str">
        <f ca="1">RESULTADOS!M24</f>
        <v>N/T</v>
      </c>
      <c r="AJ7" s="146" t="str">
        <f ca="1">RESULTADOS!N24</f>
        <v>N/T</v>
      </c>
      <c r="AK7" s="146" t="str">
        <f ca="1">RESULTADOS!O24</f>
        <v>N/T</v>
      </c>
      <c r="AL7" s="146" t="str">
        <f ca="1">RESULTADOS!P24</f>
        <v>N/T</v>
      </c>
      <c r="AM7" s="146" t="str">
        <f ca="1">RESULTADOS!Q24</f>
        <v>N/T</v>
      </c>
      <c r="AN7" s="146" t="str">
        <f ca="1">RESULTADOS!R24</f>
        <v>N/T</v>
      </c>
      <c r="AO7" s="146" t="str">
        <f ca="1">RESULTADOS!S24</f>
        <v>N/T</v>
      </c>
      <c r="AP7" s="146" t="str">
        <f ca="1">RESULTADOS!T24</f>
        <v>N/T</v>
      </c>
      <c r="AQ7" s="146" t="str">
        <f ca="1">RESULTADOS!U24</f>
        <v>N/T</v>
      </c>
      <c r="AR7" s="146" t="str">
        <f ca="1">RESULTADOS!V24</f>
        <v>N/T</v>
      </c>
      <c r="AS7" s="146" t="str">
        <f ca="1">RESULTADOS!W24</f>
        <v>N/T</v>
      </c>
      <c r="AT7" s="146" t="str">
        <f ca="1">RESULTADOS!X24</f>
        <v>N/T</v>
      </c>
      <c r="AU7" s="146" t="str">
        <f ca="1">RESULTADOS!Y24</f>
        <v>N/T</v>
      </c>
      <c r="AV7" s="146" t="str">
        <f ca="1">RESULTADOS!Z24</f>
        <v>N/T</v>
      </c>
      <c r="AW7" s="146" t="str">
        <f ca="1">RESULTADOS!AA24</f>
        <v>N/T</v>
      </c>
      <c r="AX7" s="146" t="str">
        <f ca="1">RESULTADOS!AB24</f>
        <v>N/T</v>
      </c>
      <c r="AY7" s="146" t="str">
        <f ca="1">RESULTADOS!AC24</f>
        <v>N/T</v>
      </c>
      <c r="AZ7" s="146" t="str">
        <f ca="1">RESULTADOS!AD24</f>
        <v>N/T</v>
      </c>
      <c r="BA7" s="146" t="str">
        <f ca="1">RESULTADOS!AE24</f>
        <v>N/T</v>
      </c>
      <c r="BB7" s="146" t="str">
        <f ca="1">RESULTADOS!AF24</f>
        <v>N/T</v>
      </c>
      <c r="BC7" s="146" t="str">
        <f ca="1">RESULTADOS!AG24</f>
        <v>N/T</v>
      </c>
      <c r="BD7" s="146" t="str">
        <f ca="1">RESULTADOS!AH24</f>
        <v>N/T</v>
      </c>
      <c r="BE7" s="146" t="str">
        <f ca="1">RESULTADOS!AI24</f>
        <v>N/T</v>
      </c>
      <c r="BF7" s="146" t="str">
        <f ca="1">RESULTADOS!AJ24</f>
        <v>N/D</v>
      </c>
      <c r="BG7" s="146" t="str">
        <f ca="1">RESULTADOS!AK24</f>
        <v>N/T</v>
      </c>
      <c r="BH7" s="146" t="str">
        <f ca="1">RESULTADOS!AL24</f>
        <v>N/T</v>
      </c>
      <c r="BI7" s="146" t="str">
        <f ca="1">RESULTADOS!AM24</f>
        <v>N/T</v>
      </c>
      <c r="BJ7" s="146" t="str">
        <f ca="1">RESULTADOS!AN24</f>
        <v>N/T</v>
      </c>
      <c r="BK7" s="146" t="str">
        <f ca="1">RESULTADOS!AO24</f>
        <v>N/D</v>
      </c>
      <c r="BL7" s="146" t="str">
        <f ca="1">RESULTADOS!AP24</f>
        <v>N/T</v>
      </c>
      <c r="BM7" s="146" t="str">
        <f ca="1">RESULTADOS!AQ24</f>
        <v>N/T</v>
      </c>
      <c r="BN7" s="146" t="str">
        <f ca="1">RESULTADOS!AR24</f>
        <v>N/D</v>
      </c>
      <c r="BO7" s="146" t="str">
        <f ca="1">RESULTADOS!AS24</f>
        <v>N/D</v>
      </c>
      <c r="BP7" s="146" t="str">
        <f ca="1">RESULTADOS!AT24</f>
        <v>N/T</v>
      </c>
      <c r="BQ7" s="146" t="str">
        <f ca="1">RESULTADOS!AU24</f>
        <v>N/T</v>
      </c>
      <c r="BR7" s="146" t="str">
        <f ca="1">RESULTADOS!AV24</f>
        <v>N/D</v>
      </c>
      <c r="BS7" s="146" t="str">
        <f ca="1">RESULTADOS!AW24</f>
        <v>N/T</v>
      </c>
      <c r="BT7" s="146" t="str">
        <f ca="1">RESULTADOS!AX24</f>
        <v>N/T</v>
      </c>
      <c r="BU7" s="146" t="str">
        <f ca="1">RESULTADOS!AY24</f>
        <v>N/D</v>
      </c>
      <c r="BV7" s="146" t="str">
        <f ca="1">RESULTADOS!AZ24</f>
        <v>N/T</v>
      </c>
      <c r="BW7" s="146" t="str">
        <f ca="1">RESULTADOS!BA24</f>
        <v>N/D</v>
      </c>
      <c r="BX7" s="146" t="str">
        <f ca="1">RESULTADOS!BB24</f>
        <v>N/T</v>
      </c>
      <c r="BY7" s="146" t="str">
        <f ca="1">RESULTADOS!BC24</f>
        <v>N/D</v>
      </c>
      <c r="BZ7" s="146" t="str">
        <f ca="1">RESULTADOS!BD24</f>
        <v>N/T</v>
      </c>
      <c r="CA7" s="146" t="str">
        <f ca="1">RESULTADOS!BE24</f>
        <v>N/T</v>
      </c>
      <c r="CB7" s="146" t="str">
        <f ca="1">RESULTADOS!BF24</f>
        <v>N/D</v>
      </c>
      <c r="CC7" s="146" t="str">
        <f ca="1">RESULTADOS!BG24</f>
        <v>N/D</v>
      </c>
      <c r="CD7" s="146" t="str">
        <f ca="1">RESULTADOS!BH24</f>
        <v>N/T</v>
      </c>
      <c r="CE7" s="146" t="str">
        <f ca="1">RESULTADOS!BI24</f>
        <v>N/D</v>
      </c>
      <c r="CF7" s="146" t="str">
        <f ca="1">RESULTADOS!BJ24</f>
        <v>N/D</v>
      </c>
      <c r="CG7" s="146" t="str">
        <f ca="1">RESULTADOS!BK24</f>
        <v>N/D</v>
      </c>
      <c r="CH7" s="146" t="str">
        <f ca="1">RESULTADOS!BL24</f>
        <v>Falla</v>
      </c>
      <c r="CI7" s="146" t="str">
        <f ca="1">RESULTADOS!BM24</f>
        <v>N/D</v>
      </c>
      <c r="CJ7" s="146" t="str">
        <f ca="1">RESULTADOS!BN24</f>
        <v>N/T</v>
      </c>
      <c r="CK7" s="146" t="str">
        <f ca="1">RESULTADOS!BO24</f>
        <v>Falla</v>
      </c>
      <c r="CL7" s="146" t="str">
        <f ca="1">RESULTADOS!BP24</f>
        <v>N/T</v>
      </c>
      <c r="CM7" s="146" t="str">
        <f ca="1">RESULTADOS!BQ24</f>
        <v>N/T</v>
      </c>
      <c r="CN7" s="146" t="str">
        <f ca="1">RESULTADOS!BR24</f>
        <v>N/D</v>
      </c>
      <c r="CO7" s="146" t="str">
        <f ca="1">RESULTADOS!BS24</f>
        <v>N/T</v>
      </c>
      <c r="CP7" s="146" t="str">
        <f ca="1">RESULTADOS!BT24</f>
        <v>N/D</v>
      </c>
      <c r="CQ7" s="146" t="str">
        <f ca="1">RESULTADOS!BU24</f>
        <v>N/D</v>
      </c>
      <c r="CR7" s="146" t="str">
        <f ca="1">RESULTADOS!BV24</f>
        <v>N/D</v>
      </c>
      <c r="CS7" s="146" t="str">
        <f ca="1">RESULTADOS!BW24</f>
        <v>N/D</v>
      </c>
      <c r="CT7" s="146" t="str">
        <f ca="1">RESULTADOS!BX24</f>
        <v>N/D</v>
      </c>
      <c r="CU7" s="146" t="str">
        <f ca="1">RESULTADOS!BY24</f>
        <v>N/T</v>
      </c>
      <c r="CV7" s="146" t="str">
        <f ca="1">RESULTADOS!BZ24</f>
        <v>N/T</v>
      </c>
      <c r="CW7" s="146" t="str">
        <f ca="1">RESULTADOS!CA24</f>
        <v>N/D</v>
      </c>
      <c r="CX7" s="146" t="str">
        <f ca="1">RESULTADOS!CB24</f>
        <v>N/T</v>
      </c>
      <c r="CY7" s="146" t="str">
        <f ca="1">RESULTADOS!CC24</f>
        <v>N/T</v>
      </c>
      <c r="CZ7" s="146" t="str">
        <f ca="1">RESULTADOS!CD24</f>
        <v>N/T</v>
      </c>
      <c r="DA7" s="146" t="str">
        <f ca="1">RESULTADOS!CE24</f>
        <v>N/D</v>
      </c>
      <c r="DB7" s="146" t="str">
        <f ca="1">RESULTADOS!CF24</f>
        <v>N/T</v>
      </c>
      <c r="DC7" s="146" t="str">
        <f ca="1">RESULTADOS!CG24</f>
        <v>N/T</v>
      </c>
      <c r="DD7" s="146" t="str">
        <f ca="1">RESULTADOS!CH24</f>
        <v>N/T</v>
      </c>
      <c r="DE7" s="146" t="str">
        <f ca="1">RESULTADOS!CI24</f>
        <v>N/T</v>
      </c>
      <c r="DF7" s="146" t="str">
        <f ca="1">RESULTADOS!CJ24</f>
        <v>N/T</v>
      </c>
      <c r="DG7" s="146" t="str">
        <f ca="1">RESULTADOS!CK24</f>
        <v>N/T</v>
      </c>
      <c r="DH7" s="146" t="str">
        <f ca="1">RESULTADOS!CL24</f>
        <v>N/T</v>
      </c>
      <c r="DI7" s="146" t="str">
        <f ca="1">RESULTADOS!CM24</f>
        <v>N/T</v>
      </c>
      <c r="DJ7" s="146" t="str">
        <f ca="1">RESULTADOS!CN24</f>
        <v>N/T</v>
      </c>
      <c r="DK7" s="146" t="str">
        <f ca="1">RESULTADOS!CO24</f>
        <v>N/T</v>
      </c>
      <c r="DL7" s="146" t="str">
        <f ca="1">RESULTADOS!CP24</f>
        <v>N/T</v>
      </c>
      <c r="DM7" s="146" t="str">
        <f ca="1">RESULTADOS!CQ24</f>
        <v>N/T</v>
      </c>
      <c r="DN7" s="146" t="str">
        <f ca="1">RESULTADOS!CR24</f>
        <v>N/T</v>
      </c>
      <c r="DO7" s="148" t="str">
        <f>RESULTADOS!B65</f>
        <v/>
      </c>
      <c r="DP7" s="148" t="str">
        <f>RESULTADOS!C65</f>
        <v/>
      </c>
      <c r="DQ7" s="148" t="str">
        <f t="shared" si="1"/>
        <v/>
      </c>
      <c r="DR7" s="148" t="str" cm="1">
        <f t="array" ref="DR7">IFERROR(INDEX('03.Muestra'!$E$8:$E$42,SMALL(IF("Documento no web"='03.Muestra'!$D$8:$D$42,ROW('03.Muestra'!$E$8:$E$42)-MIN(ROW('03.Muestra'!$D$8:$D$42))+1,""),ROW()-2)),"")</f>
        <v/>
      </c>
      <c r="DS7" s="148" t="str">
        <f>RESULTADOS!D65</f>
        <v/>
      </c>
      <c r="DT7" s="148" t="str" cm="1">
        <f t="array" ref="DT7">IFERROR(INDEX('03.Muestra'!$G$8:$G$42,SMALL(IF("Documento no web"='03.Muestra'!$D$8:$D$42,ROW('03.Muestra'!$G$8:$G$42)-MIN(ROW('03.Muestra'!$D$8:$D$42))+1,""),ROW()-2)),"")</f>
        <v/>
      </c>
      <c r="DU7" s="237" t="str" cm="1">
        <f t="array" ref="DU7">IFERROR(INDEX('03.Muestra'!$H$8:$H$42,SMALL(IF("Documento no web"='03.Muestra'!$D$8:$D$42,ROW('03.Muestra'!$H$8:$H$42)-MIN(ROW('03.Muestra'!$D$8:$D$42))+1,""),ROW()-2)),"")</f>
        <v/>
      </c>
      <c r="DV7" s="146" t="str">
        <f ca="1">RESULTADOS!E65</f>
        <v/>
      </c>
      <c r="DW7" s="146" t="str">
        <f ca="1">RESULTADOS!F65</f>
        <v/>
      </c>
      <c r="DX7" s="146" t="str">
        <f ca="1">RESULTADOS!G65</f>
        <v/>
      </c>
      <c r="DY7" s="146" t="str">
        <f ca="1">RESULTADOS!H65</f>
        <v/>
      </c>
      <c r="DZ7" s="146" t="str">
        <f ca="1">RESULTADOS!I65</f>
        <v/>
      </c>
      <c r="EA7" s="146" t="str">
        <f ca="1">RESULTADOS!J65</f>
        <v/>
      </c>
      <c r="EB7" s="146" t="str">
        <f ca="1">RESULTADOS!K65</f>
        <v/>
      </c>
      <c r="EC7" s="146" t="str">
        <f ca="1">RESULTADOS!L65</f>
        <v/>
      </c>
      <c r="ED7" s="146" t="str">
        <f ca="1">RESULTADOS!M65</f>
        <v/>
      </c>
      <c r="EE7" s="146" t="str">
        <f ca="1">RESULTADOS!N65</f>
        <v/>
      </c>
      <c r="EF7" s="146" t="str">
        <f ca="1">RESULTADOS!O65</f>
        <v/>
      </c>
      <c r="EG7" s="146" t="str">
        <f ca="1">RESULTADOS!P65</f>
        <v/>
      </c>
      <c r="EH7" s="146" t="str">
        <f ca="1">RESULTADOS!Q65</f>
        <v/>
      </c>
      <c r="EI7" s="146" t="str">
        <f ca="1">RESULTADOS!R65</f>
        <v/>
      </c>
      <c r="EJ7" s="146" t="str">
        <f ca="1">RESULTADOS!S65</f>
        <v/>
      </c>
      <c r="EK7" s="146" t="str">
        <f ca="1">RESULTADOS!T65</f>
        <v/>
      </c>
      <c r="EL7" s="146" t="str">
        <f ca="1">RESULTADOS!U65</f>
        <v/>
      </c>
      <c r="EM7" s="146" t="str">
        <f ca="1">RESULTADOS!V65</f>
        <v/>
      </c>
      <c r="EN7" s="146" t="str">
        <f ca="1">RESULTADOS!W65</f>
        <v/>
      </c>
      <c r="EO7" s="146" t="str">
        <f ca="1">RESULTADOS!X65</f>
        <v/>
      </c>
      <c r="EP7" s="146" t="str">
        <f ca="1">RESULTADOS!Y65</f>
        <v/>
      </c>
      <c r="EQ7" s="146" t="str">
        <f ca="1">RESULTADOS!Z65</f>
        <v/>
      </c>
      <c r="ER7" s="146" t="str">
        <f ca="1">RESULTADOS!AA65</f>
        <v/>
      </c>
      <c r="ES7" s="146" t="str">
        <f ca="1">RESULTADOS!AB65</f>
        <v/>
      </c>
      <c r="ET7" s="146" t="str">
        <f ca="1">RESULTADOS!AC65</f>
        <v/>
      </c>
      <c r="EU7" s="146" t="str">
        <f ca="1">RESULTADOS!AD65</f>
        <v/>
      </c>
      <c r="EV7" s="146" t="str">
        <f ca="1">RESULTADOS!AE65</f>
        <v/>
      </c>
      <c r="EW7" s="146" t="str">
        <f ca="1">RESULTADOS!AF65</f>
        <v/>
      </c>
      <c r="EX7" s="146" t="str">
        <f ca="1">RESULTADOS!AG65</f>
        <v/>
      </c>
      <c r="EY7" s="146" t="str">
        <f ca="1">RESULTADOS!AH65</f>
        <v/>
      </c>
      <c r="EZ7" s="146" t="str">
        <f ca="1">RESULTADOS!AI65</f>
        <v/>
      </c>
      <c r="FA7" s="146" t="str">
        <f ca="1">RESULTADOS!AJ65</f>
        <v/>
      </c>
      <c r="FB7" s="146" t="str">
        <f ca="1">RESULTADOS!AK65</f>
        <v/>
      </c>
      <c r="FC7" s="146" t="str">
        <f ca="1">RESULTADOS!AL65</f>
        <v/>
      </c>
      <c r="FD7" s="146" t="str">
        <f ca="1">RESULTADOS!AM65</f>
        <v/>
      </c>
      <c r="FE7" s="146" t="str">
        <f ca="1">RESULTADOS!AN65</f>
        <v/>
      </c>
      <c r="FF7" s="146" t="str">
        <f ca="1">RESULTADOS!AO65</f>
        <v/>
      </c>
      <c r="FG7" s="146" t="str">
        <f ca="1">RESULTADOS!AP65</f>
        <v/>
      </c>
      <c r="FH7" s="146" t="str">
        <f ca="1">RESULTADOS!AQ65</f>
        <v/>
      </c>
      <c r="FI7" s="146" t="str">
        <f ca="1">RESULTADOS!AR65</f>
        <v/>
      </c>
      <c r="FJ7" s="146" t="str">
        <f ca="1">RESULTADOS!AS65</f>
        <v/>
      </c>
      <c r="FK7" s="146" t="str">
        <f ca="1">RESULTADOS!AT65</f>
        <v/>
      </c>
      <c r="FL7" s="146" t="str">
        <f ca="1">RESULTADOS!AU65</f>
        <v/>
      </c>
      <c r="FM7" s="146" t="str">
        <f ca="1">RESULTADOS!AV65</f>
        <v/>
      </c>
      <c r="FN7" s="146" t="str">
        <f ca="1">RESULTADOS!AW65</f>
        <v/>
      </c>
    </row>
    <row r="8" spans="1:170">
      <c r="C8" s="144" t="s">
        <v>282</v>
      </c>
      <c r="D8" s="147" t="n">
        <f>'01.Definición de ámbito'!C21</f>
        <v>0.0</v>
      </c>
      <c r="E8" s="144" t="s">
        <v>297</v>
      </c>
      <c r="F8" s="147" t="str">
        <f>'02.Tecnologías'!F10</f>
        <v>No</v>
      </c>
      <c r="G8" s="147" t="n">
        <f>'02.Tecnologías'!K18</f>
        <v>0.0</v>
      </c>
      <c r="H8" s="147" t="n">
        <f>'02.Tecnologías'!L18</f>
        <v>0.0</v>
      </c>
      <c r="I8" s="206"/>
      <c r="J8" s="206"/>
      <c r="K8" s="144"/>
      <c r="L8" s="144"/>
      <c r="M8" s="144"/>
      <c r="T8" s="148" t="n">
        <f>RESULTADOS!B25</f>
        <v>1.0</v>
      </c>
      <c r="U8" s="148" t="str">
        <f>RESULTADOS!C25</f>
        <v>Home - PortCastelló</v>
      </c>
      <c r="V8" s="148" t="str">
        <f t="shared" si="0"/>
        <v>Página web</v>
      </c>
      <c r="W8" s="148" t="str">
        <v/>
      </c>
      <c r="X8" s="148" t="str">
        <f>RESULTADOS!D25</f>
        <v>https://www.portcastello.com/</v>
      </c>
      <c r="Y8" s="148" t="n">
        <v>0.0</v>
      </c>
      <c r="Z8" s="237" t="str">
        <v>Ej. Imágenes, tablas, listas, multimedia, formularios, plantilla X, plantilla Y</v>
      </c>
      <c r="AA8" s="146" t="str">
        <f ca="1">RESULTADOS!E25</f>
        <v>N/T</v>
      </c>
      <c r="AB8" s="146" t="str">
        <f ca="1">RESULTADOS!F25</f>
        <v>N/T</v>
      </c>
      <c r="AC8" s="146" t="str">
        <f ca="1">RESULTADOS!G25</f>
        <v>N/T</v>
      </c>
      <c r="AD8" s="146" t="str">
        <f ca="1">RESULTADOS!H25</f>
        <v>N/T</v>
      </c>
      <c r="AE8" s="146" t="str">
        <f ca="1">RESULTADOS!I25</f>
        <v>N/T</v>
      </c>
      <c r="AF8" s="146" t="str">
        <f ca="1">RESULTADOS!J25</f>
        <v>N/T</v>
      </c>
      <c r="AG8" s="146" t="str">
        <f ca="1">RESULTADOS!K25</f>
        <v>N/T</v>
      </c>
      <c r="AH8" s="146" t="str">
        <f ca="1">RESULTADOS!L25</f>
        <v>N/T</v>
      </c>
      <c r="AI8" s="146" t="str">
        <f ca="1">RESULTADOS!M25</f>
        <v>N/T</v>
      </c>
      <c r="AJ8" s="146" t="str">
        <f ca="1">RESULTADOS!N25</f>
        <v>N/T</v>
      </c>
      <c r="AK8" s="146" t="str">
        <f ca="1">RESULTADOS!O25</f>
        <v>N/T</v>
      </c>
      <c r="AL8" s="146" t="str">
        <f ca="1">RESULTADOS!P25</f>
        <v>N/T</v>
      </c>
      <c r="AM8" s="146" t="str">
        <f ca="1">RESULTADOS!Q25</f>
        <v>N/T</v>
      </c>
      <c r="AN8" s="146" t="str">
        <f ca="1">RESULTADOS!R25</f>
        <v>N/T</v>
      </c>
      <c r="AO8" s="146" t="str">
        <f ca="1">RESULTADOS!S25</f>
        <v>N/T</v>
      </c>
      <c r="AP8" s="146" t="str">
        <f ca="1">RESULTADOS!T25</f>
        <v>N/T</v>
      </c>
      <c r="AQ8" s="146" t="str">
        <f ca="1">RESULTADOS!U25</f>
        <v>N/T</v>
      </c>
      <c r="AR8" s="146" t="str">
        <f ca="1">RESULTADOS!V25</f>
        <v>N/T</v>
      </c>
      <c r="AS8" s="146" t="str">
        <f ca="1">RESULTADOS!W25</f>
        <v>N/T</v>
      </c>
      <c r="AT8" s="146" t="str">
        <f ca="1">RESULTADOS!X25</f>
        <v>N/T</v>
      </c>
      <c r="AU8" s="146" t="str">
        <f ca="1">RESULTADOS!Y25</f>
        <v>N/T</v>
      </c>
      <c r="AV8" s="146" t="str">
        <f ca="1">RESULTADOS!Z25</f>
        <v>N/T</v>
      </c>
      <c r="AW8" s="146" t="str">
        <f ca="1">RESULTADOS!AA25</f>
        <v>N/T</v>
      </c>
      <c r="AX8" s="146" t="str">
        <f ca="1">RESULTADOS!AB25</f>
        <v>N/T</v>
      </c>
      <c r="AY8" s="146" t="str">
        <f ca="1">RESULTADOS!AC25</f>
        <v>N/T</v>
      </c>
      <c r="AZ8" s="146" t="str">
        <f ca="1">RESULTADOS!AD25</f>
        <v>N/T</v>
      </c>
      <c r="BA8" s="146" t="str">
        <f ca="1">RESULTADOS!AE25</f>
        <v>N/T</v>
      </c>
      <c r="BB8" s="146" t="str">
        <f ca="1">RESULTADOS!AF25</f>
        <v>N/T</v>
      </c>
      <c r="BC8" s="146" t="str">
        <f ca="1">RESULTADOS!AG25</f>
        <v>N/T</v>
      </c>
      <c r="BD8" s="146" t="str">
        <f ca="1">RESULTADOS!AH25</f>
        <v>N/T</v>
      </c>
      <c r="BE8" s="146" t="str">
        <f ca="1">RESULTADOS!AI25</f>
        <v>N/T</v>
      </c>
      <c r="BF8" s="146" t="str">
        <f ca="1">RESULTADOS!AJ25</f>
        <v>N/D</v>
      </c>
      <c r="BG8" s="146" t="str">
        <f ca="1">RESULTADOS!AK25</f>
        <v>N/T</v>
      </c>
      <c r="BH8" s="146" t="str">
        <f ca="1">RESULTADOS!AL25</f>
        <v>N/T</v>
      </c>
      <c r="BI8" s="146" t="str">
        <f ca="1">RESULTADOS!AM25</f>
        <v>N/T</v>
      </c>
      <c r="BJ8" s="146" t="str">
        <f ca="1">RESULTADOS!AN25</f>
        <v>N/T</v>
      </c>
      <c r="BK8" s="146" t="str">
        <f ca="1">RESULTADOS!AO25</f>
        <v>N/D</v>
      </c>
      <c r="BL8" s="146" t="str">
        <f ca="1">RESULTADOS!AP25</f>
        <v>N/T</v>
      </c>
      <c r="BM8" s="146" t="str">
        <f ca="1">RESULTADOS!AQ25</f>
        <v>N/T</v>
      </c>
      <c r="BN8" s="146" t="str">
        <f ca="1">RESULTADOS!AR25</f>
        <v>N/D</v>
      </c>
      <c r="BO8" s="146" t="str">
        <f ca="1">RESULTADOS!AS25</f>
        <v>N/D</v>
      </c>
      <c r="BP8" s="146" t="str">
        <f ca="1">RESULTADOS!AT25</f>
        <v>N/T</v>
      </c>
      <c r="BQ8" s="146" t="str">
        <f ca="1">RESULTADOS!AU25</f>
        <v>N/T</v>
      </c>
      <c r="BR8" s="146" t="str">
        <f ca="1">RESULTADOS!AV25</f>
        <v>N/D</v>
      </c>
      <c r="BS8" s="146" t="str">
        <f ca="1">RESULTADOS!AW25</f>
        <v>N/T</v>
      </c>
      <c r="BT8" s="146" t="str">
        <f ca="1">RESULTADOS!AX25</f>
        <v>N/T</v>
      </c>
      <c r="BU8" s="146" t="str">
        <f ca="1">RESULTADOS!AY25</f>
        <v>N/D</v>
      </c>
      <c r="BV8" s="146" t="str">
        <f ca="1">RESULTADOS!AZ25</f>
        <v>N/T</v>
      </c>
      <c r="BW8" s="146" t="str">
        <f ca="1">RESULTADOS!BA25</f>
        <v>N/D</v>
      </c>
      <c r="BX8" s="146" t="str">
        <f ca="1">RESULTADOS!BB25</f>
        <v>N/T</v>
      </c>
      <c r="BY8" s="146" t="str">
        <f ca="1">RESULTADOS!BC25</f>
        <v>N/D</v>
      </c>
      <c r="BZ8" s="146" t="str">
        <f ca="1">RESULTADOS!BD25</f>
        <v>N/T</v>
      </c>
      <c r="CA8" s="146" t="str">
        <f ca="1">RESULTADOS!BE25</f>
        <v>N/T</v>
      </c>
      <c r="CB8" s="146" t="str">
        <f ca="1">RESULTADOS!BF25</f>
        <v>N/D</v>
      </c>
      <c r="CC8" s="146" t="str">
        <f ca="1">RESULTADOS!BG25</f>
        <v>N/D</v>
      </c>
      <c r="CD8" s="146" t="str">
        <f ca="1">RESULTADOS!BH25</f>
        <v>N/T</v>
      </c>
      <c r="CE8" s="146" t="str">
        <f ca="1">RESULTADOS!BI25</f>
        <v>N/D</v>
      </c>
      <c r="CF8" s="146" t="str">
        <f ca="1">RESULTADOS!BJ25</f>
        <v>N/D</v>
      </c>
      <c r="CG8" s="146" t="str">
        <f ca="1">RESULTADOS!BK25</f>
        <v>N/D</v>
      </c>
      <c r="CH8" s="146" t="str">
        <f ca="1">RESULTADOS!BL25</f>
        <v>N/D</v>
      </c>
      <c r="CI8" s="146" t="str">
        <f ca="1">RESULTADOS!BM25</f>
        <v>N/D</v>
      </c>
      <c r="CJ8" s="146" t="str">
        <f ca="1">RESULTADOS!BN25</f>
        <v>N/T</v>
      </c>
      <c r="CK8" s="146" t="str">
        <f ca="1">RESULTADOS!BO25</f>
        <v>Falla</v>
      </c>
      <c r="CL8" s="146" t="str">
        <f ca="1">RESULTADOS!BP25</f>
        <v>N/T</v>
      </c>
      <c r="CM8" s="146" t="str">
        <f ca="1">RESULTADOS!BQ25</f>
        <v>N/T</v>
      </c>
      <c r="CN8" s="146" t="str">
        <f ca="1">RESULTADOS!BR25</f>
        <v>N/D</v>
      </c>
      <c r="CO8" s="146" t="str">
        <f ca="1">RESULTADOS!BS25</f>
        <v>N/T</v>
      </c>
      <c r="CP8" s="146" t="str">
        <f ca="1">RESULTADOS!BT25</f>
        <v>N/D</v>
      </c>
      <c r="CQ8" s="146" t="str">
        <f ca="1">RESULTADOS!BU25</f>
        <v>N/D</v>
      </c>
      <c r="CR8" s="146" t="str">
        <f ca="1">RESULTADOS!BV25</f>
        <v>N/D</v>
      </c>
      <c r="CS8" s="146" t="str">
        <f ca="1">RESULTADOS!BW25</f>
        <v>N/D</v>
      </c>
      <c r="CT8" s="146" t="str">
        <f ca="1">RESULTADOS!BX25</f>
        <v>N/D</v>
      </c>
      <c r="CU8" s="146" t="str">
        <f ca="1">RESULTADOS!BY25</f>
        <v>N/T</v>
      </c>
      <c r="CV8" s="146" t="str">
        <f ca="1">RESULTADOS!BZ25</f>
        <v>N/T</v>
      </c>
      <c r="CW8" s="146" t="str">
        <f ca="1">RESULTADOS!CA25</f>
        <v>N/D</v>
      </c>
      <c r="CX8" s="146" t="str">
        <f ca="1">RESULTADOS!CB25</f>
        <v>N/T</v>
      </c>
      <c r="CY8" s="146" t="str">
        <f ca="1">RESULTADOS!CC25</f>
        <v>N/T</v>
      </c>
      <c r="CZ8" s="146" t="str">
        <f ca="1">RESULTADOS!CD25</f>
        <v>N/T</v>
      </c>
      <c r="DA8" s="146" t="str">
        <f ca="1">RESULTADOS!CE25</f>
        <v>N/D</v>
      </c>
      <c r="DB8" s="146" t="str">
        <f ca="1">RESULTADOS!CF25</f>
        <v>N/T</v>
      </c>
      <c r="DC8" s="146" t="str">
        <f ca="1">RESULTADOS!CG25</f>
        <v>N/T</v>
      </c>
      <c r="DD8" s="146" t="str">
        <f ca="1">RESULTADOS!CH25</f>
        <v>N/T</v>
      </c>
      <c r="DE8" s="146" t="str">
        <f ca="1">RESULTADOS!CI25</f>
        <v>N/T</v>
      </c>
      <c r="DF8" s="146" t="str">
        <f ca="1">RESULTADOS!CJ25</f>
        <v>N/T</v>
      </c>
      <c r="DG8" s="146" t="str">
        <f ca="1">RESULTADOS!CK25</f>
        <v>N/T</v>
      </c>
      <c r="DH8" s="146" t="str">
        <f ca="1">RESULTADOS!CL25</f>
        <v>N/T</v>
      </c>
      <c r="DI8" s="146" t="str">
        <f ca="1">RESULTADOS!CM25</f>
        <v>N/T</v>
      </c>
      <c r="DJ8" s="146" t="str">
        <f ca="1">RESULTADOS!CN25</f>
        <v>N/T</v>
      </c>
      <c r="DK8" s="146" t="str">
        <f ca="1">RESULTADOS!CO25</f>
        <v>N/T</v>
      </c>
      <c r="DL8" s="146" t="str">
        <f ca="1">RESULTADOS!CP25</f>
        <v>N/T</v>
      </c>
      <c r="DM8" s="146" t="str">
        <f ca="1">RESULTADOS!CQ25</f>
        <v>N/T</v>
      </c>
      <c r="DN8" s="146" t="str">
        <f ca="1">RESULTADOS!CR25</f>
        <v>N/T</v>
      </c>
      <c r="DO8" s="148" t="str">
        <f>RESULTADOS!B66</f>
        <v/>
      </c>
      <c r="DP8" s="148" t="str">
        <f>RESULTADOS!C66</f>
        <v/>
      </c>
      <c r="DQ8" s="148" t="str">
        <f t="shared" si="1"/>
        <v/>
      </c>
      <c r="DR8" s="148" t="str" cm="1">
        <f t="array" ref="DR8">IFERROR(INDEX('03.Muestra'!$E$8:$E$42,SMALL(IF("Documento no web"='03.Muestra'!$D$8:$D$42,ROW('03.Muestra'!$E$8:$E$42)-MIN(ROW('03.Muestra'!$D$8:$D$42))+1,""),ROW()-2)),"")</f>
        <v/>
      </c>
      <c r="DS8" s="148" t="str">
        <f>RESULTADOS!D66</f>
        <v/>
      </c>
      <c r="DT8" s="148" t="str" cm="1">
        <f t="array" ref="DT8">IFERROR(INDEX('03.Muestra'!$G$8:$G$42,SMALL(IF("Documento no web"='03.Muestra'!$D$8:$D$42,ROW('03.Muestra'!$G$8:$G$42)-MIN(ROW('03.Muestra'!$D$8:$D$42))+1,""),ROW()-2)),"")</f>
        <v/>
      </c>
      <c r="DU8" s="237" t="str" cm="1">
        <f t="array" ref="DU8">IFERROR(INDEX('03.Muestra'!$H$8:$H$42,SMALL(IF("Documento no web"='03.Muestra'!$D$8:$D$42,ROW('03.Muestra'!$H$8:$H$42)-MIN(ROW('03.Muestra'!$D$8:$D$42))+1,""),ROW()-2)),"")</f>
        <v/>
      </c>
      <c r="DV8" s="146" t="str">
        <f ca="1">RESULTADOS!E66</f>
        <v/>
      </c>
      <c r="DW8" s="146" t="str">
        <f ca="1">RESULTADOS!F66</f>
        <v/>
      </c>
      <c r="DX8" s="146" t="str">
        <f ca="1">RESULTADOS!G66</f>
        <v/>
      </c>
      <c r="DY8" s="146" t="str">
        <f ca="1">RESULTADOS!H66</f>
        <v/>
      </c>
      <c r="DZ8" s="146" t="str">
        <f ca="1">RESULTADOS!I66</f>
        <v/>
      </c>
      <c r="EA8" s="146" t="str">
        <f ca="1">RESULTADOS!J66</f>
        <v/>
      </c>
      <c r="EB8" s="146" t="str">
        <f ca="1">RESULTADOS!K66</f>
        <v/>
      </c>
      <c r="EC8" s="146" t="str">
        <f ca="1">RESULTADOS!L66</f>
        <v/>
      </c>
      <c r="ED8" s="146" t="str">
        <f ca="1">RESULTADOS!M66</f>
        <v/>
      </c>
      <c r="EE8" s="146" t="str">
        <f ca="1">RESULTADOS!N66</f>
        <v/>
      </c>
      <c r="EF8" s="146" t="str">
        <f ca="1">RESULTADOS!O66</f>
        <v/>
      </c>
      <c r="EG8" s="146" t="str">
        <f ca="1">RESULTADOS!P66</f>
        <v/>
      </c>
      <c r="EH8" s="146" t="str">
        <f ca="1">RESULTADOS!Q66</f>
        <v/>
      </c>
      <c r="EI8" s="146" t="str">
        <f ca="1">RESULTADOS!R66</f>
        <v/>
      </c>
      <c r="EJ8" s="146" t="str">
        <f ca="1">RESULTADOS!S66</f>
        <v/>
      </c>
      <c r="EK8" s="146" t="str">
        <f ca="1">RESULTADOS!T66</f>
        <v/>
      </c>
      <c r="EL8" s="146" t="str">
        <f ca="1">RESULTADOS!U66</f>
        <v/>
      </c>
      <c r="EM8" s="146" t="str">
        <f ca="1">RESULTADOS!V66</f>
        <v/>
      </c>
      <c r="EN8" s="146" t="str">
        <f ca="1">RESULTADOS!W66</f>
        <v/>
      </c>
      <c r="EO8" s="146" t="str">
        <f ca="1">RESULTADOS!X66</f>
        <v/>
      </c>
      <c r="EP8" s="146" t="str">
        <f ca="1">RESULTADOS!Y66</f>
        <v/>
      </c>
      <c r="EQ8" s="146" t="str">
        <f ca="1">RESULTADOS!Z66</f>
        <v/>
      </c>
      <c r="ER8" s="146" t="str">
        <f ca="1">RESULTADOS!AA66</f>
        <v/>
      </c>
      <c r="ES8" s="146" t="str">
        <f ca="1">RESULTADOS!AB66</f>
        <v/>
      </c>
      <c r="ET8" s="146" t="str">
        <f ca="1">RESULTADOS!AC66</f>
        <v/>
      </c>
      <c r="EU8" s="146" t="str">
        <f ca="1">RESULTADOS!AD66</f>
        <v/>
      </c>
      <c r="EV8" s="146" t="str">
        <f ca="1">RESULTADOS!AE66</f>
        <v/>
      </c>
      <c r="EW8" s="146" t="str">
        <f ca="1">RESULTADOS!AF66</f>
        <v/>
      </c>
      <c r="EX8" s="146" t="str">
        <f ca="1">RESULTADOS!AG66</f>
        <v/>
      </c>
      <c r="EY8" s="146" t="str">
        <f ca="1">RESULTADOS!AH66</f>
        <v/>
      </c>
      <c r="EZ8" s="146" t="str">
        <f ca="1">RESULTADOS!AI66</f>
        <v/>
      </c>
      <c r="FA8" s="146" t="str">
        <f ca="1">RESULTADOS!AJ66</f>
        <v/>
      </c>
      <c r="FB8" s="146" t="str">
        <f ca="1">RESULTADOS!AK66</f>
        <v/>
      </c>
      <c r="FC8" s="146" t="str">
        <f ca="1">RESULTADOS!AL66</f>
        <v/>
      </c>
      <c r="FD8" s="146" t="str">
        <f ca="1">RESULTADOS!AM66</f>
        <v/>
      </c>
      <c r="FE8" s="146" t="str">
        <f ca="1">RESULTADOS!AN66</f>
        <v/>
      </c>
      <c r="FF8" s="146" t="str">
        <f ca="1">RESULTADOS!AO66</f>
        <v/>
      </c>
      <c r="FG8" s="146" t="str">
        <f ca="1">RESULTADOS!AP66</f>
        <v/>
      </c>
      <c r="FH8" s="146" t="str">
        <f ca="1">RESULTADOS!AQ66</f>
        <v/>
      </c>
      <c r="FI8" s="146" t="str">
        <f ca="1">RESULTADOS!AR66</f>
        <v/>
      </c>
      <c r="FJ8" s="146" t="str">
        <f ca="1">RESULTADOS!AS66</f>
        <v/>
      </c>
      <c r="FK8" s="146" t="str">
        <f ca="1">RESULTADOS!AT66</f>
        <v/>
      </c>
      <c r="FL8" s="146" t="str">
        <f ca="1">RESULTADOS!AU66</f>
        <v/>
      </c>
      <c r="FM8" s="146" t="str">
        <f ca="1">RESULTADOS!AV66</f>
        <v/>
      </c>
      <c r="FN8" s="146" t="str">
        <f ca="1">RESULTADOS!AW66</f>
        <v/>
      </c>
    </row>
    <row r="9" spans="1:170">
      <c r="C9" s="144" t="s">
        <v>283</v>
      </c>
      <c r="D9" s="147" t="n">
        <f>'01.Definición de ámbito'!C25</f>
        <v>0.0</v>
      </c>
      <c r="E9" s="144" t="s">
        <v>300</v>
      </c>
      <c r="F9" s="147" t="str">
        <f>'02.Tecnologías'!F11</f>
        <v>No</v>
      </c>
      <c r="G9" s="147" t="n">
        <f>'02.Tecnologías'!K19</f>
        <v>0.0</v>
      </c>
      <c r="H9" s="147" t="n">
        <f>'02.Tecnologías'!L19</f>
        <v>0.0</v>
      </c>
      <c r="I9" s="206"/>
      <c r="J9" s="206"/>
      <c r="K9" s="144"/>
      <c r="L9" s="144"/>
      <c r="M9" s="144"/>
      <c r="T9" s="148" t="n">
        <f>RESULTADOS!B26</f>
        <v>1.0</v>
      </c>
      <c r="U9" s="148" t="str">
        <f>RESULTADOS!C26</f>
        <v>Home - PortCastelló</v>
      </c>
      <c r="V9" s="148" t="str">
        <f t="shared" si="0"/>
        <v>Página web</v>
      </c>
      <c r="W9" s="148" t="str">
        <v/>
      </c>
      <c r="X9" s="148" t="str">
        <f>RESULTADOS!D26</f>
        <v>https://www.portcastello.com/</v>
      </c>
      <c r="Y9" s="148" t="n">
        <v>0.0</v>
      </c>
      <c r="Z9" s="237" t="str">
        <v>Ej. Imágenes, tablas, listas, multimedia, formularios, plantilla X, plantilla Y</v>
      </c>
      <c r="AA9" s="146" t="str">
        <f ca="1">RESULTADOS!E26</f>
        <v>N/T</v>
      </c>
      <c r="AB9" s="146" t="str">
        <f ca="1">RESULTADOS!F26</f>
        <v>N/T</v>
      </c>
      <c r="AC9" s="146" t="str">
        <f ca="1">RESULTADOS!G26</f>
        <v>N/T</v>
      </c>
      <c r="AD9" s="146" t="str">
        <f ca="1">RESULTADOS!H26</f>
        <v>N/T</v>
      </c>
      <c r="AE9" s="146" t="str">
        <f ca="1">RESULTADOS!I26</f>
        <v>N/T</v>
      </c>
      <c r="AF9" s="146" t="str">
        <f ca="1">RESULTADOS!J26</f>
        <v>N/T</v>
      </c>
      <c r="AG9" s="146" t="str">
        <f ca="1">RESULTADOS!K26</f>
        <v>N/T</v>
      </c>
      <c r="AH9" s="146" t="str">
        <f ca="1">RESULTADOS!L26</f>
        <v>N/T</v>
      </c>
      <c r="AI9" s="146" t="str">
        <f ca="1">RESULTADOS!M26</f>
        <v>N/T</v>
      </c>
      <c r="AJ9" s="146" t="str">
        <f ca="1">RESULTADOS!N26</f>
        <v>N/T</v>
      </c>
      <c r="AK9" s="146" t="str">
        <f ca="1">RESULTADOS!O26</f>
        <v>N/T</v>
      </c>
      <c r="AL9" s="146" t="str">
        <f ca="1">RESULTADOS!P26</f>
        <v>N/T</v>
      </c>
      <c r="AM9" s="146" t="str">
        <f ca="1">RESULTADOS!Q26</f>
        <v>N/T</v>
      </c>
      <c r="AN9" s="146" t="str">
        <f ca="1">RESULTADOS!R26</f>
        <v>N/T</v>
      </c>
      <c r="AO9" s="146" t="str">
        <f ca="1">RESULTADOS!S26</f>
        <v>N/T</v>
      </c>
      <c r="AP9" s="146" t="str">
        <f ca="1">RESULTADOS!T26</f>
        <v>N/T</v>
      </c>
      <c r="AQ9" s="146" t="str">
        <f ca="1">RESULTADOS!U26</f>
        <v>N/T</v>
      </c>
      <c r="AR9" s="146" t="str">
        <f ca="1">RESULTADOS!V26</f>
        <v>N/T</v>
      </c>
      <c r="AS9" s="146" t="str">
        <f ca="1">RESULTADOS!W26</f>
        <v>N/T</v>
      </c>
      <c r="AT9" s="146" t="str">
        <f ca="1">RESULTADOS!X26</f>
        <v>N/T</v>
      </c>
      <c r="AU9" s="146" t="str">
        <f ca="1">RESULTADOS!Y26</f>
        <v>N/T</v>
      </c>
      <c r="AV9" s="146" t="str">
        <f ca="1">RESULTADOS!Z26</f>
        <v>N/T</v>
      </c>
      <c r="AW9" s="146" t="str">
        <f ca="1">RESULTADOS!AA26</f>
        <v>N/T</v>
      </c>
      <c r="AX9" s="146" t="str">
        <f ca="1">RESULTADOS!AB26</f>
        <v>N/T</v>
      </c>
      <c r="AY9" s="146" t="str">
        <f ca="1">RESULTADOS!AC26</f>
        <v>N/T</v>
      </c>
      <c r="AZ9" s="146" t="str">
        <f ca="1">RESULTADOS!AD26</f>
        <v>N/T</v>
      </c>
      <c r="BA9" s="146" t="str">
        <f ca="1">RESULTADOS!AE26</f>
        <v>N/T</v>
      </c>
      <c r="BB9" s="146" t="str">
        <f ca="1">RESULTADOS!AF26</f>
        <v>N/T</v>
      </c>
      <c r="BC9" s="146" t="str">
        <f ca="1">RESULTADOS!AG26</f>
        <v>N/T</v>
      </c>
      <c r="BD9" s="146" t="str">
        <f ca="1">RESULTADOS!AH26</f>
        <v>N/T</v>
      </c>
      <c r="BE9" s="146" t="str">
        <f ca="1">RESULTADOS!AI26</f>
        <v>N/T</v>
      </c>
      <c r="BF9" s="146" t="str">
        <f ca="1">RESULTADOS!AJ26</f>
        <v>N/D</v>
      </c>
      <c r="BG9" s="146" t="str">
        <f ca="1">RESULTADOS!AK26</f>
        <v>N/T</v>
      </c>
      <c r="BH9" s="146" t="str">
        <f ca="1">RESULTADOS!AL26</f>
        <v>N/T</v>
      </c>
      <c r="BI9" s="146" t="str">
        <f ca="1">RESULTADOS!AM26</f>
        <v>N/T</v>
      </c>
      <c r="BJ9" s="146" t="str">
        <f ca="1">RESULTADOS!AN26</f>
        <v>N/T</v>
      </c>
      <c r="BK9" s="146" t="str">
        <f ca="1">RESULTADOS!AO26</f>
        <v>N/D</v>
      </c>
      <c r="BL9" s="146" t="str">
        <f ca="1">RESULTADOS!AP26</f>
        <v>N/T</v>
      </c>
      <c r="BM9" s="146" t="str">
        <f ca="1">RESULTADOS!AQ26</f>
        <v>N/T</v>
      </c>
      <c r="BN9" s="146" t="str">
        <f ca="1">RESULTADOS!AR26</f>
        <v>N/D</v>
      </c>
      <c r="BO9" s="146" t="str">
        <f ca="1">RESULTADOS!AS26</f>
        <v>N/D</v>
      </c>
      <c r="BP9" s="146" t="str">
        <f ca="1">RESULTADOS!AT26</f>
        <v>N/T</v>
      </c>
      <c r="BQ9" s="146" t="str">
        <f ca="1">RESULTADOS!AU26</f>
        <v>N/T</v>
      </c>
      <c r="BR9" s="146" t="str">
        <f ca="1">RESULTADOS!AV26</f>
        <v>N/D</v>
      </c>
      <c r="BS9" s="146" t="str">
        <f ca="1">RESULTADOS!AW26</f>
        <v>N/T</v>
      </c>
      <c r="BT9" s="146" t="str">
        <f ca="1">RESULTADOS!AX26</f>
        <v>N/T</v>
      </c>
      <c r="BU9" s="146" t="str">
        <f ca="1">RESULTADOS!AY26</f>
        <v>N/D</v>
      </c>
      <c r="BV9" s="146" t="str">
        <f ca="1">RESULTADOS!AZ26</f>
        <v>N/T</v>
      </c>
      <c r="BW9" s="146" t="str">
        <f ca="1">RESULTADOS!BA26</f>
        <v>N/D</v>
      </c>
      <c r="BX9" s="146" t="str">
        <f ca="1">RESULTADOS!BB26</f>
        <v>N/T</v>
      </c>
      <c r="BY9" s="146" t="str">
        <f ca="1">RESULTADOS!BC26</f>
        <v>N/D</v>
      </c>
      <c r="BZ9" s="146" t="str">
        <f ca="1">RESULTADOS!BD26</f>
        <v>N/T</v>
      </c>
      <c r="CA9" s="146" t="str">
        <f ca="1">RESULTADOS!BE26</f>
        <v>N/T</v>
      </c>
      <c r="CB9" s="146" t="str">
        <f ca="1">RESULTADOS!BF26</f>
        <v>N/D</v>
      </c>
      <c r="CC9" s="146" t="str">
        <f ca="1">RESULTADOS!BG26</f>
        <v>N/D</v>
      </c>
      <c r="CD9" s="146" t="str">
        <f ca="1">RESULTADOS!BH26</f>
        <v>N/T</v>
      </c>
      <c r="CE9" s="146" t="str">
        <f ca="1">RESULTADOS!BI26</f>
        <v>N/D</v>
      </c>
      <c r="CF9" s="146" t="str">
        <f ca="1">RESULTADOS!BJ26</f>
        <v>N/D</v>
      </c>
      <c r="CG9" s="146" t="str">
        <f ca="1">RESULTADOS!BK26</f>
        <v>N/D</v>
      </c>
      <c r="CH9" s="146" t="str">
        <f ca="1">RESULTADOS!BL26</f>
        <v>N/D</v>
      </c>
      <c r="CI9" s="146" t="str">
        <f ca="1">RESULTADOS!BM26</f>
        <v>N/D</v>
      </c>
      <c r="CJ9" s="146" t="str">
        <f ca="1">RESULTADOS!BN26</f>
        <v>N/T</v>
      </c>
      <c r="CK9" s="146" t="str">
        <f ca="1">RESULTADOS!BO26</f>
        <v>Falla</v>
      </c>
      <c r="CL9" s="146" t="str">
        <f ca="1">RESULTADOS!BP26</f>
        <v>N/T</v>
      </c>
      <c r="CM9" s="146" t="str">
        <f ca="1">RESULTADOS!BQ26</f>
        <v>N/T</v>
      </c>
      <c r="CN9" s="146" t="str">
        <f ca="1">RESULTADOS!BR26</f>
        <v>N/D</v>
      </c>
      <c r="CO9" s="146" t="str">
        <f ca="1">RESULTADOS!BS26</f>
        <v>N/T</v>
      </c>
      <c r="CP9" s="146" t="str">
        <f ca="1">RESULTADOS!BT26</f>
        <v>N/D</v>
      </c>
      <c r="CQ9" s="146" t="str">
        <f ca="1">RESULTADOS!BU26</f>
        <v>N/D</v>
      </c>
      <c r="CR9" s="146" t="str">
        <f ca="1">RESULTADOS!BV26</f>
        <v>N/D</v>
      </c>
      <c r="CS9" s="146" t="str">
        <f ca="1">RESULTADOS!BW26</f>
        <v>N/D</v>
      </c>
      <c r="CT9" s="146" t="str">
        <f ca="1">RESULTADOS!BX26</f>
        <v>N/D</v>
      </c>
      <c r="CU9" s="146" t="str">
        <f ca="1">RESULTADOS!BY26</f>
        <v>N/T</v>
      </c>
      <c r="CV9" s="146" t="str">
        <f ca="1">RESULTADOS!BZ26</f>
        <v>N/T</v>
      </c>
      <c r="CW9" s="146" t="str">
        <f ca="1">RESULTADOS!CA26</f>
        <v>N/D</v>
      </c>
      <c r="CX9" s="146" t="str">
        <f ca="1">RESULTADOS!CB26</f>
        <v>N/T</v>
      </c>
      <c r="CY9" s="146" t="str">
        <f ca="1">RESULTADOS!CC26</f>
        <v>N/T</v>
      </c>
      <c r="CZ9" s="146" t="str">
        <f ca="1">RESULTADOS!CD26</f>
        <v>N/T</v>
      </c>
      <c r="DA9" s="146" t="str">
        <f ca="1">RESULTADOS!CE26</f>
        <v>N/D</v>
      </c>
      <c r="DB9" s="146" t="str">
        <f ca="1">RESULTADOS!CF26</f>
        <v>N/T</v>
      </c>
      <c r="DC9" s="146" t="str">
        <f ca="1">RESULTADOS!CG26</f>
        <v>N/T</v>
      </c>
      <c r="DD9" s="146" t="str">
        <f ca="1">RESULTADOS!CH26</f>
        <v>N/T</v>
      </c>
      <c r="DE9" s="146" t="str">
        <f ca="1">RESULTADOS!CI26</f>
        <v>N/T</v>
      </c>
      <c r="DF9" s="146" t="str">
        <f ca="1">RESULTADOS!CJ26</f>
        <v>N/T</v>
      </c>
      <c r="DG9" s="146" t="str">
        <f ca="1">RESULTADOS!CK26</f>
        <v>N/T</v>
      </c>
      <c r="DH9" s="146" t="str">
        <f ca="1">RESULTADOS!CL26</f>
        <v>N/T</v>
      </c>
      <c r="DI9" s="146" t="str">
        <f ca="1">RESULTADOS!CM26</f>
        <v>N/T</v>
      </c>
      <c r="DJ9" s="146" t="str">
        <f ca="1">RESULTADOS!CN26</f>
        <v>N/T</v>
      </c>
      <c r="DK9" s="146" t="str">
        <f ca="1">RESULTADOS!CO26</f>
        <v>N/T</v>
      </c>
      <c r="DL9" s="146" t="str">
        <f ca="1">RESULTADOS!CP26</f>
        <v>N/T</v>
      </c>
      <c r="DM9" s="146" t="str">
        <f ca="1">RESULTADOS!CQ26</f>
        <v>N/T</v>
      </c>
      <c r="DN9" s="146" t="str">
        <f ca="1">RESULTADOS!CR26</f>
        <v>N/T</v>
      </c>
      <c r="DO9" s="148" t="str">
        <f>RESULTADOS!B67</f>
        <v/>
      </c>
      <c r="DP9" s="148" t="str">
        <f>RESULTADOS!C67</f>
        <v/>
      </c>
      <c r="DQ9" s="148" t="str">
        <f t="shared" si="1"/>
        <v/>
      </c>
      <c r="DR9" s="148" t="str" cm="1">
        <f t="array" ref="DR9">IFERROR(INDEX('03.Muestra'!$E$8:$E$42,SMALL(IF("Documento no web"='03.Muestra'!$D$8:$D$42,ROW('03.Muestra'!$E$8:$E$42)-MIN(ROW('03.Muestra'!$D$8:$D$42))+1,""),ROW()-2)),"")</f>
        <v/>
      </c>
      <c r="DS9" s="148" t="str">
        <f>RESULTADOS!D67</f>
        <v/>
      </c>
      <c r="DT9" s="148" t="str" cm="1">
        <f t="array" ref="DT9">IFERROR(INDEX('03.Muestra'!$G$8:$G$42,SMALL(IF("Documento no web"='03.Muestra'!$D$8:$D$42,ROW('03.Muestra'!$G$8:$G$42)-MIN(ROW('03.Muestra'!$D$8:$D$42))+1,""),ROW()-2)),"")</f>
        <v/>
      </c>
      <c r="DU9" s="237" t="str" cm="1">
        <f t="array" ref="DU9">IFERROR(INDEX('03.Muestra'!$H$8:$H$42,SMALL(IF("Documento no web"='03.Muestra'!$D$8:$D$42,ROW('03.Muestra'!$H$8:$H$42)-MIN(ROW('03.Muestra'!$D$8:$D$42))+1,""),ROW()-2)),"")</f>
        <v/>
      </c>
      <c r="DV9" s="146" t="str">
        <f ca="1">RESULTADOS!E67</f>
        <v/>
      </c>
      <c r="DW9" s="146" t="str">
        <f ca="1">RESULTADOS!F67</f>
        <v/>
      </c>
      <c r="DX9" s="146" t="str">
        <f ca="1">RESULTADOS!G67</f>
        <v/>
      </c>
      <c r="DY9" s="146" t="str">
        <f ca="1">RESULTADOS!H67</f>
        <v/>
      </c>
      <c r="DZ9" s="146" t="str">
        <f ca="1">RESULTADOS!I67</f>
        <v/>
      </c>
      <c r="EA9" s="146" t="str">
        <f ca="1">RESULTADOS!J67</f>
        <v/>
      </c>
      <c r="EB9" s="146" t="str">
        <f ca="1">RESULTADOS!K67</f>
        <v/>
      </c>
      <c r="EC9" s="146" t="str">
        <f ca="1">RESULTADOS!L67</f>
        <v/>
      </c>
      <c r="ED9" s="146" t="str">
        <f ca="1">RESULTADOS!M67</f>
        <v/>
      </c>
      <c r="EE9" s="146" t="str">
        <f ca="1">RESULTADOS!N67</f>
        <v/>
      </c>
      <c r="EF9" s="146" t="str">
        <f ca="1">RESULTADOS!O67</f>
        <v/>
      </c>
      <c r="EG9" s="146" t="str">
        <f ca="1">RESULTADOS!P67</f>
        <v/>
      </c>
      <c r="EH9" s="146" t="str">
        <f ca="1">RESULTADOS!Q67</f>
        <v/>
      </c>
      <c r="EI9" s="146" t="str">
        <f ca="1">RESULTADOS!R67</f>
        <v/>
      </c>
      <c r="EJ9" s="146" t="str">
        <f ca="1">RESULTADOS!S67</f>
        <v/>
      </c>
      <c r="EK9" s="146" t="str">
        <f ca="1">RESULTADOS!T67</f>
        <v/>
      </c>
      <c r="EL9" s="146" t="str">
        <f ca="1">RESULTADOS!U67</f>
        <v/>
      </c>
      <c r="EM9" s="146" t="str">
        <f ca="1">RESULTADOS!V67</f>
        <v/>
      </c>
      <c r="EN9" s="146" t="str">
        <f ca="1">RESULTADOS!W67</f>
        <v/>
      </c>
      <c r="EO9" s="146" t="str">
        <f ca="1">RESULTADOS!X67</f>
        <v/>
      </c>
      <c r="EP9" s="146" t="str">
        <f ca="1">RESULTADOS!Y67</f>
        <v/>
      </c>
      <c r="EQ9" s="146" t="str">
        <f ca="1">RESULTADOS!Z67</f>
        <v/>
      </c>
      <c r="ER9" s="146" t="str">
        <f ca="1">RESULTADOS!AA67</f>
        <v/>
      </c>
      <c r="ES9" s="146" t="str">
        <f ca="1">RESULTADOS!AB67</f>
        <v/>
      </c>
      <c r="ET9" s="146" t="str">
        <f ca="1">RESULTADOS!AC67</f>
        <v/>
      </c>
      <c r="EU9" s="146" t="str">
        <f ca="1">RESULTADOS!AD67</f>
        <v/>
      </c>
      <c r="EV9" s="146" t="str">
        <f ca="1">RESULTADOS!AE67</f>
        <v/>
      </c>
      <c r="EW9" s="146" t="str">
        <f ca="1">RESULTADOS!AF67</f>
        <v/>
      </c>
      <c r="EX9" s="146" t="str">
        <f ca="1">RESULTADOS!AG67</f>
        <v/>
      </c>
      <c r="EY9" s="146" t="str">
        <f ca="1">RESULTADOS!AH67</f>
        <v/>
      </c>
      <c r="EZ9" s="146" t="str">
        <f ca="1">RESULTADOS!AI67</f>
        <v/>
      </c>
      <c r="FA9" s="146" t="str">
        <f ca="1">RESULTADOS!AJ67</f>
        <v/>
      </c>
      <c r="FB9" s="146" t="str">
        <f ca="1">RESULTADOS!AK67</f>
        <v/>
      </c>
      <c r="FC9" s="146" t="str">
        <f ca="1">RESULTADOS!AL67</f>
        <v/>
      </c>
      <c r="FD9" s="146" t="str">
        <f ca="1">RESULTADOS!AM67</f>
        <v/>
      </c>
      <c r="FE9" s="146" t="str">
        <f ca="1">RESULTADOS!AN67</f>
        <v/>
      </c>
      <c r="FF9" s="146" t="str">
        <f ca="1">RESULTADOS!AO67</f>
        <v/>
      </c>
      <c r="FG9" s="146" t="str">
        <f ca="1">RESULTADOS!AP67</f>
        <v/>
      </c>
      <c r="FH9" s="146" t="str">
        <f ca="1">RESULTADOS!AQ67</f>
        <v/>
      </c>
      <c r="FI9" s="146" t="str">
        <f ca="1">RESULTADOS!AR67</f>
        <v/>
      </c>
      <c r="FJ9" s="146" t="str">
        <f ca="1">RESULTADOS!AS67</f>
        <v/>
      </c>
      <c r="FK9" s="146" t="str">
        <f ca="1">RESULTADOS!AT67</f>
        <v/>
      </c>
      <c r="FL9" s="146" t="str">
        <f ca="1">RESULTADOS!AU67</f>
        <v/>
      </c>
      <c r="FM9" s="146" t="str">
        <f ca="1">RESULTADOS!AV67</f>
        <v/>
      </c>
      <c r="FN9" s="146" t="str">
        <f ca="1">RESULTADOS!AW67</f>
        <v/>
      </c>
    </row>
    <row r="10" spans="1:170">
      <c r="C10" s="144" t="s">
        <v>284</v>
      </c>
      <c r="D10" s="147" t="n">
        <f>'01.Definición de ámbito'!C27</f>
        <v>0.0</v>
      </c>
      <c r="E10" s="144" t="s">
        <v>303</v>
      </c>
      <c r="F10" s="147" t="str">
        <f>'02.Tecnologías'!F12</f>
        <v>No</v>
      </c>
      <c r="G10" s="147" t="n">
        <f>'02.Tecnologías'!K20</f>
        <v>0.0</v>
      </c>
      <c r="H10" s="147" t="n">
        <f>'02.Tecnologías'!L20</f>
        <v>0.0</v>
      </c>
      <c r="I10" s="206"/>
      <c r="J10" s="206"/>
      <c r="K10" s="144" t="s">
        <v>349</v>
      </c>
      <c r="L10" s="144"/>
      <c r="M10" s="144"/>
      <c r="T10" s="148" t="n">
        <f>RESULTADOS!B27</f>
        <v>1.0</v>
      </c>
      <c r="U10" s="148" t="str">
        <f>RESULTADOS!C27</f>
        <v>Home - PortCastelló</v>
      </c>
      <c r="V10" s="148" t="str">
        <f t="shared" si="0"/>
        <v>Página web</v>
      </c>
      <c r="W10" s="148" t="str">
        <v/>
      </c>
      <c r="X10" s="148" t="str">
        <f>RESULTADOS!D27</f>
        <v>https://www.portcastello.com/</v>
      </c>
      <c r="Y10" s="148" t="n">
        <v>0.0</v>
      </c>
      <c r="Z10" s="237" t="str">
        <v>Ej. Imágenes, tablas, listas, multimedia, formularios, plantilla X, plantilla Y</v>
      </c>
      <c r="AA10" s="146" t="str">
        <f ca="1">RESULTADOS!E27</f>
        <v>N/T</v>
      </c>
      <c r="AB10" s="146" t="str">
        <f ca="1">RESULTADOS!F27</f>
        <v>N/T</v>
      </c>
      <c r="AC10" s="146" t="str">
        <f ca="1">RESULTADOS!G27</f>
        <v>N/T</v>
      </c>
      <c r="AD10" s="146" t="str">
        <f ca="1">RESULTADOS!H27</f>
        <v>N/T</v>
      </c>
      <c r="AE10" s="146" t="str">
        <f ca="1">RESULTADOS!I27</f>
        <v>N/T</v>
      </c>
      <c r="AF10" s="146" t="str">
        <f ca="1">RESULTADOS!J27</f>
        <v>N/T</v>
      </c>
      <c r="AG10" s="146" t="str">
        <f ca="1">RESULTADOS!K27</f>
        <v>N/T</v>
      </c>
      <c r="AH10" s="146" t="str">
        <f ca="1">RESULTADOS!L27</f>
        <v>N/T</v>
      </c>
      <c r="AI10" s="146" t="str">
        <f ca="1">RESULTADOS!M27</f>
        <v>N/T</v>
      </c>
      <c r="AJ10" s="146" t="str">
        <f ca="1">RESULTADOS!N27</f>
        <v>N/T</v>
      </c>
      <c r="AK10" s="146" t="str">
        <f ca="1">RESULTADOS!O27</f>
        <v>N/T</v>
      </c>
      <c r="AL10" s="146" t="str">
        <f ca="1">RESULTADOS!P27</f>
        <v>N/T</v>
      </c>
      <c r="AM10" s="146" t="str">
        <f ca="1">RESULTADOS!Q27</f>
        <v>N/T</v>
      </c>
      <c r="AN10" s="146" t="str">
        <f ca="1">RESULTADOS!R27</f>
        <v>N/T</v>
      </c>
      <c r="AO10" s="146" t="str">
        <f ca="1">RESULTADOS!S27</f>
        <v>N/T</v>
      </c>
      <c r="AP10" s="146" t="str">
        <f ca="1">RESULTADOS!T27</f>
        <v>N/T</v>
      </c>
      <c r="AQ10" s="146" t="str">
        <f ca="1">RESULTADOS!U27</f>
        <v>N/T</v>
      </c>
      <c r="AR10" s="146" t="str">
        <f ca="1">RESULTADOS!V27</f>
        <v>N/T</v>
      </c>
      <c r="AS10" s="146" t="str">
        <f ca="1">RESULTADOS!W27</f>
        <v>N/T</v>
      </c>
      <c r="AT10" s="146" t="str">
        <f ca="1">RESULTADOS!X27</f>
        <v>N/T</v>
      </c>
      <c r="AU10" s="146" t="str">
        <f ca="1">RESULTADOS!Y27</f>
        <v>N/T</v>
      </c>
      <c r="AV10" s="146" t="str">
        <f ca="1">RESULTADOS!Z27</f>
        <v>N/T</v>
      </c>
      <c r="AW10" s="146" t="str">
        <f ca="1">RESULTADOS!AA27</f>
        <v>N/T</v>
      </c>
      <c r="AX10" s="146" t="str">
        <f ca="1">RESULTADOS!AB27</f>
        <v>N/T</v>
      </c>
      <c r="AY10" s="146" t="str">
        <f ca="1">RESULTADOS!AC27</f>
        <v>N/T</v>
      </c>
      <c r="AZ10" s="146" t="str">
        <f ca="1">RESULTADOS!AD27</f>
        <v>N/T</v>
      </c>
      <c r="BA10" s="146" t="str">
        <f ca="1">RESULTADOS!AE27</f>
        <v>N/T</v>
      </c>
      <c r="BB10" s="146" t="str">
        <f ca="1">RESULTADOS!AF27</f>
        <v>N/T</v>
      </c>
      <c r="BC10" s="146" t="str">
        <f ca="1">RESULTADOS!AG27</f>
        <v>N/T</v>
      </c>
      <c r="BD10" s="146" t="str">
        <f ca="1">RESULTADOS!AH27</f>
        <v>N/T</v>
      </c>
      <c r="BE10" s="146" t="str">
        <f ca="1">RESULTADOS!AI27</f>
        <v>N/T</v>
      </c>
      <c r="BF10" s="146" t="str">
        <f ca="1">RESULTADOS!AJ27</f>
        <v>N/D</v>
      </c>
      <c r="BG10" s="146" t="str">
        <f ca="1">RESULTADOS!AK27</f>
        <v>N/T</v>
      </c>
      <c r="BH10" s="146" t="str">
        <f ca="1">RESULTADOS!AL27</f>
        <v>N/T</v>
      </c>
      <c r="BI10" s="146" t="str">
        <f ca="1">RESULTADOS!AM27</f>
        <v>N/T</v>
      </c>
      <c r="BJ10" s="146" t="str">
        <f ca="1">RESULTADOS!AN27</f>
        <v>N/T</v>
      </c>
      <c r="BK10" s="146" t="str">
        <f ca="1">RESULTADOS!AO27</f>
        <v>N/D</v>
      </c>
      <c r="BL10" s="146" t="str">
        <f ca="1">RESULTADOS!AP27</f>
        <v>N/T</v>
      </c>
      <c r="BM10" s="146" t="str">
        <f ca="1">RESULTADOS!AQ27</f>
        <v>N/T</v>
      </c>
      <c r="BN10" s="146" t="str">
        <f ca="1">RESULTADOS!AR27</f>
        <v>N/D</v>
      </c>
      <c r="BO10" s="146" t="str">
        <f ca="1">RESULTADOS!AS27</f>
        <v>N/D</v>
      </c>
      <c r="BP10" s="146" t="str">
        <f ca="1">RESULTADOS!AT27</f>
        <v>N/T</v>
      </c>
      <c r="BQ10" s="146" t="str">
        <f ca="1">RESULTADOS!AU27</f>
        <v>N/T</v>
      </c>
      <c r="BR10" s="146" t="str">
        <f ca="1">RESULTADOS!AV27</f>
        <v>N/D</v>
      </c>
      <c r="BS10" s="146" t="str">
        <f ca="1">RESULTADOS!AW27</f>
        <v>N/T</v>
      </c>
      <c r="BT10" s="146" t="str">
        <f ca="1">RESULTADOS!AX27</f>
        <v>N/T</v>
      </c>
      <c r="BU10" s="146" t="str">
        <f ca="1">RESULTADOS!AY27</f>
        <v>N/D</v>
      </c>
      <c r="BV10" s="146" t="str">
        <f ca="1">RESULTADOS!AZ27</f>
        <v>N/T</v>
      </c>
      <c r="BW10" s="146" t="str">
        <f ca="1">RESULTADOS!BA27</f>
        <v>N/D</v>
      </c>
      <c r="BX10" s="146" t="str">
        <f ca="1">RESULTADOS!BB27</f>
        <v>N/T</v>
      </c>
      <c r="BY10" s="146" t="str">
        <f ca="1">RESULTADOS!BC27</f>
        <v>N/D</v>
      </c>
      <c r="BZ10" s="146" t="str">
        <f ca="1">RESULTADOS!BD27</f>
        <v>N/T</v>
      </c>
      <c r="CA10" s="146" t="str">
        <f ca="1">RESULTADOS!BE27</f>
        <v>N/T</v>
      </c>
      <c r="CB10" s="146" t="str">
        <f ca="1">RESULTADOS!BF27</f>
        <v>N/D</v>
      </c>
      <c r="CC10" s="146" t="str">
        <f ca="1">RESULTADOS!BG27</f>
        <v>N/D</v>
      </c>
      <c r="CD10" s="146" t="str">
        <f ca="1">RESULTADOS!BH27</f>
        <v>N/T</v>
      </c>
      <c r="CE10" s="146" t="str">
        <f ca="1">RESULTADOS!BI27</f>
        <v>N/D</v>
      </c>
      <c r="CF10" s="146" t="str">
        <f ca="1">RESULTADOS!BJ27</f>
        <v>N/D</v>
      </c>
      <c r="CG10" s="146" t="str">
        <f ca="1">RESULTADOS!BK27</f>
        <v>N/D</v>
      </c>
      <c r="CH10" s="146" t="str">
        <f ca="1">RESULTADOS!BL27</f>
        <v>N/D</v>
      </c>
      <c r="CI10" s="146" t="str">
        <f ca="1">RESULTADOS!BM27</f>
        <v>N/D</v>
      </c>
      <c r="CJ10" s="146" t="str">
        <f ca="1">RESULTADOS!BN27</f>
        <v>N/T</v>
      </c>
      <c r="CK10" s="146" t="str">
        <f ca="1">RESULTADOS!BO27</f>
        <v>Falla</v>
      </c>
      <c r="CL10" s="146" t="str">
        <f ca="1">RESULTADOS!BP27</f>
        <v>N/T</v>
      </c>
      <c r="CM10" s="146" t="str">
        <f ca="1">RESULTADOS!BQ27</f>
        <v>N/T</v>
      </c>
      <c r="CN10" s="146" t="str">
        <f ca="1">RESULTADOS!BR27</f>
        <v>N/D</v>
      </c>
      <c r="CO10" s="146" t="str">
        <f ca="1">RESULTADOS!BS27</f>
        <v>N/T</v>
      </c>
      <c r="CP10" s="146" t="str">
        <f ca="1">RESULTADOS!BT27</f>
        <v>N/D</v>
      </c>
      <c r="CQ10" s="146" t="str">
        <f ca="1">RESULTADOS!BU27</f>
        <v>N/D</v>
      </c>
      <c r="CR10" s="146" t="str">
        <f ca="1">RESULTADOS!BV27</f>
        <v>N/D</v>
      </c>
      <c r="CS10" s="146" t="str">
        <f ca="1">RESULTADOS!BW27</f>
        <v>N/D</v>
      </c>
      <c r="CT10" s="146" t="str">
        <f ca="1">RESULTADOS!BX27</f>
        <v>N/D</v>
      </c>
      <c r="CU10" s="146" t="str">
        <f ca="1">RESULTADOS!BY27</f>
        <v>N/T</v>
      </c>
      <c r="CV10" s="146" t="str">
        <f ca="1">RESULTADOS!BZ27</f>
        <v>N/T</v>
      </c>
      <c r="CW10" s="146" t="str">
        <f ca="1">RESULTADOS!CA27</f>
        <v>N/D</v>
      </c>
      <c r="CX10" s="146" t="str">
        <f ca="1">RESULTADOS!CB27</f>
        <v>N/T</v>
      </c>
      <c r="CY10" s="146" t="str">
        <f ca="1">RESULTADOS!CC27</f>
        <v>N/T</v>
      </c>
      <c r="CZ10" s="146" t="str">
        <f ca="1">RESULTADOS!CD27</f>
        <v>N/T</v>
      </c>
      <c r="DA10" s="146" t="str">
        <f ca="1">RESULTADOS!CE27</f>
        <v>N/D</v>
      </c>
      <c r="DB10" s="146" t="str">
        <f ca="1">RESULTADOS!CF27</f>
        <v>N/T</v>
      </c>
      <c r="DC10" s="146" t="str">
        <f ca="1">RESULTADOS!CG27</f>
        <v>N/T</v>
      </c>
      <c r="DD10" s="146" t="str">
        <f ca="1">RESULTADOS!CH27</f>
        <v>N/T</v>
      </c>
      <c r="DE10" s="146" t="str">
        <f ca="1">RESULTADOS!CI27</f>
        <v>N/T</v>
      </c>
      <c r="DF10" s="146" t="str">
        <f ca="1">RESULTADOS!CJ27</f>
        <v>N/T</v>
      </c>
      <c r="DG10" s="146" t="str">
        <f ca="1">RESULTADOS!CK27</f>
        <v>N/T</v>
      </c>
      <c r="DH10" s="146" t="str">
        <f ca="1">RESULTADOS!CL27</f>
        <v>N/T</v>
      </c>
      <c r="DI10" s="146" t="str">
        <f ca="1">RESULTADOS!CM27</f>
        <v>N/T</v>
      </c>
      <c r="DJ10" s="146" t="str">
        <f ca="1">RESULTADOS!CN27</f>
        <v>N/T</v>
      </c>
      <c r="DK10" s="146" t="str">
        <f ca="1">RESULTADOS!CO27</f>
        <v>N/T</v>
      </c>
      <c r="DL10" s="146" t="str">
        <f ca="1">RESULTADOS!CP27</f>
        <v>N/T</v>
      </c>
      <c r="DM10" s="146" t="str">
        <f ca="1">RESULTADOS!CQ27</f>
        <v>N/T</v>
      </c>
      <c r="DN10" s="146" t="str">
        <f ca="1">RESULTADOS!CR27</f>
        <v>N/T</v>
      </c>
      <c r="DO10" s="148" t="str">
        <f>RESULTADOS!B68</f>
        <v/>
      </c>
      <c r="DP10" s="148" t="str">
        <f>RESULTADOS!C68</f>
        <v/>
      </c>
      <c r="DQ10" s="148" t="str">
        <f t="shared" si="1"/>
        <v/>
      </c>
      <c r="DR10" s="148" t="str" cm="1">
        <f t="array" ref="DR10">IFERROR(INDEX('03.Muestra'!$E$8:$E$42,SMALL(IF("Documento no web"='03.Muestra'!$D$8:$D$42,ROW('03.Muestra'!$E$8:$E$42)-MIN(ROW('03.Muestra'!$D$8:$D$42))+1,""),ROW()-2)),"")</f>
        <v/>
      </c>
      <c r="DS10" s="148" t="str">
        <f>RESULTADOS!D68</f>
        <v/>
      </c>
      <c r="DT10" s="148" t="str" cm="1">
        <f t="array" ref="DT10">IFERROR(INDEX('03.Muestra'!$G$8:$G$42,SMALL(IF("Documento no web"='03.Muestra'!$D$8:$D$42,ROW('03.Muestra'!$G$8:$G$42)-MIN(ROW('03.Muestra'!$D$8:$D$42))+1,""),ROW()-2)),"")</f>
        <v/>
      </c>
      <c r="DU10" s="237" t="str" cm="1">
        <f t="array" ref="DU10">IFERROR(INDEX('03.Muestra'!$H$8:$H$42,SMALL(IF("Documento no web"='03.Muestra'!$D$8:$D$42,ROW('03.Muestra'!$H$8:$H$42)-MIN(ROW('03.Muestra'!$D$8:$D$42))+1,""),ROW()-2)),"")</f>
        <v/>
      </c>
      <c r="DV10" s="146" t="str">
        <f ca="1">RESULTADOS!E68</f>
        <v/>
      </c>
      <c r="DW10" s="146" t="str">
        <f ca="1">RESULTADOS!F68</f>
        <v/>
      </c>
      <c r="DX10" s="146" t="str">
        <f ca="1">RESULTADOS!G68</f>
        <v/>
      </c>
      <c r="DY10" s="146" t="str">
        <f ca="1">RESULTADOS!H68</f>
        <v/>
      </c>
      <c r="DZ10" s="146" t="str">
        <f ca="1">RESULTADOS!I68</f>
        <v/>
      </c>
      <c r="EA10" s="146" t="str">
        <f ca="1">RESULTADOS!J68</f>
        <v/>
      </c>
      <c r="EB10" s="146" t="str">
        <f ca="1">RESULTADOS!K68</f>
        <v/>
      </c>
      <c r="EC10" s="146" t="str">
        <f ca="1">RESULTADOS!L68</f>
        <v/>
      </c>
      <c r="ED10" s="146" t="str">
        <f ca="1">RESULTADOS!M68</f>
        <v/>
      </c>
      <c r="EE10" s="146" t="str">
        <f ca="1">RESULTADOS!N68</f>
        <v/>
      </c>
      <c r="EF10" s="146" t="str">
        <f ca="1">RESULTADOS!O68</f>
        <v/>
      </c>
      <c r="EG10" s="146" t="str">
        <f ca="1">RESULTADOS!P68</f>
        <v/>
      </c>
      <c r="EH10" s="146" t="str">
        <f ca="1">RESULTADOS!Q68</f>
        <v/>
      </c>
      <c r="EI10" s="146" t="str">
        <f ca="1">RESULTADOS!R68</f>
        <v/>
      </c>
      <c r="EJ10" s="146" t="str">
        <f ca="1">RESULTADOS!S68</f>
        <v/>
      </c>
      <c r="EK10" s="146" t="str">
        <f ca="1">RESULTADOS!T68</f>
        <v/>
      </c>
      <c r="EL10" s="146" t="str">
        <f ca="1">RESULTADOS!U68</f>
        <v/>
      </c>
      <c r="EM10" s="146" t="str">
        <f ca="1">RESULTADOS!V68</f>
        <v/>
      </c>
      <c r="EN10" s="146" t="str">
        <f ca="1">RESULTADOS!W68</f>
        <v/>
      </c>
      <c r="EO10" s="146" t="str">
        <f ca="1">RESULTADOS!X68</f>
        <v/>
      </c>
      <c r="EP10" s="146" t="str">
        <f ca="1">RESULTADOS!Y68</f>
        <v/>
      </c>
      <c r="EQ10" s="146" t="str">
        <f ca="1">RESULTADOS!Z68</f>
        <v/>
      </c>
      <c r="ER10" s="146" t="str">
        <f ca="1">RESULTADOS!AA68</f>
        <v/>
      </c>
      <c r="ES10" s="146" t="str">
        <f ca="1">RESULTADOS!AB68</f>
        <v/>
      </c>
      <c r="ET10" s="146" t="str">
        <f ca="1">RESULTADOS!AC68</f>
        <v/>
      </c>
      <c r="EU10" s="146" t="str">
        <f ca="1">RESULTADOS!AD68</f>
        <v/>
      </c>
      <c r="EV10" s="146" t="str">
        <f ca="1">RESULTADOS!AE68</f>
        <v/>
      </c>
      <c r="EW10" s="146" t="str">
        <f ca="1">RESULTADOS!AF68</f>
        <v/>
      </c>
      <c r="EX10" s="146" t="str">
        <f ca="1">RESULTADOS!AG68</f>
        <v/>
      </c>
      <c r="EY10" s="146" t="str">
        <f ca="1">RESULTADOS!AH68</f>
        <v/>
      </c>
      <c r="EZ10" s="146" t="str">
        <f ca="1">RESULTADOS!AI68</f>
        <v/>
      </c>
      <c r="FA10" s="146" t="str">
        <f ca="1">RESULTADOS!AJ68</f>
        <v/>
      </c>
      <c r="FB10" s="146" t="str">
        <f ca="1">RESULTADOS!AK68</f>
        <v/>
      </c>
      <c r="FC10" s="146" t="str">
        <f ca="1">RESULTADOS!AL68</f>
        <v/>
      </c>
      <c r="FD10" s="146" t="str">
        <f ca="1">RESULTADOS!AM68</f>
        <v/>
      </c>
      <c r="FE10" s="146" t="str">
        <f ca="1">RESULTADOS!AN68</f>
        <v/>
      </c>
      <c r="FF10" s="146" t="str">
        <f ca="1">RESULTADOS!AO68</f>
        <v/>
      </c>
      <c r="FG10" s="146" t="str">
        <f ca="1">RESULTADOS!AP68</f>
        <v/>
      </c>
      <c r="FH10" s="146" t="str">
        <f ca="1">RESULTADOS!AQ68</f>
        <v/>
      </c>
      <c r="FI10" s="146" t="str">
        <f ca="1">RESULTADOS!AR68</f>
        <v/>
      </c>
      <c r="FJ10" s="146" t="str">
        <f ca="1">RESULTADOS!AS68</f>
        <v/>
      </c>
      <c r="FK10" s="146" t="str">
        <f ca="1">RESULTADOS!AT68</f>
        <v/>
      </c>
      <c r="FL10" s="146" t="str">
        <f ca="1">RESULTADOS!AU68</f>
        <v/>
      </c>
      <c r="FM10" s="146" t="str">
        <f ca="1">RESULTADOS!AV68</f>
        <v/>
      </c>
      <c r="FN10" s="146" t="str">
        <f ca="1">RESULTADOS!AW68</f>
        <v/>
      </c>
    </row>
    <row r="11" spans="1:170">
      <c r="C11" s="144" t="s">
        <v>285</v>
      </c>
      <c r="D11" s="147" t="n">
        <f>'01.Definición de ámbito'!C29</f>
        <v>0.0</v>
      </c>
      <c r="E11" s="144" t="s">
        <v>308</v>
      </c>
      <c r="F11" s="147" t="str">
        <f>'02.Tecnologías'!F13</f>
        <v>No</v>
      </c>
      <c r="G11" s="147" t="n">
        <f>'02.Tecnologías'!K21</f>
        <v>0.0</v>
      </c>
      <c r="H11" s="147" t="n">
        <f>'02.Tecnologías'!L21</f>
        <v>0.0</v>
      </c>
      <c r="I11" s="206"/>
      <c r="J11" s="206"/>
      <c r="K11" s="144" t="s">
        <v>39</v>
      </c>
      <c r="L11" s="144"/>
      <c r="M11" s="144"/>
      <c r="N11" s="144"/>
      <c r="O11" s="144"/>
      <c r="P11" s="144"/>
      <c r="T11" s="148" t="n">
        <f>RESULTADOS!B28</f>
        <v>1.0</v>
      </c>
      <c r="U11" s="148" t="str">
        <f>RESULTADOS!C28</f>
        <v>Home - PortCastelló</v>
      </c>
      <c r="V11" s="148" t="str">
        <f t="shared" si="0"/>
        <v>Página web</v>
      </c>
      <c r="W11" s="148" t="str">
        <v/>
      </c>
      <c r="X11" s="148" t="str">
        <f>RESULTADOS!D28</f>
        <v>https://www.portcastello.com/</v>
      </c>
      <c r="Y11" s="148" t="n">
        <v>0.0</v>
      </c>
      <c r="Z11" s="237" t="str">
        <v>Ej. Imágenes, tablas, listas, multimedia, formularios, plantilla X, plantilla Y</v>
      </c>
      <c r="AA11" s="146" t="str">
        <f ca="1">RESULTADOS!E28</f>
        <v>N/T</v>
      </c>
      <c r="AB11" s="146" t="str">
        <f ca="1">RESULTADOS!F28</f>
        <v>N/T</v>
      </c>
      <c r="AC11" s="146" t="str">
        <f ca="1">RESULTADOS!G28</f>
        <v>N/T</v>
      </c>
      <c r="AD11" s="146" t="str">
        <f ca="1">RESULTADOS!H28</f>
        <v>N/T</v>
      </c>
      <c r="AE11" s="146" t="str">
        <f ca="1">RESULTADOS!I28</f>
        <v>N/T</v>
      </c>
      <c r="AF11" s="146" t="str">
        <f ca="1">RESULTADOS!J28</f>
        <v>N/T</v>
      </c>
      <c r="AG11" s="146" t="str">
        <f ca="1">RESULTADOS!K28</f>
        <v>N/T</v>
      </c>
      <c r="AH11" s="146" t="str">
        <f ca="1">RESULTADOS!L28</f>
        <v>N/T</v>
      </c>
      <c r="AI11" s="146" t="str">
        <f ca="1">RESULTADOS!M28</f>
        <v>N/T</v>
      </c>
      <c r="AJ11" s="146" t="str">
        <f ca="1">RESULTADOS!N28</f>
        <v>N/T</v>
      </c>
      <c r="AK11" s="146" t="str">
        <f ca="1">RESULTADOS!O28</f>
        <v>N/T</v>
      </c>
      <c r="AL11" s="146" t="str">
        <f ca="1">RESULTADOS!P28</f>
        <v>N/T</v>
      </c>
      <c r="AM11" s="146" t="str">
        <f ca="1">RESULTADOS!Q28</f>
        <v>N/T</v>
      </c>
      <c r="AN11" s="146" t="str">
        <f ca="1">RESULTADOS!R28</f>
        <v>N/T</v>
      </c>
      <c r="AO11" s="146" t="str">
        <f ca="1">RESULTADOS!S28</f>
        <v>N/T</v>
      </c>
      <c r="AP11" s="146" t="str">
        <f ca="1">RESULTADOS!T28</f>
        <v>N/T</v>
      </c>
      <c r="AQ11" s="146" t="str">
        <f ca="1">RESULTADOS!U28</f>
        <v>N/T</v>
      </c>
      <c r="AR11" s="146" t="str">
        <f ca="1">RESULTADOS!V28</f>
        <v>N/T</v>
      </c>
      <c r="AS11" s="146" t="str">
        <f ca="1">RESULTADOS!W28</f>
        <v>N/T</v>
      </c>
      <c r="AT11" s="146" t="str">
        <f ca="1">RESULTADOS!X28</f>
        <v>N/T</v>
      </c>
      <c r="AU11" s="146" t="str">
        <f ca="1">RESULTADOS!Y28</f>
        <v>N/T</v>
      </c>
      <c r="AV11" s="146" t="str">
        <f ca="1">RESULTADOS!Z28</f>
        <v>N/T</v>
      </c>
      <c r="AW11" s="146" t="str">
        <f ca="1">RESULTADOS!AA28</f>
        <v>N/T</v>
      </c>
      <c r="AX11" s="146" t="str">
        <f ca="1">RESULTADOS!AB28</f>
        <v>N/T</v>
      </c>
      <c r="AY11" s="146" t="str">
        <f ca="1">RESULTADOS!AC28</f>
        <v>N/T</v>
      </c>
      <c r="AZ11" s="146" t="str">
        <f ca="1">RESULTADOS!AD28</f>
        <v>N/T</v>
      </c>
      <c r="BA11" s="146" t="str">
        <f ca="1">RESULTADOS!AE28</f>
        <v>N/T</v>
      </c>
      <c r="BB11" s="146" t="str">
        <f ca="1">RESULTADOS!AF28</f>
        <v>N/T</v>
      </c>
      <c r="BC11" s="146" t="str">
        <f ca="1">RESULTADOS!AG28</f>
        <v>N/T</v>
      </c>
      <c r="BD11" s="146" t="str">
        <f ca="1">RESULTADOS!AH28</f>
        <v>N/T</v>
      </c>
      <c r="BE11" s="146" t="str">
        <f ca="1">RESULTADOS!AI28</f>
        <v>N/T</v>
      </c>
      <c r="BF11" s="146" t="str">
        <f ca="1">RESULTADOS!AJ28</f>
        <v>N/D</v>
      </c>
      <c r="BG11" s="146" t="str">
        <f ca="1">RESULTADOS!AK28</f>
        <v>N/T</v>
      </c>
      <c r="BH11" s="146" t="str">
        <f ca="1">RESULTADOS!AL28</f>
        <v>N/T</v>
      </c>
      <c r="BI11" s="146" t="str">
        <f ca="1">RESULTADOS!AM28</f>
        <v>N/T</v>
      </c>
      <c r="BJ11" s="146" t="str">
        <f ca="1">RESULTADOS!AN28</f>
        <v>N/T</v>
      </c>
      <c r="BK11" s="146" t="str">
        <f ca="1">RESULTADOS!AO28</f>
        <v>N/D</v>
      </c>
      <c r="BL11" s="146" t="str">
        <f ca="1">RESULTADOS!AP28</f>
        <v>N/T</v>
      </c>
      <c r="BM11" s="146" t="str">
        <f ca="1">RESULTADOS!AQ28</f>
        <v>N/T</v>
      </c>
      <c r="BN11" s="146" t="str">
        <f ca="1">RESULTADOS!AR28</f>
        <v>N/D</v>
      </c>
      <c r="BO11" s="146" t="str">
        <f ca="1">RESULTADOS!AS28</f>
        <v>N/D</v>
      </c>
      <c r="BP11" s="146" t="str">
        <f ca="1">RESULTADOS!AT28</f>
        <v>N/T</v>
      </c>
      <c r="BQ11" s="146" t="str">
        <f ca="1">RESULTADOS!AU28</f>
        <v>N/T</v>
      </c>
      <c r="BR11" s="146" t="str">
        <f ca="1">RESULTADOS!AV28</f>
        <v>N/D</v>
      </c>
      <c r="BS11" s="146" t="str">
        <f ca="1">RESULTADOS!AW28</f>
        <v>N/T</v>
      </c>
      <c r="BT11" s="146" t="str">
        <f ca="1">RESULTADOS!AX28</f>
        <v>N/T</v>
      </c>
      <c r="BU11" s="146" t="str">
        <f ca="1">RESULTADOS!AY28</f>
        <v>N/D</v>
      </c>
      <c r="BV11" s="146" t="str">
        <f ca="1">RESULTADOS!AZ28</f>
        <v>N/T</v>
      </c>
      <c r="BW11" s="146" t="str">
        <f ca="1">RESULTADOS!BA28</f>
        <v>N/D</v>
      </c>
      <c r="BX11" s="146" t="str">
        <f ca="1">RESULTADOS!BB28</f>
        <v>N/T</v>
      </c>
      <c r="BY11" s="146" t="str">
        <f ca="1">RESULTADOS!BC28</f>
        <v>N/D</v>
      </c>
      <c r="BZ11" s="146" t="str">
        <f ca="1">RESULTADOS!BD28</f>
        <v>N/T</v>
      </c>
      <c r="CA11" s="146" t="str">
        <f ca="1">RESULTADOS!BE28</f>
        <v>N/T</v>
      </c>
      <c r="CB11" s="146" t="str">
        <f ca="1">RESULTADOS!BF28</f>
        <v>N/D</v>
      </c>
      <c r="CC11" s="146" t="str">
        <f ca="1">RESULTADOS!BG28</f>
        <v>N/D</v>
      </c>
      <c r="CD11" s="146" t="str">
        <f ca="1">RESULTADOS!BH28</f>
        <v>N/T</v>
      </c>
      <c r="CE11" s="146" t="str">
        <f ca="1">RESULTADOS!BI28</f>
        <v>N/D</v>
      </c>
      <c r="CF11" s="146" t="str">
        <f ca="1">RESULTADOS!BJ28</f>
        <v>N/D</v>
      </c>
      <c r="CG11" s="146" t="str">
        <f ca="1">RESULTADOS!BK28</f>
        <v>N/D</v>
      </c>
      <c r="CH11" s="146" t="str">
        <f ca="1">RESULTADOS!BL28</f>
        <v>N/D</v>
      </c>
      <c r="CI11" s="146" t="str">
        <f ca="1">RESULTADOS!BM28</f>
        <v>N/D</v>
      </c>
      <c r="CJ11" s="146" t="str">
        <f ca="1">RESULTADOS!BN28</f>
        <v>N/T</v>
      </c>
      <c r="CK11" s="146" t="str">
        <f ca="1">RESULTADOS!BO28</f>
        <v>Falla</v>
      </c>
      <c r="CL11" s="146" t="str">
        <f ca="1">RESULTADOS!BP28</f>
        <v>N/T</v>
      </c>
      <c r="CM11" s="146" t="str">
        <f ca="1">RESULTADOS!BQ28</f>
        <v>N/T</v>
      </c>
      <c r="CN11" s="146" t="str">
        <f ca="1">RESULTADOS!BR28</f>
        <v>N/D</v>
      </c>
      <c r="CO11" s="146" t="str">
        <f ca="1">RESULTADOS!BS28</f>
        <v>N/T</v>
      </c>
      <c r="CP11" s="146" t="str">
        <f ca="1">RESULTADOS!BT28</f>
        <v>N/D</v>
      </c>
      <c r="CQ11" s="146" t="str">
        <f ca="1">RESULTADOS!BU28</f>
        <v>N/D</v>
      </c>
      <c r="CR11" s="146" t="str">
        <f ca="1">RESULTADOS!BV28</f>
        <v>N/D</v>
      </c>
      <c r="CS11" s="146" t="str">
        <f ca="1">RESULTADOS!BW28</f>
        <v>N/D</v>
      </c>
      <c r="CT11" s="146" t="str">
        <f ca="1">RESULTADOS!BX28</f>
        <v>N/D</v>
      </c>
      <c r="CU11" s="146" t="str">
        <f ca="1">RESULTADOS!BY28</f>
        <v>N/T</v>
      </c>
      <c r="CV11" s="146" t="str">
        <f ca="1">RESULTADOS!BZ28</f>
        <v>N/T</v>
      </c>
      <c r="CW11" s="146" t="str">
        <f ca="1">RESULTADOS!CA28</f>
        <v>N/D</v>
      </c>
      <c r="CX11" s="146" t="str">
        <f ca="1">RESULTADOS!CB28</f>
        <v>N/T</v>
      </c>
      <c r="CY11" s="146" t="str">
        <f ca="1">RESULTADOS!CC28</f>
        <v>N/T</v>
      </c>
      <c r="CZ11" s="146" t="str">
        <f ca="1">RESULTADOS!CD28</f>
        <v>N/T</v>
      </c>
      <c r="DA11" s="146" t="str">
        <f ca="1">RESULTADOS!CE28</f>
        <v>N/D</v>
      </c>
      <c r="DB11" s="146" t="str">
        <f ca="1">RESULTADOS!CF28</f>
        <v>N/T</v>
      </c>
      <c r="DC11" s="146" t="str">
        <f ca="1">RESULTADOS!CG28</f>
        <v>N/T</v>
      </c>
      <c r="DD11" s="146" t="str">
        <f ca="1">RESULTADOS!CH28</f>
        <v>N/T</v>
      </c>
      <c r="DE11" s="146" t="str">
        <f ca="1">RESULTADOS!CI28</f>
        <v>N/T</v>
      </c>
      <c r="DF11" s="146" t="str">
        <f ca="1">RESULTADOS!CJ28</f>
        <v>N/T</v>
      </c>
      <c r="DG11" s="146" t="str">
        <f ca="1">RESULTADOS!CK28</f>
        <v>N/T</v>
      </c>
      <c r="DH11" s="146" t="str">
        <f ca="1">RESULTADOS!CL28</f>
        <v>N/T</v>
      </c>
      <c r="DI11" s="146" t="str">
        <f ca="1">RESULTADOS!CM28</f>
        <v>N/T</v>
      </c>
      <c r="DJ11" s="146" t="str">
        <f ca="1">RESULTADOS!CN28</f>
        <v>N/T</v>
      </c>
      <c r="DK11" s="146" t="str">
        <f ca="1">RESULTADOS!CO28</f>
        <v>N/T</v>
      </c>
      <c r="DL11" s="146" t="str">
        <f ca="1">RESULTADOS!CP28</f>
        <v>N/T</v>
      </c>
      <c r="DM11" s="146" t="str">
        <f ca="1">RESULTADOS!CQ28</f>
        <v>N/T</v>
      </c>
      <c r="DN11" s="146" t="str">
        <f ca="1">RESULTADOS!CR28</f>
        <v>N/T</v>
      </c>
      <c r="DO11" s="148" t="str">
        <f>RESULTADOS!B69</f>
        <v/>
      </c>
      <c r="DP11" s="148" t="str">
        <f>RESULTADOS!C69</f>
        <v/>
      </c>
      <c r="DQ11" s="148" t="str">
        <f t="shared" si="1"/>
        <v/>
      </c>
      <c r="DR11" s="148" t="str" cm="1">
        <f t="array" ref="DR11">IFERROR(INDEX('03.Muestra'!$E$8:$E$42,SMALL(IF("Documento no web"='03.Muestra'!$D$8:$D$42,ROW('03.Muestra'!$E$8:$E$42)-MIN(ROW('03.Muestra'!$D$8:$D$42))+1,""),ROW()-2)),"")</f>
        <v/>
      </c>
      <c r="DS11" s="148" t="str">
        <f>RESULTADOS!D69</f>
        <v/>
      </c>
      <c r="DT11" s="148" t="str" cm="1">
        <f t="array" ref="DT11">IFERROR(INDEX('03.Muestra'!$G$8:$G$42,SMALL(IF("Documento no web"='03.Muestra'!$D$8:$D$42,ROW('03.Muestra'!$G$8:$G$42)-MIN(ROW('03.Muestra'!$D$8:$D$42))+1,""),ROW()-2)),"")</f>
        <v/>
      </c>
      <c r="DU11" s="237" t="str" cm="1">
        <f t="array" ref="DU11">IFERROR(INDEX('03.Muestra'!$H$8:$H$42,SMALL(IF("Documento no web"='03.Muestra'!$D$8:$D$42,ROW('03.Muestra'!$H$8:$H$42)-MIN(ROW('03.Muestra'!$D$8:$D$42))+1,""),ROW()-2)),"")</f>
        <v/>
      </c>
      <c r="DV11" s="146" t="str">
        <f ca="1">RESULTADOS!E69</f>
        <v/>
      </c>
      <c r="DW11" s="146" t="str">
        <f ca="1">RESULTADOS!F69</f>
        <v/>
      </c>
      <c r="DX11" s="146" t="str">
        <f ca="1">RESULTADOS!G69</f>
        <v/>
      </c>
      <c r="DY11" s="146" t="str">
        <f ca="1">RESULTADOS!H69</f>
        <v/>
      </c>
      <c r="DZ11" s="146" t="str">
        <f ca="1">RESULTADOS!I69</f>
        <v/>
      </c>
      <c r="EA11" s="146" t="str">
        <f ca="1">RESULTADOS!J69</f>
        <v/>
      </c>
      <c r="EB11" s="146" t="str">
        <f ca="1">RESULTADOS!K69</f>
        <v/>
      </c>
      <c r="EC11" s="146" t="str">
        <f ca="1">RESULTADOS!L69</f>
        <v/>
      </c>
      <c r="ED11" s="146" t="str">
        <f ca="1">RESULTADOS!M69</f>
        <v/>
      </c>
      <c r="EE11" s="146" t="str">
        <f ca="1">RESULTADOS!N69</f>
        <v/>
      </c>
      <c r="EF11" s="146" t="str">
        <f ca="1">RESULTADOS!O69</f>
        <v/>
      </c>
      <c r="EG11" s="146" t="str">
        <f ca="1">RESULTADOS!P69</f>
        <v/>
      </c>
      <c r="EH11" s="146" t="str">
        <f ca="1">RESULTADOS!Q69</f>
        <v/>
      </c>
      <c r="EI11" s="146" t="str">
        <f ca="1">RESULTADOS!R69</f>
        <v/>
      </c>
      <c r="EJ11" s="146" t="str">
        <f ca="1">RESULTADOS!S69</f>
        <v/>
      </c>
      <c r="EK11" s="146" t="str">
        <f ca="1">RESULTADOS!T69</f>
        <v/>
      </c>
      <c r="EL11" s="146" t="str">
        <f ca="1">RESULTADOS!U69</f>
        <v/>
      </c>
      <c r="EM11" s="146" t="str">
        <f ca="1">RESULTADOS!V69</f>
        <v/>
      </c>
      <c r="EN11" s="146" t="str">
        <f ca="1">RESULTADOS!W69</f>
        <v/>
      </c>
      <c r="EO11" s="146" t="str">
        <f ca="1">RESULTADOS!X69</f>
        <v/>
      </c>
      <c r="EP11" s="146" t="str">
        <f ca="1">RESULTADOS!Y69</f>
        <v/>
      </c>
      <c r="EQ11" s="146" t="str">
        <f ca="1">RESULTADOS!Z69</f>
        <v/>
      </c>
      <c r="ER11" s="146" t="str">
        <f ca="1">RESULTADOS!AA69</f>
        <v/>
      </c>
      <c r="ES11" s="146" t="str">
        <f ca="1">RESULTADOS!AB69</f>
        <v/>
      </c>
      <c r="ET11" s="146" t="str">
        <f ca="1">RESULTADOS!AC69</f>
        <v/>
      </c>
      <c r="EU11" s="146" t="str">
        <f ca="1">RESULTADOS!AD69</f>
        <v/>
      </c>
      <c r="EV11" s="146" t="str">
        <f ca="1">RESULTADOS!AE69</f>
        <v/>
      </c>
      <c r="EW11" s="146" t="str">
        <f ca="1">RESULTADOS!AF69</f>
        <v/>
      </c>
      <c r="EX11" s="146" t="str">
        <f ca="1">RESULTADOS!AG69</f>
        <v/>
      </c>
      <c r="EY11" s="146" t="str">
        <f ca="1">RESULTADOS!AH69</f>
        <v/>
      </c>
      <c r="EZ11" s="146" t="str">
        <f ca="1">RESULTADOS!AI69</f>
        <v/>
      </c>
      <c r="FA11" s="146" t="str">
        <f ca="1">RESULTADOS!AJ69</f>
        <v/>
      </c>
      <c r="FB11" s="146" t="str">
        <f ca="1">RESULTADOS!AK69</f>
        <v/>
      </c>
      <c r="FC11" s="146" t="str">
        <f ca="1">RESULTADOS!AL69</f>
        <v/>
      </c>
      <c r="FD11" s="146" t="str">
        <f ca="1">RESULTADOS!AM69</f>
        <v/>
      </c>
      <c r="FE11" s="146" t="str">
        <f ca="1">RESULTADOS!AN69</f>
        <v/>
      </c>
      <c r="FF11" s="146" t="str">
        <f ca="1">RESULTADOS!AO69</f>
        <v/>
      </c>
      <c r="FG11" s="146" t="str">
        <f ca="1">RESULTADOS!AP69</f>
        <v/>
      </c>
      <c r="FH11" s="146" t="str">
        <f ca="1">RESULTADOS!AQ69</f>
        <v/>
      </c>
      <c r="FI11" s="146" t="str">
        <f ca="1">RESULTADOS!AR69</f>
        <v/>
      </c>
      <c r="FJ11" s="146" t="str">
        <f ca="1">RESULTADOS!AS69</f>
        <v/>
      </c>
      <c r="FK11" s="146" t="str">
        <f ca="1">RESULTADOS!AT69</f>
        <v/>
      </c>
      <c r="FL11" s="146" t="str">
        <f ca="1">RESULTADOS!AU69</f>
        <v/>
      </c>
      <c r="FM11" s="146" t="str">
        <f ca="1">RESULTADOS!AV69</f>
        <v/>
      </c>
      <c r="FN11" s="146" t="str">
        <f ca="1">RESULTADOS!AW69</f>
        <v/>
      </c>
    </row>
    <row r="12" spans="1:170">
      <c r="C12" s="144" t="s">
        <v>139</v>
      </c>
      <c r="D12" s="147" t="n">
        <f>'01.Definición de ámbito'!C31</f>
        <v>0.0</v>
      </c>
      <c r="E12" s="144" t="s">
        <v>295</v>
      </c>
      <c r="F12" s="147" t="str">
        <f>'02.Tecnologías'!I9</f>
        <v>No</v>
      </c>
      <c r="G12" s="147" t="n">
        <f>'02.Tecnologías'!K22</f>
        <v>0.0</v>
      </c>
      <c r="H12" s="147" t="n">
        <f>'02.Tecnologías'!L22</f>
        <v>0.0</v>
      </c>
      <c r="I12" s="206"/>
      <c r="J12" s="206"/>
      <c r="K12" s="23" t="s">
        <v>133</v>
      </c>
      <c r="L12" s="23" t="s">
        <v>42</v>
      </c>
      <c r="M12" s="23" t="s">
        <v>43</v>
      </c>
      <c r="N12" s="23" t="s">
        <v>31</v>
      </c>
      <c r="O12" s="23" t="s">
        <v>44</v>
      </c>
      <c r="P12" s="23" t="s">
        <v>134</v>
      </c>
      <c r="T12" s="148" t="n">
        <f>RESULTADOS!B29</f>
        <v>1.0</v>
      </c>
      <c r="U12" s="148" t="str">
        <f>RESULTADOS!C29</f>
        <v>Home - PortCastelló</v>
      </c>
      <c r="V12" s="148" t="str">
        <f t="shared" si="0"/>
        <v>Página web</v>
      </c>
      <c r="W12" s="148" t="str">
        <v/>
      </c>
      <c r="X12" s="148" t="str">
        <f>RESULTADOS!D29</f>
        <v>https://www.portcastello.com/</v>
      </c>
      <c r="Y12" s="148" t="n">
        <v>0.0</v>
      </c>
      <c r="Z12" s="237" t="str">
        <v>Ej. Imágenes, tablas, listas, multimedia, formularios, plantilla X, plantilla Y</v>
      </c>
      <c r="AA12" s="146" t="str">
        <f ca="1">RESULTADOS!E29</f>
        <v>N/T</v>
      </c>
      <c r="AB12" s="146" t="str">
        <f ca="1">RESULTADOS!F29</f>
        <v>N/T</v>
      </c>
      <c r="AC12" s="146" t="str">
        <f ca="1">RESULTADOS!G29</f>
        <v>N/T</v>
      </c>
      <c r="AD12" s="146" t="str">
        <f ca="1">RESULTADOS!H29</f>
        <v>N/T</v>
      </c>
      <c r="AE12" s="146" t="str">
        <f ca="1">RESULTADOS!I29</f>
        <v>N/T</v>
      </c>
      <c r="AF12" s="146" t="str">
        <f ca="1">RESULTADOS!J29</f>
        <v>N/T</v>
      </c>
      <c r="AG12" s="146" t="str">
        <f ca="1">RESULTADOS!K29</f>
        <v>N/T</v>
      </c>
      <c r="AH12" s="146" t="str">
        <f ca="1">RESULTADOS!L29</f>
        <v>N/T</v>
      </c>
      <c r="AI12" s="146" t="str">
        <f ca="1">RESULTADOS!M29</f>
        <v>N/T</v>
      </c>
      <c r="AJ12" s="146" t="str">
        <f ca="1">RESULTADOS!N29</f>
        <v>N/T</v>
      </c>
      <c r="AK12" s="146" t="str">
        <f ca="1">RESULTADOS!O29</f>
        <v>N/T</v>
      </c>
      <c r="AL12" s="146" t="str">
        <f ca="1">RESULTADOS!P29</f>
        <v>N/T</v>
      </c>
      <c r="AM12" s="146" t="str">
        <f ca="1">RESULTADOS!Q29</f>
        <v>N/T</v>
      </c>
      <c r="AN12" s="146" t="str">
        <f ca="1">RESULTADOS!R29</f>
        <v>N/T</v>
      </c>
      <c r="AO12" s="146" t="str">
        <f ca="1">RESULTADOS!S29</f>
        <v>N/T</v>
      </c>
      <c r="AP12" s="146" t="str">
        <f ca="1">RESULTADOS!T29</f>
        <v>N/T</v>
      </c>
      <c r="AQ12" s="146" t="str">
        <f ca="1">RESULTADOS!U29</f>
        <v>N/T</v>
      </c>
      <c r="AR12" s="146" t="str">
        <f ca="1">RESULTADOS!V29</f>
        <v>N/T</v>
      </c>
      <c r="AS12" s="146" t="str">
        <f ca="1">RESULTADOS!W29</f>
        <v>N/T</v>
      </c>
      <c r="AT12" s="146" t="str">
        <f ca="1">RESULTADOS!X29</f>
        <v>N/T</v>
      </c>
      <c r="AU12" s="146" t="str">
        <f ca="1">RESULTADOS!Y29</f>
        <v>N/T</v>
      </c>
      <c r="AV12" s="146" t="str">
        <f ca="1">RESULTADOS!Z29</f>
        <v>N/T</v>
      </c>
      <c r="AW12" s="146" t="str">
        <f ca="1">RESULTADOS!AA29</f>
        <v>N/T</v>
      </c>
      <c r="AX12" s="146" t="str">
        <f ca="1">RESULTADOS!AB29</f>
        <v>N/T</v>
      </c>
      <c r="AY12" s="146" t="str">
        <f ca="1">RESULTADOS!AC29</f>
        <v>N/T</v>
      </c>
      <c r="AZ12" s="146" t="str">
        <f ca="1">RESULTADOS!AD29</f>
        <v>N/T</v>
      </c>
      <c r="BA12" s="146" t="str">
        <f ca="1">RESULTADOS!AE29</f>
        <v>N/T</v>
      </c>
      <c r="BB12" s="146" t="str">
        <f ca="1">RESULTADOS!AF29</f>
        <v>N/T</v>
      </c>
      <c r="BC12" s="146" t="str">
        <f ca="1">RESULTADOS!AG29</f>
        <v>N/T</v>
      </c>
      <c r="BD12" s="146" t="str">
        <f ca="1">RESULTADOS!AH29</f>
        <v>N/T</v>
      </c>
      <c r="BE12" s="146" t="str">
        <f ca="1">RESULTADOS!AI29</f>
        <v>N/T</v>
      </c>
      <c r="BF12" s="146" t="str">
        <f ca="1">RESULTADOS!AJ29</f>
        <v>N/D</v>
      </c>
      <c r="BG12" s="146" t="str">
        <f ca="1">RESULTADOS!AK29</f>
        <v>N/T</v>
      </c>
      <c r="BH12" s="146" t="str">
        <f ca="1">RESULTADOS!AL29</f>
        <v>N/T</v>
      </c>
      <c r="BI12" s="146" t="str">
        <f ca="1">RESULTADOS!AM29</f>
        <v>N/T</v>
      </c>
      <c r="BJ12" s="146" t="str">
        <f ca="1">RESULTADOS!AN29</f>
        <v>N/T</v>
      </c>
      <c r="BK12" s="146" t="str">
        <f ca="1">RESULTADOS!AO29</f>
        <v>N/D</v>
      </c>
      <c r="BL12" s="146" t="str">
        <f ca="1">RESULTADOS!AP29</f>
        <v>N/T</v>
      </c>
      <c r="BM12" s="146" t="str">
        <f ca="1">RESULTADOS!AQ29</f>
        <v>N/T</v>
      </c>
      <c r="BN12" s="146" t="str">
        <f ca="1">RESULTADOS!AR29</f>
        <v>N/D</v>
      </c>
      <c r="BO12" s="146" t="str">
        <f ca="1">RESULTADOS!AS29</f>
        <v>N/D</v>
      </c>
      <c r="BP12" s="146" t="str">
        <f ca="1">RESULTADOS!AT29</f>
        <v>N/T</v>
      </c>
      <c r="BQ12" s="146" t="str">
        <f ca="1">RESULTADOS!AU29</f>
        <v>N/T</v>
      </c>
      <c r="BR12" s="146" t="str">
        <f ca="1">RESULTADOS!AV29</f>
        <v>N/D</v>
      </c>
      <c r="BS12" s="146" t="str">
        <f ca="1">RESULTADOS!AW29</f>
        <v>N/T</v>
      </c>
      <c r="BT12" s="146" t="str">
        <f ca="1">RESULTADOS!AX29</f>
        <v>N/T</v>
      </c>
      <c r="BU12" s="146" t="str">
        <f ca="1">RESULTADOS!AY29</f>
        <v>N/D</v>
      </c>
      <c r="BV12" s="146" t="str">
        <f ca="1">RESULTADOS!AZ29</f>
        <v>N/T</v>
      </c>
      <c r="BW12" s="146" t="str">
        <f ca="1">RESULTADOS!BA29</f>
        <v>N/D</v>
      </c>
      <c r="BX12" s="146" t="str">
        <f ca="1">RESULTADOS!BB29</f>
        <v>N/T</v>
      </c>
      <c r="BY12" s="146" t="str">
        <f ca="1">RESULTADOS!BC29</f>
        <v>N/D</v>
      </c>
      <c r="BZ12" s="146" t="str">
        <f ca="1">RESULTADOS!BD29</f>
        <v>N/T</v>
      </c>
      <c r="CA12" s="146" t="str">
        <f ca="1">RESULTADOS!BE29</f>
        <v>N/T</v>
      </c>
      <c r="CB12" s="146" t="str">
        <f ca="1">RESULTADOS!BF29</f>
        <v>N/D</v>
      </c>
      <c r="CC12" s="146" t="str">
        <f ca="1">RESULTADOS!BG29</f>
        <v>N/D</v>
      </c>
      <c r="CD12" s="146" t="str">
        <f ca="1">RESULTADOS!BH29</f>
        <v>N/T</v>
      </c>
      <c r="CE12" s="146" t="str">
        <f ca="1">RESULTADOS!BI29</f>
        <v>N/D</v>
      </c>
      <c r="CF12" s="146" t="str">
        <f ca="1">RESULTADOS!BJ29</f>
        <v>N/D</v>
      </c>
      <c r="CG12" s="146" t="str">
        <f ca="1">RESULTADOS!BK29</f>
        <v>N/D</v>
      </c>
      <c r="CH12" s="146" t="str">
        <f ca="1">RESULTADOS!BL29</f>
        <v>N/D</v>
      </c>
      <c r="CI12" s="146" t="str">
        <f ca="1">RESULTADOS!BM29</f>
        <v>N/D</v>
      </c>
      <c r="CJ12" s="146" t="str">
        <f ca="1">RESULTADOS!BN29</f>
        <v>N/T</v>
      </c>
      <c r="CK12" s="146" t="str">
        <f ca="1">RESULTADOS!BO29</f>
        <v>Falla</v>
      </c>
      <c r="CL12" s="146" t="str">
        <f ca="1">RESULTADOS!BP29</f>
        <v>N/T</v>
      </c>
      <c r="CM12" s="146" t="str">
        <f ca="1">RESULTADOS!BQ29</f>
        <v>N/T</v>
      </c>
      <c r="CN12" s="146" t="str">
        <f ca="1">RESULTADOS!BR29</f>
        <v>N/D</v>
      </c>
      <c r="CO12" s="146" t="str">
        <f ca="1">RESULTADOS!BS29</f>
        <v>N/T</v>
      </c>
      <c r="CP12" s="146" t="str">
        <f ca="1">RESULTADOS!BT29</f>
        <v>N/D</v>
      </c>
      <c r="CQ12" s="146" t="str">
        <f ca="1">RESULTADOS!BU29</f>
        <v>N/D</v>
      </c>
      <c r="CR12" s="146" t="str">
        <f ca="1">RESULTADOS!BV29</f>
        <v>N/D</v>
      </c>
      <c r="CS12" s="146" t="str">
        <f ca="1">RESULTADOS!BW29</f>
        <v>N/D</v>
      </c>
      <c r="CT12" s="146" t="str">
        <f ca="1">RESULTADOS!BX29</f>
        <v>N/D</v>
      </c>
      <c r="CU12" s="146" t="str">
        <f ca="1">RESULTADOS!BY29</f>
        <v>N/T</v>
      </c>
      <c r="CV12" s="146" t="str">
        <f ca="1">RESULTADOS!BZ29</f>
        <v>N/T</v>
      </c>
      <c r="CW12" s="146" t="str">
        <f ca="1">RESULTADOS!CA29</f>
        <v>N/D</v>
      </c>
      <c r="CX12" s="146" t="str">
        <f ca="1">RESULTADOS!CB29</f>
        <v>N/T</v>
      </c>
      <c r="CY12" s="146" t="str">
        <f ca="1">RESULTADOS!CC29</f>
        <v>N/T</v>
      </c>
      <c r="CZ12" s="146" t="str">
        <f ca="1">RESULTADOS!CD29</f>
        <v>N/T</v>
      </c>
      <c r="DA12" s="146" t="str">
        <f ca="1">RESULTADOS!CE29</f>
        <v>N/D</v>
      </c>
      <c r="DB12" s="146" t="str">
        <f ca="1">RESULTADOS!CF29</f>
        <v>N/T</v>
      </c>
      <c r="DC12" s="146" t="str">
        <f ca="1">RESULTADOS!CG29</f>
        <v>N/T</v>
      </c>
      <c r="DD12" s="146" t="str">
        <f ca="1">RESULTADOS!CH29</f>
        <v>N/T</v>
      </c>
      <c r="DE12" s="146" t="str">
        <f ca="1">RESULTADOS!CI29</f>
        <v>N/T</v>
      </c>
      <c r="DF12" s="146" t="str">
        <f ca="1">RESULTADOS!CJ29</f>
        <v>N/T</v>
      </c>
      <c r="DG12" s="146" t="str">
        <f ca="1">RESULTADOS!CK29</f>
        <v>N/T</v>
      </c>
      <c r="DH12" s="146" t="str">
        <f ca="1">RESULTADOS!CL29</f>
        <v>N/T</v>
      </c>
      <c r="DI12" s="146" t="str">
        <f ca="1">RESULTADOS!CM29</f>
        <v>N/T</v>
      </c>
      <c r="DJ12" s="146" t="str">
        <f ca="1">RESULTADOS!CN29</f>
        <v>N/T</v>
      </c>
      <c r="DK12" s="146" t="str">
        <f ca="1">RESULTADOS!CO29</f>
        <v>N/T</v>
      </c>
      <c r="DL12" s="146" t="str">
        <f ca="1">RESULTADOS!CP29</f>
        <v>N/T</v>
      </c>
      <c r="DM12" s="146" t="str">
        <f ca="1">RESULTADOS!CQ29</f>
        <v>N/T</v>
      </c>
      <c r="DN12" s="146" t="str">
        <f ca="1">RESULTADOS!CR29</f>
        <v>N/T</v>
      </c>
      <c r="DO12" s="148" t="str">
        <f>RESULTADOS!B70</f>
        <v/>
      </c>
      <c r="DP12" s="148" t="str">
        <f>RESULTADOS!C70</f>
        <v/>
      </c>
      <c r="DQ12" s="148" t="str">
        <f t="shared" si="1"/>
        <v/>
      </c>
      <c r="DR12" s="148" t="str" cm="1">
        <f t="array" ref="DR12">IFERROR(INDEX('03.Muestra'!$E$8:$E$42,SMALL(IF("Documento no web"='03.Muestra'!$D$8:$D$42,ROW('03.Muestra'!$E$8:$E$42)-MIN(ROW('03.Muestra'!$D$8:$D$42))+1,""),ROW()-2)),"")</f>
        <v/>
      </c>
      <c r="DS12" s="148" t="str">
        <f>RESULTADOS!D70</f>
        <v/>
      </c>
      <c r="DT12" s="148" t="str" cm="1">
        <f t="array" ref="DT12">IFERROR(INDEX('03.Muestra'!$G$8:$G$42,SMALL(IF("Documento no web"='03.Muestra'!$D$8:$D$42,ROW('03.Muestra'!$G$8:$G$42)-MIN(ROW('03.Muestra'!$D$8:$D$42))+1,""),ROW()-2)),"")</f>
        <v/>
      </c>
      <c r="DU12" s="237" t="str" cm="1">
        <f t="array" ref="DU12">IFERROR(INDEX('03.Muestra'!$H$8:$H$42,SMALL(IF("Documento no web"='03.Muestra'!$D$8:$D$42,ROW('03.Muestra'!$H$8:$H$42)-MIN(ROW('03.Muestra'!$D$8:$D$42))+1,""),ROW()-2)),"")</f>
        <v/>
      </c>
      <c r="DV12" s="146" t="str">
        <f ca="1">RESULTADOS!E70</f>
        <v/>
      </c>
      <c r="DW12" s="146" t="str">
        <f ca="1">RESULTADOS!F70</f>
        <v/>
      </c>
      <c r="DX12" s="146" t="str">
        <f ca="1">RESULTADOS!G70</f>
        <v/>
      </c>
      <c r="DY12" s="146" t="str">
        <f ca="1">RESULTADOS!H70</f>
        <v/>
      </c>
      <c r="DZ12" s="146" t="str">
        <f ca="1">RESULTADOS!I70</f>
        <v/>
      </c>
      <c r="EA12" s="146" t="str">
        <f ca="1">RESULTADOS!J70</f>
        <v/>
      </c>
      <c r="EB12" s="146" t="str">
        <f ca="1">RESULTADOS!K70</f>
        <v/>
      </c>
      <c r="EC12" s="146" t="str">
        <f ca="1">RESULTADOS!L70</f>
        <v/>
      </c>
      <c r="ED12" s="146" t="str">
        <f ca="1">RESULTADOS!M70</f>
        <v/>
      </c>
      <c r="EE12" s="146" t="str">
        <f ca="1">RESULTADOS!N70</f>
        <v/>
      </c>
      <c r="EF12" s="146" t="str">
        <f ca="1">RESULTADOS!O70</f>
        <v/>
      </c>
      <c r="EG12" s="146" t="str">
        <f ca="1">RESULTADOS!P70</f>
        <v/>
      </c>
      <c r="EH12" s="146" t="str">
        <f ca="1">RESULTADOS!Q70</f>
        <v/>
      </c>
      <c r="EI12" s="146" t="str">
        <f ca="1">RESULTADOS!R70</f>
        <v/>
      </c>
      <c r="EJ12" s="146" t="str">
        <f ca="1">RESULTADOS!S70</f>
        <v/>
      </c>
      <c r="EK12" s="146" t="str">
        <f ca="1">RESULTADOS!T70</f>
        <v/>
      </c>
      <c r="EL12" s="146" t="str">
        <f ca="1">RESULTADOS!U70</f>
        <v/>
      </c>
      <c r="EM12" s="146" t="str">
        <f ca="1">RESULTADOS!V70</f>
        <v/>
      </c>
      <c r="EN12" s="146" t="str">
        <f ca="1">RESULTADOS!W70</f>
        <v/>
      </c>
      <c r="EO12" s="146" t="str">
        <f ca="1">RESULTADOS!X70</f>
        <v/>
      </c>
      <c r="EP12" s="146" t="str">
        <f ca="1">RESULTADOS!Y70</f>
        <v/>
      </c>
      <c r="EQ12" s="146" t="str">
        <f ca="1">RESULTADOS!Z70</f>
        <v/>
      </c>
      <c r="ER12" s="146" t="str">
        <f ca="1">RESULTADOS!AA70</f>
        <v/>
      </c>
      <c r="ES12" s="146" t="str">
        <f ca="1">RESULTADOS!AB70</f>
        <v/>
      </c>
      <c r="ET12" s="146" t="str">
        <f ca="1">RESULTADOS!AC70</f>
        <v/>
      </c>
      <c r="EU12" s="146" t="str">
        <f ca="1">RESULTADOS!AD70</f>
        <v/>
      </c>
      <c r="EV12" s="146" t="str">
        <f ca="1">RESULTADOS!AE70</f>
        <v/>
      </c>
      <c r="EW12" s="146" t="str">
        <f ca="1">RESULTADOS!AF70</f>
        <v/>
      </c>
      <c r="EX12" s="146" t="str">
        <f ca="1">RESULTADOS!AG70</f>
        <v/>
      </c>
      <c r="EY12" s="146" t="str">
        <f ca="1">RESULTADOS!AH70</f>
        <v/>
      </c>
      <c r="EZ12" s="146" t="str">
        <f ca="1">RESULTADOS!AI70</f>
        <v/>
      </c>
      <c r="FA12" s="146" t="str">
        <f ca="1">RESULTADOS!AJ70</f>
        <v/>
      </c>
      <c r="FB12" s="146" t="str">
        <f ca="1">RESULTADOS!AK70</f>
        <v/>
      </c>
      <c r="FC12" s="146" t="str">
        <f ca="1">RESULTADOS!AL70</f>
        <v/>
      </c>
      <c r="FD12" s="146" t="str">
        <f ca="1">RESULTADOS!AM70</f>
        <v/>
      </c>
      <c r="FE12" s="146" t="str">
        <f ca="1">RESULTADOS!AN70</f>
        <v/>
      </c>
      <c r="FF12" s="146" t="str">
        <f ca="1">RESULTADOS!AO70</f>
        <v/>
      </c>
      <c r="FG12" s="146" t="str">
        <f ca="1">RESULTADOS!AP70</f>
        <v/>
      </c>
      <c r="FH12" s="146" t="str">
        <f ca="1">RESULTADOS!AQ70</f>
        <v/>
      </c>
      <c r="FI12" s="146" t="str">
        <f ca="1">RESULTADOS!AR70</f>
        <v/>
      </c>
      <c r="FJ12" s="146" t="str">
        <f ca="1">RESULTADOS!AS70</f>
        <v/>
      </c>
      <c r="FK12" s="146" t="str">
        <f ca="1">RESULTADOS!AT70</f>
        <v/>
      </c>
      <c r="FL12" s="146" t="str">
        <f ca="1">RESULTADOS!AU70</f>
        <v/>
      </c>
      <c r="FM12" s="146" t="str">
        <f ca="1">RESULTADOS!AV70</f>
        <v/>
      </c>
      <c r="FN12" s="146" t="str">
        <f ca="1">RESULTADOS!AW70</f>
        <v/>
      </c>
    </row>
    <row r="13" spans="1:170">
      <c r="C13" s="144" t="s">
        <v>286</v>
      </c>
      <c r="D13" s="147" t="n">
        <f>'01.Definición de ámbito'!C33</f>
        <v>0.0</v>
      </c>
      <c r="E13" s="144" t="s">
        <v>298</v>
      </c>
      <c r="F13" s="147" t="str">
        <f>'02.Tecnologías'!I10</f>
        <v>No</v>
      </c>
      <c r="G13" s="147" t="n">
        <f>'02.Tecnologías'!K23</f>
        <v>0.0</v>
      </c>
      <c r="H13" s="147" t="n">
        <f>'02.Tecnologías'!L23</f>
        <v>0.0</v>
      </c>
      <c r="I13" s="206"/>
      <c r="J13" s="206"/>
      <c r="K13" s="40" t="s">
        <v>150</v>
      </c>
      <c r="L13" s="208" t="str">
        <f ca="1">RESULTADOS!E8</f>
        <v>0 (0 %)</v>
      </c>
      <c r="M13" s="208" t="str">
        <f ca="1">RESULTADOS!F8</f>
        <v>1 (1.09 %)</v>
      </c>
      <c r="N13" s="208" t="str">
        <f ca="1">RESULTADOS!G8</f>
        <v>0 (0 %)</v>
      </c>
      <c r="O13" s="148" t="n">
        <f ca="1">RESULTADOS!H8</f>
        <v>0.0</v>
      </c>
      <c r="P13" s="148" t="n">
        <f ca="1">RESULTADOS!I8</f>
        <v>91.0</v>
      </c>
      <c r="T13" s="148" t="n">
        <f>RESULTADOS!B30</f>
        <v>1.0</v>
      </c>
      <c r="U13" s="148" t="str">
        <f>RESULTADOS!C30</f>
        <v>Home - PortCastelló</v>
      </c>
      <c r="V13" s="148" t="str">
        <f t="shared" si="0"/>
        <v>Página web</v>
      </c>
      <c r="W13" s="148" t="str">
        <v/>
      </c>
      <c r="X13" s="148" t="str">
        <f>RESULTADOS!D30</f>
        <v>https://www.portcastello.com/</v>
      </c>
      <c r="Y13" s="148" t="n">
        <v>0.0</v>
      </c>
      <c r="Z13" s="237" t="str">
        <v>Ej. Imágenes, tablas, listas, multimedia, formularios, plantilla X, plantilla Y</v>
      </c>
      <c r="AA13" s="146" t="str">
        <f ca="1">RESULTADOS!E30</f>
        <v>N/T</v>
      </c>
      <c r="AB13" s="146" t="str">
        <f ca="1">RESULTADOS!F30</f>
        <v>N/T</v>
      </c>
      <c r="AC13" s="146" t="str">
        <f ca="1">RESULTADOS!G30</f>
        <v>N/T</v>
      </c>
      <c r="AD13" s="146" t="str">
        <f ca="1">RESULTADOS!H30</f>
        <v>N/T</v>
      </c>
      <c r="AE13" s="146" t="str">
        <f ca="1">RESULTADOS!I30</f>
        <v>N/T</v>
      </c>
      <c r="AF13" s="146" t="str">
        <f ca="1">RESULTADOS!J30</f>
        <v>N/T</v>
      </c>
      <c r="AG13" s="146" t="str">
        <f ca="1">RESULTADOS!K30</f>
        <v>N/T</v>
      </c>
      <c r="AH13" s="146" t="str">
        <f ca="1">RESULTADOS!L30</f>
        <v>N/T</v>
      </c>
      <c r="AI13" s="146" t="str">
        <f ca="1">RESULTADOS!M30</f>
        <v>N/T</v>
      </c>
      <c r="AJ13" s="146" t="str">
        <f ca="1">RESULTADOS!N30</f>
        <v>N/T</v>
      </c>
      <c r="AK13" s="146" t="str">
        <f ca="1">RESULTADOS!O30</f>
        <v>N/T</v>
      </c>
      <c r="AL13" s="146" t="str">
        <f ca="1">RESULTADOS!P30</f>
        <v>N/T</v>
      </c>
      <c r="AM13" s="146" t="str">
        <f ca="1">RESULTADOS!Q30</f>
        <v>N/T</v>
      </c>
      <c r="AN13" s="146" t="str">
        <f ca="1">RESULTADOS!R30</f>
        <v>N/T</v>
      </c>
      <c r="AO13" s="146" t="str">
        <f ca="1">RESULTADOS!S30</f>
        <v>N/T</v>
      </c>
      <c r="AP13" s="146" t="str">
        <f ca="1">RESULTADOS!T30</f>
        <v>N/T</v>
      </c>
      <c r="AQ13" s="146" t="str">
        <f ca="1">RESULTADOS!U30</f>
        <v>N/T</v>
      </c>
      <c r="AR13" s="146" t="str">
        <f ca="1">RESULTADOS!V30</f>
        <v>N/T</v>
      </c>
      <c r="AS13" s="146" t="str">
        <f ca="1">RESULTADOS!W30</f>
        <v>N/T</v>
      </c>
      <c r="AT13" s="146" t="str">
        <f ca="1">RESULTADOS!X30</f>
        <v>N/T</v>
      </c>
      <c r="AU13" s="146" t="str">
        <f ca="1">RESULTADOS!Y30</f>
        <v>N/T</v>
      </c>
      <c r="AV13" s="146" t="str">
        <f ca="1">RESULTADOS!Z30</f>
        <v>N/T</v>
      </c>
      <c r="AW13" s="146" t="str">
        <f ca="1">RESULTADOS!AA30</f>
        <v>N/T</v>
      </c>
      <c r="AX13" s="146" t="str">
        <f ca="1">RESULTADOS!AB30</f>
        <v>N/T</v>
      </c>
      <c r="AY13" s="146" t="str">
        <f ca="1">RESULTADOS!AC30</f>
        <v>N/T</v>
      </c>
      <c r="AZ13" s="146" t="str">
        <f ca="1">RESULTADOS!AD30</f>
        <v>N/T</v>
      </c>
      <c r="BA13" s="146" t="str">
        <f ca="1">RESULTADOS!AE30</f>
        <v>N/T</v>
      </c>
      <c r="BB13" s="146" t="str">
        <f ca="1">RESULTADOS!AF30</f>
        <v>N/T</v>
      </c>
      <c r="BC13" s="146" t="str">
        <f ca="1">RESULTADOS!AG30</f>
        <v>N/T</v>
      </c>
      <c r="BD13" s="146" t="str">
        <f ca="1">RESULTADOS!AH30</f>
        <v>N/T</v>
      </c>
      <c r="BE13" s="146" t="str">
        <f ca="1">RESULTADOS!AI30</f>
        <v>N/T</v>
      </c>
      <c r="BF13" s="146" t="str">
        <f ca="1">RESULTADOS!AJ30</f>
        <v>N/D</v>
      </c>
      <c r="BG13" s="146" t="str">
        <f ca="1">RESULTADOS!AK30</f>
        <v>N/T</v>
      </c>
      <c r="BH13" s="146" t="str">
        <f ca="1">RESULTADOS!AL30</f>
        <v>N/T</v>
      </c>
      <c r="BI13" s="146" t="str">
        <f ca="1">RESULTADOS!AM30</f>
        <v>N/T</v>
      </c>
      <c r="BJ13" s="146" t="str">
        <f ca="1">RESULTADOS!AN30</f>
        <v>N/T</v>
      </c>
      <c r="BK13" s="146" t="str">
        <f ca="1">RESULTADOS!AO30</f>
        <v>N/D</v>
      </c>
      <c r="BL13" s="146" t="str">
        <f ca="1">RESULTADOS!AP30</f>
        <v>N/T</v>
      </c>
      <c r="BM13" s="146" t="str">
        <f ca="1">RESULTADOS!AQ30</f>
        <v>N/T</v>
      </c>
      <c r="BN13" s="146" t="str">
        <f ca="1">RESULTADOS!AR30</f>
        <v>N/D</v>
      </c>
      <c r="BO13" s="146" t="str">
        <f ca="1">RESULTADOS!AS30</f>
        <v>N/D</v>
      </c>
      <c r="BP13" s="146" t="str">
        <f ca="1">RESULTADOS!AT30</f>
        <v>N/T</v>
      </c>
      <c r="BQ13" s="146" t="str">
        <f ca="1">RESULTADOS!AU30</f>
        <v>N/T</v>
      </c>
      <c r="BR13" s="146" t="str">
        <f ca="1">RESULTADOS!AV30</f>
        <v>N/D</v>
      </c>
      <c r="BS13" s="146" t="str">
        <f ca="1">RESULTADOS!AW30</f>
        <v>N/T</v>
      </c>
      <c r="BT13" s="146" t="str">
        <f ca="1">RESULTADOS!AX30</f>
        <v>N/T</v>
      </c>
      <c r="BU13" s="146" t="str">
        <f ca="1">RESULTADOS!AY30</f>
        <v>N/D</v>
      </c>
      <c r="BV13" s="146" t="str">
        <f ca="1">RESULTADOS!AZ30</f>
        <v>N/T</v>
      </c>
      <c r="BW13" s="146" t="str">
        <f ca="1">RESULTADOS!BA30</f>
        <v>N/D</v>
      </c>
      <c r="BX13" s="146" t="str">
        <f ca="1">RESULTADOS!BB30</f>
        <v>N/T</v>
      </c>
      <c r="BY13" s="146" t="str">
        <f ca="1">RESULTADOS!BC30</f>
        <v>N/D</v>
      </c>
      <c r="BZ13" s="146" t="str">
        <f ca="1">RESULTADOS!BD30</f>
        <v>N/T</v>
      </c>
      <c r="CA13" s="146" t="str">
        <f ca="1">RESULTADOS!BE30</f>
        <v>N/T</v>
      </c>
      <c r="CB13" s="146" t="str">
        <f ca="1">RESULTADOS!BF30</f>
        <v>N/D</v>
      </c>
      <c r="CC13" s="146" t="str">
        <f ca="1">RESULTADOS!BG30</f>
        <v>N/D</v>
      </c>
      <c r="CD13" s="146" t="str">
        <f ca="1">RESULTADOS!BH30</f>
        <v>N/T</v>
      </c>
      <c r="CE13" s="146" t="str">
        <f ca="1">RESULTADOS!BI30</f>
        <v>N/D</v>
      </c>
      <c r="CF13" s="146" t="str">
        <f ca="1">RESULTADOS!BJ30</f>
        <v>N/D</v>
      </c>
      <c r="CG13" s="146" t="str">
        <f ca="1">RESULTADOS!BK30</f>
        <v>N/D</v>
      </c>
      <c r="CH13" s="146" t="str">
        <f ca="1">RESULTADOS!BL30</f>
        <v>N/D</v>
      </c>
      <c r="CI13" s="146" t="str">
        <f ca="1">RESULTADOS!BM30</f>
        <v>N/D</v>
      </c>
      <c r="CJ13" s="146" t="str">
        <f ca="1">RESULTADOS!BN30</f>
        <v>N/T</v>
      </c>
      <c r="CK13" s="146" t="str">
        <f ca="1">RESULTADOS!BO30</f>
        <v>Falla</v>
      </c>
      <c r="CL13" s="146" t="str">
        <f ca="1">RESULTADOS!BP30</f>
        <v>N/T</v>
      </c>
      <c r="CM13" s="146" t="str">
        <f ca="1">RESULTADOS!BQ30</f>
        <v>N/T</v>
      </c>
      <c r="CN13" s="146" t="str">
        <f ca="1">RESULTADOS!BR30</f>
        <v>N/D</v>
      </c>
      <c r="CO13" s="146" t="str">
        <f ca="1">RESULTADOS!BS30</f>
        <v>N/T</v>
      </c>
      <c r="CP13" s="146" t="str">
        <f ca="1">RESULTADOS!BT30</f>
        <v>N/D</v>
      </c>
      <c r="CQ13" s="146" t="str">
        <f ca="1">RESULTADOS!BU30</f>
        <v>N/D</v>
      </c>
      <c r="CR13" s="146" t="str">
        <f ca="1">RESULTADOS!BV30</f>
        <v>N/D</v>
      </c>
      <c r="CS13" s="146" t="str">
        <f ca="1">RESULTADOS!BW30</f>
        <v>N/D</v>
      </c>
      <c r="CT13" s="146" t="str">
        <f ca="1">RESULTADOS!BX30</f>
        <v>N/D</v>
      </c>
      <c r="CU13" s="146" t="str">
        <f ca="1">RESULTADOS!BY30</f>
        <v>N/T</v>
      </c>
      <c r="CV13" s="146" t="str">
        <f ca="1">RESULTADOS!BZ30</f>
        <v>N/T</v>
      </c>
      <c r="CW13" s="146" t="str">
        <f ca="1">RESULTADOS!CA30</f>
        <v>N/D</v>
      </c>
      <c r="CX13" s="146" t="str">
        <f ca="1">RESULTADOS!CB30</f>
        <v>N/T</v>
      </c>
      <c r="CY13" s="146" t="str">
        <f ca="1">RESULTADOS!CC30</f>
        <v>N/T</v>
      </c>
      <c r="CZ13" s="146" t="str">
        <f ca="1">RESULTADOS!CD30</f>
        <v>N/T</v>
      </c>
      <c r="DA13" s="146" t="str">
        <f ca="1">RESULTADOS!CE30</f>
        <v>N/D</v>
      </c>
      <c r="DB13" s="146" t="str">
        <f ca="1">RESULTADOS!CF30</f>
        <v>N/T</v>
      </c>
      <c r="DC13" s="146" t="str">
        <f ca="1">RESULTADOS!CG30</f>
        <v>N/T</v>
      </c>
      <c r="DD13" s="146" t="str">
        <f ca="1">RESULTADOS!CH30</f>
        <v>N/T</v>
      </c>
      <c r="DE13" s="146" t="str">
        <f ca="1">RESULTADOS!CI30</f>
        <v>N/T</v>
      </c>
      <c r="DF13" s="146" t="str">
        <f ca="1">RESULTADOS!CJ30</f>
        <v>N/T</v>
      </c>
      <c r="DG13" s="146" t="str">
        <f ca="1">RESULTADOS!CK30</f>
        <v>N/T</v>
      </c>
      <c r="DH13" s="146" t="str">
        <f ca="1">RESULTADOS!CL30</f>
        <v>N/T</v>
      </c>
      <c r="DI13" s="146" t="str">
        <f ca="1">RESULTADOS!CM30</f>
        <v>N/T</v>
      </c>
      <c r="DJ13" s="146" t="str">
        <f ca="1">RESULTADOS!CN30</f>
        <v>N/T</v>
      </c>
      <c r="DK13" s="146" t="str">
        <f ca="1">RESULTADOS!CO30</f>
        <v>N/T</v>
      </c>
      <c r="DL13" s="146" t="str">
        <f ca="1">RESULTADOS!CP30</f>
        <v>N/T</v>
      </c>
      <c r="DM13" s="146" t="str">
        <f ca="1">RESULTADOS!CQ30</f>
        <v>N/T</v>
      </c>
      <c r="DN13" s="146" t="str">
        <f ca="1">RESULTADOS!CR30</f>
        <v>N/T</v>
      </c>
      <c r="DO13" s="148" t="str">
        <f>RESULTADOS!B71</f>
        <v/>
      </c>
      <c r="DP13" s="148" t="str">
        <f>RESULTADOS!C71</f>
        <v/>
      </c>
      <c r="DQ13" s="148" t="str">
        <f t="shared" si="1"/>
        <v/>
      </c>
      <c r="DR13" s="148" t="str" cm="1">
        <f t="array" ref="DR13">IFERROR(INDEX('03.Muestra'!$E$8:$E$42,SMALL(IF("Documento no web"='03.Muestra'!$D$8:$D$42,ROW('03.Muestra'!$E$8:$E$42)-MIN(ROW('03.Muestra'!$D$8:$D$42))+1,""),ROW()-2)),"")</f>
        <v/>
      </c>
      <c r="DS13" s="148" t="str">
        <f>RESULTADOS!D71</f>
        <v/>
      </c>
      <c r="DT13" s="148" t="str" cm="1">
        <f t="array" ref="DT13">IFERROR(INDEX('03.Muestra'!$G$8:$G$42,SMALL(IF("Documento no web"='03.Muestra'!$D$8:$D$42,ROW('03.Muestra'!$G$8:$G$42)-MIN(ROW('03.Muestra'!$D$8:$D$42))+1,""),ROW()-2)),"")</f>
        <v/>
      </c>
      <c r="DU13" s="237" t="str" cm="1">
        <f t="array" ref="DU13">IFERROR(INDEX('03.Muestra'!$H$8:$H$42,SMALL(IF("Documento no web"='03.Muestra'!$D$8:$D$42,ROW('03.Muestra'!$H$8:$H$42)-MIN(ROW('03.Muestra'!$D$8:$D$42))+1,""),ROW()-2)),"")</f>
        <v/>
      </c>
      <c r="DV13" s="146" t="str">
        <f ca="1">RESULTADOS!E71</f>
        <v/>
      </c>
      <c r="DW13" s="146" t="str">
        <f ca="1">RESULTADOS!F71</f>
        <v/>
      </c>
      <c r="DX13" s="146" t="str">
        <f ca="1">RESULTADOS!G71</f>
        <v/>
      </c>
      <c r="DY13" s="146" t="str">
        <f ca="1">RESULTADOS!H71</f>
        <v/>
      </c>
      <c r="DZ13" s="146" t="str">
        <f ca="1">RESULTADOS!I71</f>
        <v/>
      </c>
      <c r="EA13" s="146" t="str">
        <f ca="1">RESULTADOS!J71</f>
        <v/>
      </c>
      <c r="EB13" s="146" t="str">
        <f ca="1">RESULTADOS!K71</f>
        <v/>
      </c>
      <c r="EC13" s="146" t="str">
        <f ca="1">RESULTADOS!L71</f>
        <v/>
      </c>
      <c r="ED13" s="146" t="str">
        <f ca="1">RESULTADOS!M71</f>
        <v/>
      </c>
      <c r="EE13" s="146" t="str">
        <f ca="1">RESULTADOS!N71</f>
        <v/>
      </c>
      <c r="EF13" s="146" t="str">
        <f ca="1">RESULTADOS!O71</f>
        <v/>
      </c>
      <c r="EG13" s="146" t="str">
        <f ca="1">RESULTADOS!P71</f>
        <v/>
      </c>
      <c r="EH13" s="146" t="str">
        <f ca="1">RESULTADOS!Q71</f>
        <v/>
      </c>
      <c r="EI13" s="146" t="str">
        <f ca="1">RESULTADOS!R71</f>
        <v/>
      </c>
      <c r="EJ13" s="146" t="str">
        <f ca="1">RESULTADOS!S71</f>
        <v/>
      </c>
      <c r="EK13" s="146" t="str">
        <f ca="1">RESULTADOS!T71</f>
        <v/>
      </c>
      <c r="EL13" s="146" t="str">
        <f ca="1">RESULTADOS!U71</f>
        <v/>
      </c>
      <c r="EM13" s="146" t="str">
        <f ca="1">RESULTADOS!V71</f>
        <v/>
      </c>
      <c r="EN13" s="146" t="str">
        <f ca="1">RESULTADOS!W71</f>
        <v/>
      </c>
      <c r="EO13" s="146" t="str">
        <f ca="1">RESULTADOS!X71</f>
        <v/>
      </c>
      <c r="EP13" s="146" t="str">
        <f ca="1">RESULTADOS!Y71</f>
        <v/>
      </c>
      <c r="EQ13" s="146" t="str">
        <f ca="1">RESULTADOS!Z71</f>
        <v/>
      </c>
      <c r="ER13" s="146" t="str">
        <f ca="1">RESULTADOS!AA71</f>
        <v/>
      </c>
      <c r="ES13" s="146" t="str">
        <f ca="1">RESULTADOS!AB71</f>
        <v/>
      </c>
      <c r="ET13" s="146" t="str">
        <f ca="1">RESULTADOS!AC71</f>
        <v/>
      </c>
      <c r="EU13" s="146" t="str">
        <f ca="1">RESULTADOS!AD71</f>
        <v/>
      </c>
      <c r="EV13" s="146" t="str">
        <f ca="1">RESULTADOS!AE71</f>
        <v/>
      </c>
      <c r="EW13" s="146" t="str">
        <f ca="1">RESULTADOS!AF71</f>
        <v/>
      </c>
      <c r="EX13" s="146" t="str">
        <f ca="1">RESULTADOS!AG71</f>
        <v/>
      </c>
      <c r="EY13" s="146" t="str">
        <f ca="1">RESULTADOS!AH71</f>
        <v/>
      </c>
      <c r="EZ13" s="146" t="str">
        <f ca="1">RESULTADOS!AI71</f>
        <v/>
      </c>
      <c r="FA13" s="146" t="str">
        <f ca="1">RESULTADOS!AJ71</f>
        <v/>
      </c>
      <c r="FB13" s="146" t="str">
        <f ca="1">RESULTADOS!AK71</f>
        <v/>
      </c>
      <c r="FC13" s="146" t="str">
        <f ca="1">RESULTADOS!AL71</f>
        <v/>
      </c>
      <c r="FD13" s="146" t="str">
        <f ca="1">RESULTADOS!AM71</f>
        <v/>
      </c>
      <c r="FE13" s="146" t="str">
        <f ca="1">RESULTADOS!AN71</f>
        <v/>
      </c>
      <c r="FF13" s="146" t="str">
        <f ca="1">RESULTADOS!AO71</f>
        <v/>
      </c>
      <c r="FG13" s="146" t="str">
        <f ca="1">RESULTADOS!AP71</f>
        <v/>
      </c>
      <c r="FH13" s="146" t="str">
        <f ca="1">RESULTADOS!AQ71</f>
        <v/>
      </c>
      <c r="FI13" s="146" t="str">
        <f ca="1">RESULTADOS!AR71</f>
        <v/>
      </c>
      <c r="FJ13" s="146" t="str">
        <f ca="1">RESULTADOS!AS71</f>
        <v/>
      </c>
      <c r="FK13" s="146" t="str">
        <f ca="1">RESULTADOS!AT71</f>
        <v/>
      </c>
      <c r="FL13" s="146" t="str">
        <f ca="1">RESULTADOS!AU71</f>
        <v/>
      </c>
      <c r="FM13" s="146" t="str">
        <f ca="1">RESULTADOS!AV71</f>
        <v/>
      </c>
      <c r="FN13" s="146" t="str">
        <f ca="1">RESULTADOS!AW71</f>
        <v/>
      </c>
    </row>
    <row r="14" spans="1:170">
      <c r="C14" s="144" t="s">
        <v>140</v>
      </c>
      <c r="D14" s="147" t="str">
        <f>'01.Definición de ámbito'!C35</f>
        <v>21/11/2025</v>
      </c>
      <c r="E14" s="144" t="s">
        <v>301</v>
      </c>
      <c r="F14" s="147" t="str">
        <f>'02.Tecnologías'!I11</f>
        <v>No</v>
      </c>
      <c r="G14" s="205"/>
      <c r="H14" s="205"/>
      <c r="I14" s="205"/>
      <c r="J14" s="205"/>
      <c r="K14" s="40" t="s">
        <v>269</v>
      </c>
      <c r="L14" s="208" t="str">
        <f ca="1">RESULTADOS!E9</f>
        <v>0 (0 %)</v>
      </c>
      <c r="M14" s="208" t="str">
        <f ca="1">RESULTADOS!F9</f>
        <v>3 (6.67 %)</v>
      </c>
      <c r="N14" s="208" t="str">
        <f ca="1">RESULTADOS!G9</f>
        <v>0 (0 %)</v>
      </c>
      <c r="O14" s="148" t="n">
        <f ca="1">RESULTADOS!H9</f>
        <v>0.0</v>
      </c>
      <c r="P14" s="148" t="n">
        <f ca="1">RESULTADOS!I9</f>
        <v>42.0</v>
      </c>
      <c r="T14" s="148" t="n">
        <f>RESULTADOS!B31</f>
        <v>1.0</v>
      </c>
      <c r="U14" s="148" t="str">
        <f>RESULTADOS!C31</f>
        <v>Home - PortCastelló</v>
      </c>
      <c r="V14" s="148" t="str">
        <f t="shared" si="0"/>
        <v>Página web</v>
      </c>
      <c r="W14" s="148" t="str">
        <v/>
      </c>
      <c r="X14" s="148" t="str">
        <f>RESULTADOS!D31</f>
        <v>https://www.portcastello.com/</v>
      </c>
      <c r="Y14" s="148" t="n">
        <v>0.0</v>
      </c>
      <c r="Z14" s="237" t="str">
        <v>Ej. Imágenes, tablas, listas, multimedia, formularios, plantilla X, plantilla Y</v>
      </c>
      <c r="AA14" s="146" t="str">
        <f ca="1">RESULTADOS!E31</f>
        <v>N/T</v>
      </c>
      <c r="AB14" s="146" t="str">
        <f ca="1">RESULTADOS!F31</f>
        <v>N/T</v>
      </c>
      <c r="AC14" s="146" t="str">
        <f ca="1">RESULTADOS!G31</f>
        <v>N/T</v>
      </c>
      <c r="AD14" s="146" t="str">
        <f ca="1">RESULTADOS!H31</f>
        <v>N/T</v>
      </c>
      <c r="AE14" s="146" t="str">
        <f ca="1">RESULTADOS!I31</f>
        <v>N/T</v>
      </c>
      <c r="AF14" s="146" t="str">
        <f ca="1">RESULTADOS!J31</f>
        <v>N/T</v>
      </c>
      <c r="AG14" s="146" t="str">
        <f ca="1">RESULTADOS!K31</f>
        <v>N/T</v>
      </c>
      <c r="AH14" s="146" t="str">
        <f ca="1">RESULTADOS!L31</f>
        <v>N/T</v>
      </c>
      <c r="AI14" s="146" t="str">
        <f ca="1">RESULTADOS!M31</f>
        <v>N/T</v>
      </c>
      <c r="AJ14" s="146" t="str">
        <f ca="1">RESULTADOS!N31</f>
        <v>N/T</v>
      </c>
      <c r="AK14" s="146" t="str">
        <f ca="1">RESULTADOS!O31</f>
        <v>N/T</v>
      </c>
      <c r="AL14" s="146" t="str">
        <f ca="1">RESULTADOS!P31</f>
        <v>N/T</v>
      </c>
      <c r="AM14" s="146" t="str">
        <f ca="1">RESULTADOS!Q31</f>
        <v>N/T</v>
      </c>
      <c r="AN14" s="146" t="str">
        <f ca="1">RESULTADOS!R31</f>
        <v>N/T</v>
      </c>
      <c r="AO14" s="146" t="str">
        <f ca="1">RESULTADOS!S31</f>
        <v>N/T</v>
      </c>
      <c r="AP14" s="146" t="str">
        <f ca="1">RESULTADOS!T31</f>
        <v>N/T</v>
      </c>
      <c r="AQ14" s="146" t="str">
        <f ca="1">RESULTADOS!U31</f>
        <v>N/T</v>
      </c>
      <c r="AR14" s="146" t="str">
        <f ca="1">RESULTADOS!V31</f>
        <v>N/T</v>
      </c>
      <c r="AS14" s="146" t="str">
        <f ca="1">RESULTADOS!W31</f>
        <v>N/T</v>
      </c>
      <c r="AT14" s="146" t="str">
        <f ca="1">RESULTADOS!X31</f>
        <v>N/T</v>
      </c>
      <c r="AU14" s="146" t="str">
        <f ca="1">RESULTADOS!Y31</f>
        <v>N/T</v>
      </c>
      <c r="AV14" s="146" t="str">
        <f ca="1">RESULTADOS!Z31</f>
        <v>N/T</v>
      </c>
      <c r="AW14" s="146" t="str">
        <f ca="1">RESULTADOS!AA31</f>
        <v>N/T</v>
      </c>
      <c r="AX14" s="146" t="str">
        <f ca="1">RESULTADOS!AB31</f>
        <v>N/T</v>
      </c>
      <c r="AY14" s="146" t="str">
        <f ca="1">RESULTADOS!AC31</f>
        <v>N/T</v>
      </c>
      <c r="AZ14" s="146" t="str">
        <f ca="1">RESULTADOS!AD31</f>
        <v>N/T</v>
      </c>
      <c r="BA14" s="146" t="str">
        <f ca="1">RESULTADOS!AE31</f>
        <v>N/T</v>
      </c>
      <c r="BB14" s="146" t="str">
        <f ca="1">RESULTADOS!AF31</f>
        <v>N/T</v>
      </c>
      <c r="BC14" s="146" t="str">
        <f ca="1">RESULTADOS!AG31</f>
        <v>N/T</v>
      </c>
      <c r="BD14" s="146" t="str">
        <f ca="1">RESULTADOS!AH31</f>
        <v>N/T</v>
      </c>
      <c r="BE14" s="146" t="str">
        <f ca="1">RESULTADOS!AI31</f>
        <v>N/T</v>
      </c>
      <c r="BF14" s="146" t="str">
        <f ca="1">RESULTADOS!AJ31</f>
        <v>N/D</v>
      </c>
      <c r="BG14" s="146" t="str">
        <f ca="1">RESULTADOS!AK31</f>
        <v>N/T</v>
      </c>
      <c r="BH14" s="146" t="str">
        <f ca="1">RESULTADOS!AL31</f>
        <v>N/T</v>
      </c>
      <c r="BI14" s="146" t="str">
        <f ca="1">RESULTADOS!AM31</f>
        <v>N/T</v>
      </c>
      <c r="BJ14" s="146" t="str">
        <f ca="1">RESULTADOS!AN31</f>
        <v>N/T</v>
      </c>
      <c r="BK14" s="146" t="str">
        <f ca="1">RESULTADOS!AO31</f>
        <v>N/D</v>
      </c>
      <c r="BL14" s="146" t="str">
        <f ca="1">RESULTADOS!AP31</f>
        <v>N/T</v>
      </c>
      <c r="BM14" s="146" t="str">
        <f ca="1">RESULTADOS!AQ31</f>
        <v>N/T</v>
      </c>
      <c r="BN14" s="146" t="str">
        <f ca="1">RESULTADOS!AR31</f>
        <v>N/D</v>
      </c>
      <c r="BO14" s="146" t="str">
        <f ca="1">RESULTADOS!AS31</f>
        <v>N/D</v>
      </c>
      <c r="BP14" s="146" t="str">
        <f ca="1">RESULTADOS!AT31</f>
        <v>N/T</v>
      </c>
      <c r="BQ14" s="146" t="str">
        <f ca="1">RESULTADOS!AU31</f>
        <v>N/T</v>
      </c>
      <c r="BR14" s="146" t="str">
        <f ca="1">RESULTADOS!AV31</f>
        <v>N/D</v>
      </c>
      <c r="BS14" s="146" t="str">
        <f ca="1">RESULTADOS!AW31</f>
        <v>N/T</v>
      </c>
      <c r="BT14" s="146" t="str">
        <f ca="1">RESULTADOS!AX31</f>
        <v>N/T</v>
      </c>
      <c r="BU14" s="146" t="str">
        <f ca="1">RESULTADOS!AY31</f>
        <v>N/D</v>
      </c>
      <c r="BV14" s="146" t="str">
        <f ca="1">RESULTADOS!AZ31</f>
        <v>N/T</v>
      </c>
      <c r="BW14" s="146" t="str">
        <f ca="1">RESULTADOS!BA31</f>
        <v>N/D</v>
      </c>
      <c r="BX14" s="146" t="str">
        <f ca="1">RESULTADOS!BB31</f>
        <v>N/T</v>
      </c>
      <c r="BY14" s="146" t="str">
        <f ca="1">RESULTADOS!BC31</f>
        <v>N/D</v>
      </c>
      <c r="BZ14" s="146" t="str">
        <f ca="1">RESULTADOS!BD31</f>
        <v>N/T</v>
      </c>
      <c r="CA14" s="146" t="str">
        <f ca="1">RESULTADOS!BE31</f>
        <v>N/T</v>
      </c>
      <c r="CB14" s="146" t="str">
        <f ca="1">RESULTADOS!BF31</f>
        <v>N/D</v>
      </c>
      <c r="CC14" s="146" t="str">
        <f ca="1">RESULTADOS!BG31</f>
        <v>N/D</v>
      </c>
      <c r="CD14" s="146" t="str">
        <f ca="1">RESULTADOS!BH31</f>
        <v>N/T</v>
      </c>
      <c r="CE14" s="146" t="str">
        <f ca="1">RESULTADOS!BI31</f>
        <v>N/D</v>
      </c>
      <c r="CF14" s="146" t="str">
        <f ca="1">RESULTADOS!BJ31</f>
        <v>N/D</v>
      </c>
      <c r="CG14" s="146" t="str">
        <f ca="1">RESULTADOS!BK31</f>
        <v>N/D</v>
      </c>
      <c r="CH14" s="146" t="str">
        <f ca="1">RESULTADOS!BL31</f>
        <v>N/D</v>
      </c>
      <c r="CI14" s="146" t="str">
        <f ca="1">RESULTADOS!BM31</f>
        <v>N/D</v>
      </c>
      <c r="CJ14" s="146" t="str">
        <f ca="1">RESULTADOS!BN31</f>
        <v>N/T</v>
      </c>
      <c r="CK14" s="146" t="str">
        <f ca="1">RESULTADOS!BO31</f>
        <v>Falla</v>
      </c>
      <c r="CL14" s="146" t="str">
        <f ca="1">RESULTADOS!BP31</f>
        <v>N/T</v>
      </c>
      <c r="CM14" s="146" t="str">
        <f ca="1">RESULTADOS!BQ31</f>
        <v>N/T</v>
      </c>
      <c r="CN14" s="146" t="str">
        <f ca="1">RESULTADOS!BR31</f>
        <v>N/D</v>
      </c>
      <c r="CO14" s="146" t="str">
        <f ca="1">RESULTADOS!BS31</f>
        <v>N/T</v>
      </c>
      <c r="CP14" s="146" t="str">
        <f ca="1">RESULTADOS!BT31</f>
        <v>N/D</v>
      </c>
      <c r="CQ14" s="146" t="str">
        <f ca="1">RESULTADOS!BU31</f>
        <v>Falla</v>
      </c>
      <c r="CR14" s="146" t="str">
        <f ca="1">RESULTADOS!BV31</f>
        <v>N/D</v>
      </c>
      <c r="CS14" s="146" t="str">
        <f ca="1">RESULTADOS!BW31</f>
        <v>N/D</v>
      </c>
      <c r="CT14" s="146" t="str">
        <f ca="1">RESULTADOS!BX31</f>
        <v>N/D</v>
      </c>
      <c r="CU14" s="146" t="str">
        <f ca="1">RESULTADOS!BY31</f>
        <v>N/T</v>
      </c>
      <c r="CV14" s="146" t="str">
        <f ca="1">RESULTADOS!BZ31</f>
        <v>N/T</v>
      </c>
      <c r="CW14" s="146" t="str">
        <f ca="1">RESULTADOS!CA31</f>
        <v>N/D</v>
      </c>
      <c r="CX14" s="146" t="str">
        <f ca="1">RESULTADOS!CB31</f>
        <v>N/T</v>
      </c>
      <c r="CY14" s="146" t="str">
        <f ca="1">RESULTADOS!CC31</f>
        <v>N/T</v>
      </c>
      <c r="CZ14" s="146" t="str">
        <f ca="1">RESULTADOS!CD31</f>
        <v>N/T</v>
      </c>
      <c r="DA14" s="146" t="str">
        <f ca="1">RESULTADOS!CE31</f>
        <v>N/D</v>
      </c>
      <c r="DB14" s="146" t="str">
        <f ca="1">RESULTADOS!CF31</f>
        <v>N/T</v>
      </c>
      <c r="DC14" s="146" t="str">
        <f ca="1">RESULTADOS!CG31</f>
        <v>N/T</v>
      </c>
      <c r="DD14" s="146" t="str">
        <f ca="1">RESULTADOS!CH31</f>
        <v>N/T</v>
      </c>
      <c r="DE14" s="146" t="str">
        <f ca="1">RESULTADOS!CI31</f>
        <v>N/T</v>
      </c>
      <c r="DF14" s="146" t="str">
        <f ca="1">RESULTADOS!CJ31</f>
        <v>N/T</v>
      </c>
      <c r="DG14" s="146" t="str">
        <f ca="1">RESULTADOS!CK31</f>
        <v>N/T</v>
      </c>
      <c r="DH14" s="146" t="str">
        <f ca="1">RESULTADOS!CL31</f>
        <v>N/T</v>
      </c>
      <c r="DI14" s="146" t="str">
        <f ca="1">RESULTADOS!CM31</f>
        <v>N/T</v>
      </c>
      <c r="DJ14" s="146" t="str">
        <f ca="1">RESULTADOS!CN31</f>
        <v>N/T</v>
      </c>
      <c r="DK14" s="146" t="str">
        <f ca="1">RESULTADOS!CO31</f>
        <v>N/T</v>
      </c>
      <c r="DL14" s="146" t="str">
        <f ca="1">RESULTADOS!CP31</f>
        <v>N/T</v>
      </c>
      <c r="DM14" s="146" t="str">
        <f ca="1">RESULTADOS!CQ31</f>
        <v>N/T</v>
      </c>
      <c r="DN14" s="146" t="str">
        <f ca="1">RESULTADOS!CR31</f>
        <v>N/T</v>
      </c>
      <c r="DO14" s="148" t="str">
        <f>RESULTADOS!B72</f>
        <v/>
      </c>
      <c r="DP14" s="148" t="str">
        <f>RESULTADOS!C72</f>
        <v/>
      </c>
      <c r="DQ14" s="148" t="str">
        <f t="shared" si="1"/>
        <v/>
      </c>
      <c r="DR14" s="148" t="str" cm="1">
        <f t="array" ref="DR14">IFERROR(INDEX('03.Muestra'!$E$8:$E$42,SMALL(IF("Documento no web"='03.Muestra'!$D$8:$D$42,ROW('03.Muestra'!$E$8:$E$42)-MIN(ROW('03.Muestra'!$D$8:$D$42))+1,""),ROW()-2)),"")</f>
        <v/>
      </c>
      <c r="DS14" s="148" t="str">
        <f>RESULTADOS!D72</f>
        <v/>
      </c>
      <c r="DT14" s="148" t="str" cm="1">
        <f t="array" ref="DT14">IFERROR(INDEX('03.Muestra'!$G$8:$G$42,SMALL(IF("Documento no web"='03.Muestra'!$D$8:$D$42,ROW('03.Muestra'!$G$8:$G$42)-MIN(ROW('03.Muestra'!$D$8:$D$42))+1,""),ROW()-2)),"")</f>
        <v/>
      </c>
      <c r="DU14" s="237" t="str" cm="1">
        <f t="array" ref="DU14">IFERROR(INDEX('03.Muestra'!$H$8:$H$42,SMALL(IF("Documento no web"='03.Muestra'!$D$8:$D$42,ROW('03.Muestra'!$H$8:$H$42)-MIN(ROW('03.Muestra'!$D$8:$D$42))+1,""),ROW()-2)),"")</f>
        <v/>
      </c>
      <c r="DV14" s="146" t="str">
        <f ca="1">RESULTADOS!E72</f>
        <v/>
      </c>
      <c r="DW14" s="146" t="str">
        <f ca="1">RESULTADOS!F72</f>
        <v/>
      </c>
      <c r="DX14" s="146" t="str">
        <f ca="1">RESULTADOS!G72</f>
        <v/>
      </c>
      <c r="DY14" s="146" t="str">
        <f ca="1">RESULTADOS!H72</f>
        <v/>
      </c>
      <c r="DZ14" s="146" t="str">
        <f ca="1">RESULTADOS!I72</f>
        <v/>
      </c>
      <c r="EA14" s="146" t="str">
        <f ca="1">RESULTADOS!J72</f>
        <v/>
      </c>
      <c r="EB14" s="146" t="str">
        <f ca="1">RESULTADOS!K72</f>
        <v/>
      </c>
      <c r="EC14" s="146" t="str">
        <f ca="1">RESULTADOS!L72</f>
        <v/>
      </c>
      <c r="ED14" s="146" t="str">
        <f ca="1">RESULTADOS!M72</f>
        <v/>
      </c>
      <c r="EE14" s="146" t="str">
        <f ca="1">RESULTADOS!N72</f>
        <v/>
      </c>
      <c r="EF14" s="146" t="str">
        <f ca="1">RESULTADOS!O72</f>
        <v/>
      </c>
      <c r="EG14" s="146" t="str">
        <f ca="1">RESULTADOS!P72</f>
        <v/>
      </c>
      <c r="EH14" s="146" t="str">
        <f ca="1">RESULTADOS!Q72</f>
        <v/>
      </c>
      <c r="EI14" s="146" t="str">
        <f ca="1">RESULTADOS!R72</f>
        <v/>
      </c>
      <c r="EJ14" s="146" t="str">
        <f ca="1">RESULTADOS!S72</f>
        <v/>
      </c>
      <c r="EK14" s="146" t="str">
        <f ca="1">RESULTADOS!T72</f>
        <v/>
      </c>
      <c r="EL14" s="146" t="str">
        <f ca="1">RESULTADOS!U72</f>
        <v/>
      </c>
      <c r="EM14" s="146" t="str">
        <f ca="1">RESULTADOS!V72</f>
        <v/>
      </c>
      <c r="EN14" s="146" t="str">
        <f ca="1">RESULTADOS!W72</f>
        <v/>
      </c>
      <c r="EO14" s="146" t="str">
        <f ca="1">RESULTADOS!X72</f>
        <v/>
      </c>
      <c r="EP14" s="146" t="str">
        <f ca="1">RESULTADOS!Y72</f>
        <v/>
      </c>
      <c r="EQ14" s="146" t="str">
        <f ca="1">RESULTADOS!Z72</f>
        <v/>
      </c>
      <c r="ER14" s="146" t="str">
        <f ca="1">RESULTADOS!AA72</f>
        <v/>
      </c>
      <c r="ES14" s="146" t="str">
        <f ca="1">RESULTADOS!AB72</f>
        <v/>
      </c>
      <c r="ET14" s="146" t="str">
        <f ca="1">RESULTADOS!AC72</f>
        <v/>
      </c>
      <c r="EU14" s="146" t="str">
        <f ca="1">RESULTADOS!AD72</f>
        <v/>
      </c>
      <c r="EV14" s="146" t="str">
        <f ca="1">RESULTADOS!AE72</f>
        <v/>
      </c>
      <c r="EW14" s="146" t="str">
        <f ca="1">RESULTADOS!AF72</f>
        <v/>
      </c>
      <c r="EX14" s="146" t="str">
        <f ca="1">RESULTADOS!AG72</f>
        <v/>
      </c>
      <c r="EY14" s="146" t="str">
        <f ca="1">RESULTADOS!AH72</f>
        <v/>
      </c>
      <c r="EZ14" s="146" t="str">
        <f ca="1">RESULTADOS!AI72</f>
        <v/>
      </c>
      <c r="FA14" s="146" t="str">
        <f ca="1">RESULTADOS!AJ72</f>
        <v/>
      </c>
      <c r="FB14" s="146" t="str">
        <f ca="1">RESULTADOS!AK72</f>
        <v/>
      </c>
      <c r="FC14" s="146" t="str">
        <f ca="1">RESULTADOS!AL72</f>
        <v/>
      </c>
      <c r="FD14" s="146" t="str">
        <f ca="1">RESULTADOS!AM72</f>
        <v/>
      </c>
      <c r="FE14" s="146" t="str">
        <f ca="1">RESULTADOS!AN72</f>
        <v/>
      </c>
      <c r="FF14" s="146" t="str">
        <f ca="1">RESULTADOS!AO72</f>
        <v/>
      </c>
      <c r="FG14" s="146" t="str">
        <f ca="1">RESULTADOS!AP72</f>
        <v/>
      </c>
      <c r="FH14" s="146" t="str">
        <f ca="1">RESULTADOS!AQ72</f>
        <v/>
      </c>
      <c r="FI14" s="146" t="str">
        <f ca="1">RESULTADOS!AR72</f>
        <v/>
      </c>
      <c r="FJ14" s="146" t="str">
        <f ca="1">RESULTADOS!AS72</f>
        <v/>
      </c>
      <c r="FK14" s="146" t="str">
        <f ca="1">RESULTADOS!AT72</f>
        <v/>
      </c>
      <c r="FL14" s="146" t="str">
        <f ca="1">RESULTADOS!AU72</f>
        <v/>
      </c>
      <c r="FM14" s="146" t="str">
        <f ca="1">RESULTADOS!AV72</f>
        <v/>
      </c>
      <c r="FN14" s="146" t="str">
        <f ca="1">RESULTADOS!AW72</f>
        <v/>
      </c>
    </row>
    <row r="15" spans="1:170">
      <c r="C15" s="144" t="s">
        <v>142</v>
      </c>
      <c r="D15" s="147" t="str">
        <f>'01.Definición de ámbito'!C39</f>
        <v>UNE-EN 301 549:2022 - excluyendo el contenido excluido por el RD 1112/2018</v>
      </c>
      <c r="E15" s="144" t="s">
        <v>304</v>
      </c>
      <c r="F15" s="147" t="str">
        <f>'02.Tecnologías'!I12</f>
        <v>No</v>
      </c>
      <c r="G15" s="205"/>
      <c r="H15" s="205"/>
      <c r="I15" s="205"/>
      <c r="J15" s="205"/>
      <c r="T15" s="148" t="n">
        <f>RESULTADOS!B32</f>
        <v>1.0</v>
      </c>
      <c r="U15" s="148" t="str">
        <f>RESULTADOS!C32</f>
        <v>Home - PortCastelló</v>
      </c>
      <c r="V15" s="148" t="str">
        <f t="shared" si="0"/>
        <v>Página web</v>
      </c>
      <c r="W15" s="148" t="str">
        <v/>
      </c>
      <c r="X15" s="148" t="str">
        <f>RESULTADOS!D32</f>
        <v>https://www.portcastello.com/</v>
      </c>
      <c r="Y15" s="148" t="n">
        <v>0.0</v>
      </c>
      <c r="Z15" s="237" t="str">
        <v>Ej. Imágenes, tablas, listas, multimedia, formularios, plantilla X, plantilla Y</v>
      </c>
      <c r="AA15" s="146" t="str">
        <f ca="1">RESULTADOS!E32</f>
        <v>N/T</v>
      </c>
      <c r="AB15" s="146" t="str">
        <f ca="1">RESULTADOS!F32</f>
        <v>N/T</v>
      </c>
      <c r="AC15" s="146" t="str">
        <f ca="1">RESULTADOS!G32</f>
        <v>N/T</v>
      </c>
      <c r="AD15" s="146" t="str">
        <f ca="1">RESULTADOS!H32</f>
        <v>N/T</v>
      </c>
      <c r="AE15" s="146" t="str">
        <f ca="1">RESULTADOS!I32</f>
        <v>N/T</v>
      </c>
      <c r="AF15" s="146" t="str">
        <f ca="1">RESULTADOS!J32</f>
        <v>N/T</v>
      </c>
      <c r="AG15" s="146" t="str">
        <f ca="1">RESULTADOS!K32</f>
        <v>N/T</v>
      </c>
      <c r="AH15" s="146" t="str">
        <f ca="1">RESULTADOS!L32</f>
        <v>N/T</v>
      </c>
      <c r="AI15" s="146" t="str">
        <f ca="1">RESULTADOS!M32</f>
        <v>N/T</v>
      </c>
      <c r="AJ15" s="146" t="str">
        <f ca="1">RESULTADOS!N32</f>
        <v>N/T</v>
      </c>
      <c r="AK15" s="146" t="str">
        <f ca="1">RESULTADOS!O32</f>
        <v>N/T</v>
      </c>
      <c r="AL15" s="146" t="str">
        <f ca="1">RESULTADOS!P32</f>
        <v>N/T</v>
      </c>
      <c r="AM15" s="146" t="str">
        <f ca="1">RESULTADOS!Q32</f>
        <v>N/T</v>
      </c>
      <c r="AN15" s="146" t="str">
        <f ca="1">RESULTADOS!R32</f>
        <v>N/T</v>
      </c>
      <c r="AO15" s="146" t="str">
        <f ca="1">RESULTADOS!S32</f>
        <v>N/T</v>
      </c>
      <c r="AP15" s="146" t="str">
        <f ca="1">RESULTADOS!T32</f>
        <v>N/T</v>
      </c>
      <c r="AQ15" s="146" t="str">
        <f ca="1">RESULTADOS!U32</f>
        <v>N/T</v>
      </c>
      <c r="AR15" s="146" t="str">
        <f ca="1">RESULTADOS!V32</f>
        <v>N/T</v>
      </c>
      <c r="AS15" s="146" t="str">
        <f ca="1">RESULTADOS!W32</f>
        <v>N/T</v>
      </c>
      <c r="AT15" s="146" t="str">
        <f ca="1">RESULTADOS!X32</f>
        <v>N/T</v>
      </c>
      <c r="AU15" s="146" t="str">
        <f ca="1">RESULTADOS!Y32</f>
        <v>N/T</v>
      </c>
      <c r="AV15" s="146" t="str">
        <f ca="1">RESULTADOS!Z32</f>
        <v>N/T</v>
      </c>
      <c r="AW15" s="146" t="str">
        <f ca="1">RESULTADOS!AA32</f>
        <v>N/T</v>
      </c>
      <c r="AX15" s="146" t="str">
        <f ca="1">RESULTADOS!AB32</f>
        <v>N/T</v>
      </c>
      <c r="AY15" s="146" t="str">
        <f ca="1">RESULTADOS!AC32</f>
        <v>N/T</v>
      </c>
      <c r="AZ15" s="146" t="str">
        <f ca="1">RESULTADOS!AD32</f>
        <v>N/T</v>
      </c>
      <c r="BA15" s="146" t="str">
        <f ca="1">RESULTADOS!AE32</f>
        <v>N/T</v>
      </c>
      <c r="BB15" s="146" t="str">
        <f ca="1">RESULTADOS!AF32</f>
        <v>N/T</v>
      </c>
      <c r="BC15" s="146" t="str">
        <f ca="1">RESULTADOS!AG32</f>
        <v>N/T</v>
      </c>
      <c r="BD15" s="146" t="str">
        <f ca="1">RESULTADOS!AH32</f>
        <v>N/T</v>
      </c>
      <c r="BE15" s="146" t="str">
        <f ca="1">RESULTADOS!AI32</f>
        <v>N/T</v>
      </c>
      <c r="BF15" s="146" t="str">
        <f ca="1">RESULTADOS!AJ32</f>
        <v>N/D</v>
      </c>
      <c r="BG15" s="146" t="str">
        <f ca="1">RESULTADOS!AK32</f>
        <v>N/T</v>
      </c>
      <c r="BH15" s="146" t="str">
        <f ca="1">RESULTADOS!AL32</f>
        <v>N/T</v>
      </c>
      <c r="BI15" s="146" t="str">
        <f ca="1">RESULTADOS!AM32</f>
        <v>N/T</v>
      </c>
      <c r="BJ15" s="146" t="str">
        <f ca="1">RESULTADOS!AN32</f>
        <v>N/T</v>
      </c>
      <c r="BK15" s="146" t="str">
        <f ca="1">RESULTADOS!AO32</f>
        <v>N/D</v>
      </c>
      <c r="BL15" s="146" t="str">
        <f ca="1">RESULTADOS!AP32</f>
        <v>N/T</v>
      </c>
      <c r="BM15" s="146" t="str">
        <f ca="1">RESULTADOS!AQ32</f>
        <v>N/T</v>
      </c>
      <c r="BN15" s="146" t="str">
        <f ca="1">RESULTADOS!AR32</f>
        <v>N/D</v>
      </c>
      <c r="BO15" s="146" t="str">
        <f ca="1">RESULTADOS!AS32</f>
        <v>N/D</v>
      </c>
      <c r="BP15" s="146" t="str">
        <f ca="1">RESULTADOS!AT32</f>
        <v>N/T</v>
      </c>
      <c r="BQ15" s="146" t="str">
        <f ca="1">RESULTADOS!AU32</f>
        <v>N/T</v>
      </c>
      <c r="BR15" s="146" t="str">
        <f ca="1">RESULTADOS!AV32</f>
        <v>N/D</v>
      </c>
      <c r="BS15" s="146" t="str">
        <f ca="1">RESULTADOS!AW32</f>
        <v>N/T</v>
      </c>
      <c r="BT15" s="146" t="str">
        <f ca="1">RESULTADOS!AX32</f>
        <v>N/T</v>
      </c>
      <c r="BU15" s="146" t="str">
        <f ca="1">RESULTADOS!AY32</f>
        <v>N/D</v>
      </c>
      <c r="BV15" s="146" t="str">
        <f ca="1">RESULTADOS!AZ32</f>
        <v>N/T</v>
      </c>
      <c r="BW15" s="146" t="str">
        <f ca="1">RESULTADOS!BA32</f>
        <v>N/D</v>
      </c>
      <c r="BX15" s="146" t="str">
        <f ca="1">RESULTADOS!BB32</f>
        <v>N/T</v>
      </c>
      <c r="BY15" s="146" t="str">
        <f ca="1">RESULTADOS!BC32</f>
        <v>N/D</v>
      </c>
      <c r="BZ15" s="146" t="str">
        <f ca="1">RESULTADOS!BD32</f>
        <v>N/T</v>
      </c>
      <c r="CA15" s="146" t="str">
        <f ca="1">RESULTADOS!BE32</f>
        <v>N/T</v>
      </c>
      <c r="CB15" s="146" t="str">
        <f ca="1">RESULTADOS!BF32</f>
        <v>N/D</v>
      </c>
      <c r="CC15" s="146" t="str">
        <f ca="1">RESULTADOS!BG32</f>
        <v>N/D</v>
      </c>
      <c r="CD15" s="146" t="str">
        <f ca="1">RESULTADOS!BH32</f>
        <v>N/T</v>
      </c>
      <c r="CE15" s="146" t="str">
        <f ca="1">RESULTADOS!BI32</f>
        <v>N/D</v>
      </c>
      <c r="CF15" s="146" t="str">
        <f ca="1">RESULTADOS!BJ32</f>
        <v>N/D</v>
      </c>
      <c r="CG15" s="146" t="str">
        <f ca="1">RESULTADOS!BK32</f>
        <v>N/D</v>
      </c>
      <c r="CH15" s="146" t="str">
        <f ca="1">RESULTADOS!BL32</f>
        <v>N/D</v>
      </c>
      <c r="CI15" s="146" t="str">
        <f ca="1">RESULTADOS!BM32</f>
        <v>N/D</v>
      </c>
      <c r="CJ15" s="146" t="str">
        <f ca="1">RESULTADOS!BN32</f>
        <v>N/T</v>
      </c>
      <c r="CK15" s="146" t="str">
        <f ca="1">RESULTADOS!BO32</f>
        <v>Falla</v>
      </c>
      <c r="CL15" s="146" t="str">
        <f ca="1">RESULTADOS!BP32</f>
        <v>N/T</v>
      </c>
      <c r="CM15" s="146" t="str">
        <f ca="1">RESULTADOS!BQ32</f>
        <v>N/T</v>
      </c>
      <c r="CN15" s="146" t="str">
        <f ca="1">RESULTADOS!BR32</f>
        <v>N/D</v>
      </c>
      <c r="CO15" s="146" t="str">
        <f ca="1">RESULTADOS!BS32</f>
        <v>N/T</v>
      </c>
      <c r="CP15" s="146" t="str">
        <f ca="1">RESULTADOS!BT32</f>
        <v>N/D</v>
      </c>
      <c r="CQ15" s="146" t="str">
        <f ca="1">RESULTADOS!BU32</f>
        <v>N/D</v>
      </c>
      <c r="CR15" s="146" t="str">
        <f ca="1">RESULTADOS!BV32</f>
        <v>N/D</v>
      </c>
      <c r="CS15" s="146" t="str">
        <f ca="1">RESULTADOS!BW32</f>
        <v>N/D</v>
      </c>
      <c r="CT15" s="146" t="str">
        <f ca="1">RESULTADOS!BX32</f>
        <v>N/D</v>
      </c>
      <c r="CU15" s="146" t="str">
        <f ca="1">RESULTADOS!BY32</f>
        <v>N/T</v>
      </c>
      <c r="CV15" s="146" t="str">
        <f ca="1">RESULTADOS!BZ32</f>
        <v>N/T</v>
      </c>
      <c r="CW15" s="146" t="str">
        <f ca="1">RESULTADOS!CA32</f>
        <v>N/D</v>
      </c>
      <c r="CX15" s="146" t="str">
        <f ca="1">RESULTADOS!CB32</f>
        <v>N/T</v>
      </c>
      <c r="CY15" s="146" t="str">
        <f ca="1">RESULTADOS!CC32</f>
        <v>N/T</v>
      </c>
      <c r="CZ15" s="146" t="str">
        <f ca="1">RESULTADOS!CD32</f>
        <v>N/T</v>
      </c>
      <c r="DA15" s="146" t="str">
        <f ca="1">RESULTADOS!CE32</f>
        <v>N/D</v>
      </c>
      <c r="DB15" s="146" t="str">
        <f ca="1">RESULTADOS!CF32</f>
        <v>N/T</v>
      </c>
      <c r="DC15" s="146" t="str">
        <f ca="1">RESULTADOS!CG32</f>
        <v>N/T</v>
      </c>
      <c r="DD15" s="146" t="str">
        <f ca="1">RESULTADOS!CH32</f>
        <v>N/T</v>
      </c>
      <c r="DE15" s="146" t="str">
        <f ca="1">RESULTADOS!CI32</f>
        <v>N/T</v>
      </c>
      <c r="DF15" s="146" t="str">
        <f ca="1">RESULTADOS!CJ32</f>
        <v>N/T</v>
      </c>
      <c r="DG15" s="146" t="str">
        <f ca="1">RESULTADOS!CK32</f>
        <v>N/T</v>
      </c>
      <c r="DH15" s="146" t="str">
        <f ca="1">RESULTADOS!CL32</f>
        <v>N/T</v>
      </c>
      <c r="DI15" s="146" t="str">
        <f ca="1">RESULTADOS!CM32</f>
        <v>N/T</v>
      </c>
      <c r="DJ15" s="146" t="str">
        <f ca="1">RESULTADOS!CN32</f>
        <v>N/T</v>
      </c>
      <c r="DK15" s="146" t="str">
        <f ca="1">RESULTADOS!CO32</f>
        <v>N/T</v>
      </c>
      <c r="DL15" s="146" t="str">
        <f ca="1">RESULTADOS!CP32</f>
        <v>N/T</v>
      </c>
      <c r="DM15" s="146" t="str">
        <f ca="1">RESULTADOS!CQ32</f>
        <v>N/T</v>
      </c>
      <c r="DN15" s="146" t="str">
        <f ca="1">RESULTADOS!CR32</f>
        <v>N/T</v>
      </c>
      <c r="DO15" s="148" t="str">
        <f>RESULTADOS!B73</f>
        <v/>
      </c>
      <c r="DP15" s="148" t="str">
        <f>RESULTADOS!C73</f>
        <v/>
      </c>
      <c r="DQ15" s="148" t="str">
        <f t="shared" si="1"/>
        <v/>
      </c>
      <c r="DR15" s="148" t="str" cm="1">
        <f t="array" ref="DR15">IFERROR(INDEX('03.Muestra'!$E$8:$E$42,SMALL(IF("Documento no web"='03.Muestra'!$D$8:$D$42,ROW('03.Muestra'!$E$8:$E$42)-MIN(ROW('03.Muestra'!$D$8:$D$42))+1,""),ROW()-2)),"")</f>
        <v/>
      </c>
      <c r="DS15" s="148" t="str">
        <f>RESULTADOS!D73</f>
        <v/>
      </c>
      <c r="DT15" s="148" t="str" cm="1">
        <f t="array" ref="DT15">IFERROR(INDEX('03.Muestra'!$G$8:$G$42,SMALL(IF("Documento no web"='03.Muestra'!$D$8:$D$42,ROW('03.Muestra'!$G$8:$G$42)-MIN(ROW('03.Muestra'!$D$8:$D$42))+1,""),ROW()-2)),"")</f>
        <v/>
      </c>
      <c r="DU15" s="237" t="str" cm="1">
        <f t="array" ref="DU15">IFERROR(INDEX('03.Muestra'!$H$8:$H$42,SMALL(IF("Documento no web"='03.Muestra'!$D$8:$D$42,ROW('03.Muestra'!$H$8:$H$42)-MIN(ROW('03.Muestra'!$D$8:$D$42))+1,""),ROW()-2)),"")</f>
        <v/>
      </c>
      <c r="DV15" s="146" t="str">
        <f ca="1">RESULTADOS!E73</f>
        <v/>
      </c>
      <c r="DW15" s="146" t="str">
        <f ca="1">RESULTADOS!F73</f>
        <v/>
      </c>
      <c r="DX15" s="146" t="str">
        <f ca="1">RESULTADOS!G73</f>
        <v/>
      </c>
      <c r="DY15" s="146" t="str">
        <f ca="1">RESULTADOS!H73</f>
        <v/>
      </c>
      <c r="DZ15" s="146" t="str">
        <f ca="1">RESULTADOS!I73</f>
        <v/>
      </c>
      <c r="EA15" s="146" t="str">
        <f ca="1">RESULTADOS!J73</f>
        <v/>
      </c>
      <c r="EB15" s="146" t="str">
        <f ca="1">RESULTADOS!K73</f>
        <v/>
      </c>
      <c r="EC15" s="146" t="str">
        <f ca="1">RESULTADOS!L73</f>
        <v/>
      </c>
      <c r="ED15" s="146" t="str">
        <f ca="1">RESULTADOS!M73</f>
        <v/>
      </c>
      <c r="EE15" s="146" t="str">
        <f ca="1">RESULTADOS!N73</f>
        <v/>
      </c>
      <c r="EF15" s="146" t="str">
        <f ca="1">RESULTADOS!O73</f>
        <v/>
      </c>
      <c r="EG15" s="146" t="str">
        <f ca="1">RESULTADOS!P73</f>
        <v/>
      </c>
      <c r="EH15" s="146" t="str">
        <f ca="1">RESULTADOS!Q73</f>
        <v/>
      </c>
      <c r="EI15" s="146" t="str">
        <f ca="1">RESULTADOS!R73</f>
        <v/>
      </c>
      <c r="EJ15" s="146" t="str">
        <f ca="1">RESULTADOS!S73</f>
        <v/>
      </c>
      <c r="EK15" s="146" t="str">
        <f ca="1">RESULTADOS!T73</f>
        <v/>
      </c>
      <c r="EL15" s="146" t="str">
        <f ca="1">RESULTADOS!U73</f>
        <v/>
      </c>
      <c r="EM15" s="146" t="str">
        <f ca="1">RESULTADOS!V73</f>
        <v/>
      </c>
      <c r="EN15" s="146" t="str">
        <f ca="1">RESULTADOS!W73</f>
        <v/>
      </c>
      <c r="EO15" s="146" t="str">
        <f ca="1">RESULTADOS!X73</f>
        <v/>
      </c>
      <c r="EP15" s="146" t="str">
        <f ca="1">RESULTADOS!Y73</f>
        <v/>
      </c>
      <c r="EQ15" s="146" t="str">
        <f ca="1">RESULTADOS!Z73</f>
        <v/>
      </c>
      <c r="ER15" s="146" t="str">
        <f ca="1">RESULTADOS!AA73</f>
        <v/>
      </c>
      <c r="ES15" s="146" t="str">
        <f ca="1">RESULTADOS!AB73</f>
        <v/>
      </c>
      <c r="ET15" s="146" t="str">
        <f ca="1">RESULTADOS!AC73</f>
        <v/>
      </c>
      <c r="EU15" s="146" t="str">
        <f ca="1">RESULTADOS!AD73</f>
        <v/>
      </c>
      <c r="EV15" s="146" t="str">
        <f ca="1">RESULTADOS!AE73</f>
        <v/>
      </c>
      <c r="EW15" s="146" t="str">
        <f ca="1">RESULTADOS!AF73</f>
        <v/>
      </c>
      <c r="EX15" s="146" t="str">
        <f ca="1">RESULTADOS!AG73</f>
        <v/>
      </c>
      <c r="EY15" s="146" t="str">
        <f ca="1">RESULTADOS!AH73</f>
        <v/>
      </c>
      <c r="EZ15" s="146" t="str">
        <f ca="1">RESULTADOS!AI73</f>
        <v/>
      </c>
      <c r="FA15" s="146" t="str">
        <f ca="1">RESULTADOS!AJ73</f>
        <v/>
      </c>
      <c r="FB15" s="146" t="str">
        <f ca="1">RESULTADOS!AK73</f>
        <v/>
      </c>
      <c r="FC15" s="146" t="str">
        <f ca="1">RESULTADOS!AL73</f>
        <v/>
      </c>
      <c r="FD15" s="146" t="str">
        <f ca="1">RESULTADOS!AM73</f>
        <v/>
      </c>
      <c r="FE15" s="146" t="str">
        <f ca="1">RESULTADOS!AN73</f>
        <v/>
      </c>
      <c r="FF15" s="146" t="str">
        <f ca="1">RESULTADOS!AO73</f>
        <v/>
      </c>
      <c r="FG15" s="146" t="str">
        <f ca="1">RESULTADOS!AP73</f>
        <v/>
      </c>
      <c r="FH15" s="146" t="str">
        <f ca="1">RESULTADOS!AQ73</f>
        <v/>
      </c>
      <c r="FI15" s="146" t="str">
        <f ca="1">RESULTADOS!AR73</f>
        <v/>
      </c>
      <c r="FJ15" s="146" t="str">
        <f ca="1">RESULTADOS!AS73</f>
        <v/>
      </c>
      <c r="FK15" s="146" t="str">
        <f ca="1">RESULTADOS!AT73</f>
        <v/>
      </c>
      <c r="FL15" s="146" t="str">
        <f ca="1">RESULTADOS!AU73</f>
        <v/>
      </c>
      <c r="FM15" s="146" t="str">
        <f ca="1">RESULTADOS!AV73</f>
        <v/>
      </c>
      <c r="FN15" s="146" t="str">
        <f ca="1">RESULTADOS!AW73</f>
        <v/>
      </c>
    </row>
    <row r="16" spans="1:170">
      <c r="C16" s="144" t="s">
        <v>143</v>
      </c>
      <c r="D16" s="147" t="n">
        <f>'01.Definición de ámbito'!C41</f>
        <v>0.0</v>
      </c>
      <c r="F16" s="205"/>
      <c r="G16" s="205"/>
      <c r="H16" s="205"/>
      <c r="I16" s="205"/>
      <c r="J16" s="205"/>
      <c r="T16" s="148" t="n">
        <f>RESULTADOS!B33</f>
        <v>1.0</v>
      </c>
      <c r="U16" s="148" t="str">
        <f>RESULTADOS!C33</f>
        <v>Home - PortCastelló</v>
      </c>
      <c r="V16" s="148" t="str">
        <f t="shared" si="0"/>
        <v>Página web</v>
      </c>
      <c r="W16" s="148" t="str">
        <v/>
      </c>
      <c r="X16" s="148" t="str">
        <f>RESULTADOS!D33</f>
        <v>https://www.portcastello.com/</v>
      </c>
      <c r="Y16" s="148" t="n">
        <v>0.0</v>
      </c>
      <c r="Z16" s="237" t="str">
        <v>Ej. Imágenes, tablas, listas, multimedia, formularios, plantilla X, plantilla Y</v>
      </c>
      <c r="AA16" s="146" t="str">
        <f ca="1">RESULTADOS!E33</f>
        <v>N/T</v>
      </c>
      <c r="AB16" s="146" t="str">
        <f ca="1">RESULTADOS!F33</f>
        <v>N/T</v>
      </c>
      <c r="AC16" s="146" t="str">
        <f ca="1">RESULTADOS!G33</f>
        <v>N/T</v>
      </c>
      <c r="AD16" s="146" t="str">
        <f ca="1">RESULTADOS!H33</f>
        <v>N/T</v>
      </c>
      <c r="AE16" s="146" t="str">
        <f ca="1">RESULTADOS!I33</f>
        <v>N/T</v>
      </c>
      <c r="AF16" s="146" t="str">
        <f ca="1">RESULTADOS!J33</f>
        <v>N/T</v>
      </c>
      <c r="AG16" s="146" t="str">
        <f ca="1">RESULTADOS!K33</f>
        <v>N/T</v>
      </c>
      <c r="AH16" s="146" t="str">
        <f ca="1">RESULTADOS!L33</f>
        <v>N/T</v>
      </c>
      <c r="AI16" s="146" t="str">
        <f ca="1">RESULTADOS!M33</f>
        <v>N/T</v>
      </c>
      <c r="AJ16" s="146" t="str">
        <f ca="1">RESULTADOS!N33</f>
        <v>N/T</v>
      </c>
      <c r="AK16" s="146" t="str">
        <f ca="1">RESULTADOS!O33</f>
        <v>N/T</v>
      </c>
      <c r="AL16" s="146" t="str">
        <f ca="1">RESULTADOS!P33</f>
        <v>N/T</v>
      </c>
      <c r="AM16" s="146" t="str">
        <f ca="1">RESULTADOS!Q33</f>
        <v>N/T</v>
      </c>
      <c r="AN16" s="146" t="str">
        <f ca="1">RESULTADOS!R33</f>
        <v>N/T</v>
      </c>
      <c r="AO16" s="146" t="str">
        <f ca="1">RESULTADOS!S33</f>
        <v>N/T</v>
      </c>
      <c r="AP16" s="146" t="str">
        <f ca="1">RESULTADOS!T33</f>
        <v>N/T</v>
      </c>
      <c r="AQ16" s="146" t="str">
        <f ca="1">RESULTADOS!U33</f>
        <v>N/T</v>
      </c>
      <c r="AR16" s="146" t="str">
        <f ca="1">RESULTADOS!V33</f>
        <v>N/T</v>
      </c>
      <c r="AS16" s="146" t="str">
        <f ca="1">RESULTADOS!W33</f>
        <v>N/T</v>
      </c>
      <c r="AT16" s="146" t="str">
        <f ca="1">RESULTADOS!X33</f>
        <v>N/T</v>
      </c>
      <c r="AU16" s="146" t="str">
        <f ca="1">RESULTADOS!Y33</f>
        <v>N/T</v>
      </c>
      <c r="AV16" s="146" t="str">
        <f ca="1">RESULTADOS!Z33</f>
        <v>N/T</v>
      </c>
      <c r="AW16" s="146" t="str">
        <f ca="1">RESULTADOS!AA33</f>
        <v>N/T</v>
      </c>
      <c r="AX16" s="146" t="str">
        <f ca="1">RESULTADOS!AB33</f>
        <v>N/T</v>
      </c>
      <c r="AY16" s="146" t="str">
        <f ca="1">RESULTADOS!AC33</f>
        <v>N/T</v>
      </c>
      <c r="AZ16" s="146" t="str">
        <f ca="1">RESULTADOS!AD33</f>
        <v>N/T</v>
      </c>
      <c r="BA16" s="146" t="str">
        <f ca="1">RESULTADOS!AE33</f>
        <v>N/T</v>
      </c>
      <c r="BB16" s="146" t="str">
        <f ca="1">RESULTADOS!AF33</f>
        <v>N/T</v>
      </c>
      <c r="BC16" s="146" t="str">
        <f ca="1">RESULTADOS!AG33</f>
        <v>N/T</v>
      </c>
      <c r="BD16" s="146" t="str">
        <f ca="1">RESULTADOS!AH33</f>
        <v>N/T</v>
      </c>
      <c r="BE16" s="146" t="str">
        <f ca="1">RESULTADOS!AI33</f>
        <v>N/T</v>
      </c>
      <c r="BF16" s="146" t="str">
        <f ca="1">RESULTADOS!AJ33</f>
        <v>N/D</v>
      </c>
      <c r="BG16" s="146" t="str">
        <f ca="1">RESULTADOS!AK33</f>
        <v>N/T</v>
      </c>
      <c r="BH16" s="146" t="str">
        <f ca="1">RESULTADOS!AL33</f>
        <v>N/T</v>
      </c>
      <c r="BI16" s="146" t="str">
        <f ca="1">RESULTADOS!AM33</f>
        <v>N/T</v>
      </c>
      <c r="BJ16" s="146" t="str">
        <f ca="1">RESULTADOS!AN33</f>
        <v>N/T</v>
      </c>
      <c r="BK16" s="146" t="str">
        <f ca="1">RESULTADOS!AO33</f>
        <v>N/D</v>
      </c>
      <c r="BL16" s="146" t="str">
        <f ca="1">RESULTADOS!AP33</f>
        <v>N/T</v>
      </c>
      <c r="BM16" s="146" t="str">
        <f ca="1">RESULTADOS!AQ33</f>
        <v>N/T</v>
      </c>
      <c r="BN16" s="146" t="str">
        <f ca="1">RESULTADOS!AR33</f>
        <v>N/D</v>
      </c>
      <c r="BO16" s="146" t="str">
        <f ca="1">RESULTADOS!AS33</f>
        <v>N/D</v>
      </c>
      <c r="BP16" s="146" t="str">
        <f ca="1">RESULTADOS!AT33</f>
        <v>N/T</v>
      </c>
      <c r="BQ16" s="146" t="str">
        <f ca="1">RESULTADOS!AU33</f>
        <v>N/T</v>
      </c>
      <c r="BR16" s="146" t="str">
        <f ca="1">RESULTADOS!AV33</f>
        <v>N/D</v>
      </c>
      <c r="BS16" s="146" t="str">
        <f ca="1">RESULTADOS!AW33</f>
        <v>N/T</v>
      </c>
      <c r="BT16" s="146" t="str">
        <f ca="1">RESULTADOS!AX33</f>
        <v>N/T</v>
      </c>
      <c r="BU16" s="146" t="str">
        <f ca="1">RESULTADOS!AY33</f>
        <v>N/D</v>
      </c>
      <c r="BV16" s="146" t="str">
        <f ca="1">RESULTADOS!AZ33</f>
        <v>N/T</v>
      </c>
      <c r="BW16" s="146" t="str">
        <f ca="1">RESULTADOS!BA33</f>
        <v>N/D</v>
      </c>
      <c r="BX16" s="146" t="str">
        <f ca="1">RESULTADOS!BB33</f>
        <v>N/T</v>
      </c>
      <c r="BY16" s="146" t="str">
        <f ca="1">RESULTADOS!BC33</f>
        <v>N/D</v>
      </c>
      <c r="BZ16" s="146" t="str">
        <f ca="1">RESULTADOS!BD33</f>
        <v>N/T</v>
      </c>
      <c r="CA16" s="146" t="str">
        <f ca="1">RESULTADOS!BE33</f>
        <v>N/T</v>
      </c>
      <c r="CB16" s="146" t="str">
        <f ca="1">RESULTADOS!BF33</f>
        <v>N/D</v>
      </c>
      <c r="CC16" s="146" t="str">
        <f ca="1">RESULTADOS!BG33</f>
        <v>N/D</v>
      </c>
      <c r="CD16" s="146" t="str">
        <f ca="1">RESULTADOS!BH33</f>
        <v>N/T</v>
      </c>
      <c r="CE16" s="146" t="str">
        <f ca="1">RESULTADOS!BI33</f>
        <v>N/D</v>
      </c>
      <c r="CF16" s="146" t="str">
        <f ca="1">RESULTADOS!BJ33</f>
        <v>N/D</v>
      </c>
      <c r="CG16" s="146" t="str">
        <f ca="1">RESULTADOS!BK33</f>
        <v>N/D</v>
      </c>
      <c r="CH16" s="146" t="str">
        <f ca="1">RESULTADOS!BL33</f>
        <v>N/D</v>
      </c>
      <c r="CI16" s="146" t="str">
        <f ca="1">RESULTADOS!BM33</f>
        <v>N/D</v>
      </c>
      <c r="CJ16" s="146" t="str">
        <f ca="1">RESULTADOS!BN33</f>
        <v>N/T</v>
      </c>
      <c r="CK16" s="146" t="str">
        <f ca="1">RESULTADOS!BO33</f>
        <v>Falla</v>
      </c>
      <c r="CL16" s="146" t="str">
        <f ca="1">RESULTADOS!BP33</f>
        <v>N/T</v>
      </c>
      <c r="CM16" s="146" t="str">
        <f ca="1">RESULTADOS!BQ33</f>
        <v>N/T</v>
      </c>
      <c r="CN16" s="146" t="str">
        <f ca="1">RESULTADOS!BR33</f>
        <v>N/D</v>
      </c>
      <c r="CO16" s="146" t="str">
        <f ca="1">RESULTADOS!BS33</f>
        <v>N/T</v>
      </c>
      <c r="CP16" s="146" t="str">
        <f ca="1">RESULTADOS!BT33</f>
        <v>N/D</v>
      </c>
      <c r="CQ16" s="146" t="str">
        <f ca="1">RESULTADOS!BU33</f>
        <v>N/D</v>
      </c>
      <c r="CR16" s="146" t="str">
        <f ca="1">RESULTADOS!BV33</f>
        <v>N/D</v>
      </c>
      <c r="CS16" s="146" t="str">
        <f ca="1">RESULTADOS!BW33</f>
        <v>N/D</v>
      </c>
      <c r="CT16" s="146" t="str">
        <f ca="1">RESULTADOS!BX33</f>
        <v>N/D</v>
      </c>
      <c r="CU16" s="146" t="str">
        <f ca="1">RESULTADOS!BY33</f>
        <v>N/T</v>
      </c>
      <c r="CV16" s="146" t="str">
        <f ca="1">RESULTADOS!BZ33</f>
        <v>N/T</v>
      </c>
      <c r="CW16" s="146" t="str">
        <f ca="1">RESULTADOS!CA33</f>
        <v>N/D</v>
      </c>
      <c r="CX16" s="146" t="str">
        <f ca="1">RESULTADOS!CB33</f>
        <v>N/T</v>
      </c>
      <c r="CY16" s="146" t="str">
        <f ca="1">RESULTADOS!CC33</f>
        <v>N/T</v>
      </c>
      <c r="CZ16" s="146" t="str">
        <f ca="1">RESULTADOS!CD33</f>
        <v>N/T</v>
      </c>
      <c r="DA16" s="146" t="str">
        <f ca="1">RESULTADOS!CE33</f>
        <v>N/D</v>
      </c>
      <c r="DB16" s="146" t="str">
        <f ca="1">RESULTADOS!CF33</f>
        <v>N/T</v>
      </c>
      <c r="DC16" s="146" t="str">
        <f ca="1">RESULTADOS!CG33</f>
        <v>N/T</v>
      </c>
      <c r="DD16" s="146" t="str">
        <f ca="1">RESULTADOS!CH33</f>
        <v>N/T</v>
      </c>
      <c r="DE16" s="146" t="str">
        <f ca="1">RESULTADOS!CI33</f>
        <v>N/T</v>
      </c>
      <c r="DF16" s="146" t="str">
        <f ca="1">RESULTADOS!CJ33</f>
        <v>N/T</v>
      </c>
      <c r="DG16" s="146" t="str">
        <f ca="1">RESULTADOS!CK33</f>
        <v>N/T</v>
      </c>
      <c r="DH16" s="146" t="str">
        <f ca="1">RESULTADOS!CL33</f>
        <v>N/T</v>
      </c>
      <c r="DI16" s="146" t="str">
        <f ca="1">RESULTADOS!CM33</f>
        <v>N/T</v>
      </c>
      <c r="DJ16" s="146" t="str">
        <f ca="1">RESULTADOS!CN33</f>
        <v>N/T</v>
      </c>
      <c r="DK16" s="146" t="str">
        <f ca="1">RESULTADOS!CO33</f>
        <v>N/T</v>
      </c>
      <c r="DL16" s="146" t="str">
        <f ca="1">RESULTADOS!CP33</f>
        <v>N/T</v>
      </c>
      <c r="DM16" s="146" t="str">
        <f ca="1">RESULTADOS!CQ33</f>
        <v>N/T</v>
      </c>
      <c r="DN16" s="146" t="str">
        <f ca="1">RESULTADOS!CR33</f>
        <v>N/T</v>
      </c>
      <c r="DO16" s="148" t="str">
        <f>RESULTADOS!B74</f>
        <v/>
      </c>
      <c r="DP16" s="148" t="str">
        <f>RESULTADOS!C74</f>
        <v/>
      </c>
      <c r="DQ16" s="148" t="str">
        <f t="shared" si="1"/>
        <v/>
      </c>
      <c r="DR16" s="148" t="str" cm="1">
        <f t="array" ref="DR16">IFERROR(INDEX('03.Muestra'!$E$8:$E$42,SMALL(IF("Documento no web"='03.Muestra'!$D$8:$D$42,ROW('03.Muestra'!$E$8:$E$42)-MIN(ROW('03.Muestra'!$D$8:$D$42))+1,""),ROW()-2)),"")</f>
        <v/>
      </c>
      <c r="DS16" s="148" t="str">
        <f>RESULTADOS!D74</f>
        <v/>
      </c>
      <c r="DT16" s="148" t="str" cm="1">
        <f t="array" ref="DT16">IFERROR(INDEX('03.Muestra'!$G$8:$G$42,SMALL(IF("Documento no web"='03.Muestra'!$D$8:$D$42,ROW('03.Muestra'!$G$8:$G$42)-MIN(ROW('03.Muestra'!$D$8:$D$42))+1,""),ROW()-2)),"")</f>
        <v/>
      </c>
      <c r="DU16" s="237" t="str" cm="1">
        <f t="array" ref="DU16">IFERROR(INDEX('03.Muestra'!$H$8:$H$42,SMALL(IF("Documento no web"='03.Muestra'!$D$8:$D$42,ROW('03.Muestra'!$H$8:$H$42)-MIN(ROW('03.Muestra'!$D$8:$D$42))+1,""),ROW()-2)),"")</f>
        <v/>
      </c>
      <c r="DV16" s="146" t="str">
        <f ca="1">RESULTADOS!E74</f>
        <v/>
      </c>
      <c r="DW16" s="146" t="str">
        <f ca="1">RESULTADOS!F74</f>
        <v/>
      </c>
      <c r="DX16" s="146" t="str">
        <f ca="1">RESULTADOS!G74</f>
        <v/>
      </c>
      <c r="DY16" s="146" t="str">
        <f ca="1">RESULTADOS!H74</f>
        <v/>
      </c>
      <c r="DZ16" s="146" t="str">
        <f ca="1">RESULTADOS!I74</f>
        <v/>
      </c>
      <c r="EA16" s="146" t="str">
        <f ca="1">RESULTADOS!J74</f>
        <v/>
      </c>
      <c r="EB16" s="146" t="str">
        <f ca="1">RESULTADOS!K74</f>
        <v/>
      </c>
      <c r="EC16" s="146" t="str">
        <f ca="1">RESULTADOS!L74</f>
        <v/>
      </c>
      <c r="ED16" s="146" t="str">
        <f ca="1">RESULTADOS!M74</f>
        <v/>
      </c>
      <c r="EE16" s="146" t="str">
        <f ca="1">RESULTADOS!N74</f>
        <v/>
      </c>
      <c r="EF16" s="146" t="str">
        <f ca="1">RESULTADOS!O74</f>
        <v/>
      </c>
      <c r="EG16" s="146" t="str">
        <f ca="1">RESULTADOS!P74</f>
        <v/>
      </c>
      <c r="EH16" s="146" t="str">
        <f ca="1">RESULTADOS!Q74</f>
        <v/>
      </c>
      <c r="EI16" s="146" t="str">
        <f ca="1">RESULTADOS!R74</f>
        <v/>
      </c>
      <c r="EJ16" s="146" t="str">
        <f ca="1">RESULTADOS!S74</f>
        <v/>
      </c>
      <c r="EK16" s="146" t="str">
        <f ca="1">RESULTADOS!T74</f>
        <v/>
      </c>
      <c r="EL16" s="146" t="str">
        <f ca="1">RESULTADOS!U74</f>
        <v/>
      </c>
      <c r="EM16" s="146" t="str">
        <f ca="1">RESULTADOS!V74</f>
        <v/>
      </c>
      <c r="EN16" s="146" t="str">
        <f ca="1">RESULTADOS!W74</f>
        <v/>
      </c>
      <c r="EO16" s="146" t="str">
        <f ca="1">RESULTADOS!X74</f>
        <v/>
      </c>
      <c r="EP16" s="146" t="str">
        <f ca="1">RESULTADOS!Y74</f>
        <v/>
      </c>
      <c r="EQ16" s="146" t="str">
        <f ca="1">RESULTADOS!Z74</f>
        <v/>
      </c>
      <c r="ER16" s="146" t="str">
        <f ca="1">RESULTADOS!AA74</f>
        <v/>
      </c>
      <c r="ES16" s="146" t="str">
        <f ca="1">RESULTADOS!AB74</f>
        <v/>
      </c>
      <c r="ET16" s="146" t="str">
        <f ca="1">RESULTADOS!AC74</f>
        <v/>
      </c>
      <c r="EU16" s="146" t="str">
        <f ca="1">RESULTADOS!AD74</f>
        <v/>
      </c>
      <c r="EV16" s="146" t="str">
        <f ca="1">RESULTADOS!AE74</f>
        <v/>
      </c>
      <c r="EW16" s="146" t="str">
        <f ca="1">RESULTADOS!AF74</f>
        <v/>
      </c>
      <c r="EX16" s="146" t="str">
        <f ca="1">RESULTADOS!AG74</f>
        <v/>
      </c>
      <c r="EY16" s="146" t="str">
        <f ca="1">RESULTADOS!AH74</f>
        <v/>
      </c>
      <c r="EZ16" s="146" t="str">
        <f ca="1">RESULTADOS!AI74</f>
        <v/>
      </c>
      <c r="FA16" s="146" t="str">
        <f ca="1">RESULTADOS!AJ74</f>
        <v/>
      </c>
      <c r="FB16" s="146" t="str">
        <f ca="1">RESULTADOS!AK74</f>
        <v/>
      </c>
      <c r="FC16" s="146" t="str">
        <f ca="1">RESULTADOS!AL74</f>
        <v/>
      </c>
      <c r="FD16" s="146" t="str">
        <f ca="1">RESULTADOS!AM74</f>
        <v/>
      </c>
      <c r="FE16" s="146" t="str">
        <f ca="1">RESULTADOS!AN74</f>
        <v/>
      </c>
      <c r="FF16" s="146" t="str">
        <f ca="1">RESULTADOS!AO74</f>
        <v/>
      </c>
      <c r="FG16" s="146" t="str">
        <f ca="1">RESULTADOS!AP74</f>
        <v/>
      </c>
      <c r="FH16" s="146" t="str">
        <f ca="1">RESULTADOS!AQ74</f>
        <v/>
      </c>
      <c r="FI16" s="146" t="str">
        <f ca="1">RESULTADOS!AR74</f>
        <v/>
      </c>
      <c r="FJ16" s="146" t="str">
        <f ca="1">RESULTADOS!AS74</f>
        <v/>
      </c>
      <c r="FK16" s="146" t="str">
        <f ca="1">RESULTADOS!AT74</f>
        <v/>
      </c>
      <c r="FL16" s="146" t="str">
        <f ca="1">RESULTADOS!AU74</f>
        <v/>
      </c>
      <c r="FM16" s="146" t="str">
        <f ca="1">RESULTADOS!AV74</f>
        <v/>
      </c>
      <c r="FN16" s="146" t="str">
        <f ca="1">RESULTADOS!AW74</f>
        <v/>
      </c>
    </row>
    <row r="17" spans="3:170">
      <c r="C17" s="144" t="s">
        <v>144</v>
      </c>
      <c r="D17" s="147" t="n">
        <f>'01.Definición de ámbito'!C45</f>
        <v>0.0</v>
      </c>
      <c r="K17" s="40" t="s">
        <v>138</v>
      </c>
      <c r="T17" s="148" t="n">
        <f>RESULTADOS!B34</f>
        <v>1.0</v>
      </c>
      <c r="U17" s="148" t="str">
        <f>RESULTADOS!C34</f>
        <v>Home - PortCastelló</v>
      </c>
      <c r="V17" s="148" t="str">
        <f t="shared" si="0"/>
        <v>Página web</v>
      </c>
      <c r="W17" s="148" t="str">
        <v/>
      </c>
      <c r="X17" s="148" t="str">
        <f>RESULTADOS!D34</f>
        <v>https://www.portcastello.com/</v>
      </c>
      <c r="Y17" s="148" t="n">
        <v>0.0</v>
      </c>
      <c r="Z17" s="237" t="str">
        <v>Ej. Imágenes, tablas, listas, multimedia, formularios, plantilla X, plantilla Y</v>
      </c>
      <c r="AA17" s="146" t="str">
        <f ca="1">RESULTADOS!E34</f>
        <v>N/T</v>
      </c>
      <c r="AB17" s="146" t="str">
        <f ca="1">RESULTADOS!F34</f>
        <v>N/T</v>
      </c>
      <c r="AC17" s="146" t="str">
        <f ca="1">RESULTADOS!G34</f>
        <v>N/T</v>
      </c>
      <c r="AD17" s="146" t="str">
        <f ca="1">RESULTADOS!H34</f>
        <v>N/T</v>
      </c>
      <c r="AE17" s="146" t="str">
        <f ca="1">RESULTADOS!I34</f>
        <v>N/T</v>
      </c>
      <c r="AF17" s="146" t="str">
        <f ca="1">RESULTADOS!J34</f>
        <v>N/T</v>
      </c>
      <c r="AG17" s="146" t="str">
        <f ca="1">RESULTADOS!K34</f>
        <v>N/T</v>
      </c>
      <c r="AH17" s="146" t="str">
        <f ca="1">RESULTADOS!L34</f>
        <v>N/T</v>
      </c>
      <c r="AI17" s="146" t="str">
        <f ca="1">RESULTADOS!M34</f>
        <v>N/T</v>
      </c>
      <c r="AJ17" s="146" t="str">
        <f ca="1">RESULTADOS!N34</f>
        <v>N/T</v>
      </c>
      <c r="AK17" s="146" t="str">
        <f ca="1">RESULTADOS!O34</f>
        <v>N/T</v>
      </c>
      <c r="AL17" s="146" t="str">
        <f ca="1">RESULTADOS!P34</f>
        <v>N/T</v>
      </c>
      <c r="AM17" s="146" t="str">
        <f ca="1">RESULTADOS!Q34</f>
        <v>N/T</v>
      </c>
      <c r="AN17" s="146" t="str">
        <f ca="1">RESULTADOS!R34</f>
        <v>N/T</v>
      </c>
      <c r="AO17" s="146" t="str">
        <f ca="1">RESULTADOS!S34</f>
        <v>N/T</v>
      </c>
      <c r="AP17" s="146" t="str">
        <f ca="1">RESULTADOS!T34</f>
        <v>N/T</v>
      </c>
      <c r="AQ17" s="146" t="str">
        <f ca="1">RESULTADOS!U34</f>
        <v>N/T</v>
      </c>
      <c r="AR17" s="146" t="str">
        <f ca="1">RESULTADOS!V34</f>
        <v>N/T</v>
      </c>
      <c r="AS17" s="146" t="str">
        <f ca="1">RESULTADOS!W34</f>
        <v>N/T</v>
      </c>
      <c r="AT17" s="146" t="str">
        <f ca="1">RESULTADOS!X34</f>
        <v>N/T</v>
      </c>
      <c r="AU17" s="146" t="str">
        <f ca="1">RESULTADOS!Y34</f>
        <v>N/T</v>
      </c>
      <c r="AV17" s="146" t="str">
        <f ca="1">RESULTADOS!Z34</f>
        <v>N/T</v>
      </c>
      <c r="AW17" s="146" t="str">
        <f ca="1">RESULTADOS!AA34</f>
        <v>N/T</v>
      </c>
      <c r="AX17" s="146" t="str">
        <f ca="1">RESULTADOS!AB34</f>
        <v>N/T</v>
      </c>
      <c r="AY17" s="146" t="str">
        <f ca="1">RESULTADOS!AC34</f>
        <v>N/T</v>
      </c>
      <c r="AZ17" s="146" t="str">
        <f ca="1">RESULTADOS!AD34</f>
        <v>N/T</v>
      </c>
      <c r="BA17" s="146" t="str">
        <f ca="1">RESULTADOS!AE34</f>
        <v>N/T</v>
      </c>
      <c r="BB17" s="146" t="str">
        <f ca="1">RESULTADOS!AF34</f>
        <v>N/T</v>
      </c>
      <c r="BC17" s="146" t="str">
        <f ca="1">RESULTADOS!AG34</f>
        <v>N/T</v>
      </c>
      <c r="BD17" s="146" t="str">
        <f ca="1">RESULTADOS!AH34</f>
        <v>N/T</v>
      </c>
      <c r="BE17" s="146" t="str">
        <f ca="1">RESULTADOS!AI34</f>
        <v>N/T</v>
      </c>
      <c r="BF17" s="146" t="str">
        <f ca="1">RESULTADOS!AJ34</f>
        <v>N/D</v>
      </c>
      <c r="BG17" s="146" t="str">
        <f ca="1">RESULTADOS!AK34</f>
        <v>N/T</v>
      </c>
      <c r="BH17" s="146" t="str">
        <f ca="1">RESULTADOS!AL34</f>
        <v>N/T</v>
      </c>
      <c r="BI17" s="146" t="str">
        <f ca="1">RESULTADOS!AM34</f>
        <v>N/T</v>
      </c>
      <c r="BJ17" s="146" t="str">
        <f ca="1">RESULTADOS!AN34</f>
        <v>N/T</v>
      </c>
      <c r="BK17" s="146" t="str">
        <f ca="1">RESULTADOS!AO34</f>
        <v>N/D</v>
      </c>
      <c r="BL17" s="146" t="str">
        <f ca="1">RESULTADOS!AP34</f>
        <v>N/T</v>
      </c>
      <c r="BM17" s="146" t="str">
        <f ca="1">RESULTADOS!AQ34</f>
        <v>N/T</v>
      </c>
      <c r="BN17" s="146" t="str">
        <f ca="1">RESULTADOS!AR34</f>
        <v>N/D</v>
      </c>
      <c r="BO17" s="146" t="str">
        <f ca="1">RESULTADOS!AS34</f>
        <v>N/D</v>
      </c>
      <c r="BP17" s="146" t="str">
        <f ca="1">RESULTADOS!AT34</f>
        <v>N/T</v>
      </c>
      <c r="BQ17" s="146" t="str">
        <f ca="1">RESULTADOS!AU34</f>
        <v>N/T</v>
      </c>
      <c r="BR17" s="146" t="str">
        <f ca="1">RESULTADOS!AV34</f>
        <v>N/D</v>
      </c>
      <c r="BS17" s="146" t="str">
        <f ca="1">RESULTADOS!AW34</f>
        <v>N/T</v>
      </c>
      <c r="BT17" s="146" t="str">
        <f ca="1">RESULTADOS!AX34</f>
        <v>N/T</v>
      </c>
      <c r="BU17" s="146" t="str">
        <f ca="1">RESULTADOS!AY34</f>
        <v>N/D</v>
      </c>
      <c r="BV17" s="146" t="str">
        <f ca="1">RESULTADOS!AZ34</f>
        <v>N/T</v>
      </c>
      <c r="BW17" s="146" t="str">
        <f ca="1">RESULTADOS!BA34</f>
        <v>N/D</v>
      </c>
      <c r="BX17" s="146" t="str">
        <f ca="1">RESULTADOS!BB34</f>
        <v>N/T</v>
      </c>
      <c r="BY17" s="146" t="str">
        <f ca="1">RESULTADOS!BC34</f>
        <v>N/D</v>
      </c>
      <c r="BZ17" s="146" t="str">
        <f ca="1">RESULTADOS!BD34</f>
        <v>N/T</v>
      </c>
      <c r="CA17" s="146" t="str">
        <f ca="1">RESULTADOS!BE34</f>
        <v>N/T</v>
      </c>
      <c r="CB17" s="146" t="str">
        <f ca="1">RESULTADOS!BF34</f>
        <v>N/D</v>
      </c>
      <c r="CC17" s="146" t="str">
        <f ca="1">RESULTADOS!BG34</f>
        <v>N/D</v>
      </c>
      <c r="CD17" s="146" t="str">
        <f ca="1">RESULTADOS!BH34</f>
        <v>N/T</v>
      </c>
      <c r="CE17" s="146" t="str">
        <f ca="1">RESULTADOS!BI34</f>
        <v>N/D</v>
      </c>
      <c r="CF17" s="146" t="str">
        <f ca="1">RESULTADOS!BJ34</f>
        <v>N/D</v>
      </c>
      <c r="CG17" s="146" t="str">
        <f ca="1">RESULTADOS!BK34</f>
        <v>N/D</v>
      </c>
      <c r="CH17" s="146" t="str">
        <f ca="1">RESULTADOS!BL34</f>
        <v>N/D</v>
      </c>
      <c r="CI17" s="146" t="str">
        <f ca="1">RESULTADOS!BM34</f>
        <v>N/D</v>
      </c>
      <c r="CJ17" s="146" t="str">
        <f ca="1">RESULTADOS!BN34</f>
        <v>N/T</v>
      </c>
      <c r="CK17" s="146" t="str">
        <f ca="1">RESULTADOS!BO34</f>
        <v>Falla</v>
      </c>
      <c r="CL17" s="146" t="str">
        <f ca="1">RESULTADOS!BP34</f>
        <v>N/T</v>
      </c>
      <c r="CM17" s="146" t="str">
        <f ca="1">RESULTADOS!BQ34</f>
        <v>N/T</v>
      </c>
      <c r="CN17" s="146" t="str">
        <f ca="1">RESULTADOS!BR34</f>
        <v>N/D</v>
      </c>
      <c r="CO17" s="146" t="str">
        <f ca="1">RESULTADOS!BS34</f>
        <v>N/T</v>
      </c>
      <c r="CP17" s="146" t="str">
        <f ca="1">RESULTADOS!BT34</f>
        <v>N/D</v>
      </c>
      <c r="CQ17" s="146" t="str">
        <f ca="1">RESULTADOS!BU34</f>
        <v>N/D</v>
      </c>
      <c r="CR17" s="146" t="str">
        <f ca="1">RESULTADOS!BV34</f>
        <v>N/D</v>
      </c>
      <c r="CS17" s="146" t="str">
        <f ca="1">RESULTADOS!BW34</f>
        <v>N/D</v>
      </c>
      <c r="CT17" s="146" t="str">
        <f ca="1">RESULTADOS!BX34</f>
        <v>N/D</v>
      </c>
      <c r="CU17" s="146" t="str">
        <f ca="1">RESULTADOS!BY34</f>
        <v>N/T</v>
      </c>
      <c r="CV17" s="146" t="str">
        <f ca="1">RESULTADOS!BZ34</f>
        <v>N/T</v>
      </c>
      <c r="CW17" s="146" t="str">
        <f ca="1">RESULTADOS!CA34</f>
        <v>N/D</v>
      </c>
      <c r="CX17" s="146" t="str">
        <f ca="1">RESULTADOS!CB34</f>
        <v>N/T</v>
      </c>
      <c r="CY17" s="146" t="str">
        <f ca="1">RESULTADOS!CC34</f>
        <v>N/T</v>
      </c>
      <c r="CZ17" s="146" t="str">
        <f ca="1">RESULTADOS!CD34</f>
        <v>N/T</v>
      </c>
      <c r="DA17" s="146" t="str">
        <f ca="1">RESULTADOS!CE34</f>
        <v>N/D</v>
      </c>
      <c r="DB17" s="146" t="str">
        <f ca="1">RESULTADOS!CF34</f>
        <v>N/T</v>
      </c>
      <c r="DC17" s="146" t="str">
        <f ca="1">RESULTADOS!CG34</f>
        <v>N/T</v>
      </c>
      <c r="DD17" s="146" t="str">
        <f ca="1">RESULTADOS!CH34</f>
        <v>N/T</v>
      </c>
      <c r="DE17" s="146" t="str">
        <f ca="1">RESULTADOS!CI34</f>
        <v>N/T</v>
      </c>
      <c r="DF17" s="146" t="str">
        <f ca="1">RESULTADOS!CJ34</f>
        <v>N/T</v>
      </c>
      <c r="DG17" s="146" t="str">
        <f ca="1">RESULTADOS!CK34</f>
        <v>N/T</v>
      </c>
      <c r="DH17" s="146" t="str">
        <f ca="1">RESULTADOS!CL34</f>
        <v>N/T</v>
      </c>
      <c r="DI17" s="146" t="str">
        <f ca="1">RESULTADOS!CM34</f>
        <v>N/T</v>
      </c>
      <c r="DJ17" s="146" t="str">
        <f ca="1">RESULTADOS!CN34</f>
        <v>N/T</v>
      </c>
      <c r="DK17" s="146" t="str">
        <f ca="1">RESULTADOS!CO34</f>
        <v>N/T</v>
      </c>
      <c r="DL17" s="146" t="str">
        <f ca="1">RESULTADOS!CP34</f>
        <v>N/T</v>
      </c>
      <c r="DM17" s="146" t="str">
        <f ca="1">RESULTADOS!CQ34</f>
        <v>N/T</v>
      </c>
      <c r="DN17" s="146" t="str">
        <f ca="1">RESULTADOS!CR34</f>
        <v>N/T</v>
      </c>
      <c r="DO17" s="148" t="str">
        <f>RESULTADOS!B75</f>
        <v/>
      </c>
      <c r="DP17" s="148" t="str">
        <f>RESULTADOS!C75</f>
        <v/>
      </c>
      <c r="DQ17" s="148" t="str">
        <f t="shared" si="1"/>
        <v/>
      </c>
      <c r="DR17" s="148" t="str" cm="1">
        <f t="array" ref="DR17">IFERROR(INDEX('03.Muestra'!$E$8:$E$42,SMALL(IF("Documento no web"='03.Muestra'!$D$8:$D$42,ROW('03.Muestra'!$E$8:$E$42)-MIN(ROW('03.Muestra'!$D$8:$D$42))+1,""),ROW()-2)),"")</f>
        <v/>
      </c>
      <c r="DS17" s="148" t="str">
        <f>RESULTADOS!D75</f>
        <v/>
      </c>
      <c r="DT17" s="148" t="str" cm="1">
        <f t="array" ref="DT17">IFERROR(INDEX('03.Muestra'!$G$8:$G$42,SMALL(IF("Documento no web"='03.Muestra'!$D$8:$D$42,ROW('03.Muestra'!$G$8:$G$42)-MIN(ROW('03.Muestra'!$D$8:$D$42))+1,""),ROW()-2)),"")</f>
        <v/>
      </c>
      <c r="DU17" s="237" t="str" cm="1">
        <f t="array" ref="DU17">IFERROR(INDEX('03.Muestra'!$H$8:$H$42,SMALL(IF("Documento no web"='03.Muestra'!$D$8:$D$42,ROW('03.Muestra'!$H$8:$H$42)-MIN(ROW('03.Muestra'!$D$8:$D$42))+1,""),ROW()-2)),"")</f>
        <v/>
      </c>
      <c r="DV17" s="146" t="str">
        <f ca="1">RESULTADOS!E75</f>
        <v/>
      </c>
      <c r="DW17" s="146" t="str">
        <f ca="1">RESULTADOS!F75</f>
        <v/>
      </c>
      <c r="DX17" s="146" t="str">
        <f ca="1">RESULTADOS!G75</f>
        <v/>
      </c>
      <c r="DY17" s="146" t="str">
        <f ca="1">RESULTADOS!H75</f>
        <v/>
      </c>
      <c r="DZ17" s="146" t="str">
        <f ca="1">RESULTADOS!I75</f>
        <v/>
      </c>
      <c r="EA17" s="146" t="str">
        <f ca="1">RESULTADOS!J75</f>
        <v/>
      </c>
      <c r="EB17" s="146" t="str">
        <f ca="1">RESULTADOS!K75</f>
        <v/>
      </c>
      <c r="EC17" s="146" t="str">
        <f ca="1">RESULTADOS!L75</f>
        <v/>
      </c>
      <c r="ED17" s="146" t="str">
        <f ca="1">RESULTADOS!M75</f>
        <v/>
      </c>
      <c r="EE17" s="146" t="str">
        <f ca="1">RESULTADOS!N75</f>
        <v/>
      </c>
      <c r="EF17" s="146" t="str">
        <f ca="1">RESULTADOS!O75</f>
        <v/>
      </c>
      <c r="EG17" s="146" t="str">
        <f ca="1">RESULTADOS!P75</f>
        <v/>
      </c>
      <c r="EH17" s="146" t="str">
        <f ca="1">RESULTADOS!Q75</f>
        <v/>
      </c>
      <c r="EI17" s="146" t="str">
        <f ca="1">RESULTADOS!R75</f>
        <v/>
      </c>
      <c r="EJ17" s="146" t="str">
        <f ca="1">RESULTADOS!S75</f>
        <v/>
      </c>
      <c r="EK17" s="146" t="str">
        <f ca="1">RESULTADOS!T75</f>
        <v/>
      </c>
      <c r="EL17" s="146" t="str">
        <f ca="1">RESULTADOS!U75</f>
        <v/>
      </c>
      <c r="EM17" s="146" t="str">
        <f ca="1">RESULTADOS!V75</f>
        <v/>
      </c>
      <c r="EN17" s="146" t="str">
        <f ca="1">RESULTADOS!W75</f>
        <v/>
      </c>
      <c r="EO17" s="146" t="str">
        <f ca="1">RESULTADOS!X75</f>
        <v/>
      </c>
      <c r="EP17" s="146" t="str">
        <f ca="1">RESULTADOS!Y75</f>
        <v/>
      </c>
      <c r="EQ17" s="146" t="str">
        <f ca="1">RESULTADOS!Z75</f>
        <v/>
      </c>
      <c r="ER17" s="146" t="str">
        <f ca="1">RESULTADOS!AA75</f>
        <v/>
      </c>
      <c r="ES17" s="146" t="str">
        <f ca="1">RESULTADOS!AB75</f>
        <v/>
      </c>
      <c r="ET17" s="146" t="str">
        <f ca="1">RESULTADOS!AC75</f>
        <v/>
      </c>
      <c r="EU17" s="146" t="str">
        <f ca="1">RESULTADOS!AD75</f>
        <v/>
      </c>
      <c r="EV17" s="146" t="str">
        <f ca="1">RESULTADOS!AE75</f>
        <v/>
      </c>
      <c r="EW17" s="146" t="str">
        <f ca="1">RESULTADOS!AF75</f>
        <v/>
      </c>
      <c r="EX17" s="146" t="str">
        <f ca="1">RESULTADOS!AG75</f>
        <v/>
      </c>
      <c r="EY17" s="146" t="str">
        <f ca="1">RESULTADOS!AH75</f>
        <v/>
      </c>
      <c r="EZ17" s="146" t="str">
        <f ca="1">RESULTADOS!AI75</f>
        <v/>
      </c>
      <c r="FA17" s="146" t="str">
        <f ca="1">RESULTADOS!AJ75</f>
        <v/>
      </c>
      <c r="FB17" s="146" t="str">
        <f ca="1">RESULTADOS!AK75</f>
        <v/>
      </c>
      <c r="FC17" s="146" t="str">
        <f ca="1">RESULTADOS!AL75</f>
        <v/>
      </c>
      <c r="FD17" s="146" t="str">
        <f ca="1">RESULTADOS!AM75</f>
        <v/>
      </c>
      <c r="FE17" s="146" t="str">
        <f ca="1">RESULTADOS!AN75</f>
        <v/>
      </c>
      <c r="FF17" s="146" t="str">
        <f ca="1">RESULTADOS!AO75</f>
        <v/>
      </c>
      <c r="FG17" s="146" t="str">
        <f ca="1">RESULTADOS!AP75</f>
        <v/>
      </c>
      <c r="FH17" s="146" t="str">
        <f ca="1">RESULTADOS!AQ75</f>
        <v/>
      </c>
      <c r="FI17" s="146" t="str">
        <f ca="1">RESULTADOS!AR75</f>
        <v/>
      </c>
      <c r="FJ17" s="146" t="str">
        <f ca="1">RESULTADOS!AS75</f>
        <v/>
      </c>
      <c r="FK17" s="146" t="str">
        <f ca="1">RESULTADOS!AT75</f>
        <v/>
      </c>
      <c r="FL17" s="146" t="str">
        <f ca="1">RESULTADOS!AU75</f>
        <v/>
      </c>
      <c r="FM17" s="146" t="str">
        <f ca="1">RESULTADOS!AV75</f>
        <v/>
      </c>
      <c r="FN17" s="146" t="str">
        <f ca="1">RESULTADOS!AW75</f>
        <v/>
      </c>
    </row>
    <row r="18" spans="3:170">
      <c r="C18" s="144" t="s">
        <v>5</v>
      </c>
      <c r="D18" s="147" t="str">
        <f>'01.Definición de ámbito'!D48</f>
        <v>No</v>
      </c>
      <c r="K18" s="40" t="s">
        <v>26</v>
      </c>
      <c r="L18" s="148" t="n">
        <f ca="1">RESULTADOS!L8</f>
        <v>0.0</v>
      </c>
      <c r="M18" s="216" t="n">
        <f ca="1">RESULTADOS!M8</f>
        <v>0.0</v>
      </c>
      <c r="T18" s="148" t="n">
        <f>RESULTADOS!B35</f>
        <v>1.0</v>
      </c>
      <c r="U18" s="148" t="str">
        <f>RESULTADOS!C35</f>
        <v>Home - PortCastelló</v>
      </c>
      <c r="V18" s="148" t="str">
        <f t="shared" si="0"/>
        <v>Página web</v>
      </c>
      <c r="W18" s="148" t="str">
        <v/>
      </c>
      <c r="X18" s="148" t="str">
        <f>RESULTADOS!D35</f>
        <v>https://www.portcastello.com/</v>
      </c>
      <c r="Y18" s="148" t="n">
        <v>0.0</v>
      </c>
      <c r="Z18" s="237" t="str">
        <v>Ej. Imágenes, tablas, listas, multimedia, formularios, plantilla X, plantilla Y</v>
      </c>
      <c r="AA18" s="146" t="str">
        <f ca="1">RESULTADOS!E35</f>
        <v>N/T</v>
      </c>
      <c r="AB18" s="146" t="str">
        <f ca="1">RESULTADOS!F35</f>
        <v>N/T</v>
      </c>
      <c r="AC18" s="146" t="str">
        <f ca="1">RESULTADOS!G35</f>
        <v>N/T</v>
      </c>
      <c r="AD18" s="146" t="str">
        <f ca="1">RESULTADOS!H35</f>
        <v>N/T</v>
      </c>
      <c r="AE18" s="146" t="str">
        <f ca="1">RESULTADOS!I35</f>
        <v>N/T</v>
      </c>
      <c r="AF18" s="146" t="str">
        <f ca="1">RESULTADOS!J35</f>
        <v>N/T</v>
      </c>
      <c r="AG18" s="146" t="str">
        <f ca="1">RESULTADOS!K35</f>
        <v>N/T</v>
      </c>
      <c r="AH18" s="146" t="str">
        <f ca="1">RESULTADOS!L35</f>
        <v>N/T</v>
      </c>
      <c r="AI18" s="146" t="str">
        <f ca="1">RESULTADOS!M35</f>
        <v>N/T</v>
      </c>
      <c r="AJ18" s="146" t="str">
        <f ca="1">RESULTADOS!N35</f>
        <v>N/T</v>
      </c>
      <c r="AK18" s="146" t="str">
        <f ca="1">RESULTADOS!O35</f>
        <v>N/T</v>
      </c>
      <c r="AL18" s="146" t="str">
        <f ca="1">RESULTADOS!P35</f>
        <v>N/T</v>
      </c>
      <c r="AM18" s="146" t="str">
        <f ca="1">RESULTADOS!Q35</f>
        <v>N/T</v>
      </c>
      <c r="AN18" s="146" t="str">
        <f ca="1">RESULTADOS!R35</f>
        <v>N/T</v>
      </c>
      <c r="AO18" s="146" t="str">
        <f ca="1">RESULTADOS!S35</f>
        <v>N/T</v>
      </c>
      <c r="AP18" s="146" t="str">
        <f ca="1">RESULTADOS!T35</f>
        <v>N/T</v>
      </c>
      <c r="AQ18" s="146" t="str">
        <f ca="1">RESULTADOS!U35</f>
        <v>N/T</v>
      </c>
      <c r="AR18" s="146" t="str">
        <f ca="1">RESULTADOS!V35</f>
        <v>N/T</v>
      </c>
      <c r="AS18" s="146" t="str">
        <f ca="1">RESULTADOS!W35</f>
        <v>N/T</v>
      </c>
      <c r="AT18" s="146" t="str">
        <f ca="1">RESULTADOS!X35</f>
        <v>N/T</v>
      </c>
      <c r="AU18" s="146" t="str">
        <f ca="1">RESULTADOS!Y35</f>
        <v>N/T</v>
      </c>
      <c r="AV18" s="146" t="str">
        <f ca="1">RESULTADOS!Z35</f>
        <v>N/T</v>
      </c>
      <c r="AW18" s="146" t="str">
        <f ca="1">RESULTADOS!AA35</f>
        <v>N/T</v>
      </c>
      <c r="AX18" s="146" t="str">
        <f ca="1">RESULTADOS!AB35</f>
        <v>N/T</v>
      </c>
      <c r="AY18" s="146" t="str">
        <f ca="1">RESULTADOS!AC35</f>
        <v>N/T</v>
      </c>
      <c r="AZ18" s="146" t="str">
        <f ca="1">RESULTADOS!AD35</f>
        <v>N/T</v>
      </c>
      <c r="BA18" s="146" t="str">
        <f ca="1">RESULTADOS!AE35</f>
        <v>N/T</v>
      </c>
      <c r="BB18" s="146" t="str">
        <f ca="1">RESULTADOS!AF35</f>
        <v>N/T</v>
      </c>
      <c r="BC18" s="146" t="str">
        <f ca="1">RESULTADOS!AG35</f>
        <v>N/T</v>
      </c>
      <c r="BD18" s="146" t="str">
        <f ca="1">RESULTADOS!AH35</f>
        <v>N/T</v>
      </c>
      <c r="BE18" s="146" t="str">
        <f ca="1">RESULTADOS!AI35</f>
        <v>N/T</v>
      </c>
      <c r="BF18" s="146" t="str">
        <f ca="1">RESULTADOS!AJ35</f>
        <v>N/D</v>
      </c>
      <c r="BG18" s="146" t="str">
        <f ca="1">RESULTADOS!AK35</f>
        <v>N/T</v>
      </c>
      <c r="BH18" s="146" t="str">
        <f ca="1">RESULTADOS!AL35</f>
        <v>N/T</v>
      </c>
      <c r="BI18" s="146" t="str">
        <f ca="1">RESULTADOS!AM35</f>
        <v>N/T</v>
      </c>
      <c r="BJ18" s="146" t="str">
        <f ca="1">RESULTADOS!AN35</f>
        <v>N/T</v>
      </c>
      <c r="BK18" s="146" t="str">
        <f ca="1">RESULTADOS!AO35</f>
        <v>N/D</v>
      </c>
      <c r="BL18" s="146" t="str">
        <f ca="1">RESULTADOS!AP35</f>
        <v>N/T</v>
      </c>
      <c r="BM18" s="146" t="str">
        <f ca="1">RESULTADOS!AQ35</f>
        <v>N/T</v>
      </c>
      <c r="BN18" s="146" t="str">
        <f ca="1">RESULTADOS!AR35</f>
        <v>N/D</v>
      </c>
      <c r="BO18" s="146" t="str">
        <f ca="1">RESULTADOS!AS35</f>
        <v>N/D</v>
      </c>
      <c r="BP18" s="146" t="str">
        <f ca="1">RESULTADOS!AT35</f>
        <v>N/T</v>
      </c>
      <c r="BQ18" s="146" t="str">
        <f ca="1">RESULTADOS!AU35</f>
        <v>N/T</v>
      </c>
      <c r="BR18" s="146" t="str">
        <f ca="1">RESULTADOS!AV35</f>
        <v>Falla</v>
      </c>
      <c r="BS18" s="146" t="str">
        <f ca="1">RESULTADOS!AW35</f>
        <v>N/T</v>
      </c>
      <c r="BT18" s="146" t="str">
        <f ca="1">RESULTADOS!AX35</f>
        <v>N/T</v>
      </c>
      <c r="BU18" s="146" t="str">
        <f ca="1">RESULTADOS!AY35</f>
        <v>N/D</v>
      </c>
      <c r="BV18" s="146" t="str">
        <f ca="1">RESULTADOS!AZ35</f>
        <v>N/T</v>
      </c>
      <c r="BW18" s="146" t="str">
        <f ca="1">RESULTADOS!BA35</f>
        <v>N/D</v>
      </c>
      <c r="BX18" s="146" t="str">
        <f ca="1">RESULTADOS!BB35</f>
        <v>N/T</v>
      </c>
      <c r="BY18" s="146" t="str">
        <f ca="1">RESULTADOS!BC35</f>
        <v>N/D</v>
      </c>
      <c r="BZ18" s="146" t="str">
        <f ca="1">RESULTADOS!BD35</f>
        <v>N/T</v>
      </c>
      <c r="CA18" s="146" t="str">
        <f ca="1">RESULTADOS!BE35</f>
        <v>N/T</v>
      </c>
      <c r="CB18" s="146" t="str">
        <f ca="1">RESULTADOS!BF35</f>
        <v>N/D</v>
      </c>
      <c r="CC18" s="146" t="str">
        <f ca="1">RESULTADOS!BG35</f>
        <v>N/D</v>
      </c>
      <c r="CD18" s="146" t="str">
        <f ca="1">RESULTADOS!BH35</f>
        <v>N/T</v>
      </c>
      <c r="CE18" s="146" t="str">
        <f ca="1">RESULTADOS!BI35</f>
        <v>N/D</v>
      </c>
      <c r="CF18" s="146" t="str">
        <f ca="1">RESULTADOS!BJ35</f>
        <v>N/D</v>
      </c>
      <c r="CG18" s="146" t="str">
        <f ca="1">RESULTADOS!BK35</f>
        <v>N/D</v>
      </c>
      <c r="CH18" s="146" t="str">
        <f ca="1">RESULTADOS!BL35</f>
        <v>N/D</v>
      </c>
      <c r="CI18" s="146" t="str">
        <f ca="1">RESULTADOS!BM35</f>
        <v>N/D</v>
      </c>
      <c r="CJ18" s="146" t="str">
        <f ca="1">RESULTADOS!BN35</f>
        <v>N/T</v>
      </c>
      <c r="CK18" s="146" t="str">
        <f ca="1">RESULTADOS!BO35</f>
        <v>Falla</v>
      </c>
      <c r="CL18" s="146" t="str">
        <f ca="1">RESULTADOS!BP35</f>
        <v>N/T</v>
      </c>
      <c r="CM18" s="146" t="str">
        <f ca="1">RESULTADOS!BQ35</f>
        <v>N/T</v>
      </c>
      <c r="CN18" s="146" t="str">
        <f ca="1">RESULTADOS!BR35</f>
        <v>N/D</v>
      </c>
      <c r="CO18" s="146" t="str">
        <f ca="1">RESULTADOS!BS35</f>
        <v>N/T</v>
      </c>
      <c r="CP18" s="146" t="str">
        <f ca="1">RESULTADOS!BT35</f>
        <v>N/D</v>
      </c>
      <c r="CQ18" s="146" t="str">
        <f ca="1">RESULTADOS!BU35</f>
        <v>N/D</v>
      </c>
      <c r="CR18" s="146" t="str">
        <f ca="1">RESULTADOS!BV35</f>
        <v>N/D</v>
      </c>
      <c r="CS18" s="146" t="str">
        <f ca="1">RESULTADOS!BW35</f>
        <v>N/D</v>
      </c>
      <c r="CT18" s="146" t="str">
        <f ca="1">RESULTADOS!BX35</f>
        <v>N/D</v>
      </c>
      <c r="CU18" s="146" t="str">
        <f ca="1">RESULTADOS!BY35</f>
        <v>N/T</v>
      </c>
      <c r="CV18" s="146" t="str">
        <f ca="1">RESULTADOS!BZ35</f>
        <v>N/T</v>
      </c>
      <c r="CW18" s="146" t="str">
        <f ca="1">RESULTADOS!CA35</f>
        <v>N/D</v>
      </c>
      <c r="CX18" s="146" t="str">
        <f ca="1">RESULTADOS!CB35</f>
        <v>N/T</v>
      </c>
      <c r="CY18" s="146" t="str">
        <f ca="1">RESULTADOS!CC35</f>
        <v>N/T</v>
      </c>
      <c r="CZ18" s="146" t="str">
        <f ca="1">RESULTADOS!CD35</f>
        <v>N/T</v>
      </c>
      <c r="DA18" s="146" t="str">
        <f ca="1">RESULTADOS!CE35</f>
        <v>N/D</v>
      </c>
      <c r="DB18" s="146" t="str">
        <f ca="1">RESULTADOS!CF35</f>
        <v>N/T</v>
      </c>
      <c r="DC18" s="146" t="str">
        <f ca="1">RESULTADOS!CG35</f>
        <v>N/T</v>
      </c>
      <c r="DD18" s="146" t="str">
        <f ca="1">RESULTADOS!CH35</f>
        <v>N/T</v>
      </c>
      <c r="DE18" s="146" t="str">
        <f ca="1">RESULTADOS!CI35</f>
        <v>N/T</v>
      </c>
      <c r="DF18" s="146" t="str">
        <f ca="1">RESULTADOS!CJ35</f>
        <v>N/T</v>
      </c>
      <c r="DG18" s="146" t="str">
        <f ca="1">RESULTADOS!CK35</f>
        <v>N/T</v>
      </c>
      <c r="DH18" s="146" t="str">
        <f ca="1">RESULTADOS!CL35</f>
        <v>N/T</v>
      </c>
      <c r="DI18" s="146" t="str">
        <f ca="1">RESULTADOS!CM35</f>
        <v>N/T</v>
      </c>
      <c r="DJ18" s="146" t="str">
        <f ca="1">RESULTADOS!CN35</f>
        <v>N/T</v>
      </c>
      <c r="DK18" s="146" t="str">
        <f ca="1">RESULTADOS!CO35</f>
        <v>N/T</v>
      </c>
      <c r="DL18" s="146" t="str">
        <f ca="1">RESULTADOS!CP35</f>
        <v>N/T</v>
      </c>
      <c r="DM18" s="146" t="str">
        <f ca="1">RESULTADOS!CQ35</f>
        <v>N/T</v>
      </c>
      <c r="DN18" s="146" t="str">
        <f ca="1">RESULTADOS!CR35</f>
        <v>N/T</v>
      </c>
      <c r="DO18" s="148" t="str">
        <f>RESULTADOS!B76</f>
        <v/>
      </c>
      <c r="DP18" s="148" t="str">
        <f>RESULTADOS!C76</f>
        <v/>
      </c>
      <c r="DQ18" s="148" t="str">
        <f t="shared" si="1"/>
        <v/>
      </c>
      <c r="DR18" s="148" t="str" cm="1">
        <f t="array" ref="DR18">IFERROR(INDEX('03.Muestra'!$E$8:$E$42,SMALL(IF("Documento no web"='03.Muestra'!$D$8:$D$42,ROW('03.Muestra'!$E$8:$E$42)-MIN(ROW('03.Muestra'!$D$8:$D$42))+1,""),ROW()-2)),"")</f>
        <v/>
      </c>
      <c r="DS18" s="148" t="str">
        <f>RESULTADOS!D76</f>
        <v/>
      </c>
      <c r="DT18" s="148" t="str" cm="1">
        <f t="array" ref="DT18">IFERROR(INDEX('03.Muestra'!$G$8:$G$42,SMALL(IF("Documento no web"='03.Muestra'!$D$8:$D$42,ROW('03.Muestra'!$G$8:$G$42)-MIN(ROW('03.Muestra'!$D$8:$D$42))+1,""),ROW()-2)),"")</f>
        <v/>
      </c>
      <c r="DU18" s="237" t="str" cm="1">
        <f t="array" ref="DU18">IFERROR(INDEX('03.Muestra'!$H$8:$H$42,SMALL(IF("Documento no web"='03.Muestra'!$D$8:$D$42,ROW('03.Muestra'!$H$8:$H$42)-MIN(ROW('03.Muestra'!$D$8:$D$42))+1,""),ROW()-2)),"")</f>
        <v/>
      </c>
      <c r="DV18" s="146" t="str">
        <f ca="1">RESULTADOS!E76</f>
        <v/>
      </c>
      <c r="DW18" s="146" t="str">
        <f ca="1">RESULTADOS!F76</f>
        <v/>
      </c>
      <c r="DX18" s="146" t="str">
        <f ca="1">RESULTADOS!G76</f>
        <v/>
      </c>
      <c r="DY18" s="146" t="str">
        <f ca="1">RESULTADOS!H76</f>
        <v/>
      </c>
      <c r="DZ18" s="146" t="str">
        <f ca="1">RESULTADOS!I76</f>
        <v/>
      </c>
      <c r="EA18" s="146" t="str">
        <f ca="1">RESULTADOS!J76</f>
        <v/>
      </c>
      <c r="EB18" s="146" t="str">
        <f ca="1">RESULTADOS!K76</f>
        <v/>
      </c>
      <c r="EC18" s="146" t="str">
        <f ca="1">RESULTADOS!L76</f>
        <v/>
      </c>
      <c r="ED18" s="146" t="str">
        <f ca="1">RESULTADOS!M76</f>
        <v/>
      </c>
      <c r="EE18" s="146" t="str">
        <f ca="1">RESULTADOS!N76</f>
        <v/>
      </c>
      <c r="EF18" s="146" t="str">
        <f ca="1">RESULTADOS!O76</f>
        <v/>
      </c>
      <c r="EG18" s="146" t="str">
        <f ca="1">RESULTADOS!P76</f>
        <v/>
      </c>
      <c r="EH18" s="146" t="str">
        <f ca="1">RESULTADOS!Q76</f>
        <v/>
      </c>
      <c r="EI18" s="146" t="str">
        <f ca="1">RESULTADOS!R76</f>
        <v/>
      </c>
      <c r="EJ18" s="146" t="str">
        <f ca="1">RESULTADOS!S76</f>
        <v/>
      </c>
      <c r="EK18" s="146" t="str">
        <f ca="1">RESULTADOS!T76</f>
        <v/>
      </c>
      <c r="EL18" s="146" t="str">
        <f ca="1">RESULTADOS!U76</f>
        <v/>
      </c>
      <c r="EM18" s="146" t="str">
        <f ca="1">RESULTADOS!V76</f>
        <v/>
      </c>
      <c r="EN18" s="146" t="str">
        <f ca="1">RESULTADOS!W76</f>
        <v/>
      </c>
      <c r="EO18" s="146" t="str">
        <f ca="1">RESULTADOS!X76</f>
        <v/>
      </c>
      <c r="EP18" s="146" t="str">
        <f ca="1">RESULTADOS!Y76</f>
        <v/>
      </c>
      <c r="EQ18" s="146" t="str">
        <f ca="1">RESULTADOS!Z76</f>
        <v/>
      </c>
      <c r="ER18" s="146" t="str">
        <f ca="1">RESULTADOS!AA76</f>
        <v/>
      </c>
      <c r="ES18" s="146" t="str">
        <f ca="1">RESULTADOS!AB76</f>
        <v/>
      </c>
      <c r="ET18" s="146" t="str">
        <f ca="1">RESULTADOS!AC76</f>
        <v/>
      </c>
      <c r="EU18" s="146" t="str">
        <f ca="1">RESULTADOS!AD76</f>
        <v/>
      </c>
      <c r="EV18" s="146" t="str">
        <f ca="1">RESULTADOS!AE76</f>
        <v/>
      </c>
      <c r="EW18" s="146" t="str">
        <f ca="1">RESULTADOS!AF76</f>
        <v/>
      </c>
      <c r="EX18" s="146" t="str">
        <f ca="1">RESULTADOS!AG76</f>
        <v/>
      </c>
      <c r="EY18" s="146" t="str">
        <f ca="1">RESULTADOS!AH76</f>
        <v/>
      </c>
      <c r="EZ18" s="146" t="str">
        <f ca="1">RESULTADOS!AI76</f>
        <v/>
      </c>
      <c r="FA18" s="146" t="str">
        <f ca="1">RESULTADOS!AJ76</f>
        <v/>
      </c>
      <c r="FB18" s="146" t="str">
        <f ca="1">RESULTADOS!AK76</f>
        <v/>
      </c>
      <c r="FC18" s="146" t="str">
        <f ca="1">RESULTADOS!AL76</f>
        <v/>
      </c>
      <c r="FD18" s="146" t="str">
        <f ca="1">RESULTADOS!AM76</f>
        <v/>
      </c>
      <c r="FE18" s="146" t="str">
        <f ca="1">RESULTADOS!AN76</f>
        <v/>
      </c>
      <c r="FF18" s="146" t="str">
        <f ca="1">RESULTADOS!AO76</f>
        <v/>
      </c>
      <c r="FG18" s="146" t="str">
        <f ca="1">RESULTADOS!AP76</f>
        <v/>
      </c>
      <c r="FH18" s="146" t="str">
        <f ca="1">RESULTADOS!AQ76</f>
        <v/>
      </c>
      <c r="FI18" s="146" t="str">
        <f ca="1">RESULTADOS!AR76</f>
        <v/>
      </c>
      <c r="FJ18" s="146" t="str">
        <f ca="1">RESULTADOS!AS76</f>
        <v/>
      </c>
      <c r="FK18" s="146" t="str">
        <f ca="1">RESULTADOS!AT76</f>
        <v/>
      </c>
      <c r="FL18" s="146" t="str">
        <f ca="1">RESULTADOS!AU76</f>
        <v/>
      </c>
      <c r="FM18" s="146" t="str">
        <f ca="1">RESULTADOS!AV76</f>
        <v/>
      </c>
      <c r="FN18" s="146" t="str">
        <f ca="1">RESULTADOS!AW76</f>
        <v/>
      </c>
    </row>
    <row r="19" spans="3:170">
      <c r="C19" s="144" t="s">
        <v>274</v>
      </c>
      <c r="D19" s="147" t="str">
        <f>'01.Definición de ámbito'!D49</f>
        <v>No</v>
      </c>
      <c r="K19" s="40" t="s">
        <v>28</v>
      </c>
      <c r="L19" s="148" t="n">
        <f ca="1">RESULTADOS!L9</f>
        <v>8.0</v>
      </c>
      <c r="M19" s="216" t="n">
        <f ca="1">RESULTADOS!M9</f>
        <v>0.029197080291970802</v>
      </c>
      <c r="T19" s="148" t="n">
        <f>RESULTADOS!B36</f>
        <v>1.0</v>
      </c>
      <c r="U19" s="148" t="str">
        <f>RESULTADOS!C36</f>
        <v>Home - PortCastelló</v>
      </c>
      <c r="V19" s="148" t="str">
        <f t="shared" si="0"/>
        <v>Página web</v>
      </c>
      <c r="W19" s="148" t="str">
        <v/>
      </c>
      <c r="X19" s="148" t="str">
        <f>RESULTADOS!D36</f>
        <v>https://www.portcastello.com/</v>
      </c>
      <c r="Y19" s="148" t="n">
        <v>0.0</v>
      </c>
      <c r="Z19" s="237" t="str">
        <v>Ej. Imágenes, tablas, listas, multimedia, formularios, plantilla X, plantilla Y</v>
      </c>
      <c r="AA19" s="146" t="str">
        <f ca="1">RESULTADOS!E36</f>
        <v>N/T</v>
      </c>
      <c r="AB19" s="146" t="str">
        <f ca="1">RESULTADOS!F36</f>
        <v>N/T</v>
      </c>
      <c r="AC19" s="146" t="str">
        <f ca="1">RESULTADOS!G36</f>
        <v>N/T</v>
      </c>
      <c r="AD19" s="146" t="str">
        <f ca="1">RESULTADOS!H36</f>
        <v>N/T</v>
      </c>
      <c r="AE19" s="146" t="str">
        <f ca="1">RESULTADOS!I36</f>
        <v>N/T</v>
      </c>
      <c r="AF19" s="146" t="str">
        <f ca="1">RESULTADOS!J36</f>
        <v>N/T</v>
      </c>
      <c r="AG19" s="146" t="str">
        <f ca="1">RESULTADOS!K36</f>
        <v>N/T</v>
      </c>
      <c r="AH19" s="146" t="str">
        <f ca="1">RESULTADOS!L36</f>
        <v>N/T</v>
      </c>
      <c r="AI19" s="146" t="str">
        <f ca="1">RESULTADOS!M36</f>
        <v>N/T</v>
      </c>
      <c r="AJ19" s="146" t="str">
        <f ca="1">RESULTADOS!N36</f>
        <v>N/T</v>
      </c>
      <c r="AK19" s="146" t="str">
        <f ca="1">RESULTADOS!O36</f>
        <v>N/T</v>
      </c>
      <c r="AL19" s="146" t="str">
        <f ca="1">RESULTADOS!P36</f>
        <v>N/T</v>
      </c>
      <c r="AM19" s="146" t="str">
        <f ca="1">RESULTADOS!Q36</f>
        <v>N/T</v>
      </c>
      <c r="AN19" s="146" t="str">
        <f ca="1">RESULTADOS!R36</f>
        <v>N/T</v>
      </c>
      <c r="AO19" s="146" t="str">
        <f ca="1">RESULTADOS!S36</f>
        <v>N/T</v>
      </c>
      <c r="AP19" s="146" t="str">
        <f ca="1">RESULTADOS!T36</f>
        <v>N/T</v>
      </c>
      <c r="AQ19" s="146" t="str">
        <f ca="1">RESULTADOS!U36</f>
        <v>N/T</v>
      </c>
      <c r="AR19" s="146" t="str">
        <f ca="1">RESULTADOS!V36</f>
        <v>N/T</v>
      </c>
      <c r="AS19" s="146" t="str">
        <f ca="1">RESULTADOS!W36</f>
        <v>N/T</v>
      </c>
      <c r="AT19" s="146" t="str">
        <f ca="1">RESULTADOS!X36</f>
        <v>N/T</v>
      </c>
      <c r="AU19" s="146" t="str">
        <f ca="1">RESULTADOS!Y36</f>
        <v>N/T</v>
      </c>
      <c r="AV19" s="146" t="str">
        <f ca="1">RESULTADOS!Z36</f>
        <v>N/T</v>
      </c>
      <c r="AW19" s="146" t="str">
        <f ca="1">RESULTADOS!AA36</f>
        <v>N/T</v>
      </c>
      <c r="AX19" s="146" t="str">
        <f ca="1">RESULTADOS!AB36</f>
        <v>N/T</v>
      </c>
      <c r="AY19" s="146" t="str">
        <f ca="1">RESULTADOS!AC36</f>
        <v>N/T</v>
      </c>
      <c r="AZ19" s="146" t="str">
        <f ca="1">RESULTADOS!AD36</f>
        <v>N/T</v>
      </c>
      <c r="BA19" s="146" t="str">
        <f ca="1">RESULTADOS!AE36</f>
        <v>N/T</v>
      </c>
      <c r="BB19" s="146" t="str">
        <f ca="1">RESULTADOS!AF36</f>
        <v>N/T</v>
      </c>
      <c r="BC19" s="146" t="str">
        <f ca="1">RESULTADOS!AG36</f>
        <v>N/T</v>
      </c>
      <c r="BD19" s="146" t="str">
        <f ca="1">RESULTADOS!AH36</f>
        <v>N/T</v>
      </c>
      <c r="BE19" s="146" t="str">
        <f ca="1">RESULTADOS!AI36</f>
        <v>N/T</v>
      </c>
      <c r="BF19" s="146" t="str">
        <f ca="1">RESULTADOS!AJ36</f>
        <v>N/D</v>
      </c>
      <c r="BG19" s="146" t="str">
        <f ca="1">RESULTADOS!AK36</f>
        <v>N/T</v>
      </c>
      <c r="BH19" s="146" t="str">
        <f ca="1">RESULTADOS!AL36</f>
        <v>N/T</v>
      </c>
      <c r="BI19" s="146" t="str">
        <f ca="1">RESULTADOS!AM36</f>
        <v>N/T</v>
      </c>
      <c r="BJ19" s="146" t="str">
        <f ca="1">RESULTADOS!AN36</f>
        <v>N/T</v>
      </c>
      <c r="BK19" s="146" t="str">
        <f ca="1">RESULTADOS!AO36</f>
        <v>N/D</v>
      </c>
      <c r="BL19" s="146" t="str">
        <f ca="1">RESULTADOS!AP36</f>
        <v>N/T</v>
      </c>
      <c r="BM19" s="146" t="str">
        <f ca="1">RESULTADOS!AQ36</f>
        <v>N/T</v>
      </c>
      <c r="BN19" s="146" t="str">
        <f ca="1">RESULTADOS!AR36</f>
        <v>N/D</v>
      </c>
      <c r="BO19" s="146" t="str">
        <f ca="1">RESULTADOS!AS36</f>
        <v>N/D</v>
      </c>
      <c r="BP19" s="146" t="str">
        <f ca="1">RESULTADOS!AT36</f>
        <v>N/T</v>
      </c>
      <c r="BQ19" s="146" t="str">
        <f ca="1">RESULTADOS!AU36</f>
        <v>N/T</v>
      </c>
      <c r="BR19" s="146" t="str">
        <f ca="1">RESULTADOS!AV36</f>
        <v>N/D</v>
      </c>
      <c r="BS19" s="146" t="str">
        <f ca="1">RESULTADOS!AW36</f>
        <v>N/T</v>
      </c>
      <c r="BT19" s="146" t="str">
        <f ca="1">RESULTADOS!AX36</f>
        <v>N/T</v>
      </c>
      <c r="BU19" s="146" t="str">
        <f ca="1">RESULTADOS!AY36</f>
        <v>N/D</v>
      </c>
      <c r="BV19" s="146" t="str">
        <f ca="1">RESULTADOS!AZ36</f>
        <v>N/T</v>
      </c>
      <c r="BW19" s="146" t="str">
        <f ca="1">RESULTADOS!BA36</f>
        <v>N/D</v>
      </c>
      <c r="BX19" s="146" t="str">
        <f ca="1">RESULTADOS!BB36</f>
        <v>N/T</v>
      </c>
      <c r="BY19" s="146" t="str">
        <f ca="1">RESULTADOS!BC36</f>
        <v>N/D</v>
      </c>
      <c r="BZ19" s="146" t="str">
        <f ca="1">RESULTADOS!BD36</f>
        <v>N/T</v>
      </c>
      <c r="CA19" s="146" t="str">
        <f ca="1">RESULTADOS!BE36</f>
        <v>N/T</v>
      </c>
      <c r="CB19" s="146" t="str">
        <f ca="1">RESULTADOS!BF36</f>
        <v>N/D</v>
      </c>
      <c r="CC19" s="146" t="str">
        <f ca="1">RESULTADOS!BG36</f>
        <v>N/D</v>
      </c>
      <c r="CD19" s="146" t="str">
        <f ca="1">RESULTADOS!BH36</f>
        <v>N/T</v>
      </c>
      <c r="CE19" s="146" t="str">
        <f ca="1">RESULTADOS!BI36</f>
        <v>N/D</v>
      </c>
      <c r="CF19" s="146" t="str">
        <f ca="1">RESULTADOS!BJ36</f>
        <v>N/D</v>
      </c>
      <c r="CG19" s="146" t="str">
        <f ca="1">RESULTADOS!BK36</f>
        <v>N/D</v>
      </c>
      <c r="CH19" s="146" t="str">
        <f ca="1">RESULTADOS!BL36</f>
        <v>N/D</v>
      </c>
      <c r="CI19" s="146" t="str">
        <f ca="1">RESULTADOS!BM36</f>
        <v>N/D</v>
      </c>
      <c r="CJ19" s="146" t="str">
        <f ca="1">RESULTADOS!BN36</f>
        <v>N/T</v>
      </c>
      <c r="CK19" s="146" t="str">
        <f ca="1">RESULTADOS!BO36</f>
        <v>Falla</v>
      </c>
      <c r="CL19" s="146" t="str">
        <f ca="1">RESULTADOS!BP36</f>
        <v>N/T</v>
      </c>
      <c r="CM19" s="146" t="str">
        <f ca="1">RESULTADOS!BQ36</f>
        <v>N/T</v>
      </c>
      <c r="CN19" s="146" t="str">
        <f ca="1">RESULTADOS!BR36</f>
        <v>N/D</v>
      </c>
      <c r="CO19" s="146" t="str">
        <f ca="1">RESULTADOS!BS36</f>
        <v>N/T</v>
      </c>
      <c r="CP19" s="146" t="str">
        <f ca="1">RESULTADOS!BT36</f>
        <v>N/D</v>
      </c>
      <c r="CQ19" s="146" t="str">
        <f ca="1">RESULTADOS!BU36</f>
        <v>N/D</v>
      </c>
      <c r="CR19" s="146" t="str">
        <f ca="1">RESULTADOS!BV36</f>
        <v>N/D</v>
      </c>
      <c r="CS19" s="146" t="str">
        <f ca="1">RESULTADOS!BW36</f>
        <v>N/D</v>
      </c>
      <c r="CT19" s="146" t="str">
        <f ca="1">RESULTADOS!BX36</f>
        <v>N/D</v>
      </c>
      <c r="CU19" s="146" t="str">
        <f ca="1">RESULTADOS!BY36</f>
        <v>N/T</v>
      </c>
      <c r="CV19" s="146" t="str">
        <f ca="1">RESULTADOS!BZ36</f>
        <v>N/T</v>
      </c>
      <c r="CW19" s="146" t="str">
        <f ca="1">RESULTADOS!CA36</f>
        <v>N/D</v>
      </c>
      <c r="CX19" s="146" t="str">
        <f ca="1">RESULTADOS!CB36</f>
        <v>N/T</v>
      </c>
      <c r="CY19" s="146" t="str">
        <f ca="1">RESULTADOS!CC36</f>
        <v>N/T</v>
      </c>
      <c r="CZ19" s="146" t="str">
        <f ca="1">RESULTADOS!CD36</f>
        <v>N/T</v>
      </c>
      <c r="DA19" s="146" t="str">
        <f ca="1">RESULTADOS!CE36</f>
        <v>N/D</v>
      </c>
      <c r="DB19" s="146" t="str">
        <f ca="1">RESULTADOS!CF36</f>
        <v>N/T</v>
      </c>
      <c r="DC19" s="146" t="str">
        <f ca="1">RESULTADOS!CG36</f>
        <v>N/T</v>
      </c>
      <c r="DD19" s="146" t="str">
        <f ca="1">RESULTADOS!CH36</f>
        <v>N/T</v>
      </c>
      <c r="DE19" s="146" t="str">
        <f ca="1">RESULTADOS!CI36</f>
        <v>N/T</v>
      </c>
      <c r="DF19" s="146" t="str">
        <f ca="1">RESULTADOS!CJ36</f>
        <v>N/T</v>
      </c>
      <c r="DG19" s="146" t="str">
        <f ca="1">RESULTADOS!CK36</f>
        <v>N/T</v>
      </c>
      <c r="DH19" s="146" t="str">
        <f ca="1">RESULTADOS!CL36</f>
        <v>N/T</v>
      </c>
      <c r="DI19" s="146" t="str">
        <f ca="1">RESULTADOS!CM36</f>
        <v>N/T</v>
      </c>
      <c r="DJ19" s="146" t="str">
        <f ca="1">RESULTADOS!CN36</f>
        <v>N/T</v>
      </c>
      <c r="DK19" s="146" t="str">
        <f ca="1">RESULTADOS!CO36</f>
        <v>N/T</v>
      </c>
      <c r="DL19" s="146" t="str">
        <f ca="1">RESULTADOS!CP36</f>
        <v>N/T</v>
      </c>
      <c r="DM19" s="146" t="str">
        <f ca="1">RESULTADOS!CQ36</f>
        <v>N/T</v>
      </c>
      <c r="DN19" s="146" t="str">
        <f ca="1">RESULTADOS!CR36</f>
        <v>N/T</v>
      </c>
      <c r="DO19" s="148" t="str">
        <f>RESULTADOS!B77</f>
        <v/>
      </c>
      <c r="DP19" s="148" t="str">
        <f>RESULTADOS!C77</f>
        <v/>
      </c>
      <c r="DQ19" s="148" t="str">
        <f t="shared" si="1"/>
        <v/>
      </c>
      <c r="DR19" s="148" t="str" cm="1">
        <f t="array" ref="DR19">IFERROR(INDEX('03.Muestra'!$E$8:$E$42,SMALL(IF("Documento no web"='03.Muestra'!$D$8:$D$42,ROW('03.Muestra'!$E$8:$E$42)-MIN(ROW('03.Muestra'!$D$8:$D$42))+1,""),ROW()-2)),"")</f>
        <v/>
      </c>
      <c r="DS19" s="148" t="str">
        <f>RESULTADOS!D77</f>
        <v/>
      </c>
      <c r="DT19" s="148" t="str" cm="1">
        <f t="array" ref="DT19">IFERROR(INDEX('03.Muestra'!$G$8:$G$42,SMALL(IF("Documento no web"='03.Muestra'!$D$8:$D$42,ROW('03.Muestra'!$G$8:$G$42)-MIN(ROW('03.Muestra'!$D$8:$D$42))+1,""),ROW()-2)),"")</f>
        <v/>
      </c>
      <c r="DU19" s="237" t="str" cm="1">
        <f t="array" ref="DU19">IFERROR(INDEX('03.Muestra'!$H$8:$H$42,SMALL(IF("Documento no web"='03.Muestra'!$D$8:$D$42,ROW('03.Muestra'!$H$8:$H$42)-MIN(ROW('03.Muestra'!$D$8:$D$42))+1,""),ROW()-2)),"")</f>
        <v/>
      </c>
      <c r="DV19" s="146" t="str">
        <f ca="1">RESULTADOS!E77</f>
        <v/>
      </c>
      <c r="DW19" s="146" t="str">
        <f ca="1">RESULTADOS!F77</f>
        <v/>
      </c>
      <c r="DX19" s="146" t="str">
        <f ca="1">RESULTADOS!G77</f>
        <v/>
      </c>
      <c r="DY19" s="146" t="str">
        <f ca="1">RESULTADOS!H77</f>
        <v/>
      </c>
      <c r="DZ19" s="146" t="str">
        <f ca="1">RESULTADOS!I77</f>
        <v/>
      </c>
      <c r="EA19" s="146" t="str">
        <f ca="1">RESULTADOS!J77</f>
        <v/>
      </c>
      <c r="EB19" s="146" t="str">
        <f ca="1">RESULTADOS!K77</f>
        <v/>
      </c>
      <c r="EC19" s="146" t="str">
        <f ca="1">RESULTADOS!L77</f>
        <v/>
      </c>
      <c r="ED19" s="146" t="str">
        <f ca="1">RESULTADOS!M77</f>
        <v/>
      </c>
      <c r="EE19" s="146" t="str">
        <f ca="1">RESULTADOS!N77</f>
        <v/>
      </c>
      <c r="EF19" s="146" t="str">
        <f ca="1">RESULTADOS!O77</f>
        <v/>
      </c>
      <c r="EG19" s="146" t="str">
        <f ca="1">RESULTADOS!P77</f>
        <v/>
      </c>
      <c r="EH19" s="146" t="str">
        <f ca="1">RESULTADOS!Q77</f>
        <v/>
      </c>
      <c r="EI19" s="146" t="str">
        <f ca="1">RESULTADOS!R77</f>
        <v/>
      </c>
      <c r="EJ19" s="146" t="str">
        <f ca="1">RESULTADOS!S77</f>
        <v/>
      </c>
      <c r="EK19" s="146" t="str">
        <f ca="1">RESULTADOS!T77</f>
        <v/>
      </c>
      <c r="EL19" s="146" t="str">
        <f ca="1">RESULTADOS!U77</f>
        <v/>
      </c>
      <c r="EM19" s="146" t="str">
        <f ca="1">RESULTADOS!V77</f>
        <v/>
      </c>
      <c r="EN19" s="146" t="str">
        <f ca="1">RESULTADOS!W77</f>
        <v/>
      </c>
      <c r="EO19" s="146" t="str">
        <f ca="1">RESULTADOS!X77</f>
        <v/>
      </c>
      <c r="EP19" s="146" t="str">
        <f ca="1">RESULTADOS!Y77</f>
        <v/>
      </c>
      <c r="EQ19" s="146" t="str">
        <f ca="1">RESULTADOS!Z77</f>
        <v/>
      </c>
      <c r="ER19" s="146" t="str">
        <f ca="1">RESULTADOS!AA77</f>
        <v/>
      </c>
      <c r="ES19" s="146" t="str">
        <f ca="1">RESULTADOS!AB77</f>
        <v/>
      </c>
      <c r="ET19" s="146" t="str">
        <f ca="1">RESULTADOS!AC77</f>
        <v/>
      </c>
      <c r="EU19" s="146" t="str">
        <f ca="1">RESULTADOS!AD77</f>
        <v/>
      </c>
      <c r="EV19" s="146" t="str">
        <f ca="1">RESULTADOS!AE77</f>
        <v/>
      </c>
      <c r="EW19" s="146" t="str">
        <f ca="1">RESULTADOS!AF77</f>
        <v/>
      </c>
      <c r="EX19" s="146" t="str">
        <f ca="1">RESULTADOS!AG77</f>
        <v/>
      </c>
      <c r="EY19" s="146" t="str">
        <f ca="1">RESULTADOS!AH77</f>
        <v/>
      </c>
      <c r="EZ19" s="146" t="str">
        <f ca="1">RESULTADOS!AI77</f>
        <v/>
      </c>
      <c r="FA19" s="146" t="str">
        <f ca="1">RESULTADOS!AJ77</f>
        <v/>
      </c>
      <c r="FB19" s="146" t="str">
        <f ca="1">RESULTADOS!AK77</f>
        <v/>
      </c>
      <c r="FC19" s="146" t="str">
        <f ca="1">RESULTADOS!AL77</f>
        <v/>
      </c>
      <c r="FD19" s="146" t="str">
        <f ca="1">RESULTADOS!AM77</f>
        <v/>
      </c>
      <c r="FE19" s="146" t="str">
        <f ca="1">RESULTADOS!AN77</f>
        <v/>
      </c>
      <c r="FF19" s="146" t="str">
        <f ca="1">RESULTADOS!AO77</f>
        <v/>
      </c>
      <c r="FG19" s="146" t="str">
        <f ca="1">RESULTADOS!AP77</f>
        <v/>
      </c>
      <c r="FH19" s="146" t="str">
        <f ca="1">RESULTADOS!AQ77</f>
        <v/>
      </c>
      <c r="FI19" s="146" t="str">
        <f ca="1">RESULTADOS!AR77</f>
        <v/>
      </c>
      <c r="FJ19" s="146" t="str">
        <f ca="1">RESULTADOS!AS77</f>
        <v/>
      </c>
      <c r="FK19" s="146" t="str">
        <f ca="1">RESULTADOS!AT77</f>
        <v/>
      </c>
      <c r="FL19" s="146" t="str">
        <f ca="1">RESULTADOS!AU77</f>
        <v/>
      </c>
      <c r="FM19" s="146" t="str">
        <f ca="1">RESULTADOS!AV77</f>
        <v/>
      </c>
      <c r="FN19" s="146" t="str">
        <f ca="1">RESULTADOS!AW77</f>
        <v/>
      </c>
    </row>
    <row r="20" spans="3:170">
      <c r="C20" s="144" t="s">
        <v>275</v>
      </c>
      <c r="D20" s="147" t="str">
        <f>'01.Definición de ámbito'!D50</f>
        <v>No</v>
      </c>
      <c r="K20" s="40" t="s">
        <v>31</v>
      </c>
      <c r="L20" s="148" t="n">
        <f ca="1">RESULTADOS!L10</f>
        <v>0.0</v>
      </c>
      <c r="M20" s="216" t="n">
        <f ca="1">RESULTADOS!M10</f>
        <v>0.0</v>
      </c>
      <c r="T20" s="148" t="n">
        <f>RESULTADOS!B37</f>
        <v>1.0</v>
      </c>
      <c r="U20" s="148" t="str">
        <f>RESULTADOS!C37</f>
        <v>Home - PortCastelló</v>
      </c>
      <c r="V20" s="148" t="str">
        <f t="shared" si="0"/>
        <v>Página web</v>
      </c>
      <c r="W20" s="148" t="str">
        <v/>
      </c>
      <c r="X20" s="148" t="str">
        <f>RESULTADOS!D37</f>
        <v>https://www.portcastello.com/</v>
      </c>
      <c r="Y20" s="148" t="n">
        <v>0.0</v>
      </c>
      <c r="Z20" s="237" t="str">
        <v>Ej. Imágenes, tablas, listas, multimedia, formularios, plantilla X, plantilla Y</v>
      </c>
      <c r="AA20" s="146" t="str">
        <f ca="1">RESULTADOS!E37</f>
        <v>N/T</v>
      </c>
      <c r="AB20" s="146" t="str">
        <f ca="1">RESULTADOS!F37</f>
        <v>N/T</v>
      </c>
      <c r="AC20" s="146" t="str">
        <f ca="1">RESULTADOS!G37</f>
        <v>N/T</v>
      </c>
      <c r="AD20" s="146" t="str">
        <f ca="1">RESULTADOS!H37</f>
        <v>N/T</v>
      </c>
      <c r="AE20" s="146" t="str">
        <f ca="1">RESULTADOS!I37</f>
        <v>N/T</v>
      </c>
      <c r="AF20" s="146" t="str">
        <f ca="1">RESULTADOS!J37</f>
        <v>N/T</v>
      </c>
      <c r="AG20" s="146" t="str">
        <f ca="1">RESULTADOS!K37</f>
        <v>N/T</v>
      </c>
      <c r="AH20" s="146" t="str">
        <f ca="1">RESULTADOS!L37</f>
        <v>N/T</v>
      </c>
      <c r="AI20" s="146" t="str">
        <f ca="1">RESULTADOS!M37</f>
        <v>N/T</v>
      </c>
      <c r="AJ20" s="146" t="str">
        <f ca="1">RESULTADOS!N37</f>
        <v>N/T</v>
      </c>
      <c r="AK20" s="146" t="str">
        <f ca="1">RESULTADOS!O37</f>
        <v>N/T</v>
      </c>
      <c r="AL20" s="146" t="str">
        <f ca="1">RESULTADOS!P37</f>
        <v>N/T</v>
      </c>
      <c r="AM20" s="146" t="str">
        <f ca="1">RESULTADOS!Q37</f>
        <v>N/T</v>
      </c>
      <c r="AN20" s="146" t="str">
        <f ca="1">RESULTADOS!R37</f>
        <v>N/T</v>
      </c>
      <c r="AO20" s="146" t="str">
        <f ca="1">RESULTADOS!S37</f>
        <v>N/T</v>
      </c>
      <c r="AP20" s="146" t="str">
        <f ca="1">RESULTADOS!T37</f>
        <v>N/T</v>
      </c>
      <c r="AQ20" s="146" t="str">
        <f ca="1">RESULTADOS!U37</f>
        <v>N/T</v>
      </c>
      <c r="AR20" s="146" t="str">
        <f ca="1">RESULTADOS!V37</f>
        <v>N/T</v>
      </c>
      <c r="AS20" s="146" t="str">
        <f ca="1">RESULTADOS!W37</f>
        <v>N/T</v>
      </c>
      <c r="AT20" s="146" t="str">
        <f ca="1">RESULTADOS!X37</f>
        <v>N/T</v>
      </c>
      <c r="AU20" s="146" t="str">
        <f ca="1">RESULTADOS!Y37</f>
        <v>N/T</v>
      </c>
      <c r="AV20" s="146" t="str">
        <f ca="1">RESULTADOS!Z37</f>
        <v>N/T</v>
      </c>
      <c r="AW20" s="146" t="str">
        <f ca="1">RESULTADOS!AA37</f>
        <v>N/T</v>
      </c>
      <c r="AX20" s="146" t="str">
        <f ca="1">RESULTADOS!AB37</f>
        <v>N/T</v>
      </c>
      <c r="AY20" s="146" t="str">
        <f ca="1">RESULTADOS!AC37</f>
        <v>N/T</v>
      </c>
      <c r="AZ20" s="146" t="str">
        <f ca="1">RESULTADOS!AD37</f>
        <v>N/T</v>
      </c>
      <c r="BA20" s="146" t="str">
        <f ca="1">RESULTADOS!AE37</f>
        <v>N/T</v>
      </c>
      <c r="BB20" s="146" t="str">
        <f ca="1">RESULTADOS!AF37</f>
        <v>N/T</v>
      </c>
      <c r="BC20" s="146" t="str">
        <f ca="1">RESULTADOS!AG37</f>
        <v>N/T</v>
      </c>
      <c r="BD20" s="146" t="str">
        <f ca="1">RESULTADOS!AH37</f>
        <v>N/T</v>
      </c>
      <c r="BE20" s="146" t="str">
        <f ca="1">RESULTADOS!AI37</f>
        <v>N/T</v>
      </c>
      <c r="BF20" s="146" t="str">
        <f ca="1">RESULTADOS!AJ37</f>
        <v>N/D</v>
      </c>
      <c r="BG20" s="146" t="str">
        <f ca="1">RESULTADOS!AK37</f>
        <v>N/T</v>
      </c>
      <c r="BH20" s="146" t="str">
        <f ca="1">RESULTADOS!AL37</f>
        <v>N/T</v>
      </c>
      <c r="BI20" s="146" t="str">
        <f ca="1">RESULTADOS!AM37</f>
        <v>N/T</v>
      </c>
      <c r="BJ20" s="146" t="str">
        <f ca="1">RESULTADOS!AN37</f>
        <v>N/T</v>
      </c>
      <c r="BK20" s="146" t="str">
        <f ca="1">RESULTADOS!AO37</f>
        <v>N/D</v>
      </c>
      <c r="BL20" s="146" t="str">
        <f ca="1">RESULTADOS!AP37</f>
        <v>N/T</v>
      </c>
      <c r="BM20" s="146" t="str">
        <f ca="1">RESULTADOS!AQ37</f>
        <v>N/T</v>
      </c>
      <c r="BN20" s="146" t="str">
        <f ca="1">RESULTADOS!AR37</f>
        <v>N/D</v>
      </c>
      <c r="BO20" s="146" t="str">
        <f ca="1">RESULTADOS!AS37</f>
        <v>N/D</v>
      </c>
      <c r="BP20" s="146" t="str">
        <f ca="1">RESULTADOS!AT37</f>
        <v>N/T</v>
      </c>
      <c r="BQ20" s="146" t="str">
        <f ca="1">RESULTADOS!AU37</f>
        <v>N/T</v>
      </c>
      <c r="BR20" s="146" t="str">
        <f ca="1">RESULTADOS!AV37</f>
        <v>N/D</v>
      </c>
      <c r="BS20" s="146" t="str">
        <f ca="1">RESULTADOS!AW37</f>
        <v>N/T</v>
      </c>
      <c r="BT20" s="146" t="str">
        <f ca="1">RESULTADOS!AX37</f>
        <v>N/T</v>
      </c>
      <c r="BU20" s="146" t="str">
        <f ca="1">RESULTADOS!AY37</f>
        <v>N/D</v>
      </c>
      <c r="BV20" s="146" t="str">
        <f ca="1">RESULTADOS!AZ37</f>
        <v>N/T</v>
      </c>
      <c r="BW20" s="146" t="str">
        <f ca="1">RESULTADOS!BA37</f>
        <v>N/D</v>
      </c>
      <c r="BX20" s="146" t="str">
        <f ca="1">RESULTADOS!BB37</f>
        <v>N/T</v>
      </c>
      <c r="BY20" s="146" t="str">
        <f ca="1">RESULTADOS!BC37</f>
        <v>N/D</v>
      </c>
      <c r="BZ20" s="146" t="str">
        <f ca="1">RESULTADOS!BD37</f>
        <v>N/T</v>
      </c>
      <c r="CA20" s="146" t="str">
        <f ca="1">RESULTADOS!BE37</f>
        <v>N/T</v>
      </c>
      <c r="CB20" s="146" t="str">
        <f ca="1">RESULTADOS!BF37</f>
        <v>N/D</v>
      </c>
      <c r="CC20" s="146" t="str">
        <f ca="1">RESULTADOS!BG37</f>
        <v>N/D</v>
      </c>
      <c r="CD20" s="146" t="str">
        <f ca="1">RESULTADOS!BH37</f>
        <v>N/T</v>
      </c>
      <c r="CE20" s="146" t="str">
        <f ca="1">RESULTADOS!BI37</f>
        <v>N/D</v>
      </c>
      <c r="CF20" s="146" t="str">
        <f ca="1">RESULTADOS!BJ37</f>
        <v>N/D</v>
      </c>
      <c r="CG20" s="146" t="str">
        <f ca="1">RESULTADOS!BK37</f>
        <v>N/D</v>
      </c>
      <c r="CH20" s="146" t="str">
        <f ca="1">RESULTADOS!BL37</f>
        <v>N/D</v>
      </c>
      <c r="CI20" s="146" t="str">
        <f ca="1">RESULTADOS!BM37</f>
        <v>N/D</v>
      </c>
      <c r="CJ20" s="146" t="str">
        <f ca="1">RESULTADOS!BN37</f>
        <v>N/T</v>
      </c>
      <c r="CK20" s="146" t="str">
        <f ca="1">RESULTADOS!BO37</f>
        <v>Falla</v>
      </c>
      <c r="CL20" s="146" t="str">
        <f ca="1">RESULTADOS!BP37</f>
        <v>N/T</v>
      </c>
      <c r="CM20" s="146" t="str">
        <f ca="1">RESULTADOS!BQ37</f>
        <v>N/T</v>
      </c>
      <c r="CN20" s="146" t="str">
        <f ca="1">RESULTADOS!BR37</f>
        <v>N/D</v>
      </c>
      <c r="CO20" s="146" t="str">
        <f ca="1">RESULTADOS!BS37</f>
        <v>N/T</v>
      </c>
      <c r="CP20" s="146" t="str">
        <f ca="1">RESULTADOS!BT37</f>
        <v>N/D</v>
      </c>
      <c r="CQ20" s="146" t="str">
        <f ca="1">RESULTADOS!BU37</f>
        <v>N/D</v>
      </c>
      <c r="CR20" s="146" t="str">
        <f ca="1">RESULTADOS!BV37</f>
        <v>N/D</v>
      </c>
      <c r="CS20" s="146" t="str">
        <f ca="1">RESULTADOS!BW37</f>
        <v>N/D</v>
      </c>
      <c r="CT20" s="146" t="str">
        <f ca="1">RESULTADOS!BX37</f>
        <v>N/D</v>
      </c>
      <c r="CU20" s="146" t="str">
        <f ca="1">RESULTADOS!BY37</f>
        <v>N/T</v>
      </c>
      <c r="CV20" s="146" t="str">
        <f ca="1">RESULTADOS!BZ37</f>
        <v>N/T</v>
      </c>
      <c r="CW20" s="146" t="str">
        <f ca="1">RESULTADOS!CA37</f>
        <v>N/D</v>
      </c>
      <c r="CX20" s="146" t="str">
        <f ca="1">RESULTADOS!CB37</f>
        <v>N/T</v>
      </c>
      <c r="CY20" s="146" t="str">
        <f ca="1">RESULTADOS!CC37</f>
        <v>N/T</v>
      </c>
      <c r="CZ20" s="146" t="str">
        <f ca="1">RESULTADOS!CD37</f>
        <v>N/T</v>
      </c>
      <c r="DA20" s="146" t="str">
        <f ca="1">RESULTADOS!CE37</f>
        <v>N/D</v>
      </c>
      <c r="DB20" s="146" t="str">
        <f ca="1">RESULTADOS!CF37</f>
        <v>N/T</v>
      </c>
      <c r="DC20" s="146" t="str">
        <f ca="1">RESULTADOS!CG37</f>
        <v>N/T</v>
      </c>
      <c r="DD20" s="146" t="str">
        <f ca="1">RESULTADOS!CH37</f>
        <v>N/T</v>
      </c>
      <c r="DE20" s="146" t="str">
        <f ca="1">RESULTADOS!CI37</f>
        <v>N/T</v>
      </c>
      <c r="DF20" s="146" t="str">
        <f ca="1">RESULTADOS!CJ37</f>
        <v>N/T</v>
      </c>
      <c r="DG20" s="146" t="str">
        <f ca="1">RESULTADOS!CK37</f>
        <v>N/T</v>
      </c>
      <c r="DH20" s="146" t="str">
        <f ca="1">RESULTADOS!CL37</f>
        <v>N/T</v>
      </c>
      <c r="DI20" s="146" t="str">
        <f ca="1">RESULTADOS!CM37</f>
        <v>N/T</v>
      </c>
      <c r="DJ20" s="146" t="str">
        <f ca="1">RESULTADOS!CN37</f>
        <v>N/T</v>
      </c>
      <c r="DK20" s="146" t="str">
        <f ca="1">RESULTADOS!CO37</f>
        <v>N/T</v>
      </c>
      <c r="DL20" s="146" t="str">
        <f ca="1">RESULTADOS!CP37</f>
        <v>N/T</v>
      </c>
      <c r="DM20" s="146" t="str">
        <f ca="1">RESULTADOS!CQ37</f>
        <v>N/T</v>
      </c>
      <c r="DN20" s="146" t="str">
        <f ca="1">RESULTADOS!CR37</f>
        <v>N/T</v>
      </c>
      <c r="DO20" s="148" t="str">
        <f>RESULTADOS!B78</f>
        <v/>
      </c>
      <c r="DP20" s="148" t="str">
        <f>RESULTADOS!C78</f>
        <v/>
      </c>
      <c r="DQ20" s="148" t="str">
        <f t="shared" si="1"/>
        <v/>
      </c>
      <c r="DR20" s="148" t="str" cm="1">
        <f t="array" ref="DR20">IFERROR(INDEX('03.Muestra'!$E$8:$E$42,SMALL(IF("Documento no web"='03.Muestra'!$D$8:$D$42,ROW('03.Muestra'!$E$8:$E$42)-MIN(ROW('03.Muestra'!$D$8:$D$42))+1,""),ROW()-2)),"")</f>
        <v/>
      </c>
      <c r="DS20" s="148" t="str">
        <f>RESULTADOS!D78</f>
        <v/>
      </c>
      <c r="DT20" s="148" t="str" cm="1">
        <f t="array" ref="DT20">IFERROR(INDEX('03.Muestra'!$G$8:$G$42,SMALL(IF("Documento no web"='03.Muestra'!$D$8:$D$42,ROW('03.Muestra'!$G$8:$G$42)-MIN(ROW('03.Muestra'!$D$8:$D$42))+1,""),ROW()-2)),"")</f>
        <v/>
      </c>
      <c r="DU20" s="237" t="str" cm="1">
        <f t="array" ref="DU20">IFERROR(INDEX('03.Muestra'!$H$8:$H$42,SMALL(IF("Documento no web"='03.Muestra'!$D$8:$D$42,ROW('03.Muestra'!$H$8:$H$42)-MIN(ROW('03.Muestra'!$D$8:$D$42))+1,""),ROW()-2)),"")</f>
        <v/>
      </c>
      <c r="DV20" s="146" t="str">
        <f ca="1">RESULTADOS!E78</f>
        <v/>
      </c>
      <c r="DW20" s="146" t="str">
        <f ca="1">RESULTADOS!F78</f>
        <v/>
      </c>
      <c r="DX20" s="146" t="str">
        <f ca="1">RESULTADOS!G78</f>
        <v/>
      </c>
      <c r="DY20" s="146" t="str">
        <f ca="1">RESULTADOS!H78</f>
        <v/>
      </c>
      <c r="DZ20" s="146" t="str">
        <f ca="1">RESULTADOS!I78</f>
        <v/>
      </c>
      <c r="EA20" s="146" t="str">
        <f ca="1">RESULTADOS!J78</f>
        <v/>
      </c>
      <c r="EB20" s="146" t="str">
        <f ca="1">RESULTADOS!K78</f>
        <v/>
      </c>
      <c r="EC20" s="146" t="str">
        <f ca="1">RESULTADOS!L78</f>
        <v/>
      </c>
      <c r="ED20" s="146" t="str">
        <f ca="1">RESULTADOS!M78</f>
        <v/>
      </c>
      <c r="EE20" s="146" t="str">
        <f ca="1">RESULTADOS!N78</f>
        <v/>
      </c>
      <c r="EF20" s="146" t="str">
        <f ca="1">RESULTADOS!O78</f>
        <v/>
      </c>
      <c r="EG20" s="146" t="str">
        <f ca="1">RESULTADOS!P78</f>
        <v/>
      </c>
      <c r="EH20" s="146" t="str">
        <f ca="1">RESULTADOS!Q78</f>
        <v/>
      </c>
      <c r="EI20" s="146" t="str">
        <f ca="1">RESULTADOS!R78</f>
        <v/>
      </c>
      <c r="EJ20" s="146" t="str">
        <f ca="1">RESULTADOS!S78</f>
        <v/>
      </c>
      <c r="EK20" s="146" t="str">
        <f ca="1">RESULTADOS!T78</f>
        <v/>
      </c>
      <c r="EL20" s="146" t="str">
        <f ca="1">RESULTADOS!U78</f>
        <v/>
      </c>
      <c r="EM20" s="146" t="str">
        <f ca="1">RESULTADOS!V78</f>
        <v/>
      </c>
      <c r="EN20" s="146" t="str">
        <f ca="1">RESULTADOS!W78</f>
        <v/>
      </c>
      <c r="EO20" s="146" t="str">
        <f ca="1">RESULTADOS!X78</f>
        <v/>
      </c>
      <c r="EP20" s="146" t="str">
        <f ca="1">RESULTADOS!Y78</f>
        <v/>
      </c>
      <c r="EQ20" s="146" t="str">
        <f ca="1">RESULTADOS!Z78</f>
        <v/>
      </c>
      <c r="ER20" s="146" t="str">
        <f ca="1">RESULTADOS!AA78</f>
        <v/>
      </c>
      <c r="ES20" s="146" t="str">
        <f ca="1">RESULTADOS!AB78</f>
        <v/>
      </c>
      <c r="ET20" s="146" t="str">
        <f ca="1">RESULTADOS!AC78</f>
        <v/>
      </c>
      <c r="EU20" s="146" t="str">
        <f ca="1">RESULTADOS!AD78</f>
        <v/>
      </c>
      <c r="EV20" s="146" t="str">
        <f ca="1">RESULTADOS!AE78</f>
        <v/>
      </c>
      <c r="EW20" s="146" t="str">
        <f ca="1">RESULTADOS!AF78</f>
        <v/>
      </c>
      <c r="EX20" s="146" t="str">
        <f ca="1">RESULTADOS!AG78</f>
        <v/>
      </c>
      <c r="EY20" s="146" t="str">
        <f ca="1">RESULTADOS!AH78</f>
        <v/>
      </c>
      <c r="EZ20" s="146" t="str">
        <f ca="1">RESULTADOS!AI78</f>
        <v/>
      </c>
      <c r="FA20" s="146" t="str">
        <f ca="1">RESULTADOS!AJ78</f>
        <v/>
      </c>
      <c r="FB20" s="146" t="str">
        <f ca="1">RESULTADOS!AK78</f>
        <v/>
      </c>
      <c r="FC20" s="146" t="str">
        <f ca="1">RESULTADOS!AL78</f>
        <v/>
      </c>
      <c r="FD20" s="146" t="str">
        <f ca="1">RESULTADOS!AM78</f>
        <v/>
      </c>
      <c r="FE20" s="146" t="str">
        <f ca="1">RESULTADOS!AN78</f>
        <v/>
      </c>
      <c r="FF20" s="146" t="str">
        <f ca="1">RESULTADOS!AO78</f>
        <v/>
      </c>
      <c r="FG20" s="146" t="str">
        <f ca="1">RESULTADOS!AP78</f>
        <v/>
      </c>
      <c r="FH20" s="146" t="str">
        <f ca="1">RESULTADOS!AQ78</f>
        <v/>
      </c>
      <c r="FI20" s="146" t="str">
        <f ca="1">RESULTADOS!AR78</f>
        <v/>
      </c>
      <c r="FJ20" s="146" t="str">
        <f ca="1">RESULTADOS!AS78</f>
        <v/>
      </c>
      <c r="FK20" s="146" t="str">
        <f ca="1">RESULTADOS!AT78</f>
        <v/>
      </c>
      <c r="FL20" s="146" t="str">
        <f ca="1">RESULTADOS!AU78</f>
        <v/>
      </c>
      <c r="FM20" s="146" t="str">
        <f ca="1">RESULTADOS!AV78</f>
        <v/>
      </c>
      <c r="FN20" s="146" t="str">
        <f ca="1">RESULTADOS!AW78</f>
        <v/>
      </c>
    </row>
    <row r="21" spans="3:170">
      <c r="C21" s="144" t="s">
        <v>7</v>
      </c>
      <c r="D21" s="147" t="str">
        <f>'01.Definición de ámbito'!D51</f>
        <v>No</v>
      </c>
      <c r="K21" s="40" t="s">
        <v>48</v>
      </c>
      <c r="L21" s="148" t="n">
        <f ca="1">RESULTADOS!L11</f>
        <v>8.0</v>
      </c>
      <c r="M21" s="216" t="n">
        <f ca="1">RESULTADOS!M11</f>
        <v>0.029197080291970802</v>
      </c>
      <c r="T21" s="148" t="n">
        <f>RESULTADOS!B38</f>
        <v>1.0</v>
      </c>
      <c r="U21" s="148" t="str">
        <f>RESULTADOS!C38</f>
        <v>Home - PortCastelló</v>
      </c>
      <c r="V21" s="148" t="str">
        <f t="shared" si="0"/>
        <v>Página web</v>
      </c>
      <c r="W21" s="148" t="str">
        <v/>
      </c>
      <c r="X21" s="148" t="str">
        <f>RESULTADOS!D38</f>
        <v>https://www.portcastello.com/</v>
      </c>
      <c r="Y21" s="148" t="n">
        <v>0.0</v>
      </c>
      <c r="Z21" s="237" t="str">
        <v>Ej. Imágenes, tablas, listas, multimedia, formularios, plantilla X, plantilla Y</v>
      </c>
      <c r="AA21" s="146" t="str">
        <f ca="1">RESULTADOS!E38</f>
        <v>N/T</v>
      </c>
      <c r="AB21" s="146" t="str">
        <f ca="1">RESULTADOS!F38</f>
        <v>N/T</v>
      </c>
      <c r="AC21" s="146" t="str">
        <f ca="1">RESULTADOS!G38</f>
        <v>N/T</v>
      </c>
      <c r="AD21" s="146" t="str">
        <f ca="1">RESULTADOS!H38</f>
        <v>N/T</v>
      </c>
      <c r="AE21" s="146" t="str">
        <f ca="1">RESULTADOS!I38</f>
        <v>N/T</v>
      </c>
      <c r="AF21" s="146" t="str">
        <f ca="1">RESULTADOS!J38</f>
        <v>N/T</v>
      </c>
      <c r="AG21" s="146" t="str">
        <f ca="1">RESULTADOS!K38</f>
        <v>N/T</v>
      </c>
      <c r="AH21" s="146" t="str">
        <f ca="1">RESULTADOS!L38</f>
        <v>N/T</v>
      </c>
      <c r="AI21" s="146" t="str">
        <f ca="1">RESULTADOS!M38</f>
        <v>N/T</v>
      </c>
      <c r="AJ21" s="146" t="str">
        <f ca="1">RESULTADOS!N38</f>
        <v>N/T</v>
      </c>
      <c r="AK21" s="146" t="str">
        <f ca="1">RESULTADOS!O38</f>
        <v>N/T</v>
      </c>
      <c r="AL21" s="146" t="str">
        <f ca="1">RESULTADOS!P38</f>
        <v>N/T</v>
      </c>
      <c r="AM21" s="146" t="str">
        <f ca="1">RESULTADOS!Q38</f>
        <v>N/T</v>
      </c>
      <c r="AN21" s="146" t="str">
        <f ca="1">RESULTADOS!R38</f>
        <v>N/T</v>
      </c>
      <c r="AO21" s="146" t="str">
        <f ca="1">RESULTADOS!S38</f>
        <v>N/T</v>
      </c>
      <c r="AP21" s="146" t="str">
        <f ca="1">RESULTADOS!T38</f>
        <v>N/T</v>
      </c>
      <c r="AQ21" s="146" t="str">
        <f ca="1">RESULTADOS!U38</f>
        <v>N/T</v>
      </c>
      <c r="AR21" s="146" t="str">
        <f ca="1">RESULTADOS!V38</f>
        <v>N/T</v>
      </c>
      <c r="AS21" s="146" t="str">
        <f ca="1">RESULTADOS!W38</f>
        <v>N/T</v>
      </c>
      <c r="AT21" s="146" t="str">
        <f ca="1">RESULTADOS!X38</f>
        <v>N/T</v>
      </c>
      <c r="AU21" s="146" t="str">
        <f ca="1">RESULTADOS!Y38</f>
        <v>N/T</v>
      </c>
      <c r="AV21" s="146" t="str">
        <f ca="1">RESULTADOS!Z38</f>
        <v>N/T</v>
      </c>
      <c r="AW21" s="146" t="str">
        <f ca="1">RESULTADOS!AA38</f>
        <v>N/T</v>
      </c>
      <c r="AX21" s="146" t="str">
        <f ca="1">RESULTADOS!AB38</f>
        <v>N/T</v>
      </c>
      <c r="AY21" s="146" t="str">
        <f ca="1">RESULTADOS!AC38</f>
        <v>N/T</v>
      </c>
      <c r="AZ21" s="146" t="str">
        <f ca="1">RESULTADOS!AD38</f>
        <v>N/T</v>
      </c>
      <c r="BA21" s="146" t="str">
        <f ca="1">RESULTADOS!AE38</f>
        <v>N/T</v>
      </c>
      <c r="BB21" s="146" t="str">
        <f ca="1">RESULTADOS!AF38</f>
        <v>N/T</v>
      </c>
      <c r="BC21" s="146" t="str">
        <f ca="1">RESULTADOS!AG38</f>
        <v>N/T</v>
      </c>
      <c r="BD21" s="146" t="str">
        <f ca="1">RESULTADOS!AH38</f>
        <v>N/T</v>
      </c>
      <c r="BE21" s="146" t="str">
        <f ca="1">RESULTADOS!AI38</f>
        <v>N/T</v>
      </c>
      <c r="BF21" s="146" t="str">
        <f ca="1">RESULTADOS!AJ38</f>
        <v>N/D</v>
      </c>
      <c r="BG21" s="146" t="str">
        <f ca="1">RESULTADOS!AK38</f>
        <v>N/T</v>
      </c>
      <c r="BH21" s="146" t="str">
        <f ca="1">RESULTADOS!AL38</f>
        <v>N/T</v>
      </c>
      <c r="BI21" s="146" t="str">
        <f ca="1">RESULTADOS!AM38</f>
        <v>N/T</v>
      </c>
      <c r="BJ21" s="146" t="str">
        <f ca="1">RESULTADOS!AN38</f>
        <v>N/T</v>
      </c>
      <c r="BK21" s="146" t="str">
        <f ca="1">RESULTADOS!AO38</f>
        <v>N/D</v>
      </c>
      <c r="BL21" s="146" t="str">
        <f ca="1">RESULTADOS!AP38</f>
        <v>N/T</v>
      </c>
      <c r="BM21" s="146" t="str">
        <f ca="1">RESULTADOS!AQ38</f>
        <v>N/T</v>
      </c>
      <c r="BN21" s="146" t="str">
        <f ca="1">RESULTADOS!AR38</f>
        <v>N/D</v>
      </c>
      <c r="BO21" s="146" t="str">
        <f ca="1">RESULTADOS!AS38</f>
        <v>N/D</v>
      </c>
      <c r="BP21" s="146" t="str">
        <f ca="1">RESULTADOS!AT38</f>
        <v>N/T</v>
      </c>
      <c r="BQ21" s="146" t="str">
        <f ca="1">RESULTADOS!AU38</f>
        <v>N/T</v>
      </c>
      <c r="BR21" s="146" t="str">
        <f ca="1">RESULTADOS!AV38</f>
        <v>N/D</v>
      </c>
      <c r="BS21" s="146" t="str">
        <f ca="1">RESULTADOS!AW38</f>
        <v>N/T</v>
      </c>
      <c r="BT21" s="146" t="str">
        <f ca="1">RESULTADOS!AX38</f>
        <v>N/T</v>
      </c>
      <c r="BU21" s="146" t="str">
        <f ca="1">RESULTADOS!AY38</f>
        <v>N/D</v>
      </c>
      <c r="BV21" s="146" t="str">
        <f ca="1">RESULTADOS!AZ38</f>
        <v>N/T</v>
      </c>
      <c r="BW21" s="146" t="str">
        <f ca="1">RESULTADOS!BA38</f>
        <v>N/D</v>
      </c>
      <c r="BX21" s="146" t="str">
        <f ca="1">RESULTADOS!BB38</f>
        <v>N/T</v>
      </c>
      <c r="BY21" s="146" t="str">
        <f ca="1">RESULTADOS!BC38</f>
        <v>N/D</v>
      </c>
      <c r="BZ21" s="146" t="str">
        <f ca="1">RESULTADOS!BD38</f>
        <v>N/T</v>
      </c>
      <c r="CA21" s="146" t="str">
        <f ca="1">RESULTADOS!BE38</f>
        <v>N/T</v>
      </c>
      <c r="CB21" s="146" t="str">
        <f ca="1">RESULTADOS!BF38</f>
        <v>N/D</v>
      </c>
      <c r="CC21" s="146" t="str">
        <f ca="1">RESULTADOS!BG38</f>
        <v>N/D</v>
      </c>
      <c r="CD21" s="146" t="str">
        <f ca="1">RESULTADOS!BH38</f>
        <v>N/T</v>
      </c>
      <c r="CE21" s="146" t="str">
        <f ca="1">RESULTADOS!BI38</f>
        <v>N/D</v>
      </c>
      <c r="CF21" s="146" t="str">
        <f ca="1">RESULTADOS!BJ38</f>
        <v>N/D</v>
      </c>
      <c r="CG21" s="146" t="str">
        <f ca="1">RESULTADOS!BK38</f>
        <v>N/D</v>
      </c>
      <c r="CH21" s="146" t="str">
        <f ca="1">RESULTADOS!BL38</f>
        <v>N/D</v>
      </c>
      <c r="CI21" s="146" t="str">
        <f ca="1">RESULTADOS!BM38</f>
        <v>N/D</v>
      </c>
      <c r="CJ21" s="146" t="str">
        <f ca="1">RESULTADOS!BN38</f>
        <v>N/T</v>
      </c>
      <c r="CK21" s="146" t="str">
        <f ca="1">RESULTADOS!BO38</f>
        <v>Falla</v>
      </c>
      <c r="CL21" s="146" t="str">
        <f ca="1">RESULTADOS!BP38</f>
        <v>N/T</v>
      </c>
      <c r="CM21" s="146" t="str">
        <f ca="1">RESULTADOS!BQ38</f>
        <v>N/T</v>
      </c>
      <c r="CN21" s="146" t="str">
        <f ca="1">RESULTADOS!BR38</f>
        <v>N/D</v>
      </c>
      <c r="CO21" s="146" t="str">
        <f ca="1">RESULTADOS!BS38</f>
        <v>N/T</v>
      </c>
      <c r="CP21" s="146" t="str">
        <f ca="1">RESULTADOS!BT38</f>
        <v>N/D</v>
      </c>
      <c r="CQ21" s="146" t="str">
        <f ca="1">RESULTADOS!BU38</f>
        <v>N/D</v>
      </c>
      <c r="CR21" s="146" t="str">
        <f ca="1">RESULTADOS!BV38</f>
        <v>N/D</v>
      </c>
      <c r="CS21" s="146" t="str">
        <f ca="1">RESULTADOS!BW38</f>
        <v>N/D</v>
      </c>
      <c r="CT21" s="146" t="str">
        <f ca="1">RESULTADOS!BX38</f>
        <v>N/D</v>
      </c>
      <c r="CU21" s="146" t="str">
        <f ca="1">RESULTADOS!BY38</f>
        <v>N/T</v>
      </c>
      <c r="CV21" s="146" t="str">
        <f ca="1">RESULTADOS!BZ38</f>
        <v>N/T</v>
      </c>
      <c r="CW21" s="146" t="str">
        <f ca="1">RESULTADOS!CA38</f>
        <v>N/D</v>
      </c>
      <c r="CX21" s="146" t="str">
        <f ca="1">RESULTADOS!CB38</f>
        <v>N/T</v>
      </c>
      <c r="CY21" s="146" t="str">
        <f ca="1">RESULTADOS!CC38</f>
        <v>N/T</v>
      </c>
      <c r="CZ21" s="146" t="str">
        <f ca="1">RESULTADOS!CD38</f>
        <v>N/T</v>
      </c>
      <c r="DA21" s="146" t="str">
        <f ca="1">RESULTADOS!CE38</f>
        <v>N/D</v>
      </c>
      <c r="DB21" s="146" t="str">
        <f ca="1">RESULTADOS!CF38</f>
        <v>N/T</v>
      </c>
      <c r="DC21" s="146" t="str">
        <f ca="1">RESULTADOS!CG38</f>
        <v>N/T</v>
      </c>
      <c r="DD21" s="146" t="str">
        <f ca="1">RESULTADOS!CH38</f>
        <v>N/T</v>
      </c>
      <c r="DE21" s="146" t="str">
        <f ca="1">RESULTADOS!CI38</f>
        <v>N/T</v>
      </c>
      <c r="DF21" s="146" t="str">
        <f ca="1">RESULTADOS!CJ38</f>
        <v>N/T</v>
      </c>
      <c r="DG21" s="146" t="str">
        <f ca="1">RESULTADOS!CK38</f>
        <v>N/T</v>
      </c>
      <c r="DH21" s="146" t="str">
        <f ca="1">RESULTADOS!CL38</f>
        <v>N/T</v>
      </c>
      <c r="DI21" s="146" t="str">
        <f ca="1">RESULTADOS!CM38</f>
        <v>N/T</v>
      </c>
      <c r="DJ21" s="146" t="str">
        <f ca="1">RESULTADOS!CN38</f>
        <v>N/T</v>
      </c>
      <c r="DK21" s="146" t="str">
        <f ca="1">RESULTADOS!CO38</f>
        <v>N/T</v>
      </c>
      <c r="DL21" s="146" t="str">
        <f ca="1">RESULTADOS!CP38</f>
        <v>N/T</v>
      </c>
      <c r="DM21" s="146" t="str">
        <f ca="1">RESULTADOS!CQ38</f>
        <v>N/T</v>
      </c>
      <c r="DN21" s="146" t="str">
        <f ca="1">RESULTADOS!CR38</f>
        <v>N/T</v>
      </c>
      <c r="DO21" s="148" t="str">
        <f>RESULTADOS!B79</f>
        <v/>
      </c>
      <c r="DP21" s="148" t="str">
        <f>RESULTADOS!C79</f>
        <v/>
      </c>
      <c r="DQ21" s="148" t="str">
        <f t="shared" si="1"/>
        <v/>
      </c>
      <c r="DR21" s="148" t="str" cm="1">
        <f t="array" ref="DR21">IFERROR(INDEX('03.Muestra'!$E$8:$E$42,SMALL(IF("Documento no web"='03.Muestra'!$D$8:$D$42,ROW('03.Muestra'!$E$8:$E$42)-MIN(ROW('03.Muestra'!$D$8:$D$42))+1,""),ROW()-2)),"")</f>
        <v/>
      </c>
      <c r="DS21" s="148" t="str">
        <f>RESULTADOS!D79</f>
        <v/>
      </c>
      <c r="DT21" s="148" t="str" cm="1">
        <f t="array" ref="DT21">IFERROR(INDEX('03.Muestra'!$G$8:$G$42,SMALL(IF("Documento no web"='03.Muestra'!$D$8:$D$42,ROW('03.Muestra'!$G$8:$G$42)-MIN(ROW('03.Muestra'!$D$8:$D$42))+1,""),ROW()-2)),"")</f>
        <v/>
      </c>
      <c r="DU21" s="237" t="str" cm="1">
        <f t="array" ref="DU21">IFERROR(INDEX('03.Muestra'!$H$8:$H$42,SMALL(IF("Documento no web"='03.Muestra'!$D$8:$D$42,ROW('03.Muestra'!$H$8:$H$42)-MIN(ROW('03.Muestra'!$D$8:$D$42))+1,""),ROW()-2)),"")</f>
        <v/>
      </c>
      <c r="DV21" s="146" t="str">
        <f ca="1">RESULTADOS!E79</f>
        <v/>
      </c>
      <c r="DW21" s="146" t="str">
        <f ca="1">RESULTADOS!F79</f>
        <v/>
      </c>
      <c r="DX21" s="146" t="str">
        <f ca="1">RESULTADOS!G79</f>
        <v/>
      </c>
      <c r="DY21" s="146" t="str">
        <f ca="1">RESULTADOS!H79</f>
        <v/>
      </c>
      <c r="DZ21" s="146" t="str">
        <f ca="1">RESULTADOS!I79</f>
        <v/>
      </c>
      <c r="EA21" s="146" t="str">
        <f ca="1">RESULTADOS!J79</f>
        <v/>
      </c>
      <c r="EB21" s="146" t="str">
        <f ca="1">RESULTADOS!K79</f>
        <v/>
      </c>
      <c r="EC21" s="146" t="str">
        <f ca="1">RESULTADOS!L79</f>
        <v/>
      </c>
      <c r="ED21" s="146" t="str">
        <f ca="1">RESULTADOS!M79</f>
        <v/>
      </c>
      <c r="EE21" s="146" t="str">
        <f ca="1">RESULTADOS!N79</f>
        <v/>
      </c>
      <c r="EF21" s="146" t="str">
        <f ca="1">RESULTADOS!O79</f>
        <v/>
      </c>
      <c r="EG21" s="146" t="str">
        <f ca="1">RESULTADOS!P79</f>
        <v/>
      </c>
      <c r="EH21" s="146" t="str">
        <f ca="1">RESULTADOS!Q79</f>
        <v/>
      </c>
      <c r="EI21" s="146" t="str">
        <f ca="1">RESULTADOS!R79</f>
        <v/>
      </c>
      <c r="EJ21" s="146" t="str">
        <f ca="1">RESULTADOS!S79</f>
        <v/>
      </c>
      <c r="EK21" s="146" t="str">
        <f ca="1">RESULTADOS!T79</f>
        <v/>
      </c>
      <c r="EL21" s="146" t="str">
        <f ca="1">RESULTADOS!U79</f>
        <v/>
      </c>
      <c r="EM21" s="146" t="str">
        <f ca="1">RESULTADOS!V79</f>
        <v/>
      </c>
      <c r="EN21" s="146" t="str">
        <f ca="1">RESULTADOS!W79</f>
        <v/>
      </c>
      <c r="EO21" s="146" t="str">
        <f ca="1">RESULTADOS!X79</f>
        <v/>
      </c>
      <c r="EP21" s="146" t="str">
        <f ca="1">RESULTADOS!Y79</f>
        <v/>
      </c>
      <c r="EQ21" s="146" t="str">
        <f ca="1">RESULTADOS!Z79</f>
        <v/>
      </c>
      <c r="ER21" s="146" t="str">
        <f ca="1">RESULTADOS!AA79</f>
        <v/>
      </c>
      <c r="ES21" s="146" t="str">
        <f ca="1">RESULTADOS!AB79</f>
        <v/>
      </c>
      <c r="ET21" s="146" t="str">
        <f ca="1">RESULTADOS!AC79</f>
        <v/>
      </c>
      <c r="EU21" s="146" t="str">
        <f ca="1">RESULTADOS!AD79</f>
        <v/>
      </c>
      <c r="EV21" s="146" t="str">
        <f ca="1">RESULTADOS!AE79</f>
        <v/>
      </c>
      <c r="EW21" s="146" t="str">
        <f ca="1">RESULTADOS!AF79</f>
        <v/>
      </c>
      <c r="EX21" s="146" t="str">
        <f ca="1">RESULTADOS!AG79</f>
        <v/>
      </c>
      <c r="EY21" s="146" t="str">
        <f ca="1">RESULTADOS!AH79</f>
        <v/>
      </c>
      <c r="EZ21" s="146" t="str">
        <f ca="1">RESULTADOS!AI79</f>
        <v/>
      </c>
      <c r="FA21" s="146" t="str">
        <f ca="1">RESULTADOS!AJ79</f>
        <v/>
      </c>
      <c r="FB21" s="146" t="str">
        <f ca="1">RESULTADOS!AK79</f>
        <v/>
      </c>
      <c r="FC21" s="146" t="str">
        <f ca="1">RESULTADOS!AL79</f>
        <v/>
      </c>
      <c r="FD21" s="146" t="str">
        <f ca="1">RESULTADOS!AM79</f>
        <v/>
      </c>
      <c r="FE21" s="146" t="str">
        <f ca="1">RESULTADOS!AN79</f>
        <v/>
      </c>
      <c r="FF21" s="146" t="str">
        <f ca="1">RESULTADOS!AO79</f>
        <v/>
      </c>
      <c r="FG21" s="146" t="str">
        <f ca="1">RESULTADOS!AP79</f>
        <v/>
      </c>
      <c r="FH21" s="146" t="str">
        <f ca="1">RESULTADOS!AQ79</f>
        <v/>
      </c>
      <c r="FI21" s="146" t="str">
        <f ca="1">RESULTADOS!AR79</f>
        <v/>
      </c>
      <c r="FJ21" s="146" t="str">
        <f ca="1">RESULTADOS!AS79</f>
        <v/>
      </c>
      <c r="FK21" s="146" t="str">
        <f ca="1">RESULTADOS!AT79</f>
        <v/>
      </c>
      <c r="FL21" s="146" t="str">
        <f ca="1">RESULTADOS!AU79</f>
        <v/>
      </c>
      <c r="FM21" s="146" t="str">
        <f ca="1">RESULTADOS!AV79</f>
        <v/>
      </c>
      <c r="FN21" s="146" t="str">
        <f ca="1">RESULTADOS!AW79</f>
        <v/>
      </c>
    </row>
    <row r="22" spans="3:170">
      <c r="C22" s="144" t="s">
        <v>8</v>
      </c>
      <c r="D22" s="147" t="str">
        <f>'01.Definición de ámbito'!D52</f>
        <v>No</v>
      </c>
      <c r="T22" s="148" t="n">
        <f>RESULTADOS!B39</f>
        <v>1.0</v>
      </c>
      <c r="U22" s="148" t="str">
        <f>RESULTADOS!C39</f>
        <v>Home - PortCastelló</v>
      </c>
      <c r="V22" s="148" t="str">
        <f t="shared" si="0"/>
        <v>Página web</v>
      </c>
      <c r="W22" s="148" t="str">
        <v/>
      </c>
      <c r="X22" s="148" t="str">
        <f>RESULTADOS!D39</f>
        <v>https://www.portcastello.com/</v>
      </c>
      <c r="Y22" s="148" t="n">
        <v>0.0</v>
      </c>
      <c r="Z22" s="237" t="str">
        <v>Ej. Imágenes, tablas, listas, multimedia, formularios, plantilla X, plantilla Y</v>
      </c>
      <c r="AA22" s="146" t="str">
        <f ca="1">RESULTADOS!E39</f>
        <v>N/T</v>
      </c>
      <c r="AB22" s="146" t="str">
        <f ca="1">RESULTADOS!F39</f>
        <v>N/T</v>
      </c>
      <c r="AC22" s="146" t="str">
        <f ca="1">RESULTADOS!G39</f>
        <v>N/T</v>
      </c>
      <c r="AD22" s="146" t="str">
        <f ca="1">RESULTADOS!H39</f>
        <v>N/T</v>
      </c>
      <c r="AE22" s="146" t="str">
        <f ca="1">RESULTADOS!I39</f>
        <v>N/T</v>
      </c>
      <c r="AF22" s="146" t="str">
        <f ca="1">RESULTADOS!J39</f>
        <v>N/T</v>
      </c>
      <c r="AG22" s="146" t="str">
        <f ca="1">RESULTADOS!K39</f>
        <v>N/T</v>
      </c>
      <c r="AH22" s="146" t="str">
        <f ca="1">RESULTADOS!L39</f>
        <v>N/T</v>
      </c>
      <c r="AI22" s="146" t="str">
        <f ca="1">RESULTADOS!M39</f>
        <v>N/T</v>
      </c>
      <c r="AJ22" s="146" t="str">
        <f ca="1">RESULTADOS!N39</f>
        <v>N/T</v>
      </c>
      <c r="AK22" s="146" t="str">
        <f ca="1">RESULTADOS!O39</f>
        <v>N/T</v>
      </c>
      <c r="AL22" s="146" t="str">
        <f ca="1">RESULTADOS!P39</f>
        <v>N/T</v>
      </c>
      <c r="AM22" s="146" t="str">
        <f ca="1">RESULTADOS!Q39</f>
        <v>N/T</v>
      </c>
      <c r="AN22" s="146" t="str">
        <f ca="1">RESULTADOS!R39</f>
        <v>N/T</v>
      </c>
      <c r="AO22" s="146" t="str">
        <f ca="1">RESULTADOS!S39</f>
        <v>N/T</v>
      </c>
      <c r="AP22" s="146" t="str">
        <f ca="1">RESULTADOS!T39</f>
        <v>N/T</v>
      </c>
      <c r="AQ22" s="146" t="str">
        <f ca="1">RESULTADOS!U39</f>
        <v>N/T</v>
      </c>
      <c r="AR22" s="146" t="str">
        <f ca="1">RESULTADOS!V39</f>
        <v>N/T</v>
      </c>
      <c r="AS22" s="146" t="str">
        <f ca="1">RESULTADOS!W39</f>
        <v>N/T</v>
      </c>
      <c r="AT22" s="146" t="str">
        <f ca="1">RESULTADOS!X39</f>
        <v>N/T</v>
      </c>
      <c r="AU22" s="146" t="str">
        <f ca="1">RESULTADOS!Y39</f>
        <v>N/T</v>
      </c>
      <c r="AV22" s="146" t="str">
        <f ca="1">RESULTADOS!Z39</f>
        <v>N/T</v>
      </c>
      <c r="AW22" s="146" t="str">
        <f ca="1">RESULTADOS!AA39</f>
        <v>N/T</v>
      </c>
      <c r="AX22" s="146" t="str">
        <f ca="1">RESULTADOS!AB39</f>
        <v>N/T</v>
      </c>
      <c r="AY22" s="146" t="str">
        <f ca="1">RESULTADOS!AC39</f>
        <v>N/T</v>
      </c>
      <c r="AZ22" s="146" t="str">
        <f ca="1">RESULTADOS!AD39</f>
        <v>N/T</v>
      </c>
      <c r="BA22" s="146" t="str">
        <f ca="1">RESULTADOS!AE39</f>
        <v>N/T</v>
      </c>
      <c r="BB22" s="146" t="str">
        <f ca="1">RESULTADOS!AF39</f>
        <v>N/T</v>
      </c>
      <c r="BC22" s="146" t="str">
        <f ca="1">RESULTADOS!AG39</f>
        <v>N/T</v>
      </c>
      <c r="BD22" s="146" t="str">
        <f ca="1">RESULTADOS!AH39</f>
        <v>N/T</v>
      </c>
      <c r="BE22" s="146" t="str">
        <f ca="1">RESULTADOS!AI39</f>
        <v>N/T</v>
      </c>
      <c r="BF22" s="146" t="str">
        <f ca="1">RESULTADOS!AJ39</f>
        <v>N/D</v>
      </c>
      <c r="BG22" s="146" t="str">
        <f ca="1">RESULTADOS!AK39</f>
        <v>N/T</v>
      </c>
      <c r="BH22" s="146" t="str">
        <f ca="1">RESULTADOS!AL39</f>
        <v>N/T</v>
      </c>
      <c r="BI22" s="146" t="str">
        <f ca="1">RESULTADOS!AM39</f>
        <v>N/T</v>
      </c>
      <c r="BJ22" s="146" t="str">
        <f ca="1">RESULTADOS!AN39</f>
        <v>N/T</v>
      </c>
      <c r="BK22" s="146" t="str">
        <f ca="1">RESULTADOS!AO39</f>
        <v>N/D</v>
      </c>
      <c r="BL22" s="146" t="str">
        <f ca="1">RESULTADOS!AP39</f>
        <v>N/T</v>
      </c>
      <c r="BM22" s="146" t="str">
        <f ca="1">RESULTADOS!AQ39</f>
        <v>N/T</v>
      </c>
      <c r="BN22" s="146" t="str">
        <f ca="1">RESULTADOS!AR39</f>
        <v>N/D</v>
      </c>
      <c r="BO22" s="146" t="str">
        <f ca="1">RESULTADOS!AS39</f>
        <v>N/D</v>
      </c>
      <c r="BP22" s="146" t="str">
        <f ca="1">RESULTADOS!AT39</f>
        <v>N/T</v>
      </c>
      <c r="BQ22" s="146" t="str">
        <f ca="1">RESULTADOS!AU39</f>
        <v>N/T</v>
      </c>
      <c r="BR22" s="146" t="str">
        <f ca="1">RESULTADOS!AV39</f>
        <v>N/D</v>
      </c>
      <c r="BS22" s="146" t="str">
        <f ca="1">RESULTADOS!AW39</f>
        <v>N/T</v>
      </c>
      <c r="BT22" s="146" t="str">
        <f ca="1">RESULTADOS!AX39</f>
        <v>N/T</v>
      </c>
      <c r="BU22" s="146" t="str">
        <f ca="1">RESULTADOS!AY39</f>
        <v>N/D</v>
      </c>
      <c r="BV22" s="146" t="str">
        <f ca="1">RESULTADOS!AZ39</f>
        <v>N/T</v>
      </c>
      <c r="BW22" s="146" t="str">
        <f ca="1">RESULTADOS!BA39</f>
        <v>N/D</v>
      </c>
      <c r="BX22" s="146" t="str">
        <f ca="1">RESULTADOS!BB39</f>
        <v>N/T</v>
      </c>
      <c r="BY22" s="146" t="str">
        <f ca="1">RESULTADOS!BC39</f>
        <v>N/D</v>
      </c>
      <c r="BZ22" s="146" t="str">
        <f ca="1">RESULTADOS!BD39</f>
        <v>N/T</v>
      </c>
      <c r="CA22" s="146" t="str">
        <f ca="1">RESULTADOS!BE39</f>
        <v>N/T</v>
      </c>
      <c r="CB22" s="146" t="str">
        <f ca="1">RESULTADOS!BF39</f>
        <v>N/D</v>
      </c>
      <c r="CC22" s="146" t="str">
        <f ca="1">RESULTADOS!BG39</f>
        <v>N/D</v>
      </c>
      <c r="CD22" s="146" t="str">
        <f ca="1">RESULTADOS!BH39</f>
        <v>N/T</v>
      </c>
      <c r="CE22" s="146" t="str">
        <f ca="1">RESULTADOS!BI39</f>
        <v>N/D</v>
      </c>
      <c r="CF22" s="146" t="str">
        <f ca="1">RESULTADOS!BJ39</f>
        <v>N/D</v>
      </c>
      <c r="CG22" s="146" t="str">
        <f ca="1">RESULTADOS!BK39</f>
        <v>N/D</v>
      </c>
      <c r="CH22" s="146" t="str">
        <f ca="1">RESULTADOS!BL39</f>
        <v>N/D</v>
      </c>
      <c r="CI22" s="146" t="str">
        <f ca="1">RESULTADOS!BM39</f>
        <v>N/D</v>
      </c>
      <c r="CJ22" s="146" t="str">
        <f ca="1">RESULTADOS!BN39</f>
        <v>N/T</v>
      </c>
      <c r="CK22" s="146" t="str">
        <f ca="1">RESULTADOS!BO39</f>
        <v>Falla</v>
      </c>
      <c r="CL22" s="146" t="str">
        <f ca="1">RESULTADOS!BP39</f>
        <v>N/T</v>
      </c>
      <c r="CM22" s="146" t="str">
        <f ca="1">RESULTADOS!BQ39</f>
        <v>N/T</v>
      </c>
      <c r="CN22" s="146" t="str">
        <f ca="1">RESULTADOS!BR39</f>
        <v>N/D</v>
      </c>
      <c r="CO22" s="146" t="str">
        <f ca="1">RESULTADOS!BS39</f>
        <v>N/T</v>
      </c>
      <c r="CP22" s="146" t="str">
        <f ca="1">RESULTADOS!BT39</f>
        <v>N/D</v>
      </c>
      <c r="CQ22" s="146" t="str">
        <f ca="1">RESULTADOS!BU39</f>
        <v>N/D</v>
      </c>
      <c r="CR22" s="146" t="str">
        <f ca="1">RESULTADOS!BV39</f>
        <v>N/D</v>
      </c>
      <c r="CS22" s="146" t="str">
        <f ca="1">RESULTADOS!BW39</f>
        <v>N/D</v>
      </c>
      <c r="CT22" s="146" t="str">
        <f ca="1">RESULTADOS!BX39</f>
        <v>N/D</v>
      </c>
      <c r="CU22" s="146" t="str">
        <f ca="1">RESULTADOS!BY39</f>
        <v>N/T</v>
      </c>
      <c r="CV22" s="146" t="str">
        <f ca="1">RESULTADOS!BZ39</f>
        <v>N/T</v>
      </c>
      <c r="CW22" s="146" t="str">
        <f ca="1">RESULTADOS!CA39</f>
        <v>N/D</v>
      </c>
      <c r="CX22" s="146" t="str">
        <f ca="1">RESULTADOS!CB39</f>
        <v>N/T</v>
      </c>
      <c r="CY22" s="146" t="str">
        <f ca="1">RESULTADOS!CC39</f>
        <v>N/T</v>
      </c>
      <c r="CZ22" s="146" t="str">
        <f ca="1">RESULTADOS!CD39</f>
        <v>N/T</v>
      </c>
      <c r="DA22" s="146" t="str">
        <f ca="1">RESULTADOS!CE39</f>
        <v>N/D</v>
      </c>
      <c r="DB22" s="146" t="str">
        <f ca="1">RESULTADOS!CF39</f>
        <v>N/T</v>
      </c>
      <c r="DC22" s="146" t="str">
        <f ca="1">RESULTADOS!CG39</f>
        <v>N/T</v>
      </c>
      <c r="DD22" s="146" t="str">
        <f ca="1">RESULTADOS!CH39</f>
        <v>N/T</v>
      </c>
      <c r="DE22" s="146" t="str">
        <f ca="1">RESULTADOS!CI39</f>
        <v>N/T</v>
      </c>
      <c r="DF22" s="146" t="str">
        <f ca="1">RESULTADOS!CJ39</f>
        <v>N/T</v>
      </c>
      <c r="DG22" s="146" t="str">
        <f ca="1">RESULTADOS!CK39</f>
        <v>N/T</v>
      </c>
      <c r="DH22" s="146" t="str">
        <f ca="1">RESULTADOS!CL39</f>
        <v>N/T</v>
      </c>
      <c r="DI22" s="146" t="str">
        <f ca="1">RESULTADOS!CM39</f>
        <v>N/T</v>
      </c>
      <c r="DJ22" s="146" t="str">
        <f ca="1">RESULTADOS!CN39</f>
        <v>N/T</v>
      </c>
      <c r="DK22" s="146" t="str">
        <f ca="1">RESULTADOS!CO39</f>
        <v>N/T</v>
      </c>
      <c r="DL22" s="146" t="str">
        <f ca="1">RESULTADOS!CP39</f>
        <v>N/T</v>
      </c>
      <c r="DM22" s="146" t="str">
        <f ca="1">RESULTADOS!CQ39</f>
        <v>N/T</v>
      </c>
      <c r="DN22" s="146" t="str">
        <f ca="1">RESULTADOS!CR39</f>
        <v>N/T</v>
      </c>
      <c r="DO22" s="148" t="str">
        <f>RESULTADOS!B80</f>
        <v/>
      </c>
      <c r="DP22" s="148" t="str">
        <f>RESULTADOS!C80</f>
        <v/>
      </c>
      <c r="DQ22" s="148" t="str">
        <f t="shared" si="1"/>
        <v/>
      </c>
      <c r="DR22" s="148" t="str" cm="1">
        <f t="array" ref="DR22">IFERROR(INDEX('03.Muestra'!$E$8:$E$42,SMALL(IF("Documento no web"='03.Muestra'!$D$8:$D$42,ROW('03.Muestra'!$E$8:$E$42)-MIN(ROW('03.Muestra'!$D$8:$D$42))+1,""),ROW()-2)),"")</f>
        <v/>
      </c>
      <c r="DS22" s="148" t="str">
        <f>RESULTADOS!D80</f>
        <v/>
      </c>
      <c r="DT22" s="148" t="str" cm="1">
        <f t="array" ref="DT22">IFERROR(INDEX('03.Muestra'!$G$8:$G$42,SMALL(IF("Documento no web"='03.Muestra'!$D$8:$D$42,ROW('03.Muestra'!$G$8:$G$42)-MIN(ROW('03.Muestra'!$D$8:$D$42))+1,""),ROW()-2)),"")</f>
        <v/>
      </c>
      <c r="DU22" s="237" t="str" cm="1">
        <f t="array" ref="DU22">IFERROR(INDEX('03.Muestra'!$H$8:$H$42,SMALL(IF("Documento no web"='03.Muestra'!$D$8:$D$42,ROW('03.Muestra'!$H$8:$H$42)-MIN(ROW('03.Muestra'!$D$8:$D$42))+1,""),ROW()-2)),"")</f>
        <v/>
      </c>
      <c r="DV22" s="146" t="str">
        <f ca="1">RESULTADOS!E80</f>
        <v/>
      </c>
      <c r="DW22" s="146" t="str">
        <f ca="1">RESULTADOS!F80</f>
        <v/>
      </c>
      <c r="DX22" s="146" t="str">
        <f ca="1">RESULTADOS!G80</f>
        <v/>
      </c>
      <c r="DY22" s="146" t="str">
        <f ca="1">RESULTADOS!H80</f>
        <v/>
      </c>
      <c r="DZ22" s="146" t="str">
        <f ca="1">RESULTADOS!I80</f>
        <v/>
      </c>
      <c r="EA22" s="146" t="str">
        <f ca="1">RESULTADOS!J80</f>
        <v/>
      </c>
      <c r="EB22" s="146" t="str">
        <f ca="1">RESULTADOS!K80</f>
        <v/>
      </c>
      <c r="EC22" s="146" t="str">
        <f ca="1">RESULTADOS!L80</f>
        <v/>
      </c>
      <c r="ED22" s="146" t="str">
        <f ca="1">RESULTADOS!M80</f>
        <v/>
      </c>
      <c r="EE22" s="146" t="str">
        <f ca="1">RESULTADOS!N80</f>
        <v/>
      </c>
      <c r="EF22" s="146" t="str">
        <f ca="1">RESULTADOS!O80</f>
        <v/>
      </c>
      <c r="EG22" s="146" t="str">
        <f ca="1">RESULTADOS!P80</f>
        <v/>
      </c>
      <c r="EH22" s="146" t="str">
        <f ca="1">RESULTADOS!Q80</f>
        <v/>
      </c>
      <c r="EI22" s="146" t="str">
        <f ca="1">RESULTADOS!R80</f>
        <v/>
      </c>
      <c r="EJ22" s="146" t="str">
        <f ca="1">RESULTADOS!S80</f>
        <v/>
      </c>
      <c r="EK22" s="146" t="str">
        <f ca="1">RESULTADOS!T80</f>
        <v/>
      </c>
      <c r="EL22" s="146" t="str">
        <f ca="1">RESULTADOS!U80</f>
        <v/>
      </c>
      <c r="EM22" s="146" t="str">
        <f ca="1">RESULTADOS!V80</f>
        <v/>
      </c>
      <c r="EN22" s="146" t="str">
        <f ca="1">RESULTADOS!W80</f>
        <v/>
      </c>
      <c r="EO22" s="146" t="str">
        <f ca="1">RESULTADOS!X80</f>
        <v/>
      </c>
      <c r="EP22" s="146" t="str">
        <f ca="1">RESULTADOS!Y80</f>
        <v/>
      </c>
      <c r="EQ22" s="146" t="str">
        <f ca="1">RESULTADOS!Z80</f>
        <v/>
      </c>
      <c r="ER22" s="146" t="str">
        <f ca="1">RESULTADOS!AA80</f>
        <v/>
      </c>
      <c r="ES22" s="146" t="str">
        <f ca="1">RESULTADOS!AB80</f>
        <v/>
      </c>
      <c r="ET22" s="146" t="str">
        <f ca="1">RESULTADOS!AC80</f>
        <v/>
      </c>
      <c r="EU22" s="146" t="str">
        <f ca="1">RESULTADOS!AD80</f>
        <v/>
      </c>
      <c r="EV22" s="146" t="str">
        <f ca="1">RESULTADOS!AE80</f>
        <v/>
      </c>
      <c r="EW22" s="146" t="str">
        <f ca="1">RESULTADOS!AF80</f>
        <v/>
      </c>
      <c r="EX22" s="146" t="str">
        <f ca="1">RESULTADOS!AG80</f>
        <v/>
      </c>
      <c r="EY22" s="146" t="str">
        <f ca="1">RESULTADOS!AH80</f>
        <v/>
      </c>
      <c r="EZ22" s="146" t="str">
        <f ca="1">RESULTADOS!AI80</f>
        <v/>
      </c>
      <c r="FA22" s="146" t="str">
        <f ca="1">RESULTADOS!AJ80</f>
        <v/>
      </c>
      <c r="FB22" s="146" t="str">
        <f ca="1">RESULTADOS!AK80</f>
        <v/>
      </c>
      <c r="FC22" s="146" t="str">
        <f ca="1">RESULTADOS!AL80</f>
        <v/>
      </c>
      <c r="FD22" s="146" t="str">
        <f ca="1">RESULTADOS!AM80</f>
        <v/>
      </c>
      <c r="FE22" s="146" t="str">
        <f ca="1">RESULTADOS!AN80</f>
        <v/>
      </c>
      <c r="FF22" s="146" t="str">
        <f ca="1">RESULTADOS!AO80</f>
        <v/>
      </c>
      <c r="FG22" s="146" t="str">
        <f ca="1">RESULTADOS!AP80</f>
        <v/>
      </c>
      <c r="FH22" s="146" t="str">
        <f ca="1">RESULTADOS!AQ80</f>
        <v/>
      </c>
      <c r="FI22" s="146" t="str">
        <f ca="1">RESULTADOS!AR80</f>
        <v/>
      </c>
      <c r="FJ22" s="146" t="str">
        <f ca="1">RESULTADOS!AS80</f>
        <v/>
      </c>
      <c r="FK22" s="146" t="str">
        <f ca="1">RESULTADOS!AT80</f>
        <v/>
      </c>
      <c r="FL22" s="146" t="str">
        <f ca="1">RESULTADOS!AU80</f>
        <v/>
      </c>
      <c r="FM22" s="146" t="str">
        <f ca="1">RESULTADOS!AV80</f>
        <v/>
      </c>
      <c r="FN22" s="146" t="str">
        <f ca="1">RESULTADOS!AW80</f>
        <v/>
      </c>
    </row>
    <row r="23" spans="3:170">
      <c r="C23" s="144" t="s">
        <v>9</v>
      </c>
      <c r="D23" s="147" t="str">
        <f>'01.Definición de ámbito'!D53</f>
        <v>No</v>
      </c>
      <c r="K23" s="40" t="s">
        <v>141</v>
      </c>
      <c r="T23" s="148" t="n">
        <f>RESULTADOS!B40</f>
        <v>1.0</v>
      </c>
      <c r="U23" s="148" t="str">
        <f>RESULTADOS!C40</f>
        <v>Home - PortCastelló</v>
      </c>
      <c r="V23" s="148" t="str">
        <f t="shared" si="0"/>
        <v>Página web</v>
      </c>
      <c r="W23" s="148" t="str">
        <v/>
      </c>
      <c r="X23" s="148" t="str">
        <f>RESULTADOS!D40</f>
        <v>https://www.portcastello.com/</v>
      </c>
      <c r="Y23" s="148" t="n">
        <v>0.0</v>
      </c>
      <c r="Z23" s="237" t="str">
        <v>Ej. Imágenes, tablas, listas, multimedia, formularios, plantilla X, plantilla Y</v>
      </c>
      <c r="AA23" s="146" t="str">
        <f ca="1">RESULTADOS!E40</f>
        <v>N/T</v>
      </c>
      <c r="AB23" s="146" t="str">
        <f ca="1">RESULTADOS!F40</f>
        <v>N/T</v>
      </c>
      <c r="AC23" s="146" t="str">
        <f ca="1">RESULTADOS!G40</f>
        <v>N/T</v>
      </c>
      <c r="AD23" s="146" t="str">
        <f ca="1">RESULTADOS!H40</f>
        <v>N/T</v>
      </c>
      <c r="AE23" s="146" t="str">
        <f ca="1">RESULTADOS!I40</f>
        <v>N/T</v>
      </c>
      <c r="AF23" s="146" t="str">
        <f ca="1">RESULTADOS!J40</f>
        <v>N/T</v>
      </c>
      <c r="AG23" s="146" t="str">
        <f ca="1">RESULTADOS!K40</f>
        <v>N/T</v>
      </c>
      <c r="AH23" s="146" t="str">
        <f ca="1">RESULTADOS!L40</f>
        <v>N/T</v>
      </c>
      <c r="AI23" s="146" t="str">
        <f ca="1">RESULTADOS!M40</f>
        <v>N/T</v>
      </c>
      <c r="AJ23" s="146" t="str">
        <f ca="1">RESULTADOS!N40</f>
        <v>N/T</v>
      </c>
      <c r="AK23" s="146" t="str">
        <f ca="1">RESULTADOS!O40</f>
        <v>N/T</v>
      </c>
      <c r="AL23" s="146" t="str">
        <f ca="1">RESULTADOS!P40</f>
        <v>N/T</v>
      </c>
      <c r="AM23" s="146" t="str">
        <f ca="1">RESULTADOS!Q40</f>
        <v>N/T</v>
      </c>
      <c r="AN23" s="146" t="str">
        <f ca="1">RESULTADOS!R40</f>
        <v>N/T</v>
      </c>
      <c r="AO23" s="146" t="str">
        <f ca="1">RESULTADOS!S40</f>
        <v>N/T</v>
      </c>
      <c r="AP23" s="146" t="str">
        <f ca="1">RESULTADOS!T40</f>
        <v>N/T</v>
      </c>
      <c r="AQ23" s="146" t="str">
        <f ca="1">RESULTADOS!U40</f>
        <v>N/T</v>
      </c>
      <c r="AR23" s="146" t="str">
        <f ca="1">RESULTADOS!V40</f>
        <v>N/T</v>
      </c>
      <c r="AS23" s="146" t="str">
        <f ca="1">RESULTADOS!W40</f>
        <v>N/T</v>
      </c>
      <c r="AT23" s="146" t="str">
        <f ca="1">RESULTADOS!X40</f>
        <v>N/T</v>
      </c>
      <c r="AU23" s="146" t="str">
        <f ca="1">RESULTADOS!Y40</f>
        <v>N/T</v>
      </c>
      <c r="AV23" s="146" t="str">
        <f ca="1">RESULTADOS!Z40</f>
        <v>N/T</v>
      </c>
      <c r="AW23" s="146" t="str">
        <f ca="1">RESULTADOS!AA40</f>
        <v>N/T</v>
      </c>
      <c r="AX23" s="146" t="str">
        <f ca="1">RESULTADOS!AB40</f>
        <v>N/T</v>
      </c>
      <c r="AY23" s="146" t="str">
        <f ca="1">RESULTADOS!AC40</f>
        <v>N/T</v>
      </c>
      <c r="AZ23" s="146" t="str">
        <f ca="1">RESULTADOS!AD40</f>
        <v>N/T</v>
      </c>
      <c r="BA23" s="146" t="str">
        <f ca="1">RESULTADOS!AE40</f>
        <v>N/T</v>
      </c>
      <c r="BB23" s="146" t="str">
        <f ca="1">RESULTADOS!AF40</f>
        <v>N/T</v>
      </c>
      <c r="BC23" s="146" t="str">
        <f ca="1">RESULTADOS!AG40</f>
        <v>N/T</v>
      </c>
      <c r="BD23" s="146" t="str">
        <f ca="1">RESULTADOS!AH40</f>
        <v>N/T</v>
      </c>
      <c r="BE23" s="146" t="str">
        <f ca="1">RESULTADOS!AI40</f>
        <v>N/T</v>
      </c>
      <c r="BF23" s="146" t="str">
        <f ca="1">RESULTADOS!AJ40</f>
        <v>N/D</v>
      </c>
      <c r="BG23" s="146" t="str">
        <f ca="1">RESULTADOS!AK40</f>
        <v>N/T</v>
      </c>
      <c r="BH23" s="146" t="str">
        <f ca="1">RESULTADOS!AL40</f>
        <v>N/T</v>
      </c>
      <c r="BI23" s="146" t="str">
        <f ca="1">RESULTADOS!AM40</f>
        <v>N/T</v>
      </c>
      <c r="BJ23" s="146" t="str">
        <f ca="1">RESULTADOS!AN40</f>
        <v>N/T</v>
      </c>
      <c r="BK23" s="146" t="str">
        <f ca="1">RESULTADOS!AO40</f>
        <v>N/D</v>
      </c>
      <c r="BL23" s="146" t="str">
        <f ca="1">RESULTADOS!AP40</f>
        <v>N/T</v>
      </c>
      <c r="BM23" s="146" t="str">
        <f ca="1">RESULTADOS!AQ40</f>
        <v>N/T</v>
      </c>
      <c r="BN23" s="146" t="str">
        <f ca="1">RESULTADOS!AR40</f>
        <v>N/D</v>
      </c>
      <c r="BO23" s="146" t="str">
        <f ca="1">RESULTADOS!AS40</f>
        <v>N/D</v>
      </c>
      <c r="BP23" s="146" t="str">
        <f ca="1">RESULTADOS!AT40</f>
        <v>N/T</v>
      </c>
      <c r="BQ23" s="146" t="str">
        <f ca="1">RESULTADOS!AU40</f>
        <v>N/T</v>
      </c>
      <c r="BR23" s="146" t="str">
        <f ca="1">RESULTADOS!AV40</f>
        <v>N/D</v>
      </c>
      <c r="BS23" s="146" t="str">
        <f ca="1">RESULTADOS!AW40</f>
        <v>N/T</v>
      </c>
      <c r="BT23" s="146" t="str">
        <f ca="1">RESULTADOS!AX40</f>
        <v>N/T</v>
      </c>
      <c r="BU23" s="146" t="str">
        <f ca="1">RESULTADOS!AY40</f>
        <v>N/D</v>
      </c>
      <c r="BV23" s="146" t="str">
        <f ca="1">RESULTADOS!AZ40</f>
        <v>N/T</v>
      </c>
      <c r="BW23" s="146" t="str">
        <f ca="1">RESULTADOS!BA40</f>
        <v>N/D</v>
      </c>
      <c r="BX23" s="146" t="str">
        <f ca="1">RESULTADOS!BB40</f>
        <v>N/T</v>
      </c>
      <c r="BY23" s="146" t="str">
        <f ca="1">RESULTADOS!BC40</f>
        <v>N/D</v>
      </c>
      <c r="BZ23" s="146" t="str">
        <f ca="1">RESULTADOS!BD40</f>
        <v>N/T</v>
      </c>
      <c r="CA23" s="146" t="str">
        <f ca="1">RESULTADOS!BE40</f>
        <v>N/T</v>
      </c>
      <c r="CB23" s="146" t="str">
        <f ca="1">RESULTADOS!BF40</f>
        <v>N/D</v>
      </c>
      <c r="CC23" s="146" t="str">
        <f ca="1">RESULTADOS!BG40</f>
        <v>N/D</v>
      </c>
      <c r="CD23" s="146" t="str">
        <f ca="1">RESULTADOS!BH40</f>
        <v>N/T</v>
      </c>
      <c r="CE23" s="146" t="str">
        <f ca="1">RESULTADOS!BI40</f>
        <v>N/D</v>
      </c>
      <c r="CF23" s="146" t="str">
        <f ca="1">RESULTADOS!BJ40</f>
        <v>N/D</v>
      </c>
      <c r="CG23" s="146" t="str">
        <f ca="1">RESULTADOS!BK40</f>
        <v>N/D</v>
      </c>
      <c r="CH23" s="146" t="str">
        <f ca="1">RESULTADOS!BL40</f>
        <v>N/D</v>
      </c>
      <c r="CI23" s="146" t="str">
        <f ca="1">RESULTADOS!BM40</f>
        <v>N/D</v>
      </c>
      <c r="CJ23" s="146" t="str">
        <f ca="1">RESULTADOS!BN40</f>
        <v>N/T</v>
      </c>
      <c r="CK23" s="146" t="str">
        <f ca="1">RESULTADOS!BO40</f>
        <v>Falla</v>
      </c>
      <c r="CL23" s="146" t="str">
        <f ca="1">RESULTADOS!BP40</f>
        <v>N/T</v>
      </c>
      <c r="CM23" s="146" t="str">
        <f ca="1">RESULTADOS!BQ40</f>
        <v>N/T</v>
      </c>
      <c r="CN23" s="146" t="str">
        <f ca="1">RESULTADOS!BR40</f>
        <v>N/D</v>
      </c>
      <c r="CO23" s="146" t="str">
        <f ca="1">RESULTADOS!BS40</f>
        <v>N/T</v>
      </c>
      <c r="CP23" s="146" t="str">
        <f ca="1">RESULTADOS!BT40</f>
        <v>N/D</v>
      </c>
      <c r="CQ23" s="146" t="str">
        <f ca="1">RESULTADOS!BU40</f>
        <v>N/D</v>
      </c>
      <c r="CR23" s="146" t="str">
        <f ca="1">RESULTADOS!BV40</f>
        <v>N/D</v>
      </c>
      <c r="CS23" s="146" t="str">
        <f ca="1">RESULTADOS!BW40</f>
        <v>N/D</v>
      </c>
      <c r="CT23" s="146" t="str">
        <f ca="1">RESULTADOS!BX40</f>
        <v>N/D</v>
      </c>
      <c r="CU23" s="146" t="str">
        <f ca="1">RESULTADOS!BY40</f>
        <v>N/T</v>
      </c>
      <c r="CV23" s="146" t="str">
        <f ca="1">RESULTADOS!BZ40</f>
        <v>N/T</v>
      </c>
      <c r="CW23" s="146" t="str">
        <f ca="1">RESULTADOS!CA40</f>
        <v>N/D</v>
      </c>
      <c r="CX23" s="146" t="str">
        <f ca="1">RESULTADOS!CB40</f>
        <v>N/T</v>
      </c>
      <c r="CY23" s="146" t="str">
        <f ca="1">RESULTADOS!CC40</f>
        <v>N/T</v>
      </c>
      <c r="CZ23" s="146" t="str">
        <f ca="1">RESULTADOS!CD40</f>
        <v>N/T</v>
      </c>
      <c r="DA23" s="146" t="str">
        <f ca="1">RESULTADOS!CE40</f>
        <v>N/D</v>
      </c>
      <c r="DB23" s="146" t="str">
        <f ca="1">RESULTADOS!CF40</f>
        <v>N/T</v>
      </c>
      <c r="DC23" s="146" t="str">
        <f ca="1">RESULTADOS!CG40</f>
        <v>N/T</v>
      </c>
      <c r="DD23" s="146" t="str">
        <f ca="1">RESULTADOS!CH40</f>
        <v>N/T</v>
      </c>
      <c r="DE23" s="146" t="str">
        <f ca="1">RESULTADOS!CI40</f>
        <v>N/T</v>
      </c>
      <c r="DF23" s="146" t="str">
        <f ca="1">RESULTADOS!CJ40</f>
        <v>N/T</v>
      </c>
      <c r="DG23" s="146" t="str">
        <f ca="1">RESULTADOS!CK40</f>
        <v>N/T</v>
      </c>
      <c r="DH23" s="146" t="str">
        <f ca="1">RESULTADOS!CL40</f>
        <v>N/T</v>
      </c>
      <c r="DI23" s="146" t="str">
        <f ca="1">RESULTADOS!CM40</f>
        <v>N/T</v>
      </c>
      <c r="DJ23" s="146" t="str">
        <f ca="1">RESULTADOS!CN40</f>
        <v>N/T</v>
      </c>
      <c r="DK23" s="146" t="str">
        <f ca="1">RESULTADOS!CO40</f>
        <v>N/T</v>
      </c>
      <c r="DL23" s="146" t="str">
        <f ca="1">RESULTADOS!CP40</f>
        <v>N/T</v>
      </c>
      <c r="DM23" s="146" t="str">
        <f ca="1">RESULTADOS!CQ40</f>
        <v>N/T</v>
      </c>
      <c r="DN23" s="146" t="str">
        <f ca="1">RESULTADOS!CR40</f>
        <v>N/T</v>
      </c>
      <c r="DO23" s="148" t="str">
        <f>RESULTADOS!B81</f>
        <v/>
      </c>
      <c r="DP23" s="148" t="str">
        <f>RESULTADOS!C81</f>
        <v/>
      </c>
      <c r="DQ23" s="148" t="str">
        <f t="shared" si="1"/>
        <v/>
      </c>
      <c r="DR23" s="148" t="str" cm="1">
        <f t="array" ref="DR23">IFERROR(INDEX('03.Muestra'!$E$8:$E$42,SMALL(IF("Documento no web"='03.Muestra'!$D$8:$D$42,ROW('03.Muestra'!$E$8:$E$42)-MIN(ROW('03.Muestra'!$D$8:$D$42))+1,""),ROW()-2)),"")</f>
        <v/>
      </c>
      <c r="DS23" s="148" t="str">
        <f>RESULTADOS!D81</f>
        <v/>
      </c>
      <c r="DT23" s="148" t="str" cm="1">
        <f t="array" ref="DT23">IFERROR(INDEX('03.Muestra'!$G$8:$G$42,SMALL(IF("Documento no web"='03.Muestra'!$D$8:$D$42,ROW('03.Muestra'!$G$8:$G$42)-MIN(ROW('03.Muestra'!$D$8:$D$42))+1,""),ROW()-2)),"")</f>
        <v/>
      </c>
      <c r="DU23" s="237" t="str" cm="1">
        <f t="array" ref="DU23">IFERROR(INDEX('03.Muestra'!$H$8:$H$42,SMALL(IF("Documento no web"='03.Muestra'!$D$8:$D$42,ROW('03.Muestra'!$H$8:$H$42)-MIN(ROW('03.Muestra'!$D$8:$D$42))+1,""),ROW()-2)),"")</f>
        <v/>
      </c>
      <c r="DV23" s="146" t="str">
        <f ca="1">RESULTADOS!E81</f>
        <v/>
      </c>
      <c r="DW23" s="146" t="str">
        <f ca="1">RESULTADOS!F81</f>
        <v/>
      </c>
      <c r="DX23" s="146" t="str">
        <f ca="1">RESULTADOS!G81</f>
        <v/>
      </c>
      <c r="DY23" s="146" t="str">
        <f ca="1">RESULTADOS!H81</f>
        <v/>
      </c>
      <c r="DZ23" s="146" t="str">
        <f ca="1">RESULTADOS!I81</f>
        <v/>
      </c>
      <c r="EA23" s="146" t="str">
        <f ca="1">RESULTADOS!J81</f>
        <v/>
      </c>
      <c r="EB23" s="146" t="str">
        <f ca="1">RESULTADOS!K81</f>
        <v/>
      </c>
      <c r="EC23" s="146" t="str">
        <f ca="1">RESULTADOS!L81</f>
        <v/>
      </c>
      <c r="ED23" s="146" t="str">
        <f ca="1">RESULTADOS!M81</f>
        <v/>
      </c>
      <c r="EE23" s="146" t="str">
        <f ca="1">RESULTADOS!N81</f>
        <v/>
      </c>
      <c r="EF23" s="146" t="str">
        <f ca="1">RESULTADOS!O81</f>
        <v/>
      </c>
      <c r="EG23" s="146" t="str">
        <f ca="1">RESULTADOS!P81</f>
        <v/>
      </c>
      <c r="EH23" s="146" t="str">
        <f ca="1">RESULTADOS!Q81</f>
        <v/>
      </c>
      <c r="EI23" s="146" t="str">
        <f ca="1">RESULTADOS!R81</f>
        <v/>
      </c>
      <c r="EJ23" s="146" t="str">
        <f ca="1">RESULTADOS!S81</f>
        <v/>
      </c>
      <c r="EK23" s="146" t="str">
        <f ca="1">RESULTADOS!T81</f>
        <v/>
      </c>
      <c r="EL23" s="146" t="str">
        <f ca="1">RESULTADOS!U81</f>
        <v/>
      </c>
      <c r="EM23" s="146" t="str">
        <f ca="1">RESULTADOS!V81</f>
        <v/>
      </c>
      <c r="EN23" s="146" t="str">
        <f ca="1">RESULTADOS!W81</f>
        <v/>
      </c>
      <c r="EO23" s="146" t="str">
        <f ca="1">RESULTADOS!X81</f>
        <v/>
      </c>
      <c r="EP23" s="146" t="str">
        <f ca="1">RESULTADOS!Y81</f>
        <v/>
      </c>
      <c r="EQ23" s="146" t="str">
        <f ca="1">RESULTADOS!Z81</f>
        <v/>
      </c>
      <c r="ER23" s="146" t="str">
        <f ca="1">RESULTADOS!AA81</f>
        <v/>
      </c>
      <c r="ES23" s="146" t="str">
        <f ca="1">RESULTADOS!AB81</f>
        <v/>
      </c>
      <c r="ET23" s="146" t="str">
        <f ca="1">RESULTADOS!AC81</f>
        <v/>
      </c>
      <c r="EU23" s="146" t="str">
        <f ca="1">RESULTADOS!AD81</f>
        <v/>
      </c>
      <c r="EV23" s="146" t="str">
        <f ca="1">RESULTADOS!AE81</f>
        <v/>
      </c>
      <c r="EW23" s="146" t="str">
        <f ca="1">RESULTADOS!AF81</f>
        <v/>
      </c>
      <c r="EX23" s="146" t="str">
        <f ca="1">RESULTADOS!AG81</f>
        <v/>
      </c>
      <c r="EY23" s="146" t="str">
        <f ca="1">RESULTADOS!AH81</f>
        <v/>
      </c>
      <c r="EZ23" s="146" t="str">
        <f ca="1">RESULTADOS!AI81</f>
        <v/>
      </c>
      <c r="FA23" s="146" t="str">
        <f ca="1">RESULTADOS!AJ81</f>
        <v/>
      </c>
      <c r="FB23" s="146" t="str">
        <f ca="1">RESULTADOS!AK81</f>
        <v/>
      </c>
      <c r="FC23" s="146" t="str">
        <f ca="1">RESULTADOS!AL81</f>
        <v/>
      </c>
      <c r="FD23" s="146" t="str">
        <f ca="1">RESULTADOS!AM81</f>
        <v/>
      </c>
      <c r="FE23" s="146" t="str">
        <f ca="1">RESULTADOS!AN81</f>
        <v/>
      </c>
      <c r="FF23" s="146" t="str">
        <f ca="1">RESULTADOS!AO81</f>
        <v/>
      </c>
      <c r="FG23" s="146" t="str">
        <f ca="1">RESULTADOS!AP81</f>
        <v/>
      </c>
      <c r="FH23" s="146" t="str">
        <f ca="1">RESULTADOS!AQ81</f>
        <v/>
      </c>
      <c r="FI23" s="146" t="str">
        <f ca="1">RESULTADOS!AR81</f>
        <v/>
      </c>
      <c r="FJ23" s="146" t="str">
        <f ca="1">RESULTADOS!AS81</f>
        <v/>
      </c>
      <c r="FK23" s="146" t="str">
        <f ca="1">RESULTADOS!AT81</f>
        <v/>
      </c>
      <c r="FL23" s="146" t="str">
        <f ca="1">RESULTADOS!AU81</f>
        <v/>
      </c>
      <c r="FM23" s="146" t="str">
        <f ca="1">RESULTADOS!AV81</f>
        <v/>
      </c>
      <c r="FN23" s="146" t="str">
        <f ca="1">RESULTADOS!AW81</f>
        <v/>
      </c>
    </row>
    <row r="24" spans="3:170">
      <c r="C24" s="144" t="s">
        <v>276</v>
      </c>
      <c r="D24" s="147" t="str">
        <f>'01.Definición de ámbito'!D54</f>
        <v>No</v>
      </c>
      <c r="K24" s="40" t="s">
        <v>27</v>
      </c>
      <c r="L24" s="148" t="n">
        <f ca="1">RESULTADOS!P8</f>
        <v>50.0</v>
      </c>
      <c r="M24" s="216" t="n">
        <f ca="1">RESULTADOS!Q8</f>
        <v>0.18248175182481752</v>
      </c>
      <c r="T24" s="148" t="n">
        <f>RESULTADOS!B41</f>
        <v>1.0</v>
      </c>
      <c r="U24" s="148" t="str">
        <f>RESULTADOS!C41</f>
        <v>Home - PortCastelló</v>
      </c>
      <c r="V24" s="148" t="str">
        <f t="shared" si="0"/>
        <v>Página web</v>
      </c>
      <c r="W24" s="148" t="str">
        <v/>
      </c>
      <c r="X24" s="148" t="str">
        <f>RESULTADOS!D41</f>
        <v>https://www.portcastello.com/</v>
      </c>
      <c r="Y24" s="148" t="n">
        <v>0.0</v>
      </c>
      <c r="Z24" s="237" t="str">
        <v>Ej. Imágenes, tablas, listas, multimedia, formularios, plantilla X, plantilla Y</v>
      </c>
      <c r="AA24" s="146" t="str">
        <f ca="1">RESULTADOS!E41</f>
        <v>N/T</v>
      </c>
      <c r="AB24" s="146" t="str">
        <f ca="1">RESULTADOS!F41</f>
        <v>N/T</v>
      </c>
      <c r="AC24" s="146" t="str">
        <f ca="1">RESULTADOS!G41</f>
        <v>N/T</v>
      </c>
      <c r="AD24" s="146" t="str">
        <f ca="1">RESULTADOS!H41</f>
        <v>N/T</v>
      </c>
      <c r="AE24" s="146" t="str">
        <f ca="1">RESULTADOS!I41</f>
        <v>N/T</v>
      </c>
      <c r="AF24" s="146" t="str">
        <f ca="1">RESULTADOS!J41</f>
        <v>N/T</v>
      </c>
      <c r="AG24" s="146" t="str">
        <f ca="1">RESULTADOS!K41</f>
        <v>N/T</v>
      </c>
      <c r="AH24" s="146" t="str">
        <f ca="1">RESULTADOS!L41</f>
        <v>N/T</v>
      </c>
      <c r="AI24" s="146" t="str">
        <f ca="1">RESULTADOS!M41</f>
        <v>N/T</v>
      </c>
      <c r="AJ24" s="146" t="str">
        <f ca="1">RESULTADOS!N41</f>
        <v>N/T</v>
      </c>
      <c r="AK24" s="146" t="str">
        <f ca="1">RESULTADOS!O41</f>
        <v>N/T</v>
      </c>
      <c r="AL24" s="146" t="str">
        <f ca="1">RESULTADOS!P41</f>
        <v>N/T</v>
      </c>
      <c r="AM24" s="146" t="str">
        <f ca="1">RESULTADOS!Q41</f>
        <v>N/T</v>
      </c>
      <c r="AN24" s="146" t="str">
        <f ca="1">RESULTADOS!R41</f>
        <v>N/T</v>
      </c>
      <c r="AO24" s="146" t="str">
        <f ca="1">RESULTADOS!S41</f>
        <v>N/T</v>
      </c>
      <c r="AP24" s="146" t="str">
        <f ca="1">RESULTADOS!T41</f>
        <v>N/T</v>
      </c>
      <c r="AQ24" s="146" t="str">
        <f ca="1">RESULTADOS!U41</f>
        <v>N/T</v>
      </c>
      <c r="AR24" s="146" t="str">
        <f ca="1">RESULTADOS!V41</f>
        <v>N/T</v>
      </c>
      <c r="AS24" s="146" t="str">
        <f ca="1">RESULTADOS!W41</f>
        <v>N/T</v>
      </c>
      <c r="AT24" s="146" t="str">
        <f ca="1">RESULTADOS!X41</f>
        <v>N/T</v>
      </c>
      <c r="AU24" s="146" t="str">
        <f ca="1">RESULTADOS!Y41</f>
        <v>N/T</v>
      </c>
      <c r="AV24" s="146" t="str">
        <f ca="1">RESULTADOS!Z41</f>
        <v>N/T</v>
      </c>
      <c r="AW24" s="146" t="str">
        <f ca="1">RESULTADOS!AA41</f>
        <v>N/T</v>
      </c>
      <c r="AX24" s="146" t="str">
        <f ca="1">RESULTADOS!AB41</f>
        <v>N/T</v>
      </c>
      <c r="AY24" s="146" t="str">
        <f ca="1">RESULTADOS!AC41</f>
        <v>N/T</v>
      </c>
      <c r="AZ24" s="146" t="str">
        <f ca="1">RESULTADOS!AD41</f>
        <v>N/T</v>
      </c>
      <c r="BA24" s="146" t="str">
        <f ca="1">RESULTADOS!AE41</f>
        <v>N/T</v>
      </c>
      <c r="BB24" s="146" t="str">
        <f ca="1">RESULTADOS!AF41</f>
        <v>N/T</v>
      </c>
      <c r="BC24" s="146" t="str">
        <f ca="1">RESULTADOS!AG41</f>
        <v>N/T</v>
      </c>
      <c r="BD24" s="146" t="str">
        <f ca="1">RESULTADOS!AH41</f>
        <v>N/T</v>
      </c>
      <c r="BE24" s="146" t="str">
        <f ca="1">RESULTADOS!AI41</f>
        <v>N/T</v>
      </c>
      <c r="BF24" s="146" t="str">
        <f ca="1">RESULTADOS!AJ41</f>
        <v>N/D</v>
      </c>
      <c r="BG24" s="146" t="str">
        <f ca="1">RESULTADOS!AK41</f>
        <v>N/T</v>
      </c>
      <c r="BH24" s="146" t="str">
        <f ca="1">RESULTADOS!AL41</f>
        <v>N/T</v>
      </c>
      <c r="BI24" s="146" t="str">
        <f ca="1">RESULTADOS!AM41</f>
        <v>N/T</v>
      </c>
      <c r="BJ24" s="146" t="str">
        <f ca="1">RESULTADOS!AN41</f>
        <v>N/T</v>
      </c>
      <c r="BK24" s="146" t="str">
        <f ca="1">RESULTADOS!AO41</f>
        <v>N/D</v>
      </c>
      <c r="BL24" s="146" t="str">
        <f ca="1">RESULTADOS!AP41</f>
        <v>N/T</v>
      </c>
      <c r="BM24" s="146" t="str">
        <f ca="1">RESULTADOS!AQ41</f>
        <v>N/T</v>
      </c>
      <c r="BN24" s="146" t="str">
        <f ca="1">RESULTADOS!AR41</f>
        <v>N/D</v>
      </c>
      <c r="BO24" s="146" t="str">
        <f ca="1">RESULTADOS!AS41</f>
        <v>N/D</v>
      </c>
      <c r="BP24" s="146" t="str">
        <f ca="1">RESULTADOS!AT41</f>
        <v>N/T</v>
      </c>
      <c r="BQ24" s="146" t="str">
        <f ca="1">RESULTADOS!AU41</f>
        <v>N/T</v>
      </c>
      <c r="BR24" s="146" t="str">
        <f ca="1">RESULTADOS!AV41</f>
        <v>N/D</v>
      </c>
      <c r="BS24" s="146" t="str">
        <f ca="1">RESULTADOS!AW41</f>
        <v>N/T</v>
      </c>
      <c r="BT24" s="146" t="str">
        <f ca="1">RESULTADOS!AX41</f>
        <v>N/T</v>
      </c>
      <c r="BU24" s="146" t="str">
        <f ca="1">RESULTADOS!AY41</f>
        <v>N/D</v>
      </c>
      <c r="BV24" s="146" t="str">
        <f ca="1">RESULTADOS!AZ41</f>
        <v>N/T</v>
      </c>
      <c r="BW24" s="146" t="str">
        <f ca="1">RESULTADOS!BA41</f>
        <v>N/D</v>
      </c>
      <c r="BX24" s="146" t="str">
        <f ca="1">RESULTADOS!BB41</f>
        <v>N/T</v>
      </c>
      <c r="BY24" s="146" t="str">
        <f ca="1">RESULTADOS!BC41</f>
        <v>N/D</v>
      </c>
      <c r="BZ24" s="146" t="str">
        <f ca="1">RESULTADOS!BD41</f>
        <v>N/T</v>
      </c>
      <c r="CA24" s="146" t="str">
        <f ca="1">RESULTADOS!BE41</f>
        <v>N/T</v>
      </c>
      <c r="CB24" s="146" t="str">
        <f ca="1">RESULTADOS!BF41</f>
        <v>N/D</v>
      </c>
      <c r="CC24" s="146" t="str">
        <f ca="1">RESULTADOS!BG41</f>
        <v>N/D</v>
      </c>
      <c r="CD24" s="146" t="str">
        <f ca="1">RESULTADOS!BH41</f>
        <v>N/T</v>
      </c>
      <c r="CE24" s="146" t="str">
        <f ca="1">RESULTADOS!BI41</f>
        <v>N/D</v>
      </c>
      <c r="CF24" s="146" t="str">
        <f ca="1">RESULTADOS!BJ41</f>
        <v>N/D</v>
      </c>
      <c r="CG24" s="146" t="str">
        <f ca="1">RESULTADOS!BK41</f>
        <v>N/D</v>
      </c>
      <c r="CH24" s="146" t="str">
        <f ca="1">RESULTADOS!BL41</f>
        <v>N/D</v>
      </c>
      <c r="CI24" s="146" t="str">
        <f ca="1">RESULTADOS!BM41</f>
        <v>N/D</v>
      </c>
      <c r="CJ24" s="146" t="str">
        <f ca="1">RESULTADOS!BN41</f>
        <v>N/T</v>
      </c>
      <c r="CK24" s="146" t="str">
        <f ca="1">RESULTADOS!BO41</f>
        <v>Falla</v>
      </c>
      <c r="CL24" s="146" t="str">
        <f ca="1">RESULTADOS!BP41</f>
        <v>N/T</v>
      </c>
      <c r="CM24" s="146" t="str">
        <f ca="1">RESULTADOS!BQ41</f>
        <v>N/T</v>
      </c>
      <c r="CN24" s="146" t="str">
        <f ca="1">RESULTADOS!BR41</f>
        <v>N/D</v>
      </c>
      <c r="CO24" s="146" t="str">
        <f ca="1">RESULTADOS!BS41</f>
        <v>N/T</v>
      </c>
      <c r="CP24" s="146" t="str">
        <f ca="1">RESULTADOS!BT41</f>
        <v>N/D</v>
      </c>
      <c r="CQ24" s="146" t="str">
        <f ca="1">RESULTADOS!BU41</f>
        <v>Falla</v>
      </c>
      <c r="CR24" s="146" t="str">
        <f ca="1">RESULTADOS!BV41</f>
        <v>N/D</v>
      </c>
      <c r="CS24" s="146" t="str">
        <f ca="1">RESULTADOS!BW41</f>
        <v>N/D</v>
      </c>
      <c r="CT24" s="146" t="str">
        <f ca="1">RESULTADOS!BX41</f>
        <v>N/D</v>
      </c>
      <c r="CU24" s="146" t="str">
        <f ca="1">RESULTADOS!BY41</f>
        <v>N/T</v>
      </c>
      <c r="CV24" s="146" t="str">
        <f ca="1">RESULTADOS!BZ41</f>
        <v>N/T</v>
      </c>
      <c r="CW24" s="146" t="str">
        <f ca="1">RESULTADOS!CA41</f>
        <v>N/D</v>
      </c>
      <c r="CX24" s="146" t="str">
        <f ca="1">RESULTADOS!CB41</f>
        <v>N/T</v>
      </c>
      <c r="CY24" s="146" t="str">
        <f ca="1">RESULTADOS!CC41</f>
        <v>N/T</v>
      </c>
      <c r="CZ24" s="146" t="str">
        <f ca="1">RESULTADOS!CD41</f>
        <v>N/T</v>
      </c>
      <c r="DA24" s="146" t="str">
        <f ca="1">RESULTADOS!CE41</f>
        <v>N/D</v>
      </c>
      <c r="DB24" s="146" t="str">
        <f ca="1">RESULTADOS!CF41</f>
        <v>N/T</v>
      </c>
      <c r="DC24" s="146" t="str">
        <f ca="1">RESULTADOS!CG41</f>
        <v>N/T</v>
      </c>
      <c r="DD24" s="146" t="str">
        <f ca="1">RESULTADOS!CH41</f>
        <v>N/T</v>
      </c>
      <c r="DE24" s="146" t="str">
        <f ca="1">RESULTADOS!CI41</f>
        <v>N/T</v>
      </c>
      <c r="DF24" s="146" t="str">
        <f ca="1">RESULTADOS!CJ41</f>
        <v>N/T</v>
      </c>
      <c r="DG24" s="146" t="str">
        <f ca="1">RESULTADOS!CK41</f>
        <v>N/T</v>
      </c>
      <c r="DH24" s="146" t="str">
        <f ca="1">RESULTADOS!CL41</f>
        <v>N/T</v>
      </c>
      <c r="DI24" s="146" t="str">
        <f ca="1">RESULTADOS!CM41</f>
        <v>N/T</v>
      </c>
      <c r="DJ24" s="146" t="str">
        <f ca="1">RESULTADOS!CN41</f>
        <v>N/T</v>
      </c>
      <c r="DK24" s="146" t="str">
        <f ca="1">RESULTADOS!CO41</f>
        <v>N/T</v>
      </c>
      <c r="DL24" s="146" t="str">
        <f ca="1">RESULTADOS!CP41</f>
        <v>N/T</v>
      </c>
      <c r="DM24" s="146" t="str">
        <f ca="1">RESULTADOS!CQ41</f>
        <v>N/T</v>
      </c>
      <c r="DN24" s="146" t="str">
        <f ca="1">RESULTADOS!CR41</f>
        <v>N/T</v>
      </c>
      <c r="DO24" s="148" t="str">
        <f>RESULTADOS!B82</f>
        <v/>
      </c>
      <c r="DP24" s="148" t="str">
        <f>RESULTADOS!C82</f>
        <v/>
      </c>
      <c r="DQ24" s="148" t="str">
        <f t="shared" si="1"/>
        <v/>
      </c>
      <c r="DR24" s="148" t="str" cm="1">
        <f t="array" ref="DR24">IFERROR(INDEX('03.Muestra'!$E$8:$E$42,SMALL(IF("Documento no web"='03.Muestra'!$D$8:$D$42,ROW('03.Muestra'!$E$8:$E$42)-MIN(ROW('03.Muestra'!$D$8:$D$42))+1,""),ROW()-2)),"")</f>
        <v/>
      </c>
      <c r="DS24" s="148" t="str">
        <f>RESULTADOS!D82</f>
        <v/>
      </c>
      <c r="DT24" s="148" t="str" cm="1">
        <f t="array" ref="DT24">IFERROR(INDEX('03.Muestra'!$G$8:$G$42,SMALL(IF("Documento no web"='03.Muestra'!$D$8:$D$42,ROW('03.Muestra'!$G$8:$G$42)-MIN(ROW('03.Muestra'!$D$8:$D$42))+1,""),ROW()-2)),"")</f>
        <v/>
      </c>
      <c r="DU24" s="237" t="str" cm="1">
        <f t="array" ref="DU24">IFERROR(INDEX('03.Muestra'!$H$8:$H$42,SMALL(IF("Documento no web"='03.Muestra'!$D$8:$D$42,ROW('03.Muestra'!$H$8:$H$42)-MIN(ROW('03.Muestra'!$D$8:$D$42))+1,""),ROW()-2)),"")</f>
        <v/>
      </c>
      <c r="DV24" s="146" t="str">
        <f ca="1">RESULTADOS!E82</f>
        <v/>
      </c>
      <c r="DW24" s="146" t="str">
        <f ca="1">RESULTADOS!F82</f>
        <v/>
      </c>
      <c r="DX24" s="146" t="str">
        <f ca="1">RESULTADOS!G82</f>
        <v/>
      </c>
      <c r="DY24" s="146" t="str">
        <f ca="1">RESULTADOS!H82</f>
        <v/>
      </c>
      <c r="DZ24" s="146" t="str">
        <f ca="1">RESULTADOS!I82</f>
        <v/>
      </c>
      <c r="EA24" s="146" t="str">
        <f ca="1">RESULTADOS!J82</f>
        <v/>
      </c>
      <c r="EB24" s="146" t="str">
        <f ca="1">RESULTADOS!K82</f>
        <v/>
      </c>
      <c r="EC24" s="146" t="str">
        <f ca="1">RESULTADOS!L82</f>
        <v/>
      </c>
      <c r="ED24" s="146" t="str">
        <f ca="1">RESULTADOS!M82</f>
        <v/>
      </c>
      <c r="EE24" s="146" t="str">
        <f ca="1">RESULTADOS!N82</f>
        <v/>
      </c>
      <c r="EF24" s="146" t="str">
        <f ca="1">RESULTADOS!O82</f>
        <v/>
      </c>
      <c r="EG24" s="146" t="str">
        <f ca="1">RESULTADOS!P82</f>
        <v/>
      </c>
      <c r="EH24" s="146" t="str">
        <f ca="1">RESULTADOS!Q82</f>
        <v/>
      </c>
      <c r="EI24" s="146" t="str">
        <f ca="1">RESULTADOS!R82</f>
        <v/>
      </c>
      <c r="EJ24" s="146" t="str">
        <f ca="1">RESULTADOS!S82</f>
        <v/>
      </c>
      <c r="EK24" s="146" t="str">
        <f ca="1">RESULTADOS!T82</f>
        <v/>
      </c>
      <c r="EL24" s="146" t="str">
        <f ca="1">RESULTADOS!U82</f>
        <v/>
      </c>
      <c r="EM24" s="146" t="str">
        <f ca="1">RESULTADOS!V82</f>
        <v/>
      </c>
      <c r="EN24" s="146" t="str">
        <f ca="1">RESULTADOS!W82</f>
        <v/>
      </c>
      <c r="EO24" s="146" t="str">
        <f ca="1">RESULTADOS!X82</f>
        <v/>
      </c>
      <c r="EP24" s="146" t="str">
        <f ca="1">RESULTADOS!Y82</f>
        <v/>
      </c>
      <c r="EQ24" s="146" t="str">
        <f ca="1">RESULTADOS!Z82</f>
        <v/>
      </c>
      <c r="ER24" s="146" t="str">
        <f ca="1">RESULTADOS!AA82</f>
        <v/>
      </c>
      <c r="ES24" s="146" t="str">
        <f ca="1">RESULTADOS!AB82</f>
        <v/>
      </c>
      <c r="ET24" s="146" t="str">
        <f ca="1">RESULTADOS!AC82</f>
        <v/>
      </c>
      <c r="EU24" s="146" t="str">
        <f ca="1">RESULTADOS!AD82</f>
        <v/>
      </c>
      <c r="EV24" s="146" t="str">
        <f ca="1">RESULTADOS!AE82</f>
        <v/>
      </c>
      <c r="EW24" s="146" t="str">
        <f ca="1">RESULTADOS!AF82</f>
        <v/>
      </c>
      <c r="EX24" s="146" t="str">
        <f ca="1">RESULTADOS!AG82</f>
        <v/>
      </c>
      <c r="EY24" s="146" t="str">
        <f ca="1">RESULTADOS!AH82</f>
        <v/>
      </c>
      <c r="EZ24" s="146" t="str">
        <f ca="1">RESULTADOS!AI82</f>
        <v/>
      </c>
      <c r="FA24" s="146" t="str">
        <f ca="1">RESULTADOS!AJ82</f>
        <v/>
      </c>
      <c r="FB24" s="146" t="str">
        <f ca="1">RESULTADOS!AK82</f>
        <v/>
      </c>
      <c r="FC24" s="146" t="str">
        <f ca="1">RESULTADOS!AL82</f>
        <v/>
      </c>
      <c r="FD24" s="146" t="str">
        <f ca="1">RESULTADOS!AM82</f>
        <v/>
      </c>
      <c r="FE24" s="146" t="str">
        <f ca="1">RESULTADOS!AN82</f>
        <v/>
      </c>
      <c r="FF24" s="146" t="str">
        <f ca="1">RESULTADOS!AO82</f>
        <v/>
      </c>
      <c r="FG24" s="146" t="str">
        <f ca="1">RESULTADOS!AP82</f>
        <v/>
      </c>
      <c r="FH24" s="146" t="str">
        <f ca="1">RESULTADOS!AQ82</f>
        <v/>
      </c>
      <c r="FI24" s="146" t="str">
        <f ca="1">RESULTADOS!AR82</f>
        <v/>
      </c>
      <c r="FJ24" s="146" t="str">
        <f ca="1">RESULTADOS!AS82</f>
        <v/>
      </c>
      <c r="FK24" s="146" t="str">
        <f ca="1">RESULTADOS!AT82</f>
        <v/>
      </c>
      <c r="FL24" s="146" t="str">
        <f ca="1">RESULTADOS!AU82</f>
        <v/>
      </c>
      <c r="FM24" s="146" t="str">
        <f ca="1">RESULTADOS!AV82</f>
        <v/>
      </c>
      <c r="FN24" s="146" t="str">
        <f ca="1">RESULTADOS!AW82</f>
        <v/>
      </c>
    </row>
    <row r="25" spans="3:170">
      <c r="C25" s="144" t="s">
        <v>277</v>
      </c>
      <c r="D25" s="147" t="str">
        <f>'01.Definición de ámbito'!D55</f>
        <v>No</v>
      </c>
      <c r="K25" s="40" t="s">
        <v>29</v>
      </c>
      <c r="L25" s="148" t="n">
        <f ca="1">RESULTADOS!P9</f>
        <v>216.0</v>
      </c>
      <c r="M25" s="216" t="n">
        <f ca="1">RESULTADOS!Q9</f>
        <v>0.7883211678832117</v>
      </c>
      <c r="T25" s="148" t="n">
        <f>RESULTADOS!B42</f>
        <v>1.0</v>
      </c>
      <c r="U25" s="148" t="str">
        <f>RESULTADOS!C42</f>
        <v>Home - PortCastelló</v>
      </c>
      <c r="V25" s="148" t="str">
        <f t="shared" si="0"/>
        <v>Página web</v>
      </c>
      <c r="W25" s="148" t="str">
        <v/>
      </c>
      <c r="X25" s="148" t="str">
        <f>RESULTADOS!D42</f>
        <v>https://www.portcastello.com/</v>
      </c>
      <c r="Y25" s="148" t="n">
        <v>0.0</v>
      </c>
      <c r="Z25" s="237" t="str">
        <v>Ej. Imágenes, tablas, listas, multimedia, formularios, plantilla X, plantilla Y</v>
      </c>
      <c r="AA25" s="146" t="str">
        <f ca="1">RESULTADOS!E42</f>
        <v>N/T</v>
      </c>
      <c r="AB25" s="146" t="str">
        <f ca="1">RESULTADOS!F42</f>
        <v>N/T</v>
      </c>
      <c r="AC25" s="146" t="str">
        <f ca="1">RESULTADOS!G42</f>
        <v>N/T</v>
      </c>
      <c r="AD25" s="146" t="str">
        <f ca="1">RESULTADOS!H42</f>
        <v>N/T</v>
      </c>
      <c r="AE25" s="146" t="str">
        <f ca="1">RESULTADOS!I42</f>
        <v>N/T</v>
      </c>
      <c r="AF25" s="146" t="str">
        <f ca="1">RESULTADOS!J42</f>
        <v>N/T</v>
      </c>
      <c r="AG25" s="146" t="str">
        <f ca="1">RESULTADOS!K42</f>
        <v>N/T</v>
      </c>
      <c r="AH25" s="146" t="str">
        <f ca="1">RESULTADOS!L42</f>
        <v>N/T</v>
      </c>
      <c r="AI25" s="146" t="str">
        <f ca="1">RESULTADOS!M42</f>
        <v>N/T</v>
      </c>
      <c r="AJ25" s="146" t="str">
        <f ca="1">RESULTADOS!N42</f>
        <v>N/T</v>
      </c>
      <c r="AK25" s="146" t="str">
        <f ca="1">RESULTADOS!O42</f>
        <v>N/T</v>
      </c>
      <c r="AL25" s="146" t="str">
        <f ca="1">RESULTADOS!P42</f>
        <v>N/T</v>
      </c>
      <c r="AM25" s="146" t="str">
        <f ca="1">RESULTADOS!Q42</f>
        <v>N/T</v>
      </c>
      <c r="AN25" s="146" t="str">
        <f ca="1">RESULTADOS!R42</f>
        <v>N/T</v>
      </c>
      <c r="AO25" s="146" t="str">
        <f ca="1">RESULTADOS!S42</f>
        <v>N/T</v>
      </c>
      <c r="AP25" s="146" t="str">
        <f ca="1">RESULTADOS!T42</f>
        <v>N/T</v>
      </c>
      <c r="AQ25" s="146" t="str">
        <f ca="1">RESULTADOS!U42</f>
        <v>N/T</v>
      </c>
      <c r="AR25" s="146" t="str">
        <f ca="1">RESULTADOS!V42</f>
        <v>N/T</v>
      </c>
      <c r="AS25" s="146" t="str">
        <f ca="1">RESULTADOS!W42</f>
        <v>N/T</v>
      </c>
      <c r="AT25" s="146" t="str">
        <f ca="1">RESULTADOS!X42</f>
        <v>N/T</v>
      </c>
      <c r="AU25" s="146" t="str">
        <f ca="1">RESULTADOS!Y42</f>
        <v>N/T</v>
      </c>
      <c r="AV25" s="146" t="str">
        <f ca="1">RESULTADOS!Z42</f>
        <v>N/T</v>
      </c>
      <c r="AW25" s="146" t="str">
        <f ca="1">RESULTADOS!AA42</f>
        <v>N/T</v>
      </c>
      <c r="AX25" s="146" t="str">
        <f ca="1">RESULTADOS!AB42</f>
        <v>N/T</v>
      </c>
      <c r="AY25" s="146" t="str">
        <f ca="1">RESULTADOS!AC42</f>
        <v>N/T</v>
      </c>
      <c r="AZ25" s="146" t="str">
        <f ca="1">RESULTADOS!AD42</f>
        <v>N/T</v>
      </c>
      <c r="BA25" s="146" t="str">
        <f ca="1">RESULTADOS!AE42</f>
        <v>N/T</v>
      </c>
      <c r="BB25" s="146" t="str">
        <f ca="1">RESULTADOS!AF42</f>
        <v>N/T</v>
      </c>
      <c r="BC25" s="146" t="str">
        <f ca="1">RESULTADOS!AG42</f>
        <v>N/T</v>
      </c>
      <c r="BD25" s="146" t="str">
        <f ca="1">RESULTADOS!AH42</f>
        <v>N/T</v>
      </c>
      <c r="BE25" s="146" t="str">
        <f ca="1">RESULTADOS!AI42</f>
        <v>N/T</v>
      </c>
      <c r="BF25" s="146" t="str">
        <f ca="1">RESULTADOS!AJ42</f>
        <v>N/D</v>
      </c>
      <c r="BG25" s="146" t="str">
        <f ca="1">RESULTADOS!AK42</f>
        <v>N/T</v>
      </c>
      <c r="BH25" s="146" t="str">
        <f ca="1">RESULTADOS!AL42</f>
        <v>N/T</v>
      </c>
      <c r="BI25" s="146" t="str">
        <f ca="1">RESULTADOS!AM42</f>
        <v>N/T</v>
      </c>
      <c r="BJ25" s="146" t="str">
        <f ca="1">RESULTADOS!AN42</f>
        <v>N/T</v>
      </c>
      <c r="BK25" s="146" t="str">
        <f ca="1">RESULTADOS!AO42</f>
        <v>N/D</v>
      </c>
      <c r="BL25" s="146" t="str">
        <f ca="1">RESULTADOS!AP42</f>
        <v>N/T</v>
      </c>
      <c r="BM25" s="146" t="str">
        <f ca="1">RESULTADOS!AQ42</f>
        <v>N/T</v>
      </c>
      <c r="BN25" s="146" t="str">
        <f ca="1">RESULTADOS!AR42</f>
        <v>N/D</v>
      </c>
      <c r="BO25" s="146" t="str">
        <f ca="1">RESULTADOS!AS42</f>
        <v>N/D</v>
      </c>
      <c r="BP25" s="146" t="str">
        <f ca="1">RESULTADOS!AT42</f>
        <v>N/T</v>
      </c>
      <c r="BQ25" s="146" t="str">
        <f ca="1">RESULTADOS!AU42</f>
        <v>N/T</v>
      </c>
      <c r="BR25" s="146" t="str">
        <f ca="1">RESULTADOS!AV42</f>
        <v>N/D</v>
      </c>
      <c r="BS25" s="146" t="str">
        <f ca="1">RESULTADOS!AW42</f>
        <v>N/T</v>
      </c>
      <c r="BT25" s="146" t="str">
        <f ca="1">RESULTADOS!AX42</f>
        <v>N/T</v>
      </c>
      <c r="BU25" s="146" t="str">
        <f ca="1">RESULTADOS!AY42</f>
        <v>N/D</v>
      </c>
      <c r="BV25" s="146" t="str">
        <f ca="1">RESULTADOS!AZ42</f>
        <v>N/T</v>
      </c>
      <c r="BW25" s="146" t="str">
        <f ca="1">RESULTADOS!BA42</f>
        <v>N/D</v>
      </c>
      <c r="BX25" s="146" t="str">
        <f ca="1">RESULTADOS!BB42</f>
        <v>N/T</v>
      </c>
      <c r="BY25" s="146" t="str">
        <f ca="1">RESULTADOS!BC42</f>
        <v>N/D</v>
      </c>
      <c r="BZ25" s="146" t="str">
        <f ca="1">RESULTADOS!BD42</f>
        <v>N/T</v>
      </c>
      <c r="CA25" s="146" t="str">
        <f ca="1">RESULTADOS!BE42</f>
        <v>N/T</v>
      </c>
      <c r="CB25" s="146" t="str">
        <f ca="1">RESULTADOS!BF42</f>
        <v>N/D</v>
      </c>
      <c r="CC25" s="146" t="str">
        <f ca="1">RESULTADOS!BG42</f>
        <v>N/D</v>
      </c>
      <c r="CD25" s="146" t="str">
        <f ca="1">RESULTADOS!BH42</f>
        <v>N/T</v>
      </c>
      <c r="CE25" s="146" t="str">
        <f ca="1">RESULTADOS!BI42</f>
        <v>N/D</v>
      </c>
      <c r="CF25" s="146" t="str">
        <f ca="1">RESULTADOS!BJ42</f>
        <v>N/D</v>
      </c>
      <c r="CG25" s="146" t="str">
        <f ca="1">RESULTADOS!BK42</f>
        <v>N/D</v>
      </c>
      <c r="CH25" s="146" t="str">
        <f ca="1">RESULTADOS!BL42</f>
        <v>N/D</v>
      </c>
      <c r="CI25" s="146" t="str">
        <f ca="1">RESULTADOS!BM42</f>
        <v>N/D</v>
      </c>
      <c r="CJ25" s="146" t="str">
        <f ca="1">RESULTADOS!BN42</f>
        <v>N/T</v>
      </c>
      <c r="CK25" s="146" t="str">
        <f ca="1">RESULTADOS!BO42</f>
        <v>Falla</v>
      </c>
      <c r="CL25" s="146" t="str">
        <f ca="1">RESULTADOS!BP42</f>
        <v>N/T</v>
      </c>
      <c r="CM25" s="146" t="str">
        <f ca="1">RESULTADOS!BQ42</f>
        <v>N/T</v>
      </c>
      <c r="CN25" s="146" t="str">
        <f ca="1">RESULTADOS!BR42</f>
        <v>N/D</v>
      </c>
      <c r="CO25" s="146" t="str">
        <f ca="1">RESULTADOS!BS42</f>
        <v>N/T</v>
      </c>
      <c r="CP25" s="146" t="str">
        <f ca="1">RESULTADOS!BT42</f>
        <v>N/D</v>
      </c>
      <c r="CQ25" s="146" t="str">
        <f ca="1">RESULTADOS!BU42</f>
        <v>Falla</v>
      </c>
      <c r="CR25" s="146" t="str">
        <f ca="1">RESULTADOS!BV42</f>
        <v>N/D</v>
      </c>
      <c r="CS25" s="146" t="str">
        <f ca="1">RESULTADOS!BW42</f>
        <v>N/D</v>
      </c>
      <c r="CT25" s="146" t="str">
        <f ca="1">RESULTADOS!BX42</f>
        <v>N/D</v>
      </c>
      <c r="CU25" s="146" t="str">
        <f ca="1">RESULTADOS!BY42</f>
        <v>N/T</v>
      </c>
      <c r="CV25" s="146" t="str">
        <f ca="1">RESULTADOS!BZ42</f>
        <v>N/T</v>
      </c>
      <c r="CW25" s="146" t="str">
        <f ca="1">RESULTADOS!CA42</f>
        <v>N/D</v>
      </c>
      <c r="CX25" s="146" t="str">
        <f ca="1">RESULTADOS!CB42</f>
        <v>N/T</v>
      </c>
      <c r="CY25" s="146" t="str">
        <f ca="1">RESULTADOS!CC42</f>
        <v>N/T</v>
      </c>
      <c r="CZ25" s="146" t="str">
        <f ca="1">RESULTADOS!CD42</f>
        <v>N/T</v>
      </c>
      <c r="DA25" s="146" t="str">
        <f ca="1">RESULTADOS!CE42</f>
        <v>N/D</v>
      </c>
      <c r="DB25" s="146" t="str">
        <f ca="1">RESULTADOS!CF42</f>
        <v>N/T</v>
      </c>
      <c r="DC25" s="146" t="str">
        <f ca="1">RESULTADOS!CG42</f>
        <v>N/T</v>
      </c>
      <c r="DD25" s="146" t="str">
        <f ca="1">RESULTADOS!CH42</f>
        <v>N/T</v>
      </c>
      <c r="DE25" s="146" t="str">
        <f ca="1">RESULTADOS!CI42</f>
        <v>N/T</v>
      </c>
      <c r="DF25" s="146" t="str">
        <f ca="1">RESULTADOS!CJ42</f>
        <v>N/T</v>
      </c>
      <c r="DG25" s="146" t="str">
        <f ca="1">RESULTADOS!CK42</f>
        <v>N/T</v>
      </c>
      <c r="DH25" s="146" t="str">
        <f ca="1">RESULTADOS!CL42</f>
        <v>N/T</v>
      </c>
      <c r="DI25" s="146" t="str">
        <f ca="1">RESULTADOS!CM42</f>
        <v>N/T</v>
      </c>
      <c r="DJ25" s="146" t="str">
        <f ca="1">RESULTADOS!CN42</f>
        <v>N/T</v>
      </c>
      <c r="DK25" s="146" t="str">
        <f ca="1">RESULTADOS!CO42</f>
        <v>N/T</v>
      </c>
      <c r="DL25" s="146" t="str">
        <f ca="1">RESULTADOS!CP42</f>
        <v>N/T</v>
      </c>
      <c r="DM25" s="146" t="str">
        <f ca="1">RESULTADOS!CQ42</f>
        <v>N/T</v>
      </c>
      <c r="DN25" s="146" t="str">
        <f ca="1">RESULTADOS!CR42</f>
        <v>N/T</v>
      </c>
      <c r="DO25" s="148" t="str">
        <f>RESULTADOS!B83</f>
        <v/>
      </c>
      <c r="DP25" s="148" t="str">
        <f>RESULTADOS!C83</f>
        <v/>
      </c>
      <c r="DQ25" s="148" t="str">
        <f t="shared" si="1"/>
        <v/>
      </c>
      <c r="DR25" s="148" t="str" cm="1">
        <f t="array" ref="DR25">IFERROR(INDEX('03.Muestra'!$E$8:$E$42,SMALL(IF("Documento no web"='03.Muestra'!$D$8:$D$42,ROW('03.Muestra'!$E$8:$E$42)-MIN(ROW('03.Muestra'!$D$8:$D$42))+1,""),ROW()-2)),"")</f>
        <v/>
      </c>
      <c r="DS25" s="148" t="str">
        <f>RESULTADOS!D83</f>
        <v/>
      </c>
      <c r="DT25" s="148" t="str" cm="1">
        <f t="array" ref="DT25">IFERROR(INDEX('03.Muestra'!$G$8:$G$42,SMALL(IF("Documento no web"='03.Muestra'!$D$8:$D$42,ROW('03.Muestra'!$G$8:$G$42)-MIN(ROW('03.Muestra'!$D$8:$D$42))+1,""),ROW()-2)),"")</f>
        <v/>
      </c>
      <c r="DU25" s="237" t="str" cm="1">
        <f t="array" ref="DU25">IFERROR(INDEX('03.Muestra'!$H$8:$H$42,SMALL(IF("Documento no web"='03.Muestra'!$D$8:$D$42,ROW('03.Muestra'!$H$8:$H$42)-MIN(ROW('03.Muestra'!$D$8:$D$42))+1,""),ROW()-2)),"")</f>
        <v/>
      </c>
      <c r="DV25" s="146" t="str">
        <f ca="1">RESULTADOS!E83</f>
        <v/>
      </c>
      <c r="DW25" s="146" t="str">
        <f ca="1">RESULTADOS!F83</f>
        <v/>
      </c>
      <c r="DX25" s="146" t="str">
        <f ca="1">RESULTADOS!G83</f>
        <v/>
      </c>
      <c r="DY25" s="146" t="str">
        <f ca="1">RESULTADOS!H83</f>
        <v/>
      </c>
      <c r="DZ25" s="146" t="str">
        <f ca="1">RESULTADOS!I83</f>
        <v/>
      </c>
      <c r="EA25" s="146" t="str">
        <f ca="1">RESULTADOS!J83</f>
        <v/>
      </c>
      <c r="EB25" s="146" t="str">
        <f ca="1">RESULTADOS!K83</f>
        <v/>
      </c>
      <c r="EC25" s="146" t="str">
        <f ca="1">RESULTADOS!L83</f>
        <v/>
      </c>
      <c r="ED25" s="146" t="str">
        <f ca="1">RESULTADOS!M83</f>
        <v/>
      </c>
      <c r="EE25" s="146" t="str">
        <f ca="1">RESULTADOS!N83</f>
        <v/>
      </c>
      <c r="EF25" s="146" t="str">
        <f ca="1">RESULTADOS!O83</f>
        <v/>
      </c>
      <c r="EG25" s="146" t="str">
        <f ca="1">RESULTADOS!P83</f>
        <v/>
      </c>
      <c r="EH25" s="146" t="str">
        <f ca="1">RESULTADOS!Q83</f>
        <v/>
      </c>
      <c r="EI25" s="146" t="str">
        <f ca="1">RESULTADOS!R83</f>
        <v/>
      </c>
      <c r="EJ25" s="146" t="str">
        <f ca="1">RESULTADOS!S83</f>
        <v/>
      </c>
      <c r="EK25" s="146" t="str">
        <f ca="1">RESULTADOS!T83</f>
        <v/>
      </c>
      <c r="EL25" s="146" t="str">
        <f ca="1">RESULTADOS!U83</f>
        <v/>
      </c>
      <c r="EM25" s="146" t="str">
        <f ca="1">RESULTADOS!V83</f>
        <v/>
      </c>
      <c r="EN25" s="146" t="str">
        <f ca="1">RESULTADOS!W83</f>
        <v/>
      </c>
      <c r="EO25" s="146" t="str">
        <f ca="1">RESULTADOS!X83</f>
        <v/>
      </c>
      <c r="EP25" s="146" t="str">
        <f ca="1">RESULTADOS!Y83</f>
        <v/>
      </c>
      <c r="EQ25" s="146" t="str">
        <f ca="1">RESULTADOS!Z83</f>
        <v/>
      </c>
      <c r="ER25" s="146" t="str">
        <f ca="1">RESULTADOS!AA83</f>
        <v/>
      </c>
      <c r="ES25" s="146" t="str">
        <f ca="1">RESULTADOS!AB83</f>
        <v/>
      </c>
      <c r="ET25" s="146" t="str">
        <f ca="1">RESULTADOS!AC83</f>
        <v/>
      </c>
      <c r="EU25" s="146" t="str">
        <f ca="1">RESULTADOS!AD83</f>
        <v/>
      </c>
      <c r="EV25" s="146" t="str">
        <f ca="1">RESULTADOS!AE83</f>
        <v/>
      </c>
      <c r="EW25" s="146" t="str">
        <f ca="1">RESULTADOS!AF83</f>
        <v/>
      </c>
      <c r="EX25" s="146" t="str">
        <f ca="1">RESULTADOS!AG83</f>
        <v/>
      </c>
      <c r="EY25" s="146" t="str">
        <f ca="1">RESULTADOS!AH83</f>
        <v/>
      </c>
      <c r="EZ25" s="146" t="str">
        <f ca="1">RESULTADOS!AI83</f>
        <v/>
      </c>
      <c r="FA25" s="146" t="str">
        <f ca="1">RESULTADOS!AJ83</f>
        <v/>
      </c>
      <c r="FB25" s="146" t="str">
        <f ca="1">RESULTADOS!AK83</f>
        <v/>
      </c>
      <c r="FC25" s="146" t="str">
        <f ca="1">RESULTADOS!AL83</f>
        <v/>
      </c>
      <c r="FD25" s="146" t="str">
        <f ca="1">RESULTADOS!AM83</f>
        <v/>
      </c>
      <c r="FE25" s="146" t="str">
        <f ca="1">RESULTADOS!AN83</f>
        <v/>
      </c>
      <c r="FF25" s="146" t="str">
        <f ca="1">RESULTADOS!AO83</f>
        <v/>
      </c>
      <c r="FG25" s="146" t="str">
        <f ca="1">RESULTADOS!AP83</f>
        <v/>
      </c>
      <c r="FH25" s="146" t="str">
        <f ca="1">RESULTADOS!AQ83</f>
        <v/>
      </c>
      <c r="FI25" s="146" t="str">
        <f ca="1">RESULTADOS!AR83</f>
        <v/>
      </c>
      <c r="FJ25" s="146" t="str">
        <f ca="1">RESULTADOS!AS83</f>
        <v/>
      </c>
      <c r="FK25" s="146" t="str">
        <f ca="1">RESULTADOS!AT83</f>
        <v/>
      </c>
      <c r="FL25" s="146" t="str">
        <f ca="1">RESULTADOS!AU83</f>
        <v/>
      </c>
      <c r="FM25" s="146" t="str">
        <f ca="1">RESULTADOS!AV83</f>
        <v/>
      </c>
      <c r="FN25" s="146" t="str">
        <f ca="1">RESULTADOS!AW83</f>
        <v/>
      </c>
    </row>
    <row r="26" spans="3:170">
      <c r="C26" s="144" t="s">
        <v>10</v>
      </c>
      <c r="D26" s="147" t="str">
        <f>'01.Definición de ámbito'!D56</f>
        <v>No</v>
      </c>
      <c r="K26" s="40" t="s">
        <v>48</v>
      </c>
      <c r="L26" s="148" t="n">
        <f ca="1">RESULTADOS!P11</f>
        <v>266.0</v>
      </c>
      <c r="M26" s="216" t="n">
        <f ca="1">RESULTADOS!Q11</f>
        <v>0.9708029197080292</v>
      </c>
      <c r="T26" s="148" t="n">
        <f>RESULTADOS!B43</f>
        <v>1.0</v>
      </c>
      <c r="U26" s="148" t="str">
        <f>RESULTADOS!C43</f>
        <v>Home - PortCastelló</v>
      </c>
      <c r="V26" s="148" t="str">
        <f t="shared" si="0"/>
        <v>Página web</v>
      </c>
      <c r="W26" s="148" t="str">
        <v/>
      </c>
      <c r="X26" s="148" t="str">
        <f>RESULTADOS!D43</f>
        <v>https://www.portcastello.com/</v>
      </c>
      <c r="Y26" s="148" t="n">
        <v>0.0</v>
      </c>
      <c r="Z26" s="237" t="str">
        <v>Ej. Imágenes, tablas, listas, multimedia, formularios, plantilla X, plantilla Y</v>
      </c>
      <c r="AA26" s="146" t="str">
        <f ca="1">RESULTADOS!E43</f>
        <v>N/T</v>
      </c>
      <c r="AB26" s="146" t="str">
        <f ca="1">RESULTADOS!F43</f>
        <v>N/T</v>
      </c>
      <c r="AC26" s="146" t="str">
        <f ca="1">RESULTADOS!G43</f>
        <v>N/T</v>
      </c>
      <c r="AD26" s="146" t="str">
        <f ca="1">RESULTADOS!H43</f>
        <v>N/T</v>
      </c>
      <c r="AE26" s="146" t="str">
        <f ca="1">RESULTADOS!I43</f>
        <v>N/T</v>
      </c>
      <c r="AF26" s="146" t="str">
        <f ca="1">RESULTADOS!J43</f>
        <v>N/T</v>
      </c>
      <c r="AG26" s="146" t="str">
        <f ca="1">RESULTADOS!K43</f>
        <v>N/T</v>
      </c>
      <c r="AH26" s="146" t="str">
        <f ca="1">RESULTADOS!L43</f>
        <v>N/T</v>
      </c>
      <c r="AI26" s="146" t="str">
        <f ca="1">RESULTADOS!M43</f>
        <v>N/T</v>
      </c>
      <c r="AJ26" s="146" t="str">
        <f ca="1">RESULTADOS!N43</f>
        <v>N/T</v>
      </c>
      <c r="AK26" s="146" t="str">
        <f ca="1">RESULTADOS!O43</f>
        <v>N/T</v>
      </c>
      <c r="AL26" s="146" t="str">
        <f ca="1">RESULTADOS!P43</f>
        <v>N/T</v>
      </c>
      <c r="AM26" s="146" t="str">
        <f ca="1">RESULTADOS!Q43</f>
        <v>N/T</v>
      </c>
      <c r="AN26" s="146" t="str">
        <f ca="1">RESULTADOS!R43</f>
        <v>N/T</v>
      </c>
      <c r="AO26" s="146" t="str">
        <f ca="1">RESULTADOS!S43</f>
        <v>N/T</v>
      </c>
      <c r="AP26" s="146" t="str">
        <f ca="1">RESULTADOS!T43</f>
        <v>N/T</v>
      </c>
      <c r="AQ26" s="146" t="str">
        <f ca="1">RESULTADOS!U43</f>
        <v>N/T</v>
      </c>
      <c r="AR26" s="146" t="str">
        <f ca="1">RESULTADOS!V43</f>
        <v>N/T</v>
      </c>
      <c r="AS26" s="146" t="str">
        <f ca="1">RESULTADOS!W43</f>
        <v>N/T</v>
      </c>
      <c r="AT26" s="146" t="str">
        <f ca="1">RESULTADOS!X43</f>
        <v>N/T</v>
      </c>
      <c r="AU26" s="146" t="str">
        <f ca="1">RESULTADOS!Y43</f>
        <v>N/T</v>
      </c>
      <c r="AV26" s="146" t="str">
        <f ca="1">RESULTADOS!Z43</f>
        <v>N/T</v>
      </c>
      <c r="AW26" s="146" t="str">
        <f ca="1">RESULTADOS!AA43</f>
        <v>N/T</v>
      </c>
      <c r="AX26" s="146" t="str">
        <f ca="1">RESULTADOS!AB43</f>
        <v>N/T</v>
      </c>
      <c r="AY26" s="146" t="str">
        <f ca="1">RESULTADOS!AC43</f>
        <v>N/T</v>
      </c>
      <c r="AZ26" s="146" t="str">
        <f ca="1">RESULTADOS!AD43</f>
        <v>N/T</v>
      </c>
      <c r="BA26" s="146" t="str">
        <f ca="1">RESULTADOS!AE43</f>
        <v>N/T</v>
      </c>
      <c r="BB26" s="146" t="str">
        <f ca="1">RESULTADOS!AF43</f>
        <v>N/T</v>
      </c>
      <c r="BC26" s="146" t="str">
        <f ca="1">RESULTADOS!AG43</f>
        <v>N/T</v>
      </c>
      <c r="BD26" s="146" t="str">
        <f ca="1">RESULTADOS!AH43</f>
        <v>N/T</v>
      </c>
      <c r="BE26" s="146" t="str">
        <f ca="1">RESULTADOS!AI43</f>
        <v>N/T</v>
      </c>
      <c r="BF26" s="146" t="str">
        <f ca="1">RESULTADOS!AJ43</f>
        <v>N/D</v>
      </c>
      <c r="BG26" s="146" t="str">
        <f ca="1">RESULTADOS!AK43</f>
        <v>N/T</v>
      </c>
      <c r="BH26" s="146" t="str">
        <f ca="1">RESULTADOS!AL43</f>
        <v>N/T</v>
      </c>
      <c r="BI26" s="146" t="str">
        <f ca="1">RESULTADOS!AM43</f>
        <v>N/T</v>
      </c>
      <c r="BJ26" s="146" t="str">
        <f ca="1">RESULTADOS!AN43</f>
        <v>N/T</v>
      </c>
      <c r="BK26" s="146" t="str">
        <f ca="1">RESULTADOS!AO43</f>
        <v>N/D</v>
      </c>
      <c r="BL26" s="146" t="str">
        <f ca="1">RESULTADOS!AP43</f>
        <v>N/T</v>
      </c>
      <c r="BM26" s="146" t="str">
        <f ca="1">RESULTADOS!AQ43</f>
        <v>N/T</v>
      </c>
      <c r="BN26" s="146" t="str">
        <f ca="1">RESULTADOS!AR43</f>
        <v>N/D</v>
      </c>
      <c r="BO26" s="146" t="str">
        <f ca="1">RESULTADOS!AS43</f>
        <v>Falla</v>
      </c>
      <c r="BP26" s="146" t="str">
        <f ca="1">RESULTADOS!AT43</f>
        <v>N/T</v>
      </c>
      <c r="BQ26" s="146" t="str">
        <f ca="1">RESULTADOS!AU43</f>
        <v>N/T</v>
      </c>
      <c r="BR26" s="146" t="str">
        <f ca="1">RESULTADOS!AV43</f>
        <v>Falla</v>
      </c>
      <c r="BS26" s="146" t="str">
        <f ca="1">RESULTADOS!AW43</f>
        <v>N/T</v>
      </c>
      <c r="BT26" s="146" t="str">
        <f ca="1">RESULTADOS!AX43</f>
        <v>N/T</v>
      </c>
      <c r="BU26" s="146" t="str">
        <f ca="1">RESULTADOS!AY43</f>
        <v>N/D</v>
      </c>
      <c r="BV26" s="146" t="str">
        <f ca="1">RESULTADOS!AZ43</f>
        <v>N/T</v>
      </c>
      <c r="BW26" s="146" t="str">
        <f ca="1">RESULTADOS!BA43</f>
        <v>N/D</v>
      </c>
      <c r="BX26" s="146" t="str">
        <f ca="1">RESULTADOS!BB43</f>
        <v>N/T</v>
      </c>
      <c r="BY26" s="146" t="str">
        <f ca="1">RESULTADOS!BC43</f>
        <v>N/D</v>
      </c>
      <c r="BZ26" s="146" t="str">
        <f ca="1">RESULTADOS!BD43</f>
        <v>N/T</v>
      </c>
      <c r="CA26" s="146" t="str">
        <f ca="1">RESULTADOS!BE43</f>
        <v>N/T</v>
      </c>
      <c r="CB26" s="146" t="str">
        <f ca="1">RESULTADOS!BF43</f>
        <v>N/D</v>
      </c>
      <c r="CC26" s="146" t="str">
        <f ca="1">RESULTADOS!BG43</f>
        <v>N/D</v>
      </c>
      <c r="CD26" s="146" t="str">
        <f ca="1">RESULTADOS!BH43</f>
        <v>N/T</v>
      </c>
      <c r="CE26" s="146" t="str">
        <f ca="1">RESULTADOS!BI43</f>
        <v>N/D</v>
      </c>
      <c r="CF26" s="146" t="str">
        <f ca="1">RESULTADOS!BJ43</f>
        <v>N/D</v>
      </c>
      <c r="CG26" s="146" t="str">
        <f ca="1">RESULTADOS!BK43</f>
        <v>N/D</v>
      </c>
      <c r="CH26" s="146" t="str">
        <f ca="1">RESULTADOS!BL43</f>
        <v>N/D</v>
      </c>
      <c r="CI26" s="146" t="str">
        <f ca="1">RESULTADOS!BM43</f>
        <v>N/D</v>
      </c>
      <c r="CJ26" s="146" t="str">
        <f ca="1">RESULTADOS!BN43</f>
        <v>N/T</v>
      </c>
      <c r="CK26" s="146" t="str">
        <f ca="1">RESULTADOS!BO43</f>
        <v>Falla</v>
      </c>
      <c r="CL26" s="146" t="str">
        <f ca="1">RESULTADOS!BP43</f>
        <v>N/T</v>
      </c>
      <c r="CM26" s="146" t="str">
        <f ca="1">RESULTADOS!BQ43</f>
        <v>N/T</v>
      </c>
      <c r="CN26" s="146" t="str">
        <f ca="1">RESULTADOS!BR43</f>
        <v>N/D</v>
      </c>
      <c r="CO26" s="146" t="str">
        <f ca="1">RESULTADOS!BS43</f>
        <v>N/T</v>
      </c>
      <c r="CP26" s="146" t="str">
        <f ca="1">RESULTADOS!BT43</f>
        <v>N/D</v>
      </c>
      <c r="CQ26" s="146" t="str">
        <f ca="1">RESULTADOS!BU43</f>
        <v>Falla</v>
      </c>
      <c r="CR26" s="146" t="str">
        <f ca="1">RESULTADOS!BV43</f>
        <v>N/D</v>
      </c>
      <c r="CS26" s="146" t="str">
        <f ca="1">RESULTADOS!BW43</f>
        <v>N/D</v>
      </c>
      <c r="CT26" s="146" t="str">
        <f ca="1">RESULTADOS!BX43</f>
        <v>N/D</v>
      </c>
      <c r="CU26" s="146" t="str">
        <f ca="1">RESULTADOS!BY43</f>
        <v>N/T</v>
      </c>
      <c r="CV26" s="146" t="str">
        <f ca="1">RESULTADOS!BZ43</f>
        <v>N/T</v>
      </c>
      <c r="CW26" s="146" t="str">
        <f ca="1">RESULTADOS!CA43</f>
        <v>Falla</v>
      </c>
      <c r="CX26" s="146" t="str">
        <f ca="1">RESULTADOS!CB43</f>
        <v>N/T</v>
      </c>
      <c r="CY26" s="146" t="str">
        <f ca="1">RESULTADOS!CC43</f>
        <v>N/T</v>
      </c>
      <c r="CZ26" s="146" t="str">
        <f ca="1">RESULTADOS!CD43</f>
        <v>N/T</v>
      </c>
      <c r="DA26" s="146" t="str">
        <f ca="1">RESULTADOS!CE43</f>
        <v>N/D</v>
      </c>
      <c r="DB26" s="146" t="str">
        <f ca="1">RESULTADOS!CF43</f>
        <v>N/T</v>
      </c>
      <c r="DC26" s="146" t="str">
        <f ca="1">RESULTADOS!CG43</f>
        <v>N/T</v>
      </c>
      <c r="DD26" s="146" t="str">
        <f ca="1">RESULTADOS!CH43</f>
        <v>N/T</v>
      </c>
      <c r="DE26" s="146" t="str">
        <f ca="1">RESULTADOS!CI43</f>
        <v>N/T</v>
      </c>
      <c r="DF26" s="146" t="str">
        <f ca="1">RESULTADOS!CJ43</f>
        <v>N/T</v>
      </c>
      <c r="DG26" s="146" t="str">
        <f ca="1">RESULTADOS!CK43</f>
        <v>N/T</v>
      </c>
      <c r="DH26" s="146" t="str">
        <f ca="1">RESULTADOS!CL43</f>
        <v>N/T</v>
      </c>
      <c r="DI26" s="146" t="str">
        <f ca="1">RESULTADOS!CM43</f>
        <v>N/T</v>
      </c>
      <c r="DJ26" s="146" t="str">
        <f ca="1">RESULTADOS!CN43</f>
        <v>N/T</v>
      </c>
      <c r="DK26" s="146" t="str">
        <f ca="1">RESULTADOS!CO43</f>
        <v>N/T</v>
      </c>
      <c r="DL26" s="146" t="str">
        <f ca="1">RESULTADOS!CP43</f>
        <v>N/T</v>
      </c>
      <c r="DM26" s="146" t="str">
        <f ca="1">RESULTADOS!CQ43</f>
        <v>N/T</v>
      </c>
      <c r="DN26" s="146" t="str">
        <f ca="1">RESULTADOS!CR43</f>
        <v>N/T</v>
      </c>
      <c r="DO26" s="148" t="str">
        <f>RESULTADOS!B84</f>
        <v/>
      </c>
      <c r="DP26" s="148" t="str">
        <f>RESULTADOS!C84</f>
        <v/>
      </c>
      <c r="DQ26" s="148" t="str">
        <f t="shared" si="1"/>
        <v/>
      </c>
      <c r="DR26" s="148" t="str" cm="1">
        <f t="array" ref="DR26">IFERROR(INDEX('03.Muestra'!$E$8:$E$42,SMALL(IF("Documento no web"='03.Muestra'!$D$8:$D$42,ROW('03.Muestra'!$E$8:$E$42)-MIN(ROW('03.Muestra'!$D$8:$D$42))+1,""),ROW()-2)),"")</f>
        <v/>
      </c>
      <c r="DS26" s="148" t="str">
        <f>RESULTADOS!D84</f>
        <v/>
      </c>
      <c r="DT26" s="148" t="str" cm="1">
        <f t="array" ref="DT26">IFERROR(INDEX('03.Muestra'!$G$8:$G$42,SMALL(IF("Documento no web"='03.Muestra'!$D$8:$D$42,ROW('03.Muestra'!$G$8:$G$42)-MIN(ROW('03.Muestra'!$D$8:$D$42))+1,""),ROW()-2)),"")</f>
        <v/>
      </c>
      <c r="DU26" s="237" t="str" cm="1">
        <f t="array" ref="DU26">IFERROR(INDEX('03.Muestra'!$H$8:$H$42,SMALL(IF("Documento no web"='03.Muestra'!$D$8:$D$42,ROW('03.Muestra'!$H$8:$H$42)-MIN(ROW('03.Muestra'!$D$8:$D$42))+1,""),ROW()-2)),"")</f>
        <v/>
      </c>
      <c r="DV26" s="146" t="str">
        <f ca="1">RESULTADOS!E84</f>
        <v/>
      </c>
      <c r="DW26" s="146" t="str">
        <f ca="1">RESULTADOS!F84</f>
        <v/>
      </c>
      <c r="DX26" s="146" t="str">
        <f ca="1">RESULTADOS!G84</f>
        <v/>
      </c>
      <c r="DY26" s="146" t="str">
        <f ca="1">RESULTADOS!H84</f>
        <v/>
      </c>
      <c r="DZ26" s="146" t="str">
        <f ca="1">RESULTADOS!I84</f>
        <v/>
      </c>
      <c r="EA26" s="146" t="str">
        <f ca="1">RESULTADOS!J84</f>
        <v/>
      </c>
      <c r="EB26" s="146" t="str">
        <f ca="1">RESULTADOS!K84</f>
        <v/>
      </c>
      <c r="EC26" s="146" t="str">
        <f ca="1">RESULTADOS!L84</f>
        <v/>
      </c>
      <c r="ED26" s="146" t="str">
        <f ca="1">RESULTADOS!M84</f>
        <v/>
      </c>
      <c r="EE26" s="146" t="str">
        <f ca="1">RESULTADOS!N84</f>
        <v/>
      </c>
      <c r="EF26" s="146" t="str">
        <f ca="1">RESULTADOS!O84</f>
        <v/>
      </c>
      <c r="EG26" s="146" t="str">
        <f ca="1">RESULTADOS!P84</f>
        <v/>
      </c>
      <c r="EH26" s="146" t="str">
        <f ca="1">RESULTADOS!Q84</f>
        <v/>
      </c>
      <c r="EI26" s="146" t="str">
        <f ca="1">RESULTADOS!R84</f>
        <v/>
      </c>
      <c r="EJ26" s="146" t="str">
        <f ca="1">RESULTADOS!S84</f>
        <v/>
      </c>
      <c r="EK26" s="146" t="str">
        <f ca="1">RESULTADOS!T84</f>
        <v/>
      </c>
      <c r="EL26" s="146" t="str">
        <f ca="1">RESULTADOS!U84</f>
        <v/>
      </c>
      <c r="EM26" s="146" t="str">
        <f ca="1">RESULTADOS!V84</f>
        <v/>
      </c>
      <c r="EN26" s="146" t="str">
        <f ca="1">RESULTADOS!W84</f>
        <v/>
      </c>
      <c r="EO26" s="146" t="str">
        <f ca="1">RESULTADOS!X84</f>
        <v/>
      </c>
      <c r="EP26" s="146" t="str">
        <f ca="1">RESULTADOS!Y84</f>
        <v/>
      </c>
      <c r="EQ26" s="146" t="str">
        <f ca="1">RESULTADOS!Z84</f>
        <v/>
      </c>
      <c r="ER26" s="146" t="str">
        <f ca="1">RESULTADOS!AA84</f>
        <v/>
      </c>
      <c r="ES26" s="146" t="str">
        <f ca="1">RESULTADOS!AB84</f>
        <v/>
      </c>
      <c r="ET26" s="146" t="str">
        <f ca="1">RESULTADOS!AC84</f>
        <v/>
      </c>
      <c r="EU26" s="146" t="str">
        <f ca="1">RESULTADOS!AD84</f>
        <v/>
      </c>
      <c r="EV26" s="146" t="str">
        <f ca="1">RESULTADOS!AE84</f>
        <v/>
      </c>
      <c r="EW26" s="146" t="str">
        <f ca="1">RESULTADOS!AF84</f>
        <v/>
      </c>
      <c r="EX26" s="146" t="str">
        <f ca="1">RESULTADOS!AG84</f>
        <v/>
      </c>
      <c r="EY26" s="146" t="str">
        <f ca="1">RESULTADOS!AH84</f>
        <v/>
      </c>
      <c r="EZ26" s="146" t="str">
        <f ca="1">RESULTADOS!AI84</f>
        <v/>
      </c>
      <c r="FA26" s="146" t="str">
        <f ca="1">RESULTADOS!AJ84</f>
        <v/>
      </c>
      <c r="FB26" s="146" t="str">
        <f ca="1">RESULTADOS!AK84</f>
        <v/>
      </c>
      <c r="FC26" s="146" t="str">
        <f ca="1">RESULTADOS!AL84</f>
        <v/>
      </c>
      <c r="FD26" s="146" t="str">
        <f ca="1">RESULTADOS!AM84</f>
        <v/>
      </c>
      <c r="FE26" s="146" t="str">
        <f ca="1">RESULTADOS!AN84</f>
        <v/>
      </c>
      <c r="FF26" s="146" t="str">
        <f ca="1">RESULTADOS!AO84</f>
        <v/>
      </c>
      <c r="FG26" s="146" t="str">
        <f ca="1">RESULTADOS!AP84</f>
        <v/>
      </c>
      <c r="FH26" s="146" t="str">
        <f ca="1">RESULTADOS!AQ84</f>
        <v/>
      </c>
      <c r="FI26" s="146" t="str">
        <f ca="1">RESULTADOS!AR84</f>
        <v/>
      </c>
      <c r="FJ26" s="146" t="str">
        <f ca="1">RESULTADOS!AS84</f>
        <v/>
      </c>
      <c r="FK26" s="146" t="str">
        <f ca="1">RESULTADOS!AT84</f>
        <v/>
      </c>
      <c r="FL26" s="146" t="str">
        <f ca="1">RESULTADOS!AU84</f>
        <v/>
      </c>
      <c r="FM26" s="146" t="str">
        <f ca="1">RESULTADOS!AV84</f>
        <v/>
      </c>
      <c r="FN26" s="146" t="str">
        <f ca="1">RESULTADOS!AW84</f>
        <v/>
      </c>
    </row>
    <row r="27" spans="3:170">
      <c r="C27" s="144"/>
      <c r="T27" s="148" t="n">
        <f>RESULTADOS!B44</f>
        <v>1.0</v>
      </c>
      <c r="U27" s="148" t="str">
        <f>RESULTADOS!C44</f>
        <v>Home - PortCastelló</v>
      </c>
      <c r="V27" s="148" t="str">
        <f t="shared" si="0"/>
        <v>Página web</v>
      </c>
      <c r="W27" s="148" t="str">
        <v/>
      </c>
      <c r="X27" s="148" t="str">
        <f>RESULTADOS!D44</f>
        <v>https://www.portcastello.com/</v>
      </c>
      <c r="Y27" s="148" t="n">
        <v>0.0</v>
      </c>
      <c r="Z27" s="237" t="str">
        <v>Ej. Imágenes, tablas, listas, multimedia, formularios, plantilla X, plantilla Y</v>
      </c>
      <c r="AA27" s="146" t="str">
        <f ca="1">RESULTADOS!E44</f>
        <v>N/T</v>
      </c>
      <c r="AB27" s="146" t="str">
        <f ca="1">RESULTADOS!F44</f>
        <v>N/T</v>
      </c>
      <c r="AC27" s="146" t="str">
        <f ca="1">RESULTADOS!G44</f>
        <v>N/T</v>
      </c>
      <c r="AD27" s="146" t="str">
        <f ca="1">RESULTADOS!H44</f>
        <v>N/T</v>
      </c>
      <c r="AE27" s="146" t="str">
        <f ca="1">RESULTADOS!I44</f>
        <v>N/T</v>
      </c>
      <c r="AF27" s="146" t="str">
        <f ca="1">RESULTADOS!J44</f>
        <v>N/T</v>
      </c>
      <c r="AG27" s="146" t="str">
        <f ca="1">RESULTADOS!K44</f>
        <v>N/T</v>
      </c>
      <c r="AH27" s="146" t="str">
        <f ca="1">RESULTADOS!L44</f>
        <v>N/T</v>
      </c>
      <c r="AI27" s="146" t="str">
        <f ca="1">RESULTADOS!M44</f>
        <v>N/T</v>
      </c>
      <c r="AJ27" s="146" t="str">
        <f ca="1">RESULTADOS!N44</f>
        <v>N/T</v>
      </c>
      <c r="AK27" s="146" t="str">
        <f ca="1">RESULTADOS!O44</f>
        <v>N/T</v>
      </c>
      <c r="AL27" s="146" t="str">
        <f ca="1">RESULTADOS!P44</f>
        <v>N/T</v>
      </c>
      <c r="AM27" s="146" t="str">
        <f ca="1">RESULTADOS!Q44</f>
        <v>N/T</v>
      </c>
      <c r="AN27" s="146" t="str">
        <f ca="1">RESULTADOS!R44</f>
        <v>N/T</v>
      </c>
      <c r="AO27" s="146" t="str">
        <f ca="1">RESULTADOS!S44</f>
        <v>N/T</v>
      </c>
      <c r="AP27" s="146" t="str">
        <f ca="1">RESULTADOS!T44</f>
        <v>N/T</v>
      </c>
      <c r="AQ27" s="146" t="str">
        <f ca="1">RESULTADOS!U44</f>
        <v>N/T</v>
      </c>
      <c r="AR27" s="146" t="str">
        <f ca="1">RESULTADOS!V44</f>
        <v>N/T</v>
      </c>
      <c r="AS27" s="146" t="str">
        <f ca="1">RESULTADOS!W44</f>
        <v>N/T</v>
      </c>
      <c r="AT27" s="146" t="str">
        <f ca="1">RESULTADOS!X44</f>
        <v>N/T</v>
      </c>
      <c r="AU27" s="146" t="str">
        <f ca="1">RESULTADOS!Y44</f>
        <v>N/T</v>
      </c>
      <c r="AV27" s="146" t="str">
        <f ca="1">RESULTADOS!Z44</f>
        <v>N/T</v>
      </c>
      <c r="AW27" s="146" t="str">
        <f ca="1">RESULTADOS!AA44</f>
        <v>N/T</v>
      </c>
      <c r="AX27" s="146" t="str">
        <f ca="1">RESULTADOS!AB44</f>
        <v>N/T</v>
      </c>
      <c r="AY27" s="146" t="str">
        <f ca="1">RESULTADOS!AC44</f>
        <v>N/T</v>
      </c>
      <c r="AZ27" s="146" t="str">
        <f ca="1">RESULTADOS!AD44</f>
        <v>N/T</v>
      </c>
      <c r="BA27" s="146" t="str">
        <f ca="1">RESULTADOS!AE44</f>
        <v>N/T</v>
      </c>
      <c r="BB27" s="146" t="str">
        <f ca="1">RESULTADOS!AF44</f>
        <v>N/T</v>
      </c>
      <c r="BC27" s="146" t="str">
        <f ca="1">RESULTADOS!AG44</f>
        <v>N/T</v>
      </c>
      <c r="BD27" s="146" t="str">
        <f ca="1">RESULTADOS!AH44</f>
        <v>N/T</v>
      </c>
      <c r="BE27" s="146" t="str">
        <f ca="1">RESULTADOS!AI44</f>
        <v>N/T</v>
      </c>
      <c r="BF27" s="146" t="str">
        <f ca="1">RESULTADOS!AJ44</f>
        <v>N/D</v>
      </c>
      <c r="BG27" s="146" t="str">
        <f ca="1">RESULTADOS!AK44</f>
        <v>N/T</v>
      </c>
      <c r="BH27" s="146" t="str">
        <f ca="1">RESULTADOS!AL44</f>
        <v>N/T</v>
      </c>
      <c r="BI27" s="146" t="str">
        <f ca="1">RESULTADOS!AM44</f>
        <v>N/T</v>
      </c>
      <c r="BJ27" s="146" t="str">
        <f ca="1">RESULTADOS!AN44</f>
        <v>N/T</v>
      </c>
      <c r="BK27" s="146" t="str">
        <f ca="1">RESULTADOS!AO44</f>
        <v>N/D</v>
      </c>
      <c r="BL27" s="146" t="str">
        <f ca="1">RESULTADOS!AP44</f>
        <v>N/T</v>
      </c>
      <c r="BM27" s="146" t="str">
        <f ca="1">RESULTADOS!AQ44</f>
        <v>N/T</v>
      </c>
      <c r="BN27" s="146" t="str">
        <f ca="1">RESULTADOS!AR44</f>
        <v>N/D</v>
      </c>
      <c r="BO27" s="146" t="str">
        <f ca="1">RESULTADOS!AS44</f>
        <v>N/D</v>
      </c>
      <c r="BP27" s="146" t="str">
        <f ca="1">RESULTADOS!AT44</f>
        <v>N/T</v>
      </c>
      <c r="BQ27" s="146" t="str">
        <f ca="1">RESULTADOS!AU44</f>
        <v>N/T</v>
      </c>
      <c r="BR27" s="146" t="str">
        <f ca="1">RESULTADOS!AV44</f>
        <v>N/D</v>
      </c>
      <c r="BS27" s="146" t="str">
        <f ca="1">RESULTADOS!AW44</f>
        <v>N/T</v>
      </c>
      <c r="BT27" s="146" t="str">
        <f ca="1">RESULTADOS!AX44</f>
        <v>N/T</v>
      </c>
      <c r="BU27" s="146" t="str">
        <f ca="1">RESULTADOS!AY44</f>
        <v>N/D</v>
      </c>
      <c r="BV27" s="146" t="str">
        <f ca="1">RESULTADOS!AZ44</f>
        <v>N/T</v>
      </c>
      <c r="BW27" s="146" t="str">
        <f ca="1">RESULTADOS!BA44</f>
        <v>N/D</v>
      </c>
      <c r="BX27" s="146" t="str">
        <f ca="1">RESULTADOS!BB44</f>
        <v>N/T</v>
      </c>
      <c r="BY27" s="146" t="str">
        <f ca="1">RESULTADOS!BC44</f>
        <v>N/D</v>
      </c>
      <c r="BZ27" s="146" t="str">
        <f ca="1">RESULTADOS!BD44</f>
        <v>N/T</v>
      </c>
      <c r="CA27" s="146" t="str">
        <f ca="1">RESULTADOS!BE44</f>
        <v>N/T</v>
      </c>
      <c r="CB27" s="146" t="str">
        <f ca="1">RESULTADOS!BF44</f>
        <v>N/D</v>
      </c>
      <c r="CC27" s="146" t="str">
        <f ca="1">RESULTADOS!BG44</f>
        <v>N/D</v>
      </c>
      <c r="CD27" s="146" t="str">
        <f ca="1">RESULTADOS!BH44</f>
        <v>N/T</v>
      </c>
      <c r="CE27" s="146" t="str">
        <f ca="1">RESULTADOS!BI44</f>
        <v>N/D</v>
      </c>
      <c r="CF27" s="146" t="str">
        <f ca="1">RESULTADOS!BJ44</f>
        <v>N/D</v>
      </c>
      <c r="CG27" s="146" t="str">
        <f ca="1">RESULTADOS!BK44</f>
        <v>N/D</v>
      </c>
      <c r="CH27" s="146" t="str">
        <f ca="1">RESULTADOS!BL44</f>
        <v>N/D</v>
      </c>
      <c r="CI27" s="146" t="str">
        <f ca="1">RESULTADOS!BM44</f>
        <v>N/D</v>
      </c>
      <c r="CJ27" s="146" t="str">
        <f ca="1">RESULTADOS!BN44</f>
        <v>N/T</v>
      </c>
      <c r="CK27" s="146" t="str">
        <f ca="1">RESULTADOS!BO44</f>
        <v>Falla</v>
      </c>
      <c r="CL27" s="146" t="str">
        <f ca="1">RESULTADOS!BP44</f>
        <v>N/T</v>
      </c>
      <c r="CM27" s="146" t="str">
        <f ca="1">RESULTADOS!BQ44</f>
        <v>N/T</v>
      </c>
      <c r="CN27" s="146" t="str">
        <f ca="1">RESULTADOS!BR44</f>
        <v>N/D</v>
      </c>
      <c r="CO27" s="146" t="str">
        <f ca="1">RESULTADOS!BS44</f>
        <v>N/T</v>
      </c>
      <c r="CP27" s="146" t="str">
        <f ca="1">RESULTADOS!BT44</f>
        <v>N/D</v>
      </c>
      <c r="CQ27" s="146" t="str">
        <f ca="1">RESULTADOS!BU44</f>
        <v>Falla</v>
      </c>
      <c r="CR27" s="146" t="str">
        <f ca="1">RESULTADOS!BV44</f>
        <v>N/D</v>
      </c>
      <c r="CS27" s="146" t="str">
        <f ca="1">RESULTADOS!BW44</f>
        <v>N/D</v>
      </c>
      <c r="CT27" s="146" t="str">
        <f ca="1">RESULTADOS!BX44</f>
        <v>N/D</v>
      </c>
      <c r="CU27" s="146" t="str">
        <f ca="1">RESULTADOS!BY44</f>
        <v>N/T</v>
      </c>
      <c r="CV27" s="146" t="str">
        <f ca="1">RESULTADOS!BZ44</f>
        <v>N/T</v>
      </c>
      <c r="CW27" s="146" t="str">
        <f ca="1">RESULTADOS!CA44</f>
        <v>N/D</v>
      </c>
      <c r="CX27" s="146" t="str">
        <f ca="1">RESULTADOS!CB44</f>
        <v>N/T</v>
      </c>
      <c r="CY27" s="146" t="str">
        <f ca="1">RESULTADOS!CC44</f>
        <v>N/T</v>
      </c>
      <c r="CZ27" s="146" t="str">
        <f ca="1">RESULTADOS!CD44</f>
        <v>N/T</v>
      </c>
      <c r="DA27" s="146" t="str">
        <f ca="1">RESULTADOS!CE44</f>
        <v>N/D</v>
      </c>
      <c r="DB27" s="146" t="str">
        <f ca="1">RESULTADOS!CF44</f>
        <v>N/T</v>
      </c>
      <c r="DC27" s="146" t="str">
        <f ca="1">RESULTADOS!CG44</f>
        <v>N/T</v>
      </c>
      <c r="DD27" s="146" t="str">
        <f ca="1">RESULTADOS!CH44</f>
        <v>N/T</v>
      </c>
      <c r="DE27" s="146" t="str">
        <f ca="1">RESULTADOS!CI44</f>
        <v>N/T</v>
      </c>
      <c r="DF27" s="146" t="str">
        <f ca="1">RESULTADOS!CJ44</f>
        <v>N/T</v>
      </c>
      <c r="DG27" s="146" t="str">
        <f ca="1">RESULTADOS!CK44</f>
        <v>N/T</v>
      </c>
      <c r="DH27" s="146" t="str">
        <f ca="1">RESULTADOS!CL44</f>
        <v>N/T</v>
      </c>
      <c r="DI27" s="146" t="str">
        <f ca="1">RESULTADOS!CM44</f>
        <v>N/T</v>
      </c>
      <c r="DJ27" s="146" t="str">
        <f ca="1">RESULTADOS!CN44</f>
        <v>N/T</v>
      </c>
      <c r="DK27" s="146" t="str">
        <f ca="1">RESULTADOS!CO44</f>
        <v>N/T</v>
      </c>
      <c r="DL27" s="146" t="str">
        <f ca="1">RESULTADOS!CP44</f>
        <v>N/T</v>
      </c>
      <c r="DM27" s="146" t="str">
        <f ca="1">RESULTADOS!CQ44</f>
        <v>N/T</v>
      </c>
      <c r="DN27" s="146" t="str">
        <f ca="1">RESULTADOS!CR44</f>
        <v>N/T</v>
      </c>
      <c r="DO27" s="148" t="str">
        <f>RESULTADOS!B85</f>
        <v/>
      </c>
      <c r="DP27" s="148" t="str">
        <f>RESULTADOS!C85</f>
        <v/>
      </c>
      <c r="DQ27" s="148" t="str">
        <f t="shared" si="1"/>
        <v/>
      </c>
      <c r="DR27" s="148" t="str" cm="1">
        <f t="array" ref="DR27">IFERROR(INDEX('03.Muestra'!$E$8:$E$42,SMALL(IF("Documento no web"='03.Muestra'!$D$8:$D$42,ROW('03.Muestra'!$E$8:$E$42)-MIN(ROW('03.Muestra'!$D$8:$D$42))+1,""),ROW()-2)),"")</f>
        <v/>
      </c>
      <c r="DS27" s="148" t="str">
        <f>RESULTADOS!D85</f>
        <v/>
      </c>
      <c r="DT27" s="148" t="str" cm="1">
        <f t="array" ref="DT27">IFERROR(INDEX('03.Muestra'!$G$8:$G$42,SMALL(IF("Documento no web"='03.Muestra'!$D$8:$D$42,ROW('03.Muestra'!$G$8:$G$42)-MIN(ROW('03.Muestra'!$D$8:$D$42))+1,""),ROW()-2)),"")</f>
        <v/>
      </c>
      <c r="DU27" s="237" t="str" cm="1">
        <f t="array" ref="DU27">IFERROR(INDEX('03.Muestra'!$H$8:$H$42,SMALL(IF("Documento no web"='03.Muestra'!$D$8:$D$42,ROW('03.Muestra'!$H$8:$H$42)-MIN(ROW('03.Muestra'!$D$8:$D$42))+1,""),ROW()-2)),"")</f>
        <v/>
      </c>
      <c r="DV27" s="146" t="str">
        <f ca="1">RESULTADOS!E85</f>
        <v/>
      </c>
      <c r="DW27" s="146" t="str">
        <f ca="1">RESULTADOS!F85</f>
        <v/>
      </c>
      <c r="DX27" s="146" t="str">
        <f ca="1">RESULTADOS!G85</f>
        <v/>
      </c>
      <c r="DY27" s="146" t="str">
        <f ca="1">RESULTADOS!H85</f>
        <v/>
      </c>
      <c r="DZ27" s="146" t="str">
        <f ca="1">RESULTADOS!I85</f>
        <v/>
      </c>
      <c r="EA27" s="146" t="str">
        <f ca="1">RESULTADOS!J85</f>
        <v/>
      </c>
      <c r="EB27" s="146" t="str">
        <f ca="1">RESULTADOS!K85</f>
        <v/>
      </c>
      <c r="EC27" s="146" t="str">
        <f ca="1">RESULTADOS!L85</f>
        <v/>
      </c>
      <c r="ED27" s="146" t="str">
        <f ca="1">RESULTADOS!M85</f>
        <v/>
      </c>
      <c r="EE27" s="146" t="str">
        <f ca="1">RESULTADOS!N85</f>
        <v/>
      </c>
      <c r="EF27" s="146" t="str">
        <f ca="1">RESULTADOS!O85</f>
        <v/>
      </c>
      <c r="EG27" s="146" t="str">
        <f ca="1">RESULTADOS!P85</f>
        <v/>
      </c>
      <c r="EH27" s="146" t="str">
        <f ca="1">RESULTADOS!Q85</f>
        <v/>
      </c>
      <c r="EI27" s="146" t="str">
        <f ca="1">RESULTADOS!R85</f>
        <v/>
      </c>
      <c r="EJ27" s="146" t="str">
        <f ca="1">RESULTADOS!S85</f>
        <v/>
      </c>
      <c r="EK27" s="146" t="str">
        <f ca="1">RESULTADOS!T85</f>
        <v/>
      </c>
      <c r="EL27" s="146" t="str">
        <f ca="1">RESULTADOS!U85</f>
        <v/>
      </c>
      <c r="EM27" s="146" t="str">
        <f ca="1">RESULTADOS!V85</f>
        <v/>
      </c>
      <c r="EN27" s="146" t="str">
        <f ca="1">RESULTADOS!W85</f>
        <v/>
      </c>
      <c r="EO27" s="146" t="str">
        <f ca="1">RESULTADOS!X85</f>
        <v/>
      </c>
      <c r="EP27" s="146" t="str">
        <f ca="1">RESULTADOS!Y85</f>
        <v/>
      </c>
      <c r="EQ27" s="146" t="str">
        <f ca="1">RESULTADOS!Z85</f>
        <v/>
      </c>
      <c r="ER27" s="146" t="str">
        <f ca="1">RESULTADOS!AA85</f>
        <v/>
      </c>
      <c r="ES27" s="146" t="str">
        <f ca="1">RESULTADOS!AB85</f>
        <v/>
      </c>
      <c r="ET27" s="146" t="str">
        <f ca="1">RESULTADOS!AC85</f>
        <v/>
      </c>
      <c r="EU27" s="146" t="str">
        <f ca="1">RESULTADOS!AD85</f>
        <v/>
      </c>
      <c r="EV27" s="146" t="str">
        <f ca="1">RESULTADOS!AE85</f>
        <v/>
      </c>
      <c r="EW27" s="146" t="str">
        <f ca="1">RESULTADOS!AF85</f>
        <v/>
      </c>
      <c r="EX27" s="146" t="str">
        <f ca="1">RESULTADOS!AG85</f>
        <v/>
      </c>
      <c r="EY27" s="146" t="str">
        <f ca="1">RESULTADOS!AH85</f>
        <v/>
      </c>
      <c r="EZ27" s="146" t="str">
        <f ca="1">RESULTADOS!AI85</f>
        <v/>
      </c>
      <c r="FA27" s="146" t="str">
        <f ca="1">RESULTADOS!AJ85</f>
        <v/>
      </c>
      <c r="FB27" s="146" t="str">
        <f ca="1">RESULTADOS!AK85</f>
        <v/>
      </c>
      <c r="FC27" s="146" t="str">
        <f ca="1">RESULTADOS!AL85</f>
        <v/>
      </c>
      <c r="FD27" s="146" t="str">
        <f ca="1">RESULTADOS!AM85</f>
        <v/>
      </c>
      <c r="FE27" s="146" t="str">
        <f ca="1">RESULTADOS!AN85</f>
        <v/>
      </c>
      <c r="FF27" s="146" t="str">
        <f ca="1">RESULTADOS!AO85</f>
        <v/>
      </c>
      <c r="FG27" s="146" t="str">
        <f ca="1">RESULTADOS!AP85</f>
        <v/>
      </c>
      <c r="FH27" s="146" t="str">
        <f ca="1">RESULTADOS!AQ85</f>
        <v/>
      </c>
      <c r="FI27" s="146" t="str">
        <f ca="1">RESULTADOS!AR85</f>
        <v/>
      </c>
      <c r="FJ27" s="146" t="str">
        <f ca="1">RESULTADOS!AS85</f>
        <v/>
      </c>
      <c r="FK27" s="146" t="str">
        <f ca="1">RESULTADOS!AT85</f>
        <v/>
      </c>
      <c r="FL27" s="146" t="str">
        <f ca="1">RESULTADOS!AU85</f>
        <v/>
      </c>
      <c r="FM27" s="146" t="str">
        <f ca="1">RESULTADOS!AV85</f>
        <v/>
      </c>
      <c r="FN27" s="146" t="str">
        <f ca="1">RESULTADOS!AW85</f>
        <v/>
      </c>
    </row>
    <row r="28" spans="3:170">
      <c r="C28" s="144"/>
      <c r="K28" s="40" t="s">
        <v>145</v>
      </c>
      <c r="L28" s="149" t="str">
        <f>RESULTADOS!D14</f>
        <v>Evaluación en curso</v>
      </c>
      <c r="M28" s="149"/>
      <c r="T28" s="148" t="n">
        <f>RESULTADOS!B45</f>
        <v>1.0</v>
      </c>
      <c r="U28" s="148" t="str">
        <f>RESULTADOS!C45</f>
        <v>Home - PortCastelló</v>
      </c>
      <c r="V28" s="148" t="str">
        <f t="shared" si="0"/>
        <v>Página web</v>
      </c>
      <c r="W28" s="148" t="str">
        <v/>
      </c>
      <c r="X28" s="148" t="str">
        <f>RESULTADOS!D45</f>
        <v>https://www.portcastello.com/</v>
      </c>
      <c r="Y28" s="148" t="n">
        <v>0.0</v>
      </c>
      <c r="Z28" s="237" t="str">
        <v>Ej. Imágenes, tablas, listas, multimedia, formularios, plantilla X, plantilla Y</v>
      </c>
      <c r="AA28" s="146" t="str">
        <f ca="1">RESULTADOS!E45</f>
        <v>N/T</v>
      </c>
      <c r="AB28" s="146" t="str">
        <f ca="1">RESULTADOS!F45</f>
        <v>N/T</v>
      </c>
      <c r="AC28" s="146" t="str">
        <f ca="1">RESULTADOS!G45</f>
        <v>N/T</v>
      </c>
      <c r="AD28" s="146" t="str">
        <f ca="1">RESULTADOS!H45</f>
        <v>N/T</v>
      </c>
      <c r="AE28" s="146" t="str">
        <f ca="1">RESULTADOS!I45</f>
        <v>N/T</v>
      </c>
      <c r="AF28" s="146" t="str">
        <f ca="1">RESULTADOS!J45</f>
        <v>N/T</v>
      </c>
      <c r="AG28" s="146" t="str">
        <f ca="1">RESULTADOS!K45</f>
        <v>N/T</v>
      </c>
      <c r="AH28" s="146" t="str">
        <f ca="1">RESULTADOS!L45</f>
        <v>N/T</v>
      </c>
      <c r="AI28" s="146" t="str">
        <f ca="1">RESULTADOS!M45</f>
        <v>N/T</v>
      </c>
      <c r="AJ28" s="146" t="str">
        <f ca="1">RESULTADOS!N45</f>
        <v>N/T</v>
      </c>
      <c r="AK28" s="146" t="str">
        <f ca="1">RESULTADOS!O45</f>
        <v>N/T</v>
      </c>
      <c r="AL28" s="146" t="str">
        <f ca="1">RESULTADOS!P45</f>
        <v>N/T</v>
      </c>
      <c r="AM28" s="146" t="str">
        <f ca="1">RESULTADOS!Q45</f>
        <v>N/T</v>
      </c>
      <c r="AN28" s="146" t="str">
        <f ca="1">RESULTADOS!R45</f>
        <v>N/T</v>
      </c>
      <c r="AO28" s="146" t="str">
        <f ca="1">RESULTADOS!S45</f>
        <v>N/T</v>
      </c>
      <c r="AP28" s="146" t="str">
        <f ca="1">RESULTADOS!T45</f>
        <v>N/T</v>
      </c>
      <c r="AQ28" s="146" t="str">
        <f ca="1">RESULTADOS!U45</f>
        <v>N/T</v>
      </c>
      <c r="AR28" s="146" t="str">
        <f ca="1">RESULTADOS!V45</f>
        <v>N/T</v>
      </c>
      <c r="AS28" s="146" t="str">
        <f ca="1">RESULTADOS!W45</f>
        <v>N/T</v>
      </c>
      <c r="AT28" s="146" t="str">
        <f ca="1">RESULTADOS!X45</f>
        <v>N/T</v>
      </c>
      <c r="AU28" s="146" t="str">
        <f ca="1">RESULTADOS!Y45</f>
        <v>N/T</v>
      </c>
      <c r="AV28" s="146" t="str">
        <f ca="1">RESULTADOS!Z45</f>
        <v>N/T</v>
      </c>
      <c r="AW28" s="146" t="str">
        <f ca="1">RESULTADOS!AA45</f>
        <v>N/T</v>
      </c>
      <c r="AX28" s="146" t="str">
        <f ca="1">RESULTADOS!AB45</f>
        <v>N/T</v>
      </c>
      <c r="AY28" s="146" t="str">
        <f ca="1">RESULTADOS!AC45</f>
        <v>N/T</v>
      </c>
      <c r="AZ28" s="146" t="str">
        <f ca="1">RESULTADOS!AD45</f>
        <v>N/T</v>
      </c>
      <c r="BA28" s="146" t="str">
        <f ca="1">RESULTADOS!AE45</f>
        <v>N/T</v>
      </c>
      <c r="BB28" s="146" t="str">
        <f ca="1">RESULTADOS!AF45</f>
        <v>N/T</v>
      </c>
      <c r="BC28" s="146" t="str">
        <f ca="1">RESULTADOS!AG45</f>
        <v>N/T</v>
      </c>
      <c r="BD28" s="146" t="str">
        <f ca="1">RESULTADOS!AH45</f>
        <v>N/T</v>
      </c>
      <c r="BE28" s="146" t="str">
        <f ca="1">RESULTADOS!AI45</f>
        <v>N/T</v>
      </c>
      <c r="BF28" s="146" t="str">
        <f ca="1">RESULTADOS!AJ45</f>
        <v>N/D</v>
      </c>
      <c r="BG28" s="146" t="str">
        <f ca="1">RESULTADOS!AK45</f>
        <v>N/T</v>
      </c>
      <c r="BH28" s="146" t="str">
        <f ca="1">RESULTADOS!AL45</f>
        <v>N/T</v>
      </c>
      <c r="BI28" s="146" t="str">
        <f ca="1">RESULTADOS!AM45</f>
        <v>N/T</v>
      </c>
      <c r="BJ28" s="146" t="str">
        <f ca="1">RESULTADOS!AN45</f>
        <v>N/T</v>
      </c>
      <c r="BK28" s="146" t="str">
        <f ca="1">RESULTADOS!AO45</f>
        <v>N/D</v>
      </c>
      <c r="BL28" s="146" t="str">
        <f ca="1">RESULTADOS!AP45</f>
        <v>N/T</v>
      </c>
      <c r="BM28" s="146" t="str">
        <f ca="1">RESULTADOS!AQ45</f>
        <v>N/T</v>
      </c>
      <c r="BN28" s="146" t="str">
        <f ca="1">RESULTADOS!AR45</f>
        <v>N/D</v>
      </c>
      <c r="BO28" s="146" t="str">
        <f ca="1">RESULTADOS!AS45</f>
        <v>N/D</v>
      </c>
      <c r="BP28" s="146" t="str">
        <f ca="1">RESULTADOS!AT45</f>
        <v>N/T</v>
      </c>
      <c r="BQ28" s="146" t="str">
        <f ca="1">RESULTADOS!AU45</f>
        <v>N/T</v>
      </c>
      <c r="BR28" s="146" t="str">
        <f ca="1">RESULTADOS!AV45</f>
        <v>N/D</v>
      </c>
      <c r="BS28" s="146" t="str">
        <f ca="1">RESULTADOS!AW45</f>
        <v>N/T</v>
      </c>
      <c r="BT28" s="146" t="str">
        <f ca="1">RESULTADOS!AX45</f>
        <v>N/T</v>
      </c>
      <c r="BU28" s="146" t="str">
        <f ca="1">RESULTADOS!AY45</f>
        <v>N/D</v>
      </c>
      <c r="BV28" s="146" t="str">
        <f ca="1">RESULTADOS!AZ45</f>
        <v>N/T</v>
      </c>
      <c r="BW28" s="146" t="str">
        <f ca="1">RESULTADOS!BA45</f>
        <v>N/D</v>
      </c>
      <c r="BX28" s="146" t="str">
        <f ca="1">RESULTADOS!BB45</f>
        <v>N/T</v>
      </c>
      <c r="BY28" s="146" t="str">
        <f ca="1">RESULTADOS!BC45</f>
        <v>N/D</v>
      </c>
      <c r="BZ28" s="146" t="str">
        <f ca="1">RESULTADOS!BD45</f>
        <v>N/T</v>
      </c>
      <c r="CA28" s="146" t="str">
        <f ca="1">RESULTADOS!BE45</f>
        <v>N/T</v>
      </c>
      <c r="CB28" s="146" t="str">
        <f ca="1">RESULTADOS!BF45</f>
        <v>N/D</v>
      </c>
      <c r="CC28" s="146" t="str">
        <f ca="1">RESULTADOS!BG45</f>
        <v>N/D</v>
      </c>
      <c r="CD28" s="146" t="str">
        <f ca="1">RESULTADOS!BH45</f>
        <v>N/T</v>
      </c>
      <c r="CE28" s="146" t="str">
        <f ca="1">RESULTADOS!BI45</f>
        <v>N/D</v>
      </c>
      <c r="CF28" s="146" t="str">
        <f ca="1">RESULTADOS!BJ45</f>
        <v>N/D</v>
      </c>
      <c r="CG28" s="146" t="str">
        <f ca="1">RESULTADOS!BK45</f>
        <v>N/D</v>
      </c>
      <c r="CH28" s="146" t="str">
        <f ca="1">RESULTADOS!BL45</f>
        <v>N/D</v>
      </c>
      <c r="CI28" s="146" t="str">
        <f ca="1">RESULTADOS!BM45</f>
        <v>N/D</v>
      </c>
      <c r="CJ28" s="146" t="str">
        <f ca="1">RESULTADOS!BN45</f>
        <v>N/T</v>
      </c>
      <c r="CK28" s="146" t="str">
        <f ca="1">RESULTADOS!BO45</f>
        <v>Falla</v>
      </c>
      <c r="CL28" s="146" t="str">
        <f ca="1">RESULTADOS!BP45</f>
        <v>N/T</v>
      </c>
      <c r="CM28" s="146" t="str">
        <f ca="1">RESULTADOS!BQ45</f>
        <v>N/T</v>
      </c>
      <c r="CN28" s="146" t="str">
        <f ca="1">RESULTADOS!BR45</f>
        <v>N/D</v>
      </c>
      <c r="CO28" s="146" t="str">
        <f ca="1">RESULTADOS!BS45</f>
        <v>N/T</v>
      </c>
      <c r="CP28" s="146" t="str">
        <f ca="1">RESULTADOS!BT45</f>
        <v>N/D</v>
      </c>
      <c r="CQ28" s="146" t="str">
        <f ca="1">RESULTADOS!BU45</f>
        <v>Falla</v>
      </c>
      <c r="CR28" s="146" t="str">
        <f ca="1">RESULTADOS!BV45</f>
        <v>N/D</v>
      </c>
      <c r="CS28" s="146" t="str">
        <f ca="1">RESULTADOS!BW45</f>
        <v>N/D</v>
      </c>
      <c r="CT28" s="146" t="str">
        <f ca="1">RESULTADOS!BX45</f>
        <v>N/D</v>
      </c>
      <c r="CU28" s="146" t="str">
        <f ca="1">RESULTADOS!BY45</f>
        <v>N/T</v>
      </c>
      <c r="CV28" s="146" t="str">
        <f ca="1">RESULTADOS!BZ45</f>
        <v>N/T</v>
      </c>
      <c r="CW28" s="146" t="str">
        <f ca="1">RESULTADOS!CA45</f>
        <v>N/D</v>
      </c>
      <c r="CX28" s="146" t="str">
        <f ca="1">RESULTADOS!CB45</f>
        <v>N/T</v>
      </c>
      <c r="CY28" s="146" t="str">
        <f ca="1">RESULTADOS!CC45</f>
        <v>N/T</v>
      </c>
      <c r="CZ28" s="146" t="str">
        <f ca="1">RESULTADOS!CD45</f>
        <v>N/T</v>
      </c>
      <c r="DA28" s="146" t="str">
        <f ca="1">RESULTADOS!CE45</f>
        <v>N/D</v>
      </c>
      <c r="DB28" s="146" t="str">
        <f ca="1">RESULTADOS!CF45</f>
        <v>N/T</v>
      </c>
      <c r="DC28" s="146" t="str">
        <f ca="1">RESULTADOS!CG45</f>
        <v>N/T</v>
      </c>
      <c r="DD28" s="146" t="str">
        <f ca="1">RESULTADOS!CH45</f>
        <v>N/T</v>
      </c>
      <c r="DE28" s="146" t="str">
        <f ca="1">RESULTADOS!CI45</f>
        <v>N/T</v>
      </c>
      <c r="DF28" s="146" t="str">
        <f ca="1">RESULTADOS!CJ45</f>
        <v>N/T</v>
      </c>
      <c r="DG28" s="146" t="str">
        <f ca="1">RESULTADOS!CK45</f>
        <v>N/T</v>
      </c>
      <c r="DH28" s="146" t="str">
        <f ca="1">RESULTADOS!CL45</f>
        <v>N/T</v>
      </c>
      <c r="DI28" s="146" t="str">
        <f ca="1">RESULTADOS!CM45</f>
        <v>N/T</v>
      </c>
      <c r="DJ28" s="146" t="str">
        <f ca="1">RESULTADOS!CN45</f>
        <v>N/T</v>
      </c>
      <c r="DK28" s="146" t="str">
        <f ca="1">RESULTADOS!CO45</f>
        <v>N/T</v>
      </c>
      <c r="DL28" s="146" t="str">
        <f ca="1">RESULTADOS!CP45</f>
        <v>N/T</v>
      </c>
      <c r="DM28" s="146" t="str">
        <f ca="1">RESULTADOS!CQ45</f>
        <v>N/T</v>
      </c>
      <c r="DN28" s="146" t="str">
        <f ca="1">RESULTADOS!CR45</f>
        <v>N/T</v>
      </c>
      <c r="DO28" s="148" t="str">
        <f>RESULTADOS!B86</f>
        <v/>
      </c>
      <c r="DP28" s="148" t="str">
        <f>RESULTADOS!C86</f>
        <v/>
      </c>
      <c r="DQ28" s="148" t="str">
        <f t="shared" si="1"/>
        <v/>
      </c>
      <c r="DR28" s="148" t="str" cm="1">
        <f t="array" ref="DR28">IFERROR(INDEX('03.Muestra'!$E$8:$E$42,SMALL(IF("Documento no web"='03.Muestra'!$D$8:$D$42,ROW('03.Muestra'!$E$8:$E$42)-MIN(ROW('03.Muestra'!$D$8:$D$42))+1,""),ROW()-2)),"")</f>
        <v/>
      </c>
      <c r="DS28" s="148" t="str">
        <f>RESULTADOS!D86</f>
        <v/>
      </c>
      <c r="DT28" s="148" t="str" cm="1">
        <f t="array" ref="DT28">IFERROR(INDEX('03.Muestra'!$G$8:$G$42,SMALL(IF("Documento no web"='03.Muestra'!$D$8:$D$42,ROW('03.Muestra'!$G$8:$G$42)-MIN(ROW('03.Muestra'!$D$8:$D$42))+1,""),ROW()-2)),"")</f>
        <v/>
      </c>
      <c r="DU28" s="237" t="str" cm="1">
        <f t="array" ref="DU28">IFERROR(INDEX('03.Muestra'!$H$8:$H$42,SMALL(IF("Documento no web"='03.Muestra'!$D$8:$D$42,ROW('03.Muestra'!$H$8:$H$42)-MIN(ROW('03.Muestra'!$D$8:$D$42))+1,""),ROW()-2)),"")</f>
        <v/>
      </c>
      <c r="DV28" s="146" t="str">
        <f ca="1">RESULTADOS!E86</f>
        <v/>
      </c>
      <c r="DW28" s="146" t="str">
        <f ca="1">RESULTADOS!F86</f>
        <v/>
      </c>
      <c r="DX28" s="146" t="str">
        <f ca="1">RESULTADOS!G86</f>
        <v/>
      </c>
      <c r="DY28" s="146" t="str">
        <f ca="1">RESULTADOS!H86</f>
        <v/>
      </c>
      <c r="DZ28" s="146" t="str">
        <f ca="1">RESULTADOS!I86</f>
        <v/>
      </c>
      <c r="EA28" s="146" t="str">
        <f ca="1">RESULTADOS!J86</f>
        <v/>
      </c>
      <c r="EB28" s="146" t="str">
        <f ca="1">RESULTADOS!K86</f>
        <v/>
      </c>
      <c r="EC28" s="146" t="str">
        <f ca="1">RESULTADOS!L86</f>
        <v/>
      </c>
      <c r="ED28" s="146" t="str">
        <f ca="1">RESULTADOS!M86</f>
        <v/>
      </c>
      <c r="EE28" s="146" t="str">
        <f ca="1">RESULTADOS!N86</f>
        <v/>
      </c>
      <c r="EF28" s="146" t="str">
        <f ca="1">RESULTADOS!O86</f>
        <v/>
      </c>
      <c r="EG28" s="146" t="str">
        <f ca="1">RESULTADOS!P86</f>
        <v/>
      </c>
      <c r="EH28" s="146" t="str">
        <f ca="1">RESULTADOS!Q86</f>
        <v/>
      </c>
      <c r="EI28" s="146" t="str">
        <f ca="1">RESULTADOS!R86</f>
        <v/>
      </c>
      <c r="EJ28" s="146" t="str">
        <f ca="1">RESULTADOS!S86</f>
        <v/>
      </c>
      <c r="EK28" s="146" t="str">
        <f ca="1">RESULTADOS!T86</f>
        <v/>
      </c>
      <c r="EL28" s="146" t="str">
        <f ca="1">RESULTADOS!U86</f>
        <v/>
      </c>
      <c r="EM28" s="146" t="str">
        <f ca="1">RESULTADOS!V86</f>
        <v/>
      </c>
      <c r="EN28" s="146" t="str">
        <f ca="1">RESULTADOS!W86</f>
        <v/>
      </c>
      <c r="EO28" s="146" t="str">
        <f ca="1">RESULTADOS!X86</f>
        <v/>
      </c>
      <c r="EP28" s="146" t="str">
        <f ca="1">RESULTADOS!Y86</f>
        <v/>
      </c>
      <c r="EQ28" s="146" t="str">
        <f ca="1">RESULTADOS!Z86</f>
        <v/>
      </c>
      <c r="ER28" s="146" t="str">
        <f ca="1">RESULTADOS!AA86</f>
        <v/>
      </c>
      <c r="ES28" s="146" t="str">
        <f ca="1">RESULTADOS!AB86</f>
        <v/>
      </c>
      <c r="ET28" s="146" t="str">
        <f ca="1">RESULTADOS!AC86</f>
        <v/>
      </c>
      <c r="EU28" s="146" t="str">
        <f ca="1">RESULTADOS!AD86</f>
        <v/>
      </c>
      <c r="EV28" s="146" t="str">
        <f ca="1">RESULTADOS!AE86</f>
        <v/>
      </c>
      <c r="EW28" s="146" t="str">
        <f ca="1">RESULTADOS!AF86</f>
        <v/>
      </c>
      <c r="EX28" s="146" t="str">
        <f ca="1">RESULTADOS!AG86</f>
        <v/>
      </c>
      <c r="EY28" s="146" t="str">
        <f ca="1">RESULTADOS!AH86</f>
        <v/>
      </c>
      <c r="EZ28" s="146" t="str">
        <f ca="1">RESULTADOS!AI86</f>
        <v/>
      </c>
      <c r="FA28" s="146" t="str">
        <f ca="1">RESULTADOS!AJ86</f>
        <v/>
      </c>
      <c r="FB28" s="146" t="str">
        <f ca="1">RESULTADOS!AK86</f>
        <v/>
      </c>
      <c r="FC28" s="146" t="str">
        <f ca="1">RESULTADOS!AL86</f>
        <v/>
      </c>
      <c r="FD28" s="146" t="str">
        <f ca="1">RESULTADOS!AM86</f>
        <v/>
      </c>
      <c r="FE28" s="146" t="str">
        <f ca="1">RESULTADOS!AN86</f>
        <v/>
      </c>
      <c r="FF28" s="146" t="str">
        <f ca="1">RESULTADOS!AO86</f>
        <v/>
      </c>
      <c r="FG28" s="146" t="str">
        <f ca="1">RESULTADOS!AP86</f>
        <v/>
      </c>
      <c r="FH28" s="146" t="str">
        <f ca="1">RESULTADOS!AQ86</f>
        <v/>
      </c>
      <c r="FI28" s="146" t="str">
        <f ca="1">RESULTADOS!AR86</f>
        <v/>
      </c>
      <c r="FJ28" s="146" t="str">
        <f ca="1">RESULTADOS!AS86</f>
        <v/>
      </c>
      <c r="FK28" s="146" t="str">
        <f ca="1">RESULTADOS!AT86</f>
        <v/>
      </c>
      <c r="FL28" s="146" t="str">
        <f ca="1">RESULTADOS!AU86</f>
        <v/>
      </c>
      <c r="FM28" s="146" t="str">
        <f ca="1">RESULTADOS!AV86</f>
        <v/>
      </c>
      <c r="FN28" s="146" t="str">
        <f ca="1">RESULTADOS!AW86</f>
        <v/>
      </c>
    </row>
    <row r="29" spans="3:170">
      <c r="C29" s="144" t="s">
        <v>146</v>
      </c>
      <c r="D29" s="147" t="n">
        <f>'01.Definición de ámbito'!C58</f>
        <v>0.0</v>
      </c>
      <c r="K29" s="40" t="s">
        <v>350</v>
      </c>
      <c r="L29" s="150" t="str">
        <f>RESULTADOS!F14</f>
        <v/>
      </c>
      <c r="T29" s="148" t="n">
        <f>RESULTADOS!B46</f>
        <v>1.0</v>
      </c>
      <c r="U29" s="148" t="str">
        <f>RESULTADOS!C46</f>
        <v>Home - PortCastelló</v>
      </c>
      <c r="V29" s="148" t="str">
        <f t="shared" si="0"/>
        <v>Página web</v>
      </c>
      <c r="W29" s="148" t="str">
        <v/>
      </c>
      <c r="X29" s="148" t="str">
        <f>RESULTADOS!D46</f>
        <v>https://www.portcastello.com/</v>
      </c>
      <c r="Y29" s="148" t="n">
        <v>0.0</v>
      </c>
      <c r="Z29" s="237" t="str">
        <v>Ej. Imágenes, tablas, listas, multimedia, formularios, plantilla X, plantilla Y</v>
      </c>
      <c r="AA29" s="146" t="str">
        <f ca="1">RESULTADOS!E46</f>
        <v>N/T</v>
      </c>
      <c r="AB29" s="146" t="str">
        <f ca="1">RESULTADOS!F46</f>
        <v>N/T</v>
      </c>
      <c r="AC29" s="146" t="str">
        <f ca="1">RESULTADOS!G46</f>
        <v>N/T</v>
      </c>
      <c r="AD29" s="146" t="str">
        <f ca="1">RESULTADOS!H46</f>
        <v>N/T</v>
      </c>
      <c r="AE29" s="146" t="str">
        <f ca="1">RESULTADOS!I46</f>
        <v>N/T</v>
      </c>
      <c r="AF29" s="146" t="str">
        <f ca="1">RESULTADOS!J46</f>
        <v>N/T</v>
      </c>
      <c r="AG29" s="146" t="str">
        <f ca="1">RESULTADOS!K46</f>
        <v>N/T</v>
      </c>
      <c r="AH29" s="146" t="str">
        <f ca="1">RESULTADOS!L46</f>
        <v>N/T</v>
      </c>
      <c r="AI29" s="146" t="str">
        <f ca="1">RESULTADOS!M46</f>
        <v>N/T</v>
      </c>
      <c r="AJ29" s="146" t="str">
        <f ca="1">RESULTADOS!N46</f>
        <v>N/T</v>
      </c>
      <c r="AK29" s="146" t="str">
        <f ca="1">RESULTADOS!O46</f>
        <v>N/T</v>
      </c>
      <c r="AL29" s="146" t="str">
        <f ca="1">RESULTADOS!P46</f>
        <v>N/T</v>
      </c>
      <c r="AM29" s="146" t="str">
        <f ca="1">RESULTADOS!Q46</f>
        <v>N/T</v>
      </c>
      <c r="AN29" s="146" t="str">
        <f ca="1">RESULTADOS!R46</f>
        <v>N/T</v>
      </c>
      <c r="AO29" s="146" t="str">
        <f ca="1">RESULTADOS!S46</f>
        <v>N/T</v>
      </c>
      <c r="AP29" s="146" t="str">
        <f ca="1">RESULTADOS!T46</f>
        <v>N/T</v>
      </c>
      <c r="AQ29" s="146" t="str">
        <f ca="1">RESULTADOS!U46</f>
        <v>N/T</v>
      </c>
      <c r="AR29" s="146" t="str">
        <f ca="1">RESULTADOS!V46</f>
        <v>N/T</v>
      </c>
      <c r="AS29" s="146" t="str">
        <f ca="1">RESULTADOS!W46</f>
        <v>N/T</v>
      </c>
      <c r="AT29" s="146" t="str">
        <f ca="1">RESULTADOS!X46</f>
        <v>N/T</v>
      </c>
      <c r="AU29" s="146" t="str">
        <f ca="1">RESULTADOS!Y46</f>
        <v>N/T</v>
      </c>
      <c r="AV29" s="146" t="str">
        <f ca="1">RESULTADOS!Z46</f>
        <v>N/T</v>
      </c>
      <c r="AW29" s="146" t="str">
        <f ca="1">RESULTADOS!AA46</f>
        <v>N/T</v>
      </c>
      <c r="AX29" s="146" t="str">
        <f ca="1">RESULTADOS!AB46</f>
        <v>N/T</v>
      </c>
      <c r="AY29" s="146" t="str">
        <f ca="1">RESULTADOS!AC46</f>
        <v>N/T</v>
      </c>
      <c r="AZ29" s="146" t="str">
        <f ca="1">RESULTADOS!AD46</f>
        <v>N/T</v>
      </c>
      <c r="BA29" s="146" t="str">
        <f ca="1">RESULTADOS!AE46</f>
        <v>N/T</v>
      </c>
      <c r="BB29" s="146" t="str">
        <f ca="1">RESULTADOS!AF46</f>
        <v>N/T</v>
      </c>
      <c r="BC29" s="146" t="str">
        <f ca="1">RESULTADOS!AG46</f>
        <v>N/T</v>
      </c>
      <c r="BD29" s="146" t="str">
        <f ca="1">RESULTADOS!AH46</f>
        <v>N/T</v>
      </c>
      <c r="BE29" s="146" t="str">
        <f ca="1">RESULTADOS!AI46</f>
        <v>N/T</v>
      </c>
      <c r="BF29" s="146" t="str">
        <f ca="1">RESULTADOS!AJ46</f>
        <v>N/D</v>
      </c>
      <c r="BG29" s="146" t="str">
        <f ca="1">RESULTADOS!AK46</f>
        <v>N/T</v>
      </c>
      <c r="BH29" s="146" t="str">
        <f ca="1">RESULTADOS!AL46</f>
        <v>N/T</v>
      </c>
      <c r="BI29" s="146" t="str">
        <f ca="1">RESULTADOS!AM46</f>
        <v>N/T</v>
      </c>
      <c r="BJ29" s="146" t="str">
        <f ca="1">RESULTADOS!AN46</f>
        <v>N/T</v>
      </c>
      <c r="BK29" s="146" t="str">
        <f ca="1">RESULTADOS!AO46</f>
        <v>N/D</v>
      </c>
      <c r="BL29" s="146" t="str">
        <f ca="1">RESULTADOS!AP46</f>
        <v>N/T</v>
      </c>
      <c r="BM29" s="146" t="str">
        <f ca="1">RESULTADOS!AQ46</f>
        <v>N/T</v>
      </c>
      <c r="BN29" s="146" t="str">
        <f ca="1">RESULTADOS!AR46</f>
        <v>N/D</v>
      </c>
      <c r="BO29" s="146" t="str">
        <f ca="1">RESULTADOS!AS46</f>
        <v>N/D</v>
      </c>
      <c r="BP29" s="146" t="str">
        <f ca="1">RESULTADOS!AT46</f>
        <v>N/T</v>
      </c>
      <c r="BQ29" s="146" t="str">
        <f ca="1">RESULTADOS!AU46</f>
        <v>N/T</v>
      </c>
      <c r="BR29" s="146" t="str">
        <f ca="1">RESULTADOS!AV46</f>
        <v>N/D</v>
      </c>
      <c r="BS29" s="146" t="str">
        <f ca="1">RESULTADOS!AW46</f>
        <v>N/T</v>
      </c>
      <c r="BT29" s="146" t="str">
        <f ca="1">RESULTADOS!AX46</f>
        <v>N/T</v>
      </c>
      <c r="BU29" s="146" t="str">
        <f ca="1">RESULTADOS!AY46</f>
        <v>N/D</v>
      </c>
      <c r="BV29" s="146" t="str">
        <f ca="1">RESULTADOS!AZ46</f>
        <v>N/T</v>
      </c>
      <c r="BW29" s="146" t="str">
        <f ca="1">RESULTADOS!BA46</f>
        <v>N/D</v>
      </c>
      <c r="BX29" s="146" t="str">
        <f ca="1">RESULTADOS!BB46</f>
        <v>N/T</v>
      </c>
      <c r="BY29" s="146" t="str">
        <f ca="1">RESULTADOS!BC46</f>
        <v>N/D</v>
      </c>
      <c r="BZ29" s="146" t="str">
        <f ca="1">RESULTADOS!BD46</f>
        <v>N/T</v>
      </c>
      <c r="CA29" s="146" t="str">
        <f ca="1">RESULTADOS!BE46</f>
        <v>N/T</v>
      </c>
      <c r="CB29" s="146" t="str">
        <f ca="1">RESULTADOS!BF46</f>
        <v>N/D</v>
      </c>
      <c r="CC29" s="146" t="str">
        <f ca="1">RESULTADOS!BG46</f>
        <v>N/D</v>
      </c>
      <c r="CD29" s="146" t="str">
        <f ca="1">RESULTADOS!BH46</f>
        <v>N/T</v>
      </c>
      <c r="CE29" s="146" t="str">
        <f ca="1">RESULTADOS!BI46</f>
        <v>N/D</v>
      </c>
      <c r="CF29" s="146" t="str">
        <f ca="1">RESULTADOS!BJ46</f>
        <v>N/D</v>
      </c>
      <c r="CG29" s="146" t="str">
        <f ca="1">RESULTADOS!BK46</f>
        <v>N/D</v>
      </c>
      <c r="CH29" s="146" t="str">
        <f ca="1">RESULTADOS!BL46</f>
        <v>N/D</v>
      </c>
      <c r="CI29" s="146" t="str">
        <f ca="1">RESULTADOS!BM46</f>
        <v>N/D</v>
      </c>
      <c r="CJ29" s="146" t="str">
        <f ca="1">RESULTADOS!BN46</f>
        <v>N/T</v>
      </c>
      <c r="CK29" s="146" t="str">
        <f ca="1">RESULTADOS!BO46</f>
        <v>Falla</v>
      </c>
      <c r="CL29" s="146" t="str">
        <f ca="1">RESULTADOS!BP46</f>
        <v>N/T</v>
      </c>
      <c r="CM29" s="146" t="str">
        <f ca="1">RESULTADOS!BQ46</f>
        <v>N/T</v>
      </c>
      <c r="CN29" s="146" t="str">
        <f ca="1">RESULTADOS!BR46</f>
        <v>N/D</v>
      </c>
      <c r="CO29" s="146" t="str">
        <f ca="1">RESULTADOS!BS46</f>
        <v>N/T</v>
      </c>
      <c r="CP29" s="146" t="str">
        <f ca="1">RESULTADOS!BT46</f>
        <v>N/D</v>
      </c>
      <c r="CQ29" s="146" t="str">
        <f ca="1">RESULTADOS!BU46</f>
        <v>Falla</v>
      </c>
      <c r="CR29" s="146" t="str">
        <f ca="1">RESULTADOS!BV46</f>
        <v>N/D</v>
      </c>
      <c r="CS29" s="146" t="str">
        <f ca="1">RESULTADOS!BW46</f>
        <v>N/D</v>
      </c>
      <c r="CT29" s="146" t="str">
        <f ca="1">RESULTADOS!BX46</f>
        <v>N/D</v>
      </c>
      <c r="CU29" s="146" t="str">
        <f ca="1">RESULTADOS!BY46</f>
        <v>N/T</v>
      </c>
      <c r="CV29" s="146" t="str">
        <f ca="1">RESULTADOS!BZ46</f>
        <v>N/T</v>
      </c>
      <c r="CW29" s="146" t="str">
        <f ca="1">RESULTADOS!CA46</f>
        <v>N/D</v>
      </c>
      <c r="CX29" s="146" t="str">
        <f ca="1">RESULTADOS!CB46</f>
        <v>N/T</v>
      </c>
      <c r="CY29" s="146" t="str">
        <f ca="1">RESULTADOS!CC46</f>
        <v>N/T</v>
      </c>
      <c r="CZ29" s="146" t="str">
        <f ca="1">RESULTADOS!CD46</f>
        <v>N/T</v>
      </c>
      <c r="DA29" s="146" t="str">
        <f ca="1">RESULTADOS!CE46</f>
        <v>N/D</v>
      </c>
      <c r="DB29" s="146" t="str">
        <f ca="1">RESULTADOS!CF46</f>
        <v>N/T</v>
      </c>
      <c r="DC29" s="146" t="str">
        <f ca="1">RESULTADOS!CG46</f>
        <v>N/T</v>
      </c>
      <c r="DD29" s="146" t="str">
        <f ca="1">RESULTADOS!CH46</f>
        <v>N/T</v>
      </c>
      <c r="DE29" s="146" t="str">
        <f ca="1">RESULTADOS!CI46</f>
        <v>N/T</v>
      </c>
      <c r="DF29" s="146" t="str">
        <f ca="1">RESULTADOS!CJ46</f>
        <v>N/T</v>
      </c>
      <c r="DG29" s="146" t="str">
        <f ca="1">RESULTADOS!CK46</f>
        <v>N/T</v>
      </c>
      <c r="DH29" s="146" t="str">
        <f ca="1">RESULTADOS!CL46</f>
        <v>N/T</v>
      </c>
      <c r="DI29" s="146" t="str">
        <f ca="1">RESULTADOS!CM46</f>
        <v>N/T</v>
      </c>
      <c r="DJ29" s="146" t="str">
        <f ca="1">RESULTADOS!CN46</f>
        <v>N/T</v>
      </c>
      <c r="DK29" s="146" t="str">
        <f ca="1">RESULTADOS!CO46</f>
        <v>N/T</v>
      </c>
      <c r="DL29" s="146" t="str">
        <f ca="1">RESULTADOS!CP46</f>
        <v>N/T</v>
      </c>
      <c r="DM29" s="146" t="str">
        <f ca="1">RESULTADOS!CQ46</f>
        <v>N/T</v>
      </c>
      <c r="DN29" s="146" t="str">
        <f ca="1">RESULTADOS!CR46</f>
        <v>N/T</v>
      </c>
      <c r="DO29" s="148" t="str">
        <f>RESULTADOS!B87</f>
        <v/>
      </c>
      <c r="DP29" s="148" t="str">
        <f>RESULTADOS!C87</f>
        <v/>
      </c>
      <c r="DQ29" s="148" t="str">
        <f t="shared" si="1"/>
        <v/>
      </c>
      <c r="DR29" s="148" t="str" cm="1">
        <f t="array" ref="DR29">IFERROR(INDEX('03.Muestra'!$E$8:$E$42,SMALL(IF("Documento no web"='03.Muestra'!$D$8:$D$42,ROW('03.Muestra'!$E$8:$E$42)-MIN(ROW('03.Muestra'!$D$8:$D$42))+1,""),ROW()-2)),"")</f>
        <v/>
      </c>
      <c r="DS29" s="148" t="str">
        <f>RESULTADOS!D87</f>
        <v/>
      </c>
      <c r="DT29" s="148" t="str" cm="1">
        <f t="array" ref="DT29">IFERROR(INDEX('03.Muestra'!$G$8:$G$42,SMALL(IF("Documento no web"='03.Muestra'!$D$8:$D$42,ROW('03.Muestra'!$G$8:$G$42)-MIN(ROW('03.Muestra'!$D$8:$D$42))+1,""),ROW()-2)),"")</f>
        <v/>
      </c>
      <c r="DU29" s="237" t="str" cm="1">
        <f t="array" ref="DU29">IFERROR(INDEX('03.Muestra'!$H$8:$H$42,SMALL(IF("Documento no web"='03.Muestra'!$D$8:$D$42,ROW('03.Muestra'!$H$8:$H$42)-MIN(ROW('03.Muestra'!$D$8:$D$42))+1,""),ROW()-2)),"")</f>
        <v/>
      </c>
      <c r="DV29" s="146" t="str">
        <f ca="1">RESULTADOS!E87</f>
        <v/>
      </c>
      <c r="DW29" s="146" t="str">
        <f ca="1">RESULTADOS!F87</f>
        <v/>
      </c>
      <c r="DX29" s="146" t="str">
        <f ca="1">RESULTADOS!G87</f>
        <v/>
      </c>
      <c r="DY29" s="146" t="str">
        <f ca="1">RESULTADOS!H87</f>
        <v/>
      </c>
      <c r="DZ29" s="146" t="str">
        <f ca="1">RESULTADOS!I87</f>
        <v/>
      </c>
      <c r="EA29" s="146" t="str">
        <f ca="1">RESULTADOS!J87</f>
        <v/>
      </c>
      <c r="EB29" s="146" t="str">
        <f ca="1">RESULTADOS!K87</f>
        <v/>
      </c>
      <c r="EC29" s="146" t="str">
        <f ca="1">RESULTADOS!L87</f>
        <v/>
      </c>
      <c r="ED29" s="146" t="str">
        <f ca="1">RESULTADOS!M87</f>
        <v/>
      </c>
      <c r="EE29" s="146" t="str">
        <f ca="1">RESULTADOS!N87</f>
        <v/>
      </c>
      <c r="EF29" s="146" t="str">
        <f ca="1">RESULTADOS!O87</f>
        <v/>
      </c>
      <c r="EG29" s="146" t="str">
        <f ca="1">RESULTADOS!P87</f>
        <v/>
      </c>
      <c r="EH29" s="146" t="str">
        <f ca="1">RESULTADOS!Q87</f>
        <v/>
      </c>
      <c r="EI29" s="146" t="str">
        <f ca="1">RESULTADOS!R87</f>
        <v/>
      </c>
      <c r="EJ29" s="146" t="str">
        <f ca="1">RESULTADOS!S87</f>
        <v/>
      </c>
      <c r="EK29" s="146" t="str">
        <f ca="1">RESULTADOS!T87</f>
        <v/>
      </c>
      <c r="EL29" s="146" t="str">
        <f ca="1">RESULTADOS!U87</f>
        <v/>
      </c>
      <c r="EM29" s="146" t="str">
        <f ca="1">RESULTADOS!V87</f>
        <v/>
      </c>
      <c r="EN29" s="146" t="str">
        <f ca="1">RESULTADOS!W87</f>
        <v/>
      </c>
      <c r="EO29" s="146" t="str">
        <f ca="1">RESULTADOS!X87</f>
        <v/>
      </c>
      <c r="EP29" s="146" t="str">
        <f ca="1">RESULTADOS!Y87</f>
        <v/>
      </c>
      <c r="EQ29" s="146" t="str">
        <f ca="1">RESULTADOS!Z87</f>
        <v/>
      </c>
      <c r="ER29" s="146" t="str">
        <f ca="1">RESULTADOS!AA87</f>
        <v/>
      </c>
      <c r="ES29" s="146" t="str">
        <f ca="1">RESULTADOS!AB87</f>
        <v/>
      </c>
      <c r="ET29" s="146" t="str">
        <f ca="1">RESULTADOS!AC87</f>
        <v/>
      </c>
      <c r="EU29" s="146" t="str">
        <f ca="1">RESULTADOS!AD87</f>
        <v/>
      </c>
      <c r="EV29" s="146" t="str">
        <f ca="1">RESULTADOS!AE87</f>
        <v/>
      </c>
      <c r="EW29" s="146" t="str">
        <f ca="1">RESULTADOS!AF87</f>
        <v/>
      </c>
      <c r="EX29" s="146" t="str">
        <f ca="1">RESULTADOS!AG87</f>
        <v/>
      </c>
      <c r="EY29" s="146" t="str">
        <f ca="1">RESULTADOS!AH87</f>
        <v/>
      </c>
      <c r="EZ29" s="146" t="str">
        <f ca="1">RESULTADOS!AI87</f>
        <v/>
      </c>
      <c r="FA29" s="146" t="str">
        <f ca="1">RESULTADOS!AJ87</f>
        <v/>
      </c>
      <c r="FB29" s="146" t="str">
        <f ca="1">RESULTADOS!AK87</f>
        <v/>
      </c>
      <c r="FC29" s="146" t="str">
        <f ca="1">RESULTADOS!AL87</f>
        <v/>
      </c>
      <c r="FD29" s="146" t="str">
        <f ca="1">RESULTADOS!AM87</f>
        <v/>
      </c>
      <c r="FE29" s="146" t="str">
        <f ca="1">RESULTADOS!AN87</f>
        <v/>
      </c>
      <c r="FF29" s="146" t="str">
        <f ca="1">RESULTADOS!AO87</f>
        <v/>
      </c>
      <c r="FG29" s="146" t="str">
        <f ca="1">RESULTADOS!AP87</f>
        <v/>
      </c>
      <c r="FH29" s="146" t="str">
        <f ca="1">RESULTADOS!AQ87</f>
        <v/>
      </c>
      <c r="FI29" s="146" t="str">
        <f ca="1">RESULTADOS!AR87</f>
        <v/>
      </c>
      <c r="FJ29" s="146" t="str">
        <f ca="1">RESULTADOS!AS87</f>
        <v/>
      </c>
      <c r="FK29" s="146" t="str">
        <f ca="1">RESULTADOS!AT87</f>
        <v/>
      </c>
      <c r="FL29" s="146" t="str">
        <f ca="1">RESULTADOS!AU87</f>
        <v/>
      </c>
      <c r="FM29" s="146" t="str">
        <f ca="1">RESULTADOS!AV87</f>
        <v/>
      </c>
      <c r="FN29" s="146" t="str">
        <f ca="1">RESULTADOS!AW87</f>
        <v/>
      </c>
    </row>
    <row r="30" spans="3:170">
      <c r="C30" s="40" t="s">
        <v>12</v>
      </c>
      <c r="D30" s="147" t="n">
        <f>'01.Definición de ámbito'!C60</f>
        <v>0.0</v>
      </c>
      <c r="T30" s="148" t="n">
        <f>RESULTADOS!B47</f>
        <v>1.0</v>
      </c>
      <c r="U30" s="148" t="str">
        <f>RESULTADOS!C47</f>
        <v>Home - PortCastelló</v>
      </c>
      <c r="V30" s="148" t="str">
        <f t="shared" si="0"/>
        <v>Página web</v>
      </c>
      <c r="W30" s="148" t="str">
        <v/>
      </c>
      <c r="X30" s="148" t="str">
        <f>RESULTADOS!D47</f>
        <v>https://www.portcastello.com/</v>
      </c>
      <c r="Y30" s="148" t="n">
        <v>0.0</v>
      </c>
      <c r="Z30" s="237" t="str">
        <v>Ej. Imágenes, tablas, listas, multimedia, formularios, plantilla X, plantilla Y</v>
      </c>
      <c r="AA30" s="146" t="str">
        <f ca="1">RESULTADOS!E47</f>
        <v>N/T</v>
      </c>
      <c r="AB30" s="146" t="str">
        <f ca="1">RESULTADOS!F47</f>
        <v>N/T</v>
      </c>
      <c r="AC30" s="146" t="str">
        <f ca="1">RESULTADOS!G47</f>
        <v>N/T</v>
      </c>
      <c r="AD30" s="146" t="str">
        <f ca="1">RESULTADOS!H47</f>
        <v>N/T</v>
      </c>
      <c r="AE30" s="146" t="str">
        <f ca="1">RESULTADOS!I47</f>
        <v>N/T</v>
      </c>
      <c r="AF30" s="146" t="str">
        <f ca="1">RESULTADOS!J47</f>
        <v>N/T</v>
      </c>
      <c r="AG30" s="146" t="str">
        <f ca="1">RESULTADOS!K47</f>
        <v>N/T</v>
      </c>
      <c r="AH30" s="146" t="str">
        <f ca="1">RESULTADOS!L47</f>
        <v>N/T</v>
      </c>
      <c r="AI30" s="146" t="str">
        <f ca="1">RESULTADOS!M47</f>
        <v>N/T</v>
      </c>
      <c r="AJ30" s="146" t="str">
        <f ca="1">RESULTADOS!N47</f>
        <v>N/T</v>
      </c>
      <c r="AK30" s="146" t="str">
        <f ca="1">RESULTADOS!O47</f>
        <v>N/T</v>
      </c>
      <c r="AL30" s="146" t="str">
        <f ca="1">RESULTADOS!P47</f>
        <v>N/T</v>
      </c>
      <c r="AM30" s="146" t="str">
        <f ca="1">RESULTADOS!Q47</f>
        <v>N/T</v>
      </c>
      <c r="AN30" s="146" t="str">
        <f ca="1">RESULTADOS!R47</f>
        <v>N/T</v>
      </c>
      <c r="AO30" s="146" t="str">
        <f ca="1">RESULTADOS!S47</f>
        <v>N/T</v>
      </c>
      <c r="AP30" s="146" t="str">
        <f ca="1">RESULTADOS!T47</f>
        <v>N/T</v>
      </c>
      <c r="AQ30" s="146" t="str">
        <f ca="1">RESULTADOS!U47</f>
        <v>N/T</v>
      </c>
      <c r="AR30" s="146" t="str">
        <f ca="1">RESULTADOS!V47</f>
        <v>N/T</v>
      </c>
      <c r="AS30" s="146" t="str">
        <f ca="1">RESULTADOS!W47</f>
        <v>N/T</v>
      </c>
      <c r="AT30" s="146" t="str">
        <f ca="1">RESULTADOS!X47</f>
        <v>N/T</v>
      </c>
      <c r="AU30" s="146" t="str">
        <f ca="1">RESULTADOS!Y47</f>
        <v>N/T</v>
      </c>
      <c r="AV30" s="146" t="str">
        <f ca="1">RESULTADOS!Z47</f>
        <v>N/T</v>
      </c>
      <c r="AW30" s="146" t="str">
        <f ca="1">RESULTADOS!AA47</f>
        <v>N/T</v>
      </c>
      <c r="AX30" s="146" t="str">
        <f ca="1">RESULTADOS!AB47</f>
        <v>N/T</v>
      </c>
      <c r="AY30" s="146" t="str">
        <f ca="1">RESULTADOS!AC47</f>
        <v>N/T</v>
      </c>
      <c r="AZ30" s="146" t="str">
        <f ca="1">RESULTADOS!AD47</f>
        <v>N/T</v>
      </c>
      <c r="BA30" s="146" t="str">
        <f ca="1">RESULTADOS!AE47</f>
        <v>N/T</v>
      </c>
      <c r="BB30" s="146" t="str">
        <f ca="1">RESULTADOS!AF47</f>
        <v>N/T</v>
      </c>
      <c r="BC30" s="146" t="str">
        <f ca="1">RESULTADOS!AG47</f>
        <v>N/T</v>
      </c>
      <c r="BD30" s="146" t="str">
        <f ca="1">RESULTADOS!AH47</f>
        <v>N/T</v>
      </c>
      <c r="BE30" s="146" t="str">
        <f ca="1">RESULTADOS!AI47</f>
        <v>N/T</v>
      </c>
      <c r="BF30" s="146" t="str">
        <f ca="1">RESULTADOS!AJ47</f>
        <v>N/D</v>
      </c>
      <c r="BG30" s="146" t="str">
        <f ca="1">RESULTADOS!AK47</f>
        <v>N/T</v>
      </c>
      <c r="BH30" s="146" t="str">
        <f ca="1">RESULTADOS!AL47</f>
        <v>N/T</v>
      </c>
      <c r="BI30" s="146" t="str">
        <f ca="1">RESULTADOS!AM47</f>
        <v>N/T</v>
      </c>
      <c r="BJ30" s="146" t="str">
        <f ca="1">RESULTADOS!AN47</f>
        <v>N/T</v>
      </c>
      <c r="BK30" s="146" t="str">
        <f ca="1">RESULTADOS!AO47</f>
        <v>N/D</v>
      </c>
      <c r="BL30" s="146" t="str">
        <f ca="1">RESULTADOS!AP47</f>
        <v>N/T</v>
      </c>
      <c r="BM30" s="146" t="str">
        <f ca="1">RESULTADOS!AQ47</f>
        <v>N/T</v>
      </c>
      <c r="BN30" s="146" t="str">
        <f ca="1">RESULTADOS!AR47</f>
        <v>N/D</v>
      </c>
      <c r="BO30" s="146" t="str">
        <f ca="1">RESULTADOS!AS47</f>
        <v>N/D</v>
      </c>
      <c r="BP30" s="146" t="str">
        <f ca="1">RESULTADOS!AT47</f>
        <v>N/T</v>
      </c>
      <c r="BQ30" s="146" t="str">
        <f ca="1">RESULTADOS!AU47</f>
        <v>N/T</v>
      </c>
      <c r="BR30" s="146" t="str">
        <f ca="1">RESULTADOS!AV47</f>
        <v>N/D</v>
      </c>
      <c r="BS30" s="146" t="str">
        <f ca="1">RESULTADOS!AW47</f>
        <v>N/T</v>
      </c>
      <c r="BT30" s="146" t="str">
        <f ca="1">RESULTADOS!AX47</f>
        <v>N/T</v>
      </c>
      <c r="BU30" s="146" t="str">
        <f ca="1">RESULTADOS!AY47</f>
        <v>N/D</v>
      </c>
      <c r="BV30" s="146" t="str">
        <f ca="1">RESULTADOS!AZ47</f>
        <v>N/T</v>
      </c>
      <c r="BW30" s="146" t="str">
        <f ca="1">RESULTADOS!BA47</f>
        <v>N/D</v>
      </c>
      <c r="BX30" s="146" t="str">
        <f ca="1">RESULTADOS!BB47</f>
        <v>N/T</v>
      </c>
      <c r="BY30" s="146" t="str">
        <f ca="1">RESULTADOS!BC47</f>
        <v>N/D</v>
      </c>
      <c r="BZ30" s="146" t="str">
        <f ca="1">RESULTADOS!BD47</f>
        <v>N/T</v>
      </c>
      <c r="CA30" s="146" t="str">
        <f ca="1">RESULTADOS!BE47</f>
        <v>N/T</v>
      </c>
      <c r="CB30" s="146" t="str">
        <f ca="1">RESULTADOS!BF47</f>
        <v>N/D</v>
      </c>
      <c r="CC30" s="146" t="str">
        <f ca="1">RESULTADOS!BG47</f>
        <v>N/D</v>
      </c>
      <c r="CD30" s="146" t="str">
        <f ca="1">RESULTADOS!BH47</f>
        <v>N/T</v>
      </c>
      <c r="CE30" s="146" t="str">
        <f ca="1">RESULTADOS!BI47</f>
        <v>N/D</v>
      </c>
      <c r="CF30" s="146" t="str">
        <f ca="1">RESULTADOS!BJ47</f>
        <v>N/D</v>
      </c>
      <c r="CG30" s="146" t="str">
        <f ca="1">RESULTADOS!BK47</f>
        <v>N/D</v>
      </c>
      <c r="CH30" s="146" t="str">
        <f ca="1">RESULTADOS!BL47</f>
        <v>N/D</v>
      </c>
      <c r="CI30" s="146" t="str">
        <f ca="1">RESULTADOS!BM47</f>
        <v>N/D</v>
      </c>
      <c r="CJ30" s="146" t="str">
        <f ca="1">RESULTADOS!BN47</f>
        <v>N/T</v>
      </c>
      <c r="CK30" s="146" t="str">
        <f ca="1">RESULTADOS!BO47</f>
        <v>Falla</v>
      </c>
      <c r="CL30" s="146" t="str">
        <f ca="1">RESULTADOS!BP47</f>
        <v>N/T</v>
      </c>
      <c r="CM30" s="146" t="str">
        <f ca="1">RESULTADOS!BQ47</f>
        <v>N/T</v>
      </c>
      <c r="CN30" s="146" t="str">
        <f ca="1">RESULTADOS!BR47</f>
        <v>N/D</v>
      </c>
      <c r="CO30" s="146" t="str">
        <f ca="1">RESULTADOS!BS47</f>
        <v>N/T</v>
      </c>
      <c r="CP30" s="146" t="str">
        <f ca="1">RESULTADOS!BT47</f>
        <v>N/D</v>
      </c>
      <c r="CQ30" s="146" t="str">
        <f ca="1">RESULTADOS!BU47</f>
        <v>Falla</v>
      </c>
      <c r="CR30" s="146" t="str">
        <f ca="1">RESULTADOS!BV47</f>
        <v>N/D</v>
      </c>
      <c r="CS30" s="146" t="str">
        <f ca="1">RESULTADOS!BW47</f>
        <v>N/D</v>
      </c>
      <c r="CT30" s="146" t="str">
        <f ca="1">RESULTADOS!BX47</f>
        <v>N/D</v>
      </c>
      <c r="CU30" s="146" t="str">
        <f ca="1">RESULTADOS!BY47</f>
        <v>N/T</v>
      </c>
      <c r="CV30" s="146" t="str">
        <f ca="1">RESULTADOS!BZ47</f>
        <v>N/T</v>
      </c>
      <c r="CW30" s="146" t="str">
        <f ca="1">RESULTADOS!CA47</f>
        <v>N/D</v>
      </c>
      <c r="CX30" s="146" t="str">
        <f ca="1">RESULTADOS!CB47</f>
        <v>N/T</v>
      </c>
      <c r="CY30" s="146" t="str">
        <f ca="1">RESULTADOS!CC47</f>
        <v>N/T</v>
      </c>
      <c r="CZ30" s="146" t="str">
        <f ca="1">RESULTADOS!CD47</f>
        <v>N/T</v>
      </c>
      <c r="DA30" s="146" t="str">
        <f ca="1">RESULTADOS!CE47</f>
        <v>N/D</v>
      </c>
      <c r="DB30" s="146" t="str">
        <f ca="1">RESULTADOS!CF47</f>
        <v>N/T</v>
      </c>
      <c r="DC30" s="146" t="str">
        <f ca="1">RESULTADOS!CG47</f>
        <v>N/T</v>
      </c>
      <c r="DD30" s="146" t="str">
        <f ca="1">RESULTADOS!CH47</f>
        <v>N/T</v>
      </c>
      <c r="DE30" s="146" t="str">
        <f ca="1">RESULTADOS!CI47</f>
        <v>N/T</v>
      </c>
      <c r="DF30" s="146" t="str">
        <f ca="1">RESULTADOS!CJ47</f>
        <v>N/T</v>
      </c>
      <c r="DG30" s="146" t="str">
        <f ca="1">RESULTADOS!CK47</f>
        <v>N/T</v>
      </c>
      <c r="DH30" s="146" t="str">
        <f ca="1">RESULTADOS!CL47</f>
        <v>N/T</v>
      </c>
      <c r="DI30" s="146" t="str">
        <f ca="1">RESULTADOS!CM47</f>
        <v>N/T</v>
      </c>
      <c r="DJ30" s="146" t="str">
        <f ca="1">RESULTADOS!CN47</f>
        <v>N/T</v>
      </c>
      <c r="DK30" s="146" t="str">
        <f ca="1">RESULTADOS!CO47</f>
        <v>N/T</v>
      </c>
      <c r="DL30" s="146" t="str">
        <f ca="1">RESULTADOS!CP47</f>
        <v>N/T</v>
      </c>
      <c r="DM30" s="146" t="str">
        <f ca="1">RESULTADOS!CQ47</f>
        <v>N/T</v>
      </c>
      <c r="DN30" s="146" t="str">
        <f ca="1">RESULTADOS!CR47</f>
        <v>N/T</v>
      </c>
      <c r="DO30" s="148" t="str">
        <f>RESULTADOS!B88</f>
        <v/>
      </c>
      <c r="DP30" s="148" t="str">
        <f>RESULTADOS!C88</f>
        <v/>
      </c>
      <c r="DQ30" s="148" t="str">
        <f t="shared" si="1"/>
        <v/>
      </c>
      <c r="DR30" s="148" t="str" cm="1">
        <f t="array" ref="DR30">IFERROR(INDEX('03.Muestra'!$E$8:$E$42,SMALL(IF("Documento no web"='03.Muestra'!$D$8:$D$42,ROW('03.Muestra'!$E$8:$E$42)-MIN(ROW('03.Muestra'!$D$8:$D$42))+1,""),ROW()-2)),"")</f>
        <v/>
      </c>
      <c r="DS30" s="148" t="str">
        <f>RESULTADOS!D88</f>
        <v/>
      </c>
      <c r="DT30" s="148" t="str" cm="1">
        <f t="array" ref="DT30">IFERROR(INDEX('03.Muestra'!$G$8:$G$42,SMALL(IF("Documento no web"='03.Muestra'!$D$8:$D$42,ROW('03.Muestra'!$G$8:$G$42)-MIN(ROW('03.Muestra'!$D$8:$D$42))+1,""),ROW()-2)),"")</f>
        <v/>
      </c>
      <c r="DU30" s="237" t="str" cm="1">
        <f t="array" ref="DU30">IFERROR(INDEX('03.Muestra'!$H$8:$H$42,SMALL(IF("Documento no web"='03.Muestra'!$D$8:$D$42,ROW('03.Muestra'!$H$8:$H$42)-MIN(ROW('03.Muestra'!$D$8:$D$42))+1,""),ROW()-2)),"")</f>
        <v/>
      </c>
      <c r="DV30" s="146" t="str">
        <f ca="1">RESULTADOS!E88</f>
        <v/>
      </c>
      <c r="DW30" s="146" t="str">
        <f ca="1">RESULTADOS!F88</f>
        <v/>
      </c>
      <c r="DX30" s="146" t="str">
        <f ca="1">RESULTADOS!G88</f>
        <v/>
      </c>
      <c r="DY30" s="146" t="str">
        <f ca="1">RESULTADOS!H88</f>
        <v/>
      </c>
      <c r="DZ30" s="146" t="str">
        <f ca="1">RESULTADOS!I88</f>
        <v/>
      </c>
      <c r="EA30" s="146" t="str">
        <f ca="1">RESULTADOS!J88</f>
        <v/>
      </c>
      <c r="EB30" s="146" t="str">
        <f ca="1">RESULTADOS!K88</f>
        <v/>
      </c>
      <c r="EC30" s="146" t="str">
        <f ca="1">RESULTADOS!L88</f>
        <v/>
      </c>
      <c r="ED30" s="146" t="str">
        <f ca="1">RESULTADOS!M88</f>
        <v/>
      </c>
      <c r="EE30" s="146" t="str">
        <f ca="1">RESULTADOS!N88</f>
        <v/>
      </c>
      <c r="EF30" s="146" t="str">
        <f ca="1">RESULTADOS!O88</f>
        <v/>
      </c>
      <c r="EG30" s="146" t="str">
        <f ca="1">RESULTADOS!P88</f>
        <v/>
      </c>
      <c r="EH30" s="146" t="str">
        <f ca="1">RESULTADOS!Q88</f>
        <v/>
      </c>
      <c r="EI30" s="146" t="str">
        <f ca="1">RESULTADOS!R88</f>
        <v/>
      </c>
      <c r="EJ30" s="146" t="str">
        <f ca="1">RESULTADOS!S88</f>
        <v/>
      </c>
      <c r="EK30" s="146" t="str">
        <f ca="1">RESULTADOS!T88</f>
        <v/>
      </c>
      <c r="EL30" s="146" t="str">
        <f ca="1">RESULTADOS!U88</f>
        <v/>
      </c>
      <c r="EM30" s="146" t="str">
        <f ca="1">RESULTADOS!V88</f>
        <v/>
      </c>
      <c r="EN30" s="146" t="str">
        <f ca="1">RESULTADOS!W88</f>
        <v/>
      </c>
      <c r="EO30" s="146" t="str">
        <f ca="1">RESULTADOS!X88</f>
        <v/>
      </c>
      <c r="EP30" s="146" t="str">
        <f ca="1">RESULTADOS!Y88</f>
        <v/>
      </c>
      <c r="EQ30" s="146" t="str">
        <f ca="1">RESULTADOS!Z88</f>
        <v/>
      </c>
      <c r="ER30" s="146" t="str">
        <f ca="1">RESULTADOS!AA88</f>
        <v/>
      </c>
      <c r="ES30" s="146" t="str">
        <f ca="1">RESULTADOS!AB88</f>
        <v/>
      </c>
      <c r="ET30" s="146" t="str">
        <f ca="1">RESULTADOS!AC88</f>
        <v/>
      </c>
      <c r="EU30" s="146" t="str">
        <f ca="1">RESULTADOS!AD88</f>
        <v/>
      </c>
      <c r="EV30" s="146" t="str">
        <f ca="1">RESULTADOS!AE88</f>
        <v/>
      </c>
      <c r="EW30" s="146" t="str">
        <f ca="1">RESULTADOS!AF88</f>
        <v/>
      </c>
      <c r="EX30" s="146" t="str">
        <f ca="1">RESULTADOS!AG88</f>
        <v/>
      </c>
      <c r="EY30" s="146" t="str">
        <f ca="1">RESULTADOS!AH88</f>
        <v/>
      </c>
      <c r="EZ30" s="146" t="str">
        <f ca="1">RESULTADOS!AI88</f>
        <v/>
      </c>
      <c r="FA30" s="146" t="str">
        <f ca="1">RESULTADOS!AJ88</f>
        <v/>
      </c>
      <c r="FB30" s="146" t="str">
        <f ca="1">RESULTADOS!AK88</f>
        <v/>
      </c>
      <c r="FC30" s="146" t="str">
        <f ca="1">RESULTADOS!AL88</f>
        <v/>
      </c>
      <c r="FD30" s="146" t="str">
        <f ca="1">RESULTADOS!AM88</f>
        <v/>
      </c>
      <c r="FE30" s="146" t="str">
        <f ca="1">RESULTADOS!AN88</f>
        <v/>
      </c>
      <c r="FF30" s="146" t="str">
        <f ca="1">RESULTADOS!AO88</f>
        <v/>
      </c>
      <c r="FG30" s="146" t="str">
        <f ca="1">RESULTADOS!AP88</f>
        <v/>
      </c>
      <c r="FH30" s="146" t="str">
        <f ca="1">RESULTADOS!AQ88</f>
        <v/>
      </c>
      <c r="FI30" s="146" t="str">
        <f ca="1">RESULTADOS!AR88</f>
        <v/>
      </c>
      <c r="FJ30" s="146" t="str">
        <f ca="1">RESULTADOS!AS88</f>
        <v/>
      </c>
      <c r="FK30" s="146" t="str">
        <f ca="1">RESULTADOS!AT88</f>
        <v/>
      </c>
      <c r="FL30" s="146" t="str">
        <f ca="1">RESULTADOS!AU88</f>
        <v/>
      </c>
      <c r="FM30" s="146" t="str">
        <f ca="1">RESULTADOS!AV88</f>
        <v/>
      </c>
      <c r="FN30" s="146" t="str">
        <f ca="1">RESULTADOS!AW88</f>
        <v/>
      </c>
    </row>
    <row r="31" spans="3:170">
      <c r="C31" s="40" t="s">
        <v>13</v>
      </c>
      <c r="D31" s="147" t="n">
        <f>'01.Definición de ámbito'!C62</f>
        <v>0.0</v>
      </c>
      <c r="K31" s="153"/>
      <c r="T31" s="148" t="n">
        <f>RESULTADOS!B48</f>
        <v>1.0</v>
      </c>
      <c r="U31" s="148" t="str">
        <f>RESULTADOS!C48</f>
        <v>Home - PortCastelló</v>
      </c>
      <c r="V31" s="148" t="str">
        <f t="shared" si="0"/>
        <v>Página web</v>
      </c>
      <c r="W31" s="148" t="str">
        <v/>
      </c>
      <c r="X31" s="148" t="str">
        <f>RESULTADOS!D48</f>
        <v>https://www.portcastello.com/</v>
      </c>
      <c r="Y31" s="148" t="n">
        <v>0.0</v>
      </c>
      <c r="Z31" s="237" t="str">
        <v>Ej. Imágenes, tablas, listas, multimedia, formularios, plantilla X, plantilla Y</v>
      </c>
      <c r="AA31" s="146" t="str">
        <f ca="1">RESULTADOS!E48</f>
        <v>N/T</v>
      </c>
      <c r="AB31" s="146" t="str">
        <f ca="1">RESULTADOS!F48</f>
        <v>N/T</v>
      </c>
      <c r="AC31" s="146" t="str">
        <f ca="1">RESULTADOS!G48</f>
        <v>N/T</v>
      </c>
      <c r="AD31" s="146" t="str">
        <f ca="1">RESULTADOS!H48</f>
        <v>N/T</v>
      </c>
      <c r="AE31" s="146" t="str">
        <f ca="1">RESULTADOS!I48</f>
        <v>N/T</v>
      </c>
      <c r="AF31" s="146" t="str">
        <f ca="1">RESULTADOS!J48</f>
        <v>N/T</v>
      </c>
      <c r="AG31" s="146" t="str">
        <f ca="1">RESULTADOS!K48</f>
        <v>N/T</v>
      </c>
      <c r="AH31" s="146" t="str">
        <f ca="1">RESULTADOS!L48</f>
        <v>N/T</v>
      </c>
      <c r="AI31" s="146" t="str">
        <f ca="1">RESULTADOS!M48</f>
        <v>N/T</v>
      </c>
      <c r="AJ31" s="146" t="str">
        <f ca="1">RESULTADOS!N48</f>
        <v>N/T</v>
      </c>
      <c r="AK31" s="146" t="str">
        <f ca="1">RESULTADOS!O48</f>
        <v>N/T</v>
      </c>
      <c r="AL31" s="146" t="str">
        <f ca="1">RESULTADOS!P48</f>
        <v>N/T</v>
      </c>
      <c r="AM31" s="146" t="str">
        <f ca="1">RESULTADOS!Q48</f>
        <v>N/T</v>
      </c>
      <c r="AN31" s="146" t="str">
        <f ca="1">RESULTADOS!R48</f>
        <v>N/T</v>
      </c>
      <c r="AO31" s="146" t="str">
        <f ca="1">RESULTADOS!S48</f>
        <v>N/T</v>
      </c>
      <c r="AP31" s="146" t="str">
        <f ca="1">RESULTADOS!T48</f>
        <v>N/T</v>
      </c>
      <c r="AQ31" s="146" t="str">
        <f ca="1">RESULTADOS!U48</f>
        <v>N/T</v>
      </c>
      <c r="AR31" s="146" t="str">
        <f ca="1">RESULTADOS!V48</f>
        <v>N/T</v>
      </c>
      <c r="AS31" s="146" t="str">
        <f ca="1">RESULTADOS!W48</f>
        <v>N/T</v>
      </c>
      <c r="AT31" s="146" t="str">
        <f ca="1">RESULTADOS!X48</f>
        <v>N/T</v>
      </c>
      <c r="AU31" s="146" t="str">
        <f ca="1">RESULTADOS!Y48</f>
        <v>N/T</v>
      </c>
      <c r="AV31" s="146" t="str">
        <f ca="1">RESULTADOS!Z48</f>
        <v>N/T</v>
      </c>
      <c r="AW31" s="146" t="str">
        <f ca="1">RESULTADOS!AA48</f>
        <v>N/T</v>
      </c>
      <c r="AX31" s="146" t="str">
        <f ca="1">RESULTADOS!AB48</f>
        <v>N/T</v>
      </c>
      <c r="AY31" s="146" t="str">
        <f ca="1">RESULTADOS!AC48</f>
        <v>N/T</v>
      </c>
      <c r="AZ31" s="146" t="str">
        <f ca="1">RESULTADOS!AD48</f>
        <v>N/T</v>
      </c>
      <c r="BA31" s="146" t="str">
        <f ca="1">RESULTADOS!AE48</f>
        <v>N/T</v>
      </c>
      <c r="BB31" s="146" t="str">
        <f ca="1">RESULTADOS!AF48</f>
        <v>N/T</v>
      </c>
      <c r="BC31" s="146" t="str">
        <f ca="1">RESULTADOS!AG48</f>
        <v>N/T</v>
      </c>
      <c r="BD31" s="146" t="str">
        <f ca="1">RESULTADOS!AH48</f>
        <v>N/T</v>
      </c>
      <c r="BE31" s="146" t="str">
        <f ca="1">RESULTADOS!AI48</f>
        <v>N/T</v>
      </c>
      <c r="BF31" s="146" t="str">
        <f ca="1">RESULTADOS!AJ48</f>
        <v>N/D</v>
      </c>
      <c r="BG31" s="146" t="str">
        <f ca="1">RESULTADOS!AK48</f>
        <v>N/T</v>
      </c>
      <c r="BH31" s="146" t="str">
        <f ca="1">RESULTADOS!AL48</f>
        <v>N/T</v>
      </c>
      <c r="BI31" s="146" t="str">
        <f ca="1">RESULTADOS!AM48</f>
        <v>N/T</v>
      </c>
      <c r="BJ31" s="146" t="str">
        <f ca="1">RESULTADOS!AN48</f>
        <v>N/T</v>
      </c>
      <c r="BK31" s="146" t="str">
        <f ca="1">RESULTADOS!AO48</f>
        <v>N/D</v>
      </c>
      <c r="BL31" s="146" t="str">
        <f ca="1">RESULTADOS!AP48</f>
        <v>N/T</v>
      </c>
      <c r="BM31" s="146" t="str">
        <f ca="1">RESULTADOS!AQ48</f>
        <v>N/T</v>
      </c>
      <c r="BN31" s="146" t="str">
        <f ca="1">RESULTADOS!AR48</f>
        <v>N/D</v>
      </c>
      <c r="BO31" s="146" t="str">
        <f ca="1">RESULTADOS!AS48</f>
        <v>N/D</v>
      </c>
      <c r="BP31" s="146" t="str">
        <f ca="1">RESULTADOS!AT48</f>
        <v>N/T</v>
      </c>
      <c r="BQ31" s="146" t="str">
        <f ca="1">RESULTADOS!AU48</f>
        <v>N/T</v>
      </c>
      <c r="BR31" s="146" t="str">
        <f ca="1">RESULTADOS!AV48</f>
        <v>N/D</v>
      </c>
      <c r="BS31" s="146" t="str">
        <f ca="1">RESULTADOS!AW48</f>
        <v>N/T</v>
      </c>
      <c r="BT31" s="146" t="str">
        <f ca="1">RESULTADOS!AX48</f>
        <v>N/T</v>
      </c>
      <c r="BU31" s="146" t="str">
        <f ca="1">RESULTADOS!AY48</f>
        <v>N/D</v>
      </c>
      <c r="BV31" s="146" t="str">
        <f ca="1">RESULTADOS!AZ48</f>
        <v>N/T</v>
      </c>
      <c r="BW31" s="146" t="str">
        <f ca="1">RESULTADOS!BA48</f>
        <v>N/D</v>
      </c>
      <c r="BX31" s="146" t="str">
        <f ca="1">RESULTADOS!BB48</f>
        <v>N/T</v>
      </c>
      <c r="BY31" s="146" t="str">
        <f ca="1">RESULTADOS!BC48</f>
        <v>N/D</v>
      </c>
      <c r="BZ31" s="146" t="str">
        <f ca="1">RESULTADOS!BD48</f>
        <v>N/T</v>
      </c>
      <c r="CA31" s="146" t="str">
        <f ca="1">RESULTADOS!BE48</f>
        <v>N/T</v>
      </c>
      <c r="CB31" s="146" t="str">
        <f ca="1">RESULTADOS!BF48</f>
        <v>N/D</v>
      </c>
      <c r="CC31" s="146" t="str">
        <f ca="1">RESULTADOS!BG48</f>
        <v>N/D</v>
      </c>
      <c r="CD31" s="146" t="str">
        <f ca="1">RESULTADOS!BH48</f>
        <v>N/T</v>
      </c>
      <c r="CE31" s="146" t="str">
        <f ca="1">RESULTADOS!BI48</f>
        <v>N/D</v>
      </c>
      <c r="CF31" s="146" t="str">
        <f ca="1">RESULTADOS!BJ48</f>
        <v>N/D</v>
      </c>
      <c r="CG31" s="146" t="str">
        <f ca="1">RESULTADOS!BK48</f>
        <v>N/D</v>
      </c>
      <c r="CH31" s="146" t="str">
        <f ca="1">RESULTADOS!BL48</f>
        <v>Falla</v>
      </c>
      <c r="CI31" s="146" t="str">
        <f ca="1">RESULTADOS!BM48</f>
        <v>N/D</v>
      </c>
      <c r="CJ31" s="146" t="str">
        <f ca="1">RESULTADOS!BN48</f>
        <v>N/T</v>
      </c>
      <c r="CK31" s="146" t="str">
        <f ca="1">RESULTADOS!BO48</f>
        <v>Falla</v>
      </c>
      <c r="CL31" s="146" t="str">
        <f ca="1">RESULTADOS!BP48</f>
        <v>N/T</v>
      </c>
      <c r="CM31" s="146" t="str">
        <f ca="1">RESULTADOS!BQ48</f>
        <v>N/T</v>
      </c>
      <c r="CN31" s="146" t="str">
        <f ca="1">RESULTADOS!BR48</f>
        <v>N/D</v>
      </c>
      <c r="CO31" s="146" t="str">
        <f ca="1">RESULTADOS!BS48</f>
        <v>N/T</v>
      </c>
      <c r="CP31" s="146" t="str">
        <f ca="1">RESULTADOS!BT48</f>
        <v>N/D</v>
      </c>
      <c r="CQ31" s="146" t="str">
        <f ca="1">RESULTADOS!BU48</f>
        <v>Falla</v>
      </c>
      <c r="CR31" s="146" t="str">
        <f ca="1">RESULTADOS!BV48</f>
        <v>N/D</v>
      </c>
      <c r="CS31" s="146" t="str">
        <f ca="1">RESULTADOS!BW48</f>
        <v>N/D</v>
      </c>
      <c r="CT31" s="146" t="str">
        <f ca="1">RESULTADOS!BX48</f>
        <v>N/D</v>
      </c>
      <c r="CU31" s="146" t="str">
        <f ca="1">RESULTADOS!BY48</f>
        <v>N/T</v>
      </c>
      <c r="CV31" s="146" t="str">
        <f ca="1">RESULTADOS!BZ48</f>
        <v>N/T</v>
      </c>
      <c r="CW31" s="146" t="str">
        <f ca="1">RESULTADOS!CA48</f>
        <v>N/D</v>
      </c>
      <c r="CX31" s="146" t="str">
        <f ca="1">RESULTADOS!CB48</f>
        <v>N/T</v>
      </c>
      <c r="CY31" s="146" t="str">
        <f ca="1">RESULTADOS!CC48</f>
        <v>N/T</v>
      </c>
      <c r="CZ31" s="146" t="str">
        <f ca="1">RESULTADOS!CD48</f>
        <v>N/T</v>
      </c>
      <c r="DA31" s="146" t="str">
        <f ca="1">RESULTADOS!CE48</f>
        <v>N/D</v>
      </c>
      <c r="DB31" s="146" t="str">
        <f ca="1">RESULTADOS!CF48</f>
        <v>N/T</v>
      </c>
      <c r="DC31" s="146" t="str">
        <f ca="1">RESULTADOS!CG48</f>
        <v>N/T</v>
      </c>
      <c r="DD31" s="146" t="str">
        <f ca="1">RESULTADOS!CH48</f>
        <v>N/T</v>
      </c>
      <c r="DE31" s="146" t="str">
        <f ca="1">RESULTADOS!CI48</f>
        <v>N/T</v>
      </c>
      <c r="DF31" s="146" t="str">
        <f ca="1">RESULTADOS!CJ48</f>
        <v>N/T</v>
      </c>
      <c r="DG31" s="146" t="str">
        <f ca="1">RESULTADOS!CK48</f>
        <v>N/T</v>
      </c>
      <c r="DH31" s="146" t="str">
        <f ca="1">RESULTADOS!CL48</f>
        <v>N/T</v>
      </c>
      <c r="DI31" s="146" t="str">
        <f ca="1">RESULTADOS!CM48</f>
        <v>N/T</v>
      </c>
      <c r="DJ31" s="146" t="str">
        <f ca="1">RESULTADOS!CN48</f>
        <v>N/T</v>
      </c>
      <c r="DK31" s="146" t="str">
        <f ca="1">RESULTADOS!CO48</f>
        <v>N/T</v>
      </c>
      <c r="DL31" s="146" t="str">
        <f ca="1">RESULTADOS!CP48</f>
        <v>N/T</v>
      </c>
      <c r="DM31" s="146" t="str">
        <f ca="1">RESULTADOS!CQ48</f>
        <v>N/T</v>
      </c>
      <c r="DN31" s="146" t="str">
        <f ca="1">RESULTADOS!CR48</f>
        <v>N/T</v>
      </c>
      <c r="DO31" s="148" t="str">
        <f>RESULTADOS!B89</f>
        <v/>
      </c>
      <c r="DP31" s="148" t="str">
        <f>RESULTADOS!C89</f>
        <v/>
      </c>
      <c r="DQ31" s="148" t="str">
        <f t="shared" si="1"/>
        <v/>
      </c>
      <c r="DR31" s="148" t="str" cm="1">
        <f t="array" ref="DR31">IFERROR(INDEX('03.Muestra'!$E$8:$E$42,SMALL(IF("Documento no web"='03.Muestra'!$D$8:$D$42,ROW('03.Muestra'!$E$8:$E$42)-MIN(ROW('03.Muestra'!$D$8:$D$42))+1,""),ROW()-2)),"")</f>
        <v/>
      </c>
      <c r="DS31" s="148" t="str">
        <f>RESULTADOS!D89</f>
        <v/>
      </c>
      <c r="DT31" s="148" t="str" cm="1">
        <f t="array" ref="DT31">IFERROR(INDEX('03.Muestra'!$G$8:$G$42,SMALL(IF("Documento no web"='03.Muestra'!$D$8:$D$42,ROW('03.Muestra'!$G$8:$G$42)-MIN(ROW('03.Muestra'!$D$8:$D$42))+1,""),ROW()-2)),"")</f>
        <v/>
      </c>
      <c r="DU31" s="237" t="str" cm="1">
        <f t="array" ref="DU31">IFERROR(INDEX('03.Muestra'!$H$8:$H$42,SMALL(IF("Documento no web"='03.Muestra'!$D$8:$D$42,ROW('03.Muestra'!$H$8:$H$42)-MIN(ROW('03.Muestra'!$D$8:$D$42))+1,""),ROW()-2)),"")</f>
        <v/>
      </c>
      <c r="DV31" s="146" t="str">
        <f ca="1">RESULTADOS!E89</f>
        <v/>
      </c>
      <c r="DW31" s="146" t="str">
        <f ca="1">RESULTADOS!F89</f>
        <v/>
      </c>
      <c r="DX31" s="146" t="str">
        <f ca="1">RESULTADOS!G89</f>
        <v/>
      </c>
      <c r="DY31" s="146" t="str">
        <f ca="1">RESULTADOS!H89</f>
        <v/>
      </c>
      <c r="DZ31" s="146" t="str">
        <f ca="1">RESULTADOS!I89</f>
        <v/>
      </c>
      <c r="EA31" s="146" t="str">
        <f ca="1">RESULTADOS!J89</f>
        <v/>
      </c>
      <c r="EB31" s="146" t="str">
        <f ca="1">RESULTADOS!K89</f>
        <v/>
      </c>
      <c r="EC31" s="146" t="str">
        <f ca="1">RESULTADOS!L89</f>
        <v/>
      </c>
      <c r="ED31" s="146" t="str">
        <f ca="1">RESULTADOS!M89</f>
        <v/>
      </c>
      <c r="EE31" s="146" t="str">
        <f ca="1">RESULTADOS!N89</f>
        <v/>
      </c>
      <c r="EF31" s="146" t="str">
        <f ca="1">RESULTADOS!O89</f>
        <v/>
      </c>
      <c r="EG31" s="146" t="str">
        <f ca="1">RESULTADOS!P89</f>
        <v/>
      </c>
      <c r="EH31" s="146" t="str">
        <f ca="1">RESULTADOS!Q89</f>
        <v/>
      </c>
      <c r="EI31" s="146" t="str">
        <f ca="1">RESULTADOS!R89</f>
        <v/>
      </c>
      <c r="EJ31" s="146" t="str">
        <f ca="1">RESULTADOS!S89</f>
        <v/>
      </c>
      <c r="EK31" s="146" t="str">
        <f ca="1">RESULTADOS!T89</f>
        <v/>
      </c>
      <c r="EL31" s="146" t="str">
        <f ca="1">RESULTADOS!U89</f>
        <v/>
      </c>
      <c r="EM31" s="146" t="str">
        <f ca="1">RESULTADOS!V89</f>
        <v/>
      </c>
      <c r="EN31" s="146" t="str">
        <f ca="1">RESULTADOS!W89</f>
        <v/>
      </c>
      <c r="EO31" s="146" t="str">
        <f ca="1">RESULTADOS!X89</f>
        <v/>
      </c>
      <c r="EP31" s="146" t="str">
        <f ca="1">RESULTADOS!Y89</f>
        <v/>
      </c>
      <c r="EQ31" s="146" t="str">
        <f ca="1">RESULTADOS!Z89</f>
        <v/>
      </c>
      <c r="ER31" s="146" t="str">
        <f ca="1">RESULTADOS!AA89</f>
        <v/>
      </c>
      <c r="ES31" s="146" t="str">
        <f ca="1">RESULTADOS!AB89</f>
        <v/>
      </c>
      <c r="ET31" s="146" t="str">
        <f ca="1">RESULTADOS!AC89</f>
        <v/>
      </c>
      <c r="EU31" s="146" t="str">
        <f ca="1">RESULTADOS!AD89</f>
        <v/>
      </c>
      <c r="EV31" s="146" t="str">
        <f ca="1">RESULTADOS!AE89</f>
        <v/>
      </c>
      <c r="EW31" s="146" t="str">
        <f ca="1">RESULTADOS!AF89</f>
        <v/>
      </c>
      <c r="EX31" s="146" t="str">
        <f ca="1">RESULTADOS!AG89</f>
        <v/>
      </c>
      <c r="EY31" s="146" t="str">
        <f ca="1">RESULTADOS!AH89</f>
        <v/>
      </c>
      <c r="EZ31" s="146" t="str">
        <f ca="1">RESULTADOS!AI89</f>
        <v/>
      </c>
      <c r="FA31" s="146" t="str">
        <f ca="1">RESULTADOS!AJ89</f>
        <v/>
      </c>
      <c r="FB31" s="146" t="str">
        <f ca="1">RESULTADOS!AK89</f>
        <v/>
      </c>
      <c r="FC31" s="146" t="str">
        <f ca="1">RESULTADOS!AL89</f>
        <v/>
      </c>
      <c r="FD31" s="146" t="str">
        <f ca="1">RESULTADOS!AM89</f>
        <v/>
      </c>
      <c r="FE31" s="146" t="str">
        <f ca="1">RESULTADOS!AN89</f>
        <v/>
      </c>
      <c r="FF31" s="146" t="str">
        <f ca="1">RESULTADOS!AO89</f>
        <v/>
      </c>
      <c r="FG31" s="146" t="str">
        <f ca="1">RESULTADOS!AP89</f>
        <v/>
      </c>
      <c r="FH31" s="146" t="str">
        <f ca="1">RESULTADOS!AQ89</f>
        <v/>
      </c>
      <c r="FI31" s="146" t="str">
        <f ca="1">RESULTADOS!AR89</f>
        <v/>
      </c>
      <c r="FJ31" s="146" t="str">
        <f ca="1">RESULTADOS!AS89</f>
        <v/>
      </c>
      <c r="FK31" s="146" t="str">
        <f ca="1">RESULTADOS!AT89</f>
        <v/>
      </c>
      <c r="FL31" s="146" t="str">
        <f ca="1">RESULTADOS!AU89</f>
        <v/>
      </c>
      <c r="FM31" s="146" t="str">
        <f ca="1">RESULTADOS!AV89</f>
        <v/>
      </c>
      <c r="FN31" s="146" t="str">
        <f ca="1">RESULTADOS!AW89</f>
        <v/>
      </c>
    </row>
    <row r="32" spans="3:170">
      <c r="C32" s="144"/>
      <c r="K32" s="153"/>
      <c r="T32" s="148" t="n">
        <f>RESULTADOS!B49</f>
        <v>1.0</v>
      </c>
      <c r="U32" s="148" t="str">
        <f>RESULTADOS!C49</f>
        <v>Home - PortCastelló</v>
      </c>
      <c r="V32" s="148" t="str">
        <f t="shared" si="0"/>
        <v>Página web</v>
      </c>
      <c r="W32" s="148" t="str">
        <v/>
      </c>
      <c r="X32" s="148" t="str">
        <f>RESULTADOS!D49</f>
        <v>https://www.portcastello.com/</v>
      </c>
      <c r="Y32" s="148" t="n">
        <v>0.0</v>
      </c>
      <c r="Z32" s="237" t="str">
        <v>Ej. Imágenes, tablas, listas, multimedia, formularios, plantilla X, plantilla Y</v>
      </c>
      <c r="AA32" s="146" t="str">
        <f ca="1">RESULTADOS!E49</f>
        <v>N/T</v>
      </c>
      <c r="AB32" s="146" t="str">
        <f ca="1">RESULTADOS!F49</f>
        <v>N/T</v>
      </c>
      <c r="AC32" s="146" t="str">
        <f ca="1">RESULTADOS!G49</f>
        <v>N/T</v>
      </c>
      <c r="AD32" s="146" t="str">
        <f ca="1">RESULTADOS!H49</f>
        <v>N/T</v>
      </c>
      <c r="AE32" s="146" t="str">
        <f ca="1">RESULTADOS!I49</f>
        <v>N/T</v>
      </c>
      <c r="AF32" s="146" t="str">
        <f ca="1">RESULTADOS!J49</f>
        <v>N/T</v>
      </c>
      <c r="AG32" s="146" t="str">
        <f ca="1">RESULTADOS!K49</f>
        <v>N/T</v>
      </c>
      <c r="AH32" s="146" t="str">
        <f ca="1">RESULTADOS!L49</f>
        <v>N/T</v>
      </c>
      <c r="AI32" s="146" t="str">
        <f ca="1">RESULTADOS!M49</f>
        <v>N/T</v>
      </c>
      <c r="AJ32" s="146" t="str">
        <f ca="1">RESULTADOS!N49</f>
        <v>N/T</v>
      </c>
      <c r="AK32" s="146" t="str">
        <f ca="1">RESULTADOS!O49</f>
        <v>N/T</v>
      </c>
      <c r="AL32" s="146" t="str">
        <f ca="1">RESULTADOS!P49</f>
        <v>N/T</v>
      </c>
      <c r="AM32" s="146" t="str">
        <f ca="1">RESULTADOS!Q49</f>
        <v>N/T</v>
      </c>
      <c r="AN32" s="146" t="str">
        <f ca="1">RESULTADOS!R49</f>
        <v>N/T</v>
      </c>
      <c r="AO32" s="146" t="str">
        <f ca="1">RESULTADOS!S49</f>
        <v>N/T</v>
      </c>
      <c r="AP32" s="146" t="str">
        <f ca="1">RESULTADOS!T49</f>
        <v>N/T</v>
      </c>
      <c r="AQ32" s="146" t="str">
        <f ca="1">RESULTADOS!U49</f>
        <v>N/T</v>
      </c>
      <c r="AR32" s="146" t="str">
        <f ca="1">RESULTADOS!V49</f>
        <v>N/T</v>
      </c>
      <c r="AS32" s="146" t="str">
        <f ca="1">RESULTADOS!W49</f>
        <v>N/T</v>
      </c>
      <c r="AT32" s="146" t="str">
        <f ca="1">RESULTADOS!X49</f>
        <v>N/T</v>
      </c>
      <c r="AU32" s="146" t="str">
        <f ca="1">RESULTADOS!Y49</f>
        <v>N/T</v>
      </c>
      <c r="AV32" s="146" t="str">
        <f ca="1">RESULTADOS!Z49</f>
        <v>N/T</v>
      </c>
      <c r="AW32" s="146" t="str">
        <f ca="1">RESULTADOS!AA49</f>
        <v>N/T</v>
      </c>
      <c r="AX32" s="146" t="str">
        <f ca="1">RESULTADOS!AB49</f>
        <v>N/T</v>
      </c>
      <c r="AY32" s="146" t="str">
        <f ca="1">RESULTADOS!AC49</f>
        <v>N/T</v>
      </c>
      <c r="AZ32" s="146" t="str">
        <f ca="1">RESULTADOS!AD49</f>
        <v>N/T</v>
      </c>
      <c r="BA32" s="146" t="str">
        <f ca="1">RESULTADOS!AE49</f>
        <v>N/T</v>
      </c>
      <c r="BB32" s="146" t="str">
        <f ca="1">RESULTADOS!AF49</f>
        <v>N/T</v>
      </c>
      <c r="BC32" s="146" t="str">
        <f ca="1">RESULTADOS!AG49</f>
        <v>N/T</v>
      </c>
      <c r="BD32" s="146" t="str">
        <f ca="1">RESULTADOS!AH49</f>
        <v>N/T</v>
      </c>
      <c r="BE32" s="146" t="str">
        <f ca="1">RESULTADOS!AI49</f>
        <v>N/T</v>
      </c>
      <c r="BF32" s="146" t="str">
        <f ca="1">RESULTADOS!AJ49</f>
        <v>N/D</v>
      </c>
      <c r="BG32" s="146" t="str">
        <f ca="1">RESULTADOS!AK49</f>
        <v>N/T</v>
      </c>
      <c r="BH32" s="146" t="str">
        <f ca="1">RESULTADOS!AL49</f>
        <v>N/T</v>
      </c>
      <c r="BI32" s="146" t="str">
        <f ca="1">RESULTADOS!AM49</f>
        <v>N/T</v>
      </c>
      <c r="BJ32" s="146" t="str">
        <f ca="1">RESULTADOS!AN49</f>
        <v>N/T</v>
      </c>
      <c r="BK32" s="146" t="str">
        <f ca="1">RESULTADOS!AO49</f>
        <v>N/D</v>
      </c>
      <c r="BL32" s="146" t="str">
        <f ca="1">RESULTADOS!AP49</f>
        <v>N/T</v>
      </c>
      <c r="BM32" s="146" t="str">
        <f ca="1">RESULTADOS!AQ49</f>
        <v>N/T</v>
      </c>
      <c r="BN32" s="146" t="str">
        <f ca="1">RESULTADOS!AR49</f>
        <v>N/D</v>
      </c>
      <c r="BO32" s="146" t="str">
        <f ca="1">RESULTADOS!AS49</f>
        <v>N/D</v>
      </c>
      <c r="BP32" s="146" t="str">
        <f ca="1">RESULTADOS!AT49</f>
        <v>N/T</v>
      </c>
      <c r="BQ32" s="146" t="str">
        <f ca="1">RESULTADOS!AU49</f>
        <v>N/T</v>
      </c>
      <c r="BR32" s="146" t="str">
        <f ca="1">RESULTADOS!AV49</f>
        <v>N/D</v>
      </c>
      <c r="BS32" s="146" t="str">
        <f ca="1">RESULTADOS!AW49</f>
        <v>N/T</v>
      </c>
      <c r="BT32" s="146" t="str">
        <f ca="1">RESULTADOS!AX49</f>
        <v>N/T</v>
      </c>
      <c r="BU32" s="146" t="str">
        <f ca="1">RESULTADOS!AY49</f>
        <v>N/D</v>
      </c>
      <c r="BV32" s="146" t="str">
        <f ca="1">RESULTADOS!AZ49</f>
        <v>N/T</v>
      </c>
      <c r="BW32" s="146" t="str">
        <f ca="1">RESULTADOS!BA49</f>
        <v>N/D</v>
      </c>
      <c r="BX32" s="146" t="str">
        <f ca="1">RESULTADOS!BB49</f>
        <v>N/T</v>
      </c>
      <c r="BY32" s="146" t="str">
        <f ca="1">RESULTADOS!BC49</f>
        <v>N/D</v>
      </c>
      <c r="BZ32" s="146" t="str">
        <f ca="1">RESULTADOS!BD49</f>
        <v>N/T</v>
      </c>
      <c r="CA32" s="146" t="str">
        <f ca="1">RESULTADOS!BE49</f>
        <v>N/T</v>
      </c>
      <c r="CB32" s="146" t="str">
        <f ca="1">RESULTADOS!BF49</f>
        <v>N/D</v>
      </c>
      <c r="CC32" s="146" t="str">
        <f ca="1">RESULTADOS!BG49</f>
        <v>N/D</v>
      </c>
      <c r="CD32" s="146" t="str">
        <f ca="1">RESULTADOS!BH49</f>
        <v>N/T</v>
      </c>
      <c r="CE32" s="146" t="str">
        <f ca="1">RESULTADOS!BI49</f>
        <v>N/D</v>
      </c>
      <c r="CF32" s="146" t="str">
        <f ca="1">RESULTADOS!BJ49</f>
        <v>N/D</v>
      </c>
      <c r="CG32" s="146" t="str">
        <f ca="1">RESULTADOS!BK49</f>
        <v>N/D</v>
      </c>
      <c r="CH32" s="146" t="str">
        <f ca="1">RESULTADOS!BL49</f>
        <v>N/D</v>
      </c>
      <c r="CI32" s="146" t="str">
        <f ca="1">RESULTADOS!BM49</f>
        <v>N/D</v>
      </c>
      <c r="CJ32" s="146" t="str">
        <f ca="1">RESULTADOS!BN49</f>
        <v>N/T</v>
      </c>
      <c r="CK32" s="146" t="str">
        <f ca="1">RESULTADOS!BO49</f>
        <v>Falla</v>
      </c>
      <c r="CL32" s="146" t="str">
        <f ca="1">RESULTADOS!BP49</f>
        <v>N/T</v>
      </c>
      <c r="CM32" s="146" t="str">
        <f ca="1">RESULTADOS!BQ49</f>
        <v>N/T</v>
      </c>
      <c r="CN32" s="146" t="str">
        <f ca="1">RESULTADOS!BR49</f>
        <v>N/D</v>
      </c>
      <c r="CO32" s="146" t="str">
        <f ca="1">RESULTADOS!BS49</f>
        <v>N/T</v>
      </c>
      <c r="CP32" s="146" t="str">
        <f ca="1">RESULTADOS!BT49</f>
        <v>N/D</v>
      </c>
      <c r="CQ32" s="146" t="str">
        <f ca="1">RESULTADOS!BU49</f>
        <v>Falla</v>
      </c>
      <c r="CR32" s="146" t="str">
        <f ca="1">RESULTADOS!BV49</f>
        <v>N/D</v>
      </c>
      <c r="CS32" s="146" t="str">
        <f ca="1">RESULTADOS!BW49</f>
        <v>N/D</v>
      </c>
      <c r="CT32" s="146" t="str">
        <f ca="1">RESULTADOS!BX49</f>
        <v>N/D</v>
      </c>
      <c r="CU32" s="146" t="str">
        <f ca="1">RESULTADOS!BY49</f>
        <v>N/T</v>
      </c>
      <c r="CV32" s="146" t="str">
        <f ca="1">RESULTADOS!BZ49</f>
        <v>N/T</v>
      </c>
      <c r="CW32" s="146" t="str">
        <f ca="1">RESULTADOS!CA49</f>
        <v>N/D</v>
      </c>
      <c r="CX32" s="146" t="str">
        <f ca="1">RESULTADOS!CB49</f>
        <v>N/T</v>
      </c>
      <c r="CY32" s="146" t="str">
        <f ca="1">RESULTADOS!CC49</f>
        <v>N/T</v>
      </c>
      <c r="CZ32" s="146" t="str">
        <f ca="1">RESULTADOS!CD49</f>
        <v>N/T</v>
      </c>
      <c r="DA32" s="146" t="str">
        <f ca="1">RESULTADOS!CE49</f>
        <v>N/D</v>
      </c>
      <c r="DB32" s="146" t="str">
        <f ca="1">RESULTADOS!CF49</f>
        <v>N/T</v>
      </c>
      <c r="DC32" s="146" t="str">
        <f ca="1">RESULTADOS!CG49</f>
        <v>N/T</v>
      </c>
      <c r="DD32" s="146" t="str">
        <f ca="1">RESULTADOS!CH49</f>
        <v>N/T</v>
      </c>
      <c r="DE32" s="146" t="str">
        <f ca="1">RESULTADOS!CI49</f>
        <v>N/T</v>
      </c>
      <c r="DF32" s="146" t="str">
        <f ca="1">RESULTADOS!CJ49</f>
        <v>N/T</v>
      </c>
      <c r="DG32" s="146" t="str">
        <f ca="1">RESULTADOS!CK49</f>
        <v>N/T</v>
      </c>
      <c r="DH32" s="146" t="str">
        <f ca="1">RESULTADOS!CL49</f>
        <v>N/T</v>
      </c>
      <c r="DI32" s="146" t="str">
        <f ca="1">RESULTADOS!CM49</f>
        <v>N/T</v>
      </c>
      <c r="DJ32" s="146" t="str">
        <f ca="1">RESULTADOS!CN49</f>
        <v>N/T</v>
      </c>
      <c r="DK32" s="146" t="str">
        <f ca="1">RESULTADOS!CO49</f>
        <v>N/T</v>
      </c>
      <c r="DL32" s="146" t="str">
        <f ca="1">RESULTADOS!CP49</f>
        <v>N/T</v>
      </c>
      <c r="DM32" s="146" t="str">
        <f ca="1">RESULTADOS!CQ49</f>
        <v>N/T</v>
      </c>
      <c r="DN32" s="146" t="str">
        <f ca="1">RESULTADOS!CR49</f>
        <v>N/T</v>
      </c>
      <c r="DO32" s="148" t="str">
        <f>RESULTADOS!B90</f>
        <v/>
      </c>
      <c r="DP32" s="148" t="str">
        <f>RESULTADOS!C90</f>
        <v/>
      </c>
      <c r="DQ32" s="148" t="str">
        <f t="shared" si="1"/>
        <v/>
      </c>
      <c r="DR32" s="148" t="str" cm="1">
        <f t="array" ref="DR32">IFERROR(INDEX('03.Muestra'!$E$8:$E$42,SMALL(IF("Documento no web"='03.Muestra'!$D$8:$D$42,ROW('03.Muestra'!$E$8:$E$42)-MIN(ROW('03.Muestra'!$D$8:$D$42))+1,""),ROW()-2)),"")</f>
        <v/>
      </c>
      <c r="DS32" s="148" t="str">
        <f>RESULTADOS!D90</f>
        <v/>
      </c>
      <c r="DT32" s="148" t="str" cm="1">
        <f t="array" ref="DT32">IFERROR(INDEX('03.Muestra'!$G$8:$G$42,SMALL(IF("Documento no web"='03.Muestra'!$D$8:$D$42,ROW('03.Muestra'!$G$8:$G$42)-MIN(ROW('03.Muestra'!$D$8:$D$42))+1,""),ROW()-2)),"")</f>
        <v/>
      </c>
      <c r="DU32" s="237" t="str" cm="1">
        <f t="array" ref="DU32">IFERROR(INDEX('03.Muestra'!$H$8:$H$42,SMALL(IF("Documento no web"='03.Muestra'!$D$8:$D$42,ROW('03.Muestra'!$H$8:$H$42)-MIN(ROW('03.Muestra'!$D$8:$D$42))+1,""),ROW()-2)),"")</f>
        <v/>
      </c>
      <c r="DV32" s="146" t="str">
        <f ca="1">RESULTADOS!E90</f>
        <v/>
      </c>
      <c r="DW32" s="146" t="str">
        <f ca="1">RESULTADOS!F90</f>
        <v/>
      </c>
      <c r="DX32" s="146" t="str">
        <f ca="1">RESULTADOS!G90</f>
        <v/>
      </c>
      <c r="DY32" s="146" t="str">
        <f ca="1">RESULTADOS!H90</f>
        <v/>
      </c>
      <c r="DZ32" s="146" t="str">
        <f ca="1">RESULTADOS!I90</f>
        <v/>
      </c>
      <c r="EA32" s="146" t="str">
        <f ca="1">RESULTADOS!J90</f>
        <v/>
      </c>
      <c r="EB32" s="146" t="str">
        <f ca="1">RESULTADOS!K90</f>
        <v/>
      </c>
      <c r="EC32" s="146" t="str">
        <f ca="1">RESULTADOS!L90</f>
        <v/>
      </c>
      <c r="ED32" s="146" t="str">
        <f ca="1">RESULTADOS!M90</f>
        <v/>
      </c>
      <c r="EE32" s="146" t="str">
        <f ca="1">RESULTADOS!N90</f>
        <v/>
      </c>
      <c r="EF32" s="146" t="str">
        <f ca="1">RESULTADOS!O90</f>
        <v/>
      </c>
      <c r="EG32" s="146" t="str">
        <f ca="1">RESULTADOS!P90</f>
        <v/>
      </c>
      <c r="EH32" s="146" t="str">
        <f ca="1">RESULTADOS!Q90</f>
        <v/>
      </c>
      <c r="EI32" s="146" t="str">
        <f ca="1">RESULTADOS!R90</f>
        <v/>
      </c>
      <c r="EJ32" s="146" t="str">
        <f ca="1">RESULTADOS!S90</f>
        <v/>
      </c>
      <c r="EK32" s="146" t="str">
        <f ca="1">RESULTADOS!T90</f>
        <v/>
      </c>
      <c r="EL32" s="146" t="str">
        <f ca="1">RESULTADOS!U90</f>
        <v/>
      </c>
      <c r="EM32" s="146" t="str">
        <f ca="1">RESULTADOS!V90</f>
        <v/>
      </c>
      <c r="EN32" s="146" t="str">
        <f ca="1">RESULTADOS!W90</f>
        <v/>
      </c>
      <c r="EO32" s="146" t="str">
        <f ca="1">RESULTADOS!X90</f>
        <v/>
      </c>
      <c r="EP32" s="146" t="str">
        <f ca="1">RESULTADOS!Y90</f>
        <v/>
      </c>
      <c r="EQ32" s="146" t="str">
        <f ca="1">RESULTADOS!Z90</f>
        <v/>
      </c>
      <c r="ER32" s="146" t="str">
        <f ca="1">RESULTADOS!AA90</f>
        <v/>
      </c>
      <c r="ES32" s="146" t="str">
        <f ca="1">RESULTADOS!AB90</f>
        <v/>
      </c>
      <c r="ET32" s="146" t="str">
        <f ca="1">RESULTADOS!AC90</f>
        <v/>
      </c>
      <c r="EU32" s="146" t="str">
        <f ca="1">RESULTADOS!AD90</f>
        <v/>
      </c>
      <c r="EV32" s="146" t="str">
        <f ca="1">RESULTADOS!AE90</f>
        <v/>
      </c>
      <c r="EW32" s="146" t="str">
        <f ca="1">RESULTADOS!AF90</f>
        <v/>
      </c>
      <c r="EX32" s="146" t="str">
        <f ca="1">RESULTADOS!AG90</f>
        <v/>
      </c>
      <c r="EY32" s="146" t="str">
        <f ca="1">RESULTADOS!AH90</f>
        <v/>
      </c>
      <c r="EZ32" s="146" t="str">
        <f ca="1">RESULTADOS!AI90</f>
        <v/>
      </c>
      <c r="FA32" s="146" t="str">
        <f ca="1">RESULTADOS!AJ90</f>
        <v/>
      </c>
      <c r="FB32" s="146" t="str">
        <f ca="1">RESULTADOS!AK90</f>
        <v/>
      </c>
      <c r="FC32" s="146" t="str">
        <f ca="1">RESULTADOS!AL90</f>
        <v/>
      </c>
      <c r="FD32" s="146" t="str">
        <f ca="1">RESULTADOS!AM90</f>
        <v/>
      </c>
      <c r="FE32" s="146" t="str">
        <f ca="1">RESULTADOS!AN90</f>
        <v/>
      </c>
      <c r="FF32" s="146" t="str">
        <f ca="1">RESULTADOS!AO90</f>
        <v/>
      </c>
      <c r="FG32" s="146" t="str">
        <f ca="1">RESULTADOS!AP90</f>
        <v/>
      </c>
      <c r="FH32" s="146" t="str">
        <f ca="1">RESULTADOS!AQ90</f>
        <v/>
      </c>
      <c r="FI32" s="146" t="str">
        <f ca="1">RESULTADOS!AR90</f>
        <v/>
      </c>
      <c r="FJ32" s="146" t="str">
        <f ca="1">RESULTADOS!AS90</f>
        <v/>
      </c>
      <c r="FK32" s="146" t="str">
        <f ca="1">RESULTADOS!AT90</f>
        <v/>
      </c>
      <c r="FL32" s="146" t="str">
        <f ca="1">RESULTADOS!AU90</f>
        <v/>
      </c>
      <c r="FM32" s="146" t="str">
        <f ca="1">RESULTADOS!AV90</f>
        <v/>
      </c>
      <c r="FN32" s="146" t="str">
        <f ca="1">RESULTADOS!AW90</f>
        <v/>
      </c>
    </row>
    <row r="33" spans="3:170">
      <c r="C33" s="144"/>
      <c r="K33" s="153"/>
      <c r="T33" s="148" t="n">
        <f>RESULTADOS!B50</f>
        <v>1.0</v>
      </c>
      <c r="U33" s="148" t="str">
        <f>RESULTADOS!C50</f>
        <v>Home - PortCastelló</v>
      </c>
      <c r="V33" s="148" t="str">
        <f t="shared" si="0"/>
        <v>Página web</v>
      </c>
      <c r="W33" s="148" t="str">
        <v/>
      </c>
      <c r="X33" s="148" t="str">
        <f>RESULTADOS!D50</f>
        <v>https://www.portcastello.com/</v>
      </c>
      <c r="Y33" s="148" t="n">
        <v>0.0</v>
      </c>
      <c r="Z33" s="237" t="str">
        <v>Ej. Imágenes, tablas, listas, multimedia, formularios, plantilla X, plantilla Y</v>
      </c>
      <c r="AA33" s="146" t="str">
        <f ca="1">RESULTADOS!E50</f>
        <v>N/T</v>
      </c>
      <c r="AB33" s="146" t="str">
        <f ca="1">RESULTADOS!F50</f>
        <v>N/T</v>
      </c>
      <c r="AC33" s="146" t="str">
        <f ca="1">RESULTADOS!G50</f>
        <v>N/T</v>
      </c>
      <c r="AD33" s="146" t="str">
        <f ca="1">RESULTADOS!H50</f>
        <v>N/T</v>
      </c>
      <c r="AE33" s="146" t="str">
        <f ca="1">RESULTADOS!I50</f>
        <v>N/T</v>
      </c>
      <c r="AF33" s="146" t="str">
        <f ca="1">RESULTADOS!J50</f>
        <v>N/T</v>
      </c>
      <c r="AG33" s="146" t="str">
        <f ca="1">RESULTADOS!K50</f>
        <v>N/T</v>
      </c>
      <c r="AH33" s="146" t="str">
        <f ca="1">RESULTADOS!L50</f>
        <v>N/T</v>
      </c>
      <c r="AI33" s="146" t="str">
        <f ca="1">RESULTADOS!M50</f>
        <v>N/T</v>
      </c>
      <c r="AJ33" s="146" t="str">
        <f ca="1">RESULTADOS!N50</f>
        <v>N/T</v>
      </c>
      <c r="AK33" s="146" t="str">
        <f ca="1">RESULTADOS!O50</f>
        <v>N/T</v>
      </c>
      <c r="AL33" s="146" t="str">
        <f ca="1">RESULTADOS!P50</f>
        <v>N/T</v>
      </c>
      <c r="AM33" s="146" t="str">
        <f ca="1">RESULTADOS!Q50</f>
        <v>N/T</v>
      </c>
      <c r="AN33" s="146" t="str">
        <f ca="1">RESULTADOS!R50</f>
        <v>N/T</v>
      </c>
      <c r="AO33" s="146" t="str">
        <f ca="1">RESULTADOS!S50</f>
        <v>N/T</v>
      </c>
      <c r="AP33" s="146" t="str">
        <f ca="1">RESULTADOS!T50</f>
        <v>N/T</v>
      </c>
      <c r="AQ33" s="146" t="str">
        <f ca="1">RESULTADOS!U50</f>
        <v>N/T</v>
      </c>
      <c r="AR33" s="146" t="str">
        <f ca="1">RESULTADOS!V50</f>
        <v>N/T</v>
      </c>
      <c r="AS33" s="146" t="str">
        <f ca="1">RESULTADOS!W50</f>
        <v>N/T</v>
      </c>
      <c r="AT33" s="146" t="str">
        <f ca="1">RESULTADOS!X50</f>
        <v>N/T</v>
      </c>
      <c r="AU33" s="146" t="str">
        <f ca="1">RESULTADOS!Y50</f>
        <v>N/T</v>
      </c>
      <c r="AV33" s="146" t="str">
        <f ca="1">RESULTADOS!Z50</f>
        <v>N/T</v>
      </c>
      <c r="AW33" s="146" t="str">
        <f ca="1">RESULTADOS!AA50</f>
        <v>N/T</v>
      </c>
      <c r="AX33" s="146" t="str">
        <f ca="1">RESULTADOS!AB50</f>
        <v>N/T</v>
      </c>
      <c r="AY33" s="146" t="str">
        <f ca="1">RESULTADOS!AC50</f>
        <v>N/T</v>
      </c>
      <c r="AZ33" s="146" t="str">
        <f ca="1">RESULTADOS!AD50</f>
        <v>N/T</v>
      </c>
      <c r="BA33" s="146" t="str">
        <f ca="1">RESULTADOS!AE50</f>
        <v>N/T</v>
      </c>
      <c r="BB33" s="146" t="str">
        <f ca="1">RESULTADOS!AF50</f>
        <v>N/T</v>
      </c>
      <c r="BC33" s="146" t="str">
        <f ca="1">RESULTADOS!AG50</f>
        <v>N/T</v>
      </c>
      <c r="BD33" s="146" t="str">
        <f ca="1">RESULTADOS!AH50</f>
        <v>N/T</v>
      </c>
      <c r="BE33" s="146" t="str">
        <f ca="1">RESULTADOS!AI50</f>
        <v>N/T</v>
      </c>
      <c r="BF33" s="146" t="str">
        <f ca="1">RESULTADOS!AJ50</f>
        <v>N/D</v>
      </c>
      <c r="BG33" s="146" t="str">
        <f ca="1">RESULTADOS!AK50</f>
        <v>N/T</v>
      </c>
      <c r="BH33" s="146" t="str">
        <f ca="1">RESULTADOS!AL50</f>
        <v>N/T</v>
      </c>
      <c r="BI33" s="146" t="str">
        <f ca="1">RESULTADOS!AM50</f>
        <v>N/T</v>
      </c>
      <c r="BJ33" s="146" t="str">
        <f ca="1">RESULTADOS!AN50</f>
        <v>N/T</v>
      </c>
      <c r="BK33" s="146" t="str">
        <f ca="1">RESULTADOS!AO50</f>
        <v>N/D</v>
      </c>
      <c r="BL33" s="146" t="str">
        <f ca="1">RESULTADOS!AP50</f>
        <v>N/T</v>
      </c>
      <c r="BM33" s="146" t="str">
        <f ca="1">RESULTADOS!AQ50</f>
        <v>N/T</v>
      </c>
      <c r="BN33" s="146" t="str">
        <f ca="1">RESULTADOS!AR50</f>
        <v>N/D</v>
      </c>
      <c r="BO33" s="146" t="str">
        <f ca="1">RESULTADOS!AS50</f>
        <v>N/D</v>
      </c>
      <c r="BP33" s="146" t="str">
        <f ca="1">RESULTADOS!AT50</f>
        <v>N/T</v>
      </c>
      <c r="BQ33" s="146" t="str">
        <f ca="1">RESULTADOS!AU50</f>
        <v>N/T</v>
      </c>
      <c r="BR33" s="146" t="str">
        <f ca="1">RESULTADOS!AV50</f>
        <v>N/D</v>
      </c>
      <c r="BS33" s="146" t="str">
        <f ca="1">RESULTADOS!AW50</f>
        <v>N/T</v>
      </c>
      <c r="BT33" s="146" t="str">
        <f ca="1">RESULTADOS!AX50</f>
        <v>N/T</v>
      </c>
      <c r="BU33" s="146" t="str">
        <f ca="1">RESULTADOS!AY50</f>
        <v>N/D</v>
      </c>
      <c r="BV33" s="146" t="str">
        <f ca="1">RESULTADOS!AZ50</f>
        <v>N/T</v>
      </c>
      <c r="BW33" s="146" t="str">
        <f ca="1">RESULTADOS!BA50</f>
        <v>N/D</v>
      </c>
      <c r="BX33" s="146" t="str">
        <f ca="1">RESULTADOS!BB50</f>
        <v>N/T</v>
      </c>
      <c r="BY33" s="146" t="str">
        <f ca="1">RESULTADOS!BC50</f>
        <v>N/D</v>
      </c>
      <c r="BZ33" s="146" t="str">
        <f ca="1">RESULTADOS!BD50</f>
        <v>N/T</v>
      </c>
      <c r="CA33" s="146" t="str">
        <f ca="1">RESULTADOS!BE50</f>
        <v>N/T</v>
      </c>
      <c r="CB33" s="146" t="str">
        <f ca="1">RESULTADOS!BF50</f>
        <v>N/D</v>
      </c>
      <c r="CC33" s="146" t="str">
        <f ca="1">RESULTADOS!BG50</f>
        <v>N/D</v>
      </c>
      <c r="CD33" s="146" t="str">
        <f ca="1">RESULTADOS!BH50</f>
        <v>N/T</v>
      </c>
      <c r="CE33" s="146" t="str">
        <f ca="1">RESULTADOS!BI50</f>
        <v>N/D</v>
      </c>
      <c r="CF33" s="146" t="str">
        <f ca="1">RESULTADOS!BJ50</f>
        <v>N/D</v>
      </c>
      <c r="CG33" s="146" t="str">
        <f ca="1">RESULTADOS!BK50</f>
        <v>N/D</v>
      </c>
      <c r="CH33" s="146" t="str">
        <f ca="1">RESULTADOS!BL50</f>
        <v>N/D</v>
      </c>
      <c r="CI33" s="146" t="str">
        <f ca="1">RESULTADOS!BM50</f>
        <v>N/D</v>
      </c>
      <c r="CJ33" s="146" t="str">
        <f ca="1">RESULTADOS!BN50</f>
        <v>N/T</v>
      </c>
      <c r="CK33" s="146" t="str">
        <f ca="1">RESULTADOS!BO50</f>
        <v>Falla</v>
      </c>
      <c r="CL33" s="146" t="str">
        <f ca="1">RESULTADOS!BP50</f>
        <v>N/T</v>
      </c>
      <c r="CM33" s="146" t="str">
        <f ca="1">RESULTADOS!BQ50</f>
        <v>N/T</v>
      </c>
      <c r="CN33" s="146" t="str">
        <f ca="1">RESULTADOS!BR50</f>
        <v>N/D</v>
      </c>
      <c r="CO33" s="146" t="str">
        <f ca="1">RESULTADOS!BS50</f>
        <v>N/T</v>
      </c>
      <c r="CP33" s="146" t="str">
        <f ca="1">RESULTADOS!BT50</f>
        <v>N/D</v>
      </c>
      <c r="CQ33" s="146" t="str">
        <f ca="1">RESULTADOS!BU50</f>
        <v>Falla</v>
      </c>
      <c r="CR33" s="146" t="str">
        <f ca="1">RESULTADOS!BV50</f>
        <v>N/D</v>
      </c>
      <c r="CS33" s="146" t="str">
        <f ca="1">RESULTADOS!BW50</f>
        <v>N/D</v>
      </c>
      <c r="CT33" s="146" t="str">
        <f ca="1">RESULTADOS!BX50</f>
        <v>N/D</v>
      </c>
      <c r="CU33" s="146" t="str">
        <f ca="1">RESULTADOS!BY50</f>
        <v>N/T</v>
      </c>
      <c r="CV33" s="146" t="str">
        <f ca="1">RESULTADOS!BZ50</f>
        <v>N/T</v>
      </c>
      <c r="CW33" s="146" t="str">
        <f ca="1">RESULTADOS!CA50</f>
        <v>N/D</v>
      </c>
      <c r="CX33" s="146" t="str">
        <f ca="1">RESULTADOS!CB50</f>
        <v>N/T</v>
      </c>
      <c r="CY33" s="146" t="str">
        <f ca="1">RESULTADOS!CC50</f>
        <v>N/T</v>
      </c>
      <c r="CZ33" s="146" t="str">
        <f ca="1">RESULTADOS!CD50</f>
        <v>N/T</v>
      </c>
      <c r="DA33" s="146" t="str">
        <f ca="1">RESULTADOS!CE50</f>
        <v>N/D</v>
      </c>
      <c r="DB33" s="146" t="str">
        <f ca="1">RESULTADOS!CF50</f>
        <v>N/T</v>
      </c>
      <c r="DC33" s="146" t="str">
        <f ca="1">RESULTADOS!CG50</f>
        <v>N/T</v>
      </c>
      <c r="DD33" s="146" t="str">
        <f ca="1">RESULTADOS!CH50</f>
        <v>N/T</v>
      </c>
      <c r="DE33" s="146" t="str">
        <f ca="1">RESULTADOS!CI50</f>
        <v>N/T</v>
      </c>
      <c r="DF33" s="146" t="str">
        <f ca="1">RESULTADOS!CJ50</f>
        <v>N/T</v>
      </c>
      <c r="DG33" s="146" t="str">
        <f ca="1">RESULTADOS!CK50</f>
        <v>N/T</v>
      </c>
      <c r="DH33" s="146" t="str">
        <f ca="1">RESULTADOS!CL50</f>
        <v>N/T</v>
      </c>
      <c r="DI33" s="146" t="str">
        <f ca="1">RESULTADOS!CM50</f>
        <v>N/T</v>
      </c>
      <c r="DJ33" s="146" t="str">
        <f ca="1">RESULTADOS!CN50</f>
        <v>N/T</v>
      </c>
      <c r="DK33" s="146" t="str">
        <f ca="1">RESULTADOS!CO50</f>
        <v>N/T</v>
      </c>
      <c r="DL33" s="146" t="str">
        <f ca="1">RESULTADOS!CP50</f>
        <v>N/T</v>
      </c>
      <c r="DM33" s="146" t="str">
        <f ca="1">RESULTADOS!CQ50</f>
        <v>N/T</v>
      </c>
      <c r="DN33" s="146" t="str">
        <f ca="1">RESULTADOS!CR50</f>
        <v>N/T</v>
      </c>
      <c r="DO33" s="148" t="str">
        <f>RESULTADOS!B91</f>
        <v/>
      </c>
      <c r="DP33" s="148" t="str">
        <f>RESULTADOS!C91</f>
        <v/>
      </c>
      <c r="DQ33" s="148" t="str">
        <f t="shared" si="1"/>
        <v/>
      </c>
      <c r="DR33" s="148" t="str" cm="1">
        <f t="array" ref="DR33">IFERROR(INDEX('03.Muestra'!$E$8:$E$42,SMALL(IF("Documento no web"='03.Muestra'!$D$8:$D$42,ROW('03.Muestra'!$E$8:$E$42)-MIN(ROW('03.Muestra'!$D$8:$D$42))+1,""),ROW()-2)),"")</f>
        <v/>
      </c>
      <c r="DS33" s="148" t="str">
        <f>RESULTADOS!D91</f>
        <v/>
      </c>
      <c r="DT33" s="148" t="str" cm="1">
        <f t="array" ref="DT33">IFERROR(INDEX('03.Muestra'!$G$8:$G$42,SMALL(IF("Documento no web"='03.Muestra'!$D$8:$D$42,ROW('03.Muestra'!$G$8:$G$42)-MIN(ROW('03.Muestra'!$D$8:$D$42))+1,""),ROW()-2)),"")</f>
        <v/>
      </c>
      <c r="DU33" s="237" t="str" cm="1">
        <f t="array" ref="DU33">IFERROR(INDEX('03.Muestra'!$H$8:$H$42,SMALL(IF("Documento no web"='03.Muestra'!$D$8:$D$42,ROW('03.Muestra'!$H$8:$H$42)-MIN(ROW('03.Muestra'!$D$8:$D$42))+1,""),ROW()-2)),"")</f>
        <v/>
      </c>
      <c r="DV33" s="146" t="str">
        <f ca="1">RESULTADOS!E91</f>
        <v/>
      </c>
      <c r="DW33" s="146" t="str">
        <f ca="1">RESULTADOS!F91</f>
        <v/>
      </c>
      <c r="DX33" s="146" t="str">
        <f ca="1">RESULTADOS!G91</f>
        <v/>
      </c>
      <c r="DY33" s="146" t="str">
        <f ca="1">RESULTADOS!H91</f>
        <v/>
      </c>
      <c r="DZ33" s="146" t="str">
        <f ca="1">RESULTADOS!I91</f>
        <v/>
      </c>
      <c r="EA33" s="146" t="str">
        <f ca="1">RESULTADOS!J91</f>
        <v/>
      </c>
      <c r="EB33" s="146" t="str">
        <f ca="1">RESULTADOS!K91</f>
        <v/>
      </c>
      <c r="EC33" s="146" t="str">
        <f ca="1">RESULTADOS!L91</f>
        <v/>
      </c>
      <c r="ED33" s="146" t="str">
        <f ca="1">RESULTADOS!M91</f>
        <v/>
      </c>
      <c r="EE33" s="146" t="str">
        <f ca="1">RESULTADOS!N91</f>
        <v/>
      </c>
      <c r="EF33" s="146" t="str">
        <f ca="1">RESULTADOS!O91</f>
        <v/>
      </c>
      <c r="EG33" s="146" t="str">
        <f ca="1">RESULTADOS!P91</f>
        <v/>
      </c>
      <c r="EH33" s="146" t="str">
        <f ca="1">RESULTADOS!Q91</f>
        <v/>
      </c>
      <c r="EI33" s="146" t="str">
        <f ca="1">RESULTADOS!R91</f>
        <v/>
      </c>
      <c r="EJ33" s="146" t="str">
        <f ca="1">RESULTADOS!S91</f>
        <v/>
      </c>
      <c r="EK33" s="146" t="str">
        <f ca="1">RESULTADOS!T91</f>
        <v/>
      </c>
      <c r="EL33" s="146" t="str">
        <f ca="1">RESULTADOS!U91</f>
        <v/>
      </c>
      <c r="EM33" s="146" t="str">
        <f ca="1">RESULTADOS!V91</f>
        <v/>
      </c>
      <c r="EN33" s="146" t="str">
        <f ca="1">RESULTADOS!W91</f>
        <v/>
      </c>
      <c r="EO33" s="146" t="str">
        <f ca="1">RESULTADOS!X91</f>
        <v/>
      </c>
      <c r="EP33" s="146" t="str">
        <f ca="1">RESULTADOS!Y91</f>
        <v/>
      </c>
      <c r="EQ33" s="146" t="str">
        <f ca="1">RESULTADOS!Z91</f>
        <v/>
      </c>
      <c r="ER33" s="146" t="str">
        <f ca="1">RESULTADOS!AA91</f>
        <v/>
      </c>
      <c r="ES33" s="146" t="str">
        <f ca="1">RESULTADOS!AB91</f>
        <v/>
      </c>
      <c r="ET33" s="146" t="str">
        <f ca="1">RESULTADOS!AC91</f>
        <v/>
      </c>
      <c r="EU33" s="146" t="str">
        <f ca="1">RESULTADOS!AD91</f>
        <v/>
      </c>
      <c r="EV33" s="146" t="str">
        <f ca="1">RESULTADOS!AE91</f>
        <v/>
      </c>
      <c r="EW33" s="146" t="str">
        <f ca="1">RESULTADOS!AF91</f>
        <v/>
      </c>
      <c r="EX33" s="146" t="str">
        <f ca="1">RESULTADOS!AG91</f>
        <v/>
      </c>
      <c r="EY33" s="146" t="str">
        <f ca="1">RESULTADOS!AH91</f>
        <v/>
      </c>
      <c r="EZ33" s="146" t="str">
        <f ca="1">RESULTADOS!AI91</f>
        <v/>
      </c>
      <c r="FA33" s="146" t="str">
        <f ca="1">RESULTADOS!AJ91</f>
        <v/>
      </c>
      <c r="FB33" s="146" t="str">
        <f ca="1">RESULTADOS!AK91</f>
        <v/>
      </c>
      <c r="FC33" s="146" t="str">
        <f ca="1">RESULTADOS!AL91</f>
        <v/>
      </c>
      <c r="FD33" s="146" t="str">
        <f ca="1">RESULTADOS!AM91</f>
        <v/>
      </c>
      <c r="FE33" s="146" t="str">
        <f ca="1">RESULTADOS!AN91</f>
        <v/>
      </c>
      <c r="FF33" s="146" t="str">
        <f ca="1">RESULTADOS!AO91</f>
        <v/>
      </c>
      <c r="FG33" s="146" t="str">
        <f ca="1">RESULTADOS!AP91</f>
        <v/>
      </c>
      <c r="FH33" s="146" t="str">
        <f ca="1">RESULTADOS!AQ91</f>
        <v/>
      </c>
      <c r="FI33" s="146" t="str">
        <f ca="1">RESULTADOS!AR91</f>
        <v/>
      </c>
      <c r="FJ33" s="146" t="str">
        <f ca="1">RESULTADOS!AS91</f>
        <v/>
      </c>
      <c r="FK33" s="146" t="str">
        <f ca="1">RESULTADOS!AT91</f>
        <v/>
      </c>
      <c r="FL33" s="146" t="str">
        <f ca="1">RESULTADOS!AU91</f>
        <v/>
      </c>
      <c r="FM33" s="146" t="str">
        <f ca="1">RESULTADOS!AV91</f>
        <v/>
      </c>
      <c r="FN33" s="146" t="str">
        <f ca="1">RESULTADOS!AW91</f>
        <v/>
      </c>
    </row>
    <row r="34" spans="3:170">
      <c r="T34" s="148" t="n">
        <f>RESULTADOS!B51</f>
        <v>1.0</v>
      </c>
      <c r="U34" s="148" t="str">
        <f>RESULTADOS!C51</f>
        <v>Home - PortCastelló</v>
      </c>
      <c r="V34" s="148" t="str">
        <f t="shared" si="0"/>
        <v>Página web</v>
      </c>
      <c r="W34" s="148" t="str">
        <v/>
      </c>
      <c r="X34" s="148" t="str">
        <f>RESULTADOS!D51</f>
        <v>https://www.portcastello.com/</v>
      </c>
      <c r="Y34" s="148" t="n">
        <v>0.0</v>
      </c>
      <c r="Z34" s="237" t="str">
        <v>Ej. Imágenes, tablas, listas, multimedia, formularios, plantilla X, plantilla Y</v>
      </c>
      <c r="AA34" s="146" t="str">
        <f ca="1">RESULTADOS!E51</f>
        <v>N/T</v>
      </c>
      <c r="AB34" s="146" t="str">
        <f ca="1">RESULTADOS!F51</f>
        <v>N/T</v>
      </c>
      <c r="AC34" s="146" t="str">
        <f ca="1">RESULTADOS!G51</f>
        <v>N/T</v>
      </c>
      <c r="AD34" s="146" t="str">
        <f ca="1">RESULTADOS!H51</f>
        <v>N/T</v>
      </c>
      <c r="AE34" s="146" t="str">
        <f ca="1">RESULTADOS!I51</f>
        <v>N/T</v>
      </c>
      <c r="AF34" s="146" t="str">
        <f ca="1">RESULTADOS!J51</f>
        <v>N/T</v>
      </c>
      <c r="AG34" s="146" t="str">
        <f ca="1">RESULTADOS!K51</f>
        <v>N/T</v>
      </c>
      <c r="AH34" s="146" t="str">
        <f ca="1">RESULTADOS!L51</f>
        <v>N/T</v>
      </c>
      <c r="AI34" s="146" t="str">
        <f ca="1">RESULTADOS!M51</f>
        <v>N/T</v>
      </c>
      <c r="AJ34" s="146" t="str">
        <f ca="1">RESULTADOS!N51</f>
        <v>N/T</v>
      </c>
      <c r="AK34" s="146" t="str">
        <f ca="1">RESULTADOS!O51</f>
        <v>N/T</v>
      </c>
      <c r="AL34" s="146" t="str">
        <f ca="1">RESULTADOS!P51</f>
        <v>N/T</v>
      </c>
      <c r="AM34" s="146" t="str">
        <f ca="1">RESULTADOS!Q51</f>
        <v>N/T</v>
      </c>
      <c r="AN34" s="146" t="str">
        <f ca="1">RESULTADOS!R51</f>
        <v>N/T</v>
      </c>
      <c r="AO34" s="146" t="str">
        <f ca="1">RESULTADOS!S51</f>
        <v>N/T</v>
      </c>
      <c r="AP34" s="146" t="str">
        <f ca="1">RESULTADOS!T51</f>
        <v>N/T</v>
      </c>
      <c r="AQ34" s="146" t="str">
        <f ca="1">RESULTADOS!U51</f>
        <v>N/T</v>
      </c>
      <c r="AR34" s="146" t="str">
        <f ca="1">RESULTADOS!V51</f>
        <v>N/T</v>
      </c>
      <c r="AS34" s="146" t="str">
        <f ca="1">RESULTADOS!W51</f>
        <v>N/T</v>
      </c>
      <c r="AT34" s="146" t="str">
        <f ca="1">RESULTADOS!X51</f>
        <v>N/T</v>
      </c>
      <c r="AU34" s="146" t="str">
        <f ca="1">RESULTADOS!Y51</f>
        <v>N/T</v>
      </c>
      <c r="AV34" s="146" t="str">
        <f ca="1">RESULTADOS!Z51</f>
        <v>N/T</v>
      </c>
      <c r="AW34" s="146" t="str">
        <f ca="1">RESULTADOS!AA51</f>
        <v>N/T</v>
      </c>
      <c r="AX34" s="146" t="str">
        <f ca="1">RESULTADOS!AB51</f>
        <v>N/T</v>
      </c>
      <c r="AY34" s="146" t="str">
        <f ca="1">RESULTADOS!AC51</f>
        <v>N/T</v>
      </c>
      <c r="AZ34" s="146" t="str">
        <f ca="1">RESULTADOS!AD51</f>
        <v>N/T</v>
      </c>
      <c r="BA34" s="146" t="str">
        <f ca="1">RESULTADOS!AE51</f>
        <v>N/T</v>
      </c>
      <c r="BB34" s="146" t="str">
        <f ca="1">RESULTADOS!AF51</f>
        <v>N/T</v>
      </c>
      <c r="BC34" s="146" t="str">
        <f ca="1">RESULTADOS!AG51</f>
        <v>N/T</v>
      </c>
      <c r="BD34" s="146" t="str">
        <f ca="1">RESULTADOS!AH51</f>
        <v>N/T</v>
      </c>
      <c r="BE34" s="146" t="str">
        <f ca="1">RESULTADOS!AI51</f>
        <v>N/T</v>
      </c>
      <c r="BF34" s="146" t="str">
        <f ca="1">RESULTADOS!AJ51</f>
        <v>N/D</v>
      </c>
      <c r="BG34" s="146" t="str">
        <f ca="1">RESULTADOS!AK51</f>
        <v>N/T</v>
      </c>
      <c r="BH34" s="146" t="str">
        <f ca="1">RESULTADOS!AL51</f>
        <v>N/T</v>
      </c>
      <c r="BI34" s="146" t="str">
        <f ca="1">RESULTADOS!AM51</f>
        <v>N/T</v>
      </c>
      <c r="BJ34" s="146" t="str">
        <f ca="1">RESULTADOS!AN51</f>
        <v>N/T</v>
      </c>
      <c r="BK34" s="146" t="str">
        <f ca="1">RESULTADOS!AO51</f>
        <v>N/D</v>
      </c>
      <c r="BL34" s="146" t="str">
        <f ca="1">RESULTADOS!AP51</f>
        <v>N/T</v>
      </c>
      <c r="BM34" s="146" t="str">
        <f ca="1">RESULTADOS!AQ51</f>
        <v>N/T</v>
      </c>
      <c r="BN34" s="146" t="str">
        <f ca="1">RESULTADOS!AR51</f>
        <v>N/D</v>
      </c>
      <c r="BO34" s="146" t="str">
        <f ca="1">RESULTADOS!AS51</f>
        <v>N/D</v>
      </c>
      <c r="BP34" s="146" t="str">
        <f ca="1">RESULTADOS!AT51</f>
        <v>N/T</v>
      </c>
      <c r="BQ34" s="146" t="str">
        <f ca="1">RESULTADOS!AU51</f>
        <v>N/T</v>
      </c>
      <c r="BR34" s="146" t="str">
        <f ca="1">RESULTADOS!AV51</f>
        <v>N/D</v>
      </c>
      <c r="BS34" s="146" t="str">
        <f ca="1">RESULTADOS!AW51</f>
        <v>N/T</v>
      </c>
      <c r="BT34" s="146" t="str">
        <f ca="1">RESULTADOS!AX51</f>
        <v>N/T</v>
      </c>
      <c r="BU34" s="146" t="str">
        <f ca="1">RESULTADOS!AY51</f>
        <v>N/D</v>
      </c>
      <c r="BV34" s="146" t="str">
        <f ca="1">RESULTADOS!AZ51</f>
        <v>N/T</v>
      </c>
      <c r="BW34" s="146" t="str">
        <f ca="1">RESULTADOS!BA51</f>
        <v>N/D</v>
      </c>
      <c r="BX34" s="146" t="str">
        <f ca="1">RESULTADOS!BB51</f>
        <v>N/T</v>
      </c>
      <c r="BY34" s="146" t="str">
        <f ca="1">RESULTADOS!BC51</f>
        <v>N/D</v>
      </c>
      <c r="BZ34" s="146" t="str">
        <f ca="1">RESULTADOS!BD51</f>
        <v>N/T</v>
      </c>
      <c r="CA34" s="146" t="str">
        <f ca="1">RESULTADOS!BE51</f>
        <v>N/T</v>
      </c>
      <c r="CB34" s="146" t="str">
        <f ca="1">RESULTADOS!BF51</f>
        <v>N/D</v>
      </c>
      <c r="CC34" s="146" t="str">
        <f ca="1">RESULTADOS!BG51</f>
        <v>N/D</v>
      </c>
      <c r="CD34" s="146" t="str">
        <f ca="1">RESULTADOS!BH51</f>
        <v>N/T</v>
      </c>
      <c r="CE34" s="146" t="str">
        <f ca="1">RESULTADOS!BI51</f>
        <v>N/D</v>
      </c>
      <c r="CF34" s="146" t="str">
        <f ca="1">RESULTADOS!BJ51</f>
        <v>N/D</v>
      </c>
      <c r="CG34" s="146" t="str">
        <f ca="1">RESULTADOS!BK51</f>
        <v>N/D</v>
      </c>
      <c r="CH34" s="146" t="str">
        <f ca="1">RESULTADOS!BL51</f>
        <v>N/D</v>
      </c>
      <c r="CI34" s="146" t="str">
        <f ca="1">RESULTADOS!BM51</f>
        <v>N/D</v>
      </c>
      <c r="CJ34" s="146" t="str">
        <f ca="1">RESULTADOS!BN51</f>
        <v>N/T</v>
      </c>
      <c r="CK34" s="146" t="str">
        <f ca="1">RESULTADOS!BO51</f>
        <v>Falla</v>
      </c>
      <c r="CL34" s="146" t="str">
        <f ca="1">RESULTADOS!BP51</f>
        <v>N/T</v>
      </c>
      <c r="CM34" s="146" t="str">
        <f ca="1">RESULTADOS!BQ51</f>
        <v>N/T</v>
      </c>
      <c r="CN34" s="146" t="str">
        <f ca="1">RESULTADOS!BR51</f>
        <v>N/D</v>
      </c>
      <c r="CO34" s="146" t="str">
        <f ca="1">RESULTADOS!BS51</f>
        <v>N/T</v>
      </c>
      <c r="CP34" s="146" t="str">
        <f ca="1">RESULTADOS!BT51</f>
        <v>N/D</v>
      </c>
      <c r="CQ34" s="146" t="str">
        <f ca="1">RESULTADOS!BU51</f>
        <v>Falla</v>
      </c>
      <c r="CR34" s="146" t="str">
        <f ca="1">RESULTADOS!BV51</f>
        <v>N/D</v>
      </c>
      <c r="CS34" s="146" t="str">
        <f ca="1">RESULTADOS!BW51</f>
        <v>N/D</v>
      </c>
      <c r="CT34" s="146" t="str">
        <f ca="1">RESULTADOS!BX51</f>
        <v>N/D</v>
      </c>
      <c r="CU34" s="146" t="str">
        <f ca="1">RESULTADOS!BY51</f>
        <v>N/T</v>
      </c>
      <c r="CV34" s="146" t="str">
        <f ca="1">RESULTADOS!BZ51</f>
        <v>N/T</v>
      </c>
      <c r="CW34" s="146" t="str">
        <f ca="1">RESULTADOS!CA51</f>
        <v>N/D</v>
      </c>
      <c r="CX34" s="146" t="str">
        <f ca="1">RESULTADOS!CB51</f>
        <v>N/T</v>
      </c>
      <c r="CY34" s="146" t="str">
        <f ca="1">RESULTADOS!CC51</f>
        <v>N/T</v>
      </c>
      <c r="CZ34" s="146" t="str">
        <f ca="1">RESULTADOS!CD51</f>
        <v>N/T</v>
      </c>
      <c r="DA34" s="146" t="str">
        <f ca="1">RESULTADOS!CE51</f>
        <v>N/D</v>
      </c>
      <c r="DB34" s="146" t="str">
        <f ca="1">RESULTADOS!CF51</f>
        <v>N/T</v>
      </c>
      <c r="DC34" s="146" t="str">
        <f ca="1">RESULTADOS!CG51</f>
        <v>N/T</v>
      </c>
      <c r="DD34" s="146" t="str">
        <f ca="1">RESULTADOS!CH51</f>
        <v>N/T</v>
      </c>
      <c r="DE34" s="146" t="str">
        <f ca="1">RESULTADOS!CI51</f>
        <v>N/T</v>
      </c>
      <c r="DF34" s="146" t="str">
        <f ca="1">RESULTADOS!CJ51</f>
        <v>N/T</v>
      </c>
      <c r="DG34" s="146" t="str">
        <f ca="1">RESULTADOS!CK51</f>
        <v>N/T</v>
      </c>
      <c r="DH34" s="146" t="str">
        <f ca="1">RESULTADOS!CL51</f>
        <v>N/T</v>
      </c>
      <c r="DI34" s="146" t="str">
        <f ca="1">RESULTADOS!CM51</f>
        <v>N/T</v>
      </c>
      <c r="DJ34" s="146" t="str">
        <f ca="1">RESULTADOS!CN51</f>
        <v>N/T</v>
      </c>
      <c r="DK34" s="146" t="str">
        <f ca="1">RESULTADOS!CO51</f>
        <v>N/T</v>
      </c>
      <c r="DL34" s="146" t="str">
        <f ca="1">RESULTADOS!CP51</f>
        <v>N/T</v>
      </c>
      <c r="DM34" s="146" t="str">
        <f ca="1">RESULTADOS!CQ51</f>
        <v>N/T</v>
      </c>
      <c r="DN34" s="146" t="str">
        <f ca="1">RESULTADOS!CR51</f>
        <v>N/T</v>
      </c>
      <c r="DO34" s="148" t="str">
        <f>RESULTADOS!B92</f>
        <v/>
      </c>
      <c r="DP34" s="148" t="str">
        <f>RESULTADOS!C92</f>
        <v/>
      </c>
      <c r="DQ34" s="148" t="str">
        <f t="shared" si="1"/>
        <v/>
      </c>
      <c r="DR34" s="148" t="str" cm="1">
        <f t="array" ref="DR34">IFERROR(INDEX('03.Muestra'!$E$8:$E$42,SMALL(IF("Documento no web"='03.Muestra'!$D$8:$D$42,ROW('03.Muestra'!$E$8:$E$42)-MIN(ROW('03.Muestra'!$D$8:$D$42))+1,""),ROW()-2)),"")</f>
        <v/>
      </c>
      <c r="DS34" s="148" t="str">
        <f>RESULTADOS!D92</f>
        <v/>
      </c>
      <c r="DT34" s="148" t="str" cm="1">
        <f t="array" ref="DT34">IFERROR(INDEX('03.Muestra'!$G$8:$G$42,SMALL(IF("Documento no web"='03.Muestra'!$D$8:$D$42,ROW('03.Muestra'!$G$8:$G$42)-MIN(ROW('03.Muestra'!$D$8:$D$42))+1,""),ROW()-2)),"")</f>
        <v/>
      </c>
      <c r="DU34" s="237" t="str" cm="1">
        <f t="array" ref="DU34">IFERROR(INDEX('03.Muestra'!$H$8:$H$42,SMALL(IF("Documento no web"='03.Muestra'!$D$8:$D$42,ROW('03.Muestra'!$H$8:$H$42)-MIN(ROW('03.Muestra'!$D$8:$D$42))+1,""),ROW()-2)),"")</f>
        <v/>
      </c>
      <c r="DV34" s="146" t="str">
        <f ca="1">RESULTADOS!E92</f>
        <v/>
      </c>
      <c r="DW34" s="146" t="str">
        <f ca="1">RESULTADOS!F92</f>
        <v/>
      </c>
      <c r="DX34" s="146" t="str">
        <f ca="1">RESULTADOS!G92</f>
        <v/>
      </c>
      <c r="DY34" s="146" t="str">
        <f ca="1">RESULTADOS!H92</f>
        <v/>
      </c>
      <c r="DZ34" s="146" t="str">
        <f ca="1">RESULTADOS!I92</f>
        <v/>
      </c>
      <c r="EA34" s="146" t="str">
        <f ca="1">RESULTADOS!J92</f>
        <v/>
      </c>
      <c r="EB34" s="146" t="str">
        <f ca="1">RESULTADOS!K92</f>
        <v/>
      </c>
      <c r="EC34" s="146" t="str">
        <f ca="1">RESULTADOS!L92</f>
        <v/>
      </c>
      <c r="ED34" s="146" t="str">
        <f ca="1">RESULTADOS!M92</f>
        <v/>
      </c>
      <c r="EE34" s="146" t="str">
        <f ca="1">RESULTADOS!N92</f>
        <v/>
      </c>
      <c r="EF34" s="146" t="str">
        <f ca="1">RESULTADOS!O92</f>
        <v/>
      </c>
      <c r="EG34" s="146" t="str">
        <f ca="1">RESULTADOS!P92</f>
        <v/>
      </c>
      <c r="EH34" s="146" t="str">
        <f ca="1">RESULTADOS!Q92</f>
        <v/>
      </c>
      <c r="EI34" s="146" t="str">
        <f ca="1">RESULTADOS!R92</f>
        <v/>
      </c>
      <c r="EJ34" s="146" t="str">
        <f ca="1">RESULTADOS!S92</f>
        <v/>
      </c>
      <c r="EK34" s="146" t="str">
        <f ca="1">RESULTADOS!T92</f>
        <v/>
      </c>
      <c r="EL34" s="146" t="str">
        <f ca="1">RESULTADOS!U92</f>
        <v/>
      </c>
      <c r="EM34" s="146" t="str">
        <f ca="1">RESULTADOS!V92</f>
        <v/>
      </c>
      <c r="EN34" s="146" t="str">
        <f ca="1">RESULTADOS!W92</f>
        <v/>
      </c>
      <c r="EO34" s="146" t="str">
        <f ca="1">RESULTADOS!X92</f>
        <v/>
      </c>
      <c r="EP34" s="146" t="str">
        <f ca="1">RESULTADOS!Y92</f>
        <v/>
      </c>
      <c r="EQ34" s="146" t="str">
        <f ca="1">RESULTADOS!Z92</f>
        <v/>
      </c>
      <c r="ER34" s="146" t="str">
        <f ca="1">RESULTADOS!AA92</f>
        <v/>
      </c>
      <c r="ES34" s="146" t="str">
        <f ca="1">RESULTADOS!AB92</f>
        <v/>
      </c>
      <c r="ET34" s="146" t="str">
        <f ca="1">RESULTADOS!AC92</f>
        <v/>
      </c>
      <c r="EU34" s="146" t="str">
        <f ca="1">RESULTADOS!AD92</f>
        <v/>
      </c>
      <c r="EV34" s="146" t="str">
        <f ca="1">RESULTADOS!AE92</f>
        <v/>
      </c>
      <c r="EW34" s="146" t="str">
        <f ca="1">RESULTADOS!AF92</f>
        <v/>
      </c>
      <c r="EX34" s="146" t="str">
        <f ca="1">RESULTADOS!AG92</f>
        <v/>
      </c>
      <c r="EY34" s="146" t="str">
        <f ca="1">RESULTADOS!AH92</f>
        <v/>
      </c>
      <c r="EZ34" s="146" t="str">
        <f ca="1">RESULTADOS!AI92</f>
        <v/>
      </c>
      <c r="FA34" s="146" t="str">
        <f ca="1">RESULTADOS!AJ92</f>
        <v/>
      </c>
      <c r="FB34" s="146" t="str">
        <f ca="1">RESULTADOS!AK92</f>
        <v/>
      </c>
      <c r="FC34" s="146" t="str">
        <f ca="1">RESULTADOS!AL92</f>
        <v/>
      </c>
      <c r="FD34" s="146" t="str">
        <f ca="1">RESULTADOS!AM92</f>
        <v/>
      </c>
      <c r="FE34" s="146" t="str">
        <f ca="1">RESULTADOS!AN92</f>
        <v/>
      </c>
      <c r="FF34" s="146" t="str">
        <f ca="1">RESULTADOS!AO92</f>
        <v/>
      </c>
      <c r="FG34" s="146" t="str">
        <f ca="1">RESULTADOS!AP92</f>
        <v/>
      </c>
      <c r="FH34" s="146" t="str">
        <f ca="1">RESULTADOS!AQ92</f>
        <v/>
      </c>
      <c r="FI34" s="146" t="str">
        <f ca="1">RESULTADOS!AR92</f>
        <v/>
      </c>
      <c r="FJ34" s="146" t="str">
        <f ca="1">RESULTADOS!AS92</f>
        <v/>
      </c>
      <c r="FK34" s="146" t="str">
        <f ca="1">RESULTADOS!AT92</f>
        <v/>
      </c>
      <c r="FL34" s="146" t="str">
        <f ca="1">RESULTADOS!AU92</f>
        <v/>
      </c>
      <c r="FM34" s="146" t="str">
        <f ca="1">RESULTADOS!AV92</f>
        <v/>
      </c>
      <c r="FN34" s="146" t="str">
        <f ca="1">RESULTADOS!AW92</f>
        <v/>
      </c>
    </row>
    <row r="35" spans="3:170">
      <c r="T35" s="148" t="n">
        <f>RESULTADOS!B52</f>
        <v>1.0</v>
      </c>
      <c r="U35" s="148" t="str">
        <f>RESULTADOS!C52</f>
        <v>Home - PortCastelló</v>
      </c>
      <c r="V35" s="148" t="str">
        <f t="shared" si="0"/>
        <v>Página web</v>
      </c>
      <c r="W35" s="148" t="str">
        <v/>
      </c>
      <c r="X35" s="148" t="str">
        <f>RESULTADOS!D52</f>
        <v>https://www.portcastello.com/</v>
      </c>
      <c r="Y35" s="148" t="n">
        <v>0.0</v>
      </c>
      <c r="Z35" s="237" t="str">
        <v>Ej. Imágenes, tablas, listas, multimedia, formularios, plantilla X, plantilla Y</v>
      </c>
      <c r="AA35" s="146" t="str">
        <f ca="1">RESULTADOS!E52</f>
        <v>N/T</v>
      </c>
      <c r="AB35" s="146" t="str">
        <f ca="1">RESULTADOS!F52</f>
        <v>N/T</v>
      </c>
      <c r="AC35" s="146" t="str">
        <f ca="1">RESULTADOS!G52</f>
        <v>N/T</v>
      </c>
      <c r="AD35" s="146" t="str">
        <f ca="1">RESULTADOS!H52</f>
        <v>N/T</v>
      </c>
      <c r="AE35" s="146" t="str">
        <f ca="1">RESULTADOS!I52</f>
        <v>N/T</v>
      </c>
      <c r="AF35" s="146" t="str">
        <f ca="1">RESULTADOS!J52</f>
        <v>N/T</v>
      </c>
      <c r="AG35" s="146" t="str">
        <f ca="1">RESULTADOS!K52</f>
        <v>N/T</v>
      </c>
      <c r="AH35" s="146" t="str">
        <f ca="1">RESULTADOS!L52</f>
        <v>N/T</v>
      </c>
      <c r="AI35" s="146" t="str">
        <f ca="1">RESULTADOS!M52</f>
        <v>N/T</v>
      </c>
      <c r="AJ35" s="146" t="str">
        <f ca="1">RESULTADOS!N52</f>
        <v>N/T</v>
      </c>
      <c r="AK35" s="146" t="str">
        <f ca="1">RESULTADOS!O52</f>
        <v>N/T</v>
      </c>
      <c r="AL35" s="146" t="str">
        <f ca="1">RESULTADOS!P52</f>
        <v>N/T</v>
      </c>
      <c r="AM35" s="146" t="str">
        <f ca="1">RESULTADOS!Q52</f>
        <v>N/T</v>
      </c>
      <c r="AN35" s="146" t="str">
        <f ca="1">RESULTADOS!R52</f>
        <v>N/T</v>
      </c>
      <c r="AO35" s="146" t="str">
        <f ca="1">RESULTADOS!S52</f>
        <v>N/T</v>
      </c>
      <c r="AP35" s="146" t="str">
        <f ca="1">RESULTADOS!T52</f>
        <v>N/T</v>
      </c>
      <c r="AQ35" s="146" t="str">
        <f ca="1">RESULTADOS!U52</f>
        <v>N/T</v>
      </c>
      <c r="AR35" s="146" t="str">
        <f ca="1">RESULTADOS!V52</f>
        <v>N/T</v>
      </c>
      <c r="AS35" s="146" t="str">
        <f ca="1">RESULTADOS!W52</f>
        <v>N/T</v>
      </c>
      <c r="AT35" s="146" t="str">
        <f ca="1">RESULTADOS!X52</f>
        <v>N/T</v>
      </c>
      <c r="AU35" s="146" t="str">
        <f ca="1">RESULTADOS!Y52</f>
        <v>N/T</v>
      </c>
      <c r="AV35" s="146" t="str">
        <f ca="1">RESULTADOS!Z52</f>
        <v>N/T</v>
      </c>
      <c r="AW35" s="146" t="str">
        <f ca="1">RESULTADOS!AA52</f>
        <v>N/T</v>
      </c>
      <c r="AX35" s="146" t="str">
        <f ca="1">RESULTADOS!AB52</f>
        <v>N/T</v>
      </c>
      <c r="AY35" s="146" t="str">
        <f ca="1">RESULTADOS!AC52</f>
        <v>N/T</v>
      </c>
      <c r="AZ35" s="146" t="str">
        <f ca="1">RESULTADOS!AD52</f>
        <v>N/T</v>
      </c>
      <c r="BA35" s="146" t="str">
        <f ca="1">RESULTADOS!AE52</f>
        <v>N/T</v>
      </c>
      <c r="BB35" s="146" t="str">
        <f ca="1">RESULTADOS!AF52</f>
        <v>N/T</v>
      </c>
      <c r="BC35" s="146" t="str">
        <f ca="1">RESULTADOS!AG52</f>
        <v>N/T</v>
      </c>
      <c r="BD35" s="146" t="str">
        <f ca="1">RESULTADOS!AH52</f>
        <v>N/T</v>
      </c>
      <c r="BE35" s="146" t="str">
        <f ca="1">RESULTADOS!AI52</f>
        <v>N/T</v>
      </c>
      <c r="BF35" s="146" t="str">
        <f ca="1">RESULTADOS!AJ52</f>
        <v>N/D</v>
      </c>
      <c r="BG35" s="146" t="str">
        <f ca="1">RESULTADOS!AK52</f>
        <v>N/T</v>
      </c>
      <c r="BH35" s="146" t="str">
        <f ca="1">RESULTADOS!AL52</f>
        <v>N/T</v>
      </c>
      <c r="BI35" s="146" t="str">
        <f ca="1">RESULTADOS!AM52</f>
        <v>N/T</v>
      </c>
      <c r="BJ35" s="146" t="str">
        <f ca="1">RESULTADOS!AN52</f>
        <v>N/T</v>
      </c>
      <c r="BK35" s="146" t="str">
        <f ca="1">RESULTADOS!AO52</f>
        <v>N/D</v>
      </c>
      <c r="BL35" s="146" t="str">
        <f ca="1">RESULTADOS!AP52</f>
        <v>N/T</v>
      </c>
      <c r="BM35" s="146" t="str">
        <f ca="1">RESULTADOS!AQ52</f>
        <v>N/T</v>
      </c>
      <c r="BN35" s="146" t="str">
        <f ca="1">RESULTADOS!AR52</f>
        <v>N/D</v>
      </c>
      <c r="BO35" s="146" t="str">
        <f ca="1">RESULTADOS!AS52</f>
        <v>N/D</v>
      </c>
      <c r="BP35" s="146" t="str">
        <f ca="1">RESULTADOS!AT52</f>
        <v>N/T</v>
      </c>
      <c r="BQ35" s="146" t="str">
        <f ca="1">RESULTADOS!AU52</f>
        <v>N/T</v>
      </c>
      <c r="BR35" s="146" t="str">
        <f ca="1">RESULTADOS!AV52</f>
        <v>N/D</v>
      </c>
      <c r="BS35" s="146" t="str">
        <f ca="1">RESULTADOS!AW52</f>
        <v>N/T</v>
      </c>
      <c r="BT35" s="146" t="str">
        <f ca="1">RESULTADOS!AX52</f>
        <v>N/T</v>
      </c>
      <c r="BU35" s="146" t="str">
        <f ca="1">RESULTADOS!AY52</f>
        <v>N/D</v>
      </c>
      <c r="BV35" s="146" t="str">
        <f ca="1">RESULTADOS!AZ52</f>
        <v>N/T</v>
      </c>
      <c r="BW35" s="146" t="str">
        <f ca="1">RESULTADOS!BA52</f>
        <v>N/D</v>
      </c>
      <c r="BX35" s="146" t="str">
        <f ca="1">RESULTADOS!BB52</f>
        <v>N/T</v>
      </c>
      <c r="BY35" s="146" t="str">
        <f ca="1">RESULTADOS!BC52</f>
        <v>N/D</v>
      </c>
      <c r="BZ35" s="146" t="str">
        <f ca="1">RESULTADOS!BD52</f>
        <v>N/T</v>
      </c>
      <c r="CA35" s="146" t="str">
        <f ca="1">RESULTADOS!BE52</f>
        <v>N/T</v>
      </c>
      <c r="CB35" s="146" t="str">
        <f ca="1">RESULTADOS!BF52</f>
        <v>N/D</v>
      </c>
      <c r="CC35" s="146" t="str">
        <f ca="1">RESULTADOS!BG52</f>
        <v>N/D</v>
      </c>
      <c r="CD35" s="146" t="str">
        <f ca="1">RESULTADOS!BH52</f>
        <v>N/T</v>
      </c>
      <c r="CE35" s="146" t="str">
        <f ca="1">RESULTADOS!BI52</f>
        <v>N/D</v>
      </c>
      <c r="CF35" s="146" t="str">
        <f ca="1">RESULTADOS!BJ52</f>
        <v>N/D</v>
      </c>
      <c r="CG35" s="146" t="str">
        <f ca="1">RESULTADOS!BK52</f>
        <v>N/D</v>
      </c>
      <c r="CH35" s="146" t="str">
        <f ca="1">RESULTADOS!BL52</f>
        <v>N/D</v>
      </c>
      <c r="CI35" s="146" t="str">
        <f ca="1">RESULTADOS!BM52</f>
        <v>N/D</v>
      </c>
      <c r="CJ35" s="146" t="str">
        <f ca="1">RESULTADOS!BN52</f>
        <v>N/T</v>
      </c>
      <c r="CK35" s="146" t="str">
        <f ca="1">RESULTADOS!BO52</f>
        <v>Falla</v>
      </c>
      <c r="CL35" s="146" t="str">
        <f ca="1">RESULTADOS!BP52</f>
        <v>N/T</v>
      </c>
      <c r="CM35" s="146" t="str">
        <f ca="1">RESULTADOS!BQ52</f>
        <v>N/T</v>
      </c>
      <c r="CN35" s="146" t="str">
        <f ca="1">RESULTADOS!BR52</f>
        <v>N/D</v>
      </c>
      <c r="CO35" s="146" t="str">
        <f ca="1">RESULTADOS!BS52</f>
        <v>N/T</v>
      </c>
      <c r="CP35" s="146" t="str">
        <f ca="1">RESULTADOS!BT52</f>
        <v>N/D</v>
      </c>
      <c r="CQ35" s="146" t="str">
        <f ca="1">RESULTADOS!BU52</f>
        <v>Falla</v>
      </c>
      <c r="CR35" s="146" t="str">
        <f ca="1">RESULTADOS!BV52</f>
        <v>N/D</v>
      </c>
      <c r="CS35" s="146" t="str">
        <f ca="1">RESULTADOS!BW52</f>
        <v>N/D</v>
      </c>
      <c r="CT35" s="146" t="str">
        <f ca="1">RESULTADOS!BX52</f>
        <v>N/D</v>
      </c>
      <c r="CU35" s="146" t="str">
        <f ca="1">RESULTADOS!BY52</f>
        <v>N/T</v>
      </c>
      <c r="CV35" s="146" t="str">
        <f ca="1">RESULTADOS!BZ52</f>
        <v>N/T</v>
      </c>
      <c r="CW35" s="146" t="str">
        <f ca="1">RESULTADOS!CA52</f>
        <v>N/D</v>
      </c>
      <c r="CX35" s="146" t="str">
        <f ca="1">RESULTADOS!CB52</f>
        <v>N/T</v>
      </c>
      <c r="CY35" s="146" t="str">
        <f ca="1">RESULTADOS!CC52</f>
        <v>N/T</v>
      </c>
      <c r="CZ35" s="146" t="str">
        <f ca="1">RESULTADOS!CD52</f>
        <v>N/T</v>
      </c>
      <c r="DA35" s="146" t="str">
        <f ca="1">RESULTADOS!CE52</f>
        <v>N/D</v>
      </c>
      <c r="DB35" s="146" t="str">
        <f ca="1">RESULTADOS!CF52</f>
        <v>N/T</v>
      </c>
      <c r="DC35" s="146" t="str">
        <f ca="1">RESULTADOS!CG52</f>
        <v>N/T</v>
      </c>
      <c r="DD35" s="146" t="str">
        <f ca="1">RESULTADOS!CH52</f>
        <v>N/T</v>
      </c>
      <c r="DE35" s="146" t="str">
        <f ca="1">RESULTADOS!CI52</f>
        <v>N/T</v>
      </c>
      <c r="DF35" s="146" t="str">
        <f ca="1">RESULTADOS!CJ52</f>
        <v>N/T</v>
      </c>
      <c r="DG35" s="146" t="str">
        <f ca="1">RESULTADOS!CK52</f>
        <v>N/T</v>
      </c>
      <c r="DH35" s="146" t="str">
        <f ca="1">RESULTADOS!CL52</f>
        <v>N/T</v>
      </c>
      <c r="DI35" s="146" t="str">
        <f ca="1">RESULTADOS!CM52</f>
        <v>N/T</v>
      </c>
      <c r="DJ35" s="146" t="str">
        <f ca="1">RESULTADOS!CN52</f>
        <v>N/T</v>
      </c>
      <c r="DK35" s="146" t="str">
        <f ca="1">RESULTADOS!CO52</f>
        <v>N/T</v>
      </c>
      <c r="DL35" s="146" t="str">
        <f ca="1">RESULTADOS!CP52</f>
        <v>N/T</v>
      </c>
      <c r="DM35" s="146" t="str">
        <f ca="1">RESULTADOS!CQ52</f>
        <v>N/T</v>
      </c>
      <c r="DN35" s="146" t="str">
        <f ca="1">RESULTADOS!CR52</f>
        <v>N/T</v>
      </c>
      <c r="DO35" s="148" t="str">
        <f>RESULTADOS!B93</f>
        <v/>
      </c>
      <c r="DP35" s="148" t="str">
        <f>RESULTADOS!C93</f>
        <v/>
      </c>
      <c r="DQ35" s="148" t="str">
        <f t="shared" si="1"/>
        <v/>
      </c>
      <c r="DR35" s="148" t="str" cm="1">
        <f t="array" ref="DR35">IFERROR(INDEX('03.Muestra'!$E$8:$E$42,SMALL(IF("Documento no web"='03.Muestra'!$D$8:$D$42,ROW('03.Muestra'!$E$8:$E$42)-MIN(ROW('03.Muestra'!$D$8:$D$42))+1,""),ROW()-2)),"")</f>
        <v/>
      </c>
      <c r="DS35" s="148" t="str">
        <f>RESULTADOS!D93</f>
        <v/>
      </c>
      <c r="DT35" s="148" t="str" cm="1">
        <f t="array" ref="DT35">IFERROR(INDEX('03.Muestra'!$G$8:$G$42,SMALL(IF("Documento no web"='03.Muestra'!$D$8:$D$42,ROW('03.Muestra'!$G$8:$G$42)-MIN(ROW('03.Muestra'!$D$8:$D$42))+1,""),ROW()-2)),"")</f>
        <v/>
      </c>
      <c r="DU35" s="237" t="str" cm="1">
        <f t="array" ref="DU35">IFERROR(INDEX('03.Muestra'!$H$8:$H$42,SMALL(IF("Documento no web"='03.Muestra'!$D$8:$D$42,ROW('03.Muestra'!$H$8:$H$42)-MIN(ROW('03.Muestra'!$D$8:$D$42))+1,""),ROW()-2)),"")</f>
        <v/>
      </c>
      <c r="DV35" s="146" t="str">
        <f ca="1">RESULTADOS!E93</f>
        <v/>
      </c>
      <c r="DW35" s="146" t="str">
        <f ca="1">RESULTADOS!F93</f>
        <v/>
      </c>
      <c r="DX35" s="146" t="str">
        <f ca="1">RESULTADOS!G93</f>
        <v/>
      </c>
      <c r="DY35" s="146" t="str">
        <f ca="1">RESULTADOS!H93</f>
        <v/>
      </c>
      <c r="DZ35" s="146" t="str">
        <f ca="1">RESULTADOS!I93</f>
        <v/>
      </c>
      <c r="EA35" s="146" t="str">
        <f ca="1">RESULTADOS!J93</f>
        <v/>
      </c>
      <c r="EB35" s="146" t="str">
        <f ca="1">RESULTADOS!K93</f>
        <v/>
      </c>
      <c r="EC35" s="146" t="str">
        <f ca="1">RESULTADOS!L93</f>
        <v/>
      </c>
      <c r="ED35" s="146" t="str">
        <f ca="1">RESULTADOS!M93</f>
        <v/>
      </c>
      <c r="EE35" s="146" t="str">
        <f ca="1">RESULTADOS!N93</f>
        <v/>
      </c>
      <c r="EF35" s="146" t="str">
        <f ca="1">RESULTADOS!O93</f>
        <v/>
      </c>
      <c r="EG35" s="146" t="str">
        <f ca="1">RESULTADOS!P93</f>
        <v/>
      </c>
      <c r="EH35" s="146" t="str">
        <f ca="1">RESULTADOS!Q93</f>
        <v/>
      </c>
      <c r="EI35" s="146" t="str">
        <f ca="1">RESULTADOS!R93</f>
        <v/>
      </c>
      <c r="EJ35" s="146" t="str">
        <f ca="1">RESULTADOS!S93</f>
        <v/>
      </c>
      <c r="EK35" s="146" t="str">
        <f ca="1">RESULTADOS!T93</f>
        <v/>
      </c>
      <c r="EL35" s="146" t="str">
        <f ca="1">RESULTADOS!U93</f>
        <v/>
      </c>
      <c r="EM35" s="146" t="str">
        <f ca="1">RESULTADOS!V93</f>
        <v/>
      </c>
      <c r="EN35" s="146" t="str">
        <f ca="1">RESULTADOS!W93</f>
        <v/>
      </c>
      <c r="EO35" s="146" t="str">
        <f ca="1">RESULTADOS!X93</f>
        <v/>
      </c>
      <c r="EP35" s="146" t="str">
        <f ca="1">RESULTADOS!Y93</f>
        <v/>
      </c>
      <c r="EQ35" s="146" t="str">
        <f ca="1">RESULTADOS!Z93</f>
        <v/>
      </c>
      <c r="ER35" s="146" t="str">
        <f ca="1">RESULTADOS!AA93</f>
        <v/>
      </c>
      <c r="ES35" s="146" t="str">
        <f ca="1">RESULTADOS!AB93</f>
        <v/>
      </c>
      <c r="ET35" s="146" t="str">
        <f ca="1">RESULTADOS!AC93</f>
        <v/>
      </c>
      <c r="EU35" s="146" t="str">
        <f ca="1">RESULTADOS!AD93</f>
        <v/>
      </c>
      <c r="EV35" s="146" t="str">
        <f ca="1">RESULTADOS!AE93</f>
        <v/>
      </c>
      <c r="EW35" s="146" t="str">
        <f ca="1">RESULTADOS!AF93</f>
        <v/>
      </c>
      <c r="EX35" s="146" t="str">
        <f ca="1">RESULTADOS!AG93</f>
        <v/>
      </c>
      <c r="EY35" s="146" t="str">
        <f ca="1">RESULTADOS!AH93</f>
        <v/>
      </c>
      <c r="EZ35" s="146" t="str">
        <f ca="1">RESULTADOS!AI93</f>
        <v/>
      </c>
      <c r="FA35" s="146" t="str">
        <f ca="1">RESULTADOS!AJ93</f>
        <v/>
      </c>
      <c r="FB35" s="146" t="str">
        <f ca="1">RESULTADOS!AK93</f>
        <v/>
      </c>
      <c r="FC35" s="146" t="str">
        <f ca="1">RESULTADOS!AL93</f>
        <v/>
      </c>
      <c r="FD35" s="146" t="str">
        <f ca="1">RESULTADOS!AM93</f>
        <v/>
      </c>
      <c r="FE35" s="146" t="str">
        <f ca="1">RESULTADOS!AN93</f>
        <v/>
      </c>
      <c r="FF35" s="146" t="str">
        <f ca="1">RESULTADOS!AO93</f>
        <v/>
      </c>
      <c r="FG35" s="146" t="str">
        <f ca="1">RESULTADOS!AP93</f>
        <v/>
      </c>
      <c r="FH35" s="146" t="str">
        <f ca="1">RESULTADOS!AQ93</f>
        <v/>
      </c>
      <c r="FI35" s="146" t="str">
        <f ca="1">RESULTADOS!AR93</f>
        <v/>
      </c>
      <c r="FJ35" s="146" t="str">
        <f ca="1">RESULTADOS!AS93</f>
        <v/>
      </c>
      <c r="FK35" s="146" t="str">
        <f ca="1">RESULTADOS!AT93</f>
        <v/>
      </c>
      <c r="FL35" s="146" t="str">
        <f ca="1">RESULTADOS!AU93</f>
        <v/>
      </c>
      <c r="FM35" s="146" t="str">
        <f ca="1">RESULTADOS!AV93</f>
        <v/>
      </c>
      <c r="FN35" s="146" t="str">
        <f ca="1">RESULTADOS!AW93</f>
        <v/>
      </c>
    </row>
    <row r="36" spans="3:170">
      <c r="T36" s="148" t="str">
        <f>RESULTADOS!B53</f>
        <v/>
      </c>
      <c r="U36" s="148" t="str">
        <f>RESULTADOS!C53</f>
        <v/>
      </c>
      <c r="V36" s="148" t="str">
        <f t="shared" si="0"/>
        <v/>
      </c>
      <c r="W36" s="148" t="str">
        <v/>
      </c>
      <c r="X36" s="148" t="str">
        <f>RESULTADOS!D53</f>
        <v/>
      </c>
      <c r="Y36" s="148" t="str">
        <v/>
      </c>
      <c r="Z36" s="237" t="str">
        <v/>
      </c>
      <c r="AA36" s="146" t="str">
        <f ca="1">RESULTADOS!E53</f>
        <v/>
      </c>
      <c r="AB36" s="146" t="str">
        <f ca="1">RESULTADOS!F53</f>
        <v/>
      </c>
      <c r="AC36" s="146" t="str">
        <f ca="1">RESULTADOS!G53</f>
        <v/>
      </c>
      <c r="AD36" s="146" t="str">
        <f ca="1">RESULTADOS!H53</f>
        <v/>
      </c>
      <c r="AE36" s="146" t="str">
        <f ca="1">RESULTADOS!I53</f>
        <v/>
      </c>
      <c r="AF36" s="146" t="str">
        <f ca="1">RESULTADOS!J53</f>
        <v/>
      </c>
      <c r="AG36" s="146" t="str">
        <f ca="1">RESULTADOS!K53</f>
        <v/>
      </c>
      <c r="AH36" s="146" t="str">
        <f ca="1">RESULTADOS!L53</f>
        <v/>
      </c>
      <c r="AI36" s="146" t="str">
        <f ca="1">RESULTADOS!M53</f>
        <v/>
      </c>
      <c r="AJ36" s="146" t="str">
        <f ca="1">RESULTADOS!N53</f>
        <v/>
      </c>
      <c r="AK36" s="146" t="str">
        <f ca="1">RESULTADOS!O53</f>
        <v/>
      </c>
      <c r="AL36" s="146" t="str">
        <f ca="1">RESULTADOS!P53</f>
        <v/>
      </c>
      <c r="AM36" s="146" t="str">
        <f ca="1">RESULTADOS!Q53</f>
        <v/>
      </c>
      <c r="AN36" s="146" t="str">
        <f ca="1">RESULTADOS!R53</f>
        <v/>
      </c>
      <c r="AO36" s="146" t="str">
        <f ca="1">RESULTADOS!S53</f>
        <v/>
      </c>
      <c r="AP36" s="146" t="str">
        <f ca="1">RESULTADOS!T53</f>
        <v/>
      </c>
      <c r="AQ36" s="146" t="str">
        <f ca="1">RESULTADOS!U53</f>
        <v/>
      </c>
      <c r="AR36" s="146" t="str">
        <f ca="1">RESULTADOS!V53</f>
        <v/>
      </c>
      <c r="AS36" s="146" t="str">
        <f ca="1">RESULTADOS!W53</f>
        <v/>
      </c>
      <c r="AT36" s="146" t="str">
        <f ca="1">RESULTADOS!X53</f>
        <v/>
      </c>
      <c r="AU36" s="146" t="str">
        <f ca="1">RESULTADOS!Y53</f>
        <v/>
      </c>
      <c r="AV36" s="146" t="str">
        <f ca="1">RESULTADOS!Z53</f>
        <v/>
      </c>
      <c r="AW36" s="146" t="str">
        <f ca="1">RESULTADOS!AA53</f>
        <v/>
      </c>
      <c r="AX36" s="146" t="str">
        <f ca="1">RESULTADOS!AB53</f>
        <v/>
      </c>
      <c r="AY36" s="146" t="str">
        <f ca="1">RESULTADOS!AC53</f>
        <v/>
      </c>
      <c r="AZ36" s="146" t="str">
        <f ca="1">RESULTADOS!AD53</f>
        <v/>
      </c>
      <c r="BA36" s="146" t="str">
        <f ca="1">RESULTADOS!AE53</f>
        <v/>
      </c>
      <c r="BB36" s="146" t="str">
        <f ca="1">RESULTADOS!AF53</f>
        <v/>
      </c>
      <c r="BC36" s="146" t="str">
        <f ca="1">RESULTADOS!AG53</f>
        <v/>
      </c>
      <c r="BD36" s="146" t="str">
        <f ca="1">RESULTADOS!AH53</f>
        <v/>
      </c>
      <c r="BE36" s="146" t="str">
        <f ca="1">RESULTADOS!AI53</f>
        <v/>
      </c>
      <c r="BF36" s="146" t="str">
        <f ca="1">RESULTADOS!AJ53</f>
        <v/>
      </c>
      <c r="BG36" s="146" t="str">
        <f ca="1">RESULTADOS!AK53</f>
        <v/>
      </c>
      <c r="BH36" s="146" t="str">
        <f ca="1">RESULTADOS!AL53</f>
        <v/>
      </c>
      <c r="BI36" s="146" t="str">
        <f ca="1">RESULTADOS!AM53</f>
        <v/>
      </c>
      <c r="BJ36" s="146" t="str">
        <f ca="1">RESULTADOS!AN53</f>
        <v/>
      </c>
      <c r="BK36" s="146" t="str">
        <f ca="1">RESULTADOS!AO53</f>
        <v/>
      </c>
      <c r="BL36" s="146" t="str">
        <f ca="1">RESULTADOS!AP53</f>
        <v/>
      </c>
      <c r="BM36" s="146" t="str">
        <f ca="1">RESULTADOS!AQ53</f>
        <v/>
      </c>
      <c r="BN36" s="146" t="str">
        <f ca="1">RESULTADOS!AR53</f>
        <v/>
      </c>
      <c r="BO36" s="146" t="str">
        <f ca="1">RESULTADOS!AS53</f>
        <v/>
      </c>
      <c r="BP36" s="146" t="str">
        <f ca="1">RESULTADOS!AT53</f>
        <v/>
      </c>
      <c r="BQ36" s="146" t="str">
        <f ca="1">RESULTADOS!AU53</f>
        <v/>
      </c>
      <c r="BR36" s="146" t="str">
        <f ca="1">RESULTADOS!AV53</f>
        <v/>
      </c>
      <c r="BS36" s="146" t="str">
        <f ca="1">RESULTADOS!AW53</f>
        <v/>
      </c>
      <c r="BT36" s="146" t="str">
        <f ca="1">RESULTADOS!AX53</f>
        <v/>
      </c>
      <c r="BU36" s="146" t="str">
        <f ca="1">RESULTADOS!AY53</f>
        <v/>
      </c>
      <c r="BV36" s="146" t="str">
        <f ca="1">RESULTADOS!AZ53</f>
        <v/>
      </c>
      <c r="BW36" s="146" t="str">
        <f ca="1">RESULTADOS!BA53</f>
        <v/>
      </c>
      <c r="BX36" s="146" t="str">
        <f ca="1">RESULTADOS!BB53</f>
        <v/>
      </c>
      <c r="BY36" s="146" t="str">
        <f ca="1">RESULTADOS!BC53</f>
        <v/>
      </c>
      <c r="BZ36" s="146" t="str">
        <f ca="1">RESULTADOS!BD53</f>
        <v/>
      </c>
      <c r="CA36" s="146" t="str">
        <f ca="1">RESULTADOS!BE53</f>
        <v/>
      </c>
      <c r="CB36" s="146" t="str">
        <f ca="1">RESULTADOS!BF53</f>
        <v/>
      </c>
      <c r="CC36" s="146" t="str">
        <f ca="1">RESULTADOS!BG53</f>
        <v/>
      </c>
      <c r="CD36" s="146" t="str">
        <f ca="1">RESULTADOS!BH53</f>
        <v/>
      </c>
      <c r="CE36" s="146" t="str">
        <f ca="1">RESULTADOS!BI53</f>
        <v/>
      </c>
      <c r="CF36" s="146" t="str">
        <f ca="1">RESULTADOS!BJ53</f>
        <v/>
      </c>
      <c r="CG36" s="146" t="str">
        <f ca="1">RESULTADOS!BK53</f>
        <v/>
      </c>
      <c r="CH36" s="146" t="str">
        <f ca="1">RESULTADOS!BL53</f>
        <v/>
      </c>
      <c r="CI36" s="146" t="str">
        <f ca="1">RESULTADOS!BM53</f>
        <v/>
      </c>
      <c r="CJ36" s="146" t="str">
        <f ca="1">RESULTADOS!BN53</f>
        <v/>
      </c>
      <c r="CK36" s="146" t="str">
        <f ca="1">RESULTADOS!BO53</f>
        <v/>
      </c>
      <c r="CL36" s="146" t="str">
        <f ca="1">RESULTADOS!BP53</f>
        <v/>
      </c>
      <c r="CM36" s="146" t="str">
        <f ca="1">RESULTADOS!BQ53</f>
        <v/>
      </c>
      <c r="CN36" s="146" t="str">
        <f ca="1">RESULTADOS!BR53</f>
        <v/>
      </c>
      <c r="CO36" s="146" t="str">
        <f ca="1">RESULTADOS!BS53</f>
        <v/>
      </c>
      <c r="CP36" s="146" t="str">
        <f ca="1">RESULTADOS!BT53</f>
        <v/>
      </c>
      <c r="CQ36" s="146" t="str">
        <f ca="1">RESULTADOS!BU53</f>
        <v/>
      </c>
      <c r="CR36" s="146" t="str">
        <f ca="1">RESULTADOS!BV53</f>
        <v/>
      </c>
      <c r="CS36" s="146" t="str">
        <f ca="1">RESULTADOS!BW53</f>
        <v/>
      </c>
      <c r="CT36" s="146" t="str">
        <f ca="1">RESULTADOS!BX53</f>
        <v/>
      </c>
      <c r="CU36" s="146" t="str">
        <f ca="1">RESULTADOS!BY53</f>
        <v/>
      </c>
      <c r="CV36" s="146" t="str">
        <f ca="1">RESULTADOS!BZ53</f>
        <v/>
      </c>
      <c r="CW36" s="146" t="str">
        <f ca="1">RESULTADOS!CA53</f>
        <v/>
      </c>
      <c r="CX36" s="146" t="str">
        <f ca="1">RESULTADOS!CB53</f>
        <v/>
      </c>
      <c r="CY36" s="146" t="str">
        <f ca="1">RESULTADOS!CC53</f>
        <v/>
      </c>
      <c r="CZ36" s="146" t="str">
        <f ca="1">RESULTADOS!CD53</f>
        <v/>
      </c>
      <c r="DA36" s="146" t="str">
        <f ca="1">RESULTADOS!CE53</f>
        <v/>
      </c>
      <c r="DB36" s="146" t="str">
        <f ca="1">RESULTADOS!CF53</f>
        <v/>
      </c>
      <c r="DC36" s="146" t="str">
        <f ca="1">RESULTADOS!CG53</f>
        <v/>
      </c>
      <c r="DD36" s="146" t="str">
        <f ca="1">RESULTADOS!CH53</f>
        <v/>
      </c>
      <c r="DE36" s="146" t="str">
        <f ca="1">RESULTADOS!CI53</f>
        <v/>
      </c>
      <c r="DF36" s="146" t="str">
        <f ca="1">RESULTADOS!CJ53</f>
        <v/>
      </c>
      <c r="DG36" s="146" t="str">
        <f ca="1">RESULTADOS!CK53</f>
        <v/>
      </c>
      <c r="DH36" s="146" t="str">
        <f ca="1">RESULTADOS!CL53</f>
        <v/>
      </c>
      <c r="DI36" s="146" t="str">
        <f ca="1">RESULTADOS!CM53</f>
        <v/>
      </c>
      <c r="DJ36" s="146" t="str">
        <f ca="1">RESULTADOS!CN53</f>
        <v/>
      </c>
      <c r="DK36" s="146" t="str">
        <f ca="1">RESULTADOS!CO53</f>
        <v/>
      </c>
      <c r="DL36" s="146" t="str">
        <f ca="1">RESULTADOS!CP53</f>
        <v/>
      </c>
      <c r="DM36" s="146" t="str">
        <f ca="1">RESULTADOS!CQ53</f>
        <v/>
      </c>
      <c r="DN36" s="146" t="str">
        <f ca="1">RESULTADOS!CR53</f>
        <v/>
      </c>
      <c r="DO36" s="148" t="str">
        <f>RESULTADOS!B94</f>
        <v/>
      </c>
      <c r="DP36" s="148" t="str">
        <f>RESULTADOS!C94</f>
        <v/>
      </c>
      <c r="DQ36" s="148" t="str">
        <f t="shared" si="1"/>
        <v/>
      </c>
      <c r="DR36" s="148" t="str" cm="1">
        <f t="array" ref="DR36">IFERROR(INDEX('03.Muestra'!$E$8:$E$42,SMALL(IF("Documento no web"='03.Muestra'!$D$8:$D$42,ROW('03.Muestra'!$E$8:$E$42)-MIN(ROW('03.Muestra'!$D$8:$D$42))+1,""),ROW()-2)),"")</f>
        <v/>
      </c>
      <c r="DS36" s="148" t="str">
        <f>RESULTADOS!D94</f>
        <v/>
      </c>
      <c r="DT36" s="148" t="str" cm="1">
        <f t="array" ref="DT36">IFERROR(INDEX('03.Muestra'!$G$8:$G$42,SMALL(IF("Documento no web"='03.Muestra'!$D$8:$D$42,ROW('03.Muestra'!$G$8:$G$42)-MIN(ROW('03.Muestra'!$D$8:$D$42))+1,""),ROW()-2)),"")</f>
        <v/>
      </c>
      <c r="DU36" s="237" t="str" cm="1">
        <f t="array" ref="DU36">IFERROR(INDEX('03.Muestra'!$H$8:$H$42,SMALL(IF("Documento no web"='03.Muestra'!$D$8:$D$42,ROW('03.Muestra'!$H$8:$H$42)-MIN(ROW('03.Muestra'!$D$8:$D$42))+1,""),ROW()-2)),"")</f>
        <v/>
      </c>
      <c r="DV36" s="146" t="str">
        <f ca="1">RESULTADOS!E94</f>
        <v/>
      </c>
      <c r="DW36" s="146" t="str">
        <f ca="1">RESULTADOS!F94</f>
        <v/>
      </c>
      <c r="DX36" s="146" t="str">
        <f ca="1">RESULTADOS!G94</f>
        <v/>
      </c>
      <c r="DY36" s="146" t="str">
        <f ca="1">RESULTADOS!H94</f>
        <v/>
      </c>
      <c r="DZ36" s="146" t="str">
        <f ca="1">RESULTADOS!I94</f>
        <v/>
      </c>
      <c r="EA36" s="146" t="str">
        <f ca="1">RESULTADOS!J94</f>
        <v/>
      </c>
      <c r="EB36" s="146" t="str">
        <f ca="1">RESULTADOS!K94</f>
        <v/>
      </c>
      <c r="EC36" s="146" t="str">
        <f ca="1">RESULTADOS!L94</f>
        <v/>
      </c>
      <c r="ED36" s="146" t="str">
        <f ca="1">RESULTADOS!M94</f>
        <v/>
      </c>
      <c r="EE36" s="146" t="str">
        <f ca="1">RESULTADOS!N94</f>
        <v/>
      </c>
      <c r="EF36" s="146" t="str">
        <f ca="1">RESULTADOS!O94</f>
        <v/>
      </c>
      <c r="EG36" s="146" t="str">
        <f ca="1">RESULTADOS!P94</f>
        <v/>
      </c>
      <c r="EH36" s="146" t="str">
        <f ca="1">RESULTADOS!Q94</f>
        <v/>
      </c>
      <c r="EI36" s="146" t="str">
        <f ca="1">RESULTADOS!R94</f>
        <v/>
      </c>
      <c r="EJ36" s="146" t="str">
        <f ca="1">RESULTADOS!S94</f>
        <v/>
      </c>
      <c r="EK36" s="146" t="str">
        <f ca="1">RESULTADOS!T94</f>
        <v/>
      </c>
      <c r="EL36" s="146" t="str">
        <f ca="1">RESULTADOS!U94</f>
        <v/>
      </c>
      <c r="EM36" s="146" t="str">
        <f ca="1">RESULTADOS!V94</f>
        <v/>
      </c>
      <c r="EN36" s="146" t="str">
        <f ca="1">RESULTADOS!W94</f>
        <v/>
      </c>
      <c r="EO36" s="146" t="str">
        <f ca="1">RESULTADOS!X94</f>
        <v/>
      </c>
      <c r="EP36" s="146" t="str">
        <f ca="1">RESULTADOS!Y94</f>
        <v/>
      </c>
      <c r="EQ36" s="146" t="str">
        <f ca="1">RESULTADOS!Z94</f>
        <v/>
      </c>
      <c r="ER36" s="146" t="str">
        <f ca="1">RESULTADOS!AA94</f>
        <v/>
      </c>
      <c r="ES36" s="146" t="str">
        <f ca="1">RESULTADOS!AB94</f>
        <v/>
      </c>
      <c r="ET36" s="146" t="str">
        <f ca="1">RESULTADOS!AC94</f>
        <v/>
      </c>
      <c r="EU36" s="146" t="str">
        <f ca="1">RESULTADOS!AD94</f>
        <v/>
      </c>
      <c r="EV36" s="146" t="str">
        <f ca="1">RESULTADOS!AE94</f>
        <v/>
      </c>
      <c r="EW36" s="146" t="str">
        <f ca="1">RESULTADOS!AF94</f>
        <v/>
      </c>
      <c r="EX36" s="146" t="str">
        <f ca="1">RESULTADOS!AG94</f>
        <v/>
      </c>
      <c r="EY36" s="146" t="str">
        <f ca="1">RESULTADOS!AH94</f>
        <v/>
      </c>
      <c r="EZ36" s="146" t="str">
        <f ca="1">RESULTADOS!AI94</f>
        <v/>
      </c>
      <c r="FA36" s="146" t="str">
        <f ca="1">RESULTADOS!AJ94</f>
        <v/>
      </c>
      <c r="FB36" s="146" t="str">
        <f ca="1">RESULTADOS!AK94</f>
        <v/>
      </c>
      <c r="FC36" s="146" t="str">
        <f ca="1">RESULTADOS!AL94</f>
        <v/>
      </c>
      <c r="FD36" s="146" t="str">
        <f ca="1">RESULTADOS!AM94</f>
        <v/>
      </c>
      <c r="FE36" s="146" t="str">
        <f ca="1">RESULTADOS!AN94</f>
        <v/>
      </c>
      <c r="FF36" s="146" t="str">
        <f ca="1">RESULTADOS!AO94</f>
        <v/>
      </c>
      <c r="FG36" s="146" t="str">
        <f ca="1">RESULTADOS!AP94</f>
        <v/>
      </c>
      <c r="FH36" s="146" t="str">
        <f ca="1">RESULTADOS!AQ94</f>
        <v/>
      </c>
      <c r="FI36" s="146" t="str">
        <f ca="1">RESULTADOS!AR94</f>
        <v/>
      </c>
      <c r="FJ36" s="146" t="str">
        <f ca="1">RESULTADOS!AS94</f>
        <v/>
      </c>
      <c r="FK36" s="146" t="str">
        <f ca="1">RESULTADOS!AT94</f>
        <v/>
      </c>
      <c r="FL36" s="146" t="str">
        <f ca="1">RESULTADOS!AU94</f>
        <v/>
      </c>
      <c r="FM36" s="146" t="str">
        <f ca="1">RESULTADOS!AV94</f>
        <v/>
      </c>
      <c r="FN36" s="146" t="str">
        <f ca="1">RESULTADOS!AW94</f>
        <v/>
      </c>
    </row>
    <row r="37" spans="3:170">
      <c r="T37" s="148" t="str">
        <f>RESULTADOS!B54</f>
        <v/>
      </c>
      <c r="U37" s="148" t="str">
        <f>RESULTADOS!C54</f>
        <v/>
      </c>
      <c r="V37" s="148" t="str">
        <f t="shared" si="0"/>
        <v/>
      </c>
      <c r="W37" s="148" t="str">
        <v/>
      </c>
      <c r="X37" s="148" t="str">
        <f>RESULTADOS!D54</f>
        <v/>
      </c>
      <c r="Y37" s="148" t="str">
        <v/>
      </c>
      <c r="Z37" s="237" t="str">
        <v/>
      </c>
      <c r="AA37" s="146" t="str">
        <f ca="1">RESULTADOS!E54</f>
        <v/>
      </c>
      <c r="AB37" s="146" t="str">
        <f ca="1">RESULTADOS!F54</f>
        <v/>
      </c>
      <c r="AC37" s="146" t="str">
        <f ca="1">RESULTADOS!G54</f>
        <v/>
      </c>
      <c r="AD37" s="146" t="str">
        <f ca="1">RESULTADOS!H54</f>
        <v/>
      </c>
      <c r="AE37" s="146" t="str">
        <f ca="1">RESULTADOS!I54</f>
        <v/>
      </c>
      <c r="AF37" s="146" t="str">
        <f ca="1">RESULTADOS!J54</f>
        <v/>
      </c>
      <c r="AG37" s="146" t="str">
        <f ca="1">RESULTADOS!K54</f>
        <v/>
      </c>
      <c r="AH37" s="146" t="str">
        <f ca="1">RESULTADOS!L54</f>
        <v/>
      </c>
      <c r="AI37" s="146" t="str">
        <f ca="1">RESULTADOS!M54</f>
        <v/>
      </c>
      <c r="AJ37" s="146" t="str">
        <f ca="1">RESULTADOS!N54</f>
        <v/>
      </c>
      <c r="AK37" s="146" t="str">
        <f ca="1">RESULTADOS!O54</f>
        <v/>
      </c>
      <c r="AL37" s="146" t="str">
        <f ca="1">RESULTADOS!P54</f>
        <v/>
      </c>
      <c r="AM37" s="146" t="str">
        <f ca="1">RESULTADOS!Q54</f>
        <v/>
      </c>
      <c r="AN37" s="146" t="str">
        <f ca="1">RESULTADOS!R54</f>
        <v/>
      </c>
      <c r="AO37" s="146" t="str">
        <f ca="1">RESULTADOS!S54</f>
        <v/>
      </c>
      <c r="AP37" s="146" t="str">
        <f ca="1">RESULTADOS!T54</f>
        <v/>
      </c>
      <c r="AQ37" s="146" t="str">
        <f ca="1">RESULTADOS!U54</f>
        <v/>
      </c>
      <c r="AR37" s="146" t="str">
        <f ca="1">RESULTADOS!V54</f>
        <v/>
      </c>
      <c r="AS37" s="146" t="str">
        <f ca="1">RESULTADOS!W54</f>
        <v/>
      </c>
      <c r="AT37" s="146" t="str">
        <f ca="1">RESULTADOS!X54</f>
        <v/>
      </c>
      <c r="AU37" s="146" t="str">
        <f ca="1">RESULTADOS!Y54</f>
        <v/>
      </c>
      <c r="AV37" s="146" t="str">
        <f ca="1">RESULTADOS!Z54</f>
        <v/>
      </c>
      <c r="AW37" s="146" t="str">
        <f ca="1">RESULTADOS!AA54</f>
        <v/>
      </c>
      <c r="AX37" s="146" t="str">
        <f ca="1">RESULTADOS!AB54</f>
        <v/>
      </c>
      <c r="AY37" s="146" t="str">
        <f ca="1">RESULTADOS!AC54</f>
        <v/>
      </c>
      <c r="AZ37" s="146" t="str">
        <f ca="1">RESULTADOS!AD54</f>
        <v/>
      </c>
      <c r="BA37" s="146" t="str">
        <f ca="1">RESULTADOS!AE54</f>
        <v/>
      </c>
      <c r="BB37" s="146" t="str">
        <f ca="1">RESULTADOS!AF54</f>
        <v/>
      </c>
      <c r="BC37" s="146" t="str">
        <f ca="1">RESULTADOS!AG54</f>
        <v/>
      </c>
      <c r="BD37" s="146" t="str">
        <f ca="1">RESULTADOS!AH54</f>
        <v/>
      </c>
      <c r="BE37" s="146" t="str">
        <f ca="1">RESULTADOS!AI54</f>
        <v/>
      </c>
      <c r="BF37" s="146" t="str">
        <f ca="1">RESULTADOS!AJ54</f>
        <v/>
      </c>
      <c r="BG37" s="146" t="str">
        <f ca="1">RESULTADOS!AK54</f>
        <v/>
      </c>
      <c r="BH37" s="146" t="str">
        <f ca="1">RESULTADOS!AL54</f>
        <v/>
      </c>
      <c r="BI37" s="146" t="str">
        <f ca="1">RESULTADOS!AM54</f>
        <v/>
      </c>
      <c r="BJ37" s="146" t="str">
        <f ca="1">RESULTADOS!AN54</f>
        <v/>
      </c>
      <c r="BK37" s="146" t="str">
        <f ca="1">RESULTADOS!AO54</f>
        <v/>
      </c>
      <c r="BL37" s="146" t="str">
        <f ca="1">RESULTADOS!AP54</f>
        <v/>
      </c>
      <c r="BM37" s="146" t="str">
        <f ca="1">RESULTADOS!AQ54</f>
        <v/>
      </c>
      <c r="BN37" s="146" t="str">
        <f ca="1">RESULTADOS!AR54</f>
        <v/>
      </c>
      <c r="BO37" s="146" t="str">
        <f ca="1">RESULTADOS!AS54</f>
        <v/>
      </c>
      <c r="BP37" s="146" t="str">
        <f ca="1">RESULTADOS!AT54</f>
        <v/>
      </c>
      <c r="BQ37" s="146" t="str">
        <f ca="1">RESULTADOS!AU54</f>
        <v/>
      </c>
      <c r="BR37" s="146" t="str">
        <f ca="1">RESULTADOS!AV54</f>
        <v/>
      </c>
      <c r="BS37" s="146" t="str">
        <f ca="1">RESULTADOS!AW54</f>
        <v/>
      </c>
      <c r="BT37" s="146" t="str">
        <f ca="1">RESULTADOS!AX54</f>
        <v/>
      </c>
      <c r="BU37" s="146" t="str">
        <f ca="1">RESULTADOS!AY54</f>
        <v/>
      </c>
      <c r="BV37" s="146" t="str">
        <f ca="1">RESULTADOS!AZ54</f>
        <v/>
      </c>
      <c r="BW37" s="146" t="str">
        <f ca="1">RESULTADOS!BA54</f>
        <v/>
      </c>
      <c r="BX37" s="146" t="str">
        <f ca="1">RESULTADOS!BB54</f>
        <v/>
      </c>
      <c r="BY37" s="146" t="str">
        <f ca="1">RESULTADOS!BC54</f>
        <v/>
      </c>
      <c r="BZ37" s="146" t="str">
        <f ca="1">RESULTADOS!BD54</f>
        <v/>
      </c>
      <c r="CA37" s="146" t="str">
        <f ca="1">RESULTADOS!BE54</f>
        <v/>
      </c>
      <c r="CB37" s="146" t="str">
        <f ca="1">RESULTADOS!BF54</f>
        <v/>
      </c>
      <c r="CC37" s="146" t="str">
        <f ca="1">RESULTADOS!BG54</f>
        <v/>
      </c>
      <c r="CD37" s="146" t="str">
        <f ca="1">RESULTADOS!BH54</f>
        <v/>
      </c>
      <c r="CE37" s="146" t="str">
        <f ca="1">RESULTADOS!BI54</f>
        <v/>
      </c>
      <c r="CF37" s="146" t="str">
        <f ca="1">RESULTADOS!BJ54</f>
        <v/>
      </c>
      <c r="CG37" s="146" t="str">
        <f ca="1">RESULTADOS!BK54</f>
        <v/>
      </c>
      <c r="CH37" s="146" t="str">
        <f ca="1">RESULTADOS!BL54</f>
        <v/>
      </c>
      <c r="CI37" s="146" t="str">
        <f ca="1">RESULTADOS!BM54</f>
        <v/>
      </c>
      <c r="CJ37" s="146" t="str">
        <f ca="1">RESULTADOS!BN54</f>
        <v/>
      </c>
      <c r="CK37" s="146" t="str">
        <f ca="1">RESULTADOS!BO54</f>
        <v/>
      </c>
      <c r="CL37" s="146" t="str">
        <f ca="1">RESULTADOS!BP54</f>
        <v/>
      </c>
      <c r="CM37" s="146" t="str">
        <f ca="1">RESULTADOS!BQ54</f>
        <v/>
      </c>
      <c r="CN37" s="146" t="str">
        <f ca="1">RESULTADOS!BR54</f>
        <v/>
      </c>
      <c r="CO37" s="146" t="str">
        <f ca="1">RESULTADOS!BS54</f>
        <v/>
      </c>
      <c r="CP37" s="146" t="str">
        <f ca="1">RESULTADOS!BT54</f>
        <v/>
      </c>
      <c r="CQ37" s="146" t="str">
        <f ca="1">RESULTADOS!BU54</f>
        <v/>
      </c>
      <c r="CR37" s="146" t="str">
        <f ca="1">RESULTADOS!BV54</f>
        <v/>
      </c>
      <c r="CS37" s="146" t="str">
        <f ca="1">RESULTADOS!BW54</f>
        <v/>
      </c>
      <c r="CT37" s="146" t="str">
        <f ca="1">RESULTADOS!BX54</f>
        <v/>
      </c>
      <c r="CU37" s="146" t="str">
        <f ca="1">RESULTADOS!BY54</f>
        <v/>
      </c>
      <c r="CV37" s="146" t="str">
        <f ca="1">RESULTADOS!BZ54</f>
        <v/>
      </c>
      <c r="CW37" s="146" t="str">
        <f ca="1">RESULTADOS!CA54</f>
        <v/>
      </c>
      <c r="CX37" s="146" t="str">
        <f ca="1">RESULTADOS!CB54</f>
        <v/>
      </c>
      <c r="CY37" s="146" t="str">
        <f ca="1">RESULTADOS!CC54</f>
        <v/>
      </c>
      <c r="CZ37" s="146" t="str">
        <f ca="1">RESULTADOS!CD54</f>
        <v/>
      </c>
      <c r="DA37" s="146" t="str">
        <f ca="1">RESULTADOS!CE54</f>
        <v/>
      </c>
      <c r="DB37" s="146" t="str">
        <f ca="1">RESULTADOS!CF54</f>
        <v/>
      </c>
      <c r="DC37" s="146" t="str">
        <f ca="1">RESULTADOS!CG54</f>
        <v/>
      </c>
      <c r="DD37" s="146" t="str">
        <f ca="1">RESULTADOS!CH54</f>
        <v/>
      </c>
      <c r="DE37" s="146" t="str">
        <f ca="1">RESULTADOS!CI54</f>
        <v/>
      </c>
      <c r="DF37" s="146" t="str">
        <f ca="1">RESULTADOS!CJ54</f>
        <v/>
      </c>
      <c r="DG37" s="146" t="str">
        <f ca="1">RESULTADOS!CK54</f>
        <v/>
      </c>
      <c r="DH37" s="146" t="str">
        <f ca="1">RESULTADOS!CL54</f>
        <v/>
      </c>
      <c r="DI37" s="146" t="str">
        <f ca="1">RESULTADOS!CM54</f>
        <v/>
      </c>
      <c r="DJ37" s="146" t="str">
        <f ca="1">RESULTADOS!CN54</f>
        <v/>
      </c>
      <c r="DK37" s="146" t="str">
        <f ca="1">RESULTADOS!CO54</f>
        <v/>
      </c>
      <c r="DL37" s="146" t="str">
        <f ca="1">RESULTADOS!CP54</f>
        <v/>
      </c>
      <c r="DM37" s="146" t="str">
        <f ca="1">RESULTADOS!CQ54</f>
        <v/>
      </c>
      <c r="DN37" s="146" t="str">
        <f ca="1">RESULTADOS!CR54</f>
        <v/>
      </c>
      <c r="DO37" s="148" t="str">
        <f>RESULTADOS!B95</f>
        <v/>
      </c>
      <c r="DP37" s="148" t="str">
        <f>RESULTADOS!C95</f>
        <v/>
      </c>
      <c r="DQ37" s="148" t="str">
        <f t="shared" si="1"/>
        <v/>
      </c>
      <c r="DR37" s="148" t="str" cm="1">
        <f t="array" ref="DR37">IFERROR(INDEX('03.Muestra'!$E$8:$E$42,SMALL(IF("Documento no web"='03.Muestra'!$D$8:$D$42,ROW('03.Muestra'!$E$8:$E$42)-MIN(ROW('03.Muestra'!$D$8:$D$42))+1,""),ROW()-2)),"")</f>
        <v/>
      </c>
      <c r="DS37" s="148" t="str">
        <f>RESULTADOS!D95</f>
        <v/>
      </c>
      <c r="DT37" s="148" t="str" cm="1">
        <f t="array" ref="DT37">IFERROR(INDEX('03.Muestra'!$G$8:$G$42,SMALL(IF("Documento no web"='03.Muestra'!$D$8:$D$42,ROW('03.Muestra'!$G$8:$G$42)-MIN(ROW('03.Muestra'!$D$8:$D$42))+1,""),ROW()-2)),"")</f>
        <v/>
      </c>
      <c r="DU37" s="237" t="str" cm="1">
        <f t="array" ref="DU37">IFERROR(INDEX('03.Muestra'!$H$8:$H$42,SMALL(IF("Documento no web"='03.Muestra'!$D$8:$D$42,ROW('03.Muestra'!$H$8:$H$42)-MIN(ROW('03.Muestra'!$D$8:$D$42))+1,""),ROW()-2)),"")</f>
        <v/>
      </c>
      <c r="DV37" s="146" t="str">
        <f ca="1">RESULTADOS!E95</f>
        <v/>
      </c>
      <c r="DW37" s="146" t="str">
        <f ca="1">RESULTADOS!F95</f>
        <v/>
      </c>
      <c r="DX37" s="146" t="str">
        <f ca="1">RESULTADOS!G95</f>
        <v/>
      </c>
      <c r="DY37" s="146" t="str">
        <f ca="1">RESULTADOS!H95</f>
        <v/>
      </c>
      <c r="DZ37" s="146" t="str">
        <f ca="1">RESULTADOS!I95</f>
        <v/>
      </c>
      <c r="EA37" s="146" t="str">
        <f ca="1">RESULTADOS!J95</f>
        <v/>
      </c>
      <c r="EB37" s="146" t="str">
        <f ca="1">RESULTADOS!K95</f>
        <v/>
      </c>
      <c r="EC37" s="146" t="str">
        <f ca="1">RESULTADOS!L95</f>
        <v/>
      </c>
      <c r="ED37" s="146" t="str">
        <f ca="1">RESULTADOS!M95</f>
        <v/>
      </c>
      <c r="EE37" s="146" t="str">
        <f ca="1">RESULTADOS!N95</f>
        <v/>
      </c>
      <c r="EF37" s="146" t="str">
        <f ca="1">RESULTADOS!O95</f>
        <v/>
      </c>
      <c r="EG37" s="146" t="str">
        <f ca="1">RESULTADOS!P95</f>
        <v/>
      </c>
      <c r="EH37" s="146" t="str">
        <f ca="1">RESULTADOS!Q95</f>
        <v/>
      </c>
      <c r="EI37" s="146" t="str">
        <f ca="1">RESULTADOS!R95</f>
        <v/>
      </c>
      <c r="EJ37" s="146" t="str">
        <f ca="1">RESULTADOS!S95</f>
        <v/>
      </c>
      <c r="EK37" s="146" t="str">
        <f ca="1">RESULTADOS!T95</f>
        <v/>
      </c>
      <c r="EL37" s="146" t="str">
        <f ca="1">RESULTADOS!U95</f>
        <v/>
      </c>
      <c r="EM37" s="146" t="str">
        <f ca="1">RESULTADOS!V95</f>
        <v/>
      </c>
      <c r="EN37" s="146" t="str">
        <f ca="1">RESULTADOS!W95</f>
        <v/>
      </c>
      <c r="EO37" s="146" t="str">
        <f ca="1">RESULTADOS!X95</f>
        <v/>
      </c>
      <c r="EP37" s="146" t="str">
        <f ca="1">RESULTADOS!Y95</f>
        <v/>
      </c>
      <c r="EQ37" s="146" t="str">
        <f ca="1">RESULTADOS!Z95</f>
        <v/>
      </c>
      <c r="ER37" s="146" t="str">
        <f ca="1">RESULTADOS!AA95</f>
        <v/>
      </c>
      <c r="ES37" s="146" t="str">
        <f ca="1">RESULTADOS!AB95</f>
        <v/>
      </c>
      <c r="ET37" s="146" t="str">
        <f ca="1">RESULTADOS!AC95</f>
        <v/>
      </c>
      <c r="EU37" s="146" t="str">
        <f ca="1">RESULTADOS!AD95</f>
        <v/>
      </c>
      <c r="EV37" s="146" t="str">
        <f ca="1">RESULTADOS!AE95</f>
        <v/>
      </c>
      <c r="EW37" s="146" t="str">
        <f ca="1">RESULTADOS!AF95</f>
        <v/>
      </c>
      <c r="EX37" s="146" t="str">
        <f ca="1">RESULTADOS!AG95</f>
        <v/>
      </c>
      <c r="EY37" s="146" t="str">
        <f ca="1">RESULTADOS!AH95</f>
        <v/>
      </c>
      <c r="EZ37" s="146" t="str">
        <f ca="1">RESULTADOS!AI95</f>
        <v/>
      </c>
      <c r="FA37" s="146" t="str">
        <f ca="1">RESULTADOS!AJ95</f>
        <v/>
      </c>
      <c r="FB37" s="146" t="str">
        <f ca="1">RESULTADOS!AK95</f>
        <v/>
      </c>
      <c r="FC37" s="146" t="str">
        <f ca="1">RESULTADOS!AL95</f>
        <v/>
      </c>
      <c r="FD37" s="146" t="str">
        <f ca="1">RESULTADOS!AM95</f>
        <v/>
      </c>
      <c r="FE37" s="146" t="str">
        <f ca="1">RESULTADOS!AN95</f>
        <v/>
      </c>
      <c r="FF37" s="146" t="str">
        <f ca="1">RESULTADOS!AO95</f>
        <v/>
      </c>
      <c r="FG37" s="146" t="str">
        <f ca="1">RESULTADOS!AP95</f>
        <v/>
      </c>
      <c r="FH37" s="146" t="str">
        <f ca="1">RESULTADOS!AQ95</f>
        <v/>
      </c>
      <c r="FI37" s="146" t="str">
        <f ca="1">RESULTADOS!AR95</f>
        <v/>
      </c>
      <c r="FJ37" s="146" t="str">
        <f ca="1">RESULTADOS!AS95</f>
        <v/>
      </c>
      <c r="FK37" s="146" t="str">
        <f ca="1">RESULTADOS!AT95</f>
        <v/>
      </c>
      <c r="FL37" s="146" t="str">
        <f ca="1">RESULTADOS!AU95</f>
        <v/>
      </c>
      <c r="FM37" s="146" t="str">
        <f ca="1">RESULTADOS!AV95</f>
        <v/>
      </c>
      <c r="FN37" s="146" t="str">
        <f ca="1">RESULTADOS!AW95</f>
        <v/>
      </c>
    </row>
  </sheetData>
  <sheetCalcPr fullCalcOnLoad="true"/>
  <sheetProtection password="DC4E" sheet="true" scenarios="true" objects="true"/>
  <mergeCells count="2">
    <mergeCell ref="DO1:FN1"/>
    <mergeCell ref="T1:DN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
  <dimension ref="A1:BL1036"/>
  <sheetViews>
    <sheetView zoomScale="85" zoomScaleNormal="85" workbookViewId="0">
      <selection activeCell="C7" sqref="C7"/>
    </sheetView>
  </sheetViews>
  <sheetFormatPr baseColWidth="10" defaultColWidth="11.5703125" defaultRowHeight="12.75"/>
  <cols>
    <col min="1" max="1" style="14" width="11.5703125" collapsed="false"/>
    <col min="2" max="2" customWidth="true" style="14" width="79.85546875" collapsed="false"/>
    <col min="3" max="3" customWidth="true" style="14" width="126.42578125" collapsed="false"/>
    <col min="4" max="4" customWidth="true" style="14" width="8.140625" collapsed="false"/>
    <col min="5" max="5" customWidth="true" style="14" width="16.0" collapsed="false"/>
    <col min="6" max="11" customWidth="true" style="14" width="9.140625" collapsed="false"/>
    <col min="12" max="12" customWidth="true" style="14" width="23.140625" collapsed="false"/>
    <col min="13" max="13" customWidth="true" style="14" width="4.0" collapsed="false"/>
    <col min="14" max="19" customWidth="true" style="14" width="9.140625" collapsed="false"/>
    <col min="20" max="20" customWidth="true" style="14" width="20.0" collapsed="false"/>
    <col min="21" max="23" customWidth="true" style="14" width="9.140625" collapsed="false"/>
    <col min="24" max="26" customWidth="true" style="14" width="8.7109375" collapsed="false"/>
    <col min="27" max="64" customWidth="true" style="14" width="14.42578125" collapsed="false"/>
    <col min="65" max="16384" style="14" width="11.5703125" collapsed="false"/>
  </cols>
  <sheetData>
    <row r="1" spans="1:64" ht="12.75" customHeight="1">
      <c r="A1" s="27"/>
      <c r="B1" s="2"/>
      <c r="C1" s="19"/>
      <c r="D1" s="19"/>
      <c r="E1" s="19"/>
      <c r="F1" s="19"/>
      <c r="G1" s="19"/>
      <c r="H1" s="19"/>
      <c r="I1" s="19"/>
      <c r="J1" s="19"/>
      <c r="K1" s="19"/>
      <c r="L1" s="19"/>
      <c r="M1" s="19"/>
      <c r="N1" s="19"/>
      <c r="O1" s="19"/>
      <c r="P1" s="19"/>
      <c r="Q1" s="19"/>
      <c r="R1" s="19"/>
      <c r="S1" s="19"/>
      <c r="T1" s="19"/>
      <c r="U1" s="19"/>
      <c r="V1" s="19"/>
      <c r="W1" s="19"/>
      <c r="X1" s="19"/>
      <c r="Y1" s="19"/>
      <c r="Z1" s="19"/>
    </row>
    <row r="2" spans="1:64" ht="25.35" customHeight="1">
      <c r="A2" s="27"/>
      <c r="B2" s="64" t="s">
        <v>0</v>
      </c>
      <c r="C2" s="19"/>
      <c r="D2" s="19"/>
      <c r="E2" s="19"/>
      <c r="F2" s="19"/>
      <c r="G2" s="19"/>
      <c r="H2" s="19"/>
      <c r="I2" s="19"/>
      <c r="J2" s="19"/>
      <c r="K2" s="19"/>
      <c r="L2" s="19"/>
      <c r="M2" s="19"/>
      <c r="N2" s="19"/>
      <c r="O2" s="19"/>
      <c r="P2" s="19"/>
      <c r="Q2" s="19"/>
      <c r="R2" s="19"/>
      <c r="S2" s="19"/>
      <c r="T2" s="19"/>
      <c r="U2" s="19"/>
      <c r="V2" s="19"/>
      <c r="W2" s="19"/>
      <c r="X2" s="19"/>
      <c r="Y2" s="19"/>
      <c r="Z2" s="19"/>
    </row>
    <row r="3" spans="1:64" ht="23.65" customHeight="1">
      <c r="A3" s="27"/>
      <c r="B3" s="65" t="s">
        <v>278</v>
      </c>
      <c r="C3" s="19"/>
      <c r="D3" s="248" t="s">
        <v>14</v>
      </c>
      <c r="E3" s="249"/>
      <c r="F3" s="19"/>
      <c r="G3" s="19"/>
      <c r="H3" s="19"/>
      <c r="I3" s="19"/>
      <c r="J3" s="19"/>
      <c r="K3" s="19"/>
      <c r="L3" s="19"/>
      <c r="M3" s="19"/>
      <c r="N3" s="19"/>
      <c r="O3" s="19"/>
      <c r="P3" s="19"/>
      <c r="Q3" s="19"/>
      <c r="R3" s="19"/>
      <c r="S3" s="19"/>
      <c r="T3" s="19"/>
      <c r="U3" s="19"/>
      <c r="V3" s="19"/>
      <c r="W3" s="19"/>
      <c r="X3" s="19"/>
      <c r="Y3" s="19"/>
      <c r="Z3" s="19"/>
    </row>
    <row r="4" spans="1:64" ht="16.7" customHeight="1">
      <c r="A4" s="27"/>
      <c r="B4" s="66"/>
      <c r="C4" s="19"/>
      <c r="D4" s="19"/>
      <c r="E4" s="19"/>
      <c r="F4" s="19"/>
      <c r="G4" s="19"/>
      <c r="H4" s="19"/>
      <c r="I4" s="19"/>
      <c r="J4" s="19"/>
      <c r="K4" s="19"/>
      <c r="L4" s="19"/>
      <c r="M4" s="19"/>
      <c r="N4" s="19"/>
      <c r="O4" s="19"/>
      <c r="P4" s="19"/>
      <c r="Q4" s="19"/>
      <c r="R4" s="19"/>
      <c r="S4" s="19"/>
      <c r="T4" s="19"/>
      <c r="U4" s="19"/>
      <c r="V4" s="19"/>
      <c r="W4" s="19"/>
      <c r="X4" s="19"/>
      <c r="Y4" s="19"/>
      <c r="Z4" s="19"/>
    </row>
    <row r="5" spans="1:64" ht="28.35" customHeight="1">
      <c r="B5" s="129" t="s">
        <v>3</v>
      </c>
      <c r="C5" s="129"/>
      <c r="D5" s="19"/>
      <c r="E5" s="19"/>
      <c r="F5" s="19"/>
      <c r="G5" s="19"/>
      <c r="H5" s="19"/>
      <c r="I5" s="19"/>
      <c r="J5" s="19"/>
      <c r="K5" s="19"/>
      <c r="L5" s="19"/>
      <c r="M5" s="19"/>
      <c r="N5" s="19"/>
      <c r="O5" s="67"/>
      <c r="P5" s="67"/>
      <c r="Q5" s="67"/>
      <c r="R5" s="67"/>
      <c r="S5" s="67"/>
      <c r="T5" s="67"/>
      <c r="U5" s="67"/>
      <c r="V5" s="67"/>
      <c r="W5" s="67"/>
      <c r="X5" s="67"/>
      <c r="Y5" s="67"/>
      <c r="Z5" s="67"/>
      <c r="AA5" s="68"/>
      <c r="AB5" s="68"/>
      <c r="AC5" s="68"/>
      <c r="AD5" s="68"/>
      <c r="AE5" s="68"/>
      <c r="AF5" s="68"/>
      <c r="AG5" s="68"/>
      <c r="AH5" s="68"/>
      <c r="AI5" s="68"/>
      <c r="AJ5" s="68"/>
      <c r="AK5" s="68"/>
      <c r="AL5" s="68"/>
      <c r="AM5" s="68"/>
      <c r="AN5" s="68"/>
      <c r="AO5" s="68"/>
      <c r="AP5" s="68"/>
      <c r="AQ5" s="68"/>
      <c r="AR5" s="68"/>
      <c r="AS5" s="68"/>
      <c r="AT5" s="68"/>
      <c r="AU5" s="68"/>
      <c r="AV5" s="68"/>
      <c r="AW5" s="68"/>
      <c r="AX5" s="68"/>
      <c r="AY5" s="68"/>
      <c r="AZ5" s="68"/>
      <c r="BA5" s="68"/>
      <c r="BB5" s="68"/>
      <c r="BC5" s="68"/>
      <c r="BD5" s="68"/>
      <c r="BE5" s="68"/>
      <c r="BF5" s="68"/>
      <c r="BG5" s="68"/>
      <c r="BH5" s="68"/>
      <c r="BI5" s="68"/>
      <c r="BJ5" s="68"/>
      <c r="BK5" s="68"/>
      <c r="BL5" s="68"/>
    </row>
    <row r="6" spans="1:64" ht="10.7" customHeight="1">
      <c r="C6" s="79"/>
      <c r="D6" s="19"/>
      <c r="E6" s="19"/>
      <c r="F6" s="19"/>
      <c r="G6" s="19"/>
      <c r="H6" s="19"/>
      <c r="I6" s="19"/>
      <c r="J6" s="19"/>
      <c r="K6" s="19"/>
      <c r="L6" s="19"/>
      <c r="M6" s="19"/>
      <c r="N6" s="19"/>
      <c r="O6" s="19"/>
      <c r="P6" s="19"/>
      <c r="Q6" s="19"/>
      <c r="R6" s="19"/>
      <c r="S6" s="19"/>
      <c r="T6" s="19"/>
      <c r="U6" s="19"/>
      <c r="V6" s="19"/>
      <c r="W6" s="19"/>
      <c r="X6" s="19"/>
      <c r="Y6" s="19"/>
      <c r="Z6" s="19"/>
    </row>
    <row r="7" spans="1:64" ht="22.15" customHeight="1">
      <c r="B7" s="13" t="s">
        <v>127</v>
      </c>
      <c r="C7" s="80"/>
      <c r="D7" s="19"/>
      <c r="E7" s="19"/>
      <c r="F7" s="19"/>
      <c r="G7" s="19"/>
      <c r="H7" s="19"/>
      <c r="I7" s="19"/>
      <c r="J7" s="19"/>
      <c r="K7" s="19"/>
      <c r="L7" s="19"/>
      <c r="M7" s="19"/>
      <c r="N7" s="19"/>
      <c r="O7" s="19"/>
      <c r="P7" s="19"/>
      <c r="Q7" s="19"/>
      <c r="R7" s="19"/>
      <c r="S7" s="19"/>
      <c r="T7" s="19"/>
      <c r="U7" s="19"/>
      <c r="V7" s="19"/>
      <c r="W7" s="19"/>
      <c r="X7" s="19"/>
      <c r="Y7" s="19"/>
      <c r="Z7" s="19"/>
    </row>
    <row r="8" spans="1:64" ht="10.5" customHeight="1">
      <c r="B8" s="13"/>
      <c r="C8" s="42"/>
      <c r="D8" s="19"/>
      <c r="E8" s="19"/>
      <c r="F8" s="19"/>
      <c r="G8" s="19"/>
      <c r="H8" s="19"/>
      <c r="I8" s="19"/>
      <c r="J8" s="19"/>
      <c r="K8" s="19"/>
      <c r="L8" s="19"/>
      <c r="M8" s="19"/>
      <c r="N8" s="19"/>
      <c r="O8" s="19"/>
      <c r="P8" s="19"/>
      <c r="Q8" s="19"/>
      <c r="R8" s="19"/>
      <c r="S8" s="19"/>
      <c r="T8" s="19"/>
      <c r="U8" s="19"/>
      <c r="V8" s="19"/>
      <c r="W8" s="19"/>
      <c r="X8" s="19"/>
      <c r="Y8" s="19"/>
      <c r="Z8" s="19"/>
    </row>
    <row r="9" spans="1:64" ht="22.15" customHeight="1">
      <c r="B9" s="13" t="s">
        <v>132</v>
      </c>
      <c r="C9" s="80"/>
      <c r="D9" s="19"/>
      <c r="E9" s="19"/>
      <c r="F9" s="19"/>
      <c r="G9" s="19"/>
      <c r="H9" s="19"/>
      <c r="I9" s="19"/>
      <c r="J9" s="19"/>
      <c r="K9" s="19"/>
      <c r="L9" s="19"/>
      <c r="M9" s="19"/>
      <c r="N9" s="19"/>
      <c r="O9" s="19"/>
      <c r="P9" s="19"/>
      <c r="Q9" s="19"/>
      <c r="R9" s="19"/>
      <c r="S9" s="19"/>
      <c r="T9" s="19"/>
      <c r="U9" s="19"/>
      <c r="V9" s="19"/>
      <c r="W9" s="19"/>
      <c r="X9" s="19"/>
      <c r="Y9" s="19"/>
      <c r="Z9" s="19"/>
    </row>
    <row r="10" spans="1:64" ht="10.7" customHeight="1">
      <c r="C10" s="79"/>
      <c r="D10" s="19"/>
      <c r="E10" s="19"/>
      <c r="F10" s="19"/>
      <c r="G10" s="19"/>
      <c r="H10" s="19"/>
      <c r="I10" s="19"/>
      <c r="J10" s="19"/>
      <c r="K10" s="19"/>
      <c r="L10" s="19"/>
      <c r="M10" s="19"/>
      <c r="N10" s="19"/>
      <c r="O10" s="19"/>
      <c r="P10" s="19"/>
      <c r="Q10" s="19"/>
      <c r="R10" s="19"/>
      <c r="S10" s="19"/>
      <c r="T10" s="19"/>
      <c r="U10" s="19"/>
      <c r="V10" s="19"/>
      <c r="W10" s="19"/>
      <c r="X10" s="19"/>
      <c r="Y10" s="19"/>
      <c r="Z10" s="19"/>
    </row>
    <row r="11" spans="1:64" ht="22.15" customHeight="1">
      <c r="B11" s="13" t="s">
        <v>135</v>
      </c>
      <c r="C11" s="80"/>
      <c r="D11" s="19"/>
      <c r="E11" s="19"/>
      <c r="F11" s="19"/>
      <c r="G11" s="19"/>
      <c r="H11" s="19"/>
      <c r="I11" s="19"/>
      <c r="J11" s="19"/>
      <c r="K11" s="19"/>
      <c r="L11" s="19"/>
      <c r="M11" s="19"/>
      <c r="N11" s="19"/>
      <c r="O11" s="19"/>
      <c r="P11" s="19"/>
      <c r="Q11" s="19"/>
      <c r="R11" s="19"/>
      <c r="S11" s="19"/>
      <c r="T11" s="19"/>
      <c r="U11" s="19"/>
      <c r="V11" s="19"/>
      <c r="W11" s="19"/>
      <c r="X11" s="19"/>
      <c r="Y11" s="19"/>
      <c r="Z11" s="19"/>
    </row>
    <row r="12" spans="1:64" ht="12.95" customHeight="1">
      <c r="B12" s="13"/>
      <c r="C12" s="13"/>
      <c r="D12" s="19"/>
      <c r="E12" s="19"/>
      <c r="F12" s="19"/>
      <c r="G12" s="19"/>
      <c r="H12" s="19"/>
      <c r="I12" s="19"/>
      <c r="J12" s="19"/>
      <c r="K12" s="19"/>
      <c r="L12" s="19"/>
      <c r="M12" s="19"/>
      <c r="N12" s="19"/>
      <c r="O12" s="19"/>
      <c r="P12" s="19"/>
      <c r="Q12" s="19"/>
      <c r="R12" s="19"/>
      <c r="S12" s="19"/>
      <c r="T12" s="19"/>
      <c r="U12" s="19"/>
      <c r="V12" s="19"/>
      <c r="W12" s="19"/>
      <c r="X12" s="19"/>
      <c r="Y12" s="19"/>
      <c r="Z12" s="19"/>
    </row>
    <row r="13" spans="1:64" ht="22.15" customHeight="1">
      <c r="B13" s="13" t="s">
        <v>136</v>
      </c>
      <c r="C13" s="80"/>
      <c r="D13" s="19"/>
      <c r="E13" s="19"/>
      <c r="F13" s="19"/>
      <c r="G13" s="19"/>
      <c r="H13" s="19"/>
      <c r="I13" s="19"/>
      <c r="J13" s="19"/>
      <c r="K13" s="19"/>
      <c r="L13" s="19"/>
      <c r="M13" s="19"/>
      <c r="N13" s="19"/>
      <c r="O13" s="19"/>
      <c r="P13" s="19"/>
      <c r="Q13" s="19"/>
      <c r="R13" s="19"/>
      <c r="S13" s="19"/>
      <c r="T13" s="19"/>
      <c r="U13" s="19"/>
      <c r="V13" s="19"/>
      <c r="W13" s="19"/>
      <c r="X13" s="19"/>
      <c r="Y13" s="19"/>
      <c r="Z13" s="19"/>
    </row>
    <row r="14" spans="1:64" ht="10.7" customHeight="1">
      <c r="C14" s="79"/>
      <c r="D14" s="19"/>
      <c r="E14" s="19"/>
      <c r="F14" s="19"/>
      <c r="G14" s="19"/>
      <c r="H14" s="19"/>
      <c r="I14" s="19"/>
      <c r="J14" s="19"/>
      <c r="K14" s="19"/>
      <c r="L14" s="19"/>
      <c r="M14" s="19"/>
      <c r="N14" s="19"/>
      <c r="O14" s="19"/>
      <c r="P14" s="19"/>
      <c r="Q14" s="19"/>
      <c r="R14" s="19"/>
      <c r="S14" s="19"/>
      <c r="T14" s="19"/>
      <c r="U14" s="19"/>
      <c r="V14" s="19"/>
      <c r="W14" s="19"/>
      <c r="X14" s="19"/>
      <c r="Y14" s="19"/>
      <c r="Z14" s="19"/>
    </row>
    <row r="15" spans="1:64" ht="13.35" customHeight="1">
      <c r="A15" s="15"/>
      <c r="B15" s="127"/>
      <c r="C15" s="127"/>
      <c r="D15" s="19"/>
      <c r="E15" s="19"/>
      <c r="F15" s="19"/>
      <c r="G15" s="19"/>
      <c r="H15" s="19"/>
      <c r="I15" s="19"/>
      <c r="J15" s="19"/>
      <c r="K15" s="19"/>
      <c r="L15" s="19"/>
      <c r="M15" s="19"/>
      <c r="N15" s="19"/>
      <c r="O15" s="19"/>
      <c r="P15" s="19"/>
      <c r="Q15" s="19"/>
      <c r="R15" s="19"/>
      <c r="S15" s="19"/>
      <c r="T15" s="19"/>
      <c r="U15" s="19"/>
      <c r="V15" s="19"/>
      <c r="W15" s="19"/>
      <c r="X15" s="19"/>
      <c r="Y15" s="19"/>
      <c r="Z15" s="19"/>
    </row>
    <row r="16" spans="1:64" ht="10.5" customHeight="1">
      <c r="D16" s="19"/>
      <c r="E16" s="19"/>
      <c r="F16" s="19"/>
      <c r="G16" s="19"/>
      <c r="H16" s="19"/>
      <c r="I16" s="19"/>
      <c r="J16" s="19"/>
      <c r="K16" s="19"/>
      <c r="L16" s="19"/>
      <c r="M16" s="19"/>
      <c r="N16" s="19"/>
      <c r="O16" s="19"/>
      <c r="P16" s="19"/>
      <c r="Q16" s="19"/>
      <c r="R16" s="19"/>
      <c r="S16" s="19"/>
      <c r="T16" s="19"/>
      <c r="U16" s="19"/>
      <c r="V16" s="19"/>
      <c r="W16" s="19"/>
      <c r="X16" s="19"/>
      <c r="Y16" s="19"/>
      <c r="Z16" s="19"/>
    </row>
    <row r="17" spans="1:26" ht="22.15" customHeight="1">
      <c r="B17" s="16" t="s">
        <v>281</v>
      </c>
      <c r="C17" s="80"/>
      <c r="D17" s="19"/>
      <c r="E17" s="19"/>
      <c r="F17" s="19"/>
      <c r="G17" s="19"/>
      <c r="H17" s="19"/>
      <c r="I17" s="19"/>
      <c r="J17" s="19"/>
      <c r="K17" s="19"/>
      <c r="L17" s="19"/>
      <c r="M17" s="19"/>
      <c r="N17" s="19"/>
      <c r="O17" s="19"/>
      <c r="P17" s="19"/>
      <c r="Q17" s="19"/>
      <c r="R17" s="19"/>
      <c r="S17" s="19"/>
      <c r="T17" s="19"/>
      <c r="U17" s="19"/>
      <c r="V17" s="19"/>
      <c r="W17" s="19"/>
      <c r="X17" s="19"/>
      <c r="Y17" s="19"/>
      <c r="Z17" s="19"/>
    </row>
    <row r="18" spans="1:26" ht="10.5" customHeight="1">
      <c r="B18" s="13"/>
      <c r="C18" s="42"/>
      <c r="D18" s="19"/>
      <c r="E18" s="19"/>
      <c r="F18" s="19"/>
      <c r="G18" s="19"/>
      <c r="H18" s="19"/>
      <c r="I18" s="19"/>
      <c r="J18" s="19"/>
      <c r="K18" s="19"/>
      <c r="L18" s="19"/>
      <c r="M18" s="19"/>
      <c r="N18" s="19"/>
      <c r="O18" s="19"/>
      <c r="P18" s="19"/>
      <c r="Q18" s="19"/>
      <c r="R18" s="19"/>
      <c r="S18" s="19"/>
      <c r="T18" s="19"/>
      <c r="U18" s="19"/>
      <c r="V18" s="19"/>
      <c r="W18" s="19"/>
      <c r="X18" s="19"/>
      <c r="Y18" s="19"/>
      <c r="Z18" s="19"/>
    </row>
    <row r="19" spans="1:26" ht="22.15" customHeight="1">
      <c r="B19" s="13" t="s">
        <v>137</v>
      </c>
      <c r="C19" s="80"/>
      <c r="D19" s="19"/>
      <c r="E19" s="19"/>
      <c r="F19" s="19"/>
      <c r="G19" s="19"/>
      <c r="H19" s="19"/>
      <c r="I19" s="19"/>
      <c r="J19" s="19"/>
      <c r="K19" s="19"/>
      <c r="L19" s="19"/>
      <c r="M19" s="19"/>
      <c r="N19" s="19"/>
      <c r="O19" s="19"/>
      <c r="P19" s="19"/>
      <c r="Q19" s="19"/>
      <c r="R19" s="19"/>
      <c r="S19" s="19"/>
      <c r="T19" s="19"/>
      <c r="U19" s="19"/>
      <c r="V19" s="19"/>
      <c r="W19" s="19"/>
      <c r="X19" s="19"/>
      <c r="Y19" s="19"/>
      <c r="Z19" s="19"/>
    </row>
    <row r="20" spans="1:26" ht="10.7" customHeight="1">
      <c r="C20" s="79"/>
      <c r="D20" s="19"/>
      <c r="E20" s="19"/>
      <c r="F20" s="19"/>
      <c r="G20" s="19"/>
      <c r="H20" s="19"/>
      <c r="I20" s="19"/>
      <c r="J20" s="19"/>
      <c r="K20" s="19"/>
      <c r="L20" s="19"/>
      <c r="M20" s="19"/>
      <c r="N20" s="19"/>
      <c r="O20" s="19"/>
      <c r="P20" s="19"/>
      <c r="Q20" s="19"/>
      <c r="R20" s="19"/>
      <c r="S20" s="19"/>
      <c r="T20" s="19"/>
      <c r="U20" s="19"/>
      <c r="V20" s="19"/>
      <c r="W20" s="19"/>
      <c r="X20" s="19"/>
      <c r="Y20" s="19"/>
      <c r="Z20" s="19"/>
    </row>
    <row r="21" spans="1:26" ht="22.15" customHeight="1">
      <c r="B21" s="16" t="s">
        <v>282</v>
      </c>
      <c r="C21" s="80"/>
      <c r="D21" s="19"/>
      <c r="E21" s="19"/>
      <c r="F21" s="19"/>
      <c r="G21" s="19"/>
      <c r="H21" s="19"/>
      <c r="I21" s="19"/>
      <c r="J21" s="19"/>
      <c r="K21" s="19"/>
      <c r="L21" s="19"/>
      <c r="M21" s="19"/>
      <c r="N21" s="19"/>
      <c r="O21" s="19"/>
      <c r="P21" s="19"/>
      <c r="Q21" s="19"/>
      <c r="R21" s="19"/>
      <c r="S21" s="19"/>
      <c r="T21" s="19"/>
      <c r="U21" s="19"/>
      <c r="V21" s="19"/>
      <c r="W21" s="19"/>
      <c r="X21" s="19"/>
      <c r="Y21" s="19"/>
      <c r="Z21" s="19"/>
    </row>
    <row r="22" spans="1:26" ht="14.1" customHeight="1">
      <c r="B22" s="13"/>
      <c r="C22" s="79"/>
      <c r="D22" s="19"/>
      <c r="E22" s="19"/>
      <c r="F22" s="19"/>
      <c r="G22" s="19"/>
      <c r="H22" s="19"/>
      <c r="I22" s="19"/>
      <c r="J22" s="19"/>
      <c r="K22" s="19"/>
      <c r="L22" s="19"/>
      <c r="M22" s="19"/>
      <c r="N22" s="19"/>
      <c r="O22" s="19"/>
      <c r="P22" s="19"/>
      <c r="Q22" s="19"/>
      <c r="R22" s="19"/>
      <c r="S22" s="19"/>
      <c r="T22" s="19"/>
      <c r="U22" s="19"/>
      <c r="V22" s="19"/>
      <c r="W22" s="19"/>
      <c r="X22" s="19"/>
      <c r="Y22" s="19"/>
      <c r="Z22" s="19"/>
    </row>
    <row r="23" spans="1:26" ht="13.35" customHeight="1">
      <c r="A23" s="15"/>
      <c r="B23" s="127"/>
      <c r="C23" s="127"/>
      <c r="D23" s="19"/>
      <c r="E23" s="19"/>
      <c r="F23" s="19"/>
      <c r="G23" s="19"/>
      <c r="H23" s="19"/>
      <c r="I23" s="19"/>
      <c r="J23" s="19"/>
      <c r="K23" s="19"/>
      <c r="L23" s="19"/>
      <c r="M23" s="19"/>
      <c r="N23" s="19"/>
      <c r="O23" s="19"/>
      <c r="P23" s="19"/>
      <c r="Q23" s="19"/>
      <c r="R23" s="19"/>
      <c r="S23" s="19"/>
      <c r="T23" s="19"/>
      <c r="U23" s="19"/>
      <c r="V23" s="19"/>
      <c r="W23" s="19"/>
      <c r="X23" s="19"/>
      <c r="Y23" s="19"/>
      <c r="Z23" s="19"/>
    </row>
    <row r="24" spans="1:26" ht="10.7" customHeight="1">
      <c r="C24" s="79"/>
      <c r="D24" s="19"/>
      <c r="E24" s="19"/>
      <c r="F24" s="19"/>
      <c r="G24" s="19"/>
      <c r="H24" s="19"/>
      <c r="I24" s="19"/>
      <c r="J24" s="19"/>
      <c r="K24" s="19"/>
      <c r="L24" s="19"/>
      <c r="M24" s="19"/>
      <c r="N24" s="19"/>
      <c r="O24" s="19"/>
      <c r="P24" s="19"/>
      <c r="Q24" s="19"/>
      <c r="R24" s="19"/>
      <c r="S24" s="19"/>
      <c r="T24" s="19"/>
      <c r="U24" s="19"/>
      <c r="V24" s="19"/>
      <c r="W24" s="19"/>
      <c r="X24" s="19"/>
      <c r="Y24" s="19"/>
      <c r="Z24" s="19"/>
    </row>
    <row r="25" spans="1:26" ht="22.15" customHeight="1">
      <c r="B25" s="16" t="s">
        <v>283</v>
      </c>
      <c r="C25" s="80"/>
      <c r="D25" s="19"/>
      <c r="E25" s="19"/>
      <c r="F25" s="19"/>
      <c r="G25" s="19"/>
      <c r="H25" s="19"/>
      <c r="I25" s="19"/>
      <c r="J25" s="19"/>
      <c r="K25" s="19"/>
      <c r="L25" s="19"/>
      <c r="M25" s="19"/>
      <c r="N25" s="19"/>
      <c r="O25" s="19"/>
      <c r="P25" s="19"/>
      <c r="Q25" s="19"/>
      <c r="R25" s="19"/>
      <c r="S25" s="19"/>
      <c r="T25" s="19"/>
      <c r="U25" s="19"/>
      <c r="V25" s="19"/>
      <c r="W25" s="19"/>
      <c r="X25" s="19"/>
      <c r="Y25" s="19"/>
      <c r="Z25" s="19"/>
    </row>
    <row r="26" spans="1:26" ht="10.7" customHeight="1">
      <c r="C26" s="79"/>
      <c r="D26" s="19"/>
      <c r="E26" s="19"/>
      <c r="F26" s="19"/>
      <c r="G26" s="19"/>
      <c r="H26" s="19"/>
      <c r="I26" s="19"/>
      <c r="J26" s="19"/>
      <c r="K26" s="19"/>
      <c r="L26" s="19"/>
      <c r="M26" s="19"/>
      <c r="N26" s="19"/>
      <c r="O26" s="19"/>
      <c r="P26" s="19"/>
      <c r="Q26" s="19"/>
      <c r="R26" s="19"/>
      <c r="S26" s="19"/>
      <c r="T26" s="19"/>
      <c r="U26" s="19"/>
      <c r="V26" s="19"/>
      <c r="W26" s="19"/>
      <c r="X26" s="19"/>
      <c r="Y26" s="19"/>
      <c r="Z26" s="19"/>
    </row>
    <row r="27" spans="1:26" ht="22.15" customHeight="1">
      <c r="B27" s="16" t="s">
        <v>284</v>
      </c>
      <c r="C27" s="80"/>
      <c r="D27" s="42"/>
      <c r="E27" s="19"/>
      <c r="F27" s="19"/>
      <c r="G27" s="19"/>
      <c r="H27" s="142"/>
      <c r="I27" s="19"/>
      <c r="J27" s="19"/>
      <c r="K27" s="19"/>
      <c r="L27" s="19"/>
      <c r="M27" s="19"/>
      <c r="N27" s="19"/>
      <c r="O27" s="19"/>
      <c r="P27" s="19"/>
      <c r="Q27" s="19"/>
      <c r="R27" s="19"/>
      <c r="S27" s="19"/>
      <c r="T27" s="19"/>
      <c r="U27" s="19"/>
      <c r="V27" s="19"/>
      <c r="W27" s="19"/>
      <c r="X27" s="19"/>
      <c r="Y27" s="19"/>
      <c r="Z27" s="19"/>
    </row>
    <row r="28" spans="1:26" ht="13.15" customHeight="1">
      <c r="C28" s="13"/>
      <c r="D28" s="68"/>
      <c r="E28" s="19"/>
      <c r="F28" s="19"/>
      <c r="G28" s="19"/>
      <c r="H28" s="19"/>
      <c r="I28" s="19"/>
      <c r="J28" s="19"/>
      <c r="K28" s="19"/>
      <c r="L28" s="19"/>
      <c r="M28" s="19"/>
      <c r="N28" s="19"/>
      <c r="O28" s="19"/>
      <c r="P28" s="19"/>
      <c r="Q28" s="19"/>
      <c r="R28" s="19"/>
      <c r="S28" s="19"/>
      <c r="T28" s="19"/>
      <c r="U28" s="19"/>
      <c r="V28" s="19"/>
      <c r="W28" s="19"/>
      <c r="X28" s="19"/>
      <c r="Y28" s="19"/>
      <c r="Z28" s="19"/>
    </row>
    <row r="29" spans="1:26" ht="22.15" customHeight="1">
      <c r="B29" s="16" t="s">
        <v>285</v>
      </c>
      <c r="C29" s="80"/>
      <c r="D29" s="128"/>
      <c r="E29" s="128"/>
      <c r="F29" s="128"/>
      <c r="G29" s="128"/>
      <c r="H29" s="128"/>
      <c r="I29" s="128"/>
      <c r="J29" s="128"/>
      <c r="K29" s="128"/>
      <c r="L29" s="128"/>
      <c r="M29" s="128"/>
      <c r="N29" s="19"/>
      <c r="O29" s="19"/>
      <c r="P29" s="19"/>
      <c r="Q29" s="19"/>
      <c r="R29" s="19"/>
      <c r="S29" s="19"/>
      <c r="V29" s="19"/>
      <c r="W29" s="19"/>
      <c r="X29" s="19"/>
      <c r="Y29" s="19"/>
      <c r="Z29" s="19"/>
    </row>
    <row r="30" spans="1:26" ht="13.15" customHeight="1">
      <c r="B30" s="13"/>
      <c r="C30" s="13"/>
      <c r="D30" s="68"/>
      <c r="E30" s="19"/>
      <c r="F30" s="19"/>
      <c r="G30" s="19"/>
      <c r="H30" s="19"/>
      <c r="I30" s="19"/>
      <c r="J30" s="19"/>
      <c r="K30" s="19"/>
      <c r="L30" s="19"/>
      <c r="M30" s="19"/>
      <c r="N30" s="19"/>
      <c r="O30" s="19"/>
      <c r="P30" s="19"/>
      <c r="Q30" s="19"/>
      <c r="R30" s="19"/>
      <c r="S30" s="19"/>
      <c r="T30" s="19"/>
      <c r="U30" s="19"/>
      <c r="V30" s="19"/>
      <c r="W30" s="19"/>
      <c r="X30" s="19"/>
      <c r="Y30" s="19"/>
      <c r="Z30" s="19"/>
    </row>
    <row r="31" spans="1:26" ht="22.15" customHeight="1">
      <c r="B31" s="13" t="s">
        <v>139</v>
      </c>
      <c r="C31" s="80"/>
      <c r="D31" s="128"/>
      <c r="E31" s="128"/>
      <c r="F31" s="128"/>
      <c r="G31" s="128"/>
      <c r="H31" s="128"/>
      <c r="I31" s="128"/>
      <c r="J31" s="128"/>
      <c r="K31" s="128"/>
      <c r="L31" s="128"/>
      <c r="M31" s="128"/>
      <c r="N31" s="19"/>
      <c r="O31" s="19"/>
      <c r="P31" s="19"/>
      <c r="Q31" s="19"/>
      <c r="R31" s="19"/>
      <c r="S31" s="19"/>
      <c r="V31" s="19"/>
      <c r="W31" s="19"/>
      <c r="X31" s="19"/>
      <c r="Y31" s="19"/>
      <c r="Z31" s="19"/>
    </row>
    <row r="32" spans="1:26" ht="10.7" customHeight="1">
      <c r="C32" s="79"/>
      <c r="D32" s="19"/>
      <c r="E32" s="19"/>
      <c r="F32" s="19"/>
      <c r="G32" s="19"/>
      <c r="H32" s="19"/>
      <c r="I32" s="19"/>
      <c r="J32" s="19"/>
      <c r="K32" s="19"/>
      <c r="L32" s="19"/>
      <c r="M32" s="19"/>
      <c r="N32" s="19"/>
      <c r="O32" s="19"/>
      <c r="P32" s="19"/>
      <c r="Q32" s="19"/>
      <c r="R32" s="19"/>
      <c r="S32" s="19"/>
      <c r="T32" s="19"/>
      <c r="U32" s="19"/>
      <c r="V32" s="19"/>
      <c r="W32" s="19"/>
      <c r="X32" s="19"/>
      <c r="Y32" s="19"/>
      <c r="Z32" s="19"/>
    </row>
    <row r="33" spans="2:26" ht="22.5" customHeight="1">
      <c r="B33" s="16" t="s">
        <v>286</v>
      </c>
      <c r="C33" s="80"/>
    </row>
    <row r="34" spans="2:26" ht="10.7" customHeight="1">
      <c r="C34" s="79"/>
      <c r="D34" s="19"/>
      <c r="E34" s="19"/>
      <c r="F34" s="19"/>
      <c r="G34" s="19"/>
      <c r="H34" s="19"/>
      <c r="I34" s="19"/>
      <c r="J34" s="19"/>
      <c r="K34" s="19"/>
      <c r="L34" s="19"/>
      <c r="M34" s="19"/>
      <c r="N34" s="19"/>
      <c r="O34" s="19"/>
      <c r="P34" s="19"/>
      <c r="Q34" s="19"/>
      <c r="R34" s="19"/>
      <c r="S34" s="19"/>
      <c r="T34" s="19"/>
      <c r="U34" s="19"/>
      <c r="V34" s="19"/>
      <c r="W34" s="19"/>
      <c r="X34" s="19"/>
      <c r="Y34" s="19"/>
      <c r="Z34" s="19"/>
    </row>
    <row r="35" spans="2:26" ht="22.5" customHeight="1">
      <c r="B35" s="16" t="s">
        <v>140</v>
      </c>
      <c r="C35" s="80" t="s">
        <v>480</v>
      </c>
      <c r="D35" s="128"/>
      <c r="E35" s="128"/>
      <c r="F35" s="128"/>
      <c r="G35" s="128"/>
      <c r="H35" s="128"/>
      <c r="I35" s="128"/>
      <c r="J35" s="128"/>
      <c r="K35" s="128"/>
      <c r="L35" s="128"/>
      <c r="M35" s="128"/>
    </row>
    <row r="36" spans="2:26" ht="11.45" customHeight="1">
      <c r="B36" s="16"/>
      <c r="C36" s="16"/>
    </row>
    <row r="37" spans="2:26" ht="14.1" customHeight="1">
      <c r="B37" s="127"/>
      <c r="C37" s="127"/>
      <c r="D37" s="19"/>
      <c r="E37" s="19"/>
      <c r="F37" s="19"/>
      <c r="G37" s="19"/>
      <c r="H37" s="19"/>
      <c r="I37" s="19"/>
      <c r="J37" s="19"/>
      <c r="K37" s="19"/>
      <c r="L37" s="19"/>
      <c r="M37" s="19"/>
      <c r="N37" s="19"/>
    </row>
    <row r="38" spans="2:26" ht="10.7" customHeight="1">
      <c r="C38" s="68"/>
      <c r="D38" s="19"/>
      <c r="E38" s="19"/>
      <c r="F38" s="19"/>
      <c r="G38" s="19"/>
      <c r="H38" s="19"/>
      <c r="I38" s="19"/>
      <c r="J38" s="19"/>
      <c r="K38" s="19"/>
      <c r="L38" s="19"/>
      <c r="M38" s="19"/>
      <c r="N38" s="19"/>
      <c r="O38" s="19"/>
      <c r="Q38" s="19"/>
      <c r="R38" s="19"/>
      <c r="S38" s="19"/>
      <c r="U38" s="19"/>
      <c r="V38" s="19"/>
      <c r="W38" s="19"/>
      <c r="X38" s="19"/>
      <c r="Y38" s="19"/>
      <c r="Z38" s="19"/>
    </row>
    <row r="39" spans="2:26" ht="22.15" customHeight="1">
      <c r="B39" s="13" t="s">
        <v>142</v>
      </c>
      <c r="C39" s="188" t="s">
        <v>475</v>
      </c>
      <c r="D39" s="42"/>
      <c r="E39" s="19"/>
      <c r="F39" s="19"/>
      <c r="G39" s="19"/>
      <c r="H39" s="19"/>
      <c r="I39" s="19"/>
      <c r="J39" s="19"/>
      <c r="K39" s="19"/>
      <c r="L39" s="19"/>
      <c r="M39" s="19"/>
      <c r="N39" s="19"/>
      <c r="O39" s="19"/>
      <c r="Q39" s="19"/>
      <c r="R39" s="19"/>
      <c r="S39" s="19"/>
      <c r="U39" s="19"/>
      <c r="V39" s="19"/>
      <c r="W39" s="19"/>
      <c r="X39" s="19"/>
      <c r="Y39" s="19"/>
      <c r="Z39" s="19"/>
    </row>
    <row r="40" spans="2:26" ht="10.7" customHeight="1">
      <c r="C40" s="68"/>
      <c r="D40" s="19"/>
      <c r="E40" s="19"/>
      <c r="F40" s="19"/>
      <c r="G40" s="19"/>
      <c r="H40" s="19"/>
      <c r="I40" s="19"/>
      <c r="J40" s="19"/>
      <c r="K40" s="19"/>
      <c r="L40" s="19"/>
      <c r="M40" s="19"/>
      <c r="N40" s="19"/>
      <c r="O40" s="19"/>
      <c r="Q40" s="19"/>
      <c r="R40" s="19"/>
      <c r="S40" s="19"/>
      <c r="U40" s="19"/>
      <c r="V40" s="19"/>
      <c r="W40" s="19"/>
      <c r="X40" s="19"/>
      <c r="Y40" s="19"/>
      <c r="Z40" s="19"/>
    </row>
    <row r="41" spans="2:26" ht="21.75" customHeight="1">
      <c r="B41" s="13" t="s">
        <v>143</v>
      </c>
      <c r="C41" s="80"/>
      <c r="D41" s="19"/>
      <c r="E41" s="19"/>
      <c r="F41" s="19"/>
      <c r="G41" s="19"/>
      <c r="H41" s="19"/>
      <c r="I41" s="19"/>
      <c r="J41" s="19"/>
      <c r="K41" s="19"/>
      <c r="L41" s="19"/>
      <c r="M41" s="19"/>
      <c r="N41" s="19"/>
      <c r="O41" s="19"/>
      <c r="Q41" s="19"/>
      <c r="R41" s="19"/>
      <c r="S41" s="19"/>
      <c r="U41" s="19"/>
      <c r="V41" s="19"/>
      <c r="W41" s="19"/>
      <c r="X41" s="19"/>
      <c r="Y41" s="19"/>
      <c r="Z41" s="19"/>
    </row>
    <row r="42" spans="2:26" ht="10.7" customHeight="1">
      <c r="C42" s="68"/>
      <c r="D42" s="19"/>
      <c r="E42" s="19"/>
      <c r="F42" s="19"/>
      <c r="G42" s="19"/>
      <c r="H42" s="19"/>
      <c r="I42" s="19"/>
      <c r="J42" s="19"/>
      <c r="K42" s="19"/>
      <c r="L42" s="19"/>
      <c r="M42" s="19"/>
      <c r="N42" s="19"/>
      <c r="O42" s="19"/>
      <c r="Q42" s="19"/>
      <c r="R42" s="19"/>
      <c r="S42" s="19"/>
      <c r="U42" s="19"/>
      <c r="V42" s="19"/>
      <c r="W42" s="19"/>
      <c r="X42" s="19"/>
      <c r="Y42" s="19"/>
      <c r="Z42" s="19"/>
    </row>
    <row r="43" spans="2:26" ht="13.5" customHeight="1">
      <c r="B43" s="127"/>
      <c r="C43" s="127"/>
      <c r="D43" s="19"/>
      <c r="E43" s="19"/>
      <c r="F43" s="19"/>
      <c r="G43" s="19"/>
      <c r="H43" s="19"/>
      <c r="I43" s="19"/>
      <c r="J43" s="19"/>
      <c r="K43" s="19"/>
      <c r="L43" s="19"/>
      <c r="M43" s="19"/>
      <c r="N43" s="19"/>
      <c r="O43" s="19"/>
      <c r="Q43" s="19"/>
      <c r="R43" s="19"/>
      <c r="S43" s="19"/>
      <c r="U43" s="19"/>
      <c r="V43" s="19"/>
      <c r="W43" s="19"/>
      <c r="X43" s="19"/>
      <c r="Y43" s="19"/>
      <c r="Z43" s="19"/>
    </row>
    <row r="44" spans="2:26" ht="10.7" customHeight="1">
      <c r="C44" s="68"/>
      <c r="D44" s="19"/>
      <c r="E44" s="19"/>
      <c r="F44" s="19"/>
      <c r="G44" s="19"/>
      <c r="H44" s="19"/>
      <c r="I44" s="19"/>
      <c r="J44" s="19"/>
      <c r="K44" s="19"/>
      <c r="L44" s="19"/>
      <c r="M44" s="19"/>
      <c r="N44" s="19"/>
      <c r="O44" s="19"/>
      <c r="Q44" s="19"/>
      <c r="R44" s="19"/>
      <c r="S44" s="19"/>
      <c r="U44" s="19"/>
      <c r="V44" s="19"/>
      <c r="W44" s="19"/>
      <c r="X44" s="19"/>
      <c r="Y44" s="19"/>
      <c r="Z44" s="19"/>
    </row>
    <row r="45" spans="2:26" ht="22.15" customHeight="1">
      <c r="B45" s="13" t="s">
        <v>144</v>
      </c>
      <c r="C45" s="80"/>
      <c r="D45" s="42" t="s">
        <v>4</v>
      </c>
      <c r="E45" s="19"/>
      <c r="F45" s="19"/>
      <c r="G45" s="19"/>
      <c r="H45" s="19"/>
      <c r="I45" s="19"/>
      <c r="J45" s="19"/>
      <c r="K45" s="19"/>
      <c r="L45" s="19"/>
      <c r="M45" s="19"/>
      <c r="N45" s="19"/>
      <c r="O45" s="19"/>
      <c r="R45" s="19"/>
      <c r="S45" s="19"/>
      <c r="U45" s="19"/>
      <c r="V45" s="19"/>
      <c r="W45" s="19"/>
      <c r="X45" s="19"/>
      <c r="Y45" s="19"/>
      <c r="Z45" s="19"/>
    </row>
    <row r="46" spans="2:26" ht="10.5" customHeight="1"/>
    <row r="47" spans="2:26" ht="41.25" customHeight="1">
      <c r="B47" s="13" t="s">
        <v>147</v>
      </c>
      <c r="C47" s="152" t="s">
        <v>149</v>
      </c>
      <c r="D47" s="151" t="s">
        <v>148</v>
      </c>
      <c r="M47" s="19"/>
      <c r="N47" s="19"/>
      <c r="O47" s="19"/>
      <c r="Q47" s="19"/>
      <c r="R47" s="19"/>
      <c r="S47" s="19"/>
      <c r="U47" s="19"/>
      <c r="V47" s="19"/>
      <c r="W47" s="19"/>
      <c r="X47" s="19"/>
      <c r="Y47" s="19"/>
      <c r="Z47" s="19"/>
    </row>
    <row r="48" spans="2:26" ht="14.85" customHeight="1">
      <c r="C48" s="82" t="s">
        <v>5</v>
      </c>
      <c r="D48" s="20" t="s">
        <v>6</v>
      </c>
      <c r="G48" s="81"/>
    </row>
    <row r="49" spans="2:26" ht="14.85" customHeight="1">
      <c r="C49" s="82" t="s">
        <v>274</v>
      </c>
      <c r="D49" s="20" t="s">
        <v>6</v>
      </c>
      <c r="G49" s="81"/>
    </row>
    <row r="50" spans="2:26" ht="14.85" customHeight="1">
      <c r="C50" s="82" t="s">
        <v>275</v>
      </c>
      <c r="D50" s="20" t="s">
        <v>6</v>
      </c>
      <c r="G50" s="81"/>
    </row>
    <row r="51" spans="2:26" ht="14.85" customHeight="1">
      <c r="C51" s="82" t="s">
        <v>7</v>
      </c>
      <c r="D51" s="20" t="s">
        <v>6</v>
      </c>
      <c r="G51" s="81"/>
    </row>
    <row r="52" spans="2:26" ht="14.85" customHeight="1">
      <c r="C52" s="82" t="s">
        <v>8</v>
      </c>
      <c r="D52" s="20" t="s">
        <v>6</v>
      </c>
      <c r="G52" s="81"/>
    </row>
    <row r="53" spans="2:26" ht="14.85" customHeight="1">
      <c r="C53" s="82" t="s">
        <v>9</v>
      </c>
      <c r="D53" s="20" t="s">
        <v>6</v>
      </c>
      <c r="G53" s="81"/>
    </row>
    <row r="54" spans="2:26" ht="14.85" customHeight="1">
      <c r="C54" s="82" t="s">
        <v>276</v>
      </c>
      <c r="D54" s="20" t="s">
        <v>6</v>
      </c>
      <c r="G54" s="81"/>
    </row>
    <row r="55" spans="2:26" ht="14.85" customHeight="1">
      <c r="C55" s="82" t="s">
        <v>277</v>
      </c>
      <c r="D55" s="20" t="s">
        <v>6</v>
      </c>
      <c r="G55" s="81"/>
    </row>
    <row r="56" spans="2:26" ht="14.85" customHeight="1">
      <c r="C56" s="82" t="s">
        <v>10</v>
      </c>
      <c r="D56" s="20" t="s">
        <v>6</v>
      </c>
      <c r="G56" s="81"/>
    </row>
    <row r="57" spans="2:26" ht="13.15" customHeight="1">
      <c r="B57" s="13"/>
      <c r="C57" s="42"/>
      <c r="D57" s="42"/>
      <c r="E57" s="19"/>
      <c r="F57" s="19"/>
      <c r="G57" s="83"/>
      <c r="H57" s="19"/>
      <c r="I57" s="19"/>
      <c r="J57" s="19"/>
      <c r="K57" s="19"/>
      <c r="L57" s="19"/>
      <c r="M57" s="19"/>
      <c r="N57" s="19"/>
      <c r="O57" s="19"/>
      <c r="P57" s="19"/>
      <c r="Q57" s="19"/>
      <c r="R57" s="19"/>
      <c r="S57" s="19"/>
      <c r="U57" s="19"/>
      <c r="V57" s="19"/>
      <c r="W57" s="19"/>
      <c r="X57" s="19"/>
      <c r="Y57" s="19"/>
      <c r="Z57" s="19"/>
    </row>
    <row r="58" spans="2:26" ht="22.15" customHeight="1">
      <c r="B58" s="13" t="s">
        <v>146</v>
      </c>
      <c r="C58" s="80"/>
      <c r="D58" s="42"/>
      <c r="E58" s="19"/>
      <c r="F58" s="19"/>
      <c r="G58" s="19"/>
      <c r="H58" s="19"/>
      <c r="I58" s="19"/>
      <c r="J58" s="19"/>
      <c r="K58" s="19"/>
      <c r="L58" s="19"/>
      <c r="M58" s="19"/>
      <c r="N58" s="19"/>
      <c r="O58" s="19"/>
      <c r="P58" s="19"/>
      <c r="Q58" s="19"/>
      <c r="R58" s="19"/>
      <c r="S58" s="19"/>
      <c r="U58" s="19"/>
      <c r="V58" s="19"/>
      <c r="W58" s="19"/>
      <c r="X58" s="19"/>
      <c r="Y58" s="19"/>
      <c r="Z58" s="19"/>
    </row>
    <row r="59" spans="2:26" ht="10.7" customHeight="1">
      <c r="B59" s="19"/>
      <c r="C59" s="42"/>
      <c r="D59" s="19"/>
      <c r="E59" s="19"/>
      <c r="F59" s="19"/>
      <c r="G59" s="19"/>
      <c r="H59" s="19"/>
      <c r="I59" s="19"/>
      <c r="J59" s="19"/>
      <c r="K59" s="19"/>
      <c r="L59" s="19"/>
      <c r="M59" s="19"/>
      <c r="N59" s="19"/>
      <c r="O59" s="19"/>
      <c r="P59" s="19"/>
      <c r="Q59" s="19"/>
      <c r="R59" s="19"/>
      <c r="S59" s="19"/>
      <c r="U59" s="19"/>
      <c r="V59" s="19"/>
      <c r="W59" s="19"/>
      <c r="X59" s="19"/>
      <c r="Y59" s="19"/>
      <c r="Z59" s="19"/>
    </row>
    <row r="60" spans="2:26" ht="22.15" customHeight="1">
      <c r="B60" s="13" t="s">
        <v>12</v>
      </c>
      <c r="C60" s="80"/>
      <c r="D60" s="42"/>
      <c r="E60" s="19"/>
      <c r="F60" s="19"/>
      <c r="G60" s="19"/>
      <c r="H60" s="19"/>
      <c r="I60" s="19"/>
      <c r="J60" s="19"/>
      <c r="K60" s="19"/>
      <c r="L60" s="19"/>
      <c r="M60" s="19"/>
      <c r="N60" s="19"/>
      <c r="O60" s="19"/>
      <c r="P60" s="19"/>
      <c r="Q60" s="19"/>
      <c r="R60" s="19"/>
      <c r="S60" s="19"/>
      <c r="U60" s="19"/>
      <c r="V60" s="19"/>
      <c r="W60" s="19"/>
      <c r="X60" s="19"/>
      <c r="Y60" s="19"/>
      <c r="Z60" s="19"/>
    </row>
    <row r="61" spans="2:26" ht="10.7" customHeight="1">
      <c r="B61" s="19"/>
      <c r="C61" s="42"/>
      <c r="D61" s="19"/>
      <c r="E61" s="19"/>
      <c r="F61" s="19"/>
      <c r="G61" s="19"/>
      <c r="H61" s="19"/>
      <c r="I61" s="19"/>
      <c r="J61" s="19"/>
      <c r="K61" s="19"/>
      <c r="L61" s="19"/>
      <c r="M61" s="19"/>
      <c r="N61" s="19"/>
      <c r="O61" s="19"/>
      <c r="P61" s="19"/>
      <c r="Q61" s="19"/>
      <c r="R61" s="19"/>
      <c r="S61" s="19"/>
      <c r="U61" s="19"/>
      <c r="V61" s="19"/>
      <c r="W61" s="19"/>
      <c r="X61" s="19"/>
      <c r="Y61" s="19"/>
      <c r="Z61" s="19"/>
    </row>
    <row r="62" spans="2:26" ht="22.15" customHeight="1">
      <c r="B62" s="13" t="s">
        <v>13</v>
      </c>
      <c r="C62" s="84"/>
      <c r="D62" s="42"/>
      <c r="E62" s="19"/>
      <c r="F62" s="19"/>
      <c r="G62" s="19"/>
      <c r="H62" s="19"/>
      <c r="I62" s="19"/>
      <c r="J62" s="19"/>
      <c r="K62" s="19"/>
      <c r="L62" s="19"/>
      <c r="M62" s="19"/>
      <c r="N62" s="19"/>
      <c r="O62" s="19"/>
      <c r="P62" s="19"/>
      <c r="Q62" s="19"/>
      <c r="R62" s="19"/>
      <c r="S62" s="19"/>
      <c r="U62" s="19"/>
      <c r="V62" s="19"/>
      <c r="W62" s="19"/>
      <c r="X62" s="19"/>
      <c r="Y62" s="19"/>
      <c r="Z62" s="19"/>
    </row>
    <row r="63" spans="2:26" ht="19.350000000000001" customHeight="1">
      <c r="D63" s="19"/>
      <c r="E63" s="19"/>
      <c r="F63" s="19"/>
      <c r="G63" s="19"/>
      <c r="H63" s="19"/>
      <c r="I63" s="19"/>
      <c r="J63" s="19"/>
      <c r="K63" s="19"/>
      <c r="L63" s="19"/>
      <c r="M63" s="19"/>
      <c r="N63" s="19"/>
      <c r="O63" s="19"/>
      <c r="P63" s="19"/>
      <c r="Q63" s="19"/>
      <c r="R63" s="19"/>
      <c r="S63" s="19"/>
      <c r="T63" s="19"/>
      <c r="U63" s="19"/>
      <c r="V63" s="19"/>
      <c r="W63" s="19"/>
      <c r="X63" s="19"/>
      <c r="Y63" s="19"/>
      <c r="Z63" s="19"/>
    </row>
    <row r="64" spans="2:26" ht="12" customHeight="1">
      <c r="B64" s="19"/>
      <c r="C64" s="19"/>
      <c r="D64" s="19"/>
      <c r="E64" s="19"/>
      <c r="F64" s="19"/>
      <c r="G64" s="19"/>
      <c r="H64" s="19"/>
      <c r="I64" s="19"/>
      <c r="J64" s="19"/>
      <c r="K64" s="19"/>
      <c r="L64" s="19"/>
      <c r="M64" s="19"/>
      <c r="N64" s="19"/>
      <c r="O64" s="19"/>
      <c r="P64" s="19"/>
      <c r="Q64" s="19"/>
      <c r="R64" s="19"/>
      <c r="S64" s="19"/>
      <c r="T64" s="19"/>
      <c r="U64" s="19"/>
      <c r="V64" s="19"/>
      <c r="W64" s="19"/>
      <c r="X64" s="19"/>
      <c r="Y64" s="19"/>
      <c r="Z64" s="19"/>
    </row>
    <row r="65" spans="2:26" ht="12" customHeight="1">
      <c r="B65" s="19"/>
      <c r="C65" s="19"/>
      <c r="D65" s="19"/>
      <c r="E65" s="19"/>
      <c r="F65" s="19"/>
      <c r="G65" s="19"/>
      <c r="H65" s="19"/>
      <c r="I65" s="19"/>
      <c r="J65" s="19"/>
      <c r="K65" s="19"/>
      <c r="L65" s="19"/>
      <c r="M65" s="19"/>
      <c r="N65" s="19"/>
      <c r="O65" s="19"/>
      <c r="P65" s="19"/>
      <c r="Q65" s="19"/>
      <c r="R65" s="19"/>
      <c r="S65" s="19"/>
      <c r="T65" s="19"/>
      <c r="U65" s="19"/>
      <c r="V65" s="19"/>
      <c r="W65" s="19"/>
      <c r="X65" s="19"/>
      <c r="Y65" s="19"/>
      <c r="Z65" s="19"/>
    </row>
    <row r="66" spans="2:26" ht="12" customHeight="1">
      <c r="B66" s="19"/>
      <c r="C66" s="19"/>
      <c r="D66" s="19"/>
      <c r="E66" s="19"/>
      <c r="F66" s="19"/>
      <c r="G66" s="19"/>
      <c r="H66" s="19"/>
      <c r="I66" s="19"/>
      <c r="J66" s="19"/>
      <c r="K66" s="19"/>
      <c r="L66" s="19"/>
      <c r="M66" s="19"/>
      <c r="N66" s="19"/>
      <c r="O66" s="19"/>
      <c r="P66" s="19"/>
      <c r="Q66" s="19"/>
      <c r="R66" s="19"/>
      <c r="S66" s="19"/>
      <c r="T66" s="19"/>
      <c r="U66" s="19"/>
      <c r="V66" s="19"/>
      <c r="W66" s="19"/>
      <c r="X66" s="19"/>
      <c r="Y66" s="19"/>
      <c r="Z66" s="19"/>
    </row>
    <row r="67" spans="2:26" ht="12" customHeight="1">
      <c r="B67" s="19"/>
      <c r="C67" s="19"/>
      <c r="D67" s="19"/>
      <c r="E67" s="19"/>
      <c r="F67" s="19"/>
      <c r="G67" s="19"/>
      <c r="H67" s="19"/>
      <c r="I67" s="19"/>
      <c r="J67" s="19"/>
      <c r="K67" s="19"/>
      <c r="L67" s="19"/>
      <c r="M67" s="19"/>
      <c r="N67" s="19"/>
      <c r="O67" s="19"/>
      <c r="P67" s="19"/>
      <c r="Q67" s="19"/>
      <c r="R67" s="19"/>
      <c r="S67" s="19"/>
      <c r="T67" s="19"/>
      <c r="U67" s="19"/>
      <c r="V67" s="19"/>
      <c r="W67" s="19"/>
      <c r="X67" s="19"/>
      <c r="Y67" s="19"/>
      <c r="Z67" s="19"/>
    </row>
    <row r="68" spans="2:26" ht="12" customHeight="1">
      <c r="B68" s="19"/>
      <c r="C68" s="19"/>
      <c r="D68" s="19"/>
      <c r="E68" s="19"/>
      <c r="F68" s="19"/>
      <c r="G68" s="19"/>
      <c r="H68" s="19"/>
      <c r="I68" s="19"/>
      <c r="J68" s="19"/>
      <c r="K68" s="19"/>
      <c r="L68" s="19"/>
      <c r="M68" s="19"/>
      <c r="N68" s="19"/>
      <c r="O68" s="19"/>
      <c r="P68" s="19"/>
      <c r="Q68" s="19"/>
      <c r="R68" s="19"/>
      <c r="S68" s="19"/>
      <c r="T68" s="19"/>
      <c r="U68" s="19"/>
      <c r="V68" s="19"/>
      <c r="W68" s="19"/>
      <c r="X68" s="19"/>
      <c r="Y68" s="19"/>
      <c r="Z68" s="19"/>
    </row>
    <row r="69" spans="2:26" ht="12" customHeight="1">
      <c r="B69" s="19"/>
      <c r="C69" s="85"/>
      <c r="D69" s="19"/>
      <c r="E69" s="19"/>
      <c r="F69" s="19"/>
      <c r="G69" s="19"/>
      <c r="H69" s="19"/>
      <c r="I69" s="19"/>
      <c r="J69" s="19"/>
      <c r="K69" s="19"/>
      <c r="L69" s="19"/>
      <c r="M69" s="19"/>
      <c r="N69" s="19"/>
      <c r="O69" s="19"/>
      <c r="P69" s="19"/>
      <c r="Q69" s="19"/>
      <c r="R69" s="19"/>
      <c r="S69" s="19"/>
      <c r="T69" s="19"/>
      <c r="U69" s="19"/>
      <c r="V69" s="19"/>
      <c r="W69" s="19"/>
      <c r="X69" s="19"/>
      <c r="Y69" s="19"/>
      <c r="Z69" s="19"/>
    </row>
    <row r="70" spans="2:26" ht="12" customHeight="1">
      <c r="B70" s="19"/>
      <c r="C70" s="85"/>
      <c r="D70" s="19"/>
      <c r="E70" s="19"/>
      <c r="F70" s="19"/>
      <c r="G70" s="19"/>
      <c r="H70" s="19"/>
      <c r="I70" s="19"/>
      <c r="J70" s="19"/>
      <c r="K70" s="19"/>
      <c r="L70" s="19"/>
      <c r="M70" s="19"/>
      <c r="N70" s="19"/>
      <c r="O70" s="19"/>
      <c r="P70" s="19"/>
      <c r="Q70" s="19"/>
      <c r="R70" s="19"/>
      <c r="S70" s="19"/>
      <c r="T70" s="19"/>
      <c r="U70" s="19"/>
      <c r="V70" s="19"/>
      <c r="W70" s="19"/>
      <c r="X70" s="19"/>
      <c r="Y70" s="19"/>
      <c r="Z70" s="19"/>
    </row>
    <row r="71" spans="2:26" ht="12" customHeight="1">
      <c r="B71" s="19"/>
      <c r="C71" s="85"/>
      <c r="D71" s="19"/>
      <c r="E71" s="19"/>
      <c r="F71" s="19"/>
      <c r="G71" s="19"/>
      <c r="H71" s="19"/>
      <c r="I71" s="19"/>
      <c r="J71" s="19"/>
      <c r="K71" s="19"/>
      <c r="L71" s="19"/>
      <c r="M71" s="19"/>
      <c r="N71" s="19"/>
      <c r="O71" s="19"/>
      <c r="P71" s="19"/>
      <c r="Q71" s="19"/>
      <c r="R71" s="19"/>
      <c r="S71" s="19"/>
      <c r="T71" s="19"/>
      <c r="U71" s="19"/>
      <c r="V71" s="19"/>
      <c r="W71" s="19"/>
      <c r="X71" s="19"/>
      <c r="Y71" s="19"/>
      <c r="Z71" s="19"/>
    </row>
    <row r="72" spans="2:26" ht="12" customHeight="1">
      <c r="B72" s="19"/>
      <c r="C72" s="85"/>
      <c r="D72" s="19"/>
      <c r="E72" s="19"/>
      <c r="F72" s="19"/>
      <c r="G72" s="19"/>
      <c r="H72" s="19"/>
      <c r="I72" s="19"/>
      <c r="J72" s="19"/>
      <c r="K72" s="19"/>
      <c r="L72" s="19"/>
      <c r="M72" s="19"/>
      <c r="N72" s="19"/>
      <c r="O72" s="19"/>
      <c r="P72" s="19"/>
      <c r="Q72" s="19"/>
      <c r="R72" s="19"/>
      <c r="S72" s="19"/>
      <c r="T72" s="19"/>
      <c r="U72" s="19"/>
      <c r="V72" s="19"/>
      <c r="W72" s="19"/>
      <c r="X72" s="19"/>
      <c r="Y72" s="19"/>
      <c r="Z72" s="19"/>
    </row>
    <row r="73" spans="2:26" ht="12" customHeight="1">
      <c r="B73" s="19"/>
      <c r="C73" s="85"/>
      <c r="D73" s="19"/>
      <c r="E73" s="19"/>
      <c r="F73" s="19"/>
      <c r="G73" s="19"/>
      <c r="H73" s="19"/>
      <c r="I73" s="19"/>
      <c r="J73" s="19"/>
      <c r="K73" s="19"/>
      <c r="L73" s="19"/>
      <c r="M73" s="19"/>
      <c r="N73" s="19"/>
      <c r="O73" s="19"/>
      <c r="P73" s="19"/>
      <c r="Q73" s="19"/>
      <c r="R73" s="19"/>
      <c r="S73" s="19"/>
      <c r="T73" s="19"/>
      <c r="U73" s="19"/>
      <c r="V73" s="19"/>
      <c r="W73" s="19"/>
      <c r="X73" s="19"/>
      <c r="Y73" s="19"/>
      <c r="Z73" s="19"/>
    </row>
    <row r="74" spans="2:26" ht="12" customHeight="1">
      <c r="B74" s="19"/>
      <c r="C74" s="85"/>
      <c r="D74" s="19"/>
      <c r="E74" s="19"/>
      <c r="F74" s="19"/>
      <c r="G74" s="19"/>
      <c r="H74" s="19"/>
      <c r="I74" s="19"/>
      <c r="J74" s="19"/>
      <c r="K74" s="19"/>
      <c r="L74" s="19"/>
      <c r="M74" s="19"/>
      <c r="N74" s="19"/>
      <c r="O74" s="19"/>
      <c r="P74" s="19"/>
      <c r="Q74" s="19"/>
      <c r="R74" s="19"/>
      <c r="S74" s="19"/>
      <c r="T74" s="19"/>
      <c r="U74" s="19"/>
      <c r="V74" s="19"/>
      <c r="W74" s="19"/>
      <c r="X74" s="19"/>
      <c r="Y74" s="19"/>
      <c r="Z74" s="19"/>
    </row>
    <row r="75" spans="2:26" ht="12" customHeight="1">
      <c r="B75" s="19"/>
      <c r="C75" s="85"/>
      <c r="D75" s="19"/>
      <c r="E75" s="19"/>
      <c r="F75" s="19"/>
      <c r="G75" s="19"/>
      <c r="H75" s="19"/>
      <c r="I75" s="19"/>
      <c r="J75" s="19"/>
      <c r="K75" s="19"/>
      <c r="L75" s="19"/>
      <c r="M75" s="19"/>
      <c r="N75" s="19"/>
      <c r="O75" s="19"/>
      <c r="P75" s="19"/>
      <c r="Q75" s="19"/>
      <c r="R75" s="19"/>
      <c r="S75" s="19"/>
      <c r="T75" s="19"/>
      <c r="U75" s="19"/>
      <c r="V75" s="19"/>
      <c r="W75" s="19"/>
      <c r="X75" s="19"/>
      <c r="Y75" s="19"/>
      <c r="Z75" s="19"/>
    </row>
    <row r="76" spans="2:26" ht="12" customHeight="1">
      <c r="B76" s="19"/>
      <c r="C76" s="85"/>
      <c r="D76" s="19"/>
      <c r="E76" s="19"/>
      <c r="F76" s="19"/>
      <c r="G76" s="19"/>
      <c r="H76" s="19"/>
      <c r="I76" s="19"/>
      <c r="J76" s="19"/>
      <c r="K76" s="19"/>
      <c r="L76" s="19"/>
      <c r="M76" s="19"/>
      <c r="N76" s="19"/>
      <c r="O76" s="19"/>
      <c r="P76" s="19"/>
      <c r="Q76" s="19"/>
      <c r="R76" s="19"/>
      <c r="S76" s="19"/>
      <c r="T76" s="19"/>
      <c r="U76" s="19"/>
      <c r="V76" s="19"/>
      <c r="W76" s="19"/>
      <c r="X76" s="19"/>
      <c r="Y76" s="19"/>
      <c r="Z76" s="19"/>
    </row>
    <row r="77" spans="2:26" ht="12" customHeight="1">
      <c r="B77" s="19"/>
      <c r="C77" s="85"/>
      <c r="D77" s="19"/>
      <c r="E77" s="19"/>
      <c r="F77" s="19"/>
      <c r="G77" s="19"/>
      <c r="H77" s="19"/>
      <c r="I77" s="19"/>
      <c r="J77" s="19"/>
      <c r="K77" s="19"/>
      <c r="L77" s="19"/>
      <c r="M77" s="19"/>
      <c r="N77" s="19"/>
      <c r="O77" s="19"/>
      <c r="P77" s="19"/>
      <c r="Q77" s="19"/>
      <c r="R77" s="19"/>
      <c r="S77" s="19"/>
      <c r="T77" s="19"/>
      <c r="U77" s="19"/>
      <c r="V77" s="19"/>
      <c r="W77" s="19"/>
      <c r="X77" s="19"/>
      <c r="Y77" s="19"/>
      <c r="Z77" s="19"/>
    </row>
    <row r="78" spans="2:26" ht="12" customHeight="1">
      <c r="B78" s="19"/>
      <c r="C78" s="85"/>
      <c r="D78" s="19"/>
      <c r="E78" s="19"/>
      <c r="F78" s="19"/>
      <c r="G78" s="19"/>
      <c r="H78" s="19"/>
      <c r="I78" s="19"/>
      <c r="J78" s="19"/>
      <c r="K78" s="19"/>
      <c r="L78" s="19"/>
      <c r="M78" s="19"/>
      <c r="N78" s="19"/>
      <c r="O78" s="19"/>
      <c r="P78" s="19"/>
      <c r="Q78" s="19"/>
      <c r="R78" s="19"/>
      <c r="S78" s="19"/>
      <c r="T78" s="19"/>
      <c r="U78" s="19"/>
      <c r="V78" s="19"/>
      <c r="W78" s="19"/>
      <c r="X78" s="19"/>
      <c r="Y78" s="19"/>
      <c r="Z78" s="19"/>
    </row>
    <row r="79" spans="2:26" ht="12" customHeight="1">
      <c r="B79" s="19"/>
      <c r="C79" s="85"/>
      <c r="D79" s="19"/>
      <c r="E79" s="19"/>
      <c r="F79" s="19"/>
      <c r="G79" s="19"/>
      <c r="H79" s="19"/>
      <c r="I79" s="19"/>
      <c r="J79" s="19"/>
      <c r="K79" s="19"/>
      <c r="L79" s="19"/>
      <c r="M79" s="19"/>
      <c r="N79" s="19"/>
      <c r="O79" s="19"/>
      <c r="P79" s="19"/>
      <c r="Q79" s="19"/>
      <c r="R79" s="19"/>
      <c r="S79" s="19"/>
      <c r="T79" s="19"/>
      <c r="U79" s="19"/>
      <c r="V79" s="19"/>
      <c r="W79" s="19"/>
      <c r="X79" s="19"/>
      <c r="Y79" s="19"/>
      <c r="Z79" s="19"/>
    </row>
    <row r="80" spans="2:26" ht="12" customHeight="1">
      <c r="B80" s="19"/>
      <c r="C80" s="19"/>
      <c r="D80" s="19"/>
      <c r="E80" s="19"/>
      <c r="F80" s="19"/>
      <c r="G80" s="19"/>
      <c r="H80" s="19"/>
      <c r="I80" s="19"/>
      <c r="J80" s="19"/>
      <c r="K80" s="19"/>
      <c r="L80" s="19"/>
      <c r="M80" s="19"/>
      <c r="N80" s="19"/>
      <c r="O80" s="19"/>
      <c r="P80" s="19"/>
      <c r="Q80" s="19"/>
      <c r="R80" s="19"/>
      <c r="S80" s="19"/>
      <c r="T80" s="19"/>
      <c r="U80" s="19"/>
      <c r="V80" s="19"/>
      <c r="W80" s="19"/>
      <c r="X80" s="19"/>
      <c r="Y80" s="19"/>
      <c r="Z80" s="19"/>
    </row>
    <row r="81" spans="2:26" ht="12" customHeight="1">
      <c r="B81" s="19"/>
      <c r="C81" s="19"/>
      <c r="D81" s="19"/>
      <c r="E81" s="19"/>
      <c r="F81" s="19"/>
      <c r="G81" s="19"/>
      <c r="H81" s="19"/>
      <c r="I81" s="19"/>
      <c r="J81" s="19"/>
      <c r="K81" s="19"/>
      <c r="L81" s="19"/>
      <c r="M81" s="19"/>
      <c r="N81" s="19"/>
      <c r="O81" s="19"/>
      <c r="P81" s="19"/>
      <c r="Q81" s="19"/>
      <c r="R81" s="19"/>
      <c r="S81" s="19"/>
      <c r="T81" s="19"/>
      <c r="U81" s="19"/>
      <c r="V81" s="19"/>
      <c r="W81" s="19"/>
      <c r="X81" s="19"/>
      <c r="Y81" s="19"/>
      <c r="Z81" s="19"/>
    </row>
    <row r="82" spans="2:26" ht="12" customHeight="1">
      <c r="B82" s="19"/>
      <c r="C82" s="19"/>
      <c r="D82" s="19"/>
      <c r="E82" s="19"/>
      <c r="F82" s="19"/>
      <c r="G82" s="19"/>
      <c r="H82" s="19"/>
      <c r="I82" s="19"/>
      <c r="J82" s="19"/>
      <c r="K82" s="19"/>
      <c r="L82" s="19"/>
      <c r="M82" s="19"/>
      <c r="N82" s="19"/>
      <c r="O82" s="19"/>
      <c r="P82" s="19"/>
      <c r="Q82" s="19"/>
      <c r="R82" s="19"/>
      <c r="S82" s="19"/>
      <c r="T82" s="19"/>
      <c r="U82" s="19"/>
      <c r="V82" s="19"/>
      <c r="W82" s="19"/>
      <c r="X82" s="19"/>
      <c r="Y82" s="19"/>
      <c r="Z82" s="19"/>
    </row>
    <row r="83" spans="2:26" ht="12" customHeight="1">
      <c r="B83" s="19"/>
      <c r="C83" s="19"/>
      <c r="D83" s="19"/>
      <c r="E83" s="19"/>
      <c r="F83" s="19"/>
      <c r="G83" s="19"/>
      <c r="H83" s="19"/>
      <c r="I83" s="19"/>
      <c r="J83" s="19"/>
      <c r="K83" s="19"/>
      <c r="L83" s="19"/>
      <c r="M83" s="19"/>
      <c r="N83" s="19"/>
      <c r="O83" s="19"/>
      <c r="P83" s="19"/>
      <c r="Q83" s="19"/>
      <c r="R83" s="19"/>
      <c r="S83" s="19"/>
      <c r="T83" s="19"/>
      <c r="U83" s="19"/>
      <c r="V83" s="19"/>
      <c r="W83" s="19"/>
      <c r="X83" s="19"/>
      <c r="Y83" s="19"/>
      <c r="Z83" s="19"/>
    </row>
    <row r="84" spans="2:26" ht="12" customHeight="1">
      <c r="B84" s="19"/>
      <c r="C84" s="19"/>
      <c r="D84" s="19"/>
      <c r="E84" s="19"/>
      <c r="F84" s="19"/>
      <c r="G84" s="19"/>
      <c r="H84" s="19"/>
      <c r="I84" s="19"/>
      <c r="J84" s="19"/>
      <c r="K84" s="19"/>
      <c r="L84" s="19"/>
      <c r="M84" s="19"/>
      <c r="N84" s="19"/>
      <c r="O84" s="19"/>
      <c r="P84" s="19"/>
      <c r="Q84" s="19"/>
      <c r="R84" s="19"/>
      <c r="S84" s="19"/>
      <c r="T84" s="19"/>
      <c r="U84" s="19"/>
      <c r="V84" s="19"/>
      <c r="W84" s="19"/>
      <c r="X84" s="19"/>
      <c r="Y84" s="19"/>
      <c r="Z84" s="19"/>
    </row>
    <row r="85" spans="2:26" ht="12" customHeight="1">
      <c r="B85" s="19"/>
      <c r="C85" s="19"/>
      <c r="D85" s="19"/>
      <c r="E85" s="19"/>
      <c r="F85" s="19"/>
      <c r="G85" s="19"/>
      <c r="H85" s="19"/>
      <c r="I85" s="19"/>
      <c r="J85" s="19"/>
      <c r="K85" s="19"/>
      <c r="L85" s="19"/>
      <c r="M85" s="19"/>
      <c r="N85" s="19"/>
      <c r="O85" s="19"/>
      <c r="P85" s="19"/>
      <c r="Q85" s="19"/>
      <c r="R85" s="19"/>
      <c r="S85" s="19"/>
      <c r="T85" s="19"/>
      <c r="U85" s="19"/>
      <c r="V85" s="19"/>
      <c r="W85" s="19"/>
      <c r="X85" s="19"/>
      <c r="Y85" s="19"/>
      <c r="Z85" s="19"/>
    </row>
    <row r="86" spans="2:26" ht="12" customHeight="1">
      <c r="B86" s="19"/>
      <c r="C86" s="19"/>
      <c r="D86" s="19"/>
      <c r="E86" s="19"/>
      <c r="F86" s="19"/>
      <c r="G86" s="19"/>
      <c r="H86" s="19"/>
      <c r="I86" s="19"/>
      <c r="J86" s="19"/>
      <c r="K86" s="19"/>
      <c r="L86" s="19"/>
      <c r="M86" s="19"/>
      <c r="N86" s="19"/>
      <c r="O86" s="19"/>
      <c r="P86" s="19"/>
      <c r="Q86" s="19"/>
      <c r="R86" s="19"/>
      <c r="S86" s="19"/>
      <c r="T86" s="19"/>
      <c r="U86" s="19"/>
      <c r="V86" s="19"/>
      <c r="W86" s="19"/>
      <c r="X86" s="19"/>
      <c r="Y86" s="19"/>
      <c r="Z86" s="19"/>
    </row>
    <row r="87" spans="2:26" ht="12" customHeight="1">
      <c r="B87" s="19"/>
      <c r="C87" s="19"/>
      <c r="D87" s="19"/>
      <c r="E87" s="19"/>
      <c r="F87" s="19"/>
      <c r="G87" s="19"/>
      <c r="H87" s="19"/>
      <c r="I87" s="19"/>
      <c r="J87" s="19"/>
      <c r="K87" s="19"/>
      <c r="L87" s="19"/>
      <c r="M87" s="19"/>
      <c r="N87" s="19"/>
      <c r="O87" s="19"/>
      <c r="P87" s="19"/>
      <c r="Q87" s="19"/>
      <c r="R87" s="19"/>
      <c r="S87" s="19"/>
      <c r="T87" s="19"/>
      <c r="U87" s="19"/>
      <c r="V87" s="19"/>
      <c r="W87" s="19"/>
      <c r="X87" s="19"/>
      <c r="Y87" s="19"/>
      <c r="Z87" s="19"/>
    </row>
    <row r="88" spans="2:26" ht="12" customHeight="1">
      <c r="B88" s="19"/>
      <c r="C88" s="19"/>
      <c r="D88" s="19"/>
      <c r="E88" s="19"/>
      <c r="F88" s="19"/>
      <c r="G88" s="19"/>
      <c r="H88" s="19"/>
      <c r="I88" s="19"/>
      <c r="J88" s="19"/>
      <c r="K88" s="19"/>
      <c r="L88" s="19"/>
      <c r="M88" s="19"/>
      <c r="N88" s="19"/>
      <c r="O88" s="19"/>
      <c r="P88" s="19"/>
      <c r="Q88" s="19"/>
      <c r="R88" s="19"/>
      <c r="S88" s="19"/>
      <c r="T88" s="19"/>
      <c r="U88" s="19"/>
      <c r="V88" s="19"/>
      <c r="W88" s="19"/>
      <c r="X88" s="19"/>
      <c r="Y88" s="19"/>
      <c r="Z88" s="19"/>
    </row>
    <row r="89" spans="2:26" ht="12" customHeight="1">
      <c r="B89" s="19"/>
      <c r="C89" s="19"/>
      <c r="D89" s="19"/>
      <c r="E89" s="19"/>
      <c r="F89" s="19"/>
      <c r="G89" s="19"/>
      <c r="H89" s="19"/>
      <c r="I89" s="19"/>
      <c r="J89" s="19"/>
      <c r="K89" s="19"/>
      <c r="L89" s="19"/>
      <c r="M89" s="19"/>
      <c r="N89" s="19"/>
      <c r="O89" s="19"/>
      <c r="P89" s="19"/>
      <c r="Q89" s="19"/>
      <c r="R89" s="19"/>
      <c r="S89" s="19"/>
      <c r="T89" s="19"/>
      <c r="U89" s="19"/>
      <c r="V89" s="19"/>
      <c r="W89" s="19"/>
      <c r="X89" s="19"/>
      <c r="Y89" s="19"/>
      <c r="Z89" s="19"/>
    </row>
    <row r="90" spans="2:26" ht="12" customHeight="1">
      <c r="B90" s="19"/>
      <c r="C90" s="19"/>
      <c r="D90" s="19"/>
      <c r="E90" s="19"/>
      <c r="F90" s="19"/>
      <c r="G90" s="19"/>
      <c r="H90" s="19"/>
      <c r="I90" s="19"/>
      <c r="J90" s="19"/>
      <c r="K90" s="19"/>
      <c r="L90" s="19"/>
      <c r="M90" s="19"/>
      <c r="N90" s="19"/>
      <c r="O90" s="19"/>
      <c r="P90" s="19"/>
      <c r="Q90" s="19"/>
      <c r="R90" s="19"/>
      <c r="S90" s="19"/>
      <c r="T90" s="19"/>
      <c r="U90" s="19"/>
      <c r="V90" s="19"/>
      <c r="W90" s="19"/>
      <c r="X90" s="19"/>
      <c r="Y90" s="19"/>
      <c r="Z90" s="19"/>
    </row>
    <row r="91" spans="2:26" ht="12" customHeight="1">
      <c r="B91" s="19"/>
      <c r="C91" s="19"/>
      <c r="D91" s="19"/>
      <c r="E91" s="19"/>
      <c r="F91" s="19"/>
      <c r="G91" s="19"/>
      <c r="H91" s="19"/>
      <c r="I91" s="19"/>
      <c r="J91" s="19"/>
      <c r="K91" s="19"/>
      <c r="L91" s="19"/>
      <c r="M91" s="19"/>
      <c r="N91" s="19"/>
      <c r="O91" s="19"/>
      <c r="P91" s="19"/>
      <c r="Q91" s="19"/>
      <c r="R91" s="19"/>
      <c r="S91" s="19"/>
      <c r="T91" s="19"/>
      <c r="U91" s="19"/>
      <c r="V91" s="19"/>
      <c r="W91" s="19"/>
      <c r="X91" s="19"/>
      <c r="Y91" s="19"/>
      <c r="Z91" s="19"/>
    </row>
    <row r="92" spans="2:26" ht="12" customHeight="1">
      <c r="B92" s="19"/>
      <c r="C92" s="19"/>
      <c r="D92" s="19"/>
      <c r="E92" s="19"/>
      <c r="F92" s="19"/>
      <c r="G92" s="19"/>
      <c r="H92" s="19"/>
      <c r="I92" s="19"/>
      <c r="J92" s="19"/>
      <c r="K92" s="19"/>
      <c r="L92" s="19"/>
      <c r="M92" s="19"/>
      <c r="N92" s="19"/>
      <c r="O92" s="19"/>
      <c r="P92" s="19"/>
      <c r="Q92" s="19"/>
      <c r="R92" s="19"/>
      <c r="S92" s="19"/>
      <c r="T92" s="19"/>
      <c r="U92" s="19"/>
      <c r="V92" s="19"/>
      <c r="W92" s="19"/>
      <c r="X92" s="19"/>
      <c r="Y92" s="19"/>
      <c r="Z92" s="19"/>
    </row>
    <row r="93" spans="2:26" ht="12" customHeight="1">
      <c r="B93" s="19"/>
      <c r="C93" s="19"/>
      <c r="D93" s="19"/>
      <c r="E93" s="19"/>
      <c r="F93" s="19"/>
      <c r="G93" s="19"/>
      <c r="H93" s="19"/>
      <c r="I93" s="19"/>
      <c r="J93" s="19"/>
      <c r="K93" s="19"/>
      <c r="L93" s="19"/>
      <c r="M93" s="19"/>
      <c r="N93" s="19"/>
      <c r="O93" s="19"/>
      <c r="P93" s="19"/>
      <c r="Q93" s="19"/>
      <c r="R93" s="19"/>
      <c r="S93" s="19"/>
      <c r="T93" s="19"/>
      <c r="U93" s="19"/>
      <c r="V93" s="19"/>
      <c r="W93" s="19"/>
      <c r="X93" s="19"/>
      <c r="Y93" s="19"/>
      <c r="Z93" s="19"/>
    </row>
    <row r="94" spans="2:26" ht="12" customHeight="1">
      <c r="B94" s="19"/>
      <c r="C94" s="19"/>
      <c r="D94" s="19"/>
      <c r="E94" s="19"/>
      <c r="F94" s="19"/>
      <c r="G94" s="19"/>
      <c r="H94" s="19"/>
      <c r="I94" s="19"/>
      <c r="J94" s="19"/>
      <c r="K94" s="19"/>
      <c r="L94" s="19"/>
      <c r="M94" s="19"/>
      <c r="N94" s="19"/>
      <c r="O94" s="19"/>
      <c r="P94" s="19"/>
      <c r="Q94" s="19"/>
      <c r="R94" s="19"/>
      <c r="S94" s="19"/>
      <c r="T94" s="19"/>
      <c r="U94" s="19"/>
      <c r="V94" s="19"/>
      <c r="W94" s="19"/>
      <c r="X94" s="19"/>
      <c r="Y94" s="19"/>
      <c r="Z94" s="19"/>
    </row>
    <row r="95" spans="2:26" ht="12" customHeight="1">
      <c r="B95" s="19"/>
      <c r="C95" s="19"/>
      <c r="D95" s="19"/>
      <c r="E95" s="19"/>
      <c r="F95" s="19"/>
      <c r="G95" s="19"/>
      <c r="H95" s="19"/>
      <c r="I95" s="19"/>
      <c r="J95" s="19"/>
      <c r="K95" s="19"/>
      <c r="L95" s="19"/>
      <c r="M95" s="19"/>
      <c r="N95" s="19"/>
      <c r="O95" s="19"/>
      <c r="P95" s="19"/>
      <c r="Q95" s="19"/>
      <c r="R95" s="19"/>
      <c r="S95" s="19"/>
      <c r="T95" s="19"/>
      <c r="U95" s="19"/>
      <c r="V95" s="19"/>
      <c r="W95" s="19"/>
      <c r="X95" s="19"/>
      <c r="Y95" s="19"/>
      <c r="Z95" s="19"/>
    </row>
    <row r="96" spans="2:26" ht="12" customHeight="1">
      <c r="B96" s="19"/>
      <c r="C96" s="19"/>
      <c r="D96" s="19"/>
      <c r="E96" s="19"/>
      <c r="F96" s="19"/>
      <c r="G96" s="19"/>
      <c r="H96" s="19"/>
      <c r="I96" s="19"/>
      <c r="J96" s="19"/>
      <c r="K96" s="19"/>
      <c r="L96" s="19"/>
      <c r="M96" s="19"/>
      <c r="N96" s="19"/>
      <c r="O96" s="19"/>
      <c r="P96" s="19"/>
      <c r="Q96" s="19"/>
      <c r="R96" s="19"/>
      <c r="S96" s="19"/>
      <c r="T96" s="19"/>
      <c r="U96" s="19"/>
      <c r="V96" s="19"/>
      <c r="W96" s="19"/>
      <c r="X96" s="19"/>
      <c r="Y96" s="19"/>
      <c r="Z96" s="19"/>
    </row>
    <row r="97" spans="2:26" ht="12" customHeight="1">
      <c r="B97" s="19"/>
      <c r="C97" s="19"/>
      <c r="D97" s="19"/>
      <c r="E97" s="19"/>
      <c r="F97" s="19"/>
      <c r="G97" s="19"/>
      <c r="H97" s="19"/>
      <c r="I97" s="19"/>
      <c r="J97" s="19"/>
      <c r="K97" s="19"/>
      <c r="L97" s="19"/>
      <c r="M97" s="19"/>
      <c r="N97" s="19"/>
      <c r="O97" s="19"/>
      <c r="P97" s="19"/>
      <c r="Q97" s="19"/>
      <c r="R97" s="19"/>
      <c r="S97" s="19"/>
      <c r="T97" s="19"/>
      <c r="U97" s="19"/>
      <c r="V97" s="19"/>
      <c r="W97" s="19"/>
      <c r="X97" s="19"/>
      <c r="Y97" s="19"/>
      <c r="Z97" s="19"/>
    </row>
    <row r="98" spans="2:26" ht="12" customHeight="1">
      <c r="B98" s="19"/>
      <c r="C98" s="19"/>
      <c r="D98" s="19"/>
      <c r="E98" s="19"/>
      <c r="F98" s="19"/>
      <c r="G98" s="19"/>
      <c r="H98" s="19"/>
      <c r="I98" s="19"/>
      <c r="J98" s="19"/>
      <c r="K98" s="19"/>
      <c r="L98" s="19"/>
      <c r="M98" s="19"/>
      <c r="N98" s="19"/>
      <c r="O98" s="19"/>
      <c r="P98" s="19"/>
      <c r="Q98" s="19"/>
      <c r="R98" s="19"/>
      <c r="S98" s="19"/>
      <c r="T98" s="19"/>
      <c r="U98" s="19"/>
      <c r="V98" s="19"/>
      <c r="W98" s="19"/>
      <c r="X98" s="19"/>
      <c r="Y98" s="19"/>
      <c r="Z98" s="19"/>
    </row>
    <row r="99" spans="2:26" ht="12" customHeight="1">
      <c r="B99" s="19"/>
      <c r="C99" s="19"/>
      <c r="D99" s="19"/>
      <c r="E99" s="19"/>
      <c r="F99" s="19"/>
      <c r="G99" s="19"/>
      <c r="H99" s="19"/>
      <c r="I99" s="19"/>
      <c r="J99" s="19"/>
      <c r="K99" s="19"/>
      <c r="L99" s="19"/>
      <c r="M99" s="19"/>
      <c r="N99" s="19"/>
      <c r="O99" s="19"/>
      <c r="P99" s="19"/>
      <c r="Q99" s="19"/>
      <c r="R99" s="19"/>
      <c r="S99" s="19"/>
      <c r="T99" s="19"/>
      <c r="U99" s="19"/>
      <c r="V99" s="19"/>
      <c r="W99" s="19"/>
      <c r="X99" s="19"/>
      <c r="Y99" s="19"/>
      <c r="Z99" s="19"/>
    </row>
    <row r="100" spans="2:26" ht="12" customHeight="1">
      <c r="B100" s="19"/>
      <c r="C100" s="19"/>
      <c r="D100" s="19"/>
      <c r="E100" s="19"/>
      <c r="F100" s="19"/>
      <c r="G100" s="19"/>
      <c r="H100" s="19"/>
      <c r="I100" s="19"/>
      <c r="J100" s="19"/>
      <c r="K100" s="19"/>
      <c r="L100" s="19"/>
      <c r="M100" s="19"/>
      <c r="N100" s="19"/>
      <c r="O100" s="19"/>
      <c r="P100" s="19"/>
      <c r="Q100" s="19"/>
      <c r="R100" s="19"/>
      <c r="S100" s="19"/>
      <c r="T100" s="19"/>
      <c r="U100" s="19"/>
      <c r="V100" s="19"/>
      <c r="W100" s="19"/>
      <c r="X100" s="19"/>
      <c r="Y100" s="19"/>
      <c r="Z100" s="19"/>
    </row>
    <row r="101" spans="2:26" ht="12" customHeight="1">
      <c r="B101" s="19"/>
      <c r="C101" s="19"/>
      <c r="D101" s="19"/>
      <c r="E101" s="19"/>
      <c r="F101" s="19"/>
      <c r="G101" s="19"/>
      <c r="H101" s="19"/>
      <c r="I101" s="19"/>
      <c r="J101" s="19"/>
      <c r="K101" s="19"/>
      <c r="L101" s="19"/>
      <c r="M101" s="19"/>
      <c r="N101" s="19"/>
      <c r="O101" s="19"/>
      <c r="P101" s="19"/>
      <c r="Q101" s="19"/>
      <c r="R101" s="19"/>
      <c r="S101" s="19"/>
      <c r="T101" s="19"/>
      <c r="U101" s="19"/>
      <c r="V101" s="19"/>
      <c r="W101" s="19"/>
      <c r="X101" s="19"/>
      <c r="Y101" s="19"/>
      <c r="Z101" s="19"/>
    </row>
    <row r="102" spans="2:26" ht="12" customHeight="1">
      <c r="B102" s="19"/>
      <c r="C102" s="19"/>
      <c r="D102" s="19"/>
      <c r="E102" s="19"/>
      <c r="F102" s="19"/>
      <c r="G102" s="19"/>
      <c r="H102" s="19"/>
      <c r="I102" s="19"/>
      <c r="J102" s="19"/>
      <c r="K102" s="19"/>
      <c r="L102" s="19"/>
      <c r="M102" s="19"/>
      <c r="N102" s="19"/>
      <c r="O102" s="19"/>
      <c r="P102" s="19"/>
      <c r="Q102" s="19"/>
      <c r="R102" s="19"/>
      <c r="S102" s="19"/>
      <c r="T102" s="19"/>
      <c r="U102" s="19"/>
      <c r="V102" s="19"/>
      <c r="W102" s="19"/>
      <c r="X102" s="19"/>
      <c r="Y102" s="19"/>
      <c r="Z102" s="19"/>
    </row>
    <row r="103" spans="2:26" ht="12" customHeight="1">
      <c r="B103" s="19"/>
      <c r="C103" s="19"/>
      <c r="D103" s="19"/>
      <c r="E103" s="19"/>
      <c r="F103" s="19"/>
      <c r="G103" s="19"/>
      <c r="H103" s="19"/>
      <c r="I103" s="19"/>
      <c r="J103" s="19"/>
      <c r="K103" s="19"/>
      <c r="L103" s="19"/>
      <c r="M103" s="19"/>
      <c r="N103" s="19"/>
      <c r="O103" s="19"/>
      <c r="P103" s="19"/>
      <c r="Q103" s="19"/>
      <c r="R103" s="19"/>
      <c r="S103" s="19"/>
      <c r="T103" s="19"/>
      <c r="U103" s="19"/>
      <c r="V103" s="19"/>
      <c r="W103" s="19"/>
      <c r="X103" s="19"/>
      <c r="Y103" s="19"/>
      <c r="Z103" s="19"/>
    </row>
    <row r="104" spans="2:26" ht="12" customHeight="1">
      <c r="B104" s="19"/>
      <c r="C104" s="19"/>
      <c r="D104" s="19"/>
      <c r="E104" s="19"/>
      <c r="F104" s="19"/>
      <c r="G104" s="19"/>
      <c r="H104" s="19"/>
      <c r="I104" s="19"/>
      <c r="J104" s="19"/>
      <c r="K104" s="19"/>
      <c r="L104" s="19"/>
      <c r="M104" s="19"/>
      <c r="N104" s="19"/>
      <c r="O104" s="19"/>
      <c r="P104" s="19"/>
      <c r="Q104" s="19"/>
      <c r="R104" s="19"/>
      <c r="S104" s="19"/>
      <c r="T104" s="19"/>
      <c r="U104" s="19"/>
      <c r="V104" s="19"/>
      <c r="W104" s="19"/>
      <c r="X104" s="19"/>
      <c r="Y104" s="19"/>
      <c r="Z104" s="19"/>
    </row>
    <row r="105" spans="2:26" ht="12" customHeight="1">
      <c r="B105" s="19"/>
      <c r="C105" s="19"/>
      <c r="D105" s="19"/>
      <c r="E105" s="19"/>
      <c r="F105" s="19"/>
      <c r="G105" s="19"/>
      <c r="H105" s="19"/>
      <c r="I105" s="19"/>
      <c r="J105" s="19"/>
      <c r="K105" s="19"/>
      <c r="L105" s="19"/>
      <c r="M105" s="19"/>
      <c r="N105" s="19"/>
      <c r="O105" s="19"/>
      <c r="P105" s="19"/>
      <c r="Q105" s="19"/>
      <c r="R105" s="19"/>
      <c r="S105" s="19"/>
      <c r="T105" s="19"/>
      <c r="U105" s="19"/>
      <c r="V105" s="19"/>
      <c r="W105" s="19"/>
      <c r="X105" s="19"/>
      <c r="Y105" s="19"/>
      <c r="Z105" s="19"/>
    </row>
    <row r="106" spans="2:26" ht="12" customHeight="1">
      <c r="B106" s="19"/>
      <c r="C106" s="19"/>
      <c r="D106" s="19"/>
      <c r="E106" s="19"/>
      <c r="F106" s="19"/>
      <c r="G106" s="19"/>
      <c r="H106" s="19"/>
      <c r="I106" s="19"/>
      <c r="J106" s="19"/>
      <c r="K106" s="19"/>
      <c r="L106" s="19"/>
      <c r="M106" s="19"/>
      <c r="N106" s="19"/>
      <c r="O106" s="19"/>
      <c r="P106" s="19"/>
      <c r="Q106" s="19"/>
      <c r="R106" s="19"/>
      <c r="S106" s="19"/>
      <c r="T106" s="19"/>
      <c r="U106" s="19"/>
      <c r="V106" s="19"/>
      <c r="W106" s="19"/>
      <c r="X106" s="19"/>
      <c r="Y106" s="19"/>
      <c r="Z106" s="19"/>
    </row>
    <row r="107" spans="2:26" ht="12" customHeight="1">
      <c r="B107" s="19"/>
      <c r="C107" s="19"/>
      <c r="D107" s="19"/>
      <c r="E107" s="19"/>
      <c r="F107" s="19"/>
      <c r="G107" s="19"/>
      <c r="H107" s="19"/>
      <c r="I107" s="19"/>
      <c r="J107" s="19"/>
      <c r="K107" s="19"/>
      <c r="L107" s="19"/>
      <c r="M107" s="19"/>
      <c r="N107" s="19"/>
      <c r="O107" s="19"/>
      <c r="P107" s="19"/>
      <c r="Q107" s="19"/>
      <c r="R107" s="19"/>
      <c r="S107" s="19"/>
      <c r="T107" s="19"/>
      <c r="U107" s="19"/>
      <c r="V107" s="19"/>
      <c r="W107" s="19"/>
      <c r="X107" s="19"/>
      <c r="Y107" s="19"/>
      <c r="Z107" s="19"/>
    </row>
    <row r="108" spans="2:26" ht="12" customHeight="1">
      <c r="B108" s="19"/>
      <c r="C108" s="19"/>
      <c r="D108" s="19"/>
      <c r="E108" s="19"/>
      <c r="F108" s="19"/>
      <c r="G108" s="19"/>
      <c r="H108" s="19"/>
      <c r="I108" s="19"/>
      <c r="J108" s="19"/>
      <c r="K108" s="19"/>
      <c r="L108" s="19"/>
      <c r="M108" s="19"/>
      <c r="N108" s="19"/>
      <c r="O108" s="19"/>
      <c r="P108" s="19"/>
      <c r="Q108" s="19"/>
      <c r="R108" s="19"/>
      <c r="S108" s="19"/>
      <c r="T108" s="19"/>
      <c r="U108" s="19"/>
      <c r="V108" s="19"/>
      <c r="W108" s="19"/>
      <c r="X108" s="19"/>
      <c r="Y108" s="19"/>
      <c r="Z108" s="19"/>
    </row>
    <row r="109" spans="2:26" ht="12" customHeight="1">
      <c r="B109" s="19"/>
      <c r="C109" s="19"/>
      <c r="D109" s="19"/>
      <c r="E109" s="19"/>
      <c r="F109" s="19"/>
      <c r="G109" s="19"/>
      <c r="H109" s="19"/>
      <c r="I109" s="19"/>
      <c r="J109" s="19"/>
      <c r="K109" s="19"/>
      <c r="L109" s="19"/>
      <c r="M109" s="19"/>
      <c r="N109" s="19"/>
      <c r="O109" s="19"/>
      <c r="P109" s="19"/>
      <c r="Q109" s="19"/>
      <c r="R109" s="19"/>
      <c r="S109" s="19"/>
      <c r="T109" s="19"/>
      <c r="U109" s="19"/>
      <c r="V109" s="19"/>
      <c r="W109" s="19"/>
      <c r="X109" s="19"/>
      <c r="Y109" s="19"/>
      <c r="Z109" s="19"/>
    </row>
    <row r="110" spans="2:26" ht="12" customHeight="1">
      <c r="B110" s="19"/>
      <c r="C110" s="19"/>
      <c r="D110" s="19"/>
      <c r="E110" s="19"/>
      <c r="F110" s="19"/>
      <c r="G110" s="19"/>
      <c r="H110" s="19"/>
      <c r="I110" s="19"/>
      <c r="J110" s="19"/>
      <c r="K110" s="19"/>
      <c r="L110" s="19"/>
      <c r="M110" s="19"/>
      <c r="N110" s="19"/>
      <c r="O110" s="19"/>
      <c r="P110" s="19"/>
      <c r="Q110" s="19"/>
      <c r="R110" s="19"/>
      <c r="S110" s="19"/>
      <c r="T110" s="19"/>
      <c r="U110" s="19"/>
      <c r="V110" s="19"/>
      <c r="W110" s="19"/>
      <c r="X110" s="19"/>
      <c r="Y110" s="19"/>
      <c r="Z110" s="19"/>
    </row>
    <row r="111" spans="2:26" ht="12" customHeight="1">
      <c r="B111" s="19"/>
      <c r="C111" s="19"/>
      <c r="D111" s="19"/>
      <c r="E111" s="19"/>
      <c r="F111" s="19"/>
      <c r="G111" s="19"/>
      <c r="H111" s="19"/>
      <c r="I111" s="19"/>
      <c r="J111" s="19"/>
      <c r="K111" s="19"/>
      <c r="L111" s="19"/>
      <c r="M111" s="19"/>
      <c r="N111" s="19"/>
      <c r="O111" s="19"/>
      <c r="P111" s="19"/>
      <c r="Q111" s="19"/>
      <c r="R111" s="19"/>
      <c r="S111" s="19"/>
      <c r="T111" s="19"/>
      <c r="U111" s="19"/>
      <c r="V111" s="19"/>
      <c r="W111" s="19"/>
      <c r="X111" s="19"/>
      <c r="Y111" s="19"/>
      <c r="Z111" s="19"/>
    </row>
    <row r="112" spans="2:26" ht="12" customHeight="1">
      <c r="B112" s="19"/>
      <c r="C112" s="19"/>
      <c r="D112" s="19"/>
      <c r="E112" s="19"/>
      <c r="F112" s="19"/>
      <c r="G112" s="19"/>
      <c r="H112" s="19"/>
      <c r="I112" s="19"/>
      <c r="J112" s="19"/>
      <c r="K112" s="19"/>
      <c r="L112" s="19"/>
      <c r="M112" s="19"/>
      <c r="N112" s="19"/>
      <c r="O112" s="19"/>
      <c r="P112" s="19"/>
      <c r="Q112" s="19"/>
      <c r="R112" s="19"/>
      <c r="S112" s="19"/>
      <c r="T112" s="19"/>
      <c r="U112" s="19"/>
      <c r="V112" s="19"/>
      <c r="W112" s="19"/>
      <c r="X112" s="19"/>
      <c r="Y112" s="19"/>
      <c r="Z112" s="19"/>
    </row>
    <row r="113" spans="2:26" ht="12" customHeight="1">
      <c r="B113" s="19"/>
      <c r="C113" s="19"/>
      <c r="D113" s="19"/>
      <c r="E113" s="19"/>
      <c r="F113" s="19"/>
      <c r="G113" s="19"/>
      <c r="H113" s="19"/>
      <c r="I113" s="19"/>
      <c r="J113" s="19"/>
      <c r="K113" s="19"/>
      <c r="L113" s="19"/>
      <c r="M113" s="19"/>
      <c r="N113" s="19"/>
      <c r="O113" s="19"/>
      <c r="P113" s="19"/>
      <c r="Q113" s="19"/>
      <c r="R113" s="19"/>
      <c r="S113" s="19"/>
      <c r="T113" s="19"/>
      <c r="U113" s="19"/>
      <c r="V113" s="19"/>
      <c r="W113" s="19"/>
      <c r="X113" s="19"/>
      <c r="Y113" s="19"/>
      <c r="Z113" s="19"/>
    </row>
    <row r="114" spans="2:26" ht="12" customHeight="1">
      <c r="B114" s="19"/>
      <c r="C114" s="19"/>
      <c r="D114" s="19"/>
      <c r="E114" s="19"/>
      <c r="F114" s="19"/>
      <c r="G114" s="19"/>
      <c r="H114" s="19"/>
      <c r="I114" s="19"/>
      <c r="J114" s="19"/>
      <c r="K114" s="19"/>
      <c r="L114" s="19"/>
      <c r="M114" s="19"/>
      <c r="N114" s="19"/>
      <c r="O114" s="19"/>
      <c r="P114" s="19"/>
      <c r="Q114" s="19"/>
      <c r="R114" s="19"/>
      <c r="S114" s="19"/>
      <c r="T114" s="19"/>
      <c r="U114" s="19"/>
      <c r="V114" s="19"/>
      <c r="W114" s="19"/>
      <c r="X114" s="19"/>
      <c r="Y114" s="19"/>
      <c r="Z114" s="19"/>
    </row>
    <row r="115" spans="2:26" ht="12" customHeight="1">
      <c r="B115" s="19"/>
      <c r="C115" s="19"/>
      <c r="D115" s="19"/>
      <c r="E115" s="19"/>
      <c r="F115" s="19"/>
      <c r="G115" s="19"/>
      <c r="H115" s="19"/>
      <c r="I115" s="19"/>
      <c r="J115" s="19"/>
      <c r="K115" s="19"/>
      <c r="L115" s="19"/>
      <c r="M115" s="19"/>
      <c r="N115" s="19"/>
      <c r="O115" s="19"/>
      <c r="P115" s="19"/>
      <c r="Q115" s="19"/>
      <c r="R115" s="19"/>
      <c r="S115" s="19"/>
      <c r="T115" s="19"/>
      <c r="U115" s="19"/>
      <c r="V115" s="19"/>
      <c r="W115" s="19"/>
      <c r="X115" s="19"/>
      <c r="Y115" s="19"/>
      <c r="Z115" s="19"/>
    </row>
    <row r="116" spans="2:26" ht="12" customHeight="1">
      <c r="B116" s="19"/>
      <c r="C116" s="19"/>
      <c r="D116" s="19"/>
      <c r="E116" s="19"/>
      <c r="F116" s="19"/>
      <c r="G116" s="19"/>
      <c r="H116" s="19"/>
      <c r="I116" s="19"/>
      <c r="J116" s="19"/>
      <c r="K116" s="19"/>
      <c r="L116" s="19"/>
      <c r="M116" s="19"/>
      <c r="N116" s="19"/>
      <c r="O116" s="19"/>
      <c r="P116" s="19"/>
      <c r="Q116" s="19"/>
      <c r="R116" s="19"/>
      <c r="S116" s="19"/>
      <c r="T116" s="19"/>
      <c r="U116" s="19"/>
      <c r="V116" s="19"/>
      <c r="W116" s="19"/>
      <c r="X116" s="19"/>
      <c r="Y116" s="19"/>
      <c r="Z116" s="19"/>
    </row>
    <row r="117" spans="2:26" ht="12" customHeight="1">
      <c r="B117" s="19"/>
      <c r="C117" s="19"/>
      <c r="D117" s="19"/>
      <c r="E117" s="19"/>
      <c r="F117" s="19"/>
      <c r="G117" s="19"/>
      <c r="H117" s="19"/>
      <c r="I117" s="19"/>
      <c r="J117" s="19"/>
      <c r="K117" s="19"/>
      <c r="L117" s="19"/>
      <c r="M117" s="19"/>
      <c r="N117" s="19"/>
      <c r="O117" s="19"/>
      <c r="P117" s="19"/>
      <c r="Q117" s="19"/>
      <c r="R117" s="19"/>
      <c r="S117" s="19"/>
      <c r="T117" s="19"/>
      <c r="U117" s="19"/>
      <c r="V117" s="19"/>
      <c r="W117" s="19"/>
      <c r="X117" s="19"/>
      <c r="Y117" s="19"/>
      <c r="Z117" s="19"/>
    </row>
    <row r="118" spans="2:26" ht="12" customHeight="1">
      <c r="B118" s="19"/>
      <c r="C118" s="19"/>
      <c r="D118" s="19"/>
      <c r="E118" s="19"/>
      <c r="F118" s="19"/>
      <c r="G118" s="19"/>
      <c r="H118" s="19"/>
      <c r="I118" s="19"/>
      <c r="J118" s="19"/>
      <c r="K118" s="19"/>
      <c r="L118" s="19"/>
      <c r="M118" s="19"/>
      <c r="N118" s="19"/>
      <c r="O118" s="19"/>
      <c r="P118" s="19"/>
      <c r="Q118" s="19"/>
      <c r="R118" s="19"/>
      <c r="S118" s="19"/>
      <c r="T118" s="19"/>
      <c r="U118" s="19"/>
      <c r="V118" s="19"/>
      <c r="W118" s="19"/>
      <c r="X118" s="19"/>
      <c r="Y118" s="19"/>
      <c r="Z118" s="19"/>
    </row>
    <row r="119" spans="2:26" ht="12" customHeight="1">
      <c r="B119" s="19"/>
      <c r="C119" s="19"/>
      <c r="D119" s="19"/>
      <c r="E119" s="19"/>
      <c r="F119" s="19"/>
      <c r="G119" s="19"/>
      <c r="H119" s="19"/>
      <c r="I119" s="19"/>
      <c r="J119" s="19"/>
      <c r="K119" s="19"/>
      <c r="L119" s="19"/>
      <c r="M119" s="19"/>
      <c r="N119" s="19"/>
      <c r="O119" s="19"/>
      <c r="P119" s="19"/>
      <c r="Q119" s="19"/>
      <c r="R119" s="19"/>
      <c r="S119" s="19"/>
      <c r="T119" s="19"/>
      <c r="U119" s="19"/>
      <c r="V119" s="19"/>
      <c r="W119" s="19"/>
      <c r="X119" s="19"/>
      <c r="Y119" s="19"/>
      <c r="Z119" s="19"/>
    </row>
    <row r="120" spans="2:26" ht="12" customHeight="1">
      <c r="B120" s="19"/>
      <c r="C120" s="19"/>
      <c r="D120" s="19"/>
      <c r="E120" s="19"/>
      <c r="F120" s="19"/>
      <c r="G120" s="19"/>
      <c r="H120" s="19"/>
      <c r="I120" s="19"/>
      <c r="J120" s="19"/>
      <c r="K120" s="19"/>
      <c r="L120" s="19"/>
      <c r="M120" s="19"/>
      <c r="N120" s="19"/>
      <c r="O120" s="19"/>
      <c r="P120" s="19"/>
      <c r="Q120" s="19"/>
      <c r="R120" s="19"/>
      <c r="S120" s="19"/>
      <c r="T120" s="19"/>
      <c r="U120" s="19"/>
      <c r="V120" s="19"/>
      <c r="W120" s="19"/>
      <c r="X120" s="19"/>
      <c r="Y120" s="19"/>
      <c r="Z120" s="19"/>
    </row>
    <row r="121" spans="2:26" ht="12" customHeight="1">
      <c r="B121" s="19"/>
      <c r="C121" s="19"/>
      <c r="D121" s="19"/>
      <c r="E121" s="19"/>
      <c r="F121" s="19"/>
      <c r="G121" s="19"/>
      <c r="H121" s="19"/>
      <c r="I121" s="19"/>
      <c r="J121" s="19"/>
      <c r="K121" s="19"/>
      <c r="L121" s="19"/>
      <c r="M121" s="19"/>
      <c r="N121" s="19"/>
      <c r="O121" s="19"/>
      <c r="P121" s="19"/>
      <c r="Q121" s="19"/>
      <c r="R121" s="19"/>
      <c r="S121" s="19"/>
      <c r="T121" s="19"/>
      <c r="U121" s="19"/>
      <c r="V121" s="19"/>
      <c r="W121" s="19"/>
      <c r="X121" s="19"/>
      <c r="Y121" s="19"/>
      <c r="Z121" s="19"/>
    </row>
    <row r="122" spans="2:26" ht="12" customHeight="1">
      <c r="B122" s="19"/>
      <c r="C122" s="19"/>
      <c r="D122" s="19"/>
      <c r="E122" s="19"/>
      <c r="F122" s="19"/>
      <c r="G122" s="19"/>
      <c r="H122" s="19"/>
      <c r="I122" s="19"/>
      <c r="J122" s="19"/>
      <c r="K122" s="19"/>
      <c r="L122" s="19"/>
      <c r="M122" s="19"/>
      <c r="N122" s="19"/>
      <c r="O122" s="19"/>
      <c r="P122" s="19"/>
      <c r="Q122" s="19"/>
      <c r="R122" s="19"/>
      <c r="S122" s="19"/>
      <c r="T122" s="19"/>
      <c r="U122" s="19"/>
      <c r="V122" s="19"/>
      <c r="W122" s="19"/>
      <c r="X122" s="19"/>
      <c r="Y122" s="19"/>
      <c r="Z122" s="19"/>
    </row>
    <row r="123" spans="2:26" ht="12" customHeight="1">
      <c r="B123" s="19"/>
      <c r="C123" s="19"/>
      <c r="D123" s="19"/>
      <c r="E123" s="19"/>
      <c r="F123" s="19"/>
      <c r="G123" s="19"/>
      <c r="H123" s="19"/>
      <c r="I123" s="19"/>
      <c r="J123" s="19"/>
      <c r="K123" s="19"/>
      <c r="L123" s="19"/>
      <c r="M123" s="19"/>
      <c r="N123" s="19"/>
      <c r="O123" s="19"/>
      <c r="P123" s="19"/>
      <c r="Q123" s="19"/>
      <c r="R123" s="19"/>
      <c r="S123" s="19"/>
      <c r="T123" s="19"/>
      <c r="U123" s="19"/>
      <c r="V123" s="19"/>
      <c r="W123" s="19"/>
      <c r="X123" s="19"/>
      <c r="Y123" s="19"/>
      <c r="Z123" s="19"/>
    </row>
    <row r="124" spans="2:26" ht="12" customHeight="1">
      <c r="B124" s="19"/>
      <c r="C124" s="19"/>
      <c r="D124" s="19"/>
      <c r="E124" s="19"/>
      <c r="F124" s="19"/>
      <c r="G124" s="19"/>
      <c r="H124" s="19"/>
      <c r="I124" s="19"/>
      <c r="J124" s="19"/>
      <c r="K124" s="19"/>
      <c r="L124" s="19"/>
      <c r="M124" s="19"/>
      <c r="N124" s="19"/>
      <c r="O124" s="19"/>
      <c r="P124" s="19"/>
      <c r="Q124" s="19"/>
      <c r="R124" s="19"/>
      <c r="S124" s="19"/>
      <c r="T124" s="19"/>
      <c r="U124" s="19"/>
      <c r="V124" s="19"/>
      <c r="W124" s="19"/>
      <c r="X124" s="19"/>
      <c r="Y124" s="19"/>
      <c r="Z124" s="19"/>
    </row>
    <row r="125" spans="2:26" ht="12" customHeight="1">
      <c r="B125" s="19"/>
      <c r="C125" s="19"/>
      <c r="D125" s="19"/>
      <c r="E125" s="19"/>
      <c r="F125" s="19"/>
      <c r="G125" s="19"/>
      <c r="H125" s="19"/>
      <c r="I125" s="19"/>
      <c r="J125" s="19"/>
      <c r="K125" s="19"/>
      <c r="L125" s="19"/>
      <c r="M125" s="19"/>
      <c r="N125" s="19"/>
      <c r="O125" s="19"/>
      <c r="P125" s="19"/>
      <c r="Q125" s="19"/>
      <c r="R125" s="19"/>
      <c r="S125" s="19"/>
      <c r="T125" s="19"/>
      <c r="U125" s="19"/>
      <c r="V125" s="19"/>
      <c r="W125" s="19"/>
      <c r="X125" s="19"/>
      <c r="Y125" s="19"/>
      <c r="Z125" s="19"/>
    </row>
    <row r="126" spans="2:26" ht="12" customHeight="1">
      <c r="B126" s="19"/>
      <c r="C126" s="19"/>
      <c r="D126" s="19"/>
      <c r="E126" s="19"/>
      <c r="F126" s="19"/>
      <c r="G126" s="19"/>
      <c r="H126" s="19"/>
      <c r="I126" s="19"/>
      <c r="J126" s="19"/>
      <c r="K126" s="19"/>
      <c r="L126" s="19"/>
      <c r="M126" s="19"/>
      <c r="N126" s="19"/>
      <c r="O126" s="19"/>
      <c r="P126" s="19"/>
      <c r="Q126" s="19"/>
      <c r="R126" s="19"/>
      <c r="S126" s="19"/>
      <c r="T126" s="19"/>
      <c r="U126" s="19"/>
      <c r="V126" s="19"/>
      <c r="W126" s="19"/>
      <c r="X126" s="19"/>
      <c r="Y126" s="19"/>
      <c r="Z126" s="19"/>
    </row>
    <row r="127" spans="2:26" ht="12" customHeight="1">
      <c r="B127" s="19"/>
      <c r="C127" s="19"/>
      <c r="D127" s="19"/>
      <c r="E127" s="19"/>
      <c r="F127" s="19"/>
      <c r="G127" s="19"/>
      <c r="H127" s="19"/>
      <c r="I127" s="19"/>
      <c r="J127" s="19"/>
      <c r="K127" s="19"/>
      <c r="L127" s="19"/>
      <c r="M127" s="19"/>
      <c r="N127" s="19"/>
      <c r="O127" s="19"/>
      <c r="P127" s="19"/>
      <c r="Q127" s="19"/>
      <c r="R127" s="19"/>
      <c r="S127" s="19"/>
      <c r="T127" s="19"/>
      <c r="U127" s="19"/>
      <c r="V127" s="19"/>
      <c r="W127" s="19"/>
      <c r="X127" s="19"/>
      <c r="Y127" s="19"/>
      <c r="Z127" s="19"/>
    </row>
    <row r="128" spans="2:26" ht="12" customHeight="1">
      <c r="B128" s="19"/>
      <c r="C128" s="19"/>
      <c r="D128" s="19"/>
      <c r="E128" s="19"/>
      <c r="F128" s="19"/>
      <c r="G128" s="19"/>
      <c r="H128" s="19"/>
      <c r="I128" s="19"/>
      <c r="J128" s="19"/>
      <c r="K128" s="19"/>
      <c r="L128" s="19"/>
      <c r="M128" s="19"/>
      <c r="N128" s="19"/>
      <c r="O128" s="19"/>
      <c r="P128" s="19"/>
      <c r="Q128" s="19"/>
      <c r="R128" s="19"/>
      <c r="S128" s="19"/>
      <c r="T128" s="19"/>
      <c r="U128" s="19"/>
      <c r="V128" s="19"/>
      <c r="W128" s="19"/>
      <c r="X128" s="19"/>
      <c r="Y128" s="19"/>
      <c r="Z128" s="19"/>
    </row>
    <row r="129" spans="2:26" ht="12" customHeight="1">
      <c r="B129" s="19"/>
      <c r="C129" s="19"/>
      <c r="D129" s="19"/>
      <c r="E129" s="19"/>
      <c r="F129" s="19"/>
      <c r="G129" s="19"/>
      <c r="H129" s="19"/>
      <c r="I129" s="19"/>
      <c r="J129" s="19"/>
      <c r="K129" s="19"/>
      <c r="L129" s="19"/>
      <c r="M129" s="19"/>
      <c r="N129" s="19"/>
      <c r="O129" s="19"/>
      <c r="P129" s="19"/>
      <c r="Q129" s="19"/>
      <c r="R129" s="19"/>
      <c r="S129" s="19"/>
      <c r="T129" s="19"/>
      <c r="U129" s="19"/>
      <c r="V129" s="19"/>
      <c r="W129" s="19"/>
      <c r="X129" s="19"/>
      <c r="Y129" s="19"/>
      <c r="Z129" s="19"/>
    </row>
    <row r="130" spans="2:26" ht="12" customHeight="1">
      <c r="B130" s="19"/>
      <c r="C130" s="19"/>
      <c r="D130" s="19"/>
      <c r="E130" s="19"/>
      <c r="F130" s="19"/>
      <c r="G130" s="19"/>
      <c r="H130" s="19"/>
      <c r="I130" s="19"/>
      <c r="J130" s="19"/>
      <c r="K130" s="19"/>
      <c r="L130" s="19"/>
      <c r="M130" s="19"/>
      <c r="N130" s="19"/>
      <c r="O130" s="19"/>
      <c r="P130" s="19"/>
      <c r="Q130" s="19"/>
      <c r="R130" s="19"/>
      <c r="S130" s="19"/>
      <c r="T130" s="19"/>
      <c r="U130" s="19"/>
      <c r="V130" s="19"/>
      <c r="W130" s="19"/>
      <c r="X130" s="19"/>
      <c r="Y130" s="19"/>
      <c r="Z130" s="19"/>
    </row>
    <row r="131" spans="2:26" ht="12" customHeight="1">
      <c r="B131" s="19"/>
      <c r="C131" s="19"/>
      <c r="D131" s="19"/>
      <c r="E131" s="19"/>
      <c r="F131" s="19"/>
      <c r="G131" s="19"/>
      <c r="H131" s="19"/>
      <c r="I131" s="19"/>
      <c r="J131" s="19"/>
      <c r="K131" s="19"/>
      <c r="L131" s="19"/>
      <c r="M131" s="19"/>
      <c r="N131" s="19"/>
      <c r="O131" s="19"/>
      <c r="P131" s="19"/>
      <c r="Q131" s="19"/>
      <c r="R131" s="19"/>
      <c r="S131" s="19"/>
      <c r="T131" s="19"/>
      <c r="U131" s="19"/>
      <c r="V131" s="19"/>
      <c r="W131" s="19"/>
      <c r="X131" s="19"/>
      <c r="Y131" s="19"/>
      <c r="Z131" s="19"/>
    </row>
    <row r="132" spans="2:26" ht="12" customHeight="1">
      <c r="B132" s="19"/>
      <c r="C132" s="19"/>
      <c r="D132" s="19"/>
      <c r="E132" s="19"/>
      <c r="F132" s="19"/>
      <c r="G132" s="19"/>
      <c r="H132" s="19"/>
      <c r="I132" s="19"/>
      <c r="J132" s="19"/>
      <c r="K132" s="19"/>
      <c r="L132" s="19"/>
      <c r="M132" s="19"/>
      <c r="N132" s="19"/>
      <c r="O132" s="19"/>
      <c r="P132" s="19"/>
      <c r="Q132" s="19"/>
      <c r="R132" s="19"/>
      <c r="S132" s="19"/>
      <c r="T132" s="19"/>
      <c r="U132" s="19"/>
      <c r="V132" s="19"/>
      <c r="W132" s="19"/>
      <c r="X132" s="19"/>
      <c r="Y132" s="19"/>
      <c r="Z132" s="19"/>
    </row>
    <row r="133" spans="2:26" ht="12" customHeight="1">
      <c r="B133" s="19"/>
      <c r="C133" s="19"/>
      <c r="D133" s="19"/>
      <c r="E133" s="19"/>
      <c r="F133" s="19"/>
      <c r="G133" s="19"/>
      <c r="H133" s="19"/>
      <c r="I133" s="19"/>
      <c r="J133" s="19"/>
      <c r="K133" s="19"/>
      <c r="L133" s="19"/>
      <c r="M133" s="19"/>
      <c r="N133" s="19"/>
      <c r="O133" s="19"/>
      <c r="P133" s="19"/>
      <c r="Q133" s="19"/>
      <c r="R133" s="19"/>
      <c r="S133" s="19"/>
      <c r="T133" s="19"/>
      <c r="U133" s="19"/>
      <c r="V133" s="19"/>
      <c r="W133" s="19"/>
      <c r="X133" s="19"/>
      <c r="Y133" s="19"/>
      <c r="Z133" s="19"/>
    </row>
    <row r="134" spans="2:26" ht="12" customHeight="1">
      <c r="B134" s="19"/>
      <c r="C134" s="19"/>
      <c r="D134" s="19"/>
      <c r="E134" s="19"/>
      <c r="F134" s="19"/>
      <c r="G134" s="19"/>
      <c r="H134" s="19"/>
      <c r="I134" s="19"/>
      <c r="J134" s="19"/>
      <c r="K134" s="19"/>
      <c r="L134" s="19"/>
      <c r="M134" s="19"/>
      <c r="N134" s="19"/>
      <c r="O134" s="19"/>
      <c r="P134" s="19"/>
      <c r="Q134" s="19"/>
      <c r="R134" s="19"/>
      <c r="S134" s="19"/>
      <c r="T134" s="19"/>
      <c r="U134" s="19"/>
      <c r="V134" s="19"/>
      <c r="W134" s="19"/>
      <c r="X134" s="19"/>
      <c r="Y134" s="19"/>
      <c r="Z134" s="19"/>
    </row>
    <row r="135" spans="2:26" ht="12" customHeight="1">
      <c r="B135" s="19"/>
      <c r="C135" s="19"/>
      <c r="D135" s="19"/>
      <c r="E135" s="19"/>
      <c r="F135" s="19"/>
      <c r="G135" s="19"/>
      <c r="H135" s="19"/>
      <c r="I135" s="19"/>
      <c r="J135" s="19"/>
      <c r="K135" s="19"/>
      <c r="L135" s="19"/>
      <c r="M135" s="19"/>
      <c r="N135" s="19"/>
      <c r="O135" s="19"/>
      <c r="P135" s="19"/>
      <c r="Q135" s="19"/>
      <c r="R135" s="19"/>
      <c r="S135" s="19"/>
      <c r="T135" s="19"/>
      <c r="U135" s="19"/>
      <c r="V135" s="19"/>
      <c r="W135" s="19"/>
      <c r="X135" s="19"/>
      <c r="Y135" s="19"/>
      <c r="Z135" s="19"/>
    </row>
    <row r="136" spans="2:26" ht="12" customHeight="1">
      <c r="B136" s="19"/>
      <c r="C136" s="19"/>
      <c r="D136" s="19"/>
      <c r="E136" s="19"/>
      <c r="F136" s="19"/>
      <c r="G136" s="19"/>
      <c r="H136" s="19"/>
      <c r="I136" s="19"/>
      <c r="J136" s="19"/>
      <c r="K136" s="19"/>
      <c r="L136" s="19"/>
      <c r="M136" s="19"/>
      <c r="N136" s="19"/>
      <c r="O136" s="19"/>
      <c r="P136" s="19"/>
      <c r="Q136" s="19"/>
      <c r="R136" s="19"/>
      <c r="S136" s="19"/>
      <c r="T136" s="19"/>
      <c r="U136" s="19"/>
      <c r="V136" s="19"/>
      <c r="W136" s="19"/>
      <c r="X136" s="19"/>
      <c r="Y136" s="19"/>
      <c r="Z136" s="19"/>
    </row>
    <row r="137" spans="2:26" ht="12" customHeight="1">
      <c r="B137" s="19"/>
      <c r="C137" s="19"/>
      <c r="D137" s="19"/>
      <c r="E137" s="19"/>
      <c r="F137" s="19"/>
      <c r="G137" s="19"/>
      <c r="H137" s="19"/>
      <c r="I137" s="19"/>
      <c r="J137" s="19"/>
      <c r="K137" s="19"/>
      <c r="L137" s="19"/>
      <c r="M137" s="19"/>
      <c r="N137" s="19"/>
      <c r="O137" s="19"/>
      <c r="P137" s="19"/>
      <c r="Q137" s="19"/>
      <c r="R137" s="19"/>
      <c r="S137" s="19"/>
      <c r="T137" s="19"/>
      <c r="U137" s="19"/>
      <c r="V137" s="19"/>
      <c r="W137" s="19"/>
      <c r="X137" s="19"/>
      <c r="Y137" s="19"/>
      <c r="Z137" s="19"/>
    </row>
    <row r="138" spans="2:26" ht="12" customHeight="1">
      <c r="B138" s="19"/>
      <c r="C138" s="19"/>
      <c r="D138" s="19"/>
      <c r="E138" s="19"/>
      <c r="F138" s="19"/>
      <c r="G138" s="19"/>
      <c r="H138" s="19"/>
      <c r="I138" s="19"/>
      <c r="J138" s="19"/>
      <c r="K138" s="19"/>
      <c r="L138" s="19"/>
      <c r="M138" s="19"/>
      <c r="N138" s="19"/>
      <c r="O138" s="19"/>
      <c r="P138" s="19"/>
      <c r="Q138" s="19"/>
      <c r="R138" s="19"/>
      <c r="S138" s="19"/>
      <c r="T138" s="19"/>
      <c r="U138" s="19"/>
      <c r="V138" s="19"/>
      <c r="W138" s="19"/>
      <c r="X138" s="19"/>
      <c r="Y138" s="19"/>
      <c r="Z138" s="19"/>
    </row>
    <row r="139" spans="2:26" ht="12" customHeight="1">
      <c r="B139" s="19"/>
      <c r="C139" s="19"/>
      <c r="D139" s="19"/>
      <c r="E139" s="19"/>
      <c r="F139" s="19"/>
      <c r="G139" s="19"/>
      <c r="H139" s="19"/>
      <c r="I139" s="19"/>
      <c r="J139" s="19"/>
      <c r="K139" s="19"/>
      <c r="L139" s="19"/>
      <c r="M139" s="19"/>
      <c r="N139" s="19"/>
      <c r="O139" s="19"/>
      <c r="P139" s="19"/>
      <c r="Q139" s="19"/>
      <c r="R139" s="19"/>
      <c r="S139" s="19"/>
      <c r="T139" s="19"/>
      <c r="U139" s="19"/>
      <c r="V139" s="19"/>
      <c r="W139" s="19"/>
      <c r="X139" s="19"/>
      <c r="Y139" s="19"/>
      <c r="Z139" s="19"/>
    </row>
    <row r="140" spans="2:26" ht="12" customHeight="1">
      <c r="B140" s="19"/>
      <c r="C140" s="19"/>
      <c r="D140" s="19"/>
      <c r="E140" s="19"/>
      <c r="F140" s="19"/>
      <c r="G140" s="19"/>
      <c r="H140" s="19"/>
      <c r="I140" s="19"/>
      <c r="J140" s="19"/>
      <c r="K140" s="19"/>
      <c r="L140" s="19"/>
      <c r="M140" s="19"/>
      <c r="N140" s="19"/>
      <c r="O140" s="19"/>
      <c r="P140" s="19"/>
      <c r="Q140" s="19"/>
      <c r="R140" s="19"/>
      <c r="S140" s="19"/>
      <c r="T140" s="19"/>
      <c r="U140" s="19"/>
      <c r="V140" s="19"/>
      <c r="W140" s="19"/>
      <c r="X140" s="19"/>
      <c r="Y140" s="19"/>
      <c r="Z140" s="19"/>
    </row>
    <row r="141" spans="2:26" ht="12" customHeight="1">
      <c r="B141" s="19"/>
      <c r="C141" s="19"/>
      <c r="D141" s="19"/>
      <c r="E141" s="19"/>
      <c r="F141" s="19"/>
      <c r="G141" s="19"/>
      <c r="H141" s="19"/>
      <c r="I141" s="19"/>
      <c r="J141" s="19"/>
      <c r="K141" s="19"/>
      <c r="L141" s="19"/>
      <c r="M141" s="19"/>
      <c r="N141" s="19"/>
      <c r="O141" s="19"/>
      <c r="P141" s="19"/>
      <c r="Q141" s="19"/>
      <c r="R141" s="19"/>
      <c r="S141" s="19"/>
      <c r="T141" s="19"/>
      <c r="U141" s="19"/>
      <c r="V141" s="19"/>
      <c r="W141" s="19"/>
      <c r="X141" s="19"/>
      <c r="Y141" s="19"/>
      <c r="Z141" s="19"/>
    </row>
    <row r="142" spans="2:26" ht="12" customHeight="1">
      <c r="B142" s="19"/>
      <c r="C142" s="19"/>
      <c r="D142" s="19"/>
      <c r="E142" s="19"/>
      <c r="F142" s="19"/>
      <c r="G142" s="19"/>
      <c r="H142" s="19"/>
      <c r="I142" s="19"/>
      <c r="J142" s="19"/>
      <c r="K142" s="19"/>
      <c r="L142" s="19"/>
      <c r="M142" s="19"/>
      <c r="N142" s="19"/>
      <c r="O142" s="19"/>
      <c r="P142" s="19"/>
      <c r="Q142" s="19"/>
      <c r="R142" s="19"/>
      <c r="S142" s="19"/>
      <c r="T142" s="19"/>
      <c r="U142" s="19"/>
      <c r="V142" s="19"/>
      <c r="W142" s="19"/>
      <c r="X142" s="19"/>
      <c r="Y142" s="19"/>
      <c r="Z142" s="19"/>
    </row>
    <row r="143" spans="2:26" ht="12" customHeight="1">
      <c r="B143" s="19"/>
      <c r="C143" s="19"/>
      <c r="D143" s="19"/>
      <c r="E143" s="19"/>
      <c r="F143" s="19"/>
      <c r="G143" s="19"/>
      <c r="H143" s="19"/>
      <c r="I143" s="19"/>
      <c r="J143" s="19"/>
      <c r="K143" s="19"/>
      <c r="L143" s="19"/>
      <c r="M143" s="19"/>
      <c r="N143" s="19"/>
      <c r="O143" s="19"/>
      <c r="P143" s="19"/>
      <c r="Q143" s="19"/>
      <c r="R143" s="19"/>
      <c r="S143" s="19"/>
      <c r="T143" s="19"/>
      <c r="U143" s="19"/>
      <c r="V143" s="19"/>
      <c r="W143" s="19"/>
      <c r="X143" s="19"/>
      <c r="Y143" s="19"/>
      <c r="Z143" s="19"/>
    </row>
    <row r="144" spans="2:26" ht="12" customHeight="1">
      <c r="B144" s="19"/>
      <c r="C144" s="19"/>
      <c r="D144" s="19"/>
      <c r="E144" s="19"/>
      <c r="F144" s="19"/>
      <c r="G144" s="19"/>
      <c r="H144" s="19"/>
      <c r="I144" s="19"/>
      <c r="J144" s="19"/>
      <c r="K144" s="19"/>
      <c r="L144" s="19"/>
      <c r="M144" s="19"/>
      <c r="N144" s="19"/>
      <c r="O144" s="19"/>
      <c r="P144" s="19"/>
      <c r="Q144" s="19"/>
      <c r="R144" s="19"/>
      <c r="S144" s="19"/>
      <c r="T144" s="19"/>
      <c r="U144" s="19"/>
      <c r="V144" s="19"/>
      <c r="W144" s="19"/>
      <c r="X144" s="19"/>
      <c r="Y144" s="19"/>
      <c r="Z144" s="19"/>
    </row>
    <row r="145" spans="2:26" ht="12" customHeight="1">
      <c r="B145" s="19"/>
      <c r="C145" s="19"/>
      <c r="D145" s="19"/>
      <c r="E145" s="19"/>
      <c r="F145" s="19"/>
      <c r="G145" s="19"/>
      <c r="H145" s="19"/>
      <c r="I145" s="19"/>
      <c r="J145" s="19"/>
      <c r="K145" s="19"/>
      <c r="L145" s="19"/>
      <c r="M145" s="19"/>
      <c r="N145" s="19"/>
      <c r="O145" s="19"/>
      <c r="P145" s="19"/>
      <c r="Q145" s="19"/>
      <c r="R145" s="19"/>
      <c r="S145" s="19"/>
      <c r="T145" s="19"/>
      <c r="U145" s="19"/>
      <c r="V145" s="19"/>
      <c r="W145" s="19"/>
      <c r="X145" s="19"/>
      <c r="Y145" s="19"/>
      <c r="Z145" s="19"/>
    </row>
    <row r="146" spans="2:26" ht="12" customHeight="1">
      <c r="B146" s="19"/>
      <c r="C146" s="19"/>
      <c r="D146" s="19"/>
      <c r="E146" s="19"/>
      <c r="F146" s="19"/>
      <c r="G146" s="19"/>
      <c r="H146" s="19"/>
      <c r="I146" s="19"/>
      <c r="J146" s="19"/>
      <c r="K146" s="19"/>
      <c r="L146" s="19"/>
      <c r="M146" s="19"/>
      <c r="N146" s="19"/>
      <c r="O146" s="19"/>
      <c r="P146" s="19"/>
      <c r="Q146" s="19"/>
      <c r="R146" s="19"/>
      <c r="S146" s="19"/>
      <c r="T146" s="19"/>
      <c r="U146" s="19"/>
      <c r="V146" s="19"/>
      <c r="W146" s="19"/>
      <c r="X146" s="19"/>
      <c r="Y146" s="19"/>
      <c r="Z146" s="19"/>
    </row>
    <row r="147" spans="2:26" ht="12" customHeight="1">
      <c r="B147" s="19"/>
      <c r="C147" s="19"/>
      <c r="D147" s="19"/>
      <c r="E147" s="19"/>
      <c r="F147" s="19"/>
      <c r="G147" s="19"/>
      <c r="H147" s="19"/>
      <c r="I147" s="19"/>
      <c r="J147" s="19"/>
      <c r="K147" s="19"/>
      <c r="L147" s="19"/>
      <c r="M147" s="19"/>
      <c r="N147" s="19"/>
      <c r="O147" s="19"/>
      <c r="P147" s="19"/>
      <c r="Q147" s="19"/>
      <c r="R147" s="19"/>
      <c r="S147" s="19"/>
      <c r="T147" s="19"/>
      <c r="U147" s="19"/>
      <c r="V147" s="19"/>
      <c r="W147" s="19"/>
      <c r="X147" s="19"/>
      <c r="Y147" s="19"/>
      <c r="Z147" s="19"/>
    </row>
    <row r="148" spans="2:26" ht="12" customHeight="1">
      <c r="B148" s="19"/>
      <c r="C148" s="19"/>
      <c r="D148" s="19"/>
      <c r="E148" s="19"/>
      <c r="F148" s="19"/>
      <c r="G148" s="19"/>
      <c r="H148" s="19"/>
      <c r="I148" s="19"/>
      <c r="J148" s="19"/>
      <c r="K148" s="19"/>
      <c r="L148" s="19"/>
      <c r="M148" s="19"/>
      <c r="N148" s="19"/>
      <c r="O148" s="19"/>
      <c r="P148" s="19"/>
      <c r="Q148" s="19"/>
      <c r="R148" s="19"/>
      <c r="S148" s="19"/>
      <c r="T148" s="19"/>
      <c r="U148" s="19"/>
      <c r="V148" s="19"/>
      <c r="W148" s="19"/>
      <c r="X148" s="19"/>
      <c r="Y148" s="19"/>
      <c r="Z148" s="19"/>
    </row>
    <row r="149" spans="2:26" ht="12" customHeight="1">
      <c r="B149" s="19"/>
      <c r="C149" s="19"/>
      <c r="D149" s="19"/>
      <c r="E149" s="19"/>
      <c r="F149" s="19"/>
      <c r="G149" s="19"/>
      <c r="H149" s="19"/>
      <c r="I149" s="19"/>
      <c r="J149" s="19"/>
      <c r="K149" s="19"/>
      <c r="L149" s="19"/>
      <c r="M149" s="19"/>
      <c r="N149" s="19"/>
      <c r="O149" s="19"/>
      <c r="P149" s="19"/>
      <c r="Q149" s="19"/>
      <c r="R149" s="19"/>
      <c r="S149" s="19"/>
      <c r="T149" s="19"/>
      <c r="U149" s="19"/>
      <c r="V149" s="19"/>
      <c r="W149" s="19"/>
      <c r="X149" s="19"/>
      <c r="Y149" s="19"/>
      <c r="Z149" s="19"/>
    </row>
    <row r="150" spans="2:26" ht="12" customHeight="1">
      <c r="B150" s="19"/>
      <c r="C150" s="19"/>
      <c r="D150" s="19"/>
      <c r="E150" s="19"/>
      <c r="F150" s="19"/>
      <c r="G150" s="19"/>
      <c r="H150" s="19"/>
      <c r="I150" s="19"/>
      <c r="J150" s="19"/>
      <c r="K150" s="19"/>
      <c r="L150" s="19"/>
      <c r="M150" s="19"/>
      <c r="N150" s="19"/>
      <c r="O150" s="19"/>
      <c r="P150" s="19"/>
      <c r="Q150" s="19"/>
      <c r="R150" s="19"/>
      <c r="S150" s="19"/>
      <c r="T150" s="19"/>
      <c r="U150" s="19"/>
      <c r="V150" s="19"/>
      <c r="W150" s="19"/>
      <c r="X150" s="19"/>
      <c r="Y150" s="19"/>
      <c r="Z150" s="19"/>
    </row>
    <row r="151" spans="2:26" ht="12" customHeight="1">
      <c r="B151" s="19"/>
      <c r="C151" s="19"/>
      <c r="D151" s="19"/>
      <c r="E151" s="19"/>
      <c r="F151" s="19"/>
      <c r="G151" s="19"/>
      <c r="H151" s="19"/>
      <c r="I151" s="19"/>
      <c r="J151" s="19"/>
      <c r="K151" s="19"/>
      <c r="L151" s="19"/>
      <c r="M151" s="19"/>
      <c r="N151" s="19"/>
      <c r="O151" s="19"/>
      <c r="P151" s="19"/>
      <c r="Q151" s="19"/>
      <c r="R151" s="19"/>
      <c r="S151" s="19"/>
      <c r="T151" s="19"/>
      <c r="U151" s="19"/>
      <c r="V151" s="19"/>
      <c r="W151" s="19"/>
      <c r="X151" s="19"/>
      <c r="Y151" s="19"/>
      <c r="Z151" s="19"/>
    </row>
    <row r="152" spans="2:26" ht="12" customHeight="1">
      <c r="B152" s="19"/>
      <c r="C152" s="19"/>
      <c r="D152" s="19"/>
      <c r="E152" s="19"/>
      <c r="F152" s="19"/>
      <c r="G152" s="19"/>
      <c r="H152" s="19"/>
      <c r="I152" s="19"/>
      <c r="J152" s="19"/>
      <c r="K152" s="19"/>
      <c r="L152" s="19"/>
      <c r="M152" s="19"/>
      <c r="N152" s="19"/>
      <c r="O152" s="19"/>
      <c r="P152" s="19"/>
      <c r="Q152" s="19"/>
      <c r="R152" s="19"/>
      <c r="S152" s="19"/>
      <c r="T152" s="19"/>
      <c r="U152" s="19"/>
      <c r="V152" s="19"/>
      <c r="W152" s="19"/>
      <c r="X152" s="19"/>
      <c r="Y152" s="19"/>
      <c r="Z152" s="19"/>
    </row>
    <row r="153" spans="2:26" ht="12" customHeight="1">
      <c r="B153" s="19"/>
      <c r="C153" s="19"/>
      <c r="D153" s="19"/>
      <c r="E153" s="19"/>
      <c r="F153" s="19"/>
      <c r="G153" s="19"/>
      <c r="H153" s="19"/>
      <c r="I153" s="19"/>
      <c r="J153" s="19"/>
      <c r="K153" s="19"/>
      <c r="L153" s="19"/>
      <c r="M153" s="19"/>
      <c r="N153" s="19"/>
      <c r="O153" s="19"/>
      <c r="P153" s="19"/>
      <c r="Q153" s="19"/>
      <c r="R153" s="19"/>
      <c r="S153" s="19"/>
      <c r="T153" s="19"/>
      <c r="U153" s="19"/>
      <c r="V153" s="19"/>
      <c r="W153" s="19"/>
      <c r="X153" s="19"/>
      <c r="Y153" s="19"/>
      <c r="Z153" s="19"/>
    </row>
    <row r="154" spans="2:26" ht="12" customHeight="1">
      <c r="B154" s="19"/>
      <c r="C154" s="19"/>
      <c r="D154" s="19"/>
      <c r="E154" s="19"/>
      <c r="F154" s="19"/>
      <c r="G154" s="19"/>
      <c r="H154" s="19"/>
      <c r="I154" s="19"/>
      <c r="J154" s="19"/>
      <c r="K154" s="19"/>
      <c r="L154" s="19"/>
      <c r="M154" s="19"/>
      <c r="N154" s="19"/>
      <c r="O154" s="19"/>
      <c r="P154" s="19"/>
      <c r="Q154" s="19"/>
      <c r="R154" s="19"/>
      <c r="S154" s="19"/>
      <c r="T154" s="19"/>
      <c r="U154" s="19"/>
      <c r="V154" s="19"/>
      <c r="W154" s="19"/>
      <c r="X154" s="19"/>
      <c r="Y154" s="19"/>
      <c r="Z154" s="19"/>
    </row>
    <row r="155" spans="2:26" ht="12" customHeight="1">
      <c r="B155" s="19"/>
      <c r="C155" s="19"/>
      <c r="D155" s="19"/>
      <c r="E155" s="19"/>
      <c r="F155" s="19"/>
      <c r="G155" s="19"/>
      <c r="H155" s="19"/>
      <c r="I155" s="19"/>
      <c r="J155" s="19"/>
      <c r="K155" s="19"/>
      <c r="L155" s="19"/>
      <c r="M155" s="19"/>
      <c r="N155" s="19"/>
      <c r="O155" s="19"/>
      <c r="P155" s="19"/>
      <c r="Q155" s="19"/>
      <c r="R155" s="19"/>
      <c r="S155" s="19"/>
      <c r="T155" s="19"/>
      <c r="U155" s="19"/>
      <c r="V155" s="19"/>
      <c r="W155" s="19"/>
      <c r="X155" s="19"/>
      <c r="Y155" s="19"/>
      <c r="Z155" s="19"/>
    </row>
    <row r="156" spans="2:26" ht="12" customHeight="1">
      <c r="B156" s="19"/>
      <c r="C156" s="19"/>
      <c r="D156" s="19"/>
      <c r="E156" s="19"/>
      <c r="F156" s="19"/>
      <c r="G156" s="19"/>
      <c r="H156" s="19"/>
      <c r="I156" s="19"/>
      <c r="J156" s="19"/>
      <c r="K156" s="19"/>
      <c r="L156" s="19"/>
      <c r="M156" s="19"/>
      <c r="N156" s="19"/>
      <c r="O156" s="19"/>
      <c r="P156" s="19"/>
      <c r="Q156" s="19"/>
      <c r="R156" s="19"/>
      <c r="S156" s="19"/>
      <c r="T156" s="19"/>
      <c r="U156" s="19"/>
      <c r="V156" s="19"/>
      <c r="W156" s="19"/>
      <c r="X156" s="19"/>
      <c r="Y156" s="19"/>
      <c r="Z156" s="19"/>
    </row>
    <row r="157" spans="2:26" ht="12" customHeight="1">
      <c r="B157" s="19"/>
      <c r="C157" s="19"/>
      <c r="D157" s="19"/>
      <c r="E157" s="19"/>
      <c r="F157" s="19"/>
      <c r="G157" s="19"/>
      <c r="H157" s="19"/>
      <c r="I157" s="19"/>
      <c r="J157" s="19"/>
      <c r="K157" s="19"/>
      <c r="L157" s="19"/>
      <c r="M157" s="19"/>
      <c r="N157" s="19"/>
      <c r="O157" s="19"/>
      <c r="P157" s="19"/>
      <c r="Q157" s="19"/>
      <c r="R157" s="19"/>
      <c r="S157" s="19"/>
      <c r="T157" s="19"/>
      <c r="U157" s="19"/>
      <c r="V157" s="19"/>
      <c r="W157" s="19"/>
      <c r="X157" s="19"/>
      <c r="Y157" s="19"/>
      <c r="Z157" s="19"/>
    </row>
    <row r="158" spans="2:26" ht="12" customHeight="1">
      <c r="B158" s="19"/>
      <c r="C158" s="19"/>
      <c r="D158" s="19"/>
      <c r="E158" s="19"/>
      <c r="F158" s="19"/>
      <c r="G158" s="19"/>
      <c r="H158" s="19"/>
      <c r="I158" s="19"/>
      <c r="J158" s="19"/>
      <c r="K158" s="19"/>
      <c r="L158" s="19"/>
      <c r="M158" s="19"/>
      <c r="N158" s="19"/>
      <c r="O158" s="19"/>
      <c r="P158" s="19"/>
      <c r="Q158" s="19"/>
      <c r="R158" s="19"/>
      <c r="S158" s="19"/>
      <c r="T158" s="19"/>
      <c r="U158" s="19"/>
      <c r="V158" s="19"/>
      <c r="W158" s="19"/>
      <c r="X158" s="19"/>
      <c r="Y158" s="19"/>
      <c r="Z158" s="19"/>
    </row>
    <row r="159" spans="2:26" ht="12" customHeight="1">
      <c r="B159" s="19"/>
      <c r="C159" s="19"/>
      <c r="D159" s="19"/>
      <c r="E159" s="19"/>
      <c r="F159" s="19"/>
      <c r="G159" s="19"/>
      <c r="H159" s="19"/>
      <c r="I159" s="19"/>
      <c r="J159" s="19"/>
      <c r="K159" s="19"/>
      <c r="L159" s="19"/>
      <c r="M159" s="19"/>
      <c r="N159" s="19"/>
      <c r="O159" s="19"/>
      <c r="P159" s="19"/>
      <c r="Q159" s="19"/>
      <c r="R159" s="19"/>
      <c r="S159" s="19"/>
      <c r="T159" s="19"/>
      <c r="U159" s="19"/>
      <c r="V159" s="19"/>
      <c r="W159" s="19"/>
      <c r="X159" s="19"/>
      <c r="Y159" s="19"/>
      <c r="Z159" s="19"/>
    </row>
    <row r="160" spans="2:26" ht="12" customHeight="1">
      <c r="B160" s="19"/>
      <c r="C160" s="19"/>
      <c r="D160" s="19"/>
      <c r="E160" s="19"/>
      <c r="F160" s="19"/>
      <c r="G160" s="19"/>
      <c r="H160" s="19"/>
      <c r="I160" s="19"/>
      <c r="J160" s="19"/>
      <c r="K160" s="19"/>
      <c r="L160" s="19"/>
      <c r="M160" s="19"/>
      <c r="N160" s="19"/>
      <c r="O160" s="19"/>
      <c r="P160" s="19"/>
      <c r="Q160" s="19"/>
      <c r="R160" s="19"/>
      <c r="S160" s="19"/>
      <c r="T160" s="19"/>
      <c r="U160" s="19"/>
      <c r="V160" s="19"/>
      <c r="W160" s="19"/>
      <c r="X160" s="19"/>
      <c r="Y160" s="19"/>
      <c r="Z160" s="19"/>
    </row>
    <row r="161" spans="2:26" ht="12" customHeight="1">
      <c r="B161" s="19"/>
      <c r="C161" s="19"/>
      <c r="D161" s="19"/>
      <c r="E161" s="19"/>
      <c r="F161" s="19"/>
      <c r="G161" s="19"/>
      <c r="H161" s="19"/>
      <c r="I161" s="19"/>
      <c r="J161" s="19"/>
      <c r="K161" s="19"/>
      <c r="L161" s="19"/>
      <c r="M161" s="19"/>
      <c r="N161" s="19"/>
      <c r="O161" s="19"/>
      <c r="P161" s="19"/>
      <c r="Q161" s="19"/>
      <c r="R161" s="19"/>
      <c r="S161" s="19"/>
      <c r="T161" s="19"/>
      <c r="U161" s="19"/>
      <c r="V161" s="19"/>
      <c r="W161" s="19"/>
      <c r="X161" s="19"/>
      <c r="Y161" s="19"/>
      <c r="Z161" s="19"/>
    </row>
    <row r="162" spans="2:26" ht="12" customHeight="1">
      <c r="B162" s="19"/>
      <c r="C162" s="19"/>
      <c r="D162" s="19"/>
      <c r="E162" s="19"/>
      <c r="F162" s="19"/>
      <c r="G162" s="19"/>
      <c r="H162" s="19"/>
      <c r="I162" s="19"/>
      <c r="J162" s="19"/>
      <c r="K162" s="19"/>
      <c r="L162" s="19"/>
      <c r="M162" s="19"/>
      <c r="N162" s="19"/>
      <c r="O162" s="19"/>
      <c r="P162" s="19"/>
      <c r="Q162" s="19"/>
      <c r="R162" s="19"/>
      <c r="S162" s="19"/>
      <c r="T162" s="19"/>
      <c r="U162" s="19"/>
      <c r="V162" s="19"/>
      <c r="W162" s="19"/>
      <c r="X162" s="19"/>
      <c r="Y162" s="19"/>
      <c r="Z162" s="19"/>
    </row>
    <row r="163" spans="2:26" ht="12" customHeight="1">
      <c r="B163" s="19"/>
      <c r="C163" s="19"/>
      <c r="D163" s="19"/>
      <c r="E163" s="19"/>
      <c r="F163" s="19"/>
      <c r="G163" s="19"/>
      <c r="H163" s="19"/>
      <c r="I163" s="19"/>
      <c r="J163" s="19"/>
      <c r="K163" s="19"/>
      <c r="L163" s="19"/>
      <c r="M163" s="19"/>
      <c r="N163" s="19"/>
      <c r="O163" s="19"/>
      <c r="P163" s="19"/>
      <c r="Q163" s="19"/>
      <c r="R163" s="19"/>
      <c r="S163" s="19"/>
      <c r="T163" s="19"/>
      <c r="U163" s="19"/>
      <c r="V163" s="19"/>
      <c r="W163" s="19"/>
      <c r="X163" s="19"/>
      <c r="Y163" s="19"/>
      <c r="Z163" s="19"/>
    </row>
    <row r="164" spans="2:26" ht="12" customHeight="1">
      <c r="B164" s="19"/>
      <c r="C164" s="19"/>
      <c r="D164" s="19"/>
      <c r="E164" s="19"/>
      <c r="F164" s="19"/>
      <c r="G164" s="19"/>
      <c r="H164" s="19"/>
      <c r="I164" s="19"/>
      <c r="J164" s="19"/>
      <c r="K164" s="19"/>
      <c r="L164" s="19"/>
      <c r="M164" s="19"/>
      <c r="N164" s="19"/>
      <c r="O164" s="19"/>
      <c r="P164" s="19"/>
      <c r="Q164" s="19"/>
      <c r="R164" s="19"/>
      <c r="S164" s="19"/>
      <c r="T164" s="19"/>
      <c r="U164" s="19"/>
      <c r="V164" s="19"/>
      <c r="W164" s="19"/>
      <c r="X164" s="19"/>
      <c r="Y164" s="19"/>
      <c r="Z164" s="19"/>
    </row>
    <row r="165" spans="2:26" ht="12" customHeight="1">
      <c r="B165" s="19"/>
      <c r="C165" s="19"/>
      <c r="D165" s="19"/>
      <c r="E165" s="19"/>
      <c r="F165" s="19"/>
      <c r="G165" s="19"/>
      <c r="H165" s="19"/>
      <c r="I165" s="19"/>
      <c r="J165" s="19"/>
      <c r="K165" s="19"/>
      <c r="L165" s="19"/>
      <c r="M165" s="19"/>
      <c r="N165" s="19"/>
      <c r="O165" s="19"/>
      <c r="P165" s="19"/>
      <c r="Q165" s="19"/>
      <c r="R165" s="19"/>
      <c r="S165" s="19"/>
      <c r="T165" s="19"/>
      <c r="U165" s="19"/>
      <c r="V165" s="19"/>
      <c r="W165" s="19"/>
      <c r="X165" s="19"/>
      <c r="Y165" s="19"/>
      <c r="Z165" s="19"/>
    </row>
    <row r="166" spans="2:26" ht="12" customHeight="1">
      <c r="B166" s="19"/>
      <c r="C166" s="19"/>
      <c r="D166" s="19"/>
      <c r="E166" s="19"/>
      <c r="F166" s="19"/>
      <c r="G166" s="19"/>
      <c r="H166" s="19"/>
      <c r="I166" s="19"/>
      <c r="J166" s="19"/>
      <c r="K166" s="19"/>
      <c r="L166" s="19"/>
      <c r="M166" s="19"/>
      <c r="N166" s="19"/>
      <c r="O166" s="19"/>
      <c r="P166" s="19"/>
      <c r="Q166" s="19"/>
      <c r="R166" s="19"/>
      <c r="S166" s="19"/>
      <c r="T166" s="19"/>
      <c r="U166" s="19"/>
      <c r="V166" s="19"/>
      <c r="W166" s="19"/>
      <c r="X166" s="19"/>
      <c r="Y166" s="19"/>
      <c r="Z166" s="19"/>
    </row>
    <row r="167" spans="2:26" ht="12" customHeight="1">
      <c r="B167" s="19"/>
      <c r="C167" s="19"/>
      <c r="D167" s="19"/>
      <c r="E167" s="19"/>
      <c r="F167" s="19"/>
      <c r="G167" s="19"/>
      <c r="H167" s="19"/>
      <c r="I167" s="19"/>
      <c r="J167" s="19"/>
      <c r="K167" s="19"/>
      <c r="L167" s="19"/>
      <c r="M167" s="19"/>
      <c r="N167" s="19"/>
      <c r="O167" s="19"/>
      <c r="P167" s="19"/>
      <c r="Q167" s="19"/>
      <c r="R167" s="19"/>
      <c r="S167" s="19"/>
      <c r="T167" s="19"/>
      <c r="U167" s="19"/>
      <c r="V167" s="19"/>
      <c r="W167" s="19"/>
      <c r="X167" s="19"/>
      <c r="Y167" s="19"/>
      <c r="Z167" s="19"/>
    </row>
    <row r="168" spans="2:26" ht="12" customHeight="1">
      <c r="B168" s="19"/>
      <c r="C168" s="19"/>
      <c r="D168" s="19"/>
      <c r="E168" s="19"/>
      <c r="F168" s="19"/>
      <c r="G168" s="19"/>
      <c r="H168" s="19"/>
      <c r="I168" s="19"/>
      <c r="J168" s="19"/>
      <c r="K168" s="19"/>
      <c r="L168" s="19"/>
      <c r="M168" s="19"/>
      <c r="N168" s="19"/>
      <c r="O168" s="19"/>
      <c r="P168" s="19"/>
      <c r="Q168" s="19"/>
      <c r="R168" s="19"/>
      <c r="S168" s="19"/>
      <c r="T168" s="19"/>
      <c r="U168" s="19"/>
      <c r="V168" s="19"/>
      <c r="W168" s="19"/>
      <c r="X168" s="19"/>
      <c r="Y168" s="19"/>
      <c r="Z168" s="19"/>
    </row>
    <row r="169" spans="2:26" ht="12" customHeight="1">
      <c r="B169" s="19"/>
      <c r="C169" s="19"/>
      <c r="D169" s="19"/>
      <c r="E169" s="19"/>
      <c r="F169" s="19"/>
      <c r="G169" s="19"/>
      <c r="H169" s="19"/>
      <c r="I169" s="19"/>
      <c r="J169" s="19"/>
      <c r="K169" s="19"/>
      <c r="L169" s="19"/>
      <c r="M169" s="19"/>
      <c r="N169" s="19"/>
      <c r="O169" s="19"/>
      <c r="P169" s="19"/>
      <c r="Q169" s="19"/>
      <c r="R169" s="19"/>
      <c r="S169" s="19"/>
      <c r="T169" s="19"/>
      <c r="U169" s="19"/>
      <c r="V169" s="19"/>
      <c r="W169" s="19"/>
      <c r="X169" s="19"/>
      <c r="Y169" s="19"/>
      <c r="Z169" s="19"/>
    </row>
    <row r="170" spans="2:26" ht="12" customHeight="1">
      <c r="B170" s="19"/>
      <c r="C170" s="19"/>
      <c r="D170" s="19"/>
      <c r="E170" s="19"/>
      <c r="F170" s="19"/>
      <c r="G170" s="19"/>
      <c r="H170" s="19"/>
      <c r="I170" s="19"/>
      <c r="J170" s="19"/>
      <c r="K170" s="19"/>
      <c r="L170" s="19"/>
      <c r="M170" s="19"/>
      <c r="N170" s="19"/>
      <c r="O170" s="19"/>
      <c r="P170" s="19"/>
      <c r="Q170" s="19"/>
      <c r="R170" s="19"/>
      <c r="S170" s="19"/>
      <c r="T170" s="19"/>
      <c r="U170" s="19"/>
      <c r="V170" s="19"/>
      <c r="W170" s="19"/>
      <c r="X170" s="19"/>
      <c r="Y170" s="19"/>
      <c r="Z170" s="19"/>
    </row>
    <row r="171" spans="2:26" ht="12" customHeight="1">
      <c r="B171" s="19"/>
      <c r="C171" s="19"/>
      <c r="D171" s="19"/>
      <c r="E171" s="19"/>
      <c r="F171" s="19"/>
      <c r="G171" s="19"/>
      <c r="H171" s="19"/>
      <c r="I171" s="19"/>
      <c r="J171" s="19"/>
      <c r="K171" s="19"/>
      <c r="L171" s="19"/>
      <c r="M171" s="19"/>
      <c r="N171" s="19"/>
      <c r="O171" s="19"/>
      <c r="P171" s="19"/>
      <c r="Q171" s="19"/>
      <c r="R171" s="19"/>
      <c r="S171" s="19"/>
      <c r="T171" s="19"/>
      <c r="U171" s="19"/>
      <c r="V171" s="19"/>
      <c r="W171" s="19"/>
      <c r="X171" s="19"/>
      <c r="Y171" s="19"/>
      <c r="Z171" s="19"/>
    </row>
    <row r="172" spans="2:26" ht="12" customHeight="1">
      <c r="B172" s="19"/>
      <c r="C172" s="19"/>
      <c r="D172" s="19"/>
      <c r="E172" s="19"/>
      <c r="F172" s="19"/>
      <c r="G172" s="19"/>
      <c r="H172" s="19"/>
      <c r="I172" s="19"/>
      <c r="J172" s="19"/>
      <c r="K172" s="19"/>
      <c r="L172" s="19"/>
      <c r="M172" s="19"/>
      <c r="N172" s="19"/>
      <c r="O172" s="19"/>
      <c r="P172" s="19"/>
      <c r="Q172" s="19"/>
      <c r="R172" s="19"/>
      <c r="S172" s="19"/>
      <c r="T172" s="19"/>
      <c r="U172" s="19"/>
      <c r="V172" s="19"/>
      <c r="W172" s="19"/>
      <c r="X172" s="19"/>
      <c r="Y172" s="19"/>
      <c r="Z172" s="19"/>
    </row>
    <row r="173" spans="2:26" ht="12" customHeight="1">
      <c r="B173" s="19"/>
      <c r="C173" s="19"/>
      <c r="D173" s="19"/>
      <c r="E173" s="19"/>
      <c r="F173" s="19"/>
      <c r="G173" s="19"/>
      <c r="H173" s="19"/>
      <c r="I173" s="19"/>
      <c r="J173" s="19"/>
      <c r="K173" s="19"/>
      <c r="L173" s="19"/>
      <c r="M173" s="19"/>
      <c r="N173" s="19"/>
      <c r="O173" s="19"/>
      <c r="P173" s="19"/>
      <c r="Q173" s="19"/>
      <c r="R173" s="19"/>
      <c r="S173" s="19"/>
      <c r="T173" s="19"/>
      <c r="U173" s="19"/>
      <c r="V173" s="19"/>
      <c r="W173" s="19"/>
      <c r="X173" s="19"/>
      <c r="Y173" s="19"/>
      <c r="Z173" s="19"/>
    </row>
    <row r="174" spans="2:26" ht="12" customHeight="1">
      <c r="B174" s="19"/>
      <c r="C174" s="19"/>
      <c r="D174" s="19"/>
      <c r="E174" s="19"/>
      <c r="F174" s="19"/>
      <c r="G174" s="19"/>
      <c r="H174" s="19"/>
      <c r="I174" s="19"/>
      <c r="J174" s="19"/>
      <c r="K174" s="19"/>
      <c r="L174" s="19"/>
      <c r="M174" s="19"/>
      <c r="N174" s="19"/>
      <c r="O174" s="19"/>
      <c r="P174" s="19"/>
      <c r="Q174" s="19"/>
      <c r="R174" s="19"/>
      <c r="S174" s="19"/>
      <c r="T174" s="19"/>
      <c r="U174" s="19"/>
      <c r="V174" s="19"/>
      <c r="W174" s="19"/>
      <c r="X174" s="19"/>
      <c r="Y174" s="19"/>
      <c r="Z174" s="19"/>
    </row>
    <row r="175" spans="2:26" ht="12" customHeight="1">
      <c r="B175" s="19"/>
      <c r="C175" s="19"/>
      <c r="D175" s="19"/>
      <c r="E175" s="19"/>
      <c r="F175" s="19"/>
      <c r="G175" s="19"/>
      <c r="H175" s="19"/>
      <c r="I175" s="19"/>
      <c r="J175" s="19"/>
      <c r="K175" s="19"/>
      <c r="L175" s="19"/>
      <c r="M175" s="19"/>
      <c r="N175" s="19"/>
      <c r="O175" s="19"/>
      <c r="P175" s="19"/>
      <c r="Q175" s="19"/>
      <c r="R175" s="19"/>
      <c r="S175" s="19"/>
      <c r="T175" s="19"/>
      <c r="U175" s="19"/>
      <c r="V175" s="19"/>
      <c r="W175" s="19"/>
      <c r="X175" s="19"/>
      <c r="Y175" s="19"/>
      <c r="Z175" s="19"/>
    </row>
    <row r="176" spans="2:26" ht="12" customHeight="1">
      <c r="B176" s="19"/>
      <c r="C176" s="19"/>
      <c r="D176" s="19"/>
      <c r="E176" s="19"/>
      <c r="F176" s="19"/>
      <c r="G176" s="19"/>
      <c r="H176" s="19"/>
      <c r="I176" s="19"/>
      <c r="J176" s="19"/>
      <c r="K176" s="19"/>
      <c r="L176" s="19"/>
      <c r="M176" s="19"/>
      <c r="N176" s="19"/>
      <c r="O176" s="19"/>
      <c r="P176" s="19"/>
      <c r="Q176" s="19"/>
      <c r="R176" s="19"/>
      <c r="S176" s="19"/>
      <c r="T176" s="19"/>
      <c r="U176" s="19"/>
      <c r="V176" s="19"/>
      <c r="W176" s="19"/>
      <c r="X176" s="19"/>
      <c r="Y176" s="19"/>
      <c r="Z176" s="19"/>
    </row>
    <row r="177" spans="2:26" ht="12" customHeight="1">
      <c r="B177" s="19"/>
      <c r="C177" s="19"/>
      <c r="D177" s="19"/>
      <c r="E177" s="19"/>
      <c r="F177" s="19"/>
      <c r="G177" s="19"/>
      <c r="H177" s="19"/>
      <c r="I177" s="19"/>
      <c r="J177" s="19"/>
      <c r="K177" s="19"/>
      <c r="L177" s="19"/>
      <c r="M177" s="19"/>
      <c r="N177" s="19"/>
      <c r="O177" s="19"/>
      <c r="P177" s="19"/>
      <c r="Q177" s="19"/>
      <c r="R177" s="19"/>
      <c r="S177" s="19"/>
      <c r="T177" s="19"/>
      <c r="U177" s="19"/>
      <c r="V177" s="19"/>
      <c r="W177" s="19"/>
      <c r="X177" s="19"/>
      <c r="Y177" s="19"/>
      <c r="Z177" s="19"/>
    </row>
    <row r="178" spans="2:26" ht="12" customHeight="1">
      <c r="B178" s="19"/>
      <c r="C178" s="19"/>
      <c r="D178" s="19"/>
      <c r="E178" s="19"/>
      <c r="F178" s="19"/>
      <c r="G178" s="19"/>
      <c r="H178" s="19"/>
      <c r="I178" s="19"/>
      <c r="J178" s="19"/>
      <c r="K178" s="19"/>
      <c r="L178" s="19"/>
      <c r="M178" s="19"/>
      <c r="N178" s="19"/>
      <c r="O178" s="19"/>
      <c r="P178" s="19"/>
      <c r="Q178" s="19"/>
      <c r="R178" s="19"/>
      <c r="S178" s="19"/>
      <c r="T178" s="19"/>
      <c r="U178" s="19"/>
      <c r="V178" s="19"/>
      <c r="W178" s="19"/>
      <c r="X178" s="19"/>
      <c r="Y178" s="19"/>
      <c r="Z178" s="19"/>
    </row>
    <row r="179" spans="2:26" ht="12" customHeight="1">
      <c r="B179" s="19"/>
      <c r="C179" s="19"/>
      <c r="D179" s="19"/>
      <c r="E179" s="19"/>
      <c r="F179" s="19"/>
      <c r="G179" s="19"/>
      <c r="H179" s="19"/>
      <c r="I179" s="19"/>
      <c r="J179" s="19"/>
      <c r="K179" s="19"/>
      <c r="L179" s="19"/>
      <c r="M179" s="19"/>
      <c r="N179" s="19"/>
      <c r="O179" s="19"/>
      <c r="P179" s="19"/>
      <c r="Q179" s="19"/>
      <c r="R179" s="19"/>
      <c r="S179" s="19"/>
      <c r="T179" s="19"/>
      <c r="U179" s="19"/>
      <c r="V179" s="19"/>
      <c r="W179" s="19"/>
      <c r="X179" s="19"/>
      <c r="Y179" s="19"/>
      <c r="Z179" s="19"/>
    </row>
    <row r="180" spans="2:26" ht="12" customHeight="1">
      <c r="B180" s="19"/>
      <c r="C180" s="19"/>
      <c r="D180" s="19"/>
      <c r="E180" s="19"/>
      <c r="F180" s="19"/>
      <c r="G180" s="19"/>
      <c r="H180" s="19"/>
      <c r="I180" s="19"/>
      <c r="J180" s="19"/>
      <c r="K180" s="19"/>
      <c r="L180" s="19"/>
      <c r="M180" s="19"/>
      <c r="N180" s="19"/>
      <c r="O180" s="19"/>
      <c r="P180" s="19"/>
      <c r="Q180" s="19"/>
      <c r="R180" s="19"/>
      <c r="S180" s="19"/>
      <c r="T180" s="19"/>
      <c r="U180" s="19"/>
      <c r="V180" s="19"/>
      <c r="W180" s="19"/>
      <c r="X180" s="19"/>
      <c r="Y180" s="19"/>
      <c r="Z180" s="19"/>
    </row>
    <row r="181" spans="2:26" ht="12" customHeight="1">
      <c r="B181" s="19"/>
      <c r="C181" s="19"/>
      <c r="D181" s="19"/>
      <c r="E181" s="19"/>
      <c r="F181" s="19"/>
      <c r="G181" s="19"/>
      <c r="H181" s="19"/>
      <c r="I181" s="19"/>
      <c r="J181" s="19"/>
      <c r="K181" s="19"/>
      <c r="L181" s="19"/>
      <c r="M181" s="19"/>
      <c r="N181" s="19"/>
      <c r="O181" s="19"/>
      <c r="P181" s="19"/>
      <c r="Q181" s="19"/>
      <c r="R181" s="19"/>
      <c r="S181" s="19"/>
      <c r="T181" s="19"/>
      <c r="U181" s="19"/>
      <c r="V181" s="19"/>
      <c r="W181" s="19"/>
      <c r="X181" s="19"/>
      <c r="Y181" s="19"/>
      <c r="Z181" s="19"/>
    </row>
    <row r="182" spans="2:26" ht="12" customHeight="1">
      <c r="B182" s="19"/>
      <c r="C182" s="19"/>
      <c r="D182" s="19"/>
      <c r="E182" s="19"/>
      <c r="F182" s="19"/>
      <c r="G182" s="19"/>
      <c r="H182" s="19"/>
      <c r="I182" s="19"/>
      <c r="J182" s="19"/>
      <c r="K182" s="19"/>
      <c r="L182" s="19"/>
      <c r="M182" s="19"/>
      <c r="N182" s="19"/>
      <c r="O182" s="19"/>
      <c r="P182" s="19"/>
      <c r="Q182" s="19"/>
      <c r="R182" s="19"/>
      <c r="S182" s="19"/>
      <c r="T182" s="19"/>
      <c r="U182" s="19"/>
      <c r="V182" s="19"/>
      <c r="W182" s="19"/>
      <c r="X182" s="19"/>
      <c r="Y182" s="19"/>
      <c r="Z182" s="19"/>
    </row>
    <row r="183" spans="2:26" ht="12" customHeight="1">
      <c r="B183" s="19"/>
      <c r="C183" s="19"/>
      <c r="D183" s="19"/>
      <c r="E183" s="19"/>
      <c r="F183" s="19"/>
      <c r="G183" s="19"/>
      <c r="H183" s="19"/>
      <c r="I183" s="19"/>
      <c r="J183" s="19"/>
      <c r="K183" s="19"/>
      <c r="L183" s="19"/>
      <c r="M183" s="19"/>
      <c r="N183" s="19"/>
      <c r="O183" s="19"/>
      <c r="P183" s="19"/>
      <c r="Q183" s="19"/>
      <c r="R183" s="19"/>
      <c r="S183" s="19"/>
      <c r="T183" s="19"/>
      <c r="U183" s="19"/>
      <c r="V183" s="19"/>
      <c r="W183" s="19"/>
      <c r="X183" s="19"/>
      <c r="Y183" s="19"/>
      <c r="Z183" s="19"/>
    </row>
    <row r="184" spans="2:26" ht="12" customHeight="1">
      <c r="B184" s="19"/>
      <c r="C184" s="19"/>
      <c r="D184" s="19"/>
      <c r="E184" s="19"/>
      <c r="F184" s="19"/>
      <c r="G184" s="19"/>
      <c r="H184" s="19"/>
      <c r="I184" s="19"/>
      <c r="J184" s="19"/>
      <c r="K184" s="19"/>
      <c r="L184" s="19"/>
      <c r="M184" s="19"/>
      <c r="N184" s="19"/>
      <c r="O184" s="19"/>
      <c r="P184" s="19"/>
      <c r="Q184" s="19"/>
      <c r="R184" s="19"/>
      <c r="S184" s="19"/>
      <c r="T184" s="19"/>
      <c r="U184" s="19"/>
      <c r="V184" s="19"/>
      <c r="W184" s="19"/>
      <c r="X184" s="19"/>
      <c r="Y184" s="19"/>
      <c r="Z184" s="19"/>
    </row>
    <row r="185" spans="2:26" ht="12" customHeight="1">
      <c r="B185" s="19"/>
      <c r="C185" s="19"/>
      <c r="D185" s="19"/>
      <c r="E185" s="19"/>
      <c r="F185" s="19"/>
      <c r="G185" s="19"/>
      <c r="H185" s="19"/>
      <c r="I185" s="19"/>
      <c r="J185" s="19"/>
      <c r="K185" s="19"/>
      <c r="L185" s="19"/>
      <c r="M185" s="19"/>
      <c r="N185" s="19"/>
      <c r="O185" s="19"/>
      <c r="P185" s="19"/>
      <c r="Q185" s="19"/>
      <c r="R185" s="19"/>
      <c r="S185" s="19"/>
      <c r="T185" s="19"/>
      <c r="U185" s="19"/>
      <c r="V185" s="19"/>
      <c r="W185" s="19"/>
      <c r="X185" s="19"/>
      <c r="Y185" s="19"/>
      <c r="Z185" s="19"/>
    </row>
    <row r="186" spans="2:26" ht="12" customHeight="1">
      <c r="B186" s="19"/>
      <c r="C186" s="19"/>
      <c r="D186" s="19"/>
      <c r="E186" s="19"/>
      <c r="F186" s="19"/>
      <c r="G186" s="19"/>
      <c r="H186" s="19"/>
      <c r="I186" s="19"/>
      <c r="J186" s="19"/>
      <c r="K186" s="19"/>
      <c r="L186" s="19"/>
      <c r="M186" s="19"/>
      <c r="N186" s="19"/>
      <c r="O186" s="19"/>
      <c r="P186" s="19"/>
      <c r="Q186" s="19"/>
      <c r="R186" s="19"/>
      <c r="S186" s="19"/>
      <c r="T186" s="19"/>
      <c r="U186" s="19"/>
      <c r="V186" s="19"/>
      <c r="W186" s="19"/>
      <c r="X186" s="19"/>
      <c r="Y186" s="19"/>
      <c r="Z186" s="19"/>
    </row>
    <row r="187" spans="2:26" ht="12" customHeight="1">
      <c r="B187" s="19"/>
      <c r="C187" s="19"/>
      <c r="D187" s="19"/>
      <c r="E187" s="19"/>
      <c r="F187" s="19"/>
      <c r="G187" s="19"/>
      <c r="H187" s="19"/>
      <c r="I187" s="19"/>
      <c r="J187" s="19"/>
      <c r="K187" s="19"/>
      <c r="L187" s="19"/>
      <c r="M187" s="19"/>
      <c r="N187" s="19"/>
      <c r="O187" s="19"/>
      <c r="P187" s="19"/>
      <c r="Q187" s="19"/>
      <c r="R187" s="19"/>
      <c r="S187" s="19"/>
      <c r="T187" s="19"/>
      <c r="U187" s="19"/>
      <c r="V187" s="19"/>
      <c r="W187" s="19"/>
      <c r="X187" s="19"/>
      <c r="Y187" s="19"/>
      <c r="Z187" s="19"/>
    </row>
    <row r="188" spans="2:26" ht="12" customHeight="1">
      <c r="B188" s="19"/>
      <c r="C188" s="19"/>
      <c r="D188" s="19"/>
      <c r="E188" s="19"/>
      <c r="F188" s="19"/>
      <c r="G188" s="19"/>
      <c r="H188" s="19"/>
      <c r="I188" s="19"/>
      <c r="J188" s="19"/>
      <c r="K188" s="19"/>
      <c r="L188" s="19"/>
      <c r="M188" s="19"/>
      <c r="N188" s="19"/>
      <c r="O188" s="19"/>
      <c r="P188" s="19"/>
      <c r="Q188" s="19"/>
      <c r="R188" s="19"/>
      <c r="S188" s="19"/>
      <c r="T188" s="19"/>
      <c r="U188" s="19"/>
      <c r="V188" s="19"/>
      <c r="W188" s="19"/>
      <c r="X188" s="19"/>
      <c r="Y188" s="19"/>
      <c r="Z188" s="19"/>
    </row>
    <row r="189" spans="2:26" ht="12" customHeight="1">
      <c r="B189" s="19"/>
      <c r="C189" s="19"/>
      <c r="D189" s="19"/>
      <c r="E189" s="19"/>
      <c r="F189" s="19"/>
      <c r="G189" s="19"/>
      <c r="H189" s="19"/>
      <c r="I189" s="19"/>
      <c r="J189" s="19"/>
      <c r="K189" s="19"/>
      <c r="L189" s="19"/>
      <c r="M189" s="19"/>
      <c r="N189" s="19"/>
      <c r="O189" s="19"/>
      <c r="P189" s="19"/>
      <c r="Q189" s="19"/>
      <c r="R189" s="19"/>
      <c r="S189" s="19"/>
      <c r="T189" s="19"/>
      <c r="U189" s="19"/>
      <c r="V189" s="19"/>
      <c r="W189" s="19"/>
      <c r="X189" s="19"/>
      <c r="Y189" s="19"/>
      <c r="Z189" s="19"/>
    </row>
    <row r="190" spans="2:26" ht="12" customHeight="1">
      <c r="B190" s="19"/>
      <c r="C190" s="19"/>
      <c r="D190" s="19"/>
      <c r="E190" s="19"/>
      <c r="F190" s="19"/>
      <c r="G190" s="19"/>
      <c r="H190" s="19"/>
      <c r="I190" s="19"/>
      <c r="J190" s="19"/>
      <c r="K190" s="19"/>
      <c r="L190" s="19"/>
      <c r="M190" s="19"/>
      <c r="N190" s="19"/>
      <c r="O190" s="19"/>
      <c r="P190" s="19"/>
      <c r="Q190" s="19"/>
      <c r="R190" s="19"/>
      <c r="S190" s="19"/>
      <c r="T190" s="19"/>
      <c r="U190" s="19"/>
      <c r="V190" s="19"/>
      <c r="W190" s="19"/>
      <c r="X190" s="19"/>
      <c r="Y190" s="19"/>
      <c r="Z190" s="19"/>
    </row>
    <row r="191" spans="2:26" ht="12" customHeight="1">
      <c r="B191" s="19"/>
      <c r="C191" s="19"/>
      <c r="D191" s="19"/>
      <c r="E191" s="19"/>
      <c r="F191" s="19"/>
      <c r="G191" s="19"/>
      <c r="H191" s="19"/>
      <c r="I191" s="19"/>
      <c r="J191" s="19"/>
      <c r="K191" s="19"/>
      <c r="L191" s="19"/>
      <c r="M191" s="19"/>
      <c r="N191" s="19"/>
      <c r="O191" s="19"/>
      <c r="P191" s="19"/>
      <c r="Q191" s="19"/>
      <c r="R191" s="19"/>
      <c r="S191" s="19"/>
      <c r="T191" s="19"/>
      <c r="U191" s="19"/>
      <c r="V191" s="19"/>
      <c r="W191" s="19"/>
      <c r="X191" s="19"/>
      <c r="Y191" s="19"/>
      <c r="Z191" s="19"/>
    </row>
    <row r="192" spans="2:26" ht="12" customHeight="1">
      <c r="B192" s="19"/>
      <c r="C192" s="19"/>
      <c r="D192" s="19"/>
      <c r="E192" s="19"/>
      <c r="F192" s="19"/>
      <c r="G192" s="19"/>
      <c r="H192" s="19"/>
      <c r="I192" s="19"/>
      <c r="J192" s="19"/>
      <c r="K192" s="19"/>
      <c r="L192" s="19"/>
      <c r="M192" s="19"/>
      <c r="N192" s="19"/>
      <c r="O192" s="19"/>
      <c r="P192" s="19"/>
      <c r="Q192" s="19"/>
      <c r="R192" s="19"/>
      <c r="S192" s="19"/>
      <c r="T192" s="19"/>
      <c r="U192" s="19"/>
      <c r="V192" s="19"/>
      <c r="W192" s="19"/>
      <c r="X192" s="19"/>
      <c r="Y192" s="19"/>
      <c r="Z192" s="19"/>
    </row>
    <row r="193" spans="2:26" ht="12" customHeight="1">
      <c r="B193" s="19"/>
      <c r="C193" s="19"/>
      <c r="D193" s="19"/>
      <c r="E193" s="19"/>
      <c r="F193" s="19"/>
      <c r="G193" s="19"/>
      <c r="H193" s="19"/>
      <c r="I193" s="19"/>
      <c r="J193" s="19"/>
      <c r="K193" s="19"/>
      <c r="L193" s="19"/>
      <c r="M193" s="19"/>
      <c r="N193" s="19"/>
      <c r="O193" s="19"/>
      <c r="P193" s="19"/>
      <c r="Q193" s="19"/>
      <c r="R193" s="19"/>
      <c r="S193" s="19"/>
      <c r="T193" s="19"/>
      <c r="U193" s="19"/>
      <c r="V193" s="19"/>
      <c r="W193" s="19"/>
      <c r="X193" s="19"/>
      <c r="Y193" s="19"/>
      <c r="Z193" s="19"/>
    </row>
    <row r="194" spans="2:26" ht="12" customHeight="1">
      <c r="B194" s="19"/>
      <c r="C194" s="19"/>
      <c r="D194" s="19"/>
      <c r="E194" s="19"/>
      <c r="F194" s="19"/>
      <c r="G194" s="19"/>
      <c r="H194" s="19"/>
      <c r="I194" s="19"/>
      <c r="J194" s="19"/>
      <c r="K194" s="19"/>
      <c r="L194" s="19"/>
      <c r="M194" s="19"/>
      <c r="N194" s="19"/>
      <c r="O194" s="19"/>
      <c r="P194" s="19"/>
      <c r="Q194" s="19"/>
      <c r="R194" s="19"/>
      <c r="S194" s="19"/>
      <c r="T194" s="19"/>
      <c r="U194" s="19"/>
      <c r="V194" s="19"/>
      <c r="W194" s="19"/>
      <c r="X194" s="19"/>
      <c r="Y194" s="19"/>
      <c r="Z194" s="19"/>
    </row>
    <row r="195" spans="2:26" ht="12" customHeight="1">
      <c r="B195" s="19"/>
      <c r="C195" s="19"/>
      <c r="D195" s="19"/>
      <c r="E195" s="19"/>
      <c r="F195" s="19"/>
      <c r="G195" s="19"/>
      <c r="H195" s="19"/>
      <c r="I195" s="19"/>
      <c r="J195" s="19"/>
      <c r="K195" s="19"/>
      <c r="L195" s="19"/>
      <c r="M195" s="19"/>
      <c r="N195" s="19"/>
      <c r="O195" s="19"/>
      <c r="P195" s="19"/>
      <c r="Q195" s="19"/>
      <c r="R195" s="19"/>
      <c r="S195" s="19"/>
      <c r="T195" s="19"/>
      <c r="U195" s="19"/>
      <c r="V195" s="19"/>
      <c r="W195" s="19"/>
      <c r="X195" s="19"/>
      <c r="Y195" s="19"/>
      <c r="Z195" s="19"/>
    </row>
    <row r="196" spans="2:26" ht="12" customHeight="1">
      <c r="B196" s="19"/>
      <c r="C196" s="19"/>
      <c r="D196" s="19"/>
      <c r="E196" s="19"/>
      <c r="F196" s="19"/>
      <c r="G196" s="19"/>
      <c r="H196" s="19"/>
      <c r="I196" s="19"/>
      <c r="J196" s="19"/>
      <c r="K196" s="19"/>
      <c r="L196" s="19"/>
      <c r="M196" s="19"/>
      <c r="N196" s="19"/>
      <c r="O196" s="19"/>
      <c r="P196" s="19"/>
      <c r="Q196" s="19"/>
      <c r="R196" s="19"/>
      <c r="S196" s="19"/>
      <c r="T196" s="19"/>
      <c r="U196" s="19"/>
      <c r="V196" s="19"/>
      <c r="W196" s="19"/>
      <c r="X196" s="19"/>
      <c r="Y196" s="19"/>
      <c r="Z196" s="19"/>
    </row>
    <row r="197" spans="2:26" ht="12" customHeight="1">
      <c r="B197" s="19"/>
      <c r="C197" s="19"/>
      <c r="D197" s="19"/>
      <c r="E197" s="19"/>
      <c r="F197" s="19"/>
      <c r="G197" s="19"/>
      <c r="H197" s="19"/>
      <c r="I197" s="19"/>
      <c r="J197" s="19"/>
      <c r="K197" s="19"/>
      <c r="L197" s="19"/>
      <c r="M197" s="19"/>
      <c r="N197" s="19"/>
      <c r="O197" s="19"/>
      <c r="P197" s="19"/>
      <c r="Q197" s="19"/>
      <c r="R197" s="19"/>
      <c r="S197" s="19"/>
      <c r="T197" s="19"/>
      <c r="U197" s="19"/>
      <c r="V197" s="19"/>
      <c r="W197" s="19"/>
      <c r="X197" s="19"/>
      <c r="Y197" s="19"/>
      <c r="Z197" s="19"/>
    </row>
    <row r="198" spans="2:26" ht="12" customHeight="1">
      <c r="B198" s="19"/>
      <c r="C198" s="19"/>
      <c r="D198" s="19"/>
      <c r="E198" s="19"/>
      <c r="F198" s="19"/>
      <c r="G198" s="19"/>
      <c r="H198" s="19"/>
      <c r="I198" s="19"/>
      <c r="J198" s="19"/>
      <c r="K198" s="19"/>
      <c r="L198" s="19"/>
      <c r="M198" s="19"/>
      <c r="N198" s="19"/>
      <c r="O198" s="19"/>
      <c r="P198" s="19"/>
      <c r="Q198" s="19"/>
      <c r="R198" s="19"/>
      <c r="S198" s="19"/>
      <c r="T198" s="19"/>
      <c r="U198" s="19"/>
      <c r="V198" s="19"/>
      <c r="W198" s="19"/>
      <c r="X198" s="19"/>
      <c r="Y198" s="19"/>
      <c r="Z198" s="19"/>
    </row>
    <row r="199" spans="2:26" ht="12" customHeight="1">
      <c r="B199" s="19"/>
      <c r="C199" s="19"/>
      <c r="D199" s="19"/>
      <c r="E199" s="19"/>
      <c r="F199" s="19"/>
      <c r="G199" s="19"/>
      <c r="H199" s="19"/>
      <c r="I199" s="19"/>
      <c r="J199" s="19"/>
      <c r="K199" s="19"/>
      <c r="L199" s="19"/>
      <c r="M199" s="19"/>
      <c r="N199" s="19"/>
      <c r="O199" s="19"/>
      <c r="P199" s="19"/>
      <c r="Q199" s="19"/>
      <c r="R199" s="19"/>
      <c r="S199" s="19"/>
      <c r="T199" s="19"/>
      <c r="U199" s="19"/>
      <c r="V199" s="19"/>
      <c r="W199" s="19"/>
      <c r="X199" s="19"/>
      <c r="Y199" s="19"/>
      <c r="Z199" s="19"/>
    </row>
    <row r="200" spans="2:26" ht="12" customHeight="1">
      <c r="B200" s="19"/>
      <c r="C200" s="19"/>
      <c r="D200" s="19"/>
      <c r="E200" s="19"/>
      <c r="F200" s="19"/>
      <c r="G200" s="19"/>
      <c r="H200" s="19"/>
      <c r="I200" s="19"/>
      <c r="J200" s="19"/>
      <c r="K200" s="19"/>
      <c r="L200" s="19"/>
      <c r="M200" s="19"/>
      <c r="N200" s="19"/>
      <c r="O200" s="19"/>
      <c r="P200" s="19"/>
      <c r="Q200" s="19"/>
      <c r="R200" s="19"/>
      <c r="S200" s="19"/>
      <c r="T200" s="19"/>
      <c r="U200" s="19"/>
      <c r="V200" s="19"/>
      <c r="W200" s="19"/>
      <c r="X200" s="19"/>
      <c r="Y200" s="19"/>
      <c r="Z200" s="19"/>
    </row>
    <row r="201" spans="2:26" ht="12" customHeight="1">
      <c r="B201" s="19"/>
      <c r="C201" s="19"/>
      <c r="D201" s="19"/>
      <c r="E201" s="19"/>
      <c r="F201" s="19"/>
      <c r="G201" s="19"/>
      <c r="H201" s="19"/>
      <c r="I201" s="19"/>
      <c r="J201" s="19"/>
      <c r="K201" s="19"/>
      <c r="L201" s="19"/>
      <c r="M201" s="19"/>
      <c r="N201" s="19"/>
      <c r="O201" s="19"/>
      <c r="P201" s="19"/>
      <c r="Q201" s="19"/>
      <c r="R201" s="19"/>
      <c r="S201" s="19"/>
      <c r="T201" s="19"/>
      <c r="U201" s="19"/>
      <c r="V201" s="19"/>
      <c r="W201" s="19"/>
      <c r="X201" s="19"/>
      <c r="Y201" s="19"/>
      <c r="Z201" s="19"/>
    </row>
    <row r="202" spans="2:26" ht="12" customHeight="1">
      <c r="B202" s="19"/>
      <c r="C202" s="19"/>
      <c r="D202" s="19"/>
      <c r="E202" s="19"/>
      <c r="F202" s="19"/>
      <c r="G202" s="19"/>
      <c r="H202" s="19"/>
      <c r="I202" s="19"/>
      <c r="J202" s="19"/>
      <c r="K202" s="19"/>
      <c r="L202" s="19"/>
      <c r="M202" s="19"/>
      <c r="N202" s="19"/>
      <c r="O202" s="19"/>
      <c r="P202" s="19"/>
      <c r="Q202" s="19"/>
      <c r="R202" s="19"/>
      <c r="S202" s="19"/>
      <c r="T202" s="19"/>
      <c r="U202" s="19"/>
      <c r="V202" s="19"/>
      <c r="W202" s="19"/>
      <c r="X202" s="19"/>
      <c r="Y202" s="19"/>
      <c r="Z202" s="19"/>
    </row>
    <row r="203" spans="2:26" ht="12" customHeight="1">
      <c r="B203" s="19"/>
      <c r="C203" s="19"/>
      <c r="D203" s="19"/>
      <c r="E203" s="19"/>
      <c r="F203" s="19"/>
      <c r="G203" s="19"/>
      <c r="H203" s="19"/>
      <c r="I203" s="19"/>
      <c r="J203" s="19"/>
      <c r="K203" s="19"/>
      <c r="L203" s="19"/>
      <c r="M203" s="19"/>
      <c r="N203" s="19"/>
      <c r="O203" s="19"/>
      <c r="P203" s="19"/>
      <c r="Q203" s="19"/>
      <c r="R203" s="19"/>
      <c r="S203" s="19"/>
      <c r="T203" s="19"/>
      <c r="U203" s="19"/>
      <c r="V203" s="19"/>
      <c r="W203" s="19"/>
      <c r="X203" s="19"/>
      <c r="Y203" s="19"/>
      <c r="Z203" s="19"/>
    </row>
    <row r="204" spans="2:26" ht="12" customHeight="1">
      <c r="B204" s="19"/>
      <c r="C204" s="19"/>
      <c r="D204" s="19"/>
      <c r="E204" s="19"/>
      <c r="F204" s="19"/>
      <c r="G204" s="19"/>
      <c r="H204" s="19"/>
      <c r="I204" s="19"/>
      <c r="J204" s="19"/>
      <c r="K204" s="19"/>
      <c r="L204" s="19"/>
      <c r="M204" s="19"/>
      <c r="N204" s="19"/>
      <c r="O204" s="19"/>
      <c r="P204" s="19"/>
      <c r="Q204" s="19"/>
      <c r="R204" s="19"/>
      <c r="S204" s="19"/>
      <c r="T204" s="19"/>
      <c r="U204" s="19"/>
      <c r="V204" s="19"/>
      <c r="W204" s="19"/>
      <c r="X204" s="19"/>
      <c r="Y204" s="19"/>
      <c r="Z204" s="19"/>
    </row>
    <row r="205" spans="2:26" ht="12" customHeight="1">
      <c r="B205" s="19"/>
      <c r="C205" s="19"/>
      <c r="D205" s="19"/>
      <c r="E205" s="19"/>
      <c r="F205" s="19"/>
      <c r="G205" s="19"/>
      <c r="H205" s="19"/>
      <c r="I205" s="19"/>
      <c r="J205" s="19"/>
      <c r="K205" s="19"/>
      <c r="L205" s="19"/>
      <c r="M205" s="19"/>
      <c r="N205" s="19"/>
      <c r="O205" s="19"/>
      <c r="P205" s="19"/>
      <c r="Q205" s="19"/>
      <c r="R205" s="19"/>
      <c r="S205" s="19"/>
      <c r="T205" s="19"/>
      <c r="U205" s="19"/>
      <c r="V205" s="19"/>
      <c r="W205" s="19"/>
      <c r="X205" s="19"/>
      <c r="Y205" s="19"/>
      <c r="Z205" s="19"/>
    </row>
    <row r="206" spans="2:26" ht="12" customHeight="1">
      <c r="B206" s="19"/>
      <c r="C206" s="19"/>
      <c r="D206" s="19"/>
      <c r="E206" s="19"/>
      <c r="F206" s="19"/>
      <c r="G206" s="19"/>
      <c r="H206" s="19"/>
      <c r="I206" s="19"/>
      <c r="J206" s="19"/>
      <c r="K206" s="19"/>
      <c r="L206" s="19"/>
      <c r="M206" s="19"/>
      <c r="N206" s="19"/>
      <c r="O206" s="19"/>
      <c r="P206" s="19"/>
      <c r="Q206" s="19"/>
      <c r="R206" s="19"/>
      <c r="S206" s="19"/>
      <c r="T206" s="19"/>
      <c r="U206" s="19"/>
      <c r="V206" s="19"/>
      <c r="W206" s="19"/>
      <c r="X206" s="19"/>
      <c r="Y206" s="19"/>
      <c r="Z206" s="19"/>
    </row>
    <row r="207" spans="2:26" ht="12" customHeight="1">
      <c r="B207" s="19"/>
      <c r="C207" s="19"/>
      <c r="D207" s="19"/>
      <c r="E207" s="19"/>
      <c r="F207" s="19"/>
      <c r="G207" s="19"/>
      <c r="H207" s="19"/>
      <c r="I207" s="19"/>
      <c r="J207" s="19"/>
      <c r="K207" s="19"/>
      <c r="L207" s="19"/>
      <c r="M207" s="19"/>
      <c r="N207" s="19"/>
      <c r="O207" s="19"/>
      <c r="P207" s="19"/>
      <c r="Q207" s="19"/>
      <c r="R207" s="19"/>
      <c r="S207" s="19"/>
      <c r="T207" s="19"/>
      <c r="U207" s="19"/>
      <c r="V207" s="19"/>
      <c r="W207" s="19"/>
      <c r="X207" s="19"/>
      <c r="Y207" s="19"/>
      <c r="Z207" s="19"/>
    </row>
    <row r="208" spans="2:26" ht="12" customHeight="1">
      <c r="B208" s="19"/>
      <c r="C208" s="19"/>
      <c r="D208" s="19"/>
      <c r="E208" s="19"/>
      <c r="F208" s="19"/>
      <c r="G208" s="19"/>
      <c r="H208" s="19"/>
      <c r="I208" s="19"/>
      <c r="J208" s="19"/>
      <c r="K208" s="19"/>
      <c r="L208" s="19"/>
      <c r="M208" s="19"/>
      <c r="N208" s="19"/>
      <c r="O208" s="19"/>
      <c r="P208" s="19"/>
      <c r="Q208" s="19"/>
      <c r="R208" s="19"/>
      <c r="S208" s="19"/>
      <c r="T208" s="19"/>
      <c r="U208" s="19"/>
      <c r="V208" s="19"/>
      <c r="W208" s="19"/>
      <c r="X208" s="19"/>
      <c r="Y208" s="19"/>
      <c r="Z208" s="19"/>
    </row>
    <row r="209" spans="2:26" ht="12" customHeight="1">
      <c r="B209" s="19"/>
      <c r="C209" s="19"/>
      <c r="D209" s="19"/>
      <c r="E209" s="19"/>
      <c r="F209" s="19"/>
      <c r="G209" s="19"/>
      <c r="H209" s="19"/>
      <c r="I209" s="19"/>
      <c r="J209" s="19"/>
      <c r="K209" s="19"/>
      <c r="L209" s="19"/>
      <c r="M209" s="19"/>
      <c r="N209" s="19"/>
      <c r="O209" s="19"/>
      <c r="P209" s="19"/>
      <c r="Q209" s="19"/>
      <c r="R209" s="19"/>
      <c r="S209" s="19"/>
      <c r="T209" s="19"/>
      <c r="U209" s="19"/>
      <c r="V209" s="19"/>
      <c r="W209" s="19"/>
      <c r="X209" s="19"/>
      <c r="Y209" s="19"/>
      <c r="Z209" s="19"/>
    </row>
    <row r="210" spans="2:26" ht="12" customHeight="1">
      <c r="B210" s="19"/>
      <c r="C210" s="19"/>
      <c r="D210" s="19"/>
      <c r="E210" s="19"/>
      <c r="F210" s="19"/>
      <c r="G210" s="19"/>
      <c r="H210" s="19"/>
      <c r="I210" s="19"/>
      <c r="J210" s="19"/>
      <c r="K210" s="19"/>
      <c r="L210" s="19"/>
      <c r="M210" s="19"/>
      <c r="N210" s="19"/>
      <c r="O210" s="19"/>
      <c r="P210" s="19"/>
      <c r="Q210" s="19"/>
      <c r="R210" s="19"/>
      <c r="S210" s="19"/>
      <c r="T210" s="19"/>
      <c r="U210" s="19"/>
      <c r="V210" s="19"/>
      <c r="W210" s="19"/>
      <c r="X210" s="19"/>
      <c r="Y210" s="19"/>
      <c r="Z210" s="19"/>
    </row>
    <row r="211" spans="2:26" ht="12" customHeight="1">
      <c r="B211" s="19"/>
      <c r="C211" s="19"/>
      <c r="D211" s="19"/>
      <c r="E211" s="19"/>
      <c r="F211" s="19"/>
      <c r="G211" s="19"/>
      <c r="H211" s="19"/>
      <c r="I211" s="19"/>
      <c r="J211" s="19"/>
      <c r="K211" s="19"/>
      <c r="L211" s="19"/>
      <c r="M211" s="19"/>
      <c r="N211" s="19"/>
      <c r="O211" s="19"/>
      <c r="P211" s="19"/>
      <c r="Q211" s="19"/>
      <c r="R211" s="19"/>
      <c r="S211" s="19"/>
      <c r="T211" s="19"/>
      <c r="U211" s="19"/>
      <c r="V211" s="19"/>
      <c r="W211" s="19"/>
      <c r="X211" s="19"/>
      <c r="Y211" s="19"/>
      <c r="Z211" s="19"/>
    </row>
    <row r="212" spans="2:26" ht="12" customHeight="1">
      <c r="B212" s="19"/>
      <c r="C212" s="19"/>
      <c r="D212" s="19"/>
      <c r="E212" s="19"/>
      <c r="F212" s="19"/>
      <c r="G212" s="19"/>
      <c r="H212" s="19"/>
      <c r="I212" s="19"/>
      <c r="J212" s="19"/>
      <c r="K212" s="19"/>
      <c r="L212" s="19"/>
      <c r="M212" s="19"/>
      <c r="N212" s="19"/>
      <c r="O212" s="19"/>
      <c r="P212" s="19"/>
      <c r="Q212" s="19"/>
      <c r="R212" s="19"/>
      <c r="S212" s="19"/>
      <c r="T212" s="19"/>
      <c r="U212" s="19"/>
      <c r="V212" s="19"/>
      <c r="W212" s="19"/>
      <c r="X212" s="19"/>
      <c r="Y212" s="19"/>
      <c r="Z212" s="19"/>
    </row>
    <row r="213" spans="2:26" ht="12" customHeight="1">
      <c r="B213" s="19"/>
      <c r="C213" s="19"/>
      <c r="D213" s="19"/>
      <c r="E213" s="19"/>
      <c r="F213" s="19"/>
      <c r="G213" s="19"/>
      <c r="H213" s="19"/>
      <c r="I213" s="19"/>
      <c r="J213" s="19"/>
      <c r="K213" s="19"/>
      <c r="L213" s="19"/>
      <c r="M213" s="19"/>
      <c r="N213" s="19"/>
      <c r="O213" s="19"/>
      <c r="P213" s="19"/>
      <c r="Q213" s="19"/>
      <c r="R213" s="19"/>
      <c r="S213" s="19"/>
      <c r="T213" s="19"/>
      <c r="U213" s="19"/>
      <c r="V213" s="19"/>
      <c r="W213" s="19"/>
      <c r="X213" s="19"/>
      <c r="Y213" s="19"/>
      <c r="Z213" s="19"/>
    </row>
    <row r="214" spans="2:26" ht="12" customHeight="1">
      <c r="B214" s="19"/>
      <c r="C214" s="19"/>
      <c r="D214" s="19"/>
      <c r="E214" s="19"/>
      <c r="F214" s="19"/>
      <c r="G214" s="19"/>
      <c r="H214" s="19"/>
      <c r="I214" s="19"/>
      <c r="J214" s="19"/>
      <c r="K214" s="19"/>
      <c r="L214" s="19"/>
      <c r="M214" s="19"/>
      <c r="N214" s="19"/>
      <c r="O214" s="19"/>
      <c r="P214" s="19"/>
      <c r="Q214" s="19"/>
      <c r="R214" s="19"/>
      <c r="S214" s="19"/>
      <c r="T214" s="19"/>
      <c r="U214" s="19"/>
      <c r="V214" s="19"/>
      <c r="W214" s="19"/>
      <c r="X214" s="19"/>
      <c r="Y214" s="19"/>
      <c r="Z214" s="19"/>
    </row>
    <row r="215" spans="2:26" ht="12" customHeight="1">
      <c r="B215" s="19"/>
      <c r="C215" s="19"/>
      <c r="D215" s="19"/>
      <c r="E215" s="19"/>
      <c r="F215" s="19"/>
      <c r="G215" s="19"/>
      <c r="H215" s="19"/>
      <c r="I215" s="19"/>
      <c r="J215" s="19"/>
      <c r="K215" s="19"/>
      <c r="L215" s="19"/>
      <c r="M215" s="19"/>
      <c r="N215" s="19"/>
      <c r="O215" s="19"/>
      <c r="P215" s="19"/>
      <c r="Q215" s="19"/>
      <c r="R215" s="19"/>
      <c r="S215" s="19"/>
      <c r="T215" s="19"/>
      <c r="U215" s="19"/>
      <c r="V215" s="19"/>
      <c r="W215" s="19"/>
      <c r="X215" s="19"/>
      <c r="Y215" s="19"/>
      <c r="Z215" s="19"/>
    </row>
    <row r="216" spans="2:26" ht="12" customHeight="1">
      <c r="B216" s="19"/>
      <c r="C216" s="19"/>
      <c r="D216" s="19"/>
      <c r="E216" s="19"/>
      <c r="F216" s="19"/>
      <c r="G216" s="19"/>
      <c r="H216" s="19"/>
      <c r="I216" s="19"/>
      <c r="J216" s="19"/>
      <c r="K216" s="19"/>
      <c r="L216" s="19"/>
      <c r="M216" s="19"/>
      <c r="N216" s="19"/>
      <c r="O216" s="19"/>
      <c r="P216" s="19"/>
      <c r="Q216" s="19"/>
      <c r="R216" s="19"/>
      <c r="S216" s="19"/>
      <c r="T216" s="19"/>
      <c r="U216" s="19"/>
      <c r="V216" s="19"/>
      <c r="W216" s="19"/>
      <c r="X216" s="19"/>
      <c r="Y216" s="19"/>
      <c r="Z216" s="19"/>
    </row>
    <row r="217" spans="2:26" ht="12" customHeight="1">
      <c r="B217" s="19"/>
      <c r="C217" s="19"/>
      <c r="D217" s="19"/>
      <c r="E217" s="19"/>
      <c r="F217" s="19"/>
      <c r="G217" s="19"/>
      <c r="H217" s="19"/>
      <c r="I217" s="19"/>
      <c r="J217" s="19"/>
      <c r="K217" s="19"/>
      <c r="L217" s="19"/>
      <c r="M217" s="19"/>
      <c r="N217" s="19"/>
      <c r="O217" s="19"/>
      <c r="P217" s="19"/>
      <c r="Q217" s="19"/>
      <c r="R217" s="19"/>
      <c r="S217" s="19"/>
      <c r="T217" s="19"/>
      <c r="U217" s="19"/>
      <c r="V217" s="19"/>
      <c r="W217" s="19"/>
      <c r="X217" s="19"/>
      <c r="Y217" s="19"/>
      <c r="Z217" s="19"/>
    </row>
    <row r="218" spans="2:26" ht="12" customHeight="1">
      <c r="B218" s="19"/>
      <c r="C218" s="19"/>
      <c r="D218" s="19"/>
      <c r="E218" s="19"/>
      <c r="F218" s="19"/>
      <c r="G218" s="19"/>
      <c r="H218" s="19"/>
      <c r="I218" s="19"/>
      <c r="J218" s="19"/>
      <c r="K218" s="19"/>
      <c r="L218" s="19"/>
      <c r="M218" s="19"/>
      <c r="N218" s="19"/>
      <c r="O218" s="19"/>
      <c r="P218" s="19"/>
      <c r="Q218" s="19"/>
      <c r="R218" s="19"/>
      <c r="S218" s="19"/>
      <c r="T218" s="19"/>
      <c r="U218" s="19"/>
      <c r="V218" s="19"/>
      <c r="W218" s="19"/>
      <c r="X218" s="19"/>
      <c r="Y218" s="19"/>
      <c r="Z218" s="19"/>
    </row>
    <row r="219" spans="2:26" ht="12" customHeight="1">
      <c r="B219" s="19"/>
      <c r="C219" s="19"/>
      <c r="D219" s="19"/>
      <c r="E219" s="19"/>
      <c r="F219" s="19"/>
      <c r="G219" s="19"/>
      <c r="H219" s="19"/>
      <c r="I219" s="19"/>
      <c r="J219" s="19"/>
      <c r="K219" s="19"/>
      <c r="L219" s="19"/>
      <c r="M219" s="19"/>
      <c r="N219" s="19"/>
      <c r="O219" s="19"/>
      <c r="P219" s="19"/>
      <c r="Q219" s="19"/>
      <c r="R219" s="19"/>
      <c r="S219" s="19"/>
      <c r="T219" s="19"/>
      <c r="U219" s="19"/>
      <c r="V219" s="19"/>
      <c r="W219" s="19"/>
      <c r="X219" s="19"/>
      <c r="Y219" s="19"/>
      <c r="Z219" s="19"/>
    </row>
    <row r="220" spans="2:26" ht="12" customHeight="1">
      <c r="B220" s="19"/>
      <c r="C220" s="19"/>
      <c r="D220" s="19"/>
      <c r="E220" s="19"/>
      <c r="F220" s="19"/>
      <c r="G220" s="19"/>
      <c r="H220" s="19"/>
      <c r="I220" s="19"/>
      <c r="J220" s="19"/>
      <c r="K220" s="19"/>
      <c r="L220" s="19"/>
      <c r="M220" s="19"/>
      <c r="N220" s="19"/>
      <c r="O220" s="19"/>
      <c r="P220" s="19"/>
      <c r="Q220" s="19"/>
      <c r="R220" s="19"/>
      <c r="S220" s="19"/>
      <c r="T220" s="19"/>
      <c r="U220" s="19"/>
      <c r="V220" s="19"/>
      <c r="W220" s="19"/>
      <c r="X220" s="19"/>
      <c r="Y220" s="19"/>
      <c r="Z220" s="19"/>
    </row>
    <row r="221" spans="2:26" ht="12" customHeight="1">
      <c r="B221" s="19"/>
      <c r="C221" s="19"/>
      <c r="D221" s="19"/>
      <c r="E221" s="19"/>
      <c r="F221" s="19"/>
      <c r="G221" s="19"/>
      <c r="H221" s="19"/>
      <c r="I221" s="19"/>
      <c r="J221" s="19"/>
      <c r="K221" s="19"/>
      <c r="L221" s="19"/>
      <c r="M221" s="19"/>
      <c r="N221" s="19"/>
      <c r="O221" s="19"/>
      <c r="P221" s="19"/>
      <c r="Q221" s="19"/>
      <c r="R221" s="19"/>
      <c r="S221" s="19"/>
      <c r="T221" s="19"/>
      <c r="U221" s="19"/>
      <c r="V221" s="19"/>
      <c r="W221" s="19"/>
      <c r="X221" s="19"/>
      <c r="Y221" s="19"/>
      <c r="Z221" s="19"/>
    </row>
    <row r="222" spans="2:26" ht="12" customHeight="1">
      <c r="B222" s="19"/>
      <c r="C222" s="19"/>
      <c r="D222" s="19"/>
      <c r="E222" s="19"/>
      <c r="F222" s="19"/>
      <c r="G222" s="19"/>
      <c r="H222" s="19"/>
      <c r="I222" s="19"/>
      <c r="J222" s="19"/>
      <c r="K222" s="19"/>
      <c r="L222" s="19"/>
      <c r="M222" s="19"/>
      <c r="N222" s="19"/>
      <c r="O222" s="19"/>
      <c r="P222" s="19"/>
      <c r="Q222" s="19"/>
      <c r="R222" s="19"/>
      <c r="S222" s="19"/>
      <c r="T222" s="19"/>
      <c r="U222" s="19"/>
      <c r="V222" s="19"/>
      <c r="W222" s="19"/>
      <c r="X222" s="19"/>
      <c r="Y222" s="19"/>
      <c r="Z222" s="19"/>
    </row>
    <row r="223" spans="2:26" ht="12" customHeight="1">
      <c r="B223" s="19"/>
      <c r="C223" s="19"/>
      <c r="D223" s="19"/>
      <c r="E223" s="19"/>
      <c r="F223" s="19"/>
      <c r="G223" s="19"/>
      <c r="H223" s="19"/>
      <c r="I223" s="19"/>
      <c r="J223" s="19"/>
      <c r="K223" s="19"/>
      <c r="L223" s="19"/>
      <c r="M223" s="19"/>
      <c r="N223" s="19"/>
      <c r="O223" s="19"/>
      <c r="P223" s="19"/>
      <c r="Q223" s="19"/>
      <c r="R223" s="19"/>
      <c r="S223" s="19"/>
      <c r="T223" s="19"/>
      <c r="U223" s="19"/>
      <c r="V223" s="19"/>
      <c r="W223" s="19"/>
      <c r="X223" s="19"/>
      <c r="Y223" s="19"/>
      <c r="Z223" s="19"/>
    </row>
    <row r="224" spans="2:26" ht="12" customHeight="1">
      <c r="B224" s="19"/>
      <c r="C224" s="19"/>
      <c r="D224" s="19"/>
      <c r="E224" s="19"/>
      <c r="F224" s="19"/>
      <c r="G224" s="19"/>
      <c r="H224" s="19"/>
      <c r="I224" s="19"/>
      <c r="J224" s="19"/>
      <c r="K224" s="19"/>
      <c r="L224" s="19"/>
      <c r="M224" s="19"/>
      <c r="N224" s="19"/>
      <c r="O224" s="19"/>
      <c r="P224" s="19"/>
      <c r="Q224" s="19"/>
      <c r="R224" s="19"/>
      <c r="S224" s="19"/>
      <c r="T224" s="19"/>
      <c r="U224" s="19"/>
      <c r="V224" s="19"/>
      <c r="W224" s="19"/>
      <c r="X224" s="19"/>
      <c r="Y224" s="19"/>
      <c r="Z224" s="19"/>
    </row>
    <row r="225" spans="2:26" ht="12" customHeight="1">
      <c r="B225" s="19"/>
      <c r="C225" s="19"/>
      <c r="D225" s="19"/>
      <c r="E225" s="19"/>
      <c r="F225" s="19"/>
      <c r="G225" s="19"/>
      <c r="H225" s="19"/>
      <c r="I225" s="19"/>
      <c r="J225" s="19"/>
      <c r="K225" s="19"/>
      <c r="L225" s="19"/>
      <c r="M225" s="19"/>
      <c r="N225" s="19"/>
      <c r="O225" s="19"/>
      <c r="P225" s="19"/>
      <c r="Q225" s="19"/>
      <c r="R225" s="19"/>
      <c r="S225" s="19"/>
      <c r="T225" s="19"/>
      <c r="U225" s="19"/>
      <c r="V225" s="19"/>
      <c r="W225" s="19"/>
      <c r="X225" s="19"/>
      <c r="Y225" s="19"/>
      <c r="Z225" s="19"/>
    </row>
    <row r="226" spans="2:26" ht="12" customHeight="1">
      <c r="B226" s="19"/>
      <c r="C226" s="19"/>
      <c r="D226" s="19"/>
      <c r="E226" s="19"/>
      <c r="F226" s="19"/>
      <c r="G226" s="19"/>
      <c r="H226" s="19"/>
      <c r="I226" s="19"/>
      <c r="J226" s="19"/>
      <c r="K226" s="19"/>
      <c r="L226" s="19"/>
      <c r="M226" s="19"/>
      <c r="N226" s="19"/>
      <c r="O226" s="19"/>
      <c r="P226" s="19"/>
      <c r="Q226" s="19"/>
      <c r="R226" s="19"/>
      <c r="S226" s="19"/>
      <c r="T226" s="19"/>
      <c r="U226" s="19"/>
      <c r="V226" s="19"/>
      <c r="W226" s="19"/>
      <c r="X226" s="19"/>
      <c r="Y226" s="19"/>
      <c r="Z226" s="19"/>
    </row>
    <row r="227" spans="2:26" ht="12" customHeight="1">
      <c r="B227" s="19"/>
      <c r="C227" s="19"/>
      <c r="D227" s="19"/>
      <c r="E227" s="19"/>
      <c r="F227" s="19"/>
      <c r="G227" s="19"/>
      <c r="H227" s="19"/>
      <c r="I227" s="19"/>
      <c r="J227" s="19"/>
      <c r="K227" s="19"/>
      <c r="L227" s="19"/>
      <c r="M227" s="19"/>
      <c r="N227" s="19"/>
      <c r="O227" s="19"/>
      <c r="P227" s="19"/>
      <c r="Q227" s="19"/>
      <c r="R227" s="19"/>
      <c r="S227" s="19"/>
      <c r="T227" s="19"/>
      <c r="U227" s="19"/>
      <c r="V227" s="19"/>
      <c r="W227" s="19"/>
      <c r="X227" s="19"/>
      <c r="Y227" s="19"/>
      <c r="Z227" s="19"/>
    </row>
    <row r="228" spans="2:26" ht="12" customHeight="1">
      <c r="B228" s="19"/>
      <c r="C228" s="19"/>
      <c r="D228" s="19"/>
      <c r="E228" s="19"/>
      <c r="F228" s="19"/>
      <c r="G228" s="19"/>
      <c r="H228" s="19"/>
      <c r="I228" s="19"/>
      <c r="J228" s="19"/>
      <c r="K228" s="19"/>
      <c r="L228" s="19"/>
      <c r="M228" s="19"/>
      <c r="N228" s="19"/>
      <c r="O228" s="19"/>
      <c r="P228" s="19"/>
      <c r="Q228" s="19"/>
      <c r="R228" s="19"/>
      <c r="S228" s="19"/>
      <c r="T228" s="19"/>
      <c r="U228" s="19"/>
      <c r="V228" s="19"/>
      <c r="W228" s="19"/>
      <c r="X228" s="19"/>
      <c r="Y228" s="19"/>
      <c r="Z228" s="19"/>
    </row>
    <row r="229" spans="2:26" ht="12" customHeight="1">
      <c r="B229" s="19"/>
      <c r="C229" s="19"/>
      <c r="D229" s="19"/>
      <c r="E229" s="19"/>
      <c r="F229" s="19"/>
      <c r="G229" s="19"/>
      <c r="H229" s="19"/>
      <c r="I229" s="19"/>
      <c r="J229" s="19"/>
      <c r="K229" s="19"/>
      <c r="L229" s="19"/>
      <c r="M229" s="19"/>
      <c r="N229" s="19"/>
      <c r="O229" s="19"/>
      <c r="P229" s="19"/>
      <c r="Q229" s="19"/>
      <c r="R229" s="19"/>
      <c r="S229" s="19"/>
      <c r="T229" s="19"/>
      <c r="U229" s="19"/>
      <c r="V229" s="19"/>
      <c r="W229" s="19"/>
      <c r="X229" s="19"/>
      <c r="Y229" s="19"/>
      <c r="Z229" s="19"/>
    </row>
    <row r="230" spans="2:26" ht="12" customHeight="1">
      <c r="B230" s="19"/>
      <c r="C230" s="19"/>
      <c r="D230" s="19"/>
      <c r="E230" s="19"/>
      <c r="F230" s="19"/>
      <c r="G230" s="19"/>
      <c r="H230" s="19"/>
      <c r="I230" s="19"/>
      <c r="J230" s="19"/>
      <c r="K230" s="19"/>
      <c r="L230" s="19"/>
      <c r="M230" s="19"/>
      <c r="N230" s="19"/>
      <c r="O230" s="19"/>
      <c r="P230" s="19"/>
      <c r="Q230" s="19"/>
      <c r="R230" s="19"/>
      <c r="S230" s="19"/>
      <c r="T230" s="19"/>
      <c r="U230" s="19"/>
      <c r="V230" s="19"/>
      <c r="W230" s="19"/>
      <c r="X230" s="19"/>
      <c r="Y230" s="19"/>
      <c r="Z230" s="19"/>
    </row>
    <row r="231" spans="2:26" ht="12" customHeight="1">
      <c r="B231" s="19"/>
      <c r="C231" s="19"/>
      <c r="D231" s="19"/>
      <c r="E231" s="19"/>
      <c r="F231" s="19"/>
      <c r="G231" s="19"/>
      <c r="H231" s="19"/>
      <c r="I231" s="19"/>
      <c r="J231" s="19"/>
      <c r="K231" s="19"/>
      <c r="L231" s="19"/>
      <c r="M231" s="19"/>
      <c r="N231" s="19"/>
      <c r="O231" s="19"/>
      <c r="P231" s="19"/>
      <c r="Q231" s="19"/>
      <c r="R231" s="19"/>
      <c r="S231" s="19"/>
      <c r="T231" s="19"/>
      <c r="U231" s="19"/>
      <c r="V231" s="19"/>
      <c r="W231" s="19"/>
      <c r="X231" s="19"/>
      <c r="Y231" s="19"/>
      <c r="Z231" s="19"/>
    </row>
    <row r="232" spans="2:26" ht="12" customHeight="1">
      <c r="B232" s="19"/>
      <c r="C232" s="19"/>
      <c r="D232" s="19"/>
      <c r="E232" s="19"/>
      <c r="F232" s="19"/>
      <c r="G232" s="19"/>
      <c r="H232" s="19"/>
      <c r="I232" s="19"/>
      <c r="J232" s="19"/>
      <c r="K232" s="19"/>
      <c r="L232" s="19"/>
      <c r="M232" s="19"/>
      <c r="N232" s="19"/>
      <c r="O232" s="19"/>
      <c r="P232" s="19"/>
      <c r="Q232" s="19"/>
      <c r="R232" s="19"/>
      <c r="S232" s="19"/>
      <c r="T232" s="19"/>
      <c r="U232" s="19"/>
      <c r="V232" s="19"/>
      <c r="W232" s="19"/>
      <c r="X232" s="19"/>
      <c r="Y232" s="19"/>
      <c r="Z232" s="19"/>
    </row>
    <row r="233" spans="2:26" ht="12" customHeight="1">
      <c r="B233" s="19"/>
      <c r="C233" s="19"/>
      <c r="D233" s="19"/>
      <c r="E233" s="19"/>
      <c r="F233" s="19"/>
      <c r="G233" s="19"/>
      <c r="H233" s="19"/>
      <c r="I233" s="19"/>
      <c r="J233" s="19"/>
      <c r="K233" s="19"/>
      <c r="L233" s="19"/>
      <c r="M233" s="19"/>
      <c r="N233" s="19"/>
      <c r="O233" s="19"/>
      <c r="P233" s="19"/>
      <c r="Q233" s="19"/>
      <c r="R233" s="19"/>
      <c r="S233" s="19"/>
      <c r="T233" s="19"/>
      <c r="U233" s="19"/>
      <c r="V233" s="19"/>
      <c r="W233" s="19"/>
      <c r="X233" s="19"/>
      <c r="Y233" s="19"/>
      <c r="Z233" s="19"/>
    </row>
    <row r="234" spans="2:26" ht="12" customHeight="1">
      <c r="B234" s="19"/>
      <c r="C234" s="19"/>
      <c r="D234" s="19"/>
      <c r="E234" s="19"/>
      <c r="F234" s="19"/>
      <c r="G234" s="19"/>
      <c r="H234" s="19"/>
      <c r="I234" s="19"/>
      <c r="J234" s="19"/>
      <c r="K234" s="19"/>
      <c r="L234" s="19"/>
      <c r="M234" s="19"/>
      <c r="N234" s="19"/>
      <c r="O234" s="19"/>
      <c r="P234" s="19"/>
      <c r="Q234" s="19"/>
      <c r="R234" s="19"/>
      <c r="S234" s="19"/>
      <c r="T234" s="19"/>
      <c r="U234" s="19"/>
      <c r="V234" s="19"/>
      <c r="W234" s="19"/>
      <c r="X234" s="19"/>
      <c r="Y234" s="19"/>
      <c r="Z234" s="19"/>
    </row>
    <row r="235" spans="2:26" ht="12" customHeight="1">
      <c r="B235" s="19"/>
      <c r="C235" s="19"/>
      <c r="D235" s="19"/>
      <c r="E235" s="19"/>
      <c r="F235" s="19"/>
      <c r="G235" s="19"/>
      <c r="H235" s="19"/>
      <c r="I235" s="19"/>
      <c r="J235" s="19"/>
      <c r="K235" s="19"/>
      <c r="L235" s="19"/>
      <c r="M235" s="19"/>
      <c r="N235" s="19"/>
      <c r="O235" s="19"/>
      <c r="P235" s="19"/>
      <c r="Q235" s="19"/>
      <c r="R235" s="19"/>
      <c r="S235" s="19"/>
      <c r="T235" s="19"/>
      <c r="U235" s="19"/>
      <c r="V235" s="19"/>
      <c r="W235" s="19"/>
      <c r="X235" s="19"/>
      <c r="Y235" s="19"/>
      <c r="Z235" s="19"/>
    </row>
    <row r="236" spans="2:26" ht="12" customHeight="1">
      <c r="B236" s="19"/>
      <c r="C236" s="19"/>
      <c r="D236" s="19"/>
      <c r="E236" s="19"/>
      <c r="F236" s="19"/>
      <c r="G236" s="19"/>
      <c r="H236" s="19"/>
      <c r="I236" s="19"/>
      <c r="J236" s="19"/>
      <c r="K236" s="19"/>
      <c r="L236" s="19"/>
      <c r="M236" s="19"/>
      <c r="N236" s="19"/>
      <c r="O236" s="19"/>
      <c r="P236" s="19"/>
      <c r="Q236" s="19"/>
      <c r="R236" s="19"/>
      <c r="S236" s="19"/>
      <c r="T236" s="19"/>
      <c r="U236" s="19"/>
      <c r="V236" s="19"/>
      <c r="W236" s="19"/>
      <c r="X236" s="19"/>
      <c r="Y236" s="19"/>
      <c r="Z236" s="19"/>
    </row>
    <row r="237" spans="2:26" ht="12" customHeight="1">
      <c r="B237" s="19"/>
      <c r="C237" s="19"/>
      <c r="D237" s="19"/>
      <c r="E237" s="19"/>
      <c r="F237" s="19"/>
      <c r="G237" s="19"/>
      <c r="H237" s="19"/>
      <c r="I237" s="19"/>
      <c r="J237" s="19"/>
      <c r="K237" s="19"/>
      <c r="L237" s="19"/>
      <c r="M237" s="19"/>
      <c r="N237" s="19"/>
      <c r="O237" s="19"/>
      <c r="P237" s="19"/>
      <c r="Q237" s="19"/>
      <c r="R237" s="19"/>
      <c r="S237" s="19"/>
      <c r="T237" s="19"/>
      <c r="U237" s="19"/>
      <c r="V237" s="19"/>
      <c r="W237" s="19"/>
      <c r="X237" s="19"/>
      <c r="Y237" s="19"/>
      <c r="Z237" s="19"/>
    </row>
    <row r="238" spans="2:26" ht="12" customHeight="1">
      <c r="B238" s="19"/>
      <c r="C238" s="19"/>
      <c r="D238" s="19"/>
      <c r="E238" s="19"/>
      <c r="F238" s="19"/>
      <c r="G238" s="19"/>
      <c r="H238" s="19"/>
      <c r="I238" s="19"/>
      <c r="J238" s="19"/>
      <c r="K238" s="19"/>
      <c r="L238" s="19"/>
      <c r="M238" s="19"/>
      <c r="N238" s="19"/>
      <c r="O238" s="19"/>
      <c r="P238" s="19"/>
      <c r="Q238" s="19"/>
      <c r="R238" s="19"/>
      <c r="S238" s="19"/>
      <c r="T238" s="19"/>
      <c r="U238" s="19"/>
      <c r="V238" s="19"/>
      <c r="W238" s="19"/>
      <c r="X238" s="19"/>
      <c r="Y238" s="19"/>
      <c r="Z238" s="19"/>
    </row>
    <row r="239" spans="2:26" ht="12" customHeight="1">
      <c r="B239" s="19"/>
      <c r="C239" s="19"/>
      <c r="D239" s="19"/>
      <c r="E239" s="19"/>
      <c r="F239" s="19"/>
      <c r="G239" s="19"/>
      <c r="H239" s="19"/>
      <c r="I239" s="19"/>
      <c r="J239" s="19"/>
      <c r="K239" s="19"/>
      <c r="L239" s="19"/>
      <c r="M239" s="19"/>
      <c r="N239" s="19"/>
      <c r="O239" s="19"/>
      <c r="P239" s="19"/>
      <c r="Q239" s="19"/>
      <c r="R239" s="19"/>
      <c r="S239" s="19"/>
      <c r="T239" s="19"/>
      <c r="U239" s="19"/>
      <c r="V239" s="19"/>
      <c r="W239" s="19"/>
      <c r="X239" s="19"/>
      <c r="Y239" s="19"/>
      <c r="Z239" s="19"/>
    </row>
    <row r="240" spans="2:26" ht="12" customHeight="1">
      <c r="B240" s="19"/>
      <c r="C240" s="19"/>
      <c r="D240" s="19"/>
      <c r="E240" s="19"/>
      <c r="F240" s="19"/>
      <c r="G240" s="19"/>
      <c r="H240" s="19"/>
      <c r="I240" s="19"/>
      <c r="J240" s="19"/>
      <c r="K240" s="19"/>
      <c r="L240" s="19"/>
      <c r="M240" s="19"/>
      <c r="N240" s="19"/>
      <c r="O240" s="19"/>
      <c r="P240" s="19"/>
      <c r="Q240" s="19"/>
      <c r="R240" s="19"/>
      <c r="S240" s="19"/>
      <c r="T240" s="19"/>
      <c r="U240" s="19"/>
      <c r="V240" s="19"/>
      <c r="W240" s="19"/>
      <c r="X240" s="19"/>
      <c r="Y240" s="19"/>
      <c r="Z240" s="19"/>
    </row>
    <row r="241" spans="2:26" ht="12" customHeight="1">
      <c r="B241" s="19"/>
      <c r="C241" s="19"/>
      <c r="D241" s="19"/>
      <c r="E241" s="19"/>
      <c r="F241" s="19"/>
      <c r="G241" s="19"/>
      <c r="H241" s="19"/>
      <c r="I241" s="19"/>
      <c r="J241" s="19"/>
      <c r="K241" s="19"/>
      <c r="L241" s="19"/>
      <c r="M241" s="19"/>
      <c r="N241" s="19"/>
      <c r="O241" s="19"/>
      <c r="P241" s="19"/>
      <c r="Q241" s="19"/>
      <c r="R241" s="19"/>
      <c r="S241" s="19"/>
      <c r="T241" s="19"/>
      <c r="U241" s="19"/>
      <c r="V241" s="19"/>
      <c r="W241" s="19"/>
      <c r="X241" s="19"/>
      <c r="Y241" s="19"/>
      <c r="Z241" s="19"/>
    </row>
    <row r="242" spans="2:26" ht="12" customHeight="1">
      <c r="B242" s="19"/>
      <c r="C242" s="19"/>
      <c r="D242" s="19"/>
      <c r="E242" s="19"/>
      <c r="F242" s="19"/>
      <c r="G242" s="19"/>
      <c r="H242" s="19"/>
      <c r="I242" s="19"/>
      <c r="J242" s="19"/>
      <c r="K242" s="19"/>
      <c r="L242" s="19"/>
      <c r="M242" s="19"/>
      <c r="N242" s="19"/>
      <c r="O242" s="19"/>
      <c r="P242" s="19"/>
      <c r="Q242" s="19"/>
      <c r="R242" s="19"/>
      <c r="S242" s="19"/>
      <c r="T242" s="19"/>
      <c r="U242" s="19"/>
      <c r="V242" s="19"/>
      <c r="W242" s="19"/>
      <c r="X242" s="19"/>
      <c r="Y242" s="19"/>
      <c r="Z242" s="19"/>
    </row>
    <row r="243" spans="2:26" ht="12" customHeight="1">
      <c r="B243" s="19"/>
      <c r="C243" s="19"/>
      <c r="D243" s="19"/>
      <c r="E243" s="19"/>
      <c r="F243" s="19"/>
      <c r="G243" s="19"/>
      <c r="H243" s="19"/>
      <c r="I243" s="19"/>
      <c r="J243" s="19"/>
      <c r="K243" s="19"/>
      <c r="L243" s="19"/>
      <c r="M243" s="19"/>
      <c r="N243" s="19"/>
      <c r="O243" s="19"/>
      <c r="P243" s="19"/>
      <c r="Q243" s="19"/>
      <c r="R243" s="19"/>
      <c r="S243" s="19"/>
      <c r="T243" s="19"/>
      <c r="U243" s="19"/>
      <c r="V243" s="19"/>
      <c r="W243" s="19"/>
      <c r="X243" s="19"/>
      <c r="Y243" s="19"/>
      <c r="Z243" s="19"/>
    </row>
    <row r="244" spans="2:26" ht="12" customHeight="1">
      <c r="B244" s="19"/>
      <c r="C244" s="19"/>
      <c r="D244" s="19"/>
      <c r="E244" s="19"/>
      <c r="F244" s="19"/>
      <c r="G244" s="19"/>
      <c r="H244" s="19"/>
      <c r="I244" s="19"/>
      <c r="J244" s="19"/>
      <c r="K244" s="19"/>
      <c r="L244" s="19"/>
      <c r="M244" s="19"/>
      <c r="N244" s="19"/>
      <c r="O244" s="19"/>
      <c r="P244" s="19"/>
      <c r="Q244" s="19"/>
      <c r="R244" s="19"/>
      <c r="S244" s="19"/>
      <c r="T244" s="19"/>
      <c r="U244" s="19"/>
      <c r="V244" s="19"/>
      <c r="W244" s="19"/>
      <c r="X244" s="19"/>
      <c r="Y244" s="19"/>
      <c r="Z244" s="19"/>
    </row>
    <row r="245" spans="2:26" ht="12" customHeight="1">
      <c r="B245" s="19"/>
      <c r="C245" s="19"/>
      <c r="D245" s="19"/>
      <c r="E245" s="19"/>
      <c r="F245" s="19"/>
      <c r="G245" s="19"/>
      <c r="H245" s="19"/>
      <c r="I245" s="19"/>
      <c r="J245" s="19"/>
      <c r="K245" s="19"/>
      <c r="L245" s="19"/>
      <c r="M245" s="19"/>
      <c r="N245" s="19"/>
      <c r="O245" s="19"/>
      <c r="P245" s="19"/>
      <c r="Q245" s="19"/>
      <c r="R245" s="19"/>
      <c r="S245" s="19"/>
      <c r="T245" s="19"/>
      <c r="U245" s="19"/>
      <c r="V245" s="19"/>
      <c r="W245" s="19"/>
      <c r="X245" s="19"/>
      <c r="Y245" s="19"/>
      <c r="Z245" s="19"/>
    </row>
    <row r="246" spans="2:26" ht="12" customHeight="1">
      <c r="B246" s="19"/>
      <c r="C246" s="19"/>
      <c r="D246" s="19"/>
      <c r="E246" s="19"/>
      <c r="F246" s="19"/>
      <c r="G246" s="19"/>
      <c r="H246" s="19"/>
      <c r="I246" s="19"/>
      <c r="J246" s="19"/>
      <c r="K246" s="19"/>
      <c r="L246" s="19"/>
      <c r="M246" s="19"/>
      <c r="N246" s="19"/>
      <c r="O246" s="19"/>
      <c r="P246" s="19"/>
      <c r="Q246" s="19"/>
      <c r="R246" s="19"/>
      <c r="S246" s="19"/>
      <c r="T246" s="19"/>
      <c r="U246" s="19"/>
      <c r="V246" s="19"/>
      <c r="W246" s="19"/>
      <c r="X246" s="19"/>
      <c r="Y246" s="19"/>
      <c r="Z246" s="19"/>
    </row>
    <row r="247" spans="2:26" ht="12" customHeight="1">
      <c r="B247" s="19"/>
      <c r="C247" s="19"/>
      <c r="D247" s="19"/>
      <c r="E247" s="19"/>
      <c r="F247" s="19"/>
      <c r="G247" s="19"/>
      <c r="H247" s="19"/>
      <c r="I247" s="19"/>
      <c r="J247" s="19"/>
      <c r="K247" s="19"/>
      <c r="L247" s="19"/>
      <c r="M247" s="19"/>
      <c r="N247" s="19"/>
      <c r="O247" s="19"/>
      <c r="P247" s="19"/>
      <c r="Q247" s="19"/>
      <c r="R247" s="19"/>
      <c r="S247" s="19"/>
      <c r="T247" s="19"/>
      <c r="U247" s="19"/>
      <c r="V247" s="19"/>
      <c r="W247" s="19"/>
      <c r="X247" s="19"/>
      <c r="Y247" s="19"/>
      <c r="Z247" s="19"/>
    </row>
    <row r="248" spans="2:26" ht="12" customHeight="1">
      <c r="B248" s="19"/>
      <c r="C248" s="19"/>
      <c r="D248" s="19"/>
      <c r="E248" s="19"/>
      <c r="F248" s="19"/>
      <c r="G248" s="19"/>
      <c r="H248" s="19"/>
      <c r="I248" s="19"/>
      <c r="J248" s="19"/>
      <c r="K248" s="19"/>
      <c r="L248" s="19"/>
      <c r="M248" s="19"/>
      <c r="N248" s="19"/>
      <c r="O248" s="19"/>
      <c r="P248" s="19"/>
      <c r="Q248" s="19"/>
      <c r="R248" s="19"/>
      <c r="S248" s="19"/>
      <c r="T248" s="19"/>
      <c r="U248" s="19"/>
      <c r="V248" s="19"/>
      <c r="W248" s="19"/>
      <c r="X248" s="19"/>
      <c r="Y248" s="19"/>
      <c r="Z248" s="19"/>
    </row>
    <row r="249" spans="2:26" ht="12" customHeight="1">
      <c r="B249" s="19"/>
      <c r="C249" s="19"/>
      <c r="D249" s="19"/>
      <c r="E249" s="19"/>
      <c r="F249" s="19"/>
      <c r="G249" s="19"/>
      <c r="H249" s="19"/>
      <c r="I249" s="19"/>
      <c r="J249" s="19"/>
      <c r="K249" s="19"/>
      <c r="L249" s="19"/>
      <c r="M249" s="19"/>
      <c r="N249" s="19"/>
      <c r="O249" s="19"/>
      <c r="P249" s="19"/>
      <c r="Q249" s="19"/>
      <c r="R249" s="19"/>
      <c r="S249" s="19"/>
      <c r="T249" s="19"/>
      <c r="U249" s="19"/>
      <c r="V249" s="19"/>
      <c r="W249" s="19"/>
      <c r="X249" s="19"/>
      <c r="Y249" s="19"/>
      <c r="Z249" s="19"/>
    </row>
    <row r="250" spans="2:26" ht="12" customHeight="1">
      <c r="B250" s="19"/>
      <c r="C250" s="19"/>
      <c r="D250" s="19"/>
      <c r="E250" s="19"/>
      <c r="F250" s="19"/>
      <c r="G250" s="19"/>
      <c r="H250" s="19"/>
      <c r="I250" s="19"/>
      <c r="J250" s="19"/>
      <c r="K250" s="19"/>
      <c r="L250" s="19"/>
      <c r="M250" s="19"/>
      <c r="N250" s="19"/>
      <c r="O250" s="19"/>
      <c r="P250" s="19"/>
      <c r="Q250" s="19"/>
      <c r="R250" s="19"/>
      <c r="S250" s="19"/>
      <c r="T250" s="19"/>
      <c r="U250" s="19"/>
      <c r="V250" s="19"/>
      <c r="W250" s="19"/>
      <c r="X250" s="19"/>
      <c r="Y250" s="19"/>
      <c r="Z250" s="19"/>
    </row>
    <row r="251" spans="2:26" ht="12" customHeight="1">
      <c r="B251" s="19"/>
      <c r="C251" s="19"/>
      <c r="D251" s="19"/>
      <c r="E251" s="19"/>
      <c r="F251" s="19"/>
      <c r="G251" s="19"/>
      <c r="H251" s="19"/>
      <c r="I251" s="19"/>
      <c r="J251" s="19"/>
      <c r="K251" s="19"/>
      <c r="L251" s="19"/>
      <c r="M251" s="19"/>
      <c r="N251" s="19"/>
      <c r="O251" s="19"/>
      <c r="P251" s="19"/>
      <c r="Q251" s="19"/>
      <c r="R251" s="19"/>
      <c r="S251" s="19"/>
      <c r="T251" s="19"/>
      <c r="U251" s="19"/>
      <c r="V251" s="19"/>
      <c r="W251" s="19"/>
      <c r="X251" s="19"/>
      <c r="Y251" s="19"/>
      <c r="Z251" s="19"/>
    </row>
    <row r="252" spans="2:26" ht="12" customHeight="1">
      <c r="B252" s="19"/>
      <c r="C252" s="19"/>
      <c r="D252" s="19"/>
      <c r="E252" s="19"/>
      <c r="F252" s="19"/>
      <c r="G252" s="19"/>
      <c r="H252" s="19"/>
      <c r="I252" s="19"/>
      <c r="J252" s="19"/>
      <c r="K252" s="19"/>
      <c r="L252" s="19"/>
      <c r="M252" s="19"/>
      <c r="N252" s="19"/>
      <c r="O252" s="19"/>
      <c r="P252" s="19"/>
      <c r="Q252" s="19"/>
      <c r="R252" s="19"/>
      <c r="S252" s="19"/>
      <c r="T252" s="19"/>
      <c r="U252" s="19"/>
      <c r="V252" s="19"/>
      <c r="W252" s="19"/>
      <c r="X252" s="19"/>
      <c r="Y252" s="19"/>
      <c r="Z252" s="19"/>
    </row>
    <row r="253" spans="2:26" ht="12" customHeight="1">
      <c r="B253" s="19"/>
      <c r="C253" s="19"/>
      <c r="D253" s="19"/>
      <c r="E253" s="19"/>
      <c r="F253" s="19"/>
      <c r="G253" s="19"/>
      <c r="H253" s="19"/>
      <c r="I253" s="19"/>
      <c r="J253" s="19"/>
      <c r="K253" s="19"/>
      <c r="L253" s="19"/>
      <c r="M253" s="19"/>
      <c r="N253" s="19"/>
      <c r="O253" s="19"/>
      <c r="P253" s="19"/>
      <c r="Q253" s="19"/>
      <c r="R253" s="19"/>
      <c r="S253" s="19"/>
      <c r="T253" s="19"/>
      <c r="U253" s="19"/>
      <c r="V253" s="19"/>
      <c r="W253" s="19"/>
      <c r="X253" s="19"/>
      <c r="Y253" s="19"/>
      <c r="Z253" s="19"/>
    </row>
    <row r="254" spans="2:26" ht="12" customHeight="1">
      <c r="B254" s="19"/>
      <c r="C254" s="19"/>
      <c r="D254" s="19"/>
      <c r="E254" s="19"/>
      <c r="F254" s="19"/>
      <c r="G254" s="19"/>
      <c r="H254" s="19"/>
      <c r="I254" s="19"/>
      <c r="J254" s="19"/>
      <c r="K254" s="19"/>
      <c r="L254" s="19"/>
      <c r="M254" s="19"/>
      <c r="N254" s="19"/>
      <c r="O254" s="19"/>
      <c r="P254" s="19"/>
      <c r="Q254" s="19"/>
      <c r="R254" s="19"/>
      <c r="S254" s="19"/>
      <c r="T254" s="19"/>
      <c r="U254" s="19"/>
      <c r="V254" s="19"/>
      <c r="W254" s="19"/>
      <c r="X254" s="19"/>
      <c r="Y254" s="19"/>
      <c r="Z254" s="19"/>
    </row>
    <row r="255" spans="2:26" ht="12" customHeight="1">
      <c r="B255" s="19"/>
      <c r="C255" s="19"/>
      <c r="D255" s="19"/>
      <c r="E255" s="19"/>
      <c r="F255" s="19"/>
      <c r="G255" s="19"/>
      <c r="H255" s="19"/>
      <c r="I255" s="19"/>
      <c r="J255" s="19"/>
      <c r="K255" s="19"/>
      <c r="L255" s="19"/>
      <c r="M255" s="19"/>
      <c r="N255" s="19"/>
      <c r="O255" s="19"/>
      <c r="P255" s="19"/>
      <c r="Q255" s="19"/>
      <c r="R255" s="19"/>
      <c r="S255" s="19"/>
      <c r="T255" s="19"/>
      <c r="U255" s="19"/>
      <c r="V255" s="19"/>
      <c r="W255" s="19"/>
      <c r="X255" s="19"/>
      <c r="Y255" s="19"/>
      <c r="Z255" s="19"/>
    </row>
    <row r="256" spans="2:26" ht="12" customHeight="1">
      <c r="B256" s="19"/>
      <c r="C256" s="19"/>
      <c r="D256" s="19"/>
      <c r="E256" s="19"/>
      <c r="F256" s="19"/>
      <c r="G256" s="19"/>
      <c r="H256" s="19"/>
      <c r="I256" s="19"/>
      <c r="J256" s="19"/>
      <c r="K256" s="19"/>
      <c r="L256" s="19"/>
      <c r="M256" s="19"/>
      <c r="N256" s="19"/>
      <c r="O256" s="19"/>
      <c r="P256" s="19"/>
      <c r="Q256" s="19"/>
      <c r="R256" s="19"/>
      <c r="S256" s="19"/>
      <c r="T256" s="19"/>
      <c r="U256" s="19"/>
      <c r="V256" s="19"/>
      <c r="W256" s="19"/>
      <c r="X256" s="19"/>
      <c r="Y256" s="19"/>
      <c r="Z256" s="19"/>
    </row>
    <row r="257" spans="2:26" ht="12" customHeight="1">
      <c r="B257" s="19"/>
      <c r="C257" s="19"/>
      <c r="D257" s="19"/>
      <c r="E257" s="19"/>
      <c r="F257" s="19"/>
      <c r="G257" s="19"/>
      <c r="H257" s="19"/>
      <c r="I257" s="19"/>
      <c r="J257" s="19"/>
      <c r="K257" s="19"/>
      <c r="L257" s="19"/>
      <c r="M257" s="19"/>
      <c r="N257" s="19"/>
      <c r="O257" s="19"/>
      <c r="P257" s="19"/>
      <c r="Q257" s="19"/>
      <c r="R257" s="19"/>
      <c r="S257" s="19"/>
      <c r="T257" s="19"/>
      <c r="U257" s="19"/>
      <c r="V257" s="19"/>
      <c r="W257" s="19"/>
      <c r="X257" s="19"/>
      <c r="Y257" s="19"/>
      <c r="Z257" s="19"/>
    </row>
    <row r="258" spans="2:26" ht="12" customHeight="1">
      <c r="B258" s="19"/>
      <c r="C258" s="19"/>
      <c r="D258" s="19"/>
      <c r="E258" s="19"/>
      <c r="F258" s="19"/>
      <c r="G258" s="19"/>
      <c r="H258" s="19"/>
      <c r="I258" s="19"/>
      <c r="J258" s="19"/>
      <c r="K258" s="19"/>
      <c r="L258" s="19"/>
      <c r="M258" s="19"/>
      <c r="N258" s="19"/>
      <c r="O258" s="19"/>
      <c r="P258" s="19"/>
      <c r="Q258" s="19"/>
      <c r="R258" s="19"/>
      <c r="S258" s="19"/>
      <c r="T258" s="19"/>
      <c r="U258" s="19"/>
      <c r="V258" s="19"/>
      <c r="W258" s="19"/>
      <c r="X258" s="19"/>
      <c r="Y258" s="19"/>
      <c r="Z258" s="19"/>
    </row>
    <row r="259" spans="2:26" ht="12" customHeight="1">
      <c r="B259" s="19"/>
      <c r="C259" s="19"/>
      <c r="D259" s="19"/>
      <c r="E259" s="19"/>
      <c r="F259" s="19"/>
      <c r="G259" s="19"/>
      <c r="H259" s="19"/>
      <c r="I259" s="19"/>
      <c r="J259" s="19"/>
      <c r="K259" s="19"/>
      <c r="L259" s="19"/>
      <c r="M259" s="19"/>
      <c r="N259" s="19"/>
      <c r="O259" s="19"/>
      <c r="P259" s="19"/>
      <c r="Q259" s="19"/>
      <c r="R259" s="19"/>
      <c r="S259" s="19"/>
      <c r="T259" s="19"/>
      <c r="U259" s="19"/>
      <c r="V259" s="19"/>
      <c r="W259" s="19"/>
      <c r="X259" s="19"/>
      <c r="Y259" s="19"/>
      <c r="Z259" s="19"/>
    </row>
    <row r="260" spans="2:26" ht="12" customHeight="1">
      <c r="B260" s="19"/>
      <c r="C260" s="19"/>
      <c r="D260" s="19"/>
      <c r="E260" s="19"/>
      <c r="F260" s="19"/>
      <c r="G260" s="19"/>
      <c r="H260" s="19"/>
      <c r="I260" s="19"/>
      <c r="J260" s="19"/>
      <c r="K260" s="19"/>
      <c r="L260" s="19"/>
      <c r="M260" s="19"/>
      <c r="N260" s="19"/>
      <c r="O260" s="19"/>
      <c r="P260" s="19"/>
      <c r="Q260" s="19"/>
      <c r="R260" s="19"/>
      <c r="S260" s="19"/>
      <c r="T260" s="19"/>
      <c r="U260" s="19"/>
      <c r="V260" s="19"/>
      <c r="W260" s="19"/>
      <c r="X260" s="19"/>
      <c r="Y260" s="19"/>
      <c r="Z260" s="19"/>
    </row>
    <row r="261" spans="2:26" ht="12" customHeight="1">
      <c r="B261" s="19"/>
      <c r="C261" s="19"/>
      <c r="D261" s="19"/>
      <c r="E261" s="19"/>
      <c r="F261" s="19"/>
      <c r="G261" s="19"/>
      <c r="H261" s="19"/>
      <c r="I261" s="19"/>
      <c r="J261" s="19"/>
      <c r="K261" s="19"/>
      <c r="L261" s="19"/>
      <c r="M261" s="19"/>
      <c r="N261" s="19"/>
      <c r="O261" s="19"/>
      <c r="P261" s="19"/>
      <c r="Q261" s="19"/>
      <c r="R261" s="19"/>
      <c r="S261" s="19"/>
      <c r="T261" s="19"/>
      <c r="U261" s="19"/>
      <c r="V261" s="19"/>
      <c r="W261" s="19"/>
      <c r="X261" s="19"/>
      <c r="Y261" s="19"/>
      <c r="Z261" s="19"/>
    </row>
    <row r="262" spans="2:26" ht="12" customHeight="1">
      <c r="B262" s="19"/>
      <c r="C262" s="19"/>
      <c r="D262" s="19"/>
      <c r="E262" s="19"/>
      <c r="F262" s="19"/>
      <c r="G262" s="19"/>
      <c r="H262" s="19"/>
      <c r="I262" s="19"/>
      <c r="J262" s="19"/>
      <c r="K262" s="19"/>
      <c r="L262" s="19"/>
      <c r="M262" s="19"/>
      <c r="N262" s="19"/>
      <c r="O262" s="19"/>
      <c r="P262" s="19"/>
      <c r="Q262" s="19"/>
      <c r="R262" s="19"/>
      <c r="S262" s="19"/>
      <c r="T262" s="19"/>
      <c r="U262" s="19"/>
      <c r="V262" s="19"/>
      <c r="W262" s="19"/>
      <c r="X262" s="19"/>
      <c r="Y262" s="19"/>
      <c r="Z262" s="19"/>
    </row>
    <row r="263" spans="2:26" ht="12" customHeight="1">
      <c r="B263" s="19"/>
      <c r="C263" s="19"/>
      <c r="D263" s="19"/>
      <c r="E263" s="19"/>
      <c r="F263" s="19"/>
      <c r="G263" s="19"/>
      <c r="H263" s="19"/>
      <c r="I263" s="19"/>
      <c r="J263" s="19"/>
      <c r="K263" s="19"/>
      <c r="L263" s="19"/>
      <c r="M263" s="19"/>
      <c r="N263" s="19"/>
      <c r="O263" s="19"/>
      <c r="P263" s="19"/>
      <c r="Q263" s="19"/>
      <c r="R263" s="19"/>
      <c r="S263" s="19"/>
      <c r="T263" s="19"/>
      <c r="U263" s="19"/>
      <c r="V263" s="19"/>
      <c r="W263" s="19"/>
      <c r="X263" s="19"/>
      <c r="Y263" s="19"/>
      <c r="Z263" s="19"/>
    </row>
    <row r="264" spans="2:26" ht="12" customHeight="1">
      <c r="B264" s="19"/>
      <c r="C264" s="19"/>
      <c r="D264" s="19"/>
      <c r="E264" s="19"/>
      <c r="F264" s="19"/>
      <c r="G264" s="19"/>
      <c r="H264" s="19"/>
      <c r="I264" s="19"/>
      <c r="J264" s="19"/>
      <c r="K264" s="19"/>
      <c r="L264" s="19"/>
      <c r="M264" s="19"/>
      <c r="N264" s="19"/>
      <c r="O264" s="19"/>
      <c r="P264" s="19"/>
      <c r="Q264" s="19"/>
      <c r="R264" s="19"/>
      <c r="S264" s="19"/>
      <c r="T264" s="19"/>
      <c r="U264" s="19"/>
      <c r="V264" s="19"/>
      <c r="W264" s="19"/>
      <c r="X264" s="19"/>
      <c r="Y264" s="19"/>
      <c r="Z264" s="19"/>
    </row>
    <row r="265" spans="2:26" ht="12" customHeight="1">
      <c r="B265" s="19"/>
      <c r="C265" s="19"/>
      <c r="D265" s="19"/>
      <c r="E265" s="19"/>
      <c r="F265" s="19"/>
      <c r="G265" s="19"/>
      <c r="H265" s="19"/>
      <c r="I265" s="19"/>
      <c r="J265" s="19"/>
      <c r="K265" s="19"/>
      <c r="L265" s="19"/>
      <c r="M265" s="19"/>
      <c r="N265" s="19"/>
      <c r="O265" s="19"/>
      <c r="P265" s="19"/>
      <c r="Q265" s="19"/>
      <c r="R265" s="19"/>
      <c r="S265" s="19"/>
      <c r="T265" s="19"/>
      <c r="U265" s="19"/>
      <c r="V265" s="19"/>
      <c r="W265" s="19"/>
      <c r="X265" s="19"/>
      <c r="Y265" s="19"/>
      <c r="Z265" s="19"/>
    </row>
    <row r="266" spans="2:26" ht="12" customHeight="1">
      <c r="B266" s="19"/>
      <c r="C266" s="19"/>
      <c r="D266" s="19"/>
      <c r="E266" s="19"/>
      <c r="F266" s="19"/>
      <c r="G266" s="19"/>
      <c r="H266" s="19"/>
      <c r="I266" s="19"/>
      <c r="J266" s="19"/>
      <c r="K266" s="19"/>
      <c r="L266" s="19"/>
      <c r="M266" s="19"/>
      <c r="N266" s="19"/>
      <c r="O266" s="19"/>
      <c r="P266" s="19"/>
      <c r="Q266" s="19"/>
      <c r="R266" s="19"/>
      <c r="S266" s="19"/>
      <c r="T266" s="19"/>
      <c r="U266" s="19"/>
      <c r="V266" s="19"/>
      <c r="W266" s="19"/>
      <c r="X266" s="19"/>
      <c r="Y266" s="19"/>
      <c r="Z266" s="19"/>
    </row>
    <row r="267" spans="2:26" ht="12" customHeight="1">
      <c r="B267" s="19"/>
      <c r="C267" s="19"/>
      <c r="D267" s="19"/>
      <c r="E267" s="19"/>
      <c r="F267" s="19"/>
      <c r="G267" s="19"/>
      <c r="H267" s="19"/>
      <c r="I267" s="19"/>
      <c r="J267" s="19"/>
      <c r="K267" s="19"/>
      <c r="L267" s="19"/>
      <c r="M267" s="19"/>
      <c r="N267" s="19"/>
      <c r="O267" s="19"/>
      <c r="P267" s="19"/>
      <c r="Q267" s="19"/>
      <c r="R267" s="19"/>
      <c r="S267" s="19"/>
      <c r="T267" s="19"/>
      <c r="U267" s="19"/>
      <c r="V267" s="19"/>
      <c r="W267" s="19"/>
      <c r="X267" s="19"/>
      <c r="Y267" s="19"/>
      <c r="Z267" s="19"/>
    </row>
    <row r="268" spans="2:26" ht="12" customHeight="1">
      <c r="B268" s="19"/>
      <c r="C268" s="19"/>
      <c r="D268" s="19"/>
      <c r="E268" s="19"/>
      <c r="F268" s="19"/>
      <c r="G268" s="19"/>
      <c r="H268" s="19"/>
      <c r="I268" s="19"/>
      <c r="J268" s="19"/>
      <c r="K268" s="19"/>
      <c r="L268" s="19"/>
      <c r="M268" s="19"/>
      <c r="N268" s="19"/>
      <c r="O268" s="19"/>
      <c r="P268" s="19"/>
      <c r="Q268" s="19"/>
      <c r="R268" s="19"/>
      <c r="S268" s="19"/>
      <c r="T268" s="19"/>
      <c r="U268" s="19"/>
      <c r="V268" s="19"/>
      <c r="W268" s="19"/>
      <c r="X268" s="19"/>
      <c r="Y268" s="19"/>
      <c r="Z268" s="19"/>
    </row>
    <row r="269" spans="2:26" ht="12" customHeight="1">
      <c r="B269" s="19"/>
      <c r="C269" s="19"/>
      <c r="D269" s="19"/>
      <c r="E269" s="19"/>
      <c r="F269" s="19"/>
      <c r="G269" s="19"/>
      <c r="H269" s="19"/>
      <c r="I269" s="19"/>
      <c r="J269" s="19"/>
      <c r="K269" s="19"/>
      <c r="L269" s="19"/>
      <c r="M269" s="19"/>
      <c r="N269" s="19"/>
      <c r="O269" s="19"/>
      <c r="P269" s="19"/>
      <c r="Q269" s="19"/>
      <c r="R269" s="19"/>
      <c r="S269" s="19"/>
      <c r="T269" s="19"/>
      <c r="U269" s="19"/>
      <c r="V269" s="19"/>
      <c r="W269" s="19"/>
      <c r="X269" s="19"/>
      <c r="Y269" s="19"/>
      <c r="Z269" s="19"/>
    </row>
    <row r="270" spans="2:26" ht="12" customHeight="1">
      <c r="B270" s="19"/>
      <c r="C270" s="19"/>
      <c r="D270" s="19"/>
      <c r="E270" s="19"/>
      <c r="F270" s="19"/>
      <c r="G270" s="19"/>
      <c r="H270" s="19"/>
      <c r="I270" s="19"/>
      <c r="J270" s="19"/>
      <c r="K270" s="19"/>
      <c r="L270" s="19"/>
      <c r="M270" s="19"/>
      <c r="N270" s="19"/>
      <c r="O270" s="19"/>
      <c r="P270" s="19"/>
      <c r="Q270" s="19"/>
      <c r="R270" s="19"/>
      <c r="S270" s="19"/>
      <c r="T270" s="19"/>
      <c r="U270" s="19"/>
      <c r="V270" s="19"/>
      <c r="W270" s="19"/>
      <c r="X270" s="19"/>
      <c r="Y270" s="19"/>
      <c r="Z270" s="19"/>
    </row>
    <row r="271" spans="2:26" ht="12" customHeight="1">
      <c r="B271" s="19"/>
      <c r="C271" s="19"/>
      <c r="D271" s="19"/>
      <c r="E271" s="19"/>
      <c r="F271" s="19"/>
      <c r="G271" s="19"/>
      <c r="H271" s="19"/>
      <c r="I271" s="19"/>
      <c r="J271" s="19"/>
      <c r="K271" s="19"/>
      <c r="L271" s="19"/>
      <c r="M271" s="19"/>
      <c r="N271" s="19"/>
      <c r="O271" s="19"/>
      <c r="P271" s="19"/>
      <c r="Q271" s="19"/>
      <c r="R271" s="19"/>
      <c r="S271" s="19"/>
      <c r="T271" s="19"/>
      <c r="U271" s="19"/>
      <c r="V271" s="19"/>
      <c r="W271" s="19"/>
      <c r="X271" s="19"/>
      <c r="Y271" s="19"/>
      <c r="Z271" s="19"/>
    </row>
    <row r="272" spans="2:26" ht="12" customHeight="1">
      <c r="B272" s="19"/>
      <c r="C272" s="19"/>
      <c r="D272" s="19"/>
      <c r="E272" s="19"/>
      <c r="F272" s="19"/>
      <c r="G272" s="19"/>
      <c r="H272" s="19"/>
      <c r="I272" s="19"/>
      <c r="J272" s="19"/>
      <c r="K272" s="19"/>
      <c r="L272" s="19"/>
      <c r="M272" s="19"/>
      <c r="N272" s="19"/>
      <c r="O272" s="19"/>
      <c r="P272" s="19"/>
      <c r="Q272" s="19"/>
      <c r="R272" s="19"/>
      <c r="S272" s="19"/>
      <c r="T272" s="19"/>
      <c r="U272" s="19"/>
      <c r="V272" s="19"/>
      <c r="W272" s="19"/>
      <c r="X272" s="19"/>
      <c r="Y272" s="19"/>
      <c r="Z272" s="19"/>
    </row>
    <row r="273" spans="2:26" ht="12" customHeight="1">
      <c r="B273" s="19"/>
      <c r="C273" s="19"/>
      <c r="D273" s="19"/>
      <c r="E273" s="19"/>
      <c r="F273" s="19"/>
      <c r="G273" s="19"/>
      <c r="H273" s="19"/>
      <c r="I273" s="19"/>
      <c r="J273" s="19"/>
      <c r="K273" s="19"/>
      <c r="L273" s="19"/>
      <c r="M273" s="19"/>
      <c r="N273" s="19"/>
      <c r="O273" s="19"/>
      <c r="P273" s="19"/>
      <c r="Q273" s="19"/>
      <c r="R273" s="19"/>
      <c r="S273" s="19"/>
      <c r="T273" s="19"/>
      <c r="U273" s="19"/>
      <c r="V273" s="19"/>
      <c r="W273" s="19"/>
      <c r="X273" s="19"/>
      <c r="Y273" s="19"/>
      <c r="Z273" s="19"/>
    </row>
    <row r="274" spans="2:26" ht="12" customHeight="1">
      <c r="B274" s="19"/>
      <c r="C274" s="19"/>
      <c r="D274" s="19"/>
      <c r="E274" s="19"/>
      <c r="F274" s="19"/>
      <c r="G274" s="19"/>
      <c r="H274" s="19"/>
      <c r="I274" s="19"/>
      <c r="J274" s="19"/>
      <c r="K274" s="19"/>
      <c r="L274" s="19"/>
      <c r="M274" s="19"/>
      <c r="N274" s="19"/>
      <c r="O274" s="19"/>
      <c r="P274" s="19"/>
      <c r="Q274" s="19"/>
      <c r="R274" s="19"/>
      <c r="S274" s="19"/>
      <c r="T274" s="19"/>
      <c r="U274" s="19"/>
      <c r="V274" s="19"/>
      <c r="W274" s="19"/>
      <c r="X274" s="19"/>
      <c r="Y274" s="19"/>
      <c r="Z274" s="19"/>
    </row>
    <row r="275" spans="2:26" ht="12" customHeight="1">
      <c r="B275" s="19"/>
      <c r="C275" s="19"/>
      <c r="D275" s="19"/>
      <c r="E275" s="19"/>
      <c r="F275" s="19"/>
      <c r="G275" s="19"/>
      <c r="H275" s="19"/>
      <c r="I275" s="19"/>
      <c r="J275" s="19"/>
      <c r="K275" s="19"/>
      <c r="L275" s="19"/>
      <c r="M275" s="19"/>
      <c r="N275" s="19"/>
      <c r="O275" s="19"/>
      <c r="P275" s="19"/>
      <c r="Q275" s="19"/>
      <c r="R275" s="19"/>
      <c r="S275" s="19"/>
      <c r="T275" s="19"/>
      <c r="U275" s="19"/>
      <c r="V275" s="19"/>
      <c r="W275" s="19"/>
      <c r="X275" s="19"/>
      <c r="Y275" s="19"/>
      <c r="Z275" s="19"/>
    </row>
    <row r="276" spans="2:26" ht="12" customHeight="1">
      <c r="B276" s="19"/>
      <c r="C276" s="19"/>
      <c r="D276" s="19"/>
      <c r="E276" s="19"/>
      <c r="F276" s="19"/>
      <c r="G276" s="19"/>
      <c r="H276" s="19"/>
      <c r="I276" s="19"/>
      <c r="J276" s="19"/>
      <c r="K276" s="19"/>
      <c r="L276" s="19"/>
      <c r="M276" s="19"/>
      <c r="N276" s="19"/>
      <c r="O276" s="19"/>
      <c r="P276" s="19"/>
      <c r="Q276" s="19"/>
      <c r="R276" s="19"/>
      <c r="S276" s="19"/>
      <c r="T276" s="19"/>
      <c r="U276" s="19"/>
      <c r="V276" s="19"/>
      <c r="W276" s="19"/>
      <c r="X276" s="19"/>
      <c r="Y276" s="19"/>
      <c r="Z276" s="19"/>
    </row>
    <row r="277" spans="2:26" ht="12" customHeight="1">
      <c r="B277" s="19"/>
      <c r="C277" s="19"/>
      <c r="D277" s="19"/>
      <c r="E277" s="19"/>
      <c r="F277" s="19"/>
      <c r="G277" s="19"/>
      <c r="H277" s="19"/>
      <c r="I277" s="19"/>
      <c r="J277" s="19"/>
      <c r="K277" s="19"/>
      <c r="L277" s="19"/>
      <c r="M277" s="19"/>
      <c r="N277" s="19"/>
      <c r="O277" s="19"/>
      <c r="P277" s="19"/>
      <c r="Q277" s="19"/>
      <c r="R277" s="19"/>
      <c r="S277" s="19"/>
      <c r="T277" s="19"/>
      <c r="U277" s="19"/>
      <c r="V277" s="19"/>
      <c r="W277" s="19"/>
      <c r="X277" s="19"/>
      <c r="Y277" s="19"/>
      <c r="Z277" s="19"/>
    </row>
    <row r="278" spans="2:26" ht="12" customHeight="1">
      <c r="B278" s="19"/>
      <c r="C278" s="19"/>
      <c r="D278" s="19"/>
      <c r="E278" s="19"/>
      <c r="F278" s="19"/>
      <c r="G278" s="19"/>
      <c r="H278" s="19"/>
      <c r="I278" s="19"/>
      <c r="J278" s="19"/>
      <c r="K278" s="19"/>
      <c r="L278" s="19"/>
      <c r="M278" s="19"/>
      <c r="N278" s="19"/>
      <c r="O278" s="19"/>
      <c r="P278" s="19"/>
      <c r="Q278" s="19"/>
      <c r="R278" s="19"/>
      <c r="S278" s="19"/>
      <c r="T278" s="19"/>
      <c r="U278" s="19"/>
      <c r="V278" s="19"/>
      <c r="W278" s="19"/>
      <c r="X278" s="19"/>
      <c r="Y278" s="19"/>
      <c r="Z278" s="19"/>
    </row>
    <row r="279" spans="2:26" ht="12" customHeight="1">
      <c r="B279" s="19"/>
      <c r="C279" s="19"/>
      <c r="D279" s="19"/>
      <c r="E279" s="19"/>
      <c r="F279" s="19"/>
      <c r="G279" s="19"/>
      <c r="H279" s="19"/>
      <c r="I279" s="19"/>
      <c r="J279" s="19"/>
      <c r="K279" s="19"/>
      <c r="L279" s="19"/>
      <c r="M279" s="19"/>
      <c r="N279" s="19"/>
      <c r="O279" s="19"/>
      <c r="P279" s="19"/>
      <c r="Q279" s="19"/>
      <c r="R279" s="19"/>
      <c r="S279" s="19"/>
      <c r="T279" s="19"/>
      <c r="U279" s="19"/>
      <c r="V279" s="19"/>
      <c r="W279" s="19"/>
      <c r="X279" s="19"/>
      <c r="Y279" s="19"/>
      <c r="Z279" s="19"/>
    </row>
    <row r="280" spans="2:26" ht="12" customHeight="1">
      <c r="B280" s="19"/>
      <c r="C280" s="19"/>
      <c r="D280" s="19"/>
      <c r="E280" s="19"/>
      <c r="F280" s="19"/>
      <c r="G280" s="19"/>
      <c r="H280" s="19"/>
      <c r="I280" s="19"/>
      <c r="J280" s="19"/>
      <c r="K280" s="19"/>
      <c r="L280" s="19"/>
      <c r="M280" s="19"/>
      <c r="N280" s="19"/>
      <c r="O280" s="19"/>
      <c r="P280" s="19"/>
      <c r="Q280" s="19"/>
      <c r="R280" s="19"/>
      <c r="S280" s="19"/>
      <c r="T280" s="19"/>
      <c r="U280" s="19"/>
      <c r="V280" s="19"/>
      <c r="W280" s="19"/>
      <c r="X280" s="19"/>
      <c r="Y280" s="19"/>
      <c r="Z280" s="19"/>
    </row>
    <row r="281" spans="2:26" ht="12" customHeight="1">
      <c r="B281" s="19"/>
      <c r="C281" s="19"/>
      <c r="D281" s="19"/>
      <c r="E281" s="19"/>
      <c r="F281" s="19"/>
      <c r="G281" s="19"/>
      <c r="H281" s="19"/>
      <c r="I281" s="19"/>
      <c r="J281" s="19"/>
      <c r="K281" s="19"/>
      <c r="L281" s="19"/>
      <c r="M281" s="19"/>
      <c r="N281" s="19"/>
      <c r="O281" s="19"/>
      <c r="P281" s="19"/>
      <c r="Q281" s="19"/>
      <c r="R281" s="19"/>
      <c r="S281" s="19"/>
      <c r="T281" s="19"/>
      <c r="U281" s="19"/>
      <c r="V281" s="19"/>
      <c r="W281" s="19"/>
      <c r="X281" s="19"/>
      <c r="Y281" s="19"/>
      <c r="Z281" s="19"/>
    </row>
    <row r="282" spans="2:26" ht="12" customHeight="1">
      <c r="B282" s="19"/>
      <c r="C282" s="19"/>
      <c r="D282" s="19"/>
      <c r="E282" s="19"/>
      <c r="F282" s="19"/>
      <c r="G282" s="19"/>
      <c r="H282" s="19"/>
      <c r="I282" s="19"/>
      <c r="J282" s="19"/>
      <c r="K282" s="19"/>
      <c r="L282" s="19"/>
      <c r="M282" s="19"/>
      <c r="N282" s="19"/>
      <c r="O282" s="19"/>
      <c r="P282" s="19"/>
      <c r="Q282" s="19"/>
      <c r="R282" s="19"/>
      <c r="S282" s="19"/>
      <c r="T282" s="19"/>
      <c r="U282" s="19"/>
      <c r="V282" s="19"/>
      <c r="W282" s="19"/>
      <c r="X282" s="19"/>
      <c r="Y282" s="19"/>
      <c r="Z282" s="19"/>
    </row>
    <row r="283" spans="2:26" ht="12" customHeight="1">
      <c r="B283" s="19"/>
      <c r="C283" s="19"/>
      <c r="D283" s="19"/>
      <c r="E283" s="19"/>
      <c r="F283" s="19"/>
      <c r="G283" s="19"/>
      <c r="H283" s="19"/>
      <c r="I283" s="19"/>
      <c r="J283" s="19"/>
      <c r="K283" s="19"/>
      <c r="L283" s="19"/>
      <c r="M283" s="19"/>
      <c r="N283" s="19"/>
      <c r="O283" s="19"/>
      <c r="P283" s="19"/>
      <c r="Q283" s="19"/>
      <c r="R283" s="19"/>
      <c r="S283" s="19"/>
      <c r="T283" s="19"/>
      <c r="U283" s="19"/>
      <c r="V283" s="19"/>
      <c r="W283" s="19"/>
      <c r="X283" s="19"/>
      <c r="Y283" s="19"/>
      <c r="Z283" s="19"/>
    </row>
    <row r="284" spans="2:26" ht="12" customHeigh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row>
    <row r="285" spans="2:26" ht="12" customHeight="1">
      <c r="B285" s="19"/>
      <c r="C285" s="19"/>
      <c r="D285" s="19"/>
      <c r="E285" s="19"/>
      <c r="F285" s="19"/>
      <c r="G285" s="19"/>
      <c r="H285" s="19"/>
      <c r="I285" s="19"/>
      <c r="J285" s="19"/>
      <c r="K285" s="19"/>
      <c r="L285" s="19"/>
      <c r="M285" s="19"/>
      <c r="N285" s="19"/>
      <c r="O285" s="19"/>
      <c r="P285" s="19"/>
      <c r="Q285" s="19"/>
      <c r="R285" s="19"/>
      <c r="S285" s="19"/>
      <c r="T285" s="19"/>
      <c r="U285" s="19"/>
      <c r="V285" s="19"/>
      <c r="W285" s="19"/>
      <c r="X285" s="19"/>
      <c r="Y285" s="19"/>
      <c r="Z285" s="19"/>
    </row>
    <row r="286" spans="2:26" ht="12"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row>
    <row r="287" spans="2:26" ht="12" customHeight="1">
      <c r="B287" s="19"/>
      <c r="C287" s="19"/>
      <c r="D287" s="19"/>
      <c r="E287" s="19"/>
      <c r="F287" s="19"/>
      <c r="G287" s="19"/>
      <c r="H287" s="19"/>
      <c r="I287" s="19"/>
      <c r="J287" s="19"/>
      <c r="K287" s="19"/>
      <c r="L287" s="19"/>
      <c r="M287" s="19"/>
      <c r="N287" s="19"/>
      <c r="O287" s="19"/>
      <c r="P287" s="19"/>
      <c r="Q287" s="19"/>
      <c r="R287" s="19"/>
      <c r="S287" s="19"/>
      <c r="T287" s="19"/>
      <c r="U287" s="19"/>
      <c r="V287" s="19"/>
      <c r="W287" s="19"/>
      <c r="X287" s="19"/>
      <c r="Y287" s="19"/>
      <c r="Z287" s="19"/>
    </row>
    <row r="288" spans="2:26" ht="12" customHeight="1">
      <c r="B288" s="19"/>
      <c r="C288" s="19"/>
      <c r="D288" s="19"/>
      <c r="E288" s="19"/>
      <c r="F288" s="19"/>
      <c r="G288" s="19"/>
      <c r="H288" s="19"/>
      <c r="I288" s="19"/>
      <c r="J288" s="19"/>
      <c r="K288" s="19"/>
      <c r="L288" s="19"/>
      <c r="M288" s="19"/>
      <c r="N288" s="19"/>
      <c r="O288" s="19"/>
      <c r="P288" s="19"/>
      <c r="Q288" s="19"/>
      <c r="R288" s="19"/>
      <c r="S288" s="19"/>
      <c r="T288" s="19"/>
      <c r="U288" s="19"/>
      <c r="V288" s="19"/>
      <c r="W288" s="19"/>
      <c r="X288" s="19"/>
      <c r="Y288" s="19"/>
      <c r="Z288" s="19"/>
    </row>
    <row r="289" spans="2:26" ht="12" customHeight="1">
      <c r="B289" s="19"/>
      <c r="C289" s="19"/>
      <c r="D289" s="19"/>
      <c r="E289" s="19"/>
      <c r="F289" s="19"/>
      <c r="G289" s="19"/>
      <c r="H289" s="19"/>
      <c r="I289" s="19"/>
      <c r="J289" s="19"/>
      <c r="K289" s="19"/>
      <c r="L289" s="19"/>
      <c r="M289" s="19"/>
      <c r="N289" s="19"/>
      <c r="O289" s="19"/>
      <c r="P289" s="19"/>
      <c r="Q289" s="19"/>
      <c r="R289" s="19"/>
      <c r="S289" s="19"/>
      <c r="T289" s="19"/>
      <c r="U289" s="19"/>
      <c r="V289" s="19"/>
      <c r="W289" s="19"/>
      <c r="X289" s="19"/>
      <c r="Y289" s="19"/>
      <c r="Z289" s="19"/>
    </row>
    <row r="290" spans="2:26" ht="12" customHeight="1">
      <c r="B290" s="19"/>
      <c r="C290" s="19"/>
      <c r="D290" s="19"/>
      <c r="E290" s="19"/>
      <c r="F290" s="19"/>
      <c r="G290" s="19"/>
      <c r="H290" s="19"/>
      <c r="I290" s="19"/>
      <c r="J290" s="19"/>
      <c r="K290" s="19"/>
      <c r="L290" s="19"/>
      <c r="M290" s="19"/>
      <c r="N290" s="19"/>
      <c r="O290" s="19"/>
      <c r="P290" s="19"/>
      <c r="Q290" s="19"/>
      <c r="R290" s="19"/>
      <c r="S290" s="19"/>
      <c r="T290" s="19"/>
      <c r="U290" s="19"/>
      <c r="V290" s="19"/>
      <c r="W290" s="19"/>
      <c r="X290" s="19"/>
      <c r="Y290" s="19"/>
      <c r="Z290" s="19"/>
    </row>
    <row r="291" spans="2:26" ht="12" customHeight="1">
      <c r="B291" s="19"/>
      <c r="C291" s="19"/>
      <c r="D291" s="19"/>
      <c r="E291" s="19"/>
      <c r="F291" s="19"/>
      <c r="G291" s="19"/>
      <c r="H291" s="19"/>
      <c r="I291" s="19"/>
      <c r="J291" s="19"/>
      <c r="K291" s="19"/>
      <c r="L291" s="19"/>
      <c r="M291" s="19"/>
      <c r="N291" s="19"/>
      <c r="O291" s="19"/>
      <c r="P291" s="19"/>
      <c r="Q291" s="19"/>
      <c r="R291" s="19"/>
      <c r="S291" s="19"/>
      <c r="T291" s="19"/>
      <c r="U291" s="19"/>
      <c r="V291" s="19"/>
      <c r="W291" s="19"/>
      <c r="X291" s="19"/>
      <c r="Y291" s="19"/>
      <c r="Z291" s="19"/>
    </row>
    <row r="292" spans="2:26" ht="12" customHeight="1">
      <c r="B292" s="19"/>
      <c r="C292" s="19"/>
      <c r="D292" s="19"/>
      <c r="E292" s="19"/>
      <c r="F292" s="19"/>
      <c r="G292" s="19"/>
      <c r="H292" s="19"/>
      <c r="I292" s="19"/>
      <c r="J292" s="19"/>
      <c r="K292" s="19"/>
      <c r="L292" s="19"/>
      <c r="M292" s="19"/>
      <c r="N292" s="19"/>
      <c r="O292" s="19"/>
      <c r="P292" s="19"/>
      <c r="Q292" s="19"/>
      <c r="R292" s="19"/>
      <c r="S292" s="19"/>
      <c r="T292" s="19"/>
      <c r="U292" s="19"/>
      <c r="V292" s="19"/>
      <c r="W292" s="19"/>
      <c r="X292" s="19"/>
      <c r="Y292" s="19"/>
      <c r="Z292" s="19"/>
    </row>
    <row r="293" spans="2:26" ht="12" customHeight="1">
      <c r="B293" s="19"/>
      <c r="C293" s="19"/>
      <c r="D293" s="19"/>
      <c r="E293" s="19"/>
      <c r="F293" s="19"/>
      <c r="G293" s="19"/>
      <c r="H293" s="19"/>
      <c r="I293" s="19"/>
      <c r="J293" s="19"/>
      <c r="K293" s="19"/>
      <c r="L293" s="19"/>
      <c r="M293" s="19"/>
      <c r="N293" s="19"/>
      <c r="O293" s="19"/>
      <c r="P293" s="19"/>
      <c r="Q293" s="19"/>
      <c r="R293" s="19"/>
      <c r="S293" s="19"/>
      <c r="T293" s="19"/>
      <c r="U293" s="19"/>
      <c r="V293" s="19"/>
      <c r="W293" s="19"/>
      <c r="X293" s="19"/>
      <c r="Y293" s="19"/>
      <c r="Z293" s="19"/>
    </row>
    <row r="294" spans="2:26" ht="12" customHeight="1">
      <c r="B294" s="19"/>
      <c r="C294" s="19"/>
      <c r="D294" s="19"/>
      <c r="E294" s="19"/>
      <c r="F294" s="19"/>
      <c r="G294" s="19"/>
      <c r="H294" s="19"/>
      <c r="I294" s="19"/>
      <c r="J294" s="19"/>
      <c r="K294" s="19"/>
      <c r="L294" s="19"/>
      <c r="M294" s="19"/>
      <c r="N294" s="19"/>
      <c r="O294" s="19"/>
      <c r="P294" s="19"/>
      <c r="Q294" s="19"/>
      <c r="R294" s="19"/>
      <c r="S294" s="19"/>
      <c r="T294" s="19"/>
      <c r="U294" s="19"/>
      <c r="V294" s="19"/>
      <c r="W294" s="19"/>
      <c r="X294" s="19"/>
      <c r="Y294" s="19"/>
      <c r="Z294" s="19"/>
    </row>
    <row r="295" spans="2:26" ht="12" customHeight="1">
      <c r="B295" s="19"/>
      <c r="C295" s="19"/>
      <c r="D295" s="19"/>
      <c r="E295" s="19"/>
      <c r="F295" s="19"/>
      <c r="G295" s="19"/>
      <c r="H295" s="19"/>
      <c r="I295" s="19"/>
      <c r="J295" s="19"/>
      <c r="K295" s="19"/>
      <c r="L295" s="19"/>
      <c r="M295" s="19"/>
      <c r="N295" s="19"/>
      <c r="O295" s="19"/>
      <c r="P295" s="19"/>
      <c r="Q295" s="19"/>
      <c r="R295" s="19"/>
      <c r="S295" s="19"/>
      <c r="T295" s="19"/>
      <c r="U295" s="19"/>
      <c r="V295" s="19"/>
      <c r="W295" s="19"/>
      <c r="X295" s="19"/>
      <c r="Y295" s="19"/>
      <c r="Z295" s="19"/>
    </row>
    <row r="296" spans="2:26" ht="12" customHeight="1">
      <c r="B296" s="19"/>
      <c r="C296" s="19"/>
      <c r="D296" s="19"/>
      <c r="E296" s="19"/>
      <c r="F296" s="19"/>
      <c r="G296" s="19"/>
      <c r="H296" s="19"/>
      <c r="I296" s="19"/>
      <c r="J296" s="19"/>
      <c r="K296" s="19"/>
      <c r="L296" s="19"/>
      <c r="M296" s="19"/>
      <c r="N296" s="19"/>
      <c r="O296" s="19"/>
      <c r="P296" s="19"/>
      <c r="Q296" s="19"/>
      <c r="R296" s="19"/>
      <c r="S296" s="19"/>
      <c r="T296" s="19"/>
      <c r="U296" s="19"/>
      <c r="V296" s="19"/>
      <c r="W296" s="19"/>
      <c r="X296" s="19"/>
      <c r="Y296" s="19"/>
      <c r="Z296" s="19"/>
    </row>
    <row r="297" spans="2:26" ht="12" customHeight="1">
      <c r="B297" s="19"/>
      <c r="C297" s="19"/>
      <c r="D297" s="19"/>
      <c r="E297" s="19"/>
      <c r="F297" s="19"/>
      <c r="G297" s="19"/>
      <c r="H297" s="19"/>
      <c r="I297" s="19"/>
      <c r="J297" s="19"/>
      <c r="K297" s="19"/>
      <c r="L297" s="19"/>
      <c r="M297" s="19"/>
      <c r="N297" s="19"/>
      <c r="O297" s="19"/>
      <c r="P297" s="19"/>
      <c r="Q297" s="19"/>
      <c r="R297" s="19"/>
      <c r="S297" s="19"/>
      <c r="T297" s="19"/>
      <c r="U297" s="19"/>
      <c r="V297" s="19"/>
      <c r="W297" s="19"/>
      <c r="X297" s="19"/>
      <c r="Y297" s="19"/>
      <c r="Z297" s="19"/>
    </row>
    <row r="298" spans="2:26" ht="12" customHeight="1">
      <c r="B298" s="19"/>
      <c r="C298" s="19"/>
      <c r="D298" s="19"/>
      <c r="E298" s="19"/>
      <c r="F298" s="19"/>
      <c r="G298" s="19"/>
      <c r="H298" s="19"/>
      <c r="I298" s="19"/>
      <c r="J298" s="19"/>
      <c r="K298" s="19"/>
      <c r="L298" s="19"/>
      <c r="M298" s="19"/>
      <c r="N298" s="19"/>
      <c r="O298" s="19"/>
      <c r="P298" s="19"/>
      <c r="Q298" s="19"/>
      <c r="R298" s="19"/>
      <c r="S298" s="19"/>
      <c r="T298" s="19"/>
      <c r="U298" s="19"/>
      <c r="V298" s="19"/>
      <c r="W298" s="19"/>
      <c r="X298" s="19"/>
      <c r="Y298" s="19"/>
      <c r="Z298" s="19"/>
    </row>
    <row r="299" spans="2:26" ht="12" customHeight="1">
      <c r="B299" s="19"/>
      <c r="C299" s="19"/>
      <c r="D299" s="19"/>
      <c r="E299" s="19"/>
      <c r="F299" s="19"/>
      <c r="G299" s="19"/>
      <c r="H299" s="19"/>
      <c r="I299" s="19"/>
      <c r="J299" s="19"/>
      <c r="K299" s="19"/>
      <c r="L299" s="19"/>
      <c r="M299" s="19"/>
      <c r="N299" s="19"/>
      <c r="O299" s="19"/>
      <c r="P299" s="19"/>
      <c r="Q299" s="19"/>
      <c r="R299" s="19"/>
      <c r="S299" s="19"/>
      <c r="T299" s="19"/>
      <c r="U299" s="19"/>
      <c r="V299" s="19"/>
      <c r="W299" s="19"/>
      <c r="X299" s="19"/>
      <c r="Y299" s="19"/>
      <c r="Z299" s="19"/>
    </row>
    <row r="300" spans="2:26" ht="12" customHeight="1">
      <c r="B300" s="19"/>
      <c r="C300" s="19"/>
      <c r="D300" s="19"/>
      <c r="E300" s="19"/>
      <c r="F300" s="19"/>
      <c r="G300" s="19"/>
      <c r="H300" s="19"/>
      <c r="I300" s="19"/>
      <c r="J300" s="19"/>
      <c r="K300" s="19"/>
      <c r="L300" s="19"/>
      <c r="M300" s="19"/>
      <c r="N300" s="19"/>
      <c r="O300" s="19"/>
      <c r="P300" s="19"/>
      <c r="Q300" s="19"/>
      <c r="R300" s="19"/>
      <c r="S300" s="19"/>
      <c r="T300" s="19"/>
      <c r="U300" s="19"/>
      <c r="V300" s="19"/>
      <c r="W300" s="19"/>
      <c r="X300" s="19"/>
      <c r="Y300" s="19"/>
      <c r="Z300" s="19"/>
    </row>
    <row r="301" spans="2:26" ht="12" customHeight="1">
      <c r="B301" s="19"/>
      <c r="C301" s="19"/>
      <c r="D301" s="19"/>
      <c r="E301" s="19"/>
      <c r="F301" s="19"/>
      <c r="G301" s="19"/>
      <c r="H301" s="19"/>
      <c r="I301" s="19"/>
      <c r="J301" s="19"/>
      <c r="K301" s="19"/>
      <c r="L301" s="19"/>
      <c r="M301" s="19"/>
      <c r="N301" s="19"/>
      <c r="O301" s="19"/>
      <c r="P301" s="19"/>
      <c r="Q301" s="19"/>
      <c r="R301" s="19"/>
      <c r="S301" s="19"/>
      <c r="T301" s="19"/>
      <c r="U301" s="19"/>
      <c r="V301" s="19"/>
      <c r="W301" s="19"/>
      <c r="X301" s="19"/>
      <c r="Y301" s="19"/>
      <c r="Z301" s="19"/>
    </row>
    <row r="302" spans="2:26" ht="12" customHeight="1">
      <c r="B302" s="19"/>
      <c r="C302" s="19"/>
      <c r="D302" s="19"/>
      <c r="E302" s="19"/>
      <c r="F302" s="19"/>
      <c r="G302" s="19"/>
      <c r="H302" s="19"/>
      <c r="I302" s="19"/>
      <c r="J302" s="19"/>
      <c r="K302" s="19"/>
      <c r="L302" s="19"/>
      <c r="M302" s="19"/>
      <c r="N302" s="19"/>
      <c r="O302" s="19"/>
      <c r="P302" s="19"/>
      <c r="Q302" s="19"/>
      <c r="R302" s="19"/>
      <c r="S302" s="19"/>
      <c r="T302" s="19"/>
      <c r="U302" s="19"/>
      <c r="V302" s="19"/>
      <c r="W302" s="19"/>
      <c r="X302" s="19"/>
      <c r="Y302" s="19"/>
      <c r="Z302" s="19"/>
    </row>
    <row r="303" spans="2:26" ht="12" customHeight="1">
      <c r="B303" s="19"/>
      <c r="C303" s="19"/>
      <c r="D303" s="19"/>
      <c r="E303" s="19"/>
      <c r="F303" s="19"/>
      <c r="G303" s="19"/>
      <c r="H303" s="19"/>
      <c r="I303" s="19"/>
      <c r="J303" s="19"/>
      <c r="K303" s="19"/>
      <c r="L303" s="19"/>
      <c r="M303" s="19"/>
      <c r="N303" s="19"/>
      <c r="O303" s="19"/>
      <c r="P303" s="19"/>
      <c r="Q303" s="19"/>
      <c r="R303" s="19"/>
      <c r="S303" s="19"/>
      <c r="T303" s="19"/>
      <c r="U303" s="19"/>
      <c r="V303" s="19"/>
      <c r="W303" s="19"/>
      <c r="X303" s="19"/>
      <c r="Y303" s="19"/>
      <c r="Z303" s="19"/>
    </row>
    <row r="304" spans="2:26" ht="12" customHeight="1">
      <c r="B304" s="19"/>
      <c r="C304" s="19"/>
      <c r="D304" s="19"/>
      <c r="E304" s="19"/>
      <c r="F304" s="19"/>
      <c r="G304" s="19"/>
      <c r="H304" s="19"/>
      <c r="I304" s="19"/>
      <c r="J304" s="19"/>
      <c r="K304" s="19"/>
      <c r="L304" s="19"/>
      <c r="M304" s="19"/>
      <c r="N304" s="19"/>
      <c r="O304" s="19"/>
      <c r="P304" s="19"/>
      <c r="Q304" s="19"/>
      <c r="R304" s="19"/>
      <c r="S304" s="19"/>
      <c r="T304" s="19"/>
      <c r="U304" s="19"/>
      <c r="V304" s="19"/>
      <c r="W304" s="19"/>
      <c r="X304" s="19"/>
      <c r="Y304" s="19"/>
      <c r="Z304" s="19"/>
    </row>
    <row r="305" spans="2:26" ht="12" customHeight="1">
      <c r="B305" s="19"/>
      <c r="C305" s="19"/>
      <c r="D305" s="19"/>
      <c r="E305" s="19"/>
      <c r="F305" s="19"/>
      <c r="G305" s="19"/>
      <c r="H305" s="19"/>
      <c r="I305" s="19"/>
      <c r="J305" s="19"/>
      <c r="K305" s="19"/>
      <c r="L305" s="19"/>
      <c r="M305" s="19"/>
      <c r="N305" s="19"/>
      <c r="O305" s="19"/>
      <c r="P305" s="19"/>
      <c r="Q305" s="19"/>
      <c r="R305" s="19"/>
      <c r="S305" s="19"/>
      <c r="T305" s="19"/>
      <c r="U305" s="19"/>
      <c r="V305" s="19"/>
      <c r="W305" s="19"/>
      <c r="X305" s="19"/>
      <c r="Y305" s="19"/>
      <c r="Z305" s="19"/>
    </row>
    <row r="306" spans="2:26" ht="12" customHeight="1">
      <c r="B306" s="19"/>
      <c r="C306" s="19"/>
      <c r="D306" s="19"/>
      <c r="E306" s="19"/>
      <c r="F306" s="19"/>
      <c r="G306" s="19"/>
      <c r="H306" s="19"/>
      <c r="I306" s="19"/>
      <c r="J306" s="19"/>
      <c r="K306" s="19"/>
      <c r="L306" s="19"/>
      <c r="M306" s="19"/>
      <c r="N306" s="19"/>
      <c r="O306" s="19"/>
      <c r="P306" s="19"/>
      <c r="Q306" s="19"/>
      <c r="R306" s="19"/>
      <c r="S306" s="19"/>
      <c r="T306" s="19"/>
      <c r="U306" s="19"/>
      <c r="V306" s="19"/>
      <c r="W306" s="19"/>
      <c r="X306" s="19"/>
      <c r="Y306" s="19"/>
      <c r="Z306" s="19"/>
    </row>
    <row r="307" spans="2:26" ht="12" customHeight="1">
      <c r="B307" s="19"/>
      <c r="C307" s="19"/>
      <c r="D307" s="19"/>
      <c r="E307" s="19"/>
      <c r="F307" s="19"/>
      <c r="G307" s="19"/>
      <c r="H307" s="19"/>
      <c r="I307" s="19"/>
      <c r="J307" s="19"/>
      <c r="K307" s="19"/>
      <c r="L307" s="19"/>
      <c r="M307" s="19"/>
      <c r="N307" s="19"/>
      <c r="O307" s="19"/>
      <c r="P307" s="19"/>
      <c r="Q307" s="19"/>
      <c r="R307" s="19"/>
      <c r="S307" s="19"/>
      <c r="T307" s="19"/>
      <c r="U307" s="19"/>
      <c r="V307" s="19"/>
      <c r="W307" s="19"/>
      <c r="X307" s="19"/>
      <c r="Y307" s="19"/>
      <c r="Z307" s="19"/>
    </row>
    <row r="308" spans="2:26" ht="12" customHeight="1">
      <c r="B308" s="19"/>
      <c r="C308" s="19"/>
      <c r="D308" s="19"/>
      <c r="E308" s="19"/>
      <c r="F308" s="19"/>
      <c r="G308" s="19"/>
      <c r="H308" s="19"/>
      <c r="I308" s="19"/>
      <c r="J308" s="19"/>
      <c r="K308" s="19"/>
      <c r="L308" s="19"/>
      <c r="M308" s="19"/>
      <c r="N308" s="19"/>
      <c r="O308" s="19"/>
      <c r="P308" s="19"/>
      <c r="Q308" s="19"/>
      <c r="R308" s="19"/>
      <c r="S308" s="19"/>
      <c r="T308" s="19"/>
      <c r="U308" s="19"/>
      <c r="V308" s="19"/>
      <c r="W308" s="19"/>
      <c r="X308" s="19"/>
      <c r="Y308" s="19"/>
      <c r="Z308" s="19"/>
    </row>
    <row r="309" spans="2:26" ht="12" customHeight="1">
      <c r="B309" s="19"/>
      <c r="C309" s="19"/>
      <c r="D309" s="19"/>
      <c r="E309" s="19"/>
      <c r="F309" s="19"/>
      <c r="G309" s="19"/>
      <c r="H309" s="19"/>
      <c r="I309" s="19"/>
      <c r="J309" s="19"/>
      <c r="K309" s="19"/>
      <c r="L309" s="19"/>
      <c r="M309" s="19"/>
      <c r="N309" s="19"/>
      <c r="O309" s="19"/>
      <c r="P309" s="19"/>
      <c r="Q309" s="19"/>
      <c r="R309" s="19"/>
      <c r="S309" s="19"/>
      <c r="T309" s="19"/>
      <c r="U309" s="19"/>
      <c r="V309" s="19"/>
      <c r="W309" s="19"/>
      <c r="X309" s="19"/>
      <c r="Y309" s="19"/>
      <c r="Z309" s="19"/>
    </row>
    <row r="310" spans="2:26" ht="12" customHeight="1">
      <c r="B310" s="19"/>
      <c r="C310" s="19"/>
      <c r="D310" s="19"/>
      <c r="E310" s="19"/>
      <c r="F310" s="19"/>
      <c r="G310" s="19"/>
      <c r="H310" s="19"/>
      <c r="I310" s="19"/>
      <c r="J310" s="19"/>
      <c r="K310" s="19"/>
      <c r="L310" s="19"/>
      <c r="M310" s="19"/>
      <c r="N310" s="19"/>
      <c r="O310" s="19"/>
      <c r="P310" s="19"/>
      <c r="Q310" s="19"/>
      <c r="R310" s="19"/>
      <c r="S310" s="19"/>
      <c r="T310" s="19"/>
      <c r="U310" s="19"/>
      <c r="V310" s="19"/>
      <c r="W310" s="19"/>
      <c r="X310" s="19"/>
      <c r="Y310" s="19"/>
      <c r="Z310" s="19"/>
    </row>
    <row r="311" spans="2:26" ht="12" customHeight="1">
      <c r="B311" s="19"/>
      <c r="C311" s="19"/>
      <c r="D311" s="19"/>
      <c r="E311" s="19"/>
      <c r="F311" s="19"/>
      <c r="G311" s="19"/>
      <c r="H311" s="19"/>
      <c r="I311" s="19"/>
      <c r="J311" s="19"/>
      <c r="K311" s="19"/>
      <c r="L311" s="19"/>
      <c r="M311" s="19"/>
      <c r="N311" s="19"/>
      <c r="O311" s="19"/>
      <c r="P311" s="19"/>
      <c r="Q311" s="19"/>
      <c r="R311" s="19"/>
      <c r="S311" s="19"/>
      <c r="T311" s="19"/>
      <c r="U311" s="19"/>
      <c r="V311" s="19"/>
      <c r="W311" s="19"/>
      <c r="X311" s="19"/>
      <c r="Y311" s="19"/>
      <c r="Z311" s="19"/>
    </row>
    <row r="312" spans="2:26" ht="12" customHeight="1">
      <c r="B312" s="19"/>
      <c r="C312" s="19"/>
      <c r="D312" s="19"/>
      <c r="E312" s="19"/>
      <c r="F312" s="19"/>
      <c r="G312" s="19"/>
      <c r="H312" s="19"/>
      <c r="I312" s="19"/>
      <c r="J312" s="19"/>
      <c r="K312" s="19"/>
      <c r="L312" s="19"/>
      <c r="M312" s="19"/>
      <c r="N312" s="19"/>
      <c r="O312" s="19"/>
      <c r="P312" s="19"/>
      <c r="Q312" s="19"/>
      <c r="R312" s="19"/>
      <c r="S312" s="19"/>
      <c r="T312" s="19"/>
      <c r="U312" s="19"/>
      <c r="V312" s="19"/>
      <c r="W312" s="19"/>
      <c r="X312" s="19"/>
      <c r="Y312" s="19"/>
      <c r="Z312" s="19"/>
    </row>
    <row r="313" spans="2:26" ht="12" customHeight="1">
      <c r="B313" s="19"/>
      <c r="C313" s="19"/>
      <c r="D313" s="19"/>
      <c r="E313" s="19"/>
      <c r="F313" s="19"/>
      <c r="G313" s="19"/>
      <c r="H313" s="19"/>
      <c r="I313" s="19"/>
      <c r="J313" s="19"/>
      <c r="K313" s="19"/>
      <c r="L313" s="19"/>
      <c r="M313" s="19"/>
      <c r="N313" s="19"/>
      <c r="O313" s="19"/>
      <c r="P313" s="19"/>
      <c r="Q313" s="19"/>
      <c r="R313" s="19"/>
      <c r="S313" s="19"/>
      <c r="T313" s="19"/>
      <c r="U313" s="19"/>
      <c r="V313" s="19"/>
      <c r="W313" s="19"/>
      <c r="X313" s="19"/>
      <c r="Y313" s="19"/>
      <c r="Z313" s="19"/>
    </row>
    <row r="314" spans="2:26" ht="12" customHeight="1">
      <c r="B314" s="19"/>
      <c r="C314" s="19"/>
      <c r="D314" s="19"/>
      <c r="E314" s="19"/>
      <c r="F314" s="19"/>
      <c r="G314" s="19"/>
      <c r="H314" s="19"/>
      <c r="I314" s="19"/>
      <c r="J314" s="19"/>
      <c r="K314" s="19"/>
      <c r="L314" s="19"/>
      <c r="M314" s="19"/>
      <c r="N314" s="19"/>
      <c r="O314" s="19"/>
      <c r="P314" s="19"/>
      <c r="Q314" s="19"/>
      <c r="R314" s="19"/>
      <c r="S314" s="19"/>
      <c r="T314" s="19"/>
      <c r="U314" s="19"/>
      <c r="V314" s="19"/>
      <c r="W314" s="19"/>
      <c r="X314" s="19"/>
      <c r="Y314" s="19"/>
      <c r="Z314" s="19"/>
    </row>
    <row r="315" spans="2:26" ht="12" customHeight="1">
      <c r="B315" s="19"/>
      <c r="C315" s="19"/>
      <c r="D315" s="19"/>
      <c r="E315" s="19"/>
      <c r="F315" s="19"/>
      <c r="G315" s="19"/>
      <c r="H315" s="19"/>
      <c r="I315" s="19"/>
      <c r="J315" s="19"/>
      <c r="K315" s="19"/>
      <c r="L315" s="19"/>
      <c r="M315" s="19"/>
      <c r="N315" s="19"/>
      <c r="O315" s="19"/>
      <c r="P315" s="19"/>
      <c r="Q315" s="19"/>
      <c r="R315" s="19"/>
      <c r="S315" s="19"/>
      <c r="T315" s="19"/>
      <c r="U315" s="19"/>
      <c r="V315" s="19"/>
      <c r="W315" s="19"/>
      <c r="X315" s="19"/>
      <c r="Y315" s="19"/>
      <c r="Z315" s="19"/>
    </row>
    <row r="316" spans="2:26" ht="12" customHeight="1">
      <c r="B316" s="19"/>
      <c r="C316" s="19"/>
      <c r="D316" s="19"/>
      <c r="E316" s="19"/>
      <c r="F316" s="19"/>
      <c r="G316" s="19"/>
      <c r="H316" s="19"/>
      <c r="I316" s="19"/>
      <c r="J316" s="19"/>
      <c r="K316" s="19"/>
      <c r="L316" s="19"/>
      <c r="M316" s="19"/>
      <c r="N316" s="19"/>
      <c r="O316" s="19"/>
      <c r="P316" s="19"/>
      <c r="Q316" s="19"/>
      <c r="R316" s="19"/>
      <c r="S316" s="19"/>
      <c r="T316" s="19"/>
      <c r="U316" s="19"/>
      <c r="V316" s="19"/>
      <c r="W316" s="19"/>
      <c r="X316" s="19"/>
      <c r="Y316" s="19"/>
      <c r="Z316" s="19"/>
    </row>
    <row r="317" spans="2:26" ht="12" customHeight="1">
      <c r="B317" s="19"/>
      <c r="C317" s="19"/>
      <c r="D317" s="19"/>
      <c r="E317" s="19"/>
      <c r="F317" s="19"/>
      <c r="G317" s="19"/>
      <c r="H317" s="19"/>
      <c r="I317" s="19"/>
      <c r="J317" s="19"/>
      <c r="K317" s="19"/>
      <c r="L317" s="19"/>
      <c r="M317" s="19"/>
      <c r="N317" s="19"/>
      <c r="O317" s="19"/>
      <c r="P317" s="19"/>
      <c r="Q317" s="19"/>
      <c r="R317" s="19"/>
      <c r="S317" s="19"/>
      <c r="T317" s="19"/>
      <c r="U317" s="19"/>
      <c r="V317" s="19"/>
      <c r="W317" s="19"/>
      <c r="X317" s="19"/>
      <c r="Y317" s="19"/>
      <c r="Z317" s="19"/>
    </row>
    <row r="318" spans="2:26" ht="12" customHeight="1">
      <c r="B318" s="19"/>
      <c r="C318" s="19"/>
      <c r="D318" s="19"/>
      <c r="E318" s="19"/>
      <c r="F318" s="19"/>
      <c r="G318" s="19"/>
      <c r="H318" s="19"/>
      <c r="I318" s="19"/>
      <c r="J318" s="19"/>
      <c r="K318" s="19"/>
      <c r="L318" s="19"/>
      <c r="M318" s="19"/>
      <c r="N318" s="19"/>
      <c r="O318" s="19"/>
      <c r="P318" s="19"/>
      <c r="Q318" s="19"/>
      <c r="R318" s="19"/>
      <c r="S318" s="19"/>
      <c r="T318" s="19"/>
      <c r="U318" s="19"/>
      <c r="V318" s="19"/>
      <c r="W318" s="19"/>
      <c r="X318" s="19"/>
      <c r="Y318" s="19"/>
      <c r="Z318" s="19"/>
    </row>
    <row r="319" spans="2:26" ht="12" customHeight="1">
      <c r="B319" s="19"/>
      <c r="C319" s="19"/>
      <c r="D319" s="19"/>
      <c r="E319" s="19"/>
      <c r="F319" s="19"/>
      <c r="G319" s="19"/>
      <c r="H319" s="19"/>
      <c r="I319" s="19"/>
      <c r="J319" s="19"/>
      <c r="K319" s="19"/>
      <c r="L319" s="19"/>
      <c r="M319" s="19"/>
      <c r="N319" s="19"/>
      <c r="O319" s="19"/>
      <c r="P319" s="19"/>
      <c r="Q319" s="19"/>
      <c r="R319" s="19"/>
      <c r="S319" s="19"/>
      <c r="T319" s="19"/>
      <c r="U319" s="19"/>
      <c r="V319" s="19"/>
      <c r="W319" s="19"/>
      <c r="X319" s="19"/>
      <c r="Y319" s="19"/>
      <c r="Z319" s="19"/>
    </row>
    <row r="320" spans="2:26" ht="12" customHeight="1">
      <c r="B320" s="19"/>
      <c r="C320" s="19"/>
      <c r="D320" s="19"/>
      <c r="E320" s="19"/>
      <c r="F320" s="19"/>
      <c r="G320" s="19"/>
      <c r="H320" s="19"/>
      <c r="I320" s="19"/>
      <c r="J320" s="19"/>
      <c r="K320" s="19"/>
      <c r="L320" s="19"/>
      <c r="M320" s="19"/>
      <c r="N320" s="19"/>
      <c r="O320" s="19"/>
      <c r="P320" s="19"/>
      <c r="Q320" s="19"/>
      <c r="R320" s="19"/>
      <c r="S320" s="19"/>
      <c r="T320" s="19"/>
      <c r="U320" s="19"/>
      <c r="V320" s="19"/>
      <c r="W320" s="19"/>
      <c r="X320" s="19"/>
      <c r="Y320" s="19"/>
      <c r="Z320" s="19"/>
    </row>
    <row r="321" spans="2:26" ht="12" customHeight="1">
      <c r="B321" s="19"/>
      <c r="C321" s="19"/>
      <c r="D321" s="19"/>
      <c r="E321" s="19"/>
      <c r="F321" s="19"/>
      <c r="G321" s="19"/>
      <c r="H321" s="19"/>
      <c r="I321" s="19"/>
      <c r="J321" s="19"/>
      <c r="K321" s="19"/>
      <c r="L321" s="19"/>
      <c r="M321" s="19"/>
      <c r="N321" s="19"/>
      <c r="O321" s="19"/>
      <c r="P321" s="19"/>
      <c r="Q321" s="19"/>
      <c r="R321" s="19"/>
      <c r="S321" s="19"/>
      <c r="T321" s="19"/>
      <c r="U321" s="19"/>
      <c r="V321" s="19"/>
      <c r="W321" s="19"/>
      <c r="X321" s="19"/>
      <c r="Y321" s="19"/>
      <c r="Z321" s="19"/>
    </row>
    <row r="322" spans="2:26" ht="12" customHeight="1">
      <c r="B322" s="19"/>
      <c r="C322" s="19"/>
      <c r="D322" s="19"/>
      <c r="E322" s="19"/>
      <c r="F322" s="19"/>
      <c r="G322" s="19"/>
      <c r="H322" s="19"/>
      <c r="I322" s="19"/>
      <c r="J322" s="19"/>
      <c r="K322" s="19"/>
      <c r="L322" s="19"/>
      <c r="M322" s="19"/>
      <c r="N322" s="19"/>
      <c r="O322" s="19"/>
      <c r="P322" s="19"/>
      <c r="Q322" s="19"/>
      <c r="R322" s="19"/>
      <c r="S322" s="19"/>
      <c r="T322" s="19"/>
      <c r="U322" s="19"/>
      <c r="V322" s="19"/>
      <c r="W322" s="19"/>
      <c r="X322" s="19"/>
      <c r="Y322" s="19"/>
      <c r="Z322" s="19"/>
    </row>
    <row r="323" spans="2:26" ht="12" customHeight="1">
      <c r="B323" s="19"/>
      <c r="C323" s="19"/>
      <c r="D323" s="19"/>
      <c r="E323" s="19"/>
      <c r="F323" s="19"/>
      <c r="G323" s="19"/>
      <c r="H323" s="19"/>
      <c r="I323" s="19"/>
      <c r="J323" s="19"/>
      <c r="K323" s="19"/>
      <c r="L323" s="19"/>
      <c r="M323" s="19"/>
      <c r="N323" s="19"/>
      <c r="O323" s="19"/>
      <c r="P323" s="19"/>
      <c r="Q323" s="19"/>
      <c r="R323" s="19"/>
      <c r="S323" s="19"/>
      <c r="T323" s="19"/>
      <c r="U323" s="19"/>
      <c r="V323" s="19"/>
      <c r="W323" s="19"/>
      <c r="X323" s="19"/>
      <c r="Y323" s="19"/>
      <c r="Z323" s="19"/>
    </row>
    <row r="324" spans="2:26" ht="12" customHeight="1">
      <c r="B324" s="19"/>
      <c r="C324" s="19"/>
      <c r="D324" s="19"/>
      <c r="E324" s="19"/>
      <c r="F324" s="19"/>
      <c r="G324" s="19"/>
      <c r="H324" s="19"/>
      <c r="I324" s="19"/>
      <c r="J324" s="19"/>
      <c r="K324" s="19"/>
      <c r="L324" s="19"/>
      <c r="M324" s="19"/>
      <c r="N324" s="19"/>
      <c r="O324" s="19"/>
      <c r="P324" s="19"/>
      <c r="Q324" s="19"/>
      <c r="R324" s="19"/>
      <c r="S324" s="19"/>
      <c r="T324" s="19"/>
      <c r="U324" s="19"/>
      <c r="V324" s="19"/>
      <c r="W324" s="19"/>
      <c r="X324" s="19"/>
      <c r="Y324" s="19"/>
      <c r="Z324" s="19"/>
    </row>
    <row r="325" spans="2:26" ht="12" customHeight="1">
      <c r="B325" s="19"/>
      <c r="C325" s="19"/>
      <c r="D325" s="19"/>
      <c r="E325" s="19"/>
      <c r="F325" s="19"/>
      <c r="G325" s="19"/>
      <c r="H325" s="19"/>
      <c r="I325" s="19"/>
      <c r="J325" s="19"/>
      <c r="K325" s="19"/>
      <c r="L325" s="19"/>
      <c r="M325" s="19"/>
      <c r="N325" s="19"/>
      <c r="O325" s="19"/>
      <c r="P325" s="19"/>
      <c r="Q325" s="19"/>
      <c r="R325" s="19"/>
      <c r="S325" s="19"/>
      <c r="T325" s="19"/>
      <c r="U325" s="19"/>
      <c r="V325" s="19"/>
      <c r="W325" s="19"/>
      <c r="X325" s="19"/>
      <c r="Y325" s="19"/>
      <c r="Z325" s="19"/>
    </row>
    <row r="326" spans="2:26" ht="12" customHeight="1">
      <c r="B326" s="19"/>
      <c r="C326" s="19"/>
      <c r="D326" s="19"/>
      <c r="E326" s="19"/>
      <c r="F326" s="19"/>
      <c r="G326" s="19"/>
      <c r="H326" s="19"/>
      <c r="I326" s="19"/>
      <c r="J326" s="19"/>
      <c r="K326" s="19"/>
      <c r="L326" s="19"/>
      <c r="M326" s="19"/>
      <c r="N326" s="19"/>
      <c r="O326" s="19"/>
      <c r="P326" s="19"/>
      <c r="Q326" s="19"/>
      <c r="R326" s="19"/>
      <c r="S326" s="19"/>
      <c r="T326" s="19"/>
      <c r="U326" s="19"/>
      <c r="V326" s="19"/>
      <c r="W326" s="19"/>
      <c r="X326" s="19"/>
      <c r="Y326" s="19"/>
      <c r="Z326" s="19"/>
    </row>
    <row r="327" spans="2:26" ht="12" customHeight="1">
      <c r="B327" s="19"/>
      <c r="C327" s="19"/>
      <c r="D327" s="19"/>
      <c r="E327" s="19"/>
      <c r="F327" s="19"/>
      <c r="G327" s="19"/>
      <c r="H327" s="19"/>
      <c r="I327" s="19"/>
      <c r="J327" s="19"/>
      <c r="K327" s="19"/>
      <c r="L327" s="19"/>
      <c r="M327" s="19"/>
      <c r="N327" s="19"/>
      <c r="O327" s="19"/>
      <c r="P327" s="19"/>
      <c r="Q327" s="19"/>
      <c r="R327" s="19"/>
      <c r="S327" s="19"/>
      <c r="T327" s="19"/>
      <c r="U327" s="19"/>
      <c r="V327" s="19"/>
      <c r="W327" s="19"/>
      <c r="X327" s="19"/>
      <c r="Y327" s="19"/>
      <c r="Z327" s="19"/>
    </row>
    <row r="328" spans="2:26" ht="12" customHeight="1">
      <c r="B328" s="19"/>
      <c r="C328" s="19"/>
      <c r="D328" s="19"/>
      <c r="E328" s="19"/>
      <c r="F328" s="19"/>
      <c r="G328" s="19"/>
      <c r="H328" s="19"/>
      <c r="I328" s="19"/>
      <c r="J328" s="19"/>
      <c r="K328" s="19"/>
      <c r="L328" s="19"/>
      <c r="M328" s="19"/>
      <c r="N328" s="19"/>
      <c r="O328" s="19"/>
      <c r="P328" s="19"/>
      <c r="Q328" s="19"/>
      <c r="R328" s="19"/>
      <c r="S328" s="19"/>
      <c r="T328" s="19"/>
      <c r="U328" s="19"/>
      <c r="V328" s="19"/>
      <c r="W328" s="19"/>
      <c r="X328" s="19"/>
      <c r="Y328" s="19"/>
      <c r="Z328" s="19"/>
    </row>
    <row r="329" spans="2:26" ht="12" customHeight="1">
      <c r="B329" s="19"/>
      <c r="C329" s="19"/>
      <c r="D329" s="19"/>
      <c r="E329" s="19"/>
      <c r="F329" s="19"/>
      <c r="G329" s="19"/>
      <c r="H329" s="19"/>
      <c r="I329" s="19"/>
      <c r="J329" s="19"/>
      <c r="K329" s="19"/>
      <c r="L329" s="19"/>
      <c r="M329" s="19"/>
      <c r="N329" s="19"/>
      <c r="O329" s="19"/>
      <c r="P329" s="19"/>
      <c r="Q329" s="19"/>
      <c r="R329" s="19"/>
      <c r="S329" s="19"/>
      <c r="T329" s="19"/>
      <c r="U329" s="19"/>
      <c r="V329" s="19"/>
      <c r="W329" s="19"/>
      <c r="X329" s="19"/>
      <c r="Y329" s="19"/>
      <c r="Z329" s="19"/>
    </row>
    <row r="330" spans="2:26" ht="12" customHeight="1">
      <c r="B330" s="19"/>
      <c r="C330" s="19"/>
      <c r="D330" s="19"/>
      <c r="E330" s="19"/>
      <c r="F330" s="19"/>
      <c r="G330" s="19"/>
      <c r="H330" s="19"/>
      <c r="I330" s="19"/>
      <c r="J330" s="19"/>
      <c r="K330" s="19"/>
      <c r="L330" s="19"/>
      <c r="M330" s="19"/>
      <c r="N330" s="19"/>
      <c r="O330" s="19"/>
      <c r="P330" s="19"/>
      <c r="Q330" s="19"/>
      <c r="R330" s="19"/>
      <c r="S330" s="19"/>
      <c r="T330" s="19"/>
      <c r="U330" s="19"/>
      <c r="V330" s="19"/>
      <c r="W330" s="19"/>
      <c r="X330" s="19"/>
      <c r="Y330" s="19"/>
      <c r="Z330" s="19"/>
    </row>
    <row r="331" spans="2:26" ht="12" customHeight="1">
      <c r="B331" s="19"/>
      <c r="C331" s="19"/>
      <c r="D331" s="19"/>
      <c r="E331" s="19"/>
      <c r="F331" s="19"/>
      <c r="G331" s="19"/>
      <c r="H331" s="19"/>
      <c r="I331" s="19"/>
      <c r="J331" s="19"/>
      <c r="K331" s="19"/>
      <c r="L331" s="19"/>
      <c r="M331" s="19"/>
      <c r="N331" s="19"/>
      <c r="O331" s="19"/>
      <c r="P331" s="19"/>
      <c r="Q331" s="19"/>
      <c r="R331" s="19"/>
      <c r="S331" s="19"/>
      <c r="T331" s="19"/>
      <c r="U331" s="19"/>
      <c r="V331" s="19"/>
      <c r="W331" s="19"/>
      <c r="X331" s="19"/>
      <c r="Y331" s="19"/>
      <c r="Z331" s="19"/>
    </row>
    <row r="332" spans="2:26" ht="12" customHeight="1">
      <c r="B332" s="19"/>
      <c r="C332" s="19"/>
      <c r="D332" s="19"/>
      <c r="E332" s="19"/>
      <c r="F332" s="19"/>
      <c r="G332" s="19"/>
      <c r="H332" s="19"/>
      <c r="I332" s="19"/>
      <c r="J332" s="19"/>
      <c r="K332" s="19"/>
      <c r="L332" s="19"/>
      <c r="M332" s="19"/>
      <c r="N332" s="19"/>
      <c r="O332" s="19"/>
      <c r="P332" s="19"/>
      <c r="Q332" s="19"/>
      <c r="R332" s="19"/>
      <c r="S332" s="19"/>
      <c r="T332" s="19"/>
      <c r="U332" s="19"/>
      <c r="V332" s="19"/>
      <c r="W332" s="19"/>
      <c r="X332" s="19"/>
      <c r="Y332" s="19"/>
      <c r="Z332" s="19"/>
    </row>
    <row r="333" spans="2:26" ht="12" customHeight="1">
      <c r="B333" s="19"/>
      <c r="C333" s="19"/>
      <c r="D333" s="19"/>
      <c r="E333" s="19"/>
      <c r="F333" s="19"/>
      <c r="G333" s="19"/>
      <c r="H333" s="19"/>
      <c r="I333" s="19"/>
      <c r="J333" s="19"/>
      <c r="K333" s="19"/>
      <c r="L333" s="19"/>
      <c r="M333" s="19"/>
      <c r="N333" s="19"/>
      <c r="O333" s="19"/>
      <c r="P333" s="19"/>
      <c r="Q333" s="19"/>
      <c r="R333" s="19"/>
      <c r="S333" s="19"/>
      <c r="T333" s="19"/>
      <c r="U333" s="19"/>
      <c r="V333" s="19"/>
      <c r="W333" s="19"/>
      <c r="X333" s="19"/>
      <c r="Y333" s="19"/>
      <c r="Z333" s="19"/>
    </row>
    <row r="334" spans="2:26" ht="12" customHeight="1">
      <c r="B334" s="19"/>
      <c r="C334" s="19"/>
      <c r="D334" s="19"/>
      <c r="E334" s="19"/>
      <c r="F334" s="19"/>
      <c r="G334" s="19"/>
      <c r="H334" s="19"/>
      <c r="I334" s="19"/>
      <c r="J334" s="19"/>
      <c r="K334" s="19"/>
      <c r="L334" s="19"/>
      <c r="M334" s="19"/>
      <c r="N334" s="19"/>
      <c r="O334" s="19"/>
      <c r="P334" s="19"/>
      <c r="Q334" s="19"/>
      <c r="R334" s="19"/>
      <c r="S334" s="19"/>
      <c r="T334" s="19"/>
      <c r="U334" s="19"/>
      <c r="V334" s="19"/>
      <c r="W334" s="19"/>
      <c r="X334" s="19"/>
      <c r="Y334" s="19"/>
      <c r="Z334" s="19"/>
    </row>
    <row r="335" spans="2:26" ht="12" customHeight="1">
      <c r="B335" s="19"/>
      <c r="C335" s="19"/>
      <c r="D335" s="19"/>
      <c r="E335" s="19"/>
      <c r="F335" s="19"/>
      <c r="G335" s="19"/>
      <c r="H335" s="19"/>
      <c r="I335" s="19"/>
      <c r="J335" s="19"/>
      <c r="K335" s="19"/>
      <c r="L335" s="19"/>
      <c r="M335" s="19"/>
      <c r="N335" s="19"/>
      <c r="O335" s="19"/>
      <c r="P335" s="19"/>
      <c r="Q335" s="19"/>
      <c r="R335" s="19"/>
      <c r="S335" s="19"/>
      <c r="T335" s="19"/>
      <c r="U335" s="19"/>
      <c r="V335" s="19"/>
      <c r="W335" s="19"/>
      <c r="X335" s="19"/>
      <c r="Y335" s="19"/>
      <c r="Z335" s="19"/>
    </row>
    <row r="336" spans="2:26" ht="12" customHeight="1">
      <c r="B336" s="19"/>
      <c r="C336" s="19"/>
      <c r="D336" s="19"/>
      <c r="E336" s="19"/>
      <c r="F336" s="19"/>
      <c r="G336" s="19"/>
      <c r="H336" s="19"/>
      <c r="I336" s="19"/>
      <c r="J336" s="19"/>
      <c r="K336" s="19"/>
      <c r="L336" s="19"/>
      <c r="M336" s="19"/>
      <c r="N336" s="19"/>
      <c r="O336" s="19"/>
      <c r="P336" s="19"/>
      <c r="Q336" s="19"/>
      <c r="R336" s="19"/>
      <c r="S336" s="19"/>
      <c r="T336" s="19"/>
      <c r="U336" s="19"/>
      <c r="V336" s="19"/>
      <c r="W336" s="19"/>
      <c r="X336" s="19"/>
      <c r="Y336" s="19"/>
      <c r="Z336" s="19"/>
    </row>
    <row r="337" spans="2:26" ht="12" customHeight="1">
      <c r="B337" s="19"/>
      <c r="C337" s="19"/>
      <c r="D337" s="19"/>
      <c r="E337" s="19"/>
      <c r="F337" s="19"/>
      <c r="G337" s="19"/>
      <c r="H337" s="19"/>
      <c r="I337" s="19"/>
      <c r="J337" s="19"/>
      <c r="K337" s="19"/>
      <c r="L337" s="19"/>
      <c r="M337" s="19"/>
      <c r="N337" s="19"/>
      <c r="O337" s="19"/>
      <c r="P337" s="19"/>
      <c r="Q337" s="19"/>
      <c r="R337" s="19"/>
      <c r="S337" s="19"/>
      <c r="T337" s="19"/>
      <c r="U337" s="19"/>
      <c r="V337" s="19"/>
      <c r="W337" s="19"/>
      <c r="X337" s="19"/>
      <c r="Y337" s="19"/>
      <c r="Z337" s="19"/>
    </row>
    <row r="338" spans="2:26" ht="12" customHeight="1">
      <c r="B338" s="19"/>
      <c r="C338" s="19"/>
      <c r="D338" s="19"/>
      <c r="E338" s="19"/>
      <c r="F338" s="19"/>
      <c r="G338" s="19"/>
      <c r="H338" s="19"/>
      <c r="I338" s="19"/>
      <c r="J338" s="19"/>
      <c r="K338" s="19"/>
      <c r="L338" s="19"/>
      <c r="M338" s="19"/>
      <c r="N338" s="19"/>
      <c r="O338" s="19"/>
      <c r="P338" s="19"/>
      <c r="Q338" s="19"/>
      <c r="R338" s="19"/>
      <c r="S338" s="19"/>
      <c r="T338" s="19"/>
      <c r="U338" s="19"/>
      <c r="V338" s="19"/>
      <c r="W338" s="19"/>
      <c r="X338" s="19"/>
      <c r="Y338" s="19"/>
      <c r="Z338" s="19"/>
    </row>
    <row r="339" spans="2:26" ht="12" customHeight="1">
      <c r="B339" s="19"/>
      <c r="C339" s="19"/>
      <c r="D339" s="19"/>
      <c r="E339" s="19"/>
      <c r="F339" s="19"/>
      <c r="G339" s="19"/>
      <c r="H339" s="19"/>
      <c r="I339" s="19"/>
      <c r="J339" s="19"/>
      <c r="K339" s="19"/>
      <c r="L339" s="19"/>
      <c r="M339" s="19"/>
      <c r="N339" s="19"/>
      <c r="O339" s="19"/>
      <c r="P339" s="19"/>
      <c r="Q339" s="19"/>
      <c r="R339" s="19"/>
      <c r="S339" s="19"/>
      <c r="T339" s="19"/>
      <c r="U339" s="19"/>
      <c r="V339" s="19"/>
      <c r="W339" s="19"/>
      <c r="X339" s="19"/>
      <c r="Y339" s="19"/>
      <c r="Z339" s="19"/>
    </row>
    <row r="340" spans="2:26" ht="12" customHeight="1">
      <c r="B340" s="19"/>
      <c r="C340" s="19"/>
      <c r="D340" s="19"/>
      <c r="E340" s="19"/>
      <c r="F340" s="19"/>
      <c r="G340" s="19"/>
      <c r="H340" s="19"/>
      <c r="I340" s="19"/>
      <c r="J340" s="19"/>
      <c r="K340" s="19"/>
      <c r="L340" s="19"/>
      <c r="M340" s="19"/>
      <c r="N340" s="19"/>
      <c r="O340" s="19"/>
      <c r="P340" s="19"/>
      <c r="Q340" s="19"/>
      <c r="R340" s="19"/>
      <c r="S340" s="19"/>
      <c r="T340" s="19"/>
      <c r="U340" s="19"/>
      <c r="V340" s="19"/>
      <c r="W340" s="19"/>
      <c r="X340" s="19"/>
      <c r="Y340" s="19"/>
      <c r="Z340" s="19"/>
    </row>
    <row r="341" spans="2:26" ht="12" customHeight="1">
      <c r="B341" s="19"/>
      <c r="C341" s="19"/>
      <c r="D341" s="19"/>
      <c r="E341" s="19"/>
      <c r="F341" s="19"/>
      <c r="G341" s="19"/>
      <c r="H341" s="19"/>
      <c r="I341" s="19"/>
      <c r="J341" s="19"/>
      <c r="K341" s="19"/>
      <c r="L341" s="19"/>
      <c r="M341" s="19"/>
      <c r="N341" s="19"/>
      <c r="O341" s="19"/>
      <c r="P341" s="19"/>
      <c r="Q341" s="19"/>
      <c r="R341" s="19"/>
      <c r="S341" s="19"/>
      <c r="T341" s="19"/>
      <c r="U341" s="19"/>
      <c r="V341" s="19"/>
      <c r="W341" s="19"/>
      <c r="X341" s="19"/>
      <c r="Y341" s="19"/>
      <c r="Z341" s="19"/>
    </row>
    <row r="342" spans="2:26" ht="12" customHeight="1">
      <c r="B342" s="19"/>
      <c r="C342" s="19"/>
      <c r="D342" s="19"/>
      <c r="E342" s="19"/>
      <c r="F342" s="19"/>
      <c r="G342" s="19"/>
      <c r="H342" s="19"/>
      <c r="I342" s="19"/>
      <c r="J342" s="19"/>
      <c r="K342" s="19"/>
      <c r="L342" s="19"/>
      <c r="M342" s="19"/>
      <c r="N342" s="19"/>
      <c r="O342" s="19"/>
      <c r="P342" s="19"/>
      <c r="Q342" s="19"/>
      <c r="R342" s="19"/>
      <c r="S342" s="19"/>
      <c r="T342" s="19"/>
      <c r="U342" s="19"/>
      <c r="V342" s="19"/>
      <c r="W342" s="19"/>
      <c r="X342" s="19"/>
      <c r="Y342" s="19"/>
      <c r="Z342" s="19"/>
    </row>
    <row r="343" spans="2:26" ht="12" customHeight="1">
      <c r="B343" s="19"/>
      <c r="C343" s="19"/>
      <c r="D343" s="19"/>
      <c r="E343" s="19"/>
      <c r="F343" s="19"/>
      <c r="G343" s="19"/>
      <c r="H343" s="19"/>
      <c r="I343" s="19"/>
      <c r="J343" s="19"/>
      <c r="K343" s="19"/>
      <c r="L343" s="19"/>
      <c r="M343" s="19"/>
      <c r="N343" s="19"/>
      <c r="O343" s="19"/>
      <c r="P343" s="19"/>
      <c r="Q343" s="19"/>
      <c r="R343" s="19"/>
      <c r="S343" s="19"/>
      <c r="T343" s="19"/>
      <c r="U343" s="19"/>
      <c r="V343" s="19"/>
      <c r="W343" s="19"/>
      <c r="X343" s="19"/>
      <c r="Y343" s="19"/>
      <c r="Z343" s="19"/>
    </row>
    <row r="344" spans="2:26" ht="12" customHeight="1">
      <c r="B344" s="19"/>
      <c r="C344" s="19"/>
      <c r="D344" s="19"/>
      <c r="E344" s="19"/>
      <c r="F344" s="19"/>
      <c r="G344" s="19"/>
      <c r="H344" s="19"/>
      <c r="I344" s="19"/>
      <c r="J344" s="19"/>
      <c r="K344" s="19"/>
      <c r="L344" s="19"/>
      <c r="M344" s="19"/>
      <c r="N344" s="19"/>
      <c r="O344" s="19"/>
      <c r="P344" s="19"/>
      <c r="Q344" s="19"/>
      <c r="R344" s="19"/>
      <c r="S344" s="19"/>
      <c r="T344" s="19"/>
      <c r="U344" s="19"/>
      <c r="V344" s="19"/>
      <c r="W344" s="19"/>
      <c r="X344" s="19"/>
      <c r="Y344" s="19"/>
      <c r="Z344" s="19"/>
    </row>
    <row r="345" spans="2:26" ht="12" customHeight="1">
      <c r="B345" s="19"/>
      <c r="C345" s="19"/>
      <c r="D345" s="19"/>
      <c r="E345" s="19"/>
      <c r="F345" s="19"/>
      <c r="G345" s="19"/>
      <c r="H345" s="19"/>
      <c r="I345" s="19"/>
      <c r="J345" s="19"/>
      <c r="K345" s="19"/>
      <c r="L345" s="19"/>
      <c r="M345" s="19"/>
      <c r="N345" s="19"/>
      <c r="O345" s="19"/>
      <c r="P345" s="19"/>
      <c r="Q345" s="19"/>
      <c r="R345" s="19"/>
      <c r="S345" s="19"/>
      <c r="T345" s="19"/>
      <c r="U345" s="19"/>
      <c r="V345" s="19"/>
      <c r="W345" s="19"/>
      <c r="X345" s="19"/>
      <c r="Y345" s="19"/>
      <c r="Z345" s="19"/>
    </row>
    <row r="346" spans="2:26" ht="12" customHeight="1">
      <c r="B346" s="19"/>
      <c r="C346" s="19"/>
      <c r="D346" s="19"/>
      <c r="E346" s="19"/>
      <c r="F346" s="19"/>
      <c r="G346" s="19"/>
      <c r="H346" s="19"/>
      <c r="I346" s="19"/>
      <c r="J346" s="19"/>
      <c r="K346" s="19"/>
      <c r="L346" s="19"/>
      <c r="M346" s="19"/>
      <c r="N346" s="19"/>
      <c r="O346" s="19"/>
      <c r="P346" s="19"/>
      <c r="Q346" s="19"/>
      <c r="R346" s="19"/>
      <c r="S346" s="19"/>
      <c r="T346" s="19"/>
      <c r="U346" s="19"/>
      <c r="V346" s="19"/>
      <c r="W346" s="19"/>
      <c r="X346" s="19"/>
      <c r="Y346" s="19"/>
      <c r="Z346" s="19"/>
    </row>
    <row r="347" spans="2:26" ht="12" customHeight="1">
      <c r="B347" s="19"/>
      <c r="C347" s="19"/>
      <c r="D347" s="19"/>
      <c r="E347" s="19"/>
      <c r="F347" s="19"/>
      <c r="G347" s="19"/>
      <c r="H347" s="19"/>
      <c r="I347" s="19"/>
      <c r="J347" s="19"/>
      <c r="K347" s="19"/>
      <c r="L347" s="19"/>
      <c r="M347" s="19"/>
      <c r="N347" s="19"/>
      <c r="O347" s="19"/>
      <c r="P347" s="19"/>
      <c r="Q347" s="19"/>
      <c r="R347" s="19"/>
      <c r="S347" s="19"/>
      <c r="T347" s="19"/>
      <c r="U347" s="19"/>
      <c r="V347" s="19"/>
      <c r="W347" s="19"/>
      <c r="X347" s="19"/>
      <c r="Y347" s="19"/>
      <c r="Z347" s="19"/>
    </row>
    <row r="348" spans="2:26" ht="12" customHeight="1">
      <c r="B348" s="19"/>
      <c r="C348" s="19"/>
      <c r="D348" s="19"/>
      <c r="E348" s="19"/>
      <c r="F348" s="19"/>
      <c r="G348" s="19"/>
      <c r="H348" s="19"/>
      <c r="I348" s="19"/>
      <c r="J348" s="19"/>
      <c r="K348" s="19"/>
      <c r="L348" s="19"/>
      <c r="M348" s="19"/>
      <c r="N348" s="19"/>
      <c r="O348" s="19"/>
      <c r="P348" s="19"/>
      <c r="Q348" s="19"/>
      <c r="R348" s="19"/>
      <c r="S348" s="19"/>
      <c r="T348" s="19"/>
      <c r="U348" s="19"/>
      <c r="V348" s="19"/>
      <c r="W348" s="19"/>
      <c r="X348" s="19"/>
      <c r="Y348" s="19"/>
      <c r="Z348" s="19"/>
    </row>
    <row r="349" spans="2:26" ht="12" customHeight="1">
      <c r="B349" s="19"/>
      <c r="C349" s="19"/>
      <c r="D349" s="19"/>
      <c r="E349" s="19"/>
      <c r="F349" s="19"/>
      <c r="G349" s="19"/>
      <c r="H349" s="19"/>
      <c r="I349" s="19"/>
      <c r="J349" s="19"/>
      <c r="K349" s="19"/>
      <c r="L349" s="19"/>
      <c r="M349" s="19"/>
      <c r="N349" s="19"/>
      <c r="O349" s="19"/>
      <c r="P349" s="19"/>
      <c r="Q349" s="19"/>
      <c r="R349" s="19"/>
      <c r="S349" s="19"/>
      <c r="T349" s="19"/>
      <c r="U349" s="19"/>
      <c r="V349" s="19"/>
      <c r="W349" s="19"/>
      <c r="X349" s="19"/>
      <c r="Y349" s="19"/>
      <c r="Z349" s="19"/>
    </row>
    <row r="350" spans="2:26" ht="12" customHeight="1">
      <c r="B350" s="19"/>
      <c r="C350" s="19"/>
      <c r="D350" s="19"/>
      <c r="E350" s="19"/>
      <c r="F350" s="19"/>
      <c r="G350" s="19"/>
      <c r="H350" s="19"/>
      <c r="I350" s="19"/>
      <c r="J350" s="19"/>
      <c r="K350" s="19"/>
      <c r="L350" s="19"/>
      <c r="M350" s="19"/>
      <c r="N350" s="19"/>
      <c r="O350" s="19"/>
      <c r="P350" s="19"/>
      <c r="Q350" s="19"/>
      <c r="R350" s="19"/>
      <c r="S350" s="19"/>
      <c r="T350" s="19"/>
      <c r="U350" s="19"/>
      <c r="V350" s="19"/>
      <c r="W350" s="19"/>
      <c r="X350" s="19"/>
      <c r="Y350" s="19"/>
      <c r="Z350" s="19"/>
    </row>
    <row r="351" spans="2:26" ht="12" customHeight="1">
      <c r="B351" s="19"/>
      <c r="C351" s="19"/>
      <c r="D351" s="19"/>
      <c r="E351" s="19"/>
      <c r="F351" s="19"/>
      <c r="G351" s="19"/>
      <c r="H351" s="19"/>
      <c r="I351" s="19"/>
      <c r="J351" s="19"/>
      <c r="K351" s="19"/>
      <c r="L351" s="19"/>
      <c r="M351" s="19"/>
      <c r="N351" s="19"/>
      <c r="O351" s="19"/>
      <c r="P351" s="19"/>
      <c r="Q351" s="19"/>
      <c r="R351" s="19"/>
      <c r="S351" s="19"/>
      <c r="T351" s="19"/>
      <c r="U351" s="19"/>
      <c r="V351" s="19"/>
      <c r="W351" s="19"/>
      <c r="X351" s="19"/>
      <c r="Y351" s="19"/>
      <c r="Z351" s="19"/>
    </row>
    <row r="352" spans="2:26" ht="12" customHeight="1">
      <c r="B352" s="19"/>
      <c r="C352" s="19"/>
      <c r="D352" s="19"/>
      <c r="E352" s="19"/>
      <c r="F352" s="19"/>
      <c r="G352" s="19"/>
      <c r="H352" s="19"/>
      <c r="I352" s="19"/>
      <c r="J352" s="19"/>
      <c r="K352" s="19"/>
      <c r="L352" s="19"/>
      <c r="M352" s="19"/>
      <c r="N352" s="19"/>
      <c r="O352" s="19"/>
      <c r="P352" s="19"/>
      <c r="Q352" s="19"/>
      <c r="R352" s="19"/>
      <c r="S352" s="19"/>
      <c r="T352" s="19"/>
      <c r="U352" s="19"/>
      <c r="V352" s="19"/>
      <c r="W352" s="19"/>
      <c r="X352" s="19"/>
      <c r="Y352" s="19"/>
      <c r="Z352" s="19"/>
    </row>
    <row r="353" spans="2:26" ht="12" customHeight="1">
      <c r="B353" s="19"/>
      <c r="C353" s="19"/>
      <c r="D353" s="19"/>
      <c r="E353" s="19"/>
      <c r="F353" s="19"/>
      <c r="G353" s="19"/>
      <c r="H353" s="19"/>
      <c r="I353" s="19"/>
      <c r="J353" s="19"/>
      <c r="K353" s="19"/>
      <c r="L353" s="19"/>
      <c r="M353" s="19"/>
      <c r="N353" s="19"/>
      <c r="O353" s="19"/>
      <c r="P353" s="19"/>
      <c r="Q353" s="19"/>
      <c r="R353" s="19"/>
      <c r="S353" s="19"/>
      <c r="T353" s="19"/>
      <c r="U353" s="19"/>
      <c r="V353" s="19"/>
      <c r="W353" s="19"/>
      <c r="X353" s="19"/>
      <c r="Y353" s="19"/>
      <c r="Z353" s="19"/>
    </row>
    <row r="354" spans="2:26" ht="12" customHeight="1">
      <c r="B354" s="19"/>
      <c r="C354" s="19"/>
      <c r="D354" s="19"/>
      <c r="E354" s="19"/>
      <c r="F354" s="19"/>
      <c r="G354" s="19"/>
      <c r="H354" s="19"/>
      <c r="I354" s="19"/>
      <c r="J354" s="19"/>
      <c r="K354" s="19"/>
      <c r="L354" s="19"/>
      <c r="M354" s="19"/>
      <c r="N354" s="19"/>
      <c r="O354" s="19"/>
      <c r="P354" s="19"/>
      <c r="Q354" s="19"/>
      <c r="R354" s="19"/>
      <c r="S354" s="19"/>
      <c r="T354" s="19"/>
      <c r="U354" s="19"/>
      <c r="V354" s="19"/>
      <c r="W354" s="19"/>
      <c r="X354" s="19"/>
      <c r="Y354" s="19"/>
      <c r="Z354" s="19"/>
    </row>
    <row r="355" spans="2:26" ht="12" customHeight="1">
      <c r="B355" s="19"/>
      <c r="C355" s="19"/>
      <c r="D355" s="19"/>
      <c r="E355" s="19"/>
      <c r="F355" s="19"/>
      <c r="G355" s="19"/>
      <c r="H355" s="19"/>
      <c r="I355" s="19"/>
      <c r="J355" s="19"/>
      <c r="K355" s="19"/>
      <c r="L355" s="19"/>
      <c r="M355" s="19"/>
      <c r="N355" s="19"/>
      <c r="O355" s="19"/>
      <c r="P355" s="19"/>
      <c r="Q355" s="19"/>
      <c r="R355" s="19"/>
      <c r="S355" s="19"/>
      <c r="T355" s="19"/>
      <c r="U355" s="19"/>
      <c r="V355" s="19"/>
      <c r="W355" s="19"/>
      <c r="X355" s="19"/>
      <c r="Y355" s="19"/>
      <c r="Z355" s="19"/>
    </row>
    <row r="356" spans="2:26" ht="12" customHeight="1">
      <c r="B356" s="19"/>
      <c r="C356" s="19"/>
      <c r="D356" s="19"/>
      <c r="E356" s="19"/>
      <c r="F356" s="19"/>
      <c r="G356" s="19"/>
      <c r="H356" s="19"/>
      <c r="I356" s="19"/>
      <c r="J356" s="19"/>
      <c r="K356" s="19"/>
      <c r="L356" s="19"/>
      <c r="M356" s="19"/>
      <c r="N356" s="19"/>
      <c r="O356" s="19"/>
      <c r="P356" s="19"/>
      <c r="Q356" s="19"/>
      <c r="R356" s="19"/>
      <c r="S356" s="19"/>
      <c r="T356" s="19"/>
      <c r="U356" s="19"/>
      <c r="V356" s="19"/>
      <c r="W356" s="19"/>
      <c r="X356" s="19"/>
      <c r="Y356" s="19"/>
      <c r="Z356" s="19"/>
    </row>
    <row r="357" spans="2:26" ht="12" customHeight="1">
      <c r="B357" s="19"/>
      <c r="C357" s="19"/>
      <c r="D357" s="19"/>
      <c r="E357" s="19"/>
      <c r="F357" s="19"/>
      <c r="G357" s="19"/>
      <c r="H357" s="19"/>
      <c r="I357" s="19"/>
      <c r="J357" s="19"/>
      <c r="K357" s="19"/>
      <c r="L357" s="19"/>
      <c r="M357" s="19"/>
      <c r="N357" s="19"/>
      <c r="O357" s="19"/>
      <c r="P357" s="19"/>
      <c r="Q357" s="19"/>
      <c r="R357" s="19"/>
      <c r="S357" s="19"/>
      <c r="T357" s="19"/>
      <c r="U357" s="19"/>
      <c r="V357" s="19"/>
      <c r="W357" s="19"/>
      <c r="X357" s="19"/>
      <c r="Y357" s="19"/>
      <c r="Z357" s="19"/>
    </row>
    <row r="358" spans="2:26" ht="12" customHeight="1">
      <c r="B358" s="19"/>
      <c r="C358" s="19"/>
      <c r="D358" s="19"/>
      <c r="E358" s="19"/>
      <c r="F358" s="19"/>
      <c r="G358" s="19"/>
      <c r="H358" s="19"/>
      <c r="I358" s="19"/>
      <c r="J358" s="19"/>
      <c r="K358" s="19"/>
      <c r="L358" s="19"/>
      <c r="M358" s="19"/>
      <c r="N358" s="19"/>
      <c r="O358" s="19"/>
      <c r="P358" s="19"/>
      <c r="Q358" s="19"/>
      <c r="R358" s="19"/>
      <c r="S358" s="19"/>
      <c r="T358" s="19"/>
      <c r="U358" s="19"/>
      <c r="V358" s="19"/>
      <c r="W358" s="19"/>
      <c r="X358" s="19"/>
      <c r="Y358" s="19"/>
      <c r="Z358" s="19"/>
    </row>
    <row r="359" spans="2:26" ht="12" customHeight="1">
      <c r="B359" s="19"/>
      <c r="C359" s="19"/>
      <c r="D359" s="19"/>
      <c r="E359" s="19"/>
      <c r="F359" s="19"/>
      <c r="G359" s="19"/>
      <c r="H359" s="19"/>
      <c r="I359" s="19"/>
      <c r="J359" s="19"/>
      <c r="K359" s="19"/>
      <c r="L359" s="19"/>
      <c r="M359" s="19"/>
      <c r="N359" s="19"/>
      <c r="O359" s="19"/>
      <c r="P359" s="19"/>
      <c r="Q359" s="19"/>
      <c r="R359" s="19"/>
      <c r="S359" s="19"/>
      <c r="T359" s="19"/>
      <c r="U359" s="19"/>
      <c r="V359" s="19"/>
      <c r="W359" s="19"/>
      <c r="X359" s="19"/>
      <c r="Y359" s="19"/>
      <c r="Z359" s="19"/>
    </row>
    <row r="360" spans="2:26" ht="12" customHeight="1">
      <c r="B360" s="19"/>
      <c r="C360" s="19"/>
      <c r="D360" s="19"/>
      <c r="E360" s="19"/>
      <c r="F360" s="19"/>
      <c r="G360" s="19"/>
      <c r="H360" s="19"/>
      <c r="I360" s="19"/>
      <c r="J360" s="19"/>
      <c r="K360" s="19"/>
      <c r="L360" s="19"/>
      <c r="M360" s="19"/>
      <c r="N360" s="19"/>
      <c r="O360" s="19"/>
      <c r="P360" s="19"/>
      <c r="Q360" s="19"/>
      <c r="R360" s="19"/>
      <c r="S360" s="19"/>
      <c r="T360" s="19"/>
      <c r="U360" s="19"/>
      <c r="V360" s="19"/>
      <c r="W360" s="19"/>
      <c r="X360" s="19"/>
      <c r="Y360" s="19"/>
      <c r="Z360" s="19"/>
    </row>
    <row r="361" spans="2:26" ht="12" customHeight="1">
      <c r="B361" s="19"/>
      <c r="C361" s="19"/>
      <c r="D361" s="19"/>
      <c r="E361" s="19"/>
      <c r="F361" s="19"/>
      <c r="G361" s="19"/>
      <c r="H361" s="19"/>
      <c r="I361" s="19"/>
      <c r="J361" s="19"/>
      <c r="K361" s="19"/>
      <c r="L361" s="19"/>
      <c r="M361" s="19"/>
      <c r="N361" s="19"/>
      <c r="O361" s="19"/>
      <c r="P361" s="19"/>
      <c r="Q361" s="19"/>
      <c r="R361" s="19"/>
      <c r="S361" s="19"/>
      <c r="T361" s="19"/>
      <c r="U361" s="19"/>
      <c r="V361" s="19"/>
      <c r="W361" s="19"/>
      <c r="X361" s="19"/>
      <c r="Y361" s="19"/>
      <c r="Z361" s="19"/>
    </row>
    <row r="362" spans="2:26" ht="12" customHeight="1">
      <c r="B362" s="19"/>
      <c r="C362" s="19"/>
      <c r="D362" s="19"/>
      <c r="E362" s="19"/>
      <c r="F362" s="19"/>
      <c r="G362" s="19"/>
      <c r="H362" s="19"/>
      <c r="I362" s="19"/>
      <c r="J362" s="19"/>
      <c r="K362" s="19"/>
      <c r="L362" s="19"/>
      <c r="M362" s="19"/>
      <c r="N362" s="19"/>
      <c r="O362" s="19"/>
      <c r="P362" s="19"/>
      <c r="Q362" s="19"/>
      <c r="R362" s="19"/>
      <c r="S362" s="19"/>
      <c r="T362" s="19"/>
      <c r="U362" s="19"/>
      <c r="V362" s="19"/>
      <c r="W362" s="19"/>
      <c r="X362" s="19"/>
      <c r="Y362" s="19"/>
      <c r="Z362" s="19"/>
    </row>
    <row r="363" spans="2:26" ht="12" customHeight="1">
      <c r="B363" s="19"/>
      <c r="C363" s="19"/>
      <c r="D363" s="19"/>
      <c r="E363" s="19"/>
      <c r="F363" s="19"/>
      <c r="G363" s="19"/>
      <c r="H363" s="19"/>
      <c r="I363" s="19"/>
      <c r="J363" s="19"/>
      <c r="K363" s="19"/>
      <c r="L363" s="19"/>
      <c r="M363" s="19"/>
      <c r="N363" s="19"/>
      <c r="O363" s="19"/>
      <c r="P363" s="19"/>
      <c r="Q363" s="19"/>
      <c r="R363" s="19"/>
      <c r="S363" s="19"/>
      <c r="T363" s="19"/>
      <c r="U363" s="19"/>
      <c r="V363" s="19"/>
      <c r="W363" s="19"/>
      <c r="X363" s="19"/>
      <c r="Y363" s="19"/>
      <c r="Z363" s="19"/>
    </row>
    <row r="364" spans="2:26" ht="12" customHeight="1">
      <c r="B364" s="19"/>
      <c r="C364" s="19"/>
      <c r="D364" s="19"/>
      <c r="E364" s="19"/>
      <c r="F364" s="19"/>
      <c r="G364" s="19"/>
      <c r="H364" s="19"/>
      <c r="I364" s="19"/>
      <c r="J364" s="19"/>
      <c r="K364" s="19"/>
      <c r="L364" s="19"/>
      <c r="M364" s="19"/>
      <c r="N364" s="19"/>
      <c r="O364" s="19"/>
      <c r="P364" s="19"/>
      <c r="Q364" s="19"/>
      <c r="R364" s="19"/>
      <c r="S364" s="19"/>
      <c r="T364" s="19"/>
      <c r="U364" s="19"/>
      <c r="V364" s="19"/>
      <c r="W364" s="19"/>
      <c r="X364" s="19"/>
      <c r="Y364" s="19"/>
      <c r="Z364" s="19"/>
    </row>
    <row r="365" spans="2:26" ht="12" customHeight="1">
      <c r="B365" s="19"/>
      <c r="C365" s="19"/>
      <c r="D365" s="19"/>
      <c r="E365" s="19"/>
      <c r="F365" s="19"/>
      <c r="G365" s="19"/>
      <c r="H365" s="19"/>
      <c r="I365" s="19"/>
      <c r="J365" s="19"/>
      <c r="K365" s="19"/>
      <c r="L365" s="19"/>
      <c r="M365" s="19"/>
      <c r="N365" s="19"/>
      <c r="O365" s="19"/>
      <c r="P365" s="19"/>
      <c r="Q365" s="19"/>
      <c r="R365" s="19"/>
      <c r="S365" s="19"/>
      <c r="T365" s="19"/>
      <c r="U365" s="19"/>
      <c r="V365" s="19"/>
      <c r="W365" s="19"/>
      <c r="X365" s="19"/>
      <c r="Y365" s="19"/>
      <c r="Z365" s="19"/>
    </row>
    <row r="366" spans="2:26" ht="12" customHeight="1">
      <c r="B366" s="19"/>
      <c r="C366" s="19"/>
      <c r="D366" s="19"/>
      <c r="E366" s="19"/>
      <c r="F366" s="19"/>
      <c r="G366" s="19"/>
      <c r="H366" s="19"/>
      <c r="I366" s="19"/>
      <c r="J366" s="19"/>
      <c r="K366" s="19"/>
      <c r="L366" s="19"/>
      <c r="M366" s="19"/>
      <c r="N366" s="19"/>
      <c r="O366" s="19"/>
      <c r="P366" s="19"/>
      <c r="Q366" s="19"/>
      <c r="R366" s="19"/>
      <c r="S366" s="19"/>
      <c r="T366" s="19"/>
      <c r="U366" s="19"/>
      <c r="V366" s="19"/>
      <c r="W366" s="19"/>
      <c r="X366" s="19"/>
      <c r="Y366" s="19"/>
      <c r="Z366" s="19"/>
    </row>
    <row r="367" spans="2:26" ht="12" customHeight="1">
      <c r="B367" s="19"/>
      <c r="C367" s="19"/>
      <c r="D367" s="19"/>
      <c r="E367" s="19"/>
      <c r="F367" s="19"/>
      <c r="G367" s="19"/>
      <c r="H367" s="19"/>
      <c r="I367" s="19"/>
      <c r="J367" s="19"/>
      <c r="K367" s="19"/>
      <c r="L367" s="19"/>
      <c r="M367" s="19"/>
      <c r="N367" s="19"/>
      <c r="O367" s="19"/>
      <c r="P367" s="19"/>
      <c r="Q367" s="19"/>
      <c r="R367" s="19"/>
      <c r="S367" s="19"/>
      <c r="T367" s="19"/>
      <c r="U367" s="19"/>
      <c r="V367" s="19"/>
      <c r="W367" s="19"/>
      <c r="X367" s="19"/>
      <c r="Y367" s="19"/>
      <c r="Z367" s="19"/>
    </row>
    <row r="368" spans="2:26" ht="12" customHeight="1">
      <c r="B368" s="19"/>
      <c r="C368" s="19"/>
      <c r="D368" s="19"/>
      <c r="E368" s="19"/>
      <c r="F368" s="19"/>
      <c r="G368" s="19"/>
      <c r="H368" s="19"/>
      <c r="I368" s="19"/>
      <c r="J368" s="19"/>
      <c r="K368" s="19"/>
      <c r="L368" s="19"/>
      <c r="M368" s="19"/>
      <c r="N368" s="19"/>
      <c r="O368" s="19"/>
      <c r="P368" s="19"/>
      <c r="Q368" s="19"/>
      <c r="R368" s="19"/>
      <c r="S368" s="19"/>
      <c r="T368" s="19"/>
      <c r="U368" s="19"/>
      <c r="V368" s="19"/>
      <c r="W368" s="19"/>
      <c r="X368" s="19"/>
      <c r="Y368" s="19"/>
      <c r="Z368" s="19"/>
    </row>
    <row r="369" spans="2:26" ht="12" customHeight="1">
      <c r="B369" s="19"/>
      <c r="C369" s="19"/>
      <c r="D369" s="19"/>
      <c r="E369" s="19"/>
      <c r="F369" s="19"/>
      <c r="G369" s="19"/>
      <c r="H369" s="19"/>
      <c r="I369" s="19"/>
      <c r="J369" s="19"/>
      <c r="K369" s="19"/>
      <c r="L369" s="19"/>
      <c r="M369" s="19"/>
      <c r="N369" s="19"/>
      <c r="O369" s="19"/>
      <c r="P369" s="19"/>
      <c r="Q369" s="19"/>
      <c r="R369" s="19"/>
      <c r="S369" s="19"/>
      <c r="T369" s="19"/>
      <c r="U369" s="19"/>
      <c r="V369" s="19"/>
      <c r="W369" s="19"/>
      <c r="X369" s="19"/>
      <c r="Y369" s="19"/>
      <c r="Z369" s="19"/>
    </row>
    <row r="370" spans="2:26" ht="12" customHeight="1">
      <c r="B370" s="19"/>
      <c r="C370" s="19"/>
      <c r="D370" s="19"/>
      <c r="E370" s="19"/>
      <c r="F370" s="19"/>
      <c r="G370" s="19"/>
      <c r="H370" s="19"/>
      <c r="I370" s="19"/>
      <c r="J370" s="19"/>
      <c r="K370" s="19"/>
      <c r="L370" s="19"/>
      <c r="M370" s="19"/>
      <c r="N370" s="19"/>
      <c r="O370" s="19"/>
      <c r="P370" s="19"/>
      <c r="Q370" s="19"/>
      <c r="R370" s="19"/>
      <c r="S370" s="19"/>
      <c r="T370" s="19"/>
      <c r="U370" s="19"/>
      <c r="V370" s="19"/>
      <c r="W370" s="19"/>
      <c r="X370" s="19"/>
      <c r="Y370" s="19"/>
      <c r="Z370" s="19"/>
    </row>
    <row r="371" spans="2:26" ht="12" customHeight="1">
      <c r="B371" s="19"/>
      <c r="C371" s="19"/>
      <c r="D371" s="19"/>
      <c r="E371" s="19"/>
      <c r="F371" s="19"/>
      <c r="G371" s="19"/>
      <c r="H371" s="19"/>
      <c r="I371" s="19"/>
      <c r="J371" s="19"/>
      <c r="K371" s="19"/>
      <c r="L371" s="19"/>
      <c r="M371" s="19"/>
      <c r="N371" s="19"/>
      <c r="O371" s="19"/>
      <c r="P371" s="19"/>
      <c r="Q371" s="19"/>
      <c r="R371" s="19"/>
      <c r="S371" s="19"/>
      <c r="T371" s="19"/>
      <c r="U371" s="19"/>
      <c r="V371" s="19"/>
      <c r="W371" s="19"/>
      <c r="X371" s="19"/>
      <c r="Y371" s="19"/>
      <c r="Z371" s="19"/>
    </row>
    <row r="372" spans="2:26" ht="12" customHeight="1">
      <c r="B372" s="19"/>
      <c r="C372" s="19"/>
      <c r="D372" s="19"/>
      <c r="E372" s="19"/>
      <c r="F372" s="19"/>
      <c r="G372" s="19"/>
      <c r="H372" s="19"/>
      <c r="I372" s="19"/>
      <c r="J372" s="19"/>
      <c r="K372" s="19"/>
      <c r="L372" s="19"/>
      <c r="M372" s="19"/>
      <c r="N372" s="19"/>
      <c r="O372" s="19"/>
      <c r="P372" s="19"/>
      <c r="Q372" s="19"/>
      <c r="R372" s="19"/>
      <c r="S372" s="19"/>
      <c r="T372" s="19"/>
      <c r="U372" s="19"/>
      <c r="V372" s="19"/>
      <c r="W372" s="19"/>
      <c r="X372" s="19"/>
      <c r="Y372" s="19"/>
      <c r="Z372" s="19"/>
    </row>
    <row r="373" spans="2:26" ht="12" customHeight="1">
      <c r="B373" s="19"/>
      <c r="C373" s="19"/>
      <c r="D373" s="19"/>
      <c r="E373" s="19"/>
      <c r="F373" s="19"/>
      <c r="G373" s="19"/>
      <c r="H373" s="19"/>
      <c r="I373" s="19"/>
      <c r="J373" s="19"/>
      <c r="K373" s="19"/>
      <c r="L373" s="19"/>
      <c r="M373" s="19"/>
      <c r="N373" s="19"/>
      <c r="O373" s="19"/>
      <c r="P373" s="19"/>
      <c r="Q373" s="19"/>
      <c r="R373" s="19"/>
      <c r="S373" s="19"/>
      <c r="T373" s="19"/>
      <c r="U373" s="19"/>
      <c r="V373" s="19"/>
      <c r="W373" s="19"/>
      <c r="X373" s="19"/>
      <c r="Y373" s="19"/>
      <c r="Z373" s="19"/>
    </row>
    <row r="374" spans="2:26" ht="12" customHeight="1">
      <c r="B374" s="19"/>
      <c r="C374" s="19"/>
      <c r="D374" s="19"/>
      <c r="E374" s="19"/>
      <c r="F374" s="19"/>
      <c r="G374" s="19"/>
      <c r="H374" s="19"/>
      <c r="I374" s="19"/>
      <c r="J374" s="19"/>
      <c r="K374" s="19"/>
      <c r="L374" s="19"/>
      <c r="M374" s="19"/>
      <c r="N374" s="19"/>
      <c r="O374" s="19"/>
      <c r="P374" s="19"/>
      <c r="Q374" s="19"/>
      <c r="R374" s="19"/>
      <c r="S374" s="19"/>
      <c r="T374" s="19"/>
      <c r="U374" s="19"/>
      <c r="V374" s="19"/>
      <c r="W374" s="19"/>
      <c r="X374" s="19"/>
      <c r="Y374" s="19"/>
      <c r="Z374" s="19"/>
    </row>
    <row r="375" spans="2:26" ht="12" customHeight="1">
      <c r="B375" s="19"/>
      <c r="C375" s="19"/>
      <c r="D375" s="19"/>
      <c r="E375" s="19"/>
      <c r="F375" s="19"/>
      <c r="G375" s="19"/>
      <c r="H375" s="19"/>
      <c r="I375" s="19"/>
      <c r="J375" s="19"/>
      <c r="K375" s="19"/>
      <c r="L375" s="19"/>
      <c r="M375" s="19"/>
      <c r="N375" s="19"/>
      <c r="O375" s="19"/>
      <c r="P375" s="19"/>
      <c r="Q375" s="19"/>
      <c r="R375" s="19"/>
      <c r="S375" s="19"/>
      <c r="T375" s="19"/>
      <c r="U375" s="19"/>
      <c r="V375" s="19"/>
      <c r="W375" s="19"/>
      <c r="X375" s="19"/>
      <c r="Y375" s="19"/>
      <c r="Z375" s="19"/>
    </row>
    <row r="376" spans="2:26" ht="12" customHeight="1">
      <c r="B376" s="19"/>
      <c r="C376" s="19"/>
      <c r="D376" s="19"/>
      <c r="E376" s="19"/>
      <c r="F376" s="19"/>
      <c r="G376" s="19"/>
      <c r="H376" s="19"/>
      <c r="I376" s="19"/>
      <c r="J376" s="19"/>
      <c r="K376" s="19"/>
      <c r="L376" s="19"/>
      <c r="M376" s="19"/>
      <c r="N376" s="19"/>
      <c r="O376" s="19"/>
      <c r="P376" s="19"/>
      <c r="Q376" s="19"/>
      <c r="R376" s="19"/>
      <c r="S376" s="19"/>
      <c r="T376" s="19"/>
      <c r="U376" s="19"/>
      <c r="V376" s="19"/>
      <c r="W376" s="19"/>
      <c r="X376" s="19"/>
      <c r="Y376" s="19"/>
      <c r="Z376" s="19"/>
    </row>
    <row r="377" spans="2:26" ht="12" customHeight="1">
      <c r="B377" s="19"/>
      <c r="C377" s="19"/>
      <c r="D377" s="19"/>
      <c r="E377" s="19"/>
      <c r="F377" s="19"/>
      <c r="G377" s="19"/>
      <c r="H377" s="19"/>
      <c r="I377" s="19"/>
      <c r="J377" s="19"/>
      <c r="K377" s="19"/>
      <c r="L377" s="19"/>
      <c r="M377" s="19"/>
      <c r="N377" s="19"/>
      <c r="O377" s="19"/>
      <c r="P377" s="19"/>
      <c r="Q377" s="19"/>
      <c r="R377" s="19"/>
      <c r="S377" s="19"/>
      <c r="T377" s="19"/>
      <c r="U377" s="19"/>
      <c r="V377" s="19"/>
      <c r="W377" s="19"/>
      <c r="X377" s="19"/>
      <c r="Y377" s="19"/>
      <c r="Z377" s="19"/>
    </row>
    <row r="378" spans="2:26" ht="12" customHeight="1">
      <c r="B378" s="19"/>
      <c r="C378" s="19"/>
      <c r="D378" s="19"/>
      <c r="E378" s="19"/>
      <c r="F378" s="19"/>
      <c r="G378" s="19"/>
      <c r="H378" s="19"/>
      <c r="I378" s="19"/>
      <c r="J378" s="19"/>
      <c r="K378" s="19"/>
      <c r="L378" s="19"/>
      <c r="M378" s="19"/>
      <c r="N378" s="19"/>
      <c r="O378" s="19"/>
      <c r="P378" s="19"/>
      <c r="Q378" s="19"/>
      <c r="R378" s="19"/>
      <c r="S378" s="19"/>
      <c r="T378" s="19"/>
      <c r="U378" s="19"/>
      <c r="V378" s="19"/>
      <c r="W378" s="19"/>
      <c r="X378" s="19"/>
      <c r="Y378" s="19"/>
      <c r="Z378" s="19"/>
    </row>
    <row r="379" spans="2:26" ht="12" customHeight="1">
      <c r="B379" s="19"/>
      <c r="C379" s="19"/>
      <c r="D379" s="19"/>
      <c r="E379" s="19"/>
      <c r="F379" s="19"/>
      <c r="G379" s="19"/>
      <c r="H379" s="19"/>
      <c r="I379" s="19"/>
      <c r="J379" s="19"/>
      <c r="K379" s="19"/>
      <c r="L379" s="19"/>
      <c r="M379" s="19"/>
      <c r="N379" s="19"/>
      <c r="O379" s="19"/>
      <c r="P379" s="19"/>
      <c r="Q379" s="19"/>
      <c r="R379" s="19"/>
      <c r="S379" s="19"/>
      <c r="T379" s="19"/>
      <c r="U379" s="19"/>
      <c r="V379" s="19"/>
      <c r="W379" s="19"/>
      <c r="X379" s="19"/>
      <c r="Y379" s="19"/>
      <c r="Z379" s="19"/>
    </row>
    <row r="380" spans="2:26" ht="12" customHeight="1">
      <c r="B380" s="19"/>
      <c r="C380" s="19"/>
      <c r="D380" s="19"/>
      <c r="E380" s="19"/>
      <c r="F380" s="19"/>
      <c r="G380" s="19"/>
      <c r="H380" s="19"/>
      <c r="I380" s="19"/>
      <c r="J380" s="19"/>
      <c r="K380" s="19"/>
      <c r="L380" s="19"/>
      <c r="M380" s="19"/>
      <c r="N380" s="19"/>
      <c r="O380" s="19"/>
      <c r="P380" s="19"/>
      <c r="Q380" s="19"/>
      <c r="R380" s="19"/>
      <c r="S380" s="19"/>
      <c r="T380" s="19"/>
      <c r="U380" s="19"/>
      <c r="V380" s="19"/>
      <c r="W380" s="19"/>
      <c r="X380" s="19"/>
      <c r="Y380" s="19"/>
      <c r="Z380" s="19"/>
    </row>
    <row r="381" spans="2:26" ht="12" customHeight="1">
      <c r="B381" s="19"/>
      <c r="C381" s="19"/>
      <c r="D381" s="19"/>
      <c r="E381" s="19"/>
      <c r="F381" s="19"/>
      <c r="G381" s="19"/>
      <c r="H381" s="19"/>
      <c r="I381" s="19"/>
      <c r="J381" s="19"/>
      <c r="K381" s="19"/>
      <c r="L381" s="19"/>
      <c r="M381" s="19"/>
      <c r="N381" s="19"/>
      <c r="O381" s="19"/>
      <c r="P381" s="19"/>
      <c r="Q381" s="19"/>
      <c r="R381" s="19"/>
      <c r="S381" s="19"/>
      <c r="T381" s="19"/>
      <c r="U381" s="19"/>
      <c r="V381" s="19"/>
      <c r="W381" s="19"/>
      <c r="X381" s="19"/>
      <c r="Y381" s="19"/>
      <c r="Z381" s="19"/>
    </row>
    <row r="382" spans="2:26" ht="12" customHeight="1">
      <c r="B382" s="19"/>
      <c r="C382" s="19"/>
      <c r="D382" s="19"/>
      <c r="E382" s="19"/>
      <c r="F382" s="19"/>
      <c r="G382" s="19"/>
      <c r="H382" s="19"/>
      <c r="I382" s="19"/>
      <c r="J382" s="19"/>
      <c r="K382" s="19"/>
      <c r="L382" s="19"/>
      <c r="M382" s="19"/>
      <c r="N382" s="19"/>
      <c r="O382" s="19"/>
      <c r="P382" s="19"/>
      <c r="Q382" s="19"/>
      <c r="R382" s="19"/>
      <c r="S382" s="19"/>
      <c r="T382" s="19"/>
      <c r="U382" s="19"/>
      <c r="V382" s="19"/>
      <c r="W382" s="19"/>
      <c r="X382" s="19"/>
      <c r="Y382" s="19"/>
      <c r="Z382" s="19"/>
    </row>
    <row r="383" spans="2:26" ht="12" customHeight="1">
      <c r="B383" s="19"/>
      <c r="C383" s="19"/>
      <c r="D383" s="19"/>
      <c r="E383" s="19"/>
      <c r="F383" s="19"/>
      <c r="G383" s="19"/>
      <c r="H383" s="19"/>
      <c r="I383" s="19"/>
      <c r="J383" s="19"/>
      <c r="K383" s="19"/>
      <c r="L383" s="19"/>
      <c r="M383" s="19"/>
      <c r="N383" s="19"/>
      <c r="O383" s="19"/>
      <c r="P383" s="19"/>
      <c r="Q383" s="19"/>
      <c r="R383" s="19"/>
      <c r="S383" s="19"/>
      <c r="T383" s="19"/>
      <c r="U383" s="19"/>
      <c r="V383" s="19"/>
      <c r="W383" s="19"/>
      <c r="X383" s="19"/>
      <c r="Y383" s="19"/>
      <c r="Z383" s="19"/>
    </row>
    <row r="384" spans="2:26" ht="12" customHeight="1">
      <c r="B384" s="19"/>
      <c r="C384" s="19"/>
      <c r="D384" s="19"/>
      <c r="E384" s="19"/>
      <c r="F384" s="19"/>
      <c r="G384" s="19"/>
      <c r="H384" s="19"/>
      <c r="I384" s="19"/>
      <c r="J384" s="19"/>
      <c r="K384" s="19"/>
      <c r="L384" s="19"/>
      <c r="M384" s="19"/>
      <c r="N384" s="19"/>
      <c r="O384" s="19"/>
      <c r="P384" s="19"/>
      <c r="Q384" s="19"/>
      <c r="R384" s="19"/>
      <c r="S384" s="19"/>
      <c r="T384" s="19"/>
      <c r="U384" s="19"/>
      <c r="V384" s="19"/>
      <c r="W384" s="19"/>
      <c r="X384" s="19"/>
      <c r="Y384" s="19"/>
      <c r="Z384" s="19"/>
    </row>
    <row r="385" spans="2:26" ht="12" customHeight="1">
      <c r="B385" s="19"/>
      <c r="C385" s="19"/>
      <c r="D385" s="19"/>
      <c r="E385" s="19"/>
      <c r="F385" s="19"/>
      <c r="G385" s="19"/>
      <c r="H385" s="19"/>
      <c r="I385" s="19"/>
      <c r="J385" s="19"/>
      <c r="K385" s="19"/>
      <c r="L385" s="19"/>
      <c r="M385" s="19"/>
      <c r="N385" s="19"/>
      <c r="O385" s="19"/>
      <c r="P385" s="19"/>
      <c r="Q385" s="19"/>
      <c r="R385" s="19"/>
      <c r="S385" s="19"/>
      <c r="T385" s="19"/>
      <c r="U385" s="19"/>
      <c r="V385" s="19"/>
      <c r="W385" s="19"/>
      <c r="X385" s="19"/>
      <c r="Y385" s="19"/>
      <c r="Z385" s="19"/>
    </row>
    <row r="386" spans="2:26" ht="12" customHeight="1">
      <c r="B386" s="19"/>
      <c r="C386" s="19"/>
      <c r="D386" s="19"/>
      <c r="E386" s="19"/>
      <c r="F386" s="19"/>
      <c r="G386" s="19"/>
      <c r="H386" s="19"/>
      <c r="I386" s="19"/>
      <c r="J386" s="19"/>
      <c r="K386" s="19"/>
      <c r="L386" s="19"/>
      <c r="M386" s="19"/>
      <c r="N386" s="19"/>
      <c r="O386" s="19"/>
      <c r="P386" s="19"/>
      <c r="Q386" s="19"/>
      <c r="R386" s="19"/>
      <c r="S386" s="19"/>
      <c r="T386" s="19"/>
      <c r="U386" s="19"/>
      <c r="V386" s="19"/>
      <c r="W386" s="19"/>
      <c r="X386" s="19"/>
      <c r="Y386" s="19"/>
      <c r="Z386" s="19"/>
    </row>
    <row r="387" spans="2:26" ht="12" customHeight="1">
      <c r="B387" s="19"/>
      <c r="C387" s="19"/>
      <c r="D387" s="19"/>
      <c r="E387" s="19"/>
      <c r="F387" s="19"/>
      <c r="G387" s="19"/>
      <c r="H387" s="19"/>
      <c r="I387" s="19"/>
      <c r="J387" s="19"/>
      <c r="K387" s="19"/>
      <c r="L387" s="19"/>
      <c r="M387" s="19"/>
      <c r="N387" s="19"/>
      <c r="O387" s="19"/>
      <c r="P387" s="19"/>
      <c r="Q387" s="19"/>
      <c r="R387" s="19"/>
      <c r="S387" s="19"/>
      <c r="T387" s="19"/>
      <c r="U387" s="19"/>
      <c r="V387" s="19"/>
      <c r="W387" s="19"/>
      <c r="X387" s="19"/>
      <c r="Y387" s="19"/>
      <c r="Z387" s="19"/>
    </row>
    <row r="388" spans="2:26" ht="12" customHeight="1">
      <c r="B388" s="19"/>
      <c r="C388" s="19"/>
      <c r="D388" s="19"/>
      <c r="E388" s="19"/>
      <c r="F388" s="19"/>
      <c r="G388" s="19"/>
      <c r="H388" s="19"/>
      <c r="I388" s="19"/>
      <c r="J388" s="19"/>
      <c r="K388" s="19"/>
      <c r="L388" s="19"/>
      <c r="M388" s="19"/>
      <c r="N388" s="19"/>
      <c r="O388" s="19"/>
      <c r="P388" s="19"/>
      <c r="Q388" s="19"/>
      <c r="R388" s="19"/>
      <c r="S388" s="19"/>
      <c r="T388" s="19"/>
      <c r="U388" s="19"/>
      <c r="V388" s="19"/>
      <c r="W388" s="19"/>
      <c r="X388" s="19"/>
      <c r="Y388" s="19"/>
      <c r="Z388" s="19"/>
    </row>
    <row r="389" spans="2:26" ht="12" customHeight="1">
      <c r="B389" s="19"/>
      <c r="C389" s="19"/>
      <c r="D389" s="19"/>
      <c r="E389" s="19"/>
      <c r="F389" s="19"/>
      <c r="G389" s="19"/>
      <c r="H389" s="19"/>
      <c r="I389" s="19"/>
      <c r="J389" s="19"/>
      <c r="K389" s="19"/>
      <c r="L389" s="19"/>
      <c r="M389" s="19"/>
      <c r="N389" s="19"/>
      <c r="O389" s="19"/>
      <c r="P389" s="19"/>
      <c r="Q389" s="19"/>
      <c r="R389" s="19"/>
      <c r="S389" s="19"/>
      <c r="T389" s="19"/>
      <c r="U389" s="19"/>
      <c r="V389" s="19"/>
      <c r="W389" s="19"/>
      <c r="X389" s="19"/>
      <c r="Y389" s="19"/>
      <c r="Z389" s="19"/>
    </row>
    <row r="390" spans="2:26" ht="12" customHeight="1">
      <c r="B390" s="19"/>
      <c r="C390" s="19"/>
      <c r="D390" s="19"/>
      <c r="E390" s="19"/>
      <c r="F390" s="19"/>
      <c r="G390" s="19"/>
      <c r="H390" s="19"/>
      <c r="I390" s="19"/>
      <c r="J390" s="19"/>
      <c r="K390" s="19"/>
      <c r="L390" s="19"/>
      <c r="M390" s="19"/>
      <c r="N390" s="19"/>
      <c r="O390" s="19"/>
      <c r="P390" s="19"/>
      <c r="Q390" s="19"/>
      <c r="R390" s="19"/>
      <c r="S390" s="19"/>
      <c r="T390" s="19"/>
      <c r="U390" s="19"/>
      <c r="V390" s="19"/>
      <c r="W390" s="19"/>
      <c r="X390" s="19"/>
      <c r="Y390" s="19"/>
      <c r="Z390" s="19"/>
    </row>
    <row r="391" spans="2:26" ht="12" customHeight="1">
      <c r="B391" s="19"/>
      <c r="C391" s="19"/>
      <c r="D391" s="19"/>
      <c r="E391" s="19"/>
      <c r="F391" s="19"/>
      <c r="G391" s="19"/>
      <c r="H391" s="19"/>
      <c r="I391" s="19"/>
      <c r="J391" s="19"/>
      <c r="K391" s="19"/>
      <c r="L391" s="19"/>
      <c r="M391" s="19"/>
      <c r="N391" s="19"/>
      <c r="O391" s="19"/>
      <c r="P391" s="19"/>
      <c r="Q391" s="19"/>
      <c r="R391" s="19"/>
      <c r="S391" s="19"/>
      <c r="T391" s="19"/>
      <c r="U391" s="19"/>
      <c r="V391" s="19"/>
      <c r="W391" s="19"/>
      <c r="X391" s="19"/>
      <c r="Y391" s="19"/>
      <c r="Z391" s="19"/>
    </row>
    <row r="392" spans="2:26" ht="12" customHeight="1">
      <c r="B392" s="19"/>
      <c r="C392" s="19"/>
      <c r="D392" s="19"/>
      <c r="E392" s="19"/>
      <c r="F392" s="19"/>
      <c r="G392" s="19"/>
      <c r="H392" s="19"/>
      <c r="I392" s="19"/>
      <c r="J392" s="19"/>
      <c r="K392" s="19"/>
      <c r="L392" s="19"/>
      <c r="M392" s="19"/>
      <c r="N392" s="19"/>
      <c r="O392" s="19"/>
      <c r="P392" s="19"/>
      <c r="Q392" s="19"/>
      <c r="R392" s="19"/>
      <c r="S392" s="19"/>
      <c r="T392" s="19"/>
      <c r="U392" s="19"/>
      <c r="V392" s="19"/>
      <c r="W392" s="19"/>
      <c r="X392" s="19"/>
      <c r="Y392" s="19"/>
      <c r="Z392" s="19"/>
    </row>
    <row r="393" spans="2:26" ht="12" customHeight="1">
      <c r="B393" s="19"/>
      <c r="C393" s="19"/>
      <c r="D393" s="19"/>
      <c r="E393" s="19"/>
      <c r="F393" s="19"/>
      <c r="G393" s="19"/>
      <c r="H393" s="19"/>
      <c r="I393" s="19"/>
      <c r="J393" s="19"/>
      <c r="K393" s="19"/>
      <c r="L393" s="19"/>
      <c r="M393" s="19"/>
      <c r="N393" s="19"/>
      <c r="O393" s="19"/>
      <c r="P393" s="19"/>
      <c r="Q393" s="19"/>
      <c r="R393" s="19"/>
      <c r="S393" s="19"/>
      <c r="T393" s="19"/>
      <c r="U393" s="19"/>
      <c r="V393" s="19"/>
      <c r="W393" s="19"/>
      <c r="X393" s="19"/>
      <c r="Y393" s="19"/>
      <c r="Z393" s="19"/>
    </row>
    <row r="394" spans="2:26" ht="12" customHeight="1">
      <c r="B394" s="19"/>
      <c r="C394" s="19"/>
      <c r="D394" s="19"/>
      <c r="E394" s="19"/>
      <c r="F394" s="19"/>
      <c r="G394" s="19"/>
      <c r="H394" s="19"/>
      <c r="I394" s="19"/>
      <c r="J394" s="19"/>
      <c r="K394" s="19"/>
      <c r="L394" s="19"/>
      <c r="M394" s="19"/>
      <c r="N394" s="19"/>
      <c r="O394" s="19"/>
      <c r="P394" s="19"/>
      <c r="Q394" s="19"/>
      <c r="R394" s="19"/>
      <c r="S394" s="19"/>
      <c r="T394" s="19"/>
      <c r="U394" s="19"/>
      <c r="V394" s="19"/>
      <c r="W394" s="19"/>
      <c r="X394" s="19"/>
      <c r="Y394" s="19"/>
      <c r="Z394" s="19"/>
    </row>
    <row r="395" spans="2:26" ht="12" customHeight="1">
      <c r="B395" s="19"/>
      <c r="C395" s="19"/>
      <c r="D395" s="19"/>
      <c r="E395" s="19"/>
      <c r="F395" s="19"/>
      <c r="G395" s="19"/>
      <c r="H395" s="19"/>
      <c r="I395" s="19"/>
      <c r="J395" s="19"/>
      <c r="K395" s="19"/>
      <c r="L395" s="19"/>
      <c r="M395" s="19"/>
      <c r="N395" s="19"/>
      <c r="O395" s="19"/>
      <c r="P395" s="19"/>
      <c r="Q395" s="19"/>
      <c r="R395" s="19"/>
      <c r="S395" s="19"/>
      <c r="T395" s="19"/>
      <c r="U395" s="19"/>
      <c r="V395" s="19"/>
      <c r="W395" s="19"/>
      <c r="X395" s="19"/>
      <c r="Y395" s="19"/>
      <c r="Z395" s="19"/>
    </row>
    <row r="396" spans="2:26" ht="12" customHeight="1">
      <c r="B396" s="19"/>
      <c r="C396" s="19"/>
      <c r="D396" s="19"/>
      <c r="E396" s="19"/>
      <c r="F396" s="19"/>
      <c r="G396" s="19"/>
      <c r="H396" s="19"/>
      <c r="I396" s="19"/>
      <c r="J396" s="19"/>
      <c r="K396" s="19"/>
      <c r="L396" s="19"/>
      <c r="M396" s="19"/>
      <c r="N396" s="19"/>
      <c r="O396" s="19"/>
      <c r="P396" s="19"/>
      <c r="Q396" s="19"/>
      <c r="R396" s="19"/>
      <c r="S396" s="19"/>
      <c r="T396" s="19"/>
      <c r="U396" s="19"/>
      <c r="V396" s="19"/>
      <c r="W396" s="19"/>
      <c r="X396" s="19"/>
      <c r="Y396" s="19"/>
      <c r="Z396" s="19"/>
    </row>
    <row r="397" spans="2:26" ht="12" customHeight="1">
      <c r="B397" s="19"/>
      <c r="C397" s="19"/>
      <c r="D397" s="19"/>
      <c r="E397" s="19"/>
      <c r="F397" s="19"/>
      <c r="G397" s="19"/>
      <c r="H397" s="19"/>
      <c r="I397" s="19"/>
      <c r="J397" s="19"/>
      <c r="K397" s="19"/>
      <c r="L397" s="19"/>
      <c r="M397" s="19"/>
      <c r="N397" s="19"/>
      <c r="O397" s="19"/>
      <c r="P397" s="19"/>
      <c r="Q397" s="19"/>
      <c r="R397" s="19"/>
      <c r="S397" s="19"/>
      <c r="T397" s="19"/>
      <c r="U397" s="19"/>
      <c r="V397" s="19"/>
      <c r="W397" s="19"/>
      <c r="X397" s="19"/>
      <c r="Y397" s="19"/>
      <c r="Z397" s="19"/>
    </row>
    <row r="398" spans="2:26" ht="12" customHeight="1">
      <c r="B398" s="19"/>
      <c r="C398" s="19"/>
      <c r="D398" s="19"/>
      <c r="E398" s="19"/>
      <c r="F398" s="19"/>
      <c r="G398" s="19"/>
      <c r="H398" s="19"/>
      <c r="I398" s="19"/>
      <c r="J398" s="19"/>
      <c r="K398" s="19"/>
      <c r="L398" s="19"/>
      <c r="M398" s="19"/>
      <c r="N398" s="19"/>
      <c r="O398" s="19"/>
      <c r="P398" s="19"/>
      <c r="Q398" s="19"/>
      <c r="R398" s="19"/>
      <c r="S398" s="19"/>
      <c r="T398" s="19"/>
      <c r="U398" s="19"/>
      <c r="V398" s="19"/>
      <c r="W398" s="19"/>
      <c r="X398" s="19"/>
      <c r="Y398" s="19"/>
      <c r="Z398" s="19"/>
    </row>
    <row r="399" spans="2:26" ht="12" customHeight="1">
      <c r="B399" s="19"/>
      <c r="C399" s="19"/>
      <c r="D399" s="19"/>
      <c r="E399" s="19"/>
      <c r="F399" s="19"/>
      <c r="G399" s="19"/>
      <c r="H399" s="19"/>
      <c r="I399" s="19"/>
      <c r="J399" s="19"/>
      <c r="K399" s="19"/>
      <c r="L399" s="19"/>
      <c r="M399" s="19"/>
      <c r="N399" s="19"/>
      <c r="O399" s="19"/>
      <c r="P399" s="19"/>
      <c r="Q399" s="19"/>
      <c r="R399" s="19"/>
      <c r="S399" s="19"/>
      <c r="T399" s="19"/>
      <c r="U399" s="19"/>
      <c r="V399" s="19"/>
      <c r="W399" s="19"/>
      <c r="X399" s="19"/>
      <c r="Y399" s="19"/>
      <c r="Z399" s="19"/>
    </row>
    <row r="400" spans="2:26" ht="12" customHeight="1">
      <c r="B400" s="19"/>
      <c r="C400" s="19"/>
      <c r="D400" s="19"/>
      <c r="E400" s="19"/>
      <c r="F400" s="19"/>
      <c r="G400" s="19"/>
      <c r="H400" s="19"/>
      <c r="I400" s="19"/>
      <c r="J400" s="19"/>
      <c r="K400" s="19"/>
      <c r="L400" s="19"/>
      <c r="M400" s="19"/>
      <c r="N400" s="19"/>
      <c r="O400" s="19"/>
      <c r="P400" s="19"/>
      <c r="Q400" s="19"/>
      <c r="R400" s="19"/>
      <c r="S400" s="19"/>
      <c r="T400" s="19"/>
      <c r="U400" s="19"/>
      <c r="V400" s="19"/>
      <c r="W400" s="19"/>
      <c r="X400" s="19"/>
      <c r="Y400" s="19"/>
      <c r="Z400" s="19"/>
    </row>
    <row r="401" spans="2:26" ht="12" customHeight="1">
      <c r="B401" s="19"/>
      <c r="C401" s="19"/>
      <c r="D401" s="19"/>
      <c r="E401" s="19"/>
      <c r="F401" s="19"/>
      <c r="G401" s="19"/>
      <c r="H401" s="19"/>
      <c r="I401" s="19"/>
      <c r="J401" s="19"/>
      <c r="K401" s="19"/>
      <c r="L401" s="19"/>
      <c r="M401" s="19"/>
      <c r="N401" s="19"/>
      <c r="O401" s="19"/>
      <c r="P401" s="19"/>
      <c r="Q401" s="19"/>
      <c r="R401" s="19"/>
      <c r="S401" s="19"/>
      <c r="T401" s="19"/>
      <c r="U401" s="19"/>
      <c r="V401" s="19"/>
      <c r="W401" s="19"/>
      <c r="X401" s="19"/>
      <c r="Y401" s="19"/>
      <c r="Z401" s="19"/>
    </row>
    <row r="402" spans="2:26" ht="12" customHeight="1">
      <c r="B402" s="19"/>
      <c r="C402" s="19"/>
      <c r="D402" s="19"/>
      <c r="E402" s="19"/>
      <c r="F402" s="19"/>
      <c r="G402" s="19"/>
      <c r="H402" s="19"/>
      <c r="I402" s="19"/>
      <c r="J402" s="19"/>
      <c r="K402" s="19"/>
      <c r="L402" s="19"/>
      <c r="M402" s="19"/>
      <c r="N402" s="19"/>
      <c r="O402" s="19"/>
      <c r="P402" s="19"/>
      <c r="Q402" s="19"/>
      <c r="R402" s="19"/>
      <c r="S402" s="19"/>
      <c r="T402" s="19"/>
      <c r="U402" s="19"/>
      <c r="V402" s="19"/>
      <c r="W402" s="19"/>
      <c r="X402" s="19"/>
      <c r="Y402" s="19"/>
      <c r="Z402" s="19"/>
    </row>
    <row r="403" spans="2:26" ht="12" customHeight="1">
      <c r="B403" s="19"/>
      <c r="C403" s="19"/>
      <c r="D403" s="19"/>
      <c r="E403" s="19"/>
      <c r="F403" s="19"/>
      <c r="G403" s="19"/>
      <c r="H403" s="19"/>
      <c r="I403" s="19"/>
      <c r="J403" s="19"/>
      <c r="K403" s="19"/>
      <c r="L403" s="19"/>
      <c r="M403" s="19"/>
      <c r="N403" s="19"/>
      <c r="O403" s="19"/>
      <c r="P403" s="19"/>
      <c r="Q403" s="19"/>
      <c r="R403" s="19"/>
      <c r="S403" s="19"/>
      <c r="T403" s="19"/>
      <c r="U403" s="19"/>
      <c r="V403" s="19"/>
      <c r="W403" s="19"/>
      <c r="X403" s="19"/>
      <c r="Y403" s="19"/>
      <c r="Z403" s="19"/>
    </row>
    <row r="404" spans="2:26" ht="12" customHeight="1">
      <c r="B404" s="19"/>
      <c r="C404" s="19"/>
      <c r="D404" s="19"/>
      <c r="E404" s="19"/>
      <c r="F404" s="19"/>
      <c r="G404" s="19"/>
      <c r="H404" s="19"/>
      <c r="I404" s="19"/>
      <c r="J404" s="19"/>
      <c r="K404" s="19"/>
      <c r="L404" s="19"/>
      <c r="M404" s="19"/>
      <c r="N404" s="19"/>
      <c r="O404" s="19"/>
      <c r="P404" s="19"/>
      <c r="Q404" s="19"/>
      <c r="R404" s="19"/>
      <c r="S404" s="19"/>
      <c r="T404" s="19"/>
      <c r="U404" s="19"/>
      <c r="V404" s="19"/>
      <c r="W404" s="19"/>
      <c r="X404" s="19"/>
      <c r="Y404" s="19"/>
      <c r="Z404" s="19"/>
    </row>
    <row r="405" spans="2:26" ht="12" customHeight="1">
      <c r="B405" s="19"/>
      <c r="C405" s="19"/>
      <c r="D405" s="19"/>
      <c r="E405" s="19"/>
      <c r="F405" s="19"/>
      <c r="G405" s="19"/>
      <c r="H405" s="19"/>
      <c r="I405" s="19"/>
      <c r="J405" s="19"/>
      <c r="K405" s="19"/>
      <c r="L405" s="19"/>
      <c r="M405" s="19"/>
      <c r="N405" s="19"/>
      <c r="O405" s="19"/>
      <c r="P405" s="19"/>
      <c r="Q405" s="19"/>
      <c r="R405" s="19"/>
      <c r="S405" s="19"/>
      <c r="T405" s="19"/>
      <c r="U405" s="19"/>
      <c r="V405" s="19"/>
      <c r="W405" s="19"/>
      <c r="X405" s="19"/>
      <c r="Y405" s="19"/>
      <c r="Z405" s="19"/>
    </row>
    <row r="406" spans="2:26" ht="12" customHeight="1">
      <c r="B406" s="19"/>
      <c r="C406" s="19"/>
      <c r="D406" s="19"/>
      <c r="E406" s="19"/>
      <c r="F406" s="19"/>
      <c r="G406" s="19"/>
      <c r="H406" s="19"/>
      <c r="I406" s="19"/>
      <c r="J406" s="19"/>
      <c r="K406" s="19"/>
      <c r="L406" s="19"/>
      <c r="M406" s="19"/>
      <c r="N406" s="19"/>
      <c r="O406" s="19"/>
      <c r="P406" s="19"/>
      <c r="Q406" s="19"/>
      <c r="R406" s="19"/>
      <c r="S406" s="19"/>
      <c r="T406" s="19"/>
      <c r="U406" s="19"/>
      <c r="V406" s="19"/>
      <c r="W406" s="19"/>
      <c r="X406" s="19"/>
      <c r="Y406" s="19"/>
      <c r="Z406" s="19"/>
    </row>
    <row r="407" spans="2:26" ht="12" customHeight="1">
      <c r="B407" s="19"/>
      <c r="C407" s="19"/>
      <c r="D407" s="19"/>
      <c r="E407" s="19"/>
      <c r="F407" s="19"/>
      <c r="G407" s="19"/>
      <c r="H407" s="19"/>
      <c r="I407" s="19"/>
      <c r="J407" s="19"/>
      <c r="K407" s="19"/>
      <c r="L407" s="19"/>
      <c r="M407" s="19"/>
      <c r="N407" s="19"/>
      <c r="O407" s="19"/>
      <c r="P407" s="19"/>
      <c r="Q407" s="19"/>
      <c r="R407" s="19"/>
      <c r="S407" s="19"/>
      <c r="T407" s="19"/>
      <c r="U407" s="19"/>
      <c r="V407" s="19"/>
      <c r="W407" s="19"/>
      <c r="X407" s="19"/>
      <c r="Y407" s="19"/>
      <c r="Z407" s="19"/>
    </row>
    <row r="408" spans="2:26" ht="12" customHeight="1">
      <c r="B408" s="19"/>
      <c r="C408" s="19"/>
      <c r="D408" s="19"/>
      <c r="E408" s="19"/>
      <c r="F408" s="19"/>
      <c r="G408" s="19"/>
      <c r="H408" s="19"/>
      <c r="I408" s="19"/>
      <c r="J408" s="19"/>
      <c r="K408" s="19"/>
      <c r="L408" s="19"/>
      <c r="M408" s="19"/>
      <c r="N408" s="19"/>
      <c r="O408" s="19"/>
      <c r="P408" s="19"/>
      <c r="Q408" s="19"/>
      <c r="R408" s="19"/>
      <c r="S408" s="19"/>
      <c r="T408" s="19"/>
      <c r="U408" s="19"/>
      <c r="V408" s="19"/>
      <c r="W408" s="19"/>
      <c r="X408" s="19"/>
      <c r="Y408" s="19"/>
      <c r="Z408" s="19"/>
    </row>
    <row r="409" spans="2:26" ht="12" customHeight="1">
      <c r="B409" s="19"/>
      <c r="C409" s="19"/>
      <c r="D409" s="19"/>
      <c r="E409" s="19"/>
      <c r="F409" s="19"/>
      <c r="G409" s="19"/>
      <c r="H409" s="19"/>
      <c r="I409" s="19"/>
      <c r="J409" s="19"/>
      <c r="K409" s="19"/>
      <c r="L409" s="19"/>
      <c r="M409" s="19"/>
      <c r="N409" s="19"/>
      <c r="O409" s="19"/>
      <c r="P409" s="19"/>
      <c r="Q409" s="19"/>
      <c r="R409" s="19"/>
      <c r="S409" s="19"/>
      <c r="T409" s="19"/>
      <c r="U409" s="19"/>
      <c r="V409" s="19"/>
      <c r="W409" s="19"/>
      <c r="X409" s="19"/>
      <c r="Y409" s="19"/>
      <c r="Z409" s="19"/>
    </row>
    <row r="410" spans="2:26" ht="12" customHeight="1">
      <c r="B410" s="19"/>
      <c r="C410" s="19"/>
      <c r="D410" s="19"/>
      <c r="E410" s="19"/>
      <c r="F410" s="19"/>
      <c r="G410" s="19"/>
      <c r="H410" s="19"/>
      <c r="I410" s="19"/>
      <c r="J410" s="19"/>
      <c r="K410" s="19"/>
      <c r="L410" s="19"/>
      <c r="M410" s="19"/>
      <c r="N410" s="19"/>
      <c r="O410" s="19"/>
      <c r="P410" s="19"/>
      <c r="Q410" s="19"/>
      <c r="R410" s="19"/>
      <c r="S410" s="19"/>
      <c r="T410" s="19"/>
      <c r="U410" s="19"/>
      <c r="V410" s="19"/>
      <c r="W410" s="19"/>
      <c r="X410" s="19"/>
      <c r="Y410" s="19"/>
      <c r="Z410" s="19"/>
    </row>
    <row r="411" spans="2:26" ht="12" customHeight="1">
      <c r="B411" s="19"/>
      <c r="C411" s="19"/>
      <c r="D411" s="19"/>
      <c r="E411" s="19"/>
      <c r="F411" s="19"/>
      <c r="G411" s="19"/>
      <c r="H411" s="19"/>
      <c r="I411" s="19"/>
      <c r="J411" s="19"/>
      <c r="K411" s="19"/>
      <c r="L411" s="19"/>
      <c r="M411" s="19"/>
      <c r="N411" s="19"/>
      <c r="O411" s="19"/>
      <c r="P411" s="19"/>
      <c r="Q411" s="19"/>
      <c r="R411" s="19"/>
      <c r="S411" s="19"/>
      <c r="T411" s="19"/>
      <c r="U411" s="19"/>
      <c r="V411" s="19"/>
      <c r="W411" s="19"/>
      <c r="X411" s="19"/>
      <c r="Y411" s="19"/>
      <c r="Z411" s="19"/>
    </row>
    <row r="412" spans="2:26" ht="12" customHeight="1">
      <c r="B412" s="19"/>
      <c r="C412" s="19"/>
      <c r="D412" s="19"/>
      <c r="E412" s="19"/>
      <c r="F412" s="19"/>
      <c r="G412" s="19"/>
      <c r="H412" s="19"/>
      <c r="I412" s="19"/>
      <c r="J412" s="19"/>
      <c r="K412" s="19"/>
      <c r="L412" s="19"/>
      <c r="M412" s="19"/>
      <c r="N412" s="19"/>
      <c r="O412" s="19"/>
      <c r="P412" s="19"/>
      <c r="Q412" s="19"/>
      <c r="R412" s="19"/>
      <c r="S412" s="19"/>
      <c r="T412" s="19"/>
      <c r="U412" s="19"/>
      <c r="V412" s="19"/>
      <c r="W412" s="19"/>
      <c r="X412" s="19"/>
      <c r="Y412" s="19"/>
      <c r="Z412" s="19"/>
    </row>
    <row r="413" spans="2:26" ht="12" customHeight="1">
      <c r="B413" s="19"/>
      <c r="C413" s="19"/>
      <c r="D413" s="19"/>
      <c r="E413" s="19"/>
      <c r="F413" s="19"/>
      <c r="G413" s="19"/>
      <c r="H413" s="19"/>
      <c r="I413" s="19"/>
      <c r="J413" s="19"/>
      <c r="K413" s="19"/>
      <c r="L413" s="19"/>
      <c r="M413" s="19"/>
      <c r="N413" s="19"/>
      <c r="O413" s="19"/>
      <c r="P413" s="19"/>
      <c r="Q413" s="19"/>
      <c r="R413" s="19"/>
      <c r="S413" s="19"/>
      <c r="T413" s="19"/>
      <c r="U413" s="19"/>
      <c r="V413" s="19"/>
      <c r="W413" s="19"/>
      <c r="X413" s="19"/>
      <c r="Y413" s="19"/>
      <c r="Z413" s="19"/>
    </row>
    <row r="414" spans="2:26" ht="12" customHeight="1">
      <c r="B414" s="19"/>
      <c r="C414" s="19"/>
      <c r="D414" s="19"/>
      <c r="E414" s="19"/>
      <c r="F414" s="19"/>
      <c r="G414" s="19"/>
      <c r="H414" s="19"/>
      <c r="I414" s="19"/>
      <c r="J414" s="19"/>
      <c r="K414" s="19"/>
      <c r="L414" s="19"/>
      <c r="M414" s="19"/>
      <c r="N414" s="19"/>
      <c r="O414" s="19"/>
      <c r="P414" s="19"/>
      <c r="Q414" s="19"/>
      <c r="R414" s="19"/>
      <c r="S414" s="19"/>
      <c r="T414" s="19"/>
      <c r="U414" s="19"/>
      <c r="V414" s="19"/>
      <c r="W414" s="19"/>
      <c r="X414" s="19"/>
      <c r="Y414" s="19"/>
      <c r="Z414" s="19"/>
    </row>
    <row r="415" spans="2:26" ht="12" customHeight="1">
      <c r="B415" s="19"/>
      <c r="C415" s="19"/>
      <c r="D415" s="19"/>
      <c r="E415" s="19"/>
      <c r="F415" s="19"/>
      <c r="G415" s="19"/>
      <c r="H415" s="19"/>
      <c r="I415" s="19"/>
      <c r="J415" s="19"/>
      <c r="K415" s="19"/>
      <c r="L415" s="19"/>
      <c r="M415" s="19"/>
      <c r="N415" s="19"/>
      <c r="O415" s="19"/>
      <c r="P415" s="19"/>
      <c r="Q415" s="19"/>
      <c r="R415" s="19"/>
      <c r="S415" s="19"/>
      <c r="T415" s="19"/>
      <c r="U415" s="19"/>
      <c r="V415" s="19"/>
      <c r="W415" s="19"/>
      <c r="X415" s="19"/>
      <c r="Y415" s="19"/>
      <c r="Z415" s="19"/>
    </row>
    <row r="416" spans="2:26" ht="12" customHeight="1">
      <c r="B416" s="19"/>
      <c r="C416" s="19"/>
      <c r="D416" s="19"/>
      <c r="E416" s="19"/>
      <c r="F416" s="19"/>
      <c r="G416" s="19"/>
      <c r="H416" s="19"/>
      <c r="I416" s="19"/>
      <c r="J416" s="19"/>
      <c r="K416" s="19"/>
      <c r="L416" s="19"/>
      <c r="M416" s="19"/>
      <c r="N416" s="19"/>
      <c r="O416" s="19"/>
      <c r="P416" s="19"/>
      <c r="Q416" s="19"/>
      <c r="R416" s="19"/>
      <c r="S416" s="19"/>
      <c r="T416" s="19"/>
      <c r="U416" s="19"/>
      <c r="V416" s="19"/>
      <c r="W416" s="19"/>
      <c r="X416" s="19"/>
      <c r="Y416" s="19"/>
      <c r="Z416" s="19"/>
    </row>
    <row r="417" spans="2:26" ht="12" customHeight="1">
      <c r="B417" s="19"/>
      <c r="C417" s="19"/>
      <c r="D417" s="19"/>
      <c r="E417" s="19"/>
      <c r="F417" s="19"/>
      <c r="G417" s="19"/>
      <c r="H417" s="19"/>
      <c r="I417" s="19"/>
      <c r="J417" s="19"/>
      <c r="K417" s="19"/>
      <c r="L417" s="19"/>
      <c r="M417" s="19"/>
      <c r="N417" s="19"/>
      <c r="O417" s="19"/>
      <c r="P417" s="19"/>
      <c r="Q417" s="19"/>
      <c r="R417" s="19"/>
      <c r="S417" s="19"/>
      <c r="T417" s="19"/>
      <c r="U417" s="19"/>
      <c r="V417" s="19"/>
      <c r="W417" s="19"/>
      <c r="X417" s="19"/>
      <c r="Y417" s="19"/>
      <c r="Z417" s="19"/>
    </row>
    <row r="418" spans="2:26" ht="12" customHeight="1">
      <c r="B418" s="19"/>
      <c r="C418" s="19"/>
      <c r="D418" s="19"/>
      <c r="E418" s="19"/>
      <c r="F418" s="19"/>
      <c r="G418" s="19"/>
      <c r="H418" s="19"/>
      <c r="I418" s="19"/>
      <c r="J418" s="19"/>
      <c r="K418" s="19"/>
      <c r="L418" s="19"/>
      <c r="M418" s="19"/>
      <c r="N418" s="19"/>
      <c r="O418" s="19"/>
      <c r="P418" s="19"/>
      <c r="Q418" s="19"/>
      <c r="R418" s="19"/>
      <c r="S418" s="19"/>
      <c r="T418" s="19"/>
      <c r="U418" s="19"/>
      <c r="V418" s="19"/>
      <c r="W418" s="19"/>
      <c r="X418" s="19"/>
      <c r="Y418" s="19"/>
      <c r="Z418" s="19"/>
    </row>
    <row r="419" spans="2:26" ht="12" customHeight="1">
      <c r="B419" s="19"/>
      <c r="C419" s="19"/>
      <c r="D419" s="19"/>
      <c r="E419" s="19"/>
      <c r="F419" s="19"/>
      <c r="G419" s="19"/>
      <c r="H419" s="19"/>
      <c r="I419" s="19"/>
      <c r="J419" s="19"/>
      <c r="K419" s="19"/>
      <c r="L419" s="19"/>
      <c r="M419" s="19"/>
      <c r="N419" s="19"/>
      <c r="O419" s="19"/>
      <c r="P419" s="19"/>
      <c r="Q419" s="19"/>
      <c r="R419" s="19"/>
      <c r="S419" s="19"/>
      <c r="T419" s="19"/>
      <c r="U419" s="19"/>
      <c r="V419" s="19"/>
      <c r="W419" s="19"/>
      <c r="X419" s="19"/>
      <c r="Y419" s="19"/>
      <c r="Z419" s="19"/>
    </row>
    <row r="420" spans="2:26" ht="12" customHeight="1">
      <c r="B420" s="19"/>
      <c r="C420" s="19"/>
      <c r="D420" s="19"/>
      <c r="E420" s="19"/>
      <c r="F420" s="19"/>
      <c r="G420" s="19"/>
      <c r="H420" s="19"/>
      <c r="I420" s="19"/>
      <c r="J420" s="19"/>
      <c r="K420" s="19"/>
      <c r="L420" s="19"/>
      <c r="M420" s="19"/>
      <c r="N420" s="19"/>
      <c r="O420" s="19"/>
      <c r="P420" s="19"/>
      <c r="Q420" s="19"/>
      <c r="R420" s="19"/>
      <c r="S420" s="19"/>
      <c r="T420" s="19"/>
      <c r="U420" s="19"/>
      <c r="V420" s="19"/>
      <c r="W420" s="19"/>
      <c r="X420" s="19"/>
      <c r="Y420" s="19"/>
      <c r="Z420" s="19"/>
    </row>
    <row r="421" spans="2:26" ht="12" customHeight="1">
      <c r="B421" s="19"/>
      <c r="C421" s="19"/>
      <c r="D421" s="19"/>
      <c r="E421" s="19"/>
      <c r="F421" s="19"/>
      <c r="G421" s="19"/>
      <c r="H421" s="19"/>
      <c r="I421" s="19"/>
      <c r="J421" s="19"/>
      <c r="K421" s="19"/>
      <c r="L421" s="19"/>
      <c r="M421" s="19"/>
      <c r="N421" s="19"/>
      <c r="O421" s="19"/>
      <c r="P421" s="19"/>
      <c r="Q421" s="19"/>
      <c r="R421" s="19"/>
      <c r="S421" s="19"/>
      <c r="T421" s="19"/>
      <c r="U421" s="19"/>
      <c r="V421" s="19"/>
      <c r="W421" s="19"/>
      <c r="X421" s="19"/>
      <c r="Y421" s="19"/>
      <c r="Z421" s="19"/>
    </row>
    <row r="422" spans="2:26" ht="12" customHeight="1">
      <c r="B422" s="19"/>
      <c r="C422" s="19"/>
      <c r="D422" s="19"/>
      <c r="E422" s="19"/>
      <c r="F422" s="19"/>
      <c r="G422" s="19"/>
      <c r="H422" s="19"/>
      <c r="I422" s="19"/>
      <c r="J422" s="19"/>
      <c r="K422" s="19"/>
      <c r="L422" s="19"/>
      <c r="M422" s="19"/>
      <c r="N422" s="19"/>
      <c r="O422" s="19"/>
      <c r="P422" s="19"/>
      <c r="Q422" s="19"/>
      <c r="R422" s="19"/>
      <c r="S422" s="19"/>
      <c r="T422" s="19"/>
      <c r="U422" s="19"/>
      <c r="V422" s="19"/>
      <c r="W422" s="19"/>
      <c r="X422" s="19"/>
      <c r="Y422" s="19"/>
      <c r="Z422" s="19"/>
    </row>
    <row r="423" spans="2:26" ht="12" customHeight="1">
      <c r="B423" s="19"/>
      <c r="C423" s="19"/>
      <c r="D423" s="19"/>
      <c r="E423" s="19"/>
      <c r="F423" s="19"/>
      <c r="G423" s="19"/>
      <c r="H423" s="19"/>
      <c r="I423" s="19"/>
      <c r="J423" s="19"/>
      <c r="K423" s="19"/>
      <c r="L423" s="19"/>
      <c r="M423" s="19"/>
      <c r="N423" s="19"/>
      <c r="O423" s="19"/>
      <c r="P423" s="19"/>
      <c r="Q423" s="19"/>
      <c r="R423" s="19"/>
      <c r="S423" s="19"/>
      <c r="T423" s="19"/>
      <c r="U423" s="19"/>
      <c r="V423" s="19"/>
      <c r="W423" s="19"/>
      <c r="X423" s="19"/>
      <c r="Y423" s="19"/>
      <c r="Z423" s="19"/>
    </row>
    <row r="424" spans="2:26" ht="12" customHeight="1">
      <c r="B424" s="19"/>
      <c r="C424" s="19"/>
      <c r="D424" s="19"/>
      <c r="E424" s="19"/>
      <c r="F424" s="19"/>
      <c r="G424" s="19"/>
      <c r="H424" s="19"/>
      <c r="I424" s="19"/>
      <c r="J424" s="19"/>
      <c r="K424" s="19"/>
      <c r="L424" s="19"/>
      <c r="M424" s="19"/>
      <c r="N424" s="19"/>
      <c r="O424" s="19"/>
      <c r="P424" s="19"/>
      <c r="Q424" s="19"/>
      <c r="R424" s="19"/>
      <c r="S424" s="19"/>
      <c r="T424" s="19"/>
      <c r="U424" s="19"/>
      <c r="V424" s="19"/>
      <c r="W424" s="19"/>
      <c r="X424" s="19"/>
      <c r="Y424" s="19"/>
      <c r="Z424" s="19"/>
    </row>
    <row r="425" spans="2:26" ht="12" customHeight="1">
      <c r="B425" s="19"/>
      <c r="C425" s="19"/>
      <c r="D425" s="19"/>
      <c r="E425" s="19"/>
      <c r="F425" s="19"/>
      <c r="G425" s="19"/>
      <c r="H425" s="19"/>
      <c r="I425" s="19"/>
      <c r="J425" s="19"/>
      <c r="K425" s="19"/>
      <c r="L425" s="19"/>
      <c r="M425" s="19"/>
      <c r="N425" s="19"/>
      <c r="O425" s="19"/>
      <c r="P425" s="19"/>
      <c r="Q425" s="19"/>
      <c r="R425" s="19"/>
      <c r="S425" s="19"/>
      <c r="T425" s="19"/>
      <c r="U425" s="19"/>
      <c r="V425" s="19"/>
      <c r="W425" s="19"/>
      <c r="X425" s="19"/>
      <c r="Y425" s="19"/>
      <c r="Z425" s="19"/>
    </row>
    <row r="426" spans="2:26" ht="12" customHeight="1">
      <c r="B426" s="19"/>
      <c r="C426" s="19"/>
      <c r="D426" s="19"/>
      <c r="E426" s="19"/>
      <c r="F426" s="19"/>
      <c r="G426" s="19"/>
      <c r="H426" s="19"/>
      <c r="I426" s="19"/>
      <c r="J426" s="19"/>
      <c r="K426" s="19"/>
      <c r="L426" s="19"/>
      <c r="M426" s="19"/>
      <c r="N426" s="19"/>
      <c r="O426" s="19"/>
      <c r="P426" s="19"/>
      <c r="Q426" s="19"/>
      <c r="R426" s="19"/>
      <c r="S426" s="19"/>
      <c r="T426" s="19"/>
      <c r="U426" s="19"/>
      <c r="V426" s="19"/>
      <c r="W426" s="19"/>
      <c r="X426" s="19"/>
      <c r="Y426" s="19"/>
      <c r="Z426" s="19"/>
    </row>
    <row r="427" spans="2:26" ht="12" customHeight="1">
      <c r="B427" s="19"/>
      <c r="C427" s="19"/>
      <c r="D427" s="19"/>
      <c r="E427" s="19"/>
      <c r="F427" s="19"/>
      <c r="G427" s="19"/>
      <c r="H427" s="19"/>
      <c r="I427" s="19"/>
      <c r="J427" s="19"/>
      <c r="K427" s="19"/>
      <c r="L427" s="19"/>
      <c r="M427" s="19"/>
      <c r="N427" s="19"/>
      <c r="O427" s="19"/>
      <c r="P427" s="19"/>
      <c r="Q427" s="19"/>
      <c r="R427" s="19"/>
      <c r="S427" s="19"/>
      <c r="T427" s="19"/>
      <c r="U427" s="19"/>
      <c r="V427" s="19"/>
      <c r="W427" s="19"/>
      <c r="X427" s="19"/>
      <c r="Y427" s="19"/>
      <c r="Z427" s="19"/>
    </row>
    <row r="428" spans="2:26" ht="12" customHeight="1">
      <c r="B428" s="19"/>
      <c r="C428" s="19"/>
      <c r="D428" s="19"/>
      <c r="E428" s="19"/>
      <c r="F428" s="19"/>
      <c r="G428" s="19"/>
      <c r="H428" s="19"/>
      <c r="I428" s="19"/>
      <c r="J428" s="19"/>
      <c r="K428" s="19"/>
      <c r="L428" s="19"/>
      <c r="M428" s="19"/>
      <c r="N428" s="19"/>
      <c r="O428" s="19"/>
      <c r="P428" s="19"/>
      <c r="Q428" s="19"/>
      <c r="R428" s="19"/>
      <c r="S428" s="19"/>
      <c r="T428" s="19"/>
      <c r="U428" s="19"/>
      <c r="V428" s="19"/>
      <c r="W428" s="19"/>
      <c r="X428" s="19"/>
      <c r="Y428" s="19"/>
      <c r="Z428" s="19"/>
    </row>
    <row r="429" spans="2:26" ht="12" customHeight="1">
      <c r="B429" s="19"/>
      <c r="C429" s="19"/>
      <c r="D429" s="19"/>
      <c r="E429" s="19"/>
      <c r="F429" s="19"/>
      <c r="G429" s="19"/>
      <c r="H429" s="19"/>
      <c r="I429" s="19"/>
      <c r="J429" s="19"/>
      <c r="K429" s="19"/>
      <c r="L429" s="19"/>
      <c r="M429" s="19"/>
      <c r="N429" s="19"/>
      <c r="O429" s="19"/>
      <c r="P429" s="19"/>
      <c r="Q429" s="19"/>
      <c r="R429" s="19"/>
      <c r="S429" s="19"/>
      <c r="T429" s="19"/>
      <c r="U429" s="19"/>
      <c r="V429" s="19"/>
      <c r="W429" s="19"/>
      <c r="X429" s="19"/>
      <c r="Y429" s="19"/>
      <c r="Z429" s="19"/>
    </row>
    <row r="430" spans="2:26" ht="12" customHeight="1">
      <c r="B430" s="19"/>
      <c r="C430" s="19"/>
      <c r="D430" s="19"/>
      <c r="E430" s="19"/>
      <c r="F430" s="19"/>
      <c r="G430" s="19"/>
      <c r="H430" s="19"/>
      <c r="I430" s="19"/>
      <c r="J430" s="19"/>
      <c r="K430" s="19"/>
      <c r="L430" s="19"/>
      <c r="M430" s="19"/>
      <c r="N430" s="19"/>
      <c r="O430" s="19"/>
      <c r="P430" s="19"/>
      <c r="Q430" s="19"/>
      <c r="R430" s="19"/>
      <c r="S430" s="19"/>
      <c r="T430" s="19"/>
      <c r="U430" s="19"/>
      <c r="V430" s="19"/>
      <c r="W430" s="19"/>
      <c r="X430" s="19"/>
      <c r="Y430" s="19"/>
      <c r="Z430" s="19"/>
    </row>
    <row r="431" spans="2:26" ht="12" customHeight="1">
      <c r="B431" s="19"/>
      <c r="C431" s="19"/>
      <c r="D431" s="19"/>
      <c r="E431" s="19"/>
      <c r="F431" s="19"/>
      <c r="G431" s="19"/>
      <c r="H431" s="19"/>
      <c r="I431" s="19"/>
      <c r="J431" s="19"/>
      <c r="K431" s="19"/>
      <c r="L431" s="19"/>
      <c r="M431" s="19"/>
      <c r="N431" s="19"/>
      <c r="O431" s="19"/>
      <c r="P431" s="19"/>
      <c r="Q431" s="19"/>
      <c r="R431" s="19"/>
      <c r="S431" s="19"/>
      <c r="T431" s="19"/>
      <c r="U431" s="19"/>
      <c r="V431" s="19"/>
      <c r="W431" s="19"/>
      <c r="X431" s="19"/>
      <c r="Y431" s="19"/>
      <c r="Z431" s="19"/>
    </row>
    <row r="432" spans="2:26" ht="12" customHeight="1">
      <c r="B432" s="19"/>
      <c r="C432" s="19"/>
      <c r="D432" s="19"/>
      <c r="E432" s="19"/>
      <c r="F432" s="19"/>
      <c r="G432" s="19"/>
      <c r="H432" s="19"/>
      <c r="I432" s="19"/>
      <c r="J432" s="19"/>
      <c r="K432" s="19"/>
      <c r="L432" s="19"/>
      <c r="M432" s="19"/>
      <c r="N432" s="19"/>
      <c r="O432" s="19"/>
      <c r="P432" s="19"/>
      <c r="Q432" s="19"/>
      <c r="R432" s="19"/>
      <c r="S432" s="19"/>
      <c r="T432" s="19"/>
      <c r="U432" s="19"/>
      <c r="V432" s="19"/>
      <c r="W432" s="19"/>
      <c r="X432" s="19"/>
      <c r="Y432" s="19"/>
      <c r="Z432" s="19"/>
    </row>
    <row r="433" spans="2:26" ht="12" customHeight="1">
      <c r="B433" s="19"/>
      <c r="C433" s="19"/>
      <c r="D433" s="19"/>
      <c r="E433" s="19"/>
      <c r="F433" s="19"/>
      <c r="G433" s="19"/>
      <c r="H433" s="19"/>
      <c r="I433" s="19"/>
      <c r="J433" s="19"/>
      <c r="K433" s="19"/>
      <c r="L433" s="19"/>
      <c r="M433" s="19"/>
      <c r="N433" s="19"/>
      <c r="O433" s="19"/>
      <c r="P433" s="19"/>
      <c r="Q433" s="19"/>
      <c r="R433" s="19"/>
      <c r="S433" s="19"/>
      <c r="T433" s="19"/>
      <c r="U433" s="19"/>
      <c r="V433" s="19"/>
      <c r="W433" s="19"/>
      <c r="X433" s="19"/>
      <c r="Y433" s="19"/>
      <c r="Z433" s="19"/>
    </row>
    <row r="434" spans="2:26" ht="12" customHeight="1">
      <c r="B434" s="19"/>
      <c r="C434" s="19"/>
      <c r="D434" s="19"/>
      <c r="E434" s="19"/>
      <c r="F434" s="19"/>
      <c r="G434" s="19"/>
      <c r="H434" s="19"/>
      <c r="I434" s="19"/>
      <c r="J434" s="19"/>
      <c r="K434" s="19"/>
      <c r="L434" s="19"/>
      <c r="M434" s="19"/>
      <c r="N434" s="19"/>
      <c r="O434" s="19"/>
      <c r="P434" s="19"/>
      <c r="Q434" s="19"/>
      <c r="R434" s="19"/>
      <c r="S434" s="19"/>
      <c r="T434" s="19"/>
      <c r="U434" s="19"/>
      <c r="V434" s="19"/>
      <c r="W434" s="19"/>
      <c r="X434" s="19"/>
      <c r="Y434" s="19"/>
      <c r="Z434" s="19"/>
    </row>
    <row r="435" spans="2:26" ht="12" customHeight="1">
      <c r="B435" s="19"/>
      <c r="C435" s="19"/>
      <c r="D435" s="19"/>
      <c r="E435" s="19"/>
      <c r="F435" s="19"/>
      <c r="G435" s="19"/>
      <c r="H435" s="19"/>
      <c r="I435" s="19"/>
      <c r="J435" s="19"/>
      <c r="K435" s="19"/>
      <c r="L435" s="19"/>
      <c r="M435" s="19"/>
      <c r="N435" s="19"/>
      <c r="O435" s="19"/>
      <c r="P435" s="19"/>
      <c r="Q435" s="19"/>
      <c r="R435" s="19"/>
      <c r="S435" s="19"/>
      <c r="T435" s="19"/>
      <c r="U435" s="19"/>
      <c r="V435" s="19"/>
      <c r="W435" s="19"/>
      <c r="X435" s="19"/>
      <c r="Y435" s="19"/>
      <c r="Z435" s="19"/>
    </row>
    <row r="436" spans="2:26" ht="12" customHeight="1">
      <c r="B436" s="19"/>
      <c r="C436" s="19"/>
      <c r="D436" s="19"/>
      <c r="E436" s="19"/>
      <c r="F436" s="19"/>
      <c r="G436" s="19"/>
      <c r="H436" s="19"/>
      <c r="I436" s="19"/>
      <c r="J436" s="19"/>
      <c r="K436" s="19"/>
      <c r="L436" s="19"/>
      <c r="M436" s="19"/>
      <c r="N436" s="19"/>
      <c r="O436" s="19"/>
      <c r="P436" s="19"/>
      <c r="Q436" s="19"/>
      <c r="R436" s="19"/>
      <c r="S436" s="19"/>
      <c r="T436" s="19"/>
      <c r="U436" s="19"/>
      <c r="V436" s="19"/>
      <c r="W436" s="19"/>
      <c r="X436" s="19"/>
      <c r="Y436" s="19"/>
      <c r="Z436" s="19"/>
    </row>
    <row r="437" spans="2:26" ht="12" customHeight="1">
      <c r="B437" s="19"/>
      <c r="C437" s="19"/>
      <c r="D437" s="19"/>
      <c r="E437" s="19"/>
      <c r="F437" s="19"/>
      <c r="G437" s="19"/>
      <c r="H437" s="19"/>
      <c r="I437" s="19"/>
      <c r="J437" s="19"/>
      <c r="K437" s="19"/>
      <c r="L437" s="19"/>
      <c r="M437" s="19"/>
      <c r="N437" s="19"/>
      <c r="O437" s="19"/>
      <c r="P437" s="19"/>
      <c r="Q437" s="19"/>
      <c r="R437" s="19"/>
      <c r="S437" s="19"/>
      <c r="T437" s="19"/>
      <c r="U437" s="19"/>
      <c r="V437" s="19"/>
      <c r="W437" s="19"/>
      <c r="X437" s="19"/>
      <c r="Y437" s="19"/>
      <c r="Z437" s="19"/>
    </row>
    <row r="438" spans="2:26" ht="12" customHeight="1">
      <c r="B438" s="19"/>
      <c r="C438" s="19"/>
      <c r="D438" s="19"/>
      <c r="E438" s="19"/>
      <c r="F438" s="19"/>
      <c r="G438" s="19"/>
      <c r="H438" s="19"/>
      <c r="I438" s="19"/>
      <c r="J438" s="19"/>
      <c r="K438" s="19"/>
      <c r="L438" s="19"/>
      <c r="M438" s="19"/>
      <c r="N438" s="19"/>
      <c r="O438" s="19"/>
      <c r="P438" s="19"/>
      <c r="Q438" s="19"/>
      <c r="R438" s="19"/>
      <c r="S438" s="19"/>
      <c r="T438" s="19"/>
      <c r="U438" s="19"/>
      <c r="V438" s="19"/>
      <c r="W438" s="19"/>
      <c r="X438" s="19"/>
      <c r="Y438" s="19"/>
      <c r="Z438" s="19"/>
    </row>
    <row r="439" spans="2:26" ht="12" customHeight="1">
      <c r="B439" s="19"/>
      <c r="C439" s="19"/>
      <c r="D439" s="19"/>
      <c r="E439" s="19"/>
      <c r="F439" s="19"/>
      <c r="G439" s="19"/>
      <c r="H439" s="19"/>
      <c r="I439" s="19"/>
      <c r="J439" s="19"/>
      <c r="K439" s="19"/>
      <c r="L439" s="19"/>
      <c r="M439" s="19"/>
      <c r="N439" s="19"/>
      <c r="O439" s="19"/>
      <c r="P439" s="19"/>
      <c r="Q439" s="19"/>
      <c r="R439" s="19"/>
      <c r="S439" s="19"/>
      <c r="T439" s="19"/>
      <c r="U439" s="19"/>
      <c r="V439" s="19"/>
      <c r="W439" s="19"/>
      <c r="X439" s="19"/>
      <c r="Y439" s="19"/>
      <c r="Z439" s="19"/>
    </row>
    <row r="440" spans="2:26" ht="12" customHeight="1">
      <c r="B440" s="19"/>
      <c r="C440" s="19"/>
      <c r="D440" s="19"/>
      <c r="E440" s="19"/>
      <c r="F440" s="19"/>
      <c r="G440" s="19"/>
      <c r="H440" s="19"/>
      <c r="I440" s="19"/>
      <c r="J440" s="19"/>
      <c r="K440" s="19"/>
      <c r="L440" s="19"/>
      <c r="M440" s="19"/>
      <c r="N440" s="19"/>
      <c r="O440" s="19"/>
      <c r="P440" s="19"/>
      <c r="Q440" s="19"/>
      <c r="R440" s="19"/>
      <c r="S440" s="19"/>
      <c r="T440" s="19"/>
      <c r="U440" s="19"/>
      <c r="V440" s="19"/>
      <c r="W440" s="19"/>
      <c r="X440" s="19"/>
      <c r="Y440" s="19"/>
      <c r="Z440" s="19"/>
    </row>
    <row r="441" spans="2:26" ht="12" customHeight="1">
      <c r="B441" s="19"/>
      <c r="C441" s="19"/>
      <c r="D441" s="19"/>
      <c r="E441" s="19"/>
      <c r="F441" s="19"/>
      <c r="G441" s="19"/>
      <c r="H441" s="19"/>
      <c r="I441" s="19"/>
      <c r="J441" s="19"/>
      <c r="K441" s="19"/>
      <c r="L441" s="19"/>
      <c r="M441" s="19"/>
      <c r="N441" s="19"/>
      <c r="O441" s="19"/>
      <c r="P441" s="19"/>
      <c r="Q441" s="19"/>
      <c r="R441" s="19"/>
      <c r="S441" s="19"/>
      <c r="T441" s="19"/>
      <c r="U441" s="19"/>
      <c r="V441" s="19"/>
      <c r="W441" s="19"/>
      <c r="X441" s="19"/>
      <c r="Y441" s="19"/>
      <c r="Z441" s="19"/>
    </row>
    <row r="442" spans="2:26" ht="12" customHeight="1">
      <c r="B442" s="19"/>
      <c r="C442" s="19"/>
      <c r="D442" s="19"/>
      <c r="E442" s="19"/>
      <c r="F442" s="19"/>
      <c r="G442" s="19"/>
      <c r="H442" s="19"/>
      <c r="I442" s="19"/>
      <c r="J442" s="19"/>
      <c r="K442" s="19"/>
      <c r="L442" s="19"/>
      <c r="M442" s="19"/>
      <c r="N442" s="19"/>
      <c r="O442" s="19"/>
      <c r="P442" s="19"/>
      <c r="Q442" s="19"/>
      <c r="R442" s="19"/>
      <c r="S442" s="19"/>
      <c r="T442" s="19"/>
      <c r="U442" s="19"/>
      <c r="V442" s="19"/>
      <c r="W442" s="19"/>
      <c r="X442" s="19"/>
      <c r="Y442" s="19"/>
      <c r="Z442" s="19"/>
    </row>
    <row r="443" spans="2:26" ht="12" customHeight="1">
      <c r="B443" s="19"/>
      <c r="C443" s="19"/>
      <c r="D443" s="19"/>
      <c r="E443" s="19"/>
      <c r="F443" s="19"/>
      <c r="G443" s="19"/>
      <c r="H443" s="19"/>
      <c r="I443" s="19"/>
      <c r="J443" s="19"/>
      <c r="K443" s="19"/>
      <c r="L443" s="19"/>
      <c r="M443" s="19"/>
      <c r="N443" s="19"/>
      <c r="O443" s="19"/>
      <c r="P443" s="19"/>
      <c r="Q443" s="19"/>
      <c r="R443" s="19"/>
      <c r="S443" s="19"/>
      <c r="T443" s="19"/>
      <c r="U443" s="19"/>
      <c r="V443" s="19"/>
      <c r="W443" s="19"/>
      <c r="X443" s="19"/>
      <c r="Y443" s="19"/>
      <c r="Z443" s="19"/>
    </row>
    <row r="444" spans="2:26" ht="12" customHeight="1">
      <c r="B444" s="19"/>
      <c r="C444" s="19"/>
      <c r="D444" s="19"/>
      <c r="E444" s="19"/>
      <c r="F444" s="19"/>
      <c r="G444" s="19"/>
      <c r="H444" s="19"/>
      <c r="I444" s="19"/>
      <c r="J444" s="19"/>
      <c r="K444" s="19"/>
      <c r="L444" s="19"/>
      <c r="M444" s="19"/>
      <c r="N444" s="19"/>
      <c r="O444" s="19"/>
      <c r="P444" s="19"/>
      <c r="Q444" s="19"/>
      <c r="R444" s="19"/>
      <c r="S444" s="19"/>
      <c r="T444" s="19"/>
      <c r="U444" s="19"/>
      <c r="V444" s="19"/>
      <c r="W444" s="19"/>
      <c r="X444" s="19"/>
      <c r="Y444" s="19"/>
      <c r="Z444" s="19"/>
    </row>
    <row r="445" spans="2:26" ht="12" customHeight="1">
      <c r="B445" s="19"/>
      <c r="C445" s="19"/>
      <c r="D445" s="19"/>
      <c r="E445" s="19"/>
      <c r="F445" s="19"/>
      <c r="G445" s="19"/>
      <c r="H445" s="19"/>
      <c r="I445" s="19"/>
      <c r="J445" s="19"/>
      <c r="K445" s="19"/>
      <c r="L445" s="19"/>
      <c r="M445" s="19"/>
      <c r="N445" s="19"/>
      <c r="O445" s="19"/>
      <c r="P445" s="19"/>
      <c r="Q445" s="19"/>
      <c r="R445" s="19"/>
      <c r="S445" s="19"/>
      <c r="T445" s="19"/>
      <c r="U445" s="19"/>
      <c r="V445" s="19"/>
      <c r="W445" s="19"/>
      <c r="X445" s="19"/>
      <c r="Y445" s="19"/>
      <c r="Z445" s="19"/>
    </row>
    <row r="446" spans="2:26" ht="12" customHeight="1">
      <c r="B446" s="19"/>
      <c r="C446" s="19"/>
      <c r="D446" s="19"/>
      <c r="E446" s="19"/>
      <c r="F446" s="19"/>
      <c r="G446" s="19"/>
      <c r="H446" s="19"/>
      <c r="I446" s="19"/>
      <c r="J446" s="19"/>
      <c r="K446" s="19"/>
      <c r="L446" s="19"/>
      <c r="M446" s="19"/>
      <c r="N446" s="19"/>
      <c r="O446" s="19"/>
      <c r="P446" s="19"/>
      <c r="Q446" s="19"/>
      <c r="R446" s="19"/>
      <c r="S446" s="19"/>
      <c r="T446" s="19"/>
      <c r="U446" s="19"/>
      <c r="V446" s="19"/>
      <c r="W446" s="19"/>
      <c r="X446" s="19"/>
      <c r="Y446" s="19"/>
      <c r="Z446" s="19"/>
    </row>
    <row r="447" spans="2:26" ht="12" customHeight="1">
      <c r="B447" s="19"/>
      <c r="C447" s="19"/>
      <c r="D447" s="19"/>
      <c r="E447" s="19"/>
      <c r="F447" s="19"/>
      <c r="G447" s="19"/>
      <c r="H447" s="19"/>
      <c r="I447" s="19"/>
      <c r="J447" s="19"/>
      <c r="K447" s="19"/>
      <c r="L447" s="19"/>
      <c r="M447" s="19"/>
      <c r="N447" s="19"/>
      <c r="O447" s="19"/>
      <c r="P447" s="19"/>
      <c r="Q447" s="19"/>
      <c r="R447" s="19"/>
      <c r="S447" s="19"/>
      <c r="T447" s="19"/>
      <c r="U447" s="19"/>
      <c r="V447" s="19"/>
      <c r="W447" s="19"/>
      <c r="X447" s="19"/>
      <c r="Y447" s="19"/>
      <c r="Z447" s="19"/>
    </row>
    <row r="448" spans="2:26" ht="12" customHeight="1">
      <c r="B448" s="19"/>
      <c r="C448" s="19"/>
      <c r="D448" s="19"/>
      <c r="E448" s="19"/>
      <c r="F448" s="19"/>
      <c r="G448" s="19"/>
      <c r="H448" s="19"/>
      <c r="I448" s="19"/>
      <c r="J448" s="19"/>
      <c r="K448" s="19"/>
      <c r="L448" s="19"/>
      <c r="M448" s="19"/>
      <c r="N448" s="19"/>
      <c r="O448" s="19"/>
      <c r="P448" s="19"/>
      <c r="Q448" s="19"/>
      <c r="R448" s="19"/>
      <c r="S448" s="19"/>
      <c r="T448" s="19"/>
      <c r="U448" s="19"/>
      <c r="V448" s="19"/>
      <c r="W448" s="19"/>
      <c r="X448" s="19"/>
      <c r="Y448" s="19"/>
      <c r="Z448" s="19"/>
    </row>
    <row r="449" spans="2:26" ht="12" customHeight="1">
      <c r="B449" s="19"/>
      <c r="C449" s="19"/>
      <c r="D449" s="19"/>
      <c r="E449" s="19"/>
      <c r="F449" s="19"/>
      <c r="G449" s="19"/>
      <c r="H449" s="19"/>
      <c r="I449" s="19"/>
      <c r="J449" s="19"/>
      <c r="K449" s="19"/>
      <c r="L449" s="19"/>
      <c r="M449" s="19"/>
      <c r="N449" s="19"/>
      <c r="O449" s="19"/>
      <c r="P449" s="19"/>
      <c r="Q449" s="19"/>
      <c r="R449" s="19"/>
      <c r="S449" s="19"/>
      <c r="T449" s="19"/>
      <c r="U449" s="19"/>
      <c r="V449" s="19"/>
      <c r="W449" s="19"/>
      <c r="X449" s="19"/>
      <c r="Y449" s="19"/>
      <c r="Z449" s="19"/>
    </row>
    <row r="450" spans="2:26" ht="12" customHeight="1">
      <c r="B450" s="19"/>
      <c r="C450" s="19"/>
      <c r="D450" s="19"/>
      <c r="E450" s="19"/>
      <c r="F450" s="19"/>
      <c r="G450" s="19"/>
      <c r="H450" s="19"/>
      <c r="I450" s="19"/>
      <c r="J450" s="19"/>
      <c r="K450" s="19"/>
      <c r="L450" s="19"/>
      <c r="M450" s="19"/>
      <c r="N450" s="19"/>
      <c r="O450" s="19"/>
      <c r="P450" s="19"/>
      <c r="Q450" s="19"/>
      <c r="R450" s="19"/>
      <c r="S450" s="19"/>
      <c r="T450" s="19"/>
      <c r="U450" s="19"/>
      <c r="V450" s="19"/>
      <c r="W450" s="19"/>
      <c r="X450" s="19"/>
      <c r="Y450" s="19"/>
      <c r="Z450" s="19"/>
    </row>
    <row r="451" spans="2:26" ht="12" customHeight="1">
      <c r="B451" s="19"/>
      <c r="C451" s="19"/>
      <c r="D451" s="19"/>
      <c r="E451" s="19"/>
      <c r="F451" s="19"/>
      <c r="G451" s="19"/>
      <c r="H451" s="19"/>
      <c r="I451" s="19"/>
      <c r="J451" s="19"/>
      <c r="K451" s="19"/>
      <c r="L451" s="19"/>
      <c r="M451" s="19"/>
      <c r="N451" s="19"/>
      <c r="O451" s="19"/>
      <c r="P451" s="19"/>
      <c r="Q451" s="19"/>
      <c r="R451" s="19"/>
      <c r="S451" s="19"/>
      <c r="T451" s="19"/>
      <c r="U451" s="19"/>
      <c r="V451" s="19"/>
      <c r="W451" s="19"/>
      <c r="X451" s="19"/>
      <c r="Y451" s="19"/>
      <c r="Z451" s="19"/>
    </row>
    <row r="452" spans="2:26" ht="12" customHeight="1">
      <c r="B452" s="19"/>
      <c r="C452" s="19"/>
      <c r="D452" s="19"/>
      <c r="E452" s="19"/>
      <c r="F452" s="19"/>
      <c r="G452" s="19"/>
      <c r="H452" s="19"/>
      <c r="I452" s="19"/>
      <c r="J452" s="19"/>
      <c r="K452" s="19"/>
      <c r="L452" s="19"/>
      <c r="M452" s="19"/>
      <c r="N452" s="19"/>
      <c r="O452" s="19"/>
      <c r="P452" s="19"/>
      <c r="Q452" s="19"/>
      <c r="R452" s="19"/>
      <c r="S452" s="19"/>
      <c r="T452" s="19"/>
      <c r="U452" s="19"/>
      <c r="V452" s="19"/>
      <c r="W452" s="19"/>
      <c r="X452" s="19"/>
      <c r="Y452" s="19"/>
      <c r="Z452" s="19"/>
    </row>
    <row r="453" spans="2:26" ht="12" customHeight="1">
      <c r="B453" s="19"/>
      <c r="C453" s="19"/>
      <c r="D453" s="19"/>
      <c r="E453" s="19"/>
      <c r="F453" s="19"/>
      <c r="G453" s="19"/>
      <c r="H453" s="19"/>
      <c r="I453" s="19"/>
      <c r="J453" s="19"/>
      <c r="K453" s="19"/>
      <c r="L453" s="19"/>
      <c r="M453" s="19"/>
      <c r="N453" s="19"/>
      <c r="O453" s="19"/>
      <c r="P453" s="19"/>
      <c r="Q453" s="19"/>
      <c r="R453" s="19"/>
      <c r="S453" s="19"/>
      <c r="T453" s="19"/>
      <c r="U453" s="19"/>
      <c r="V453" s="19"/>
      <c r="W453" s="19"/>
      <c r="X453" s="19"/>
      <c r="Y453" s="19"/>
      <c r="Z453" s="19"/>
    </row>
    <row r="454" spans="2:26" ht="12" customHeight="1">
      <c r="B454" s="19"/>
      <c r="C454" s="19"/>
      <c r="D454" s="19"/>
      <c r="E454" s="19"/>
      <c r="F454" s="19"/>
      <c r="G454" s="19"/>
      <c r="H454" s="19"/>
      <c r="I454" s="19"/>
      <c r="J454" s="19"/>
      <c r="K454" s="19"/>
      <c r="L454" s="19"/>
      <c r="M454" s="19"/>
      <c r="N454" s="19"/>
      <c r="O454" s="19"/>
      <c r="P454" s="19"/>
      <c r="Q454" s="19"/>
      <c r="R454" s="19"/>
      <c r="S454" s="19"/>
      <c r="T454" s="19"/>
      <c r="U454" s="19"/>
      <c r="V454" s="19"/>
      <c r="W454" s="19"/>
      <c r="X454" s="19"/>
      <c r="Y454" s="19"/>
      <c r="Z454" s="19"/>
    </row>
    <row r="455" spans="2:26" ht="12" customHeight="1">
      <c r="B455" s="19"/>
      <c r="C455" s="19"/>
      <c r="D455" s="19"/>
      <c r="E455" s="19"/>
      <c r="F455" s="19"/>
      <c r="G455" s="19"/>
      <c r="H455" s="19"/>
      <c r="I455" s="19"/>
      <c r="J455" s="19"/>
      <c r="K455" s="19"/>
      <c r="L455" s="19"/>
      <c r="M455" s="19"/>
      <c r="N455" s="19"/>
      <c r="O455" s="19"/>
      <c r="P455" s="19"/>
      <c r="Q455" s="19"/>
      <c r="R455" s="19"/>
      <c r="S455" s="19"/>
      <c r="T455" s="19"/>
      <c r="U455" s="19"/>
      <c r="V455" s="19"/>
      <c r="W455" s="19"/>
      <c r="X455" s="19"/>
      <c r="Y455" s="19"/>
      <c r="Z455" s="19"/>
    </row>
    <row r="456" spans="2:26" ht="12" customHeight="1">
      <c r="B456" s="19"/>
      <c r="C456" s="19"/>
      <c r="D456" s="19"/>
      <c r="E456" s="19"/>
      <c r="F456" s="19"/>
      <c r="G456" s="19"/>
      <c r="H456" s="19"/>
      <c r="I456" s="19"/>
      <c r="J456" s="19"/>
      <c r="K456" s="19"/>
      <c r="L456" s="19"/>
      <c r="M456" s="19"/>
      <c r="N456" s="19"/>
      <c r="O456" s="19"/>
      <c r="P456" s="19"/>
      <c r="Q456" s="19"/>
      <c r="R456" s="19"/>
      <c r="S456" s="19"/>
      <c r="T456" s="19"/>
      <c r="U456" s="19"/>
      <c r="V456" s="19"/>
      <c r="W456" s="19"/>
      <c r="X456" s="19"/>
      <c r="Y456" s="19"/>
      <c r="Z456" s="19"/>
    </row>
    <row r="457" spans="2:26" ht="12" customHeight="1">
      <c r="B457" s="19"/>
      <c r="C457" s="19"/>
      <c r="D457" s="19"/>
      <c r="E457" s="19"/>
      <c r="F457" s="19"/>
      <c r="G457" s="19"/>
      <c r="H457" s="19"/>
      <c r="I457" s="19"/>
      <c r="J457" s="19"/>
      <c r="K457" s="19"/>
      <c r="L457" s="19"/>
      <c r="M457" s="19"/>
      <c r="N457" s="19"/>
      <c r="O457" s="19"/>
      <c r="P457" s="19"/>
      <c r="Q457" s="19"/>
      <c r="R457" s="19"/>
      <c r="S457" s="19"/>
      <c r="T457" s="19"/>
      <c r="U457" s="19"/>
      <c r="V457" s="19"/>
      <c r="W457" s="19"/>
      <c r="X457" s="19"/>
      <c r="Y457" s="19"/>
      <c r="Z457" s="19"/>
    </row>
    <row r="458" spans="2:26" ht="12" customHeight="1">
      <c r="B458" s="19"/>
      <c r="C458" s="19"/>
      <c r="D458" s="19"/>
      <c r="E458" s="19"/>
      <c r="F458" s="19"/>
      <c r="G458" s="19"/>
      <c r="H458" s="19"/>
      <c r="I458" s="19"/>
      <c r="J458" s="19"/>
      <c r="K458" s="19"/>
      <c r="L458" s="19"/>
      <c r="M458" s="19"/>
      <c r="N458" s="19"/>
      <c r="O458" s="19"/>
      <c r="P458" s="19"/>
      <c r="Q458" s="19"/>
      <c r="R458" s="19"/>
      <c r="S458" s="19"/>
      <c r="T458" s="19"/>
      <c r="U458" s="19"/>
      <c r="V458" s="19"/>
      <c r="W458" s="19"/>
      <c r="X458" s="19"/>
      <c r="Y458" s="19"/>
      <c r="Z458" s="19"/>
    </row>
    <row r="459" spans="2:26" ht="12" customHeight="1">
      <c r="B459" s="19"/>
      <c r="C459" s="19"/>
      <c r="D459" s="19"/>
      <c r="E459" s="19"/>
      <c r="F459" s="19"/>
      <c r="G459" s="19"/>
      <c r="H459" s="19"/>
      <c r="I459" s="19"/>
      <c r="J459" s="19"/>
      <c r="K459" s="19"/>
      <c r="L459" s="19"/>
      <c r="M459" s="19"/>
      <c r="N459" s="19"/>
      <c r="O459" s="19"/>
      <c r="P459" s="19"/>
      <c r="Q459" s="19"/>
      <c r="R459" s="19"/>
      <c r="S459" s="19"/>
      <c r="T459" s="19"/>
      <c r="U459" s="19"/>
      <c r="V459" s="19"/>
      <c r="W459" s="19"/>
      <c r="X459" s="19"/>
      <c r="Y459" s="19"/>
      <c r="Z459" s="19"/>
    </row>
    <row r="460" spans="2:26" ht="12" customHeight="1">
      <c r="B460" s="19"/>
      <c r="C460" s="19"/>
      <c r="D460" s="19"/>
      <c r="E460" s="19"/>
      <c r="F460" s="19"/>
      <c r="G460" s="19"/>
      <c r="H460" s="19"/>
      <c r="I460" s="19"/>
      <c r="J460" s="19"/>
      <c r="K460" s="19"/>
      <c r="L460" s="19"/>
      <c r="M460" s="19"/>
      <c r="N460" s="19"/>
      <c r="O460" s="19"/>
      <c r="P460" s="19"/>
      <c r="Q460" s="19"/>
      <c r="R460" s="19"/>
      <c r="S460" s="19"/>
      <c r="T460" s="19"/>
      <c r="U460" s="19"/>
      <c r="V460" s="19"/>
      <c r="W460" s="19"/>
      <c r="X460" s="19"/>
      <c r="Y460" s="19"/>
      <c r="Z460" s="19"/>
    </row>
    <row r="461" spans="2:26" ht="12" customHeight="1">
      <c r="B461" s="19"/>
      <c r="C461" s="19"/>
      <c r="D461" s="19"/>
      <c r="E461" s="19"/>
      <c r="F461" s="19"/>
      <c r="G461" s="19"/>
      <c r="H461" s="19"/>
      <c r="I461" s="19"/>
      <c r="J461" s="19"/>
      <c r="K461" s="19"/>
      <c r="L461" s="19"/>
      <c r="M461" s="19"/>
      <c r="N461" s="19"/>
      <c r="O461" s="19"/>
      <c r="P461" s="19"/>
      <c r="Q461" s="19"/>
      <c r="R461" s="19"/>
      <c r="S461" s="19"/>
      <c r="T461" s="19"/>
      <c r="U461" s="19"/>
      <c r="V461" s="19"/>
      <c r="W461" s="19"/>
      <c r="X461" s="19"/>
      <c r="Y461" s="19"/>
      <c r="Z461" s="19"/>
    </row>
    <row r="462" spans="2:26" ht="12" customHeight="1">
      <c r="B462" s="19"/>
      <c r="C462" s="19"/>
      <c r="D462" s="19"/>
      <c r="E462" s="19"/>
      <c r="F462" s="19"/>
      <c r="G462" s="19"/>
      <c r="H462" s="19"/>
      <c r="I462" s="19"/>
      <c r="J462" s="19"/>
      <c r="K462" s="19"/>
      <c r="L462" s="19"/>
      <c r="M462" s="19"/>
      <c r="N462" s="19"/>
      <c r="O462" s="19"/>
      <c r="P462" s="19"/>
      <c r="Q462" s="19"/>
      <c r="R462" s="19"/>
      <c r="S462" s="19"/>
      <c r="T462" s="19"/>
      <c r="U462" s="19"/>
      <c r="V462" s="19"/>
      <c r="W462" s="19"/>
      <c r="X462" s="19"/>
      <c r="Y462" s="19"/>
      <c r="Z462" s="19"/>
    </row>
    <row r="463" spans="2:26" ht="12" customHeight="1">
      <c r="B463" s="19"/>
      <c r="C463" s="19"/>
      <c r="D463" s="19"/>
      <c r="E463" s="19"/>
      <c r="F463" s="19"/>
      <c r="G463" s="19"/>
      <c r="H463" s="19"/>
      <c r="I463" s="19"/>
      <c r="J463" s="19"/>
      <c r="K463" s="19"/>
      <c r="L463" s="19"/>
      <c r="M463" s="19"/>
      <c r="N463" s="19"/>
      <c r="O463" s="19"/>
      <c r="P463" s="19"/>
      <c r="Q463" s="19"/>
      <c r="R463" s="19"/>
      <c r="S463" s="19"/>
      <c r="T463" s="19"/>
      <c r="U463" s="19"/>
      <c r="V463" s="19"/>
      <c r="W463" s="19"/>
      <c r="X463" s="19"/>
      <c r="Y463" s="19"/>
      <c r="Z463" s="19"/>
    </row>
    <row r="464" spans="2:26" ht="12" customHeight="1">
      <c r="B464" s="19"/>
      <c r="C464" s="19"/>
      <c r="D464" s="19"/>
      <c r="E464" s="19"/>
      <c r="F464" s="19"/>
      <c r="G464" s="19"/>
      <c r="H464" s="19"/>
      <c r="I464" s="19"/>
      <c r="J464" s="19"/>
      <c r="K464" s="19"/>
      <c r="L464" s="19"/>
      <c r="M464" s="19"/>
      <c r="N464" s="19"/>
      <c r="O464" s="19"/>
      <c r="P464" s="19"/>
      <c r="Q464" s="19"/>
      <c r="R464" s="19"/>
      <c r="S464" s="19"/>
      <c r="T464" s="19"/>
      <c r="U464" s="19"/>
      <c r="V464" s="19"/>
      <c r="W464" s="19"/>
      <c r="X464" s="19"/>
      <c r="Y464" s="19"/>
      <c r="Z464" s="19"/>
    </row>
    <row r="465" spans="2:26" ht="12" customHeight="1">
      <c r="B465" s="19"/>
      <c r="C465" s="19"/>
      <c r="D465" s="19"/>
      <c r="E465" s="19"/>
      <c r="F465" s="19"/>
      <c r="G465" s="19"/>
      <c r="H465" s="19"/>
      <c r="I465" s="19"/>
      <c r="J465" s="19"/>
      <c r="K465" s="19"/>
      <c r="L465" s="19"/>
      <c r="M465" s="19"/>
      <c r="N465" s="19"/>
      <c r="O465" s="19"/>
      <c r="P465" s="19"/>
      <c r="Q465" s="19"/>
      <c r="R465" s="19"/>
      <c r="S465" s="19"/>
      <c r="T465" s="19"/>
      <c r="U465" s="19"/>
      <c r="V465" s="19"/>
      <c r="W465" s="19"/>
      <c r="X465" s="19"/>
      <c r="Y465" s="19"/>
      <c r="Z465" s="19"/>
    </row>
    <row r="466" spans="2:26" ht="12" customHeight="1">
      <c r="B466" s="19"/>
      <c r="C466" s="19"/>
      <c r="D466" s="19"/>
      <c r="E466" s="19"/>
      <c r="F466" s="19"/>
      <c r="G466" s="19"/>
      <c r="H466" s="19"/>
      <c r="I466" s="19"/>
      <c r="J466" s="19"/>
      <c r="K466" s="19"/>
      <c r="L466" s="19"/>
      <c r="M466" s="19"/>
      <c r="N466" s="19"/>
      <c r="O466" s="19"/>
      <c r="P466" s="19"/>
      <c r="Q466" s="19"/>
      <c r="R466" s="19"/>
      <c r="S466" s="19"/>
      <c r="T466" s="19"/>
      <c r="U466" s="19"/>
      <c r="V466" s="19"/>
      <c r="W466" s="19"/>
      <c r="X466" s="19"/>
      <c r="Y466" s="19"/>
      <c r="Z466" s="19"/>
    </row>
    <row r="467" spans="2:26" ht="12" customHeight="1">
      <c r="B467" s="19"/>
      <c r="C467" s="19"/>
      <c r="D467" s="19"/>
      <c r="E467" s="19"/>
      <c r="F467" s="19"/>
      <c r="G467" s="19"/>
      <c r="H467" s="19"/>
      <c r="I467" s="19"/>
      <c r="J467" s="19"/>
      <c r="K467" s="19"/>
      <c r="L467" s="19"/>
      <c r="M467" s="19"/>
      <c r="N467" s="19"/>
      <c r="O467" s="19"/>
      <c r="P467" s="19"/>
      <c r="Q467" s="19"/>
      <c r="R467" s="19"/>
      <c r="S467" s="19"/>
      <c r="T467" s="19"/>
      <c r="U467" s="19"/>
      <c r="V467" s="19"/>
      <c r="W467" s="19"/>
      <c r="X467" s="19"/>
      <c r="Y467" s="19"/>
      <c r="Z467" s="19"/>
    </row>
    <row r="468" spans="2:26" ht="12" customHeight="1">
      <c r="B468" s="19"/>
      <c r="C468" s="19"/>
      <c r="D468" s="19"/>
      <c r="E468" s="19"/>
      <c r="F468" s="19"/>
      <c r="G468" s="19"/>
      <c r="H468" s="19"/>
      <c r="I468" s="19"/>
      <c r="J468" s="19"/>
      <c r="K468" s="19"/>
      <c r="L468" s="19"/>
      <c r="M468" s="19"/>
      <c r="N468" s="19"/>
      <c r="O468" s="19"/>
      <c r="P468" s="19"/>
      <c r="Q468" s="19"/>
      <c r="R468" s="19"/>
      <c r="S468" s="19"/>
      <c r="T468" s="19"/>
      <c r="U468" s="19"/>
      <c r="V468" s="19"/>
      <c r="W468" s="19"/>
      <c r="X468" s="19"/>
      <c r="Y468" s="19"/>
      <c r="Z468" s="19"/>
    </row>
    <row r="469" spans="2:26" ht="12" customHeight="1">
      <c r="B469" s="19"/>
      <c r="C469" s="19"/>
      <c r="D469" s="19"/>
      <c r="E469" s="19"/>
      <c r="F469" s="19"/>
      <c r="G469" s="19"/>
      <c r="H469" s="19"/>
      <c r="I469" s="19"/>
      <c r="J469" s="19"/>
      <c r="K469" s="19"/>
      <c r="L469" s="19"/>
      <c r="M469" s="19"/>
      <c r="N469" s="19"/>
      <c r="O469" s="19"/>
      <c r="P469" s="19"/>
      <c r="Q469" s="19"/>
      <c r="R469" s="19"/>
      <c r="S469" s="19"/>
      <c r="T469" s="19"/>
      <c r="U469" s="19"/>
      <c r="V469" s="19"/>
      <c r="W469" s="19"/>
      <c r="X469" s="19"/>
      <c r="Y469" s="19"/>
      <c r="Z469" s="19"/>
    </row>
    <row r="470" spans="2:26" ht="12" customHeight="1">
      <c r="B470" s="19"/>
      <c r="C470" s="19"/>
      <c r="D470" s="19"/>
      <c r="E470" s="19"/>
      <c r="F470" s="19"/>
      <c r="G470" s="19"/>
      <c r="H470" s="19"/>
      <c r="I470" s="19"/>
      <c r="J470" s="19"/>
      <c r="K470" s="19"/>
      <c r="L470" s="19"/>
      <c r="M470" s="19"/>
      <c r="N470" s="19"/>
      <c r="O470" s="19"/>
      <c r="P470" s="19"/>
      <c r="Q470" s="19"/>
      <c r="R470" s="19"/>
      <c r="S470" s="19"/>
      <c r="T470" s="19"/>
      <c r="U470" s="19"/>
      <c r="V470" s="19"/>
      <c r="W470" s="19"/>
      <c r="X470" s="19"/>
      <c r="Y470" s="19"/>
      <c r="Z470" s="19"/>
    </row>
    <row r="471" spans="2:26" ht="12" customHeight="1">
      <c r="B471" s="19"/>
      <c r="C471" s="19"/>
      <c r="D471" s="19"/>
      <c r="E471" s="19"/>
      <c r="F471" s="19"/>
      <c r="G471" s="19"/>
      <c r="H471" s="19"/>
      <c r="I471" s="19"/>
      <c r="J471" s="19"/>
      <c r="K471" s="19"/>
      <c r="L471" s="19"/>
      <c r="M471" s="19"/>
      <c r="N471" s="19"/>
      <c r="O471" s="19"/>
      <c r="P471" s="19"/>
      <c r="Q471" s="19"/>
      <c r="R471" s="19"/>
      <c r="S471" s="19"/>
      <c r="T471" s="19"/>
      <c r="U471" s="19"/>
      <c r="V471" s="19"/>
      <c r="W471" s="19"/>
      <c r="X471" s="19"/>
      <c r="Y471" s="19"/>
      <c r="Z471" s="19"/>
    </row>
    <row r="472" spans="2:26" ht="12" customHeight="1">
      <c r="B472" s="19"/>
      <c r="C472" s="19"/>
      <c r="D472" s="19"/>
      <c r="E472" s="19"/>
      <c r="F472" s="19"/>
      <c r="G472" s="19"/>
      <c r="H472" s="19"/>
      <c r="I472" s="19"/>
      <c r="J472" s="19"/>
      <c r="K472" s="19"/>
      <c r="L472" s="19"/>
      <c r="M472" s="19"/>
      <c r="N472" s="19"/>
      <c r="O472" s="19"/>
      <c r="P472" s="19"/>
      <c r="Q472" s="19"/>
      <c r="R472" s="19"/>
      <c r="S472" s="19"/>
      <c r="T472" s="19"/>
      <c r="U472" s="19"/>
      <c r="V472" s="19"/>
      <c r="W472" s="19"/>
      <c r="X472" s="19"/>
      <c r="Y472" s="19"/>
      <c r="Z472" s="19"/>
    </row>
    <row r="473" spans="2:26" ht="12" customHeight="1">
      <c r="B473" s="19"/>
      <c r="C473" s="19"/>
      <c r="D473" s="19"/>
      <c r="E473" s="19"/>
      <c r="F473" s="19"/>
      <c r="G473" s="19"/>
      <c r="H473" s="19"/>
      <c r="I473" s="19"/>
      <c r="J473" s="19"/>
      <c r="K473" s="19"/>
      <c r="L473" s="19"/>
      <c r="M473" s="19"/>
      <c r="N473" s="19"/>
      <c r="O473" s="19"/>
      <c r="P473" s="19"/>
      <c r="Q473" s="19"/>
      <c r="R473" s="19"/>
      <c r="S473" s="19"/>
      <c r="T473" s="19"/>
      <c r="U473" s="19"/>
      <c r="V473" s="19"/>
      <c r="W473" s="19"/>
      <c r="X473" s="19"/>
      <c r="Y473" s="19"/>
      <c r="Z473" s="19"/>
    </row>
    <row r="474" spans="2:26" ht="12" customHeight="1">
      <c r="B474" s="19"/>
      <c r="C474" s="19"/>
      <c r="D474" s="19"/>
      <c r="E474" s="19"/>
      <c r="F474" s="19"/>
      <c r="G474" s="19"/>
      <c r="H474" s="19"/>
      <c r="I474" s="19"/>
      <c r="J474" s="19"/>
      <c r="K474" s="19"/>
      <c r="L474" s="19"/>
      <c r="M474" s="19"/>
      <c r="N474" s="19"/>
      <c r="O474" s="19"/>
      <c r="P474" s="19"/>
      <c r="Q474" s="19"/>
      <c r="R474" s="19"/>
      <c r="S474" s="19"/>
      <c r="T474" s="19"/>
      <c r="U474" s="19"/>
      <c r="V474" s="19"/>
      <c r="W474" s="19"/>
      <c r="X474" s="19"/>
      <c r="Y474" s="19"/>
      <c r="Z474" s="19"/>
    </row>
    <row r="475" spans="2:26" ht="12" customHeight="1">
      <c r="B475" s="19"/>
      <c r="C475" s="19"/>
      <c r="D475" s="19"/>
      <c r="E475" s="19"/>
      <c r="F475" s="19"/>
      <c r="G475" s="19"/>
      <c r="H475" s="19"/>
      <c r="I475" s="19"/>
      <c r="J475" s="19"/>
      <c r="K475" s="19"/>
      <c r="L475" s="19"/>
      <c r="M475" s="19"/>
      <c r="N475" s="19"/>
      <c r="O475" s="19"/>
      <c r="P475" s="19"/>
      <c r="Q475" s="19"/>
      <c r="R475" s="19"/>
      <c r="S475" s="19"/>
      <c r="T475" s="19"/>
      <c r="U475" s="19"/>
      <c r="V475" s="19"/>
      <c r="W475" s="19"/>
      <c r="X475" s="19"/>
      <c r="Y475" s="19"/>
      <c r="Z475" s="19"/>
    </row>
    <row r="476" spans="2:26" ht="12" customHeight="1">
      <c r="B476" s="19"/>
      <c r="C476" s="19"/>
      <c r="D476" s="19"/>
      <c r="E476" s="19"/>
      <c r="F476" s="19"/>
      <c r="G476" s="19"/>
      <c r="H476" s="19"/>
      <c r="I476" s="19"/>
      <c r="J476" s="19"/>
      <c r="K476" s="19"/>
      <c r="L476" s="19"/>
      <c r="M476" s="19"/>
      <c r="N476" s="19"/>
      <c r="O476" s="19"/>
      <c r="P476" s="19"/>
      <c r="Q476" s="19"/>
      <c r="R476" s="19"/>
      <c r="S476" s="19"/>
      <c r="T476" s="19"/>
      <c r="U476" s="19"/>
      <c r="V476" s="19"/>
      <c r="W476" s="19"/>
      <c r="X476" s="19"/>
      <c r="Y476" s="19"/>
      <c r="Z476" s="19"/>
    </row>
    <row r="477" spans="2:26" ht="12" customHeight="1">
      <c r="B477" s="19"/>
      <c r="C477" s="19"/>
      <c r="D477" s="19"/>
      <c r="E477" s="19"/>
      <c r="F477" s="19"/>
      <c r="G477" s="19"/>
      <c r="H477" s="19"/>
      <c r="I477" s="19"/>
      <c r="J477" s="19"/>
      <c r="K477" s="19"/>
      <c r="L477" s="19"/>
      <c r="M477" s="19"/>
      <c r="N477" s="19"/>
      <c r="O477" s="19"/>
      <c r="P477" s="19"/>
      <c r="Q477" s="19"/>
      <c r="R477" s="19"/>
      <c r="S477" s="19"/>
      <c r="T477" s="19"/>
      <c r="U477" s="19"/>
      <c r="V477" s="19"/>
      <c r="W477" s="19"/>
      <c r="X477" s="19"/>
      <c r="Y477" s="19"/>
      <c r="Z477" s="19"/>
    </row>
    <row r="478" spans="2:26" ht="12" customHeight="1">
      <c r="B478" s="19"/>
      <c r="C478" s="19"/>
      <c r="D478" s="19"/>
      <c r="E478" s="19"/>
      <c r="F478" s="19"/>
      <c r="G478" s="19"/>
      <c r="H478" s="19"/>
      <c r="I478" s="19"/>
      <c r="J478" s="19"/>
      <c r="K478" s="19"/>
      <c r="L478" s="19"/>
      <c r="M478" s="19"/>
      <c r="N478" s="19"/>
      <c r="O478" s="19"/>
      <c r="P478" s="19"/>
      <c r="Q478" s="19"/>
      <c r="R478" s="19"/>
      <c r="S478" s="19"/>
      <c r="T478" s="19"/>
      <c r="U478" s="19"/>
      <c r="V478" s="19"/>
      <c r="W478" s="19"/>
      <c r="X478" s="19"/>
      <c r="Y478" s="19"/>
      <c r="Z478" s="19"/>
    </row>
    <row r="479" spans="2:26" ht="12" customHeight="1">
      <c r="B479" s="19"/>
      <c r="C479" s="19"/>
      <c r="D479" s="19"/>
      <c r="E479" s="19"/>
      <c r="F479" s="19"/>
      <c r="G479" s="19"/>
      <c r="H479" s="19"/>
      <c r="I479" s="19"/>
      <c r="J479" s="19"/>
      <c r="K479" s="19"/>
      <c r="L479" s="19"/>
      <c r="M479" s="19"/>
      <c r="N479" s="19"/>
      <c r="O479" s="19"/>
      <c r="P479" s="19"/>
      <c r="Q479" s="19"/>
      <c r="R479" s="19"/>
      <c r="S479" s="19"/>
      <c r="T479" s="19"/>
      <c r="U479" s="19"/>
      <c r="V479" s="19"/>
      <c r="W479" s="19"/>
      <c r="X479" s="19"/>
      <c r="Y479" s="19"/>
      <c r="Z479" s="19"/>
    </row>
    <row r="480" spans="2:26" ht="12" customHeight="1">
      <c r="B480" s="19"/>
      <c r="C480" s="19"/>
      <c r="D480" s="19"/>
      <c r="E480" s="19"/>
      <c r="F480" s="19"/>
      <c r="G480" s="19"/>
      <c r="H480" s="19"/>
      <c r="I480" s="19"/>
      <c r="J480" s="19"/>
      <c r="K480" s="19"/>
      <c r="L480" s="19"/>
      <c r="M480" s="19"/>
      <c r="N480" s="19"/>
      <c r="O480" s="19"/>
      <c r="P480" s="19"/>
      <c r="Q480" s="19"/>
      <c r="R480" s="19"/>
      <c r="S480" s="19"/>
      <c r="T480" s="19"/>
      <c r="U480" s="19"/>
      <c r="V480" s="19"/>
      <c r="W480" s="19"/>
      <c r="X480" s="19"/>
      <c r="Y480" s="19"/>
      <c r="Z480" s="19"/>
    </row>
    <row r="481" spans="2:26" ht="12" customHeight="1">
      <c r="B481" s="19"/>
      <c r="C481" s="19"/>
      <c r="D481" s="19"/>
      <c r="E481" s="19"/>
      <c r="F481" s="19"/>
      <c r="G481" s="19"/>
      <c r="H481" s="19"/>
      <c r="I481" s="19"/>
      <c r="J481" s="19"/>
      <c r="K481" s="19"/>
      <c r="L481" s="19"/>
      <c r="M481" s="19"/>
      <c r="N481" s="19"/>
      <c r="O481" s="19"/>
      <c r="P481" s="19"/>
      <c r="Q481" s="19"/>
      <c r="R481" s="19"/>
      <c r="S481" s="19"/>
      <c r="T481" s="19"/>
      <c r="U481" s="19"/>
      <c r="V481" s="19"/>
      <c r="W481" s="19"/>
      <c r="X481" s="19"/>
      <c r="Y481" s="19"/>
      <c r="Z481" s="19"/>
    </row>
    <row r="482" spans="2:26" ht="12" customHeight="1">
      <c r="B482" s="19"/>
      <c r="C482" s="19"/>
      <c r="D482" s="19"/>
      <c r="E482" s="19"/>
      <c r="F482" s="19"/>
      <c r="G482" s="19"/>
      <c r="H482" s="19"/>
      <c r="I482" s="19"/>
      <c r="J482" s="19"/>
      <c r="K482" s="19"/>
      <c r="L482" s="19"/>
      <c r="M482" s="19"/>
      <c r="N482" s="19"/>
      <c r="O482" s="19"/>
      <c r="P482" s="19"/>
      <c r="Q482" s="19"/>
      <c r="R482" s="19"/>
      <c r="S482" s="19"/>
      <c r="T482" s="19"/>
      <c r="U482" s="19"/>
      <c r="V482" s="19"/>
      <c r="W482" s="19"/>
      <c r="X482" s="19"/>
      <c r="Y482" s="19"/>
      <c r="Z482" s="19"/>
    </row>
    <row r="483" spans="2:26" ht="12" customHeight="1">
      <c r="B483" s="19"/>
      <c r="C483" s="19"/>
      <c r="D483" s="19"/>
      <c r="E483" s="19"/>
      <c r="F483" s="19"/>
      <c r="G483" s="19"/>
      <c r="H483" s="19"/>
      <c r="I483" s="19"/>
      <c r="J483" s="19"/>
      <c r="K483" s="19"/>
      <c r="L483" s="19"/>
      <c r="M483" s="19"/>
      <c r="N483" s="19"/>
      <c r="O483" s="19"/>
      <c r="P483" s="19"/>
      <c r="Q483" s="19"/>
      <c r="R483" s="19"/>
      <c r="S483" s="19"/>
      <c r="T483" s="19"/>
      <c r="U483" s="19"/>
      <c r="V483" s="19"/>
      <c r="W483" s="19"/>
      <c r="X483" s="19"/>
      <c r="Y483" s="19"/>
      <c r="Z483" s="19"/>
    </row>
    <row r="484" spans="2:26" ht="12" customHeight="1">
      <c r="B484" s="19"/>
      <c r="C484" s="19"/>
      <c r="D484" s="19"/>
      <c r="E484" s="19"/>
      <c r="F484" s="19"/>
      <c r="G484" s="19"/>
      <c r="H484" s="19"/>
      <c r="I484" s="19"/>
      <c r="J484" s="19"/>
      <c r="K484" s="19"/>
      <c r="L484" s="19"/>
      <c r="M484" s="19"/>
      <c r="N484" s="19"/>
      <c r="O484" s="19"/>
      <c r="P484" s="19"/>
      <c r="Q484" s="19"/>
      <c r="R484" s="19"/>
      <c r="S484" s="19"/>
      <c r="T484" s="19"/>
      <c r="U484" s="19"/>
      <c r="V484" s="19"/>
      <c r="W484" s="19"/>
      <c r="X484" s="19"/>
      <c r="Y484" s="19"/>
      <c r="Z484" s="19"/>
    </row>
    <row r="485" spans="2:26" ht="12" customHeight="1">
      <c r="B485" s="19"/>
      <c r="C485" s="19"/>
      <c r="D485" s="19"/>
      <c r="E485" s="19"/>
      <c r="F485" s="19"/>
      <c r="G485" s="19"/>
      <c r="H485" s="19"/>
      <c r="I485" s="19"/>
      <c r="J485" s="19"/>
      <c r="K485" s="19"/>
      <c r="L485" s="19"/>
      <c r="M485" s="19"/>
      <c r="N485" s="19"/>
      <c r="O485" s="19"/>
      <c r="P485" s="19"/>
      <c r="Q485" s="19"/>
      <c r="R485" s="19"/>
      <c r="S485" s="19"/>
      <c r="T485" s="19"/>
      <c r="U485" s="19"/>
      <c r="V485" s="19"/>
      <c r="W485" s="19"/>
      <c r="X485" s="19"/>
      <c r="Y485" s="19"/>
      <c r="Z485" s="19"/>
    </row>
    <row r="486" spans="2:26" ht="12" customHeight="1">
      <c r="B486" s="19"/>
      <c r="C486" s="19"/>
      <c r="D486" s="19"/>
      <c r="E486" s="19"/>
      <c r="F486" s="19"/>
      <c r="G486" s="19"/>
      <c r="H486" s="19"/>
      <c r="I486" s="19"/>
      <c r="J486" s="19"/>
      <c r="K486" s="19"/>
      <c r="L486" s="19"/>
      <c r="M486" s="19"/>
      <c r="N486" s="19"/>
      <c r="O486" s="19"/>
      <c r="P486" s="19"/>
      <c r="Q486" s="19"/>
      <c r="R486" s="19"/>
      <c r="S486" s="19"/>
      <c r="T486" s="19"/>
      <c r="U486" s="19"/>
      <c r="V486" s="19"/>
      <c r="W486" s="19"/>
      <c r="X486" s="19"/>
      <c r="Y486" s="19"/>
      <c r="Z486" s="19"/>
    </row>
    <row r="487" spans="2:26" ht="12" customHeight="1">
      <c r="B487" s="19"/>
      <c r="C487" s="19"/>
      <c r="D487" s="19"/>
      <c r="E487" s="19"/>
      <c r="F487" s="19"/>
      <c r="G487" s="19"/>
      <c r="H487" s="19"/>
      <c r="I487" s="19"/>
      <c r="J487" s="19"/>
      <c r="K487" s="19"/>
      <c r="L487" s="19"/>
      <c r="M487" s="19"/>
      <c r="N487" s="19"/>
      <c r="O487" s="19"/>
      <c r="P487" s="19"/>
      <c r="Q487" s="19"/>
      <c r="R487" s="19"/>
      <c r="S487" s="19"/>
      <c r="T487" s="19"/>
      <c r="U487" s="19"/>
      <c r="V487" s="19"/>
      <c r="W487" s="19"/>
      <c r="X487" s="19"/>
      <c r="Y487" s="19"/>
      <c r="Z487" s="19"/>
    </row>
    <row r="488" spans="2:26" ht="12" customHeight="1">
      <c r="B488" s="19"/>
      <c r="C488" s="19"/>
      <c r="D488" s="19"/>
      <c r="E488" s="19"/>
      <c r="F488" s="19"/>
      <c r="G488" s="19"/>
      <c r="H488" s="19"/>
      <c r="I488" s="19"/>
      <c r="J488" s="19"/>
      <c r="K488" s="19"/>
      <c r="L488" s="19"/>
      <c r="M488" s="19"/>
      <c r="N488" s="19"/>
      <c r="O488" s="19"/>
      <c r="P488" s="19"/>
      <c r="Q488" s="19"/>
      <c r="R488" s="19"/>
      <c r="S488" s="19"/>
      <c r="T488" s="19"/>
      <c r="U488" s="19"/>
      <c r="V488" s="19"/>
      <c r="W488" s="19"/>
      <c r="X488" s="19"/>
      <c r="Y488" s="19"/>
      <c r="Z488" s="19"/>
    </row>
    <row r="489" spans="2:26" ht="12" customHeight="1">
      <c r="B489" s="19"/>
      <c r="C489" s="19"/>
      <c r="D489" s="19"/>
      <c r="E489" s="19"/>
      <c r="F489" s="19"/>
      <c r="G489" s="19"/>
      <c r="H489" s="19"/>
      <c r="I489" s="19"/>
      <c r="J489" s="19"/>
      <c r="K489" s="19"/>
      <c r="L489" s="19"/>
      <c r="M489" s="19"/>
      <c r="N489" s="19"/>
      <c r="O489" s="19"/>
      <c r="P489" s="19"/>
      <c r="Q489" s="19"/>
      <c r="R489" s="19"/>
      <c r="S489" s="19"/>
      <c r="T489" s="19"/>
      <c r="U489" s="19"/>
      <c r="V489" s="19"/>
      <c r="W489" s="19"/>
      <c r="X489" s="19"/>
      <c r="Y489" s="19"/>
      <c r="Z489" s="19"/>
    </row>
    <row r="490" spans="2:26" ht="12" customHeight="1">
      <c r="B490" s="19"/>
      <c r="C490" s="19"/>
      <c r="D490" s="19"/>
      <c r="E490" s="19"/>
      <c r="F490" s="19"/>
      <c r="G490" s="19"/>
      <c r="H490" s="19"/>
      <c r="I490" s="19"/>
      <c r="J490" s="19"/>
      <c r="K490" s="19"/>
      <c r="L490" s="19"/>
      <c r="M490" s="19"/>
      <c r="N490" s="19"/>
      <c r="O490" s="19"/>
      <c r="P490" s="19"/>
      <c r="Q490" s="19"/>
      <c r="R490" s="19"/>
      <c r="S490" s="19"/>
      <c r="T490" s="19"/>
      <c r="U490" s="19"/>
      <c r="V490" s="19"/>
      <c r="W490" s="19"/>
      <c r="X490" s="19"/>
      <c r="Y490" s="19"/>
      <c r="Z490" s="19"/>
    </row>
    <row r="491" spans="2:26" ht="12" customHeight="1">
      <c r="B491" s="19"/>
      <c r="C491" s="19"/>
      <c r="D491" s="19"/>
      <c r="E491" s="19"/>
      <c r="F491" s="19"/>
      <c r="G491" s="19"/>
      <c r="H491" s="19"/>
      <c r="I491" s="19"/>
      <c r="J491" s="19"/>
      <c r="K491" s="19"/>
      <c r="L491" s="19"/>
      <c r="M491" s="19"/>
      <c r="N491" s="19"/>
      <c r="O491" s="19"/>
      <c r="P491" s="19"/>
      <c r="Q491" s="19"/>
      <c r="R491" s="19"/>
      <c r="S491" s="19"/>
      <c r="T491" s="19"/>
      <c r="U491" s="19"/>
      <c r="V491" s="19"/>
      <c r="W491" s="19"/>
      <c r="X491" s="19"/>
      <c r="Y491" s="19"/>
      <c r="Z491" s="19"/>
    </row>
    <row r="492" spans="2:26" ht="12" customHeight="1">
      <c r="B492" s="19"/>
      <c r="C492" s="19"/>
      <c r="D492" s="19"/>
      <c r="E492" s="19"/>
      <c r="F492" s="19"/>
      <c r="G492" s="19"/>
      <c r="H492" s="19"/>
      <c r="I492" s="19"/>
      <c r="J492" s="19"/>
      <c r="K492" s="19"/>
      <c r="L492" s="19"/>
      <c r="M492" s="19"/>
      <c r="N492" s="19"/>
      <c r="O492" s="19"/>
      <c r="P492" s="19"/>
      <c r="Q492" s="19"/>
      <c r="R492" s="19"/>
      <c r="S492" s="19"/>
      <c r="T492" s="19"/>
      <c r="U492" s="19"/>
      <c r="V492" s="19"/>
      <c r="W492" s="19"/>
      <c r="X492" s="19"/>
      <c r="Y492" s="19"/>
      <c r="Z492" s="19"/>
    </row>
    <row r="493" spans="2:26" ht="12" customHeight="1">
      <c r="B493" s="19"/>
      <c r="C493" s="19"/>
      <c r="D493" s="19"/>
      <c r="E493" s="19"/>
      <c r="F493" s="19"/>
      <c r="G493" s="19"/>
      <c r="H493" s="19"/>
      <c r="I493" s="19"/>
      <c r="J493" s="19"/>
      <c r="K493" s="19"/>
      <c r="L493" s="19"/>
      <c r="M493" s="19"/>
      <c r="N493" s="19"/>
      <c r="O493" s="19"/>
      <c r="P493" s="19"/>
      <c r="Q493" s="19"/>
      <c r="R493" s="19"/>
      <c r="S493" s="19"/>
      <c r="T493" s="19"/>
      <c r="U493" s="19"/>
      <c r="V493" s="19"/>
      <c r="W493" s="19"/>
      <c r="X493" s="19"/>
      <c r="Y493" s="19"/>
      <c r="Z493" s="19"/>
    </row>
    <row r="494" spans="2:26" ht="12" customHeight="1">
      <c r="B494" s="19"/>
      <c r="C494" s="19"/>
      <c r="D494" s="19"/>
      <c r="E494" s="19"/>
      <c r="F494" s="19"/>
      <c r="G494" s="19"/>
      <c r="H494" s="19"/>
      <c r="I494" s="19"/>
      <c r="J494" s="19"/>
      <c r="K494" s="19"/>
      <c r="L494" s="19"/>
      <c r="M494" s="19"/>
      <c r="N494" s="19"/>
      <c r="O494" s="19"/>
      <c r="P494" s="19"/>
      <c r="Q494" s="19"/>
      <c r="R494" s="19"/>
      <c r="S494" s="19"/>
      <c r="T494" s="19"/>
      <c r="U494" s="19"/>
      <c r="V494" s="19"/>
      <c r="W494" s="19"/>
      <c r="X494" s="19"/>
      <c r="Y494" s="19"/>
      <c r="Z494" s="19"/>
    </row>
    <row r="495" spans="2:26" ht="12" customHeight="1">
      <c r="B495" s="19"/>
      <c r="C495" s="19"/>
      <c r="D495" s="19"/>
      <c r="E495" s="19"/>
      <c r="F495" s="19"/>
      <c r="G495" s="19"/>
      <c r="H495" s="19"/>
      <c r="I495" s="19"/>
      <c r="J495" s="19"/>
      <c r="K495" s="19"/>
      <c r="L495" s="19"/>
      <c r="M495" s="19"/>
      <c r="N495" s="19"/>
      <c r="O495" s="19"/>
      <c r="P495" s="19"/>
      <c r="Q495" s="19"/>
      <c r="R495" s="19"/>
      <c r="S495" s="19"/>
      <c r="T495" s="19"/>
      <c r="U495" s="19"/>
      <c r="V495" s="19"/>
      <c r="W495" s="19"/>
      <c r="X495" s="19"/>
      <c r="Y495" s="19"/>
      <c r="Z495" s="19"/>
    </row>
    <row r="496" spans="2:26" ht="12" customHeight="1">
      <c r="B496" s="19"/>
      <c r="C496" s="19"/>
      <c r="D496" s="19"/>
      <c r="E496" s="19"/>
      <c r="F496" s="19"/>
      <c r="G496" s="19"/>
      <c r="H496" s="19"/>
      <c r="I496" s="19"/>
      <c r="J496" s="19"/>
      <c r="K496" s="19"/>
      <c r="L496" s="19"/>
      <c r="M496" s="19"/>
      <c r="N496" s="19"/>
      <c r="O496" s="19"/>
      <c r="P496" s="19"/>
      <c r="Q496" s="19"/>
      <c r="R496" s="19"/>
      <c r="S496" s="19"/>
      <c r="T496" s="19"/>
      <c r="U496" s="19"/>
      <c r="V496" s="19"/>
      <c r="W496" s="19"/>
      <c r="X496" s="19"/>
      <c r="Y496" s="19"/>
      <c r="Z496" s="19"/>
    </row>
    <row r="497" spans="2:26" ht="12" customHeight="1">
      <c r="B497" s="19"/>
      <c r="C497" s="19"/>
      <c r="D497" s="19"/>
      <c r="E497" s="19"/>
      <c r="F497" s="19"/>
      <c r="G497" s="19"/>
      <c r="H497" s="19"/>
      <c r="I497" s="19"/>
      <c r="J497" s="19"/>
      <c r="K497" s="19"/>
      <c r="L497" s="19"/>
      <c r="M497" s="19"/>
      <c r="N497" s="19"/>
      <c r="O497" s="19"/>
      <c r="P497" s="19"/>
      <c r="Q497" s="19"/>
      <c r="R497" s="19"/>
      <c r="S497" s="19"/>
      <c r="T497" s="19"/>
      <c r="U497" s="19"/>
      <c r="V497" s="19"/>
      <c r="W497" s="19"/>
      <c r="X497" s="19"/>
      <c r="Y497" s="19"/>
      <c r="Z497" s="19"/>
    </row>
    <row r="498" spans="2:26" ht="12" customHeight="1">
      <c r="B498" s="19"/>
      <c r="C498" s="19"/>
      <c r="D498" s="19"/>
      <c r="E498" s="19"/>
      <c r="F498" s="19"/>
      <c r="G498" s="19"/>
      <c r="H498" s="19"/>
      <c r="I498" s="19"/>
      <c r="J498" s="19"/>
      <c r="K498" s="19"/>
      <c r="L498" s="19"/>
      <c r="M498" s="19"/>
      <c r="N498" s="19"/>
      <c r="O498" s="19"/>
      <c r="P498" s="19"/>
      <c r="Q498" s="19"/>
      <c r="R498" s="19"/>
      <c r="S498" s="19"/>
      <c r="T498" s="19"/>
      <c r="U498" s="19"/>
      <c r="V498" s="19"/>
      <c r="W498" s="19"/>
      <c r="X498" s="19"/>
      <c r="Y498" s="19"/>
      <c r="Z498" s="19"/>
    </row>
    <row r="499" spans="2:26" ht="12" customHeight="1">
      <c r="B499" s="19"/>
      <c r="C499" s="19"/>
      <c r="D499" s="19"/>
      <c r="E499" s="19"/>
      <c r="F499" s="19"/>
      <c r="G499" s="19"/>
      <c r="H499" s="19"/>
      <c r="I499" s="19"/>
      <c r="J499" s="19"/>
      <c r="K499" s="19"/>
      <c r="L499" s="19"/>
      <c r="M499" s="19"/>
      <c r="N499" s="19"/>
      <c r="O499" s="19"/>
      <c r="P499" s="19"/>
      <c r="Q499" s="19"/>
      <c r="R499" s="19"/>
      <c r="S499" s="19"/>
      <c r="T499" s="19"/>
      <c r="U499" s="19"/>
      <c r="V499" s="19"/>
      <c r="W499" s="19"/>
      <c r="X499" s="19"/>
      <c r="Y499" s="19"/>
      <c r="Z499" s="19"/>
    </row>
    <row r="500" spans="2:26" ht="12" customHeight="1">
      <c r="B500" s="19"/>
      <c r="C500" s="19"/>
      <c r="D500" s="19"/>
      <c r="E500" s="19"/>
      <c r="F500" s="19"/>
      <c r="G500" s="19"/>
      <c r="H500" s="19"/>
      <c r="I500" s="19"/>
      <c r="J500" s="19"/>
      <c r="K500" s="19"/>
      <c r="L500" s="19"/>
      <c r="M500" s="19"/>
      <c r="N500" s="19"/>
      <c r="O500" s="19"/>
      <c r="P500" s="19"/>
      <c r="Q500" s="19"/>
      <c r="R500" s="19"/>
      <c r="S500" s="19"/>
      <c r="T500" s="19"/>
      <c r="U500" s="19"/>
      <c r="V500" s="19"/>
      <c r="W500" s="19"/>
      <c r="X500" s="19"/>
      <c r="Y500" s="19"/>
      <c r="Z500" s="19"/>
    </row>
    <row r="501" spans="2:26" ht="12" customHeight="1">
      <c r="B501" s="19"/>
      <c r="C501" s="19"/>
      <c r="D501" s="19"/>
      <c r="E501" s="19"/>
      <c r="F501" s="19"/>
      <c r="G501" s="19"/>
      <c r="H501" s="19"/>
      <c r="I501" s="19"/>
      <c r="J501" s="19"/>
      <c r="K501" s="19"/>
      <c r="L501" s="19"/>
      <c r="M501" s="19"/>
      <c r="N501" s="19"/>
      <c r="O501" s="19"/>
      <c r="P501" s="19"/>
      <c r="Q501" s="19"/>
      <c r="R501" s="19"/>
      <c r="S501" s="19"/>
      <c r="T501" s="19"/>
      <c r="U501" s="19"/>
      <c r="V501" s="19"/>
      <c r="W501" s="19"/>
      <c r="X501" s="19"/>
      <c r="Y501" s="19"/>
      <c r="Z501" s="19"/>
    </row>
    <row r="502" spans="2:26" ht="12" customHeight="1">
      <c r="B502" s="19"/>
      <c r="C502" s="19"/>
      <c r="D502" s="19"/>
      <c r="E502" s="19"/>
      <c r="F502" s="19"/>
      <c r="G502" s="19"/>
      <c r="H502" s="19"/>
      <c r="I502" s="19"/>
      <c r="J502" s="19"/>
      <c r="K502" s="19"/>
      <c r="L502" s="19"/>
      <c r="M502" s="19"/>
      <c r="N502" s="19"/>
      <c r="O502" s="19"/>
      <c r="P502" s="19"/>
      <c r="Q502" s="19"/>
      <c r="R502" s="19"/>
      <c r="S502" s="19"/>
      <c r="T502" s="19"/>
      <c r="U502" s="19"/>
      <c r="V502" s="19"/>
      <c r="W502" s="19"/>
      <c r="X502" s="19"/>
      <c r="Y502" s="19"/>
      <c r="Z502" s="19"/>
    </row>
    <row r="503" spans="2:26" ht="12" customHeight="1">
      <c r="B503" s="19"/>
      <c r="C503" s="19"/>
      <c r="D503" s="19"/>
      <c r="E503" s="19"/>
      <c r="F503" s="19"/>
      <c r="G503" s="19"/>
      <c r="H503" s="19"/>
      <c r="I503" s="19"/>
      <c r="J503" s="19"/>
      <c r="K503" s="19"/>
      <c r="L503" s="19"/>
      <c r="M503" s="19"/>
      <c r="N503" s="19"/>
      <c r="O503" s="19"/>
      <c r="P503" s="19"/>
      <c r="Q503" s="19"/>
      <c r="R503" s="19"/>
      <c r="S503" s="19"/>
      <c r="T503" s="19"/>
      <c r="U503" s="19"/>
      <c r="V503" s="19"/>
      <c r="W503" s="19"/>
      <c r="X503" s="19"/>
      <c r="Y503" s="19"/>
      <c r="Z503" s="19"/>
    </row>
    <row r="504" spans="2:26" ht="12" customHeight="1">
      <c r="B504" s="19"/>
      <c r="C504" s="19"/>
      <c r="D504" s="19"/>
      <c r="E504" s="19"/>
      <c r="F504" s="19"/>
      <c r="G504" s="19"/>
      <c r="H504" s="19"/>
      <c r="I504" s="19"/>
      <c r="J504" s="19"/>
      <c r="K504" s="19"/>
      <c r="L504" s="19"/>
      <c r="M504" s="19"/>
      <c r="N504" s="19"/>
      <c r="O504" s="19"/>
      <c r="P504" s="19"/>
      <c r="Q504" s="19"/>
      <c r="R504" s="19"/>
      <c r="S504" s="19"/>
      <c r="T504" s="19"/>
      <c r="U504" s="19"/>
      <c r="V504" s="19"/>
      <c r="W504" s="19"/>
      <c r="X504" s="19"/>
      <c r="Y504" s="19"/>
      <c r="Z504" s="19"/>
    </row>
    <row r="505" spans="2:26" ht="12" customHeight="1">
      <c r="B505" s="19"/>
      <c r="C505" s="19"/>
      <c r="D505" s="19"/>
      <c r="E505" s="19"/>
      <c r="F505" s="19"/>
      <c r="G505" s="19"/>
      <c r="H505" s="19"/>
      <c r="I505" s="19"/>
      <c r="J505" s="19"/>
      <c r="K505" s="19"/>
      <c r="L505" s="19"/>
      <c r="M505" s="19"/>
      <c r="N505" s="19"/>
      <c r="O505" s="19"/>
      <c r="P505" s="19"/>
      <c r="Q505" s="19"/>
      <c r="R505" s="19"/>
      <c r="S505" s="19"/>
      <c r="T505" s="19"/>
      <c r="U505" s="19"/>
      <c r="V505" s="19"/>
      <c r="W505" s="19"/>
      <c r="X505" s="19"/>
      <c r="Y505" s="19"/>
      <c r="Z505" s="19"/>
    </row>
    <row r="506" spans="2:26" ht="12" customHeight="1">
      <c r="B506" s="19"/>
      <c r="C506" s="19"/>
      <c r="D506" s="19"/>
      <c r="E506" s="19"/>
      <c r="F506" s="19"/>
      <c r="G506" s="19"/>
      <c r="H506" s="19"/>
      <c r="I506" s="19"/>
      <c r="J506" s="19"/>
      <c r="K506" s="19"/>
      <c r="L506" s="19"/>
      <c r="M506" s="19"/>
      <c r="N506" s="19"/>
      <c r="O506" s="19"/>
      <c r="P506" s="19"/>
      <c r="Q506" s="19"/>
      <c r="R506" s="19"/>
      <c r="S506" s="19"/>
      <c r="T506" s="19"/>
      <c r="U506" s="19"/>
      <c r="V506" s="19"/>
      <c r="W506" s="19"/>
      <c r="X506" s="19"/>
      <c r="Y506" s="19"/>
      <c r="Z506" s="19"/>
    </row>
    <row r="507" spans="2:26" ht="12" customHeight="1">
      <c r="B507" s="19"/>
      <c r="C507" s="19"/>
      <c r="D507" s="19"/>
      <c r="E507" s="19"/>
      <c r="F507" s="19"/>
      <c r="G507" s="19"/>
      <c r="H507" s="19"/>
      <c r="I507" s="19"/>
      <c r="J507" s="19"/>
      <c r="K507" s="19"/>
      <c r="L507" s="19"/>
      <c r="M507" s="19"/>
      <c r="N507" s="19"/>
      <c r="O507" s="19"/>
      <c r="P507" s="19"/>
      <c r="Q507" s="19"/>
      <c r="R507" s="19"/>
      <c r="S507" s="19"/>
      <c r="T507" s="19"/>
      <c r="U507" s="19"/>
      <c r="V507" s="19"/>
      <c r="W507" s="19"/>
      <c r="X507" s="19"/>
      <c r="Y507" s="19"/>
      <c r="Z507" s="19"/>
    </row>
    <row r="508" spans="2:26" ht="12" customHeight="1">
      <c r="B508" s="19"/>
      <c r="C508" s="19"/>
      <c r="D508" s="19"/>
      <c r="E508" s="19"/>
      <c r="F508" s="19"/>
      <c r="G508" s="19"/>
      <c r="H508" s="19"/>
      <c r="I508" s="19"/>
      <c r="J508" s="19"/>
      <c r="K508" s="19"/>
      <c r="L508" s="19"/>
      <c r="M508" s="19"/>
      <c r="N508" s="19"/>
      <c r="O508" s="19"/>
      <c r="P508" s="19"/>
      <c r="Q508" s="19"/>
      <c r="R508" s="19"/>
      <c r="S508" s="19"/>
      <c r="T508" s="19"/>
      <c r="U508" s="19"/>
      <c r="V508" s="19"/>
      <c r="W508" s="19"/>
      <c r="X508" s="19"/>
      <c r="Y508" s="19"/>
      <c r="Z508" s="19"/>
    </row>
    <row r="509" spans="2:26" ht="12" customHeight="1">
      <c r="B509" s="19"/>
      <c r="C509" s="19"/>
      <c r="D509" s="19"/>
      <c r="E509" s="19"/>
      <c r="F509" s="19"/>
      <c r="G509" s="19"/>
      <c r="H509" s="19"/>
      <c r="I509" s="19"/>
      <c r="J509" s="19"/>
      <c r="K509" s="19"/>
      <c r="L509" s="19"/>
      <c r="M509" s="19"/>
      <c r="N509" s="19"/>
      <c r="O509" s="19"/>
      <c r="P509" s="19"/>
      <c r="Q509" s="19"/>
      <c r="R509" s="19"/>
      <c r="S509" s="19"/>
      <c r="T509" s="19"/>
      <c r="U509" s="19"/>
      <c r="V509" s="19"/>
      <c r="W509" s="19"/>
      <c r="X509" s="19"/>
      <c r="Y509" s="19"/>
      <c r="Z509" s="19"/>
    </row>
    <row r="510" spans="2:26" ht="12" customHeight="1">
      <c r="B510" s="19"/>
      <c r="C510" s="19"/>
      <c r="D510" s="19"/>
      <c r="E510" s="19"/>
      <c r="F510" s="19"/>
      <c r="G510" s="19"/>
      <c r="H510" s="19"/>
      <c r="I510" s="19"/>
      <c r="J510" s="19"/>
      <c r="K510" s="19"/>
      <c r="L510" s="19"/>
      <c r="M510" s="19"/>
      <c r="N510" s="19"/>
      <c r="O510" s="19"/>
      <c r="P510" s="19"/>
      <c r="Q510" s="19"/>
      <c r="R510" s="19"/>
      <c r="S510" s="19"/>
      <c r="T510" s="19"/>
      <c r="U510" s="19"/>
      <c r="V510" s="19"/>
      <c r="W510" s="19"/>
      <c r="X510" s="19"/>
      <c r="Y510" s="19"/>
      <c r="Z510" s="19"/>
    </row>
    <row r="511" spans="2:26" ht="12" customHeight="1">
      <c r="B511" s="19"/>
      <c r="C511" s="19"/>
      <c r="D511" s="19"/>
      <c r="E511" s="19"/>
      <c r="F511" s="19"/>
      <c r="G511" s="19"/>
      <c r="H511" s="19"/>
      <c r="I511" s="19"/>
      <c r="J511" s="19"/>
      <c r="K511" s="19"/>
      <c r="L511" s="19"/>
      <c r="M511" s="19"/>
      <c r="N511" s="19"/>
      <c r="O511" s="19"/>
      <c r="P511" s="19"/>
      <c r="Q511" s="19"/>
      <c r="R511" s="19"/>
      <c r="S511" s="19"/>
      <c r="T511" s="19"/>
      <c r="U511" s="19"/>
      <c r="V511" s="19"/>
      <c r="W511" s="19"/>
      <c r="X511" s="19"/>
      <c r="Y511" s="19"/>
      <c r="Z511" s="19"/>
    </row>
    <row r="512" spans="2:26" ht="12" customHeight="1">
      <c r="B512" s="19"/>
      <c r="C512" s="19"/>
      <c r="D512" s="19"/>
      <c r="E512" s="19"/>
      <c r="F512" s="19"/>
      <c r="G512" s="19"/>
      <c r="H512" s="19"/>
      <c r="I512" s="19"/>
      <c r="J512" s="19"/>
      <c r="K512" s="19"/>
      <c r="L512" s="19"/>
      <c r="M512" s="19"/>
      <c r="N512" s="19"/>
      <c r="O512" s="19"/>
      <c r="P512" s="19"/>
      <c r="Q512" s="19"/>
      <c r="R512" s="19"/>
      <c r="S512" s="19"/>
      <c r="T512" s="19"/>
      <c r="U512" s="19"/>
      <c r="V512" s="19"/>
      <c r="W512" s="19"/>
      <c r="X512" s="19"/>
      <c r="Y512" s="19"/>
      <c r="Z512" s="19"/>
    </row>
    <row r="513" spans="2:26" ht="12" customHeight="1">
      <c r="B513" s="19"/>
      <c r="C513" s="19"/>
      <c r="D513" s="19"/>
      <c r="E513" s="19"/>
      <c r="F513" s="19"/>
      <c r="G513" s="19"/>
      <c r="H513" s="19"/>
      <c r="I513" s="19"/>
      <c r="J513" s="19"/>
      <c r="K513" s="19"/>
      <c r="L513" s="19"/>
      <c r="M513" s="19"/>
      <c r="N513" s="19"/>
      <c r="O513" s="19"/>
      <c r="P513" s="19"/>
      <c r="Q513" s="19"/>
      <c r="R513" s="19"/>
      <c r="S513" s="19"/>
      <c r="T513" s="19"/>
      <c r="U513" s="19"/>
      <c r="V513" s="19"/>
      <c r="W513" s="19"/>
      <c r="X513" s="19"/>
      <c r="Y513" s="19"/>
      <c r="Z513" s="19"/>
    </row>
    <row r="514" spans="2:26" ht="12" customHeight="1">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row>
    <row r="515" spans="2:26" ht="12" customHeight="1">
      <c r="B515" s="19"/>
      <c r="C515" s="19"/>
      <c r="D515" s="19"/>
      <c r="E515" s="19"/>
      <c r="F515" s="19"/>
      <c r="G515" s="19"/>
      <c r="H515" s="19"/>
      <c r="I515" s="19"/>
      <c r="J515" s="19"/>
      <c r="K515" s="19"/>
      <c r="L515" s="19"/>
      <c r="M515" s="19"/>
      <c r="N515" s="19"/>
      <c r="O515" s="19"/>
      <c r="P515" s="19"/>
      <c r="Q515" s="19"/>
      <c r="R515" s="19"/>
      <c r="S515" s="19"/>
      <c r="T515" s="19"/>
      <c r="U515" s="19"/>
      <c r="V515" s="19"/>
      <c r="W515" s="19"/>
      <c r="X515" s="19"/>
      <c r="Y515" s="19"/>
      <c r="Z515" s="19"/>
    </row>
    <row r="516" spans="2:26" ht="12" customHeight="1">
      <c r="B516" s="19"/>
      <c r="C516" s="19"/>
      <c r="D516" s="19"/>
      <c r="E516" s="19"/>
      <c r="F516" s="19"/>
      <c r="G516" s="19"/>
      <c r="H516" s="19"/>
      <c r="I516" s="19"/>
      <c r="J516" s="19"/>
      <c r="K516" s="19"/>
      <c r="L516" s="19"/>
      <c r="M516" s="19"/>
      <c r="N516" s="19"/>
      <c r="O516" s="19"/>
      <c r="P516" s="19"/>
      <c r="Q516" s="19"/>
      <c r="R516" s="19"/>
      <c r="S516" s="19"/>
      <c r="T516" s="19"/>
      <c r="U516" s="19"/>
      <c r="V516" s="19"/>
      <c r="W516" s="19"/>
      <c r="X516" s="19"/>
      <c r="Y516" s="19"/>
      <c r="Z516" s="19"/>
    </row>
    <row r="517" spans="2:26" ht="12" customHeight="1">
      <c r="B517" s="19"/>
      <c r="C517" s="19"/>
      <c r="D517" s="19"/>
      <c r="E517" s="19"/>
      <c r="F517" s="19"/>
      <c r="G517" s="19"/>
      <c r="H517" s="19"/>
      <c r="I517" s="19"/>
      <c r="J517" s="19"/>
      <c r="K517" s="19"/>
      <c r="L517" s="19"/>
      <c r="M517" s="19"/>
      <c r="N517" s="19"/>
      <c r="O517" s="19"/>
      <c r="P517" s="19"/>
      <c r="Q517" s="19"/>
      <c r="R517" s="19"/>
      <c r="S517" s="19"/>
      <c r="T517" s="19"/>
      <c r="U517" s="19"/>
      <c r="V517" s="19"/>
      <c r="W517" s="19"/>
      <c r="X517" s="19"/>
      <c r="Y517" s="19"/>
      <c r="Z517" s="19"/>
    </row>
    <row r="518" spans="2:26" ht="12" customHeight="1">
      <c r="B518" s="19"/>
      <c r="C518" s="19"/>
      <c r="D518" s="19"/>
      <c r="E518" s="19"/>
      <c r="F518" s="19"/>
      <c r="G518" s="19"/>
      <c r="H518" s="19"/>
      <c r="I518" s="19"/>
      <c r="J518" s="19"/>
      <c r="K518" s="19"/>
      <c r="L518" s="19"/>
      <c r="M518" s="19"/>
      <c r="N518" s="19"/>
      <c r="O518" s="19"/>
      <c r="P518" s="19"/>
      <c r="Q518" s="19"/>
      <c r="R518" s="19"/>
      <c r="S518" s="19"/>
      <c r="T518" s="19"/>
      <c r="U518" s="19"/>
      <c r="V518" s="19"/>
      <c r="W518" s="19"/>
      <c r="X518" s="19"/>
      <c r="Y518" s="19"/>
      <c r="Z518" s="19"/>
    </row>
    <row r="519" spans="2:26" ht="12" customHeight="1">
      <c r="B519" s="19"/>
      <c r="C519" s="19"/>
      <c r="D519" s="19"/>
      <c r="E519" s="19"/>
      <c r="F519" s="19"/>
      <c r="G519" s="19"/>
      <c r="H519" s="19"/>
      <c r="I519" s="19"/>
      <c r="J519" s="19"/>
      <c r="K519" s="19"/>
      <c r="L519" s="19"/>
      <c r="M519" s="19"/>
      <c r="N519" s="19"/>
      <c r="O519" s="19"/>
      <c r="P519" s="19"/>
      <c r="Q519" s="19"/>
      <c r="R519" s="19"/>
      <c r="S519" s="19"/>
      <c r="T519" s="19"/>
      <c r="U519" s="19"/>
      <c r="V519" s="19"/>
      <c r="W519" s="19"/>
      <c r="X519" s="19"/>
      <c r="Y519" s="19"/>
      <c r="Z519" s="19"/>
    </row>
    <row r="520" spans="2:26" ht="12" customHeight="1">
      <c r="B520" s="19"/>
      <c r="C520" s="19"/>
      <c r="D520" s="19"/>
      <c r="E520" s="19"/>
      <c r="F520" s="19"/>
      <c r="G520" s="19"/>
      <c r="H520" s="19"/>
      <c r="I520" s="19"/>
      <c r="J520" s="19"/>
      <c r="K520" s="19"/>
      <c r="L520" s="19"/>
      <c r="M520" s="19"/>
      <c r="N520" s="19"/>
      <c r="O520" s="19"/>
      <c r="P520" s="19"/>
      <c r="Q520" s="19"/>
      <c r="R520" s="19"/>
      <c r="S520" s="19"/>
      <c r="T520" s="19"/>
      <c r="U520" s="19"/>
      <c r="V520" s="19"/>
      <c r="W520" s="19"/>
      <c r="X520" s="19"/>
      <c r="Y520" s="19"/>
      <c r="Z520" s="19"/>
    </row>
    <row r="521" spans="2:26" ht="12" customHeight="1">
      <c r="B521" s="19"/>
      <c r="C521" s="19"/>
      <c r="D521" s="19"/>
      <c r="E521" s="19"/>
      <c r="F521" s="19"/>
      <c r="G521" s="19"/>
      <c r="H521" s="19"/>
      <c r="I521" s="19"/>
      <c r="J521" s="19"/>
      <c r="K521" s="19"/>
      <c r="L521" s="19"/>
      <c r="M521" s="19"/>
      <c r="N521" s="19"/>
      <c r="O521" s="19"/>
      <c r="P521" s="19"/>
      <c r="Q521" s="19"/>
      <c r="R521" s="19"/>
      <c r="S521" s="19"/>
      <c r="T521" s="19"/>
      <c r="U521" s="19"/>
      <c r="V521" s="19"/>
      <c r="W521" s="19"/>
      <c r="X521" s="19"/>
      <c r="Y521" s="19"/>
      <c r="Z521" s="19"/>
    </row>
    <row r="522" spans="2:26" ht="12" customHeight="1">
      <c r="B522" s="19"/>
      <c r="C522" s="19"/>
      <c r="D522" s="19"/>
      <c r="E522" s="19"/>
      <c r="F522" s="19"/>
      <c r="G522" s="19"/>
      <c r="H522" s="19"/>
      <c r="I522" s="19"/>
      <c r="J522" s="19"/>
      <c r="K522" s="19"/>
      <c r="L522" s="19"/>
      <c r="M522" s="19"/>
      <c r="N522" s="19"/>
      <c r="O522" s="19"/>
      <c r="P522" s="19"/>
      <c r="Q522" s="19"/>
      <c r="R522" s="19"/>
      <c r="S522" s="19"/>
      <c r="T522" s="19"/>
      <c r="U522" s="19"/>
      <c r="V522" s="19"/>
      <c r="W522" s="19"/>
      <c r="X522" s="19"/>
      <c r="Y522" s="19"/>
      <c r="Z522" s="19"/>
    </row>
    <row r="523" spans="2:26" ht="12" customHeight="1">
      <c r="B523" s="19"/>
      <c r="C523" s="19"/>
      <c r="D523" s="19"/>
      <c r="E523" s="19"/>
      <c r="F523" s="19"/>
      <c r="G523" s="19"/>
      <c r="H523" s="19"/>
      <c r="I523" s="19"/>
      <c r="J523" s="19"/>
      <c r="K523" s="19"/>
      <c r="L523" s="19"/>
      <c r="M523" s="19"/>
      <c r="N523" s="19"/>
      <c r="O523" s="19"/>
      <c r="P523" s="19"/>
      <c r="Q523" s="19"/>
      <c r="R523" s="19"/>
      <c r="S523" s="19"/>
      <c r="T523" s="19"/>
      <c r="U523" s="19"/>
      <c r="V523" s="19"/>
      <c r="W523" s="19"/>
      <c r="X523" s="19"/>
      <c r="Y523" s="19"/>
      <c r="Z523" s="19"/>
    </row>
    <row r="524" spans="2:26" ht="12" customHeight="1">
      <c r="B524" s="19"/>
      <c r="C524" s="19"/>
      <c r="D524" s="19"/>
      <c r="E524" s="19"/>
      <c r="F524" s="19"/>
      <c r="G524" s="19"/>
      <c r="H524" s="19"/>
      <c r="I524" s="19"/>
      <c r="J524" s="19"/>
      <c r="K524" s="19"/>
      <c r="L524" s="19"/>
      <c r="M524" s="19"/>
      <c r="N524" s="19"/>
      <c r="O524" s="19"/>
      <c r="P524" s="19"/>
      <c r="Q524" s="19"/>
      <c r="R524" s="19"/>
      <c r="S524" s="19"/>
      <c r="T524" s="19"/>
      <c r="U524" s="19"/>
      <c r="V524" s="19"/>
      <c r="W524" s="19"/>
      <c r="X524" s="19"/>
      <c r="Y524" s="19"/>
      <c r="Z524" s="19"/>
    </row>
    <row r="525" spans="2:26" ht="12" customHeight="1">
      <c r="B525" s="19"/>
      <c r="C525" s="19"/>
      <c r="D525" s="19"/>
      <c r="E525" s="19"/>
      <c r="F525" s="19"/>
      <c r="G525" s="19"/>
      <c r="H525" s="19"/>
      <c r="I525" s="19"/>
      <c r="J525" s="19"/>
      <c r="K525" s="19"/>
      <c r="L525" s="19"/>
      <c r="M525" s="19"/>
      <c r="N525" s="19"/>
      <c r="O525" s="19"/>
      <c r="P525" s="19"/>
      <c r="Q525" s="19"/>
      <c r="R525" s="19"/>
      <c r="S525" s="19"/>
      <c r="T525" s="19"/>
      <c r="U525" s="19"/>
      <c r="V525" s="19"/>
      <c r="W525" s="19"/>
      <c r="X525" s="19"/>
      <c r="Y525" s="19"/>
      <c r="Z525" s="19"/>
    </row>
    <row r="526" spans="2:26" ht="12" customHeight="1">
      <c r="B526" s="19"/>
      <c r="C526" s="19"/>
      <c r="D526" s="19"/>
      <c r="E526" s="19"/>
      <c r="F526" s="19"/>
      <c r="G526" s="19"/>
      <c r="H526" s="19"/>
      <c r="I526" s="19"/>
      <c r="J526" s="19"/>
      <c r="K526" s="19"/>
      <c r="L526" s="19"/>
      <c r="M526" s="19"/>
      <c r="N526" s="19"/>
      <c r="O526" s="19"/>
      <c r="P526" s="19"/>
      <c r="Q526" s="19"/>
      <c r="R526" s="19"/>
      <c r="S526" s="19"/>
      <c r="T526" s="19"/>
      <c r="U526" s="19"/>
      <c r="V526" s="19"/>
      <c r="W526" s="19"/>
      <c r="X526" s="19"/>
      <c r="Y526" s="19"/>
      <c r="Z526" s="19"/>
    </row>
    <row r="527" spans="2:26" ht="12" customHeight="1">
      <c r="B527" s="19"/>
      <c r="C527" s="19"/>
      <c r="D527" s="19"/>
      <c r="E527" s="19"/>
      <c r="F527" s="19"/>
      <c r="G527" s="19"/>
      <c r="H527" s="19"/>
      <c r="I527" s="19"/>
      <c r="J527" s="19"/>
      <c r="K527" s="19"/>
      <c r="L527" s="19"/>
      <c r="M527" s="19"/>
      <c r="N527" s="19"/>
      <c r="O527" s="19"/>
      <c r="P527" s="19"/>
      <c r="Q527" s="19"/>
      <c r="R527" s="19"/>
      <c r="S527" s="19"/>
      <c r="T527" s="19"/>
      <c r="U527" s="19"/>
      <c r="V527" s="19"/>
      <c r="W527" s="19"/>
      <c r="X527" s="19"/>
      <c r="Y527" s="19"/>
      <c r="Z527" s="19"/>
    </row>
    <row r="528" spans="2:26" ht="12" customHeight="1">
      <c r="B528" s="19"/>
      <c r="C528" s="19"/>
      <c r="D528" s="19"/>
      <c r="E528" s="19"/>
      <c r="F528" s="19"/>
      <c r="G528" s="19"/>
      <c r="H528" s="19"/>
      <c r="I528" s="19"/>
      <c r="J528" s="19"/>
      <c r="K528" s="19"/>
      <c r="L528" s="19"/>
      <c r="M528" s="19"/>
      <c r="N528" s="19"/>
      <c r="O528" s="19"/>
      <c r="P528" s="19"/>
      <c r="Q528" s="19"/>
      <c r="R528" s="19"/>
      <c r="S528" s="19"/>
      <c r="T528" s="19"/>
      <c r="U528" s="19"/>
      <c r="V528" s="19"/>
      <c r="W528" s="19"/>
      <c r="X528" s="19"/>
      <c r="Y528" s="19"/>
      <c r="Z528" s="19"/>
    </row>
    <row r="529" spans="2:26" ht="12" customHeight="1">
      <c r="B529" s="19"/>
      <c r="C529" s="19"/>
      <c r="D529" s="19"/>
      <c r="E529" s="19"/>
      <c r="F529" s="19"/>
      <c r="G529" s="19"/>
      <c r="H529" s="19"/>
      <c r="I529" s="19"/>
      <c r="J529" s="19"/>
      <c r="K529" s="19"/>
      <c r="L529" s="19"/>
      <c r="M529" s="19"/>
      <c r="N529" s="19"/>
      <c r="O529" s="19"/>
      <c r="P529" s="19"/>
      <c r="Q529" s="19"/>
      <c r="R529" s="19"/>
      <c r="S529" s="19"/>
      <c r="T529" s="19"/>
      <c r="U529" s="19"/>
      <c r="V529" s="19"/>
      <c r="W529" s="19"/>
      <c r="X529" s="19"/>
      <c r="Y529" s="19"/>
      <c r="Z529" s="19"/>
    </row>
    <row r="530" spans="2:26" ht="12" customHeight="1">
      <c r="B530" s="19"/>
      <c r="C530" s="19"/>
      <c r="D530" s="19"/>
      <c r="E530" s="19"/>
      <c r="F530" s="19"/>
      <c r="G530" s="19"/>
      <c r="H530" s="19"/>
      <c r="I530" s="19"/>
      <c r="J530" s="19"/>
      <c r="K530" s="19"/>
      <c r="L530" s="19"/>
      <c r="M530" s="19"/>
      <c r="N530" s="19"/>
      <c r="O530" s="19"/>
      <c r="P530" s="19"/>
      <c r="Q530" s="19"/>
      <c r="R530" s="19"/>
      <c r="S530" s="19"/>
      <c r="T530" s="19"/>
      <c r="U530" s="19"/>
      <c r="V530" s="19"/>
      <c r="W530" s="19"/>
      <c r="X530" s="19"/>
      <c r="Y530" s="19"/>
      <c r="Z530" s="19"/>
    </row>
    <row r="531" spans="2:26" ht="12" customHeight="1">
      <c r="B531" s="19"/>
      <c r="C531" s="19"/>
      <c r="D531" s="19"/>
      <c r="E531" s="19"/>
      <c r="F531" s="19"/>
      <c r="G531" s="19"/>
      <c r="H531" s="19"/>
      <c r="I531" s="19"/>
      <c r="J531" s="19"/>
      <c r="K531" s="19"/>
      <c r="L531" s="19"/>
      <c r="M531" s="19"/>
      <c r="N531" s="19"/>
      <c r="O531" s="19"/>
      <c r="P531" s="19"/>
      <c r="Q531" s="19"/>
      <c r="R531" s="19"/>
      <c r="S531" s="19"/>
      <c r="T531" s="19"/>
      <c r="U531" s="19"/>
      <c r="V531" s="19"/>
      <c r="W531" s="19"/>
      <c r="X531" s="19"/>
      <c r="Y531" s="19"/>
      <c r="Z531" s="19"/>
    </row>
    <row r="532" spans="2:26" ht="12" customHeight="1">
      <c r="B532" s="19"/>
      <c r="C532" s="19"/>
      <c r="D532" s="19"/>
      <c r="E532" s="19"/>
      <c r="F532" s="19"/>
      <c r="G532" s="19"/>
      <c r="H532" s="19"/>
      <c r="I532" s="19"/>
      <c r="J532" s="19"/>
      <c r="K532" s="19"/>
      <c r="L532" s="19"/>
      <c r="M532" s="19"/>
      <c r="N532" s="19"/>
      <c r="O532" s="19"/>
      <c r="P532" s="19"/>
      <c r="Q532" s="19"/>
      <c r="R532" s="19"/>
      <c r="S532" s="19"/>
      <c r="T532" s="19"/>
      <c r="U532" s="19"/>
      <c r="V532" s="19"/>
      <c r="W532" s="19"/>
      <c r="X532" s="19"/>
      <c r="Y532" s="19"/>
      <c r="Z532" s="19"/>
    </row>
    <row r="533" spans="2:26" ht="12" customHeight="1">
      <c r="B533" s="19"/>
      <c r="C533" s="19"/>
      <c r="D533" s="19"/>
      <c r="E533" s="19"/>
      <c r="F533" s="19"/>
      <c r="G533" s="19"/>
      <c r="H533" s="19"/>
      <c r="I533" s="19"/>
      <c r="J533" s="19"/>
      <c r="K533" s="19"/>
      <c r="L533" s="19"/>
      <c r="M533" s="19"/>
      <c r="N533" s="19"/>
      <c r="O533" s="19"/>
      <c r="P533" s="19"/>
      <c r="Q533" s="19"/>
      <c r="R533" s="19"/>
      <c r="S533" s="19"/>
      <c r="T533" s="19"/>
      <c r="U533" s="19"/>
      <c r="V533" s="19"/>
      <c r="W533" s="19"/>
      <c r="X533" s="19"/>
      <c r="Y533" s="19"/>
      <c r="Z533" s="19"/>
    </row>
    <row r="534" spans="2:26" ht="12" customHeight="1">
      <c r="B534" s="19"/>
      <c r="C534" s="19"/>
      <c r="D534" s="19"/>
      <c r="E534" s="19"/>
      <c r="F534" s="19"/>
      <c r="G534" s="19"/>
      <c r="H534" s="19"/>
      <c r="I534" s="19"/>
      <c r="J534" s="19"/>
      <c r="K534" s="19"/>
      <c r="L534" s="19"/>
      <c r="M534" s="19"/>
      <c r="N534" s="19"/>
      <c r="O534" s="19"/>
      <c r="P534" s="19"/>
      <c r="Q534" s="19"/>
      <c r="R534" s="19"/>
      <c r="S534" s="19"/>
      <c r="T534" s="19"/>
      <c r="U534" s="19"/>
      <c r="V534" s="19"/>
      <c r="W534" s="19"/>
      <c r="X534" s="19"/>
      <c r="Y534" s="19"/>
      <c r="Z534" s="19"/>
    </row>
    <row r="535" spans="2:26" ht="12" customHeight="1">
      <c r="B535" s="19"/>
      <c r="C535" s="19"/>
      <c r="D535" s="19"/>
      <c r="E535" s="19"/>
      <c r="F535" s="19"/>
      <c r="G535" s="19"/>
      <c r="H535" s="19"/>
      <c r="I535" s="19"/>
      <c r="J535" s="19"/>
      <c r="K535" s="19"/>
      <c r="L535" s="19"/>
      <c r="M535" s="19"/>
      <c r="N535" s="19"/>
      <c r="O535" s="19"/>
      <c r="P535" s="19"/>
      <c r="Q535" s="19"/>
      <c r="R535" s="19"/>
      <c r="S535" s="19"/>
      <c r="T535" s="19"/>
      <c r="U535" s="19"/>
      <c r="V535" s="19"/>
      <c r="W535" s="19"/>
      <c r="X535" s="19"/>
      <c r="Y535" s="19"/>
      <c r="Z535" s="19"/>
    </row>
    <row r="536" spans="2:26" ht="12" customHeight="1">
      <c r="B536" s="19"/>
      <c r="C536" s="19"/>
      <c r="D536" s="19"/>
      <c r="E536" s="19"/>
      <c r="F536" s="19"/>
      <c r="G536" s="19"/>
      <c r="H536" s="19"/>
      <c r="I536" s="19"/>
      <c r="J536" s="19"/>
      <c r="K536" s="19"/>
      <c r="L536" s="19"/>
      <c r="M536" s="19"/>
      <c r="N536" s="19"/>
      <c r="O536" s="19"/>
      <c r="P536" s="19"/>
      <c r="Q536" s="19"/>
      <c r="R536" s="19"/>
      <c r="S536" s="19"/>
      <c r="T536" s="19"/>
      <c r="U536" s="19"/>
      <c r="V536" s="19"/>
      <c r="W536" s="19"/>
      <c r="X536" s="19"/>
      <c r="Y536" s="19"/>
      <c r="Z536" s="19"/>
    </row>
    <row r="537" spans="2:26" ht="12" customHeight="1">
      <c r="B537" s="19"/>
      <c r="C537" s="19"/>
      <c r="D537" s="19"/>
      <c r="E537" s="19"/>
      <c r="F537" s="19"/>
      <c r="G537" s="19"/>
      <c r="H537" s="19"/>
      <c r="I537" s="19"/>
      <c r="J537" s="19"/>
      <c r="K537" s="19"/>
      <c r="L537" s="19"/>
      <c r="M537" s="19"/>
      <c r="N537" s="19"/>
      <c r="O537" s="19"/>
      <c r="P537" s="19"/>
      <c r="Q537" s="19"/>
      <c r="R537" s="19"/>
      <c r="S537" s="19"/>
      <c r="T537" s="19"/>
      <c r="U537" s="19"/>
      <c r="V537" s="19"/>
      <c r="W537" s="19"/>
      <c r="X537" s="19"/>
      <c r="Y537" s="19"/>
      <c r="Z537" s="19"/>
    </row>
    <row r="538" spans="2:26" ht="12" customHeight="1">
      <c r="B538" s="19"/>
      <c r="C538" s="19"/>
      <c r="D538" s="19"/>
      <c r="E538" s="19"/>
      <c r="F538" s="19"/>
      <c r="G538" s="19"/>
      <c r="H538" s="19"/>
      <c r="I538" s="19"/>
      <c r="J538" s="19"/>
      <c r="K538" s="19"/>
      <c r="L538" s="19"/>
      <c r="M538" s="19"/>
      <c r="N538" s="19"/>
      <c r="O538" s="19"/>
      <c r="P538" s="19"/>
      <c r="Q538" s="19"/>
      <c r="R538" s="19"/>
      <c r="S538" s="19"/>
      <c r="T538" s="19"/>
      <c r="U538" s="19"/>
      <c r="V538" s="19"/>
      <c r="W538" s="19"/>
      <c r="X538" s="19"/>
      <c r="Y538" s="19"/>
      <c r="Z538" s="19"/>
    </row>
    <row r="539" spans="2:26" ht="12" customHeight="1">
      <c r="B539" s="19"/>
      <c r="C539" s="19"/>
      <c r="D539" s="19"/>
      <c r="E539" s="19"/>
      <c r="F539" s="19"/>
      <c r="G539" s="19"/>
      <c r="H539" s="19"/>
      <c r="I539" s="19"/>
      <c r="J539" s="19"/>
      <c r="K539" s="19"/>
      <c r="L539" s="19"/>
      <c r="M539" s="19"/>
      <c r="N539" s="19"/>
      <c r="O539" s="19"/>
      <c r="P539" s="19"/>
      <c r="Q539" s="19"/>
      <c r="R539" s="19"/>
      <c r="S539" s="19"/>
      <c r="T539" s="19"/>
      <c r="U539" s="19"/>
      <c r="V539" s="19"/>
      <c r="W539" s="19"/>
      <c r="X539" s="19"/>
      <c r="Y539" s="19"/>
      <c r="Z539" s="19"/>
    </row>
    <row r="540" spans="2:26" ht="12" customHeight="1">
      <c r="B540" s="19"/>
      <c r="C540" s="19"/>
      <c r="D540" s="19"/>
      <c r="E540" s="19"/>
      <c r="F540" s="19"/>
      <c r="G540" s="19"/>
      <c r="H540" s="19"/>
      <c r="I540" s="19"/>
      <c r="J540" s="19"/>
      <c r="K540" s="19"/>
      <c r="L540" s="19"/>
      <c r="M540" s="19"/>
      <c r="N540" s="19"/>
      <c r="O540" s="19"/>
      <c r="P540" s="19"/>
      <c r="Q540" s="19"/>
      <c r="R540" s="19"/>
      <c r="S540" s="19"/>
      <c r="T540" s="19"/>
      <c r="U540" s="19"/>
      <c r="V540" s="19"/>
      <c r="W540" s="19"/>
      <c r="X540" s="19"/>
      <c r="Y540" s="19"/>
      <c r="Z540" s="19"/>
    </row>
    <row r="541" spans="2:26" ht="12" customHeight="1">
      <c r="B541" s="19"/>
      <c r="C541" s="19"/>
      <c r="D541" s="19"/>
      <c r="E541" s="19"/>
      <c r="F541" s="19"/>
      <c r="G541" s="19"/>
      <c r="H541" s="19"/>
      <c r="I541" s="19"/>
      <c r="J541" s="19"/>
      <c r="K541" s="19"/>
      <c r="L541" s="19"/>
      <c r="M541" s="19"/>
      <c r="N541" s="19"/>
      <c r="O541" s="19"/>
      <c r="P541" s="19"/>
      <c r="Q541" s="19"/>
      <c r="R541" s="19"/>
      <c r="S541" s="19"/>
      <c r="T541" s="19"/>
      <c r="U541" s="19"/>
      <c r="V541" s="19"/>
      <c r="W541" s="19"/>
      <c r="X541" s="19"/>
      <c r="Y541" s="19"/>
      <c r="Z541" s="19"/>
    </row>
    <row r="542" spans="2:26" ht="12" customHeight="1">
      <c r="B542" s="19"/>
      <c r="C542" s="19"/>
      <c r="D542" s="19"/>
      <c r="E542" s="19"/>
      <c r="F542" s="19"/>
      <c r="G542" s="19"/>
      <c r="H542" s="19"/>
      <c r="I542" s="19"/>
      <c r="J542" s="19"/>
      <c r="K542" s="19"/>
      <c r="L542" s="19"/>
      <c r="M542" s="19"/>
      <c r="N542" s="19"/>
      <c r="O542" s="19"/>
      <c r="P542" s="19"/>
      <c r="Q542" s="19"/>
      <c r="R542" s="19"/>
      <c r="S542" s="19"/>
      <c r="T542" s="19"/>
      <c r="U542" s="19"/>
      <c r="V542" s="19"/>
      <c r="W542" s="19"/>
      <c r="X542" s="19"/>
      <c r="Y542" s="19"/>
      <c r="Z542" s="19"/>
    </row>
    <row r="543" spans="2:26" ht="12" customHeight="1">
      <c r="B543" s="19"/>
      <c r="C543" s="19"/>
      <c r="D543" s="19"/>
      <c r="E543" s="19"/>
      <c r="F543" s="19"/>
      <c r="G543" s="19"/>
      <c r="H543" s="19"/>
      <c r="I543" s="19"/>
      <c r="J543" s="19"/>
      <c r="K543" s="19"/>
      <c r="L543" s="19"/>
      <c r="M543" s="19"/>
      <c r="N543" s="19"/>
      <c r="O543" s="19"/>
      <c r="P543" s="19"/>
      <c r="Q543" s="19"/>
      <c r="R543" s="19"/>
      <c r="S543" s="19"/>
      <c r="T543" s="19"/>
      <c r="U543" s="19"/>
      <c r="V543" s="19"/>
      <c r="W543" s="19"/>
      <c r="X543" s="19"/>
      <c r="Y543" s="19"/>
      <c r="Z543" s="19"/>
    </row>
    <row r="544" spans="2:26" ht="12" customHeight="1">
      <c r="B544" s="19"/>
      <c r="C544" s="19"/>
      <c r="D544" s="19"/>
      <c r="E544" s="19"/>
      <c r="F544" s="19"/>
      <c r="G544" s="19"/>
      <c r="H544" s="19"/>
      <c r="I544" s="19"/>
      <c r="J544" s="19"/>
      <c r="K544" s="19"/>
      <c r="L544" s="19"/>
      <c r="M544" s="19"/>
      <c r="N544" s="19"/>
      <c r="O544" s="19"/>
      <c r="P544" s="19"/>
      <c r="Q544" s="19"/>
      <c r="R544" s="19"/>
      <c r="S544" s="19"/>
      <c r="T544" s="19"/>
      <c r="U544" s="19"/>
      <c r="V544" s="19"/>
      <c r="W544" s="19"/>
      <c r="X544" s="19"/>
      <c r="Y544" s="19"/>
      <c r="Z544" s="19"/>
    </row>
    <row r="545" spans="2:26" ht="12" customHeight="1">
      <c r="B545" s="19"/>
      <c r="C545" s="19"/>
      <c r="D545" s="19"/>
      <c r="E545" s="19"/>
      <c r="F545" s="19"/>
      <c r="G545" s="19"/>
      <c r="H545" s="19"/>
      <c r="I545" s="19"/>
      <c r="J545" s="19"/>
      <c r="K545" s="19"/>
      <c r="L545" s="19"/>
      <c r="M545" s="19"/>
      <c r="N545" s="19"/>
      <c r="O545" s="19"/>
      <c r="P545" s="19"/>
      <c r="Q545" s="19"/>
      <c r="R545" s="19"/>
      <c r="S545" s="19"/>
      <c r="T545" s="19"/>
      <c r="U545" s="19"/>
      <c r="V545" s="19"/>
      <c r="W545" s="19"/>
      <c r="X545" s="19"/>
      <c r="Y545" s="19"/>
      <c r="Z545" s="19"/>
    </row>
    <row r="546" spans="2:26" ht="12" customHeight="1">
      <c r="B546" s="19"/>
      <c r="C546" s="19"/>
      <c r="D546" s="19"/>
      <c r="E546" s="19"/>
      <c r="F546" s="19"/>
      <c r="G546" s="19"/>
      <c r="H546" s="19"/>
      <c r="I546" s="19"/>
      <c r="J546" s="19"/>
      <c r="K546" s="19"/>
      <c r="L546" s="19"/>
      <c r="M546" s="19"/>
      <c r="N546" s="19"/>
      <c r="O546" s="19"/>
      <c r="P546" s="19"/>
      <c r="Q546" s="19"/>
      <c r="R546" s="19"/>
      <c r="S546" s="19"/>
      <c r="T546" s="19"/>
      <c r="U546" s="19"/>
      <c r="V546" s="19"/>
      <c r="W546" s="19"/>
      <c r="X546" s="19"/>
      <c r="Y546" s="19"/>
      <c r="Z546" s="19"/>
    </row>
    <row r="547" spans="2:26" ht="12" customHeight="1">
      <c r="B547" s="19"/>
      <c r="C547" s="19"/>
      <c r="D547" s="19"/>
      <c r="E547" s="19"/>
      <c r="F547" s="19"/>
      <c r="G547" s="19"/>
      <c r="H547" s="19"/>
      <c r="I547" s="19"/>
      <c r="J547" s="19"/>
      <c r="K547" s="19"/>
      <c r="L547" s="19"/>
      <c r="M547" s="19"/>
      <c r="N547" s="19"/>
      <c r="O547" s="19"/>
      <c r="P547" s="19"/>
      <c r="Q547" s="19"/>
      <c r="R547" s="19"/>
      <c r="S547" s="19"/>
      <c r="T547" s="19"/>
      <c r="U547" s="19"/>
      <c r="V547" s="19"/>
      <c r="W547" s="19"/>
      <c r="X547" s="19"/>
      <c r="Y547" s="19"/>
      <c r="Z547" s="19"/>
    </row>
    <row r="548" spans="2:26" ht="12" customHeight="1">
      <c r="B548" s="19"/>
      <c r="C548" s="19"/>
      <c r="D548" s="19"/>
      <c r="E548" s="19"/>
      <c r="F548" s="19"/>
      <c r="G548" s="19"/>
      <c r="H548" s="19"/>
      <c r="I548" s="19"/>
      <c r="J548" s="19"/>
      <c r="K548" s="19"/>
      <c r="L548" s="19"/>
      <c r="M548" s="19"/>
      <c r="N548" s="19"/>
      <c r="O548" s="19"/>
      <c r="P548" s="19"/>
      <c r="Q548" s="19"/>
      <c r="R548" s="19"/>
      <c r="S548" s="19"/>
      <c r="T548" s="19"/>
      <c r="U548" s="19"/>
      <c r="V548" s="19"/>
      <c r="W548" s="19"/>
      <c r="X548" s="19"/>
      <c r="Y548" s="19"/>
      <c r="Z548" s="19"/>
    </row>
    <row r="549" spans="2:26" ht="12" customHeight="1">
      <c r="B549" s="19"/>
      <c r="C549" s="19"/>
      <c r="D549" s="19"/>
      <c r="E549" s="19"/>
      <c r="F549" s="19"/>
      <c r="G549" s="19"/>
      <c r="H549" s="19"/>
      <c r="I549" s="19"/>
      <c r="J549" s="19"/>
      <c r="K549" s="19"/>
      <c r="L549" s="19"/>
      <c r="M549" s="19"/>
      <c r="N549" s="19"/>
      <c r="O549" s="19"/>
      <c r="P549" s="19"/>
      <c r="Q549" s="19"/>
      <c r="R549" s="19"/>
      <c r="S549" s="19"/>
      <c r="T549" s="19"/>
      <c r="U549" s="19"/>
      <c r="V549" s="19"/>
      <c r="W549" s="19"/>
      <c r="X549" s="19"/>
      <c r="Y549" s="19"/>
      <c r="Z549" s="19"/>
    </row>
    <row r="550" spans="2:26" ht="12" customHeight="1">
      <c r="B550" s="19"/>
      <c r="C550" s="19"/>
      <c r="D550" s="19"/>
      <c r="E550" s="19"/>
      <c r="F550" s="19"/>
      <c r="G550" s="19"/>
      <c r="H550" s="19"/>
      <c r="I550" s="19"/>
      <c r="J550" s="19"/>
      <c r="K550" s="19"/>
      <c r="L550" s="19"/>
      <c r="M550" s="19"/>
      <c r="N550" s="19"/>
      <c r="O550" s="19"/>
      <c r="P550" s="19"/>
      <c r="Q550" s="19"/>
      <c r="R550" s="19"/>
      <c r="S550" s="19"/>
      <c r="T550" s="19"/>
      <c r="U550" s="19"/>
      <c r="V550" s="19"/>
      <c r="W550" s="19"/>
      <c r="X550" s="19"/>
      <c r="Y550" s="19"/>
      <c r="Z550" s="19"/>
    </row>
    <row r="551" spans="2:26" ht="12" customHeight="1">
      <c r="B551" s="19"/>
      <c r="C551" s="19"/>
      <c r="D551" s="19"/>
      <c r="E551" s="19"/>
      <c r="F551" s="19"/>
      <c r="G551" s="19"/>
      <c r="H551" s="19"/>
      <c r="I551" s="19"/>
      <c r="J551" s="19"/>
      <c r="K551" s="19"/>
      <c r="L551" s="19"/>
      <c r="M551" s="19"/>
      <c r="N551" s="19"/>
      <c r="O551" s="19"/>
      <c r="P551" s="19"/>
      <c r="Q551" s="19"/>
      <c r="R551" s="19"/>
      <c r="S551" s="19"/>
      <c r="T551" s="19"/>
      <c r="U551" s="19"/>
      <c r="V551" s="19"/>
      <c r="W551" s="19"/>
      <c r="X551" s="19"/>
      <c r="Y551" s="19"/>
      <c r="Z551" s="19"/>
    </row>
    <row r="552" spans="2:26" ht="12" customHeight="1">
      <c r="B552" s="19"/>
      <c r="C552" s="19"/>
      <c r="D552" s="19"/>
      <c r="E552" s="19"/>
      <c r="F552" s="19"/>
      <c r="G552" s="19"/>
      <c r="H552" s="19"/>
      <c r="I552" s="19"/>
      <c r="J552" s="19"/>
      <c r="K552" s="19"/>
      <c r="L552" s="19"/>
      <c r="M552" s="19"/>
      <c r="N552" s="19"/>
      <c r="O552" s="19"/>
      <c r="P552" s="19"/>
      <c r="Q552" s="19"/>
      <c r="R552" s="19"/>
      <c r="S552" s="19"/>
      <c r="T552" s="19"/>
      <c r="U552" s="19"/>
      <c r="V552" s="19"/>
      <c r="W552" s="19"/>
      <c r="X552" s="19"/>
      <c r="Y552" s="19"/>
      <c r="Z552" s="19"/>
    </row>
    <row r="553" spans="2:26" ht="12" customHeight="1">
      <c r="B553" s="19"/>
      <c r="C553" s="19"/>
      <c r="D553" s="19"/>
      <c r="E553" s="19"/>
      <c r="F553" s="19"/>
      <c r="G553" s="19"/>
      <c r="H553" s="19"/>
      <c r="I553" s="19"/>
      <c r="J553" s="19"/>
      <c r="K553" s="19"/>
      <c r="L553" s="19"/>
      <c r="M553" s="19"/>
      <c r="N553" s="19"/>
      <c r="O553" s="19"/>
      <c r="P553" s="19"/>
      <c r="Q553" s="19"/>
      <c r="R553" s="19"/>
      <c r="S553" s="19"/>
      <c r="T553" s="19"/>
      <c r="U553" s="19"/>
      <c r="V553" s="19"/>
      <c r="W553" s="19"/>
      <c r="X553" s="19"/>
      <c r="Y553" s="19"/>
      <c r="Z553" s="19"/>
    </row>
    <row r="554" spans="2:26" ht="12" customHeight="1">
      <c r="B554" s="19"/>
      <c r="C554" s="19"/>
      <c r="D554" s="19"/>
      <c r="E554" s="19"/>
      <c r="F554" s="19"/>
      <c r="G554" s="19"/>
      <c r="H554" s="19"/>
      <c r="I554" s="19"/>
      <c r="J554" s="19"/>
      <c r="K554" s="19"/>
      <c r="L554" s="19"/>
      <c r="M554" s="19"/>
      <c r="N554" s="19"/>
      <c r="O554" s="19"/>
      <c r="P554" s="19"/>
      <c r="Q554" s="19"/>
      <c r="R554" s="19"/>
      <c r="S554" s="19"/>
      <c r="T554" s="19"/>
      <c r="U554" s="19"/>
      <c r="V554" s="19"/>
      <c r="W554" s="19"/>
      <c r="X554" s="19"/>
      <c r="Y554" s="19"/>
      <c r="Z554" s="19"/>
    </row>
    <row r="555" spans="2:26" ht="12" customHeight="1">
      <c r="B555" s="19"/>
      <c r="C555" s="19"/>
      <c r="D555" s="19"/>
      <c r="E555" s="19"/>
      <c r="F555" s="19"/>
      <c r="G555" s="19"/>
      <c r="H555" s="19"/>
      <c r="I555" s="19"/>
      <c r="J555" s="19"/>
      <c r="K555" s="19"/>
      <c r="L555" s="19"/>
      <c r="M555" s="19"/>
      <c r="N555" s="19"/>
      <c r="O555" s="19"/>
      <c r="P555" s="19"/>
      <c r="Q555" s="19"/>
      <c r="R555" s="19"/>
      <c r="S555" s="19"/>
      <c r="T555" s="19"/>
      <c r="U555" s="19"/>
      <c r="V555" s="19"/>
      <c r="W555" s="19"/>
      <c r="X555" s="19"/>
      <c r="Y555" s="19"/>
      <c r="Z555" s="19"/>
    </row>
    <row r="556" spans="2:26" ht="12" customHeight="1">
      <c r="B556" s="19"/>
      <c r="C556" s="19"/>
      <c r="D556" s="19"/>
      <c r="E556" s="19"/>
      <c r="F556" s="19"/>
      <c r="G556" s="19"/>
      <c r="H556" s="19"/>
      <c r="I556" s="19"/>
      <c r="J556" s="19"/>
      <c r="K556" s="19"/>
      <c r="L556" s="19"/>
      <c r="M556" s="19"/>
      <c r="N556" s="19"/>
      <c r="O556" s="19"/>
      <c r="P556" s="19"/>
      <c r="Q556" s="19"/>
      <c r="R556" s="19"/>
      <c r="S556" s="19"/>
      <c r="T556" s="19"/>
      <c r="U556" s="19"/>
      <c r="V556" s="19"/>
      <c r="W556" s="19"/>
      <c r="X556" s="19"/>
      <c r="Y556" s="19"/>
      <c r="Z556" s="19"/>
    </row>
    <row r="557" spans="2:26" ht="12" customHeight="1">
      <c r="B557" s="19"/>
      <c r="C557" s="19"/>
      <c r="D557" s="19"/>
      <c r="E557" s="19"/>
      <c r="F557" s="19"/>
      <c r="G557" s="19"/>
      <c r="H557" s="19"/>
      <c r="I557" s="19"/>
      <c r="J557" s="19"/>
      <c r="K557" s="19"/>
      <c r="L557" s="19"/>
      <c r="M557" s="19"/>
      <c r="N557" s="19"/>
      <c r="O557" s="19"/>
      <c r="P557" s="19"/>
      <c r="Q557" s="19"/>
      <c r="R557" s="19"/>
      <c r="S557" s="19"/>
      <c r="T557" s="19"/>
      <c r="U557" s="19"/>
      <c r="V557" s="19"/>
      <c r="W557" s="19"/>
      <c r="X557" s="19"/>
      <c r="Y557" s="19"/>
      <c r="Z557" s="19"/>
    </row>
    <row r="558" spans="2:26" ht="12" customHeight="1">
      <c r="B558" s="19"/>
      <c r="C558" s="19"/>
      <c r="D558" s="19"/>
      <c r="E558" s="19"/>
      <c r="F558" s="19"/>
      <c r="G558" s="19"/>
      <c r="H558" s="19"/>
      <c r="I558" s="19"/>
      <c r="J558" s="19"/>
      <c r="K558" s="19"/>
      <c r="L558" s="19"/>
      <c r="M558" s="19"/>
      <c r="N558" s="19"/>
      <c r="O558" s="19"/>
      <c r="P558" s="19"/>
      <c r="Q558" s="19"/>
      <c r="R558" s="19"/>
      <c r="S558" s="19"/>
      <c r="T558" s="19"/>
      <c r="U558" s="19"/>
      <c r="V558" s="19"/>
      <c r="W558" s="19"/>
      <c r="X558" s="19"/>
      <c r="Y558" s="19"/>
      <c r="Z558" s="19"/>
    </row>
    <row r="559" spans="2:26" ht="12" customHeight="1">
      <c r="B559" s="19"/>
      <c r="C559" s="19"/>
      <c r="D559" s="19"/>
      <c r="E559" s="19"/>
      <c r="F559" s="19"/>
      <c r="G559" s="19"/>
      <c r="H559" s="19"/>
      <c r="I559" s="19"/>
      <c r="J559" s="19"/>
      <c r="K559" s="19"/>
      <c r="L559" s="19"/>
      <c r="M559" s="19"/>
      <c r="N559" s="19"/>
      <c r="O559" s="19"/>
      <c r="P559" s="19"/>
      <c r="Q559" s="19"/>
      <c r="R559" s="19"/>
      <c r="S559" s="19"/>
      <c r="T559" s="19"/>
      <c r="U559" s="19"/>
      <c r="V559" s="19"/>
      <c r="W559" s="19"/>
      <c r="X559" s="19"/>
      <c r="Y559" s="19"/>
      <c r="Z559" s="19"/>
    </row>
    <row r="560" spans="2:26" ht="12" customHeight="1">
      <c r="B560" s="19"/>
      <c r="C560" s="19"/>
      <c r="D560" s="19"/>
      <c r="E560" s="19"/>
      <c r="F560" s="19"/>
      <c r="G560" s="19"/>
      <c r="H560" s="19"/>
      <c r="I560" s="19"/>
      <c r="J560" s="19"/>
      <c r="K560" s="19"/>
      <c r="L560" s="19"/>
      <c r="M560" s="19"/>
      <c r="N560" s="19"/>
      <c r="O560" s="19"/>
      <c r="P560" s="19"/>
      <c r="Q560" s="19"/>
      <c r="R560" s="19"/>
      <c r="S560" s="19"/>
      <c r="T560" s="19"/>
      <c r="U560" s="19"/>
      <c r="V560" s="19"/>
      <c r="W560" s="19"/>
      <c r="X560" s="19"/>
      <c r="Y560" s="19"/>
      <c r="Z560" s="19"/>
    </row>
    <row r="561" spans="2:26" ht="12" customHeight="1">
      <c r="B561" s="19"/>
      <c r="C561" s="19"/>
      <c r="D561" s="19"/>
      <c r="E561" s="19"/>
      <c r="F561" s="19"/>
      <c r="G561" s="19"/>
      <c r="H561" s="19"/>
      <c r="I561" s="19"/>
      <c r="J561" s="19"/>
      <c r="K561" s="19"/>
      <c r="L561" s="19"/>
      <c r="M561" s="19"/>
      <c r="N561" s="19"/>
      <c r="O561" s="19"/>
      <c r="P561" s="19"/>
      <c r="Q561" s="19"/>
      <c r="R561" s="19"/>
      <c r="S561" s="19"/>
      <c r="T561" s="19"/>
      <c r="U561" s="19"/>
      <c r="V561" s="19"/>
      <c r="W561" s="19"/>
      <c r="X561" s="19"/>
      <c r="Y561" s="19"/>
      <c r="Z561" s="19"/>
    </row>
    <row r="562" spans="2:26" ht="12" customHeight="1">
      <c r="B562" s="19"/>
      <c r="C562" s="19"/>
      <c r="D562" s="19"/>
      <c r="E562" s="19"/>
      <c r="F562" s="19"/>
      <c r="G562" s="19"/>
      <c r="H562" s="19"/>
      <c r="I562" s="19"/>
      <c r="J562" s="19"/>
      <c r="K562" s="19"/>
      <c r="L562" s="19"/>
      <c r="M562" s="19"/>
      <c r="N562" s="19"/>
      <c r="O562" s="19"/>
      <c r="P562" s="19"/>
      <c r="Q562" s="19"/>
      <c r="R562" s="19"/>
      <c r="S562" s="19"/>
      <c r="T562" s="19"/>
      <c r="U562" s="19"/>
      <c r="V562" s="19"/>
      <c r="W562" s="19"/>
      <c r="X562" s="19"/>
      <c r="Y562" s="19"/>
      <c r="Z562" s="19"/>
    </row>
    <row r="563" spans="2:26" ht="12" customHeight="1">
      <c r="B563" s="19"/>
      <c r="C563" s="19"/>
      <c r="D563" s="19"/>
      <c r="E563" s="19"/>
      <c r="F563" s="19"/>
      <c r="G563" s="19"/>
      <c r="H563" s="19"/>
      <c r="I563" s="19"/>
      <c r="J563" s="19"/>
      <c r="K563" s="19"/>
      <c r="L563" s="19"/>
      <c r="M563" s="19"/>
      <c r="N563" s="19"/>
      <c r="O563" s="19"/>
      <c r="P563" s="19"/>
      <c r="Q563" s="19"/>
      <c r="R563" s="19"/>
      <c r="S563" s="19"/>
      <c r="T563" s="19"/>
      <c r="U563" s="19"/>
      <c r="V563" s="19"/>
      <c r="W563" s="19"/>
      <c r="X563" s="19"/>
      <c r="Y563" s="19"/>
      <c r="Z563" s="19"/>
    </row>
    <row r="564" spans="2:26" ht="12" customHeight="1">
      <c r="B564" s="19"/>
      <c r="C564" s="19"/>
      <c r="D564" s="19"/>
      <c r="E564" s="19"/>
      <c r="F564" s="19"/>
      <c r="G564" s="19"/>
      <c r="H564" s="19"/>
      <c r="I564" s="19"/>
      <c r="J564" s="19"/>
      <c r="K564" s="19"/>
      <c r="L564" s="19"/>
      <c r="M564" s="19"/>
      <c r="N564" s="19"/>
      <c r="O564" s="19"/>
      <c r="P564" s="19"/>
      <c r="Q564" s="19"/>
      <c r="R564" s="19"/>
      <c r="S564" s="19"/>
      <c r="T564" s="19"/>
      <c r="U564" s="19"/>
      <c r="V564" s="19"/>
      <c r="W564" s="19"/>
      <c r="X564" s="19"/>
      <c r="Y564" s="19"/>
      <c r="Z564" s="19"/>
    </row>
    <row r="565" spans="2:26" ht="12" customHeight="1">
      <c r="B565" s="19"/>
      <c r="C565" s="19"/>
      <c r="D565" s="19"/>
      <c r="E565" s="19"/>
      <c r="F565" s="19"/>
      <c r="G565" s="19"/>
      <c r="H565" s="19"/>
      <c r="I565" s="19"/>
      <c r="J565" s="19"/>
      <c r="K565" s="19"/>
      <c r="L565" s="19"/>
      <c r="M565" s="19"/>
      <c r="N565" s="19"/>
      <c r="O565" s="19"/>
      <c r="P565" s="19"/>
      <c r="Q565" s="19"/>
      <c r="R565" s="19"/>
      <c r="S565" s="19"/>
      <c r="T565" s="19"/>
      <c r="U565" s="19"/>
      <c r="V565" s="19"/>
      <c r="W565" s="19"/>
      <c r="X565" s="19"/>
      <c r="Y565" s="19"/>
      <c r="Z565" s="19"/>
    </row>
    <row r="566" spans="2:26" ht="12" customHeight="1">
      <c r="B566" s="19"/>
      <c r="C566" s="19"/>
      <c r="D566" s="19"/>
      <c r="E566" s="19"/>
      <c r="F566" s="19"/>
      <c r="G566" s="19"/>
      <c r="H566" s="19"/>
      <c r="I566" s="19"/>
      <c r="J566" s="19"/>
      <c r="K566" s="19"/>
      <c r="L566" s="19"/>
      <c r="M566" s="19"/>
      <c r="N566" s="19"/>
      <c r="O566" s="19"/>
      <c r="P566" s="19"/>
      <c r="Q566" s="19"/>
      <c r="R566" s="19"/>
      <c r="S566" s="19"/>
      <c r="T566" s="19"/>
      <c r="U566" s="19"/>
      <c r="V566" s="19"/>
      <c r="W566" s="19"/>
      <c r="X566" s="19"/>
      <c r="Y566" s="19"/>
      <c r="Z566" s="19"/>
    </row>
    <row r="567" spans="2:26" ht="12" customHeight="1">
      <c r="B567" s="19"/>
      <c r="C567" s="19"/>
      <c r="D567" s="19"/>
      <c r="E567" s="19"/>
      <c r="F567" s="19"/>
      <c r="G567" s="19"/>
      <c r="H567" s="19"/>
      <c r="I567" s="19"/>
      <c r="J567" s="19"/>
      <c r="K567" s="19"/>
      <c r="L567" s="19"/>
      <c r="M567" s="19"/>
      <c r="N567" s="19"/>
      <c r="O567" s="19"/>
      <c r="P567" s="19"/>
      <c r="Q567" s="19"/>
      <c r="R567" s="19"/>
      <c r="S567" s="19"/>
      <c r="T567" s="19"/>
      <c r="U567" s="19"/>
      <c r="V567" s="19"/>
      <c r="W567" s="19"/>
      <c r="X567" s="19"/>
      <c r="Y567" s="19"/>
      <c r="Z567" s="19"/>
    </row>
    <row r="568" spans="2:26" ht="12" customHeight="1">
      <c r="B568" s="19"/>
      <c r="C568" s="19"/>
      <c r="D568" s="19"/>
      <c r="E568" s="19"/>
      <c r="F568" s="19"/>
      <c r="G568" s="19"/>
      <c r="H568" s="19"/>
      <c r="I568" s="19"/>
      <c r="J568" s="19"/>
      <c r="K568" s="19"/>
      <c r="L568" s="19"/>
      <c r="M568" s="19"/>
      <c r="N568" s="19"/>
      <c r="O568" s="19"/>
      <c r="P568" s="19"/>
      <c r="Q568" s="19"/>
      <c r="R568" s="19"/>
      <c r="S568" s="19"/>
      <c r="T568" s="19"/>
      <c r="U568" s="19"/>
      <c r="V568" s="19"/>
      <c r="W568" s="19"/>
      <c r="X568" s="19"/>
      <c r="Y568" s="19"/>
      <c r="Z568" s="19"/>
    </row>
    <row r="569" spans="2:26" ht="12" customHeight="1">
      <c r="B569" s="19"/>
      <c r="C569" s="19"/>
      <c r="D569" s="19"/>
      <c r="E569" s="19"/>
      <c r="F569" s="19"/>
      <c r="G569" s="19"/>
      <c r="H569" s="19"/>
      <c r="I569" s="19"/>
      <c r="J569" s="19"/>
      <c r="K569" s="19"/>
      <c r="L569" s="19"/>
      <c r="M569" s="19"/>
      <c r="N569" s="19"/>
      <c r="O569" s="19"/>
      <c r="P569" s="19"/>
      <c r="Q569" s="19"/>
      <c r="R569" s="19"/>
      <c r="S569" s="19"/>
      <c r="T569" s="19"/>
      <c r="U569" s="19"/>
      <c r="V569" s="19"/>
      <c r="W569" s="19"/>
      <c r="X569" s="19"/>
      <c r="Y569" s="19"/>
      <c r="Z569" s="19"/>
    </row>
    <row r="570" spans="2:26" ht="12" customHeight="1">
      <c r="B570" s="19"/>
      <c r="C570" s="19"/>
      <c r="D570" s="19"/>
      <c r="E570" s="19"/>
      <c r="F570" s="19"/>
      <c r="G570" s="19"/>
      <c r="H570" s="19"/>
      <c r="I570" s="19"/>
      <c r="J570" s="19"/>
      <c r="K570" s="19"/>
      <c r="L570" s="19"/>
      <c r="M570" s="19"/>
      <c r="N570" s="19"/>
      <c r="O570" s="19"/>
      <c r="P570" s="19"/>
      <c r="Q570" s="19"/>
      <c r="R570" s="19"/>
      <c r="S570" s="19"/>
      <c r="T570" s="19"/>
      <c r="U570" s="19"/>
      <c r="V570" s="19"/>
      <c r="W570" s="19"/>
      <c r="X570" s="19"/>
      <c r="Y570" s="19"/>
      <c r="Z570" s="19"/>
    </row>
    <row r="571" spans="2:26" ht="12" customHeight="1">
      <c r="B571" s="19"/>
      <c r="C571" s="19"/>
      <c r="D571" s="19"/>
      <c r="E571" s="19"/>
      <c r="F571" s="19"/>
      <c r="G571" s="19"/>
      <c r="H571" s="19"/>
      <c r="I571" s="19"/>
      <c r="J571" s="19"/>
      <c r="K571" s="19"/>
      <c r="L571" s="19"/>
      <c r="M571" s="19"/>
      <c r="N571" s="19"/>
      <c r="O571" s="19"/>
      <c r="P571" s="19"/>
      <c r="Q571" s="19"/>
      <c r="R571" s="19"/>
      <c r="S571" s="19"/>
      <c r="T571" s="19"/>
      <c r="U571" s="19"/>
      <c r="V571" s="19"/>
      <c r="W571" s="19"/>
      <c r="X571" s="19"/>
      <c r="Y571" s="19"/>
      <c r="Z571" s="19"/>
    </row>
    <row r="572" spans="2:26" ht="12" customHeight="1">
      <c r="B572" s="19"/>
      <c r="C572" s="19"/>
      <c r="D572" s="19"/>
      <c r="E572" s="19"/>
      <c r="F572" s="19"/>
      <c r="G572" s="19"/>
      <c r="H572" s="19"/>
      <c r="I572" s="19"/>
      <c r="J572" s="19"/>
      <c r="K572" s="19"/>
      <c r="L572" s="19"/>
      <c r="M572" s="19"/>
      <c r="N572" s="19"/>
      <c r="O572" s="19"/>
      <c r="P572" s="19"/>
      <c r="Q572" s="19"/>
      <c r="R572" s="19"/>
      <c r="S572" s="19"/>
      <c r="T572" s="19"/>
      <c r="U572" s="19"/>
      <c r="V572" s="19"/>
      <c r="W572" s="19"/>
      <c r="X572" s="19"/>
      <c r="Y572" s="19"/>
      <c r="Z572" s="19"/>
    </row>
    <row r="573" spans="2:26" ht="12" customHeight="1">
      <c r="B573" s="19"/>
      <c r="C573" s="19"/>
      <c r="D573" s="19"/>
      <c r="E573" s="19"/>
      <c r="F573" s="19"/>
      <c r="G573" s="19"/>
      <c r="H573" s="19"/>
      <c r="I573" s="19"/>
      <c r="J573" s="19"/>
      <c r="K573" s="19"/>
      <c r="L573" s="19"/>
      <c r="M573" s="19"/>
      <c r="N573" s="19"/>
      <c r="O573" s="19"/>
      <c r="P573" s="19"/>
      <c r="Q573" s="19"/>
      <c r="R573" s="19"/>
      <c r="S573" s="19"/>
      <c r="T573" s="19"/>
      <c r="U573" s="19"/>
      <c r="V573" s="19"/>
      <c r="W573" s="19"/>
      <c r="X573" s="19"/>
      <c r="Y573" s="19"/>
      <c r="Z573" s="19"/>
    </row>
    <row r="574" spans="2:26" ht="12" customHeight="1">
      <c r="B574" s="19"/>
      <c r="C574" s="19"/>
      <c r="D574" s="19"/>
      <c r="E574" s="19"/>
      <c r="F574" s="19"/>
      <c r="G574" s="19"/>
      <c r="H574" s="19"/>
      <c r="I574" s="19"/>
      <c r="J574" s="19"/>
      <c r="K574" s="19"/>
      <c r="L574" s="19"/>
      <c r="M574" s="19"/>
      <c r="N574" s="19"/>
      <c r="O574" s="19"/>
      <c r="P574" s="19"/>
      <c r="Q574" s="19"/>
      <c r="R574" s="19"/>
      <c r="S574" s="19"/>
      <c r="T574" s="19"/>
      <c r="U574" s="19"/>
      <c r="V574" s="19"/>
      <c r="W574" s="19"/>
      <c r="X574" s="19"/>
      <c r="Y574" s="19"/>
      <c r="Z574" s="19"/>
    </row>
    <row r="575" spans="2:26" ht="12" customHeight="1">
      <c r="B575" s="19"/>
      <c r="C575" s="19"/>
      <c r="D575" s="19"/>
      <c r="E575" s="19"/>
      <c r="F575" s="19"/>
      <c r="G575" s="19"/>
      <c r="H575" s="19"/>
      <c r="I575" s="19"/>
      <c r="J575" s="19"/>
      <c r="K575" s="19"/>
      <c r="L575" s="19"/>
      <c r="M575" s="19"/>
      <c r="N575" s="19"/>
      <c r="O575" s="19"/>
      <c r="P575" s="19"/>
      <c r="Q575" s="19"/>
      <c r="R575" s="19"/>
      <c r="S575" s="19"/>
      <c r="T575" s="19"/>
      <c r="U575" s="19"/>
      <c r="V575" s="19"/>
      <c r="W575" s="19"/>
      <c r="X575" s="19"/>
      <c r="Y575" s="19"/>
      <c r="Z575" s="19"/>
    </row>
    <row r="576" spans="2:26" ht="12" customHeight="1">
      <c r="B576" s="19"/>
      <c r="C576" s="19"/>
      <c r="D576" s="19"/>
      <c r="E576" s="19"/>
      <c r="F576" s="19"/>
      <c r="G576" s="19"/>
      <c r="H576" s="19"/>
      <c r="I576" s="19"/>
      <c r="J576" s="19"/>
      <c r="K576" s="19"/>
      <c r="L576" s="19"/>
      <c r="M576" s="19"/>
      <c r="N576" s="19"/>
      <c r="O576" s="19"/>
      <c r="P576" s="19"/>
      <c r="Q576" s="19"/>
      <c r="R576" s="19"/>
      <c r="S576" s="19"/>
      <c r="T576" s="19"/>
      <c r="U576" s="19"/>
      <c r="V576" s="19"/>
      <c r="W576" s="19"/>
      <c r="X576" s="19"/>
      <c r="Y576" s="19"/>
      <c r="Z576" s="19"/>
    </row>
    <row r="577" spans="2:26" ht="12" customHeight="1">
      <c r="B577" s="19"/>
      <c r="C577" s="19"/>
      <c r="D577" s="19"/>
      <c r="E577" s="19"/>
      <c r="F577" s="19"/>
      <c r="G577" s="19"/>
      <c r="H577" s="19"/>
      <c r="I577" s="19"/>
      <c r="J577" s="19"/>
      <c r="K577" s="19"/>
      <c r="L577" s="19"/>
      <c r="M577" s="19"/>
      <c r="N577" s="19"/>
      <c r="O577" s="19"/>
      <c r="P577" s="19"/>
      <c r="Q577" s="19"/>
      <c r="R577" s="19"/>
      <c r="S577" s="19"/>
      <c r="T577" s="19"/>
      <c r="U577" s="19"/>
      <c r="V577" s="19"/>
      <c r="W577" s="19"/>
      <c r="X577" s="19"/>
      <c r="Y577" s="19"/>
      <c r="Z577" s="19"/>
    </row>
    <row r="578" spans="2:26" ht="12" customHeight="1">
      <c r="B578" s="19"/>
      <c r="C578" s="19"/>
      <c r="D578" s="19"/>
      <c r="E578" s="19"/>
      <c r="F578" s="19"/>
      <c r="G578" s="19"/>
      <c r="H578" s="19"/>
      <c r="I578" s="19"/>
      <c r="J578" s="19"/>
      <c r="K578" s="19"/>
      <c r="L578" s="19"/>
      <c r="M578" s="19"/>
      <c r="N578" s="19"/>
      <c r="O578" s="19"/>
      <c r="P578" s="19"/>
      <c r="Q578" s="19"/>
      <c r="R578" s="19"/>
      <c r="S578" s="19"/>
      <c r="T578" s="19"/>
      <c r="U578" s="19"/>
      <c r="V578" s="19"/>
      <c r="W578" s="19"/>
      <c r="X578" s="19"/>
      <c r="Y578" s="19"/>
      <c r="Z578" s="19"/>
    </row>
    <row r="579" spans="2:26" ht="12" customHeight="1">
      <c r="B579" s="19"/>
      <c r="C579" s="19"/>
      <c r="D579" s="19"/>
      <c r="E579" s="19"/>
      <c r="F579" s="19"/>
      <c r="G579" s="19"/>
      <c r="H579" s="19"/>
      <c r="I579" s="19"/>
      <c r="J579" s="19"/>
      <c r="K579" s="19"/>
      <c r="L579" s="19"/>
      <c r="M579" s="19"/>
      <c r="N579" s="19"/>
      <c r="O579" s="19"/>
      <c r="P579" s="19"/>
      <c r="Q579" s="19"/>
      <c r="R579" s="19"/>
      <c r="S579" s="19"/>
      <c r="T579" s="19"/>
      <c r="U579" s="19"/>
      <c r="V579" s="19"/>
      <c r="W579" s="19"/>
      <c r="X579" s="19"/>
      <c r="Y579" s="19"/>
      <c r="Z579" s="19"/>
    </row>
    <row r="580" spans="2:26" ht="12" customHeight="1">
      <c r="B580" s="19"/>
      <c r="C580" s="19"/>
      <c r="D580" s="19"/>
      <c r="E580" s="19"/>
      <c r="F580" s="19"/>
      <c r="G580" s="19"/>
      <c r="H580" s="19"/>
      <c r="I580" s="19"/>
      <c r="J580" s="19"/>
      <c r="K580" s="19"/>
      <c r="L580" s="19"/>
      <c r="M580" s="19"/>
      <c r="N580" s="19"/>
      <c r="O580" s="19"/>
      <c r="P580" s="19"/>
      <c r="Q580" s="19"/>
      <c r="R580" s="19"/>
      <c r="S580" s="19"/>
      <c r="T580" s="19"/>
      <c r="U580" s="19"/>
      <c r="V580" s="19"/>
      <c r="W580" s="19"/>
      <c r="X580" s="19"/>
      <c r="Y580" s="19"/>
      <c r="Z580" s="19"/>
    </row>
    <row r="581" spans="2:26" ht="12" customHeight="1">
      <c r="B581" s="19"/>
      <c r="C581" s="19"/>
      <c r="D581" s="19"/>
      <c r="E581" s="19"/>
      <c r="F581" s="19"/>
      <c r="G581" s="19"/>
      <c r="H581" s="19"/>
      <c r="I581" s="19"/>
      <c r="J581" s="19"/>
      <c r="K581" s="19"/>
      <c r="L581" s="19"/>
      <c r="M581" s="19"/>
      <c r="N581" s="19"/>
      <c r="O581" s="19"/>
      <c r="P581" s="19"/>
      <c r="Q581" s="19"/>
      <c r="R581" s="19"/>
      <c r="S581" s="19"/>
      <c r="T581" s="19"/>
      <c r="U581" s="19"/>
      <c r="V581" s="19"/>
      <c r="W581" s="19"/>
      <c r="X581" s="19"/>
      <c r="Y581" s="19"/>
      <c r="Z581" s="19"/>
    </row>
    <row r="582" spans="2:26" ht="12" customHeight="1">
      <c r="B582" s="19"/>
      <c r="C582" s="19"/>
      <c r="D582" s="19"/>
      <c r="E582" s="19"/>
      <c r="F582" s="19"/>
      <c r="G582" s="19"/>
      <c r="H582" s="19"/>
      <c r="I582" s="19"/>
      <c r="J582" s="19"/>
      <c r="K582" s="19"/>
      <c r="L582" s="19"/>
      <c r="M582" s="19"/>
      <c r="N582" s="19"/>
      <c r="O582" s="19"/>
      <c r="P582" s="19"/>
      <c r="Q582" s="19"/>
      <c r="R582" s="19"/>
      <c r="S582" s="19"/>
      <c r="T582" s="19"/>
      <c r="U582" s="19"/>
      <c r="V582" s="19"/>
      <c r="W582" s="19"/>
      <c r="X582" s="19"/>
      <c r="Y582" s="19"/>
      <c r="Z582" s="19"/>
    </row>
    <row r="583" spans="2:26" ht="12" customHeight="1">
      <c r="B583" s="19"/>
      <c r="C583" s="19"/>
      <c r="D583" s="19"/>
      <c r="E583" s="19"/>
      <c r="F583" s="19"/>
      <c r="G583" s="19"/>
      <c r="H583" s="19"/>
      <c r="I583" s="19"/>
      <c r="J583" s="19"/>
      <c r="K583" s="19"/>
      <c r="L583" s="19"/>
      <c r="M583" s="19"/>
      <c r="N583" s="19"/>
      <c r="O583" s="19"/>
      <c r="P583" s="19"/>
      <c r="Q583" s="19"/>
      <c r="R583" s="19"/>
      <c r="S583" s="19"/>
      <c r="T583" s="19"/>
      <c r="U583" s="19"/>
      <c r="V583" s="19"/>
      <c r="W583" s="19"/>
      <c r="X583" s="19"/>
      <c r="Y583" s="19"/>
      <c r="Z583" s="19"/>
    </row>
    <row r="584" spans="2:26" ht="12" customHeight="1">
      <c r="B584" s="19"/>
      <c r="C584" s="19"/>
      <c r="D584" s="19"/>
      <c r="E584" s="19"/>
      <c r="F584" s="19"/>
      <c r="G584" s="19"/>
      <c r="H584" s="19"/>
      <c r="I584" s="19"/>
      <c r="J584" s="19"/>
      <c r="K584" s="19"/>
      <c r="L584" s="19"/>
      <c r="M584" s="19"/>
      <c r="N584" s="19"/>
      <c r="O584" s="19"/>
      <c r="P584" s="19"/>
      <c r="Q584" s="19"/>
      <c r="R584" s="19"/>
      <c r="S584" s="19"/>
      <c r="T584" s="19"/>
      <c r="U584" s="19"/>
      <c r="V584" s="19"/>
      <c r="W584" s="19"/>
      <c r="X584" s="19"/>
      <c r="Y584" s="19"/>
      <c r="Z584" s="19"/>
    </row>
    <row r="585" spans="2:26" ht="12" customHeight="1">
      <c r="B585" s="19"/>
      <c r="C585" s="19"/>
      <c r="D585" s="19"/>
      <c r="E585" s="19"/>
      <c r="F585" s="19"/>
      <c r="G585" s="19"/>
      <c r="H585" s="19"/>
      <c r="I585" s="19"/>
      <c r="J585" s="19"/>
      <c r="K585" s="19"/>
      <c r="L585" s="19"/>
      <c r="M585" s="19"/>
      <c r="N585" s="19"/>
      <c r="O585" s="19"/>
      <c r="P585" s="19"/>
      <c r="Q585" s="19"/>
      <c r="R585" s="19"/>
      <c r="S585" s="19"/>
      <c r="T585" s="19"/>
      <c r="U585" s="19"/>
      <c r="V585" s="19"/>
      <c r="W585" s="19"/>
      <c r="X585" s="19"/>
      <c r="Y585" s="19"/>
      <c r="Z585" s="19"/>
    </row>
    <row r="586" spans="2:26" ht="12" customHeight="1">
      <c r="B586" s="19"/>
      <c r="C586" s="19"/>
      <c r="D586" s="19"/>
      <c r="E586" s="19"/>
      <c r="F586" s="19"/>
      <c r="G586" s="19"/>
      <c r="H586" s="19"/>
      <c r="I586" s="19"/>
      <c r="J586" s="19"/>
      <c r="K586" s="19"/>
      <c r="L586" s="19"/>
      <c r="M586" s="19"/>
      <c r="N586" s="19"/>
      <c r="O586" s="19"/>
      <c r="P586" s="19"/>
      <c r="Q586" s="19"/>
      <c r="R586" s="19"/>
      <c r="S586" s="19"/>
      <c r="T586" s="19"/>
      <c r="U586" s="19"/>
      <c r="V586" s="19"/>
      <c r="W586" s="19"/>
      <c r="X586" s="19"/>
      <c r="Y586" s="19"/>
      <c r="Z586" s="19"/>
    </row>
    <row r="587" spans="2:26" ht="12" customHeight="1">
      <c r="B587" s="19"/>
      <c r="C587" s="19"/>
      <c r="D587" s="19"/>
      <c r="E587" s="19"/>
      <c r="F587" s="19"/>
      <c r="G587" s="19"/>
      <c r="H587" s="19"/>
      <c r="I587" s="19"/>
      <c r="J587" s="19"/>
      <c r="K587" s="19"/>
      <c r="L587" s="19"/>
      <c r="M587" s="19"/>
      <c r="N587" s="19"/>
      <c r="O587" s="19"/>
      <c r="P587" s="19"/>
      <c r="Q587" s="19"/>
      <c r="R587" s="19"/>
      <c r="S587" s="19"/>
      <c r="T587" s="19"/>
      <c r="U587" s="19"/>
      <c r="V587" s="19"/>
      <c r="W587" s="19"/>
      <c r="X587" s="19"/>
      <c r="Y587" s="19"/>
      <c r="Z587" s="19"/>
    </row>
    <row r="588" spans="2:26" ht="12" customHeight="1">
      <c r="B588" s="19"/>
      <c r="C588" s="19"/>
      <c r="D588" s="19"/>
      <c r="E588" s="19"/>
      <c r="F588" s="19"/>
      <c r="G588" s="19"/>
      <c r="H588" s="19"/>
      <c r="I588" s="19"/>
      <c r="J588" s="19"/>
      <c r="K588" s="19"/>
      <c r="L588" s="19"/>
      <c r="M588" s="19"/>
      <c r="N588" s="19"/>
      <c r="O588" s="19"/>
      <c r="P588" s="19"/>
      <c r="Q588" s="19"/>
      <c r="R588" s="19"/>
      <c r="S588" s="19"/>
      <c r="T588" s="19"/>
      <c r="U588" s="19"/>
      <c r="V588" s="19"/>
      <c r="W588" s="19"/>
      <c r="X588" s="19"/>
      <c r="Y588" s="19"/>
      <c r="Z588" s="19"/>
    </row>
    <row r="589" spans="2:26" ht="12" customHeight="1">
      <c r="B589" s="19"/>
      <c r="C589" s="19"/>
      <c r="D589" s="19"/>
      <c r="E589" s="19"/>
      <c r="F589" s="19"/>
      <c r="G589" s="19"/>
      <c r="H589" s="19"/>
      <c r="I589" s="19"/>
      <c r="J589" s="19"/>
      <c r="K589" s="19"/>
      <c r="L589" s="19"/>
      <c r="M589" s="19"/>
      <c r="N589" s="19"/>
      <c r="O589" s="19"/>
      <c r="P589" s="19"/>
      <c r="Q589" s="19"/>
      <c r="R589" s="19"/>
      <c r="S589" s="19"/>
      <c r="T589" s="19"/>
      <c r="U589" s="19"/>
      <c r="V589" s="19"/>
      <c r="W589" s="19"/>
      <c r="X589" s="19"/>
      <c r="Y589" s="19"/>
      <c r="Z589" s="19"/>
    </row>
    <row r="590" spans="2:26" ht="12" customHeight="1">
      <c r="B590" s="19"/>
      <c r="C590" s="19"/>
      <c r="D590" s="19"/>
      <c r="E590" s="19"/>
      <c r="F590" s="19"/>
      <c r="G590" s="19"/>
      <c r="H590" s="19"/>
      <c r="I590" s="19"/>
      <c r="J590" s="19"/>
      <c r="K590" s="19"/>
      <c r="L590" s="19"/>
      <c r="M590" s="19"/>
      <c r="N590" s="19"/>
      <c r="O590" s="19"/>
      <c r="P590" s="19"/>
      <c r="Q590" s="19"/>
      <c r="R590" s="19"/>
      <c r="S590" s="19"/>
      <c r="T590" s="19"/>
      <c r="U590" s="19"/>
      <c r="V590" s="19"/>
      <c r="W590" s="19"/>
      <c r="X590" s="19"/>
      <c r="Y590" s="19"/>
      <c r="Z590" s="19"/>
    </row>
    <row r="591" spans="2:26" ht="12" customHeight="1">
      <c r="B591" s="19"/>
      <c r="C591" s="19"/>
      <c r="D591" s="19"/>
      <c r="E591" s="19"/>
      <c r="F591" s="19"/>
      <c r="G591" s="19"/>
      <c r="H591" s="19"/>
      <c r="I591" s="19"/>
      <c r="J591" s="19"/>
      <c r="K591" s="19"/>
      <c r="L591" s="19"/>
      <c r="M591" s="19"/>
      <c r="N591" s="19"/>
      <c r="O591" s="19"/>
      <c r="P591" s="19"/>
      <c r="Q591" s="19"/>
      <c r="R591" s="19"/>
      <c r="S591" s="19"/>
      <c r="T591" s="19"/>
      <c r="U591" s="19"/>
      <c r="V591" s="19"/>
      <c r="W591" s="19"/>
      <c r="X591" s="19"/>
      <c r="Y591" s="19"/>
      <c r="Z591" s="19"/>
    </row>
    <row r="592" spans="2:26" ht="12" customHeight="1">
      <c r="B592" s="19"/>
      <c r="C592" s="19"/>
      <c r="D592" s="19"/>
      <c r="E592" s="19"/>
      <c r="F592" s="19"/>
      <c r="G592" s="19"/>
      <c r="H592" s="19"/>
      <c r="I592" s="19"/>
      <c r="J592" s="19"/>
      <c r="K592" s="19"/>
      <c r="L592" s="19"/>
      <c r="M592" s="19"/>
      <c r="N592" s="19"/>
      <c r="O592" s="19"/>
      <c r="P592" s="19"/>
      <c r="Q592" s="19"/>
      <c r="R592" s="19"/>
      <c r="S592" s="19"/>
      <c r="T592" s="19"/>
      <c r="U592" s="19"/>
      <c r="V592" s="19"/>
      <c r="W592" s="19"/>
      <c r="X592" s="19"/>
      <c r="Y592" s="19"/>
      <c r="Z592" s="19"/>
    </row>
    <row r="593" spans="2:26" ht="12" customHeight="1">
      <c r="B593" s="19"/>
      <c r="C593" s="19"/>
      <c r="D593" s="19"/>
      <c r="E593" s="19"/>
      <c r="F593" s="19"/>
      <c r="G593" s="19"/>
      <c r="H593" s="19"/>
      <c r="I593" s="19"/>
      <c r="J593" s="19"/>
      <c r="K593" s="19"/>
      <c r="L593" s="19"/>
      <c r="M593" s="19"/>
      <c r="N593" s="19"/>
      <c r="O593" s="19"/>
      <c r="P593" s="19"/>
      <c r="Q593" s="19"/>
      <c r="R593" s="19"/>
      <c r="S593" s="19"/>
      <c r="T593" s="19"/>
      <c r="U593" s="19"/>
      <c r="V593" s="19"/>
      <c r="W593" s="19"/>
      <c r="X593" s="19"/>
      <c r="Y593" s="19"/>
      <c r="Z593" s="19"/>
    </row>
    <row r="594" spans="2:26" ht="12" customHeight="1">
      <c r="B594" s="19"/>
      <c r="C594" s="19"/>
      <c r="D594" s="19"/>
      <c r="E594" s="19"/>
      <c r="F594" s="19"/>
      <c r="G594" s="19"/>
      <c r="H594" s="19"/>
      <c r="I594" s="19"/>
      <c r="J594" s="19"/>
      <c r="K594" s="19"/>
      <c r="L594" s="19"/>
      <c r="M594" s="19"/>
      <c r="N594" s="19"/>
      <c r="O594" s="19"/>
      <c r="P594" s="19"/>
      <c r="Q594" s="19"/>
      <c r="R594" s="19"/>
      <c r="S594" s="19"/>
      <c r="T594" s="19"/>
      <c r="U594" s="19"/>
      <c r="V594" s="19"/>
      <c r="W594" s="19"/>
      <c r="X594" s="19"/>
      <c r="Y594" s="19"/>
      <c r="Z594" s="19"/>
    </row>
    <row r="595" spans="2:26" ht="12" customHeight="1">
      <c r="B595" s="19"/>
      <c r="C595" s="19"/>
      <c r="D595" s="19"/>
      <c r="E595" s="19"/>
      <c r="F595" s="19"/>
      <c r="G595" s="19"/>
      <c r="H595" s="19"/>
      <c r="I595" s="19"/>
      <c r="J595" s="19"/>
      <c r="K595" s="19"/>
      <c r="L595" s="19"/>
      <c r="M595" s="19"/>
      <c r="N595" s="19"/>
      <c r="O595" s="19"/>
      <c r="P595" s="19"/>
      <c r="Q595" s="19"/>
      <c r="R595" s="19"/>
      <c r="S595" s="19"/>
      <c r="T595" s="19"/>
      <c r="U595" s="19"/>
      <c r="V595" s="19"/>
      <c r="W595" s="19"/>
      <c r="X595" s="19"/>
      <c r="Y595" s="19"/>
      <c r="Z595" s="19"/>
    </row>
    <row r="596" spans="2:26" ht="12" customHeight="1">
      <c r="B596" s="19"/>
      <c r="C596" s="19"/>
      <c r="D596" s="19"/>
      <c r="E596" s="19"/>
      <c r="F596" s="19"/>
      <c r="G596" s="19"/>
      <c r="H596" s="19"/>
      <c r="I596" s="19"/>
      <c r="J596" s="19"/>
      <c r="K596" s="19"/>
      <c r="L596" s="19"/>
      <c r="M596" s="19"/>
      <c r="N596" s="19"/>
      <c r="O596" s="19"/>
      <c r="P596" s="19"/>
      <c r="Q596" s="19"/>
      <c r="R596" s="19"/>
      <c r="S596" s="19"/>
      <c r="T596" s="19"/>
      <c r="U596" s="19"/>
      <c r="V596" s="19"/>
      <c r="W596" s="19"/>
      <c r="X596" s="19"/>
      <c r="Y596" s="19"/>
      <c r="Z596" s="19"/>
    </row>
    <row r="597" spans="2:26" ht="12" customHeight="1">
      <c r="B597" s="19"/>
      <c r="C597" s="19"/>
      <c r="D597" s="19"/>
      <c r="E597" s="19"/>
      <c r="F597" s="19"/>
      <c r="G597" s="19"/>
      <c r="H597" s="19"/>
      <c r="I597" s="19"/>
      <c r="J597" s="19"/>
      <c r="K597" s="19"/>
      <c r="L597" s="19"/>
      <c r="M597" s="19"/>
      <c r="N597" s="19"/>
      <c r="O597" s="19"/>
      <c r="P597" s="19"/>
      <c r="Q597" s="19"/>
      <c r="R597" s="19"/>
      <c r="S597" s="19"/>
      <c r="T597" s="19"/>
      <c r="U597" s="19"/>
      <c r="V597" s="19"/>
      <c r="W597" s="19"/>
      <c r="X597" s="19"/>
      <c r="Y597" s="19"/>
      <c r="Z597" s="19"/>
    </row>
    <row r="598" spans="2:26" ht="12" customHeight="1">
      <c r="B598" s="19"/>
      <c r="C598" s="19"/>
      <c r="D598" s="19"/>
      <c r="E598" s="19"/>
      <c r="F598" s="19"/>
      <c r="G598" s="19"/>
      <c r="H598" s="19"/>
      <c r="I598" s="19"/>
      <c r="J598" s="19"/>
      <c r="K598" s="19"/>
      <c r="L598" s="19"/>
      <c r="M598" s="19"/>
      <c r="N598" s="19"/>
      <c r="O598" s="19"/>
      <c r="P598" s="19"/>
      <c r="Q598" s="19"/>
      <c r="R598" s="19"/>
      <c r="S598" s="19"/>
      <c r="T598" s="19"/>
      <c r="U598" s="19"/>
      <c r="V598" s="19"/>
      <c r="W598" s="19"/>
      <c r="X598" s="19"/>
      <c r="Y598" s="19"/>
      <c r="Z598" s="19"/>
    </row>
    <row r="599" spans="2:26" ht="12" customHeight="1">
      <c r="B599" s="19"/>
      <c r="C599" s="19"/>
      <c r="D599" s="19"/>
      <c r="E599" s="19"/>
      <c r="F599" s="19"/>
      <c r="G599" s="19"/>
      <c r="H599" s="19"/>
      <c r="I599" s="19"/>
      <c r="J599" s="19"/>
      <c r="K599" s="19"/>
      <c r="L599" s="19"/>
      <c r="M599" s="19"/>
      <c r="N599" s="19"/>
      <c r="O599" s="19"/>
      <c r="P599" s="19"/>
      <c r="Q599" s="19"/>
      <c r="R599" s="19"/>
      <c r="S599" s="19"/>
      <c r="T599" s="19"/>
      <c r="U599" s="19"/>
      <c r="V599" s="19"/>
      <c r="W599" s="19"/>
      <c r="X599" s="19"/>
      <c r="Y599" s="19"/>
      <c r="Z599" s="19"/>
    </row>
    <row r="600" spans="2:26" ht="12" customHeight="1">
      <c r="B600" s="19"/>
      <c r="C600" s="19"/>
      <c r="D600" s="19"/>
      <c r="E600" s="19"/>
      <c r="F600" s="19"/>
      <c r="G600" s="19"/>
      <c r="H600" s="19"/>
      <c r="I600" s="19"/>
      <c r="J600" s="19"/>
      <c r="K600" s="19"/>
      <c r="L600" s="19"/>
      <c r="M600" s="19"/>
      <c r="N600" s="19"/>
      <c r="O600" s="19"/>
      <c r="P600" s="19"/>
      <c r="Q600" s="19"/>
      <c r="R600" s="19"/>
      <c r="S600" s="19"/>
      <c r="T600" s="19"/>
      <c r="U600" s="19"/>
      <c r="V600" s="19"/>
      <c r="W600" s="19"/>
      <c r="X600" s="19"/>
      <c r="Y600" s="19"/>
      <c r="Z600" s="19"/>
    </row>
    <row r="601" spans="2:26" ht="12" customHeight="1">
      <c r="B601" s="19"/>
      <c r="C601" s="19"/>
      <c r="D601" s="19"/>
      <c r="E601" s="19"/>
      <c r="F601" s="19"/>
      <c r="G601" s="19"/>
      <c r="H601" s="19"/>
      <c r="I601" s="19"/>
      <c r="J601" s="19"/>
      <c r="K601" s="19"/>
      <c r="L601" s="19"/>
      <c r="M601" s="19"/>
      <c r="N601" s="19"/>
      <c r="O601" s="19"/>
      <c r="P601" s="19"/>
      <c r="Q601" s="19"/>
      <c r="R601" s="19"/>
      <c r="S601" s="19"/>
      <c r="T601" s="19"/>
      <c r="U601" s="19"/>
      <c r="V601" s="19"/>
      <c r="W601" s="19"/>
      <c r="X601" s="19"/>
      <c r="Y601" s="19"/>
      <c r="Z601" s="19"/>
    </row>
    <row r="602" spans="2:26" ht="12" customHeight="1">
      <c r="B602" s="19"/>
      <c r="C602" s="19"/>
      <c r="D602" s="19"/>
      <c r="E602" s="19"/>
      <c r="F602" s="19"/>
      <c r="G602" s="19"/>
      <c r="H602" s="19"/>
      <c r="I602" s="19"/>
      <c r="J602" s="19"/>
      <c r="K602" s="19"/>
      <c r="L602" s="19"/>
      <c r="M602" s="19"/>
      <c r="N602" s="19"/>
      <c r="O602" s="19"/>
      <c r="P602" s="19"/>
      <c r="Q602" s="19"/>
      <c r="R602" s="19"/>
      <c r="S602" s="19"/>
      <c r="T602" s="19"/>
      <c r="U602" s="19"/>
      <c r="V602" s="19"/>
      <c r="W602" s="19"/>
      <c r="X602" s="19"/>
      <c r="Y602" s="19"/>
      <c r="Z602" s="19"/>
    </row>
    <row r="603" spans="2:26" ht="12" customHeight="1">
      <c r="B603" s="19"/>
      <c r="C603" s="19"/>
      <c r="D603" s="19"/>
      <c r="E603" s="19"/>
      <c r="F603" s="19"/>
      <c r="G603" s="19"/>
      <c r="H603" s="19"/>
      <c r="I603" s="19"/>
      <c r="J603" s="19"/>
      <c r="K603" s="19"/>
      <c r="L603" s="19"/>
      <c r="M603" s="19"/>
      <c r="N603" s="19"/>
      <c r="O603" s="19"/>
      <c r="P603" s="19"/>
      <c r="Q603" s="19"/>
      <c r="R603" s="19"/>
      <c r="S603" s="19"/>
      <c r="T603" s="19"/>
      <c r="U603" s="19"/>
      <c r="V603" s="19"/>
      <c r="W603" s="19"/>
      <c r="X603" s="19"/>
      <c r="Y603" s="19"/>
      <c r="Z603" s="19"/>
    </row>
    <row r="604" spans="2:26" ht="12" customHeight="1">
      <c r="B604" s="19"/>
      <c r="C604" s="19"/>
      <c r="D604" s="19"/>
      <c r="E604" s="19"/>
      <c r="F604" s="19"/>
      <c r="G604" s="19"/>
      <c r="H604" s="19"/>
      <c r="I604" s="19"/>
      <c r="J604" s="19"/>
      <c r="K604" s="19"/>
      <c r="L604" s="19"/>
      <c r="M604" s="19"/>
      <c r="N604" s="19"/>
      <c r="O604" s="19"/>
      <c r="P604" s="19"/>
      <c r="Q604" s="19"/>
      <c r="R604" s="19"/>
      <c r="S604" s="19"/>
      <c r="T604" s="19"/>
      <c r="U604" s="19"/>
      <c r="V604" s="19"/>
      <c r="W604" s="19"/>
      <c r="X604" s="19"/>
      <c r="Y604" s="19"/>
      <c r="Z604" s="19"/>
    </row>
    <row r="605" spans="2:26" ht="12" customHeight="1">
      <c r="B605" s="19"/>
      <c r="C605" s="19"/>
      <c r="D605" s="19"/>
      <c r="E605" s="19"/>
      <c r="F605" s="19"/>
      <c r="G605" s="19"/>
      <c r="H605" s="19"/>
      <c r="I605" s="19"/>
      <c r="J605" s="19"/>
      <c r="K605" s="19"/>
      <c r="L605" s="19"/>
      <c r="M605" s="19"/>
      <c r="N605" s="19"/>
      <c r="O605" s="19"/>
      <c r="P605" s="19"/>
      <c r="Q605" s="19"/>
      <c r="R605" s="19"/>
      <c r="S605" s="19"/>
      <c r="T605" s="19"/>
      <c r="U605" s="19"/>
      <c r="V605" s="19"/>
      <c r="W605" s="19"/>
      <c r="X605" s="19"/>
      <c r="Y605" s="19"/>
      <c r="Z605" s="19"/>
    </row>
    <row r="606" spans="2:26" ht="12" customHeight="1">
      <c r="B606" s="19"/>
      <c r="C606" s="19"/>
      <c r="D606" s="19"/>
      <c r="E606" s="19"/>
      <c r="F606" s="19"/>
      <c r="G606" s="19"/>
      <c r="H606" s="19"/>
      <c r="I606" s="19"/>
      <c r="J606" s="19"/>
      <c r="K606" s="19"/>
      <c r="L606" s="19"/>
      <c r="M606" s="19"/>
      <c r="N606" s="19"/>
      <c r="O606" s="19"/>
      <c r="P606" s="19"/>
      <c r="Q606" s="19"/>
      <c r="R606" s="19"/>
      <c r="S606" s="19"/>
      <c r="T606" s="19"/>
      <c r="U606" s="19"/>
      <c r="V606" s="19"/>
      <c r="W606" s="19"/>
      <c r="X606" s="19"/>
      <c r="Y606" s="19"/>
      <c r="Z606" s="19"/>
    </row>
    <row r="607" spans="2:26" ht="12" customHeight="1">
      <c r="B607" s="19"/>
      <c r="C607" s="19"/>
      <c r="D607" s="19"/>
      <c r="E607" s="19"/>
      <c r="F607" s="19"/>
      <c r="G607" s="19"/>
      <c r="H607" s="19"/>
      <c r="I607" s="19"/>
      <c r="J607" s="19"/>
      <c r="K607" s="19"/>
      <c r="L607" s="19"/>
      <c r="M607" s="19"/>
      <c r="N607" s="19"/>
      <c r="O607" s="19"/>
      <c r="P607" s="19"/>
      <c r="Q607" s="19"/>
      <c r="R607" s="19"/>
      <c r="S607" s="19"/>
      <c r="T607" s="19"/>
      <c r="U607" s="19"/>
      <c r="V607" s="19"/>
      <c r="W607" s="19"/>
      <c r="X607" s="19"/>
      <c r="Y607" s="19"/>
      <c r="Z607" s="19"/>
    </row>
    <row r="608" spans="2:26" ht="12" customHeight="1">
      <c r="B608" s="19"/>
      <c r="C608" s="19"/>
      <c r="D608" s="19"/>
      <c r="E608" s="19"/>
      <c r="F608" s="19"/>
      <c r="G608" s="19"/>
      <c r="H608" s="19"/>
      <c r="I608" s="19"/>
      <c r="J608" s="19"/>
      <c r="K608" s="19"/>
      <c r="L608" s="19"/>
      <c r="M608" s="19"/>
      <c r="N608" s="19"/>
      <c r="O608" s="19"/>
      <c r="P608" s="19"/>
      <c r="Q608" s="19"/>
      <c r="R608" s="19"/>
      <c r="S608" s="19"/>
      <c r="T608" s="19"/>
      <c r="U608" s="19"/>
      <c r="V608" s="19"/>
      <c r="W608" s="19"/>
      <c r="X608" s="19"/>
      <c r="Y608" s="19"/>
      <c r="Z608" s="19"/>
    </row>
    <row r="609" spans="2:26" ht="12" customHeight="1">
      <c r="B609" s="19"/>
      <c r="C609" s="19"/>
      <c r="D609" s="19"/>
      <c r="E609" s="19"/>
      <c r="F609" s="19"/>
      <c r="G609" s="19"/>
      <c r="H609" s="19"/>
      <c r="I609" s="19"/>
      <c r="J609" s="19"/>
      <c r="K609" s="19"/>
      <c r="L609" s="19"/>
      <c r="M609" s="19"/>
      <c r="N609" s="19"/>
      <c r="O609" s="19"/>
      <c r="P609" s="19"/>
      <c r="Q609" s="19"/>
      <c r="R609" s="19"/>
      <c r="S609" s="19"/>
      <c r="T609" s="19"/>
      <c r="U609" s="19"/>
      <c r="V609" s="19"/>
      <c r="W609" s="19"/>
      <c r="X609" s="19"/>
      <c r="Y609" s="19"/>
      <c r="Z609" s="19"/>
    </row>
    <row r="610" spans="2:26" ht="12" customHeight="1">
      <c r="B610" s="19"/>
      <c r="C610" s="19"/>
      <c r="D610" s="19"/>
      <c r="E610" s="19"/>
      <c r="F610" s="19"/>
      <c r="G610" s="19"/>
      <c r="H610" s="19"/>
      <c r="I610" s="19"/>
      <c r="J610" s="19"/>
      <c r="K610" s="19"/>
      <c r="L610" s="19"/>
      <c r="M610" s="19"/>
      <c r="N610" s="19"/>
      <c r="O610" s="19"/>
      <c r="P610" s="19"/>
      <c r="Q610" s="19"/>
      <c r="R610" s="19"/>
      <c r="S610" s="19"/>
      <c r="T610" s="19"/>
      <c r="U610" s="19"/>
      <c r="V610" s="19"/>
      <c r="W610" s="19"/>
      <c r="X610" s="19"/>
      <c r="Y610" s="19"/>
      <c r="Z610" s="19"/>
    </row>
    <row r="611" spans="2:26" ht="12" customHeight="1">
      <c r="B611" s="19"/>
      <c r="C611" s="19"/>
      <c r="D611" s="19"/>
      <c r="E611" s="19"/>
      <c r="F611" s="19"/>
      <c r="G611" s="19"/>
      <c r="H611" s="19"/>
      <c r="I611" s="19"/>
      <c r="J611" s="19"/>
      <c r="K611" s="19"/>
      <c r="L611" s="19"/>
      <c r="M611" s="19"/>
      <c r="N611" s="19"/>
      <c r="O611" s="19"/>
      <c r="P611" s="19"/>
      <c r="Q611" s="19"/>
      <c r="R611" s="19"/>
      <c r="S611" s="19"/>
      <c r="T611" s="19"/>
      <c r="U611" s="19"/>
      <c r="V611" s="19"/>
      <c r="W611" s="19"/>
      <c r="X611" s="19"/>
      <c r="Y611" s="19"/>
      <c r="Z611" s="19"/>
    </row>
    <row r="612" spans="2:26" ht="12" customHeight="1">
      <c r="B612" s="19"/>
      <c r="C612" s="19"/>
      <c r="D612" s="19"/>
      <c r="E612" s="19"/>
      <c r="F612" s="19"/>
      <c r="G612" s="19"/>
      <c r="H612" s="19"/>
      <c r="I612" s="19"/>
      <c r="J612" s="19"/>
      <c r="K612" s="19"/>
      <c r="L612" s="19"/>
      <c r="M612" s="19"/>
      <c r="N612" s="19"/>
      <c r="O612" s="19"/>
      <c r="P612" s="19"/>
      <c r="Q612" s="19"/>
      <c r="R612" s="19"/>
      <c r="S612" s="19"/>
      <c r="T612" s="19"/>
      <c r="U612" s="19"/>
      <c r="V612" s="19"/>
      <c r="W612" s="19"/>
      <c r="X612" s="19"/>
      <c r="Y612" s="19"/>
      <c r="Z612" s="19"/>
    </row>
    <row r="613" spans="2:26" ht="12" customHeight="1">
      <c r="B613" s="19"/>
      <c r="C613" s="19"/>
      <c r="D613" s="19"/>
      <c r="E613" s="19"/>
      <c r="F613" s="19"/>
      <c r="G613" s="19"/>
      <c r="H613" s="19"/>
      <c r="I613" s="19"/>
      <c r="J613" s="19"/>
      <c r="K613" s="19"/>
      <c r="L613" s="19"/>
      <c r="M613" s="19"/>
      <c r="N613" s="19"/>
      <c r="O613" s="19"/>
      <c r="P613" s="19"/>
      <c r="Q613" s="19"/>
      <c r="R613" s="19"/>
      <c r="S613" s="19"/>
      <c r="T613" s="19"/>
      <c r="U613" s="19"/>
      <c r="V613" s="19"/>
      <c r="W613" s="19"/>
      <c r="X613" s="19"/>
      <c r="Y613" s="19"/>
      <c r="Z613" s="19"/>
    </row>
    <row r="614" spans="2:26" ht="12" customHeight="1">
      <c r="B614" s="19"/>
      <c r="C614" s="19"/>
      <c r="D614" s="19"/>
      <c r="E614" s="19"/>
      <c r="F614" s="19"/>
      <c r="G614" s="19"/>
      <c r="H614" s="19"/>
      <c r="I614" s="19"/>
      <c r="J614" s="19"/>
      <c r="K614" s="19"/>
      <c r="L614" s="19"/>
      <c r="M614" s="19"/>
      <c r="N614" s="19"/>
      <c r="O614" s="19"/>
      <c r="P614" s="19"/>
      <c r="Q614" s="19"/>
      <c r="R614" s="19"/>
      <c r="S614" s="19"/>
      <c r="T614" s="19"/>
      <c r="U614" s="19"/>
      <c r="V614" s="19"/>
      <c r="W614" s="19"/>
      <c r="X614" s="19"/>
      <c r="Y614" s="19"/>
      <c r="Z614" s="19"/>
    </row>
    <row r="615" spans="2:26" ht="12" customHeight="1">
      <c r="B615" s="19"/>
      <c r="C615" s="19"/>
      <c r="D615" s="19"/>
      <c r="E615" s="19"/>
      <c r="F615" s="19"/>
      <c r="G615" s="19"/>
      <c r="H615" s="19"/>
      <c r="I615" s="19"/>
      <c r="J615" s="19"/>
      <c r="K615" s="19"/>
      <c r="L615" s="19"/>
      <c r="M615" s="19"/>
      <c r="N615" s="19"/>
      <c r="O615" s="19"/>
      <c r="P615" s="19"/>
      <c r="Q615" s="19"/>
      <c r="R615" s="19"/>
      <c r="S615" s="19"/>
      <c r="T615" s="19"/>
      <c r="U615" s="19"/>
      <c r="V615" s="19"/>
      <c r="W615" s="19"/>
      <c r="X615" s="19"/>
      <c r="Y615" s="19"/>
      <c r="Z615" s="19"/>
    </row>
    <row r="616" spans="2:26" ht="12" customHeight="1">
      <c r="B616" s="19"/>
      <c r="C616" s="19"/>
      <c r="D616" s="19"/>
      <c r="E616" s="19"/>
      <c r="F616" s="19"/>
      <c r="G616" s="19"/>
      <c r="H616" s="19"/>
      <c r="I616" s="19"/>
      <c r="J616" s="19"/>
      <c r="K616" s="19"/>
      <c r="L616" s="19"/>
      <c r="M616" s="19"/>
      <c r="N616" s="19"/>
      <c r="O616" s="19"/>
      <c r="P616" s="19"/>
      <c r="Q616" s="19"/>
      <c r="R616" s="19"/>
      <c r="S616" s="19"/>
      <c r="T616" s="19"/>
      <c r="U616" s="19"/>
      <c r="V616" s="19"/>
      <c r="W616" s="19"/>
      <c r="X616" s="19"/>
      <c r="Y616" s="19"/>
      <c r="Z616" s="19"/>
    </row>
    <row r="617" spans="2:26" ht="12" customHeight="1">
      <c r="B617" s="19"/>
      <c r="C617" s="19"/>
      <c r="D617" s="19"/>
      <c r="E617" s="19"/>
      <c r="F617" s="19"/>
      <c r="G617" s="19"/>
      <c r="H617" s="19"/>
      <c r="I617" s="19"/>
      <c r="J617" s="19"/>
      <c r="K617" s="19"/>
      <c r="L617" s="19"/>
      <c r="M617" s="19"/>
      <c r="N617" s="19"/>
      <c r="O617" s="19"/>
      <c r="P617" s="19"/>
      <c r="Q617" s="19"/>
      <c r="R617" s="19"/>
      <c r="S617" s="19"/>
      <c r="T617" s="19"/>
      <c r="U617" s="19"/>
      <c r="V617" s="19"/>
      <c r="W617" s="19"/>
      <c r="X617" s="19"/>
      <c r="Y617" s="19"/>
      <c r="Z617" s="19"/>
    </row>
    <row r="618" spans="2:26" ht="12" customHeight="1">
      <c r="B618" s="19"/>
      <c r="C618" s="19"/>
      <c r="D618" s="19"/>
      <c r="E618" s="19"/>
      <c r="F618" s="19"/>
      <c r="G618" s="19"/>
      <c r="H618" s="19"/>
      <c r="I618" s="19"/>
      <c r="J618" s="19"/>
      <c r="K618" s="19"/>
      <c r="L618" s="19"/>
      <c r="M618" s="19"/>
      <c r="N618" s="19"/>
      <c r="O618" s="19"/>
      <c r="P618" s="19"/>
      <c r="Q618" s="19"/>
      <c r="R618" s="19"/>
      <c r="S618" s="19"/>
      <c r="T618" s="19"/>
      <c r="U618" s="19"/>
      <c r="V618" s="19"/>
      <c r="W618" s="19"/>
      <c r="X618" s="19"/>
      <c r="Y618" s="19"/>
      <c r="Z618" s="19"/>
    </row>
    <row r="619" spans="2:26" ht="12" customHeight="1">
      <c r="B619" s="19"/>
      <c r="C619" s="19"/>
      <c r="D619" s="19"/>
      <c r="E619" s="19"/>
      <c r="F619" s="19"/>
      <c r="G619" s="19"/>
      <c r="H619" s="19"/>
      <c r="I619" s="19"/>
      <c r="J619" s="19"/>
      <c r="K619" s="19"/>
      <c r="L619" s="19"/>
      <c r="M619" s="19"/>
      <c r="N619" s="19"/>
      <c r="O619" s="19"/>
      <c r="P619" s="19"/>
      <c r="Q619" s="19"/>
      <c r="R619" s="19"/>
      <c r="S619" s="19"/>
      <c r="T619" s="19"/>
      <c r="U619" s="19"/>
      <c r="V619" s="19"/>
      <c r="W619" s="19"/>
      <c r="X619" s="19"/>
      <c r="Y619" s="19"/>
      <c r="Z619" s="19"/>
    </row>
    <row r="620" spans="2:26" ht="12" customHeight="1">
      <c r="B620" s="19"/>
      <c r="C620" s="19"/>
      <c r="D620" s="19"/>
      <c r="E620" s="19"/>
      <c r="F620" s="19"/>
      <c r="G620" s="19"/>
      <c r="H620" s="19"/>
      <c r="I620" s="19"/>
      <c r="J620" s="19"/>
      <c r="K620" s="19"/>
      <c r="L620" s="19"/>
      <c r="M620" s="19"/>
      <c r="N620" s="19"/>
      <c r="O620" s="19"/>
      <c r="P620" s="19"/>
      <c r="Q620" s="19"/>
      <c r="R620" s="19"/>
      <c r="S620" s="19"/>
      <c r="T620" s="19"/>
      <c r="U620" s="19"/>
      <c r="V620" s="19"/>
      <c r="W620" s="19"/>
      <c r="X620" s="19"/>
      <c r="Y620" s="19"/>
      <c r="Z620" s="19"/>
    </row>
    <row r="621" spans="2:26" ht="12" customHeight="1">
      <c r="B621" s="19"/>
      <c r="C621" s="19"/>
      <c r="D621" s="19"/>
      <c r="E621" s="19"/>
      <c r="F621" s="19"/>
      <c r="G621" s="19"/>
      <c r="H621" s="19"/>
      <c r="I621" s="19"/>
      <c r="J621" s="19"/>
      <c r="K621" s="19"/>
      <c r="L621" s="19"/>
      <c r="M621" s="19"/>
      <c r="N621" s="19"/>
      <c r="O621" s="19"/>
      <c r="P621" s="19"/>
      <c r="Q621" s="19"/>
      <c r="R621" s="19"/>
      <c r="S621" s="19"/>
      <c r="T621" s="19"/>
      <c r="U621" s="19"/>
      <c r="V621" s="19"/>
      <c r="W621" s="19"/>
      <c r="X621" s="19"/>
      <c r="Y621" s="19"/>
      <c r="Z621" s="19"/>
    </row>
    <row r="622" spans="2:26" ht="12" customHeight="1">
      <c r="B622" s="19"/>
      <c r="C622" s="19"/>
      <c r="D622" s="19"/>
      <c r="E622" s="19"/>
      <c r="F622" s="19"/>
      <c r="G622" s="19"/>
      <c r="H622" s="19"/>
      <c r="I622" s="19"/>
      <c r="J622" s="19"/>
      <c r="K622" s="19"/>
      <c r="L622" s="19"/>
      <c r="M622" s="19"/>
      <c r="N622" s="19"/>
      <c r="O622" s="19"/>
      <c r="P622" s="19"/>
      <c r="Q622" s="19"/>
      <c r="R622" s="19"/>
      <c r="S622" s="19"/>
      <c r="T622" s="19"/>
      <c r="U622" s="19"/>
      <c r="V622" s="19"/>
      <c r="W622" s="19"/>
      <c r="X622" s="19"/>
      <c r="Y622" s="19"/>
      <c r="Z622" s="19"/>
    </row>
    <row r="623" spans="2:26" ht="12" customHeight="1">
      <c r="B623" s="19"/>
      <c r="C623" s="19"/>
      <c r="D623" s="19"/>
      <c r="E623" s="19"/>
      <c r="F623" s="19"/>
      <c r="G623" s="19"/>
      <c r="H623" s="19"/>
      <c r="I623" s="19"/>
      <c r="J623" s="19"/>
      <c r="K623" s="19"/>
      <c r="L623" s="19"/>
      <c r="M623" s="19"/>
      <c r="N623" s="19"/>
      <c r="O623" s="19"/>
      <c r="P623" s="19"/>
      <c r="Q623" s="19"/>
      <c r="R623" s="19"/>
      <c r="S623" s="19"/>
      <c r="T623" s="19"/>
      <c r="U623" s="19"/>
      <c r="V623" s="19"/>
      <c r="W623" s="19"/>
      <c r="X623" s="19"/>
      <c r="Y623" s="19"/>
      <c r="Z623" s="19"/>
    </row>
    <row r="624" spans="2:26" ht="12" customHeight="1">
      <c r="B624" s="19"/>
      <c r="C624" s="19"/>
      <c r="D624" s="19"/>
      <c r="E624" s="19"/>
      <c r="F624" s="19"/>
      <c r="G624" s="19"/>
      <c r="H624" s="19"/>
      <c r="I624" s="19"/>
      <c r="J624" s="19"/>
      <c r="K624" s="19"/>
      <c r="L624" s="19"/>
      <c r="M624" s="19"/>
      <c r="N624" s="19"/>
      <c r="O624" s="19"/>
      <c r="P624" s="19"/>
      <c r="Q624" s="19"/>
      <c r="R624" s="19"/>
      <c r="S624" s="19"/>
      <c r="T624" s="19"/>
      <c r="U624" s="19"/>
      <c r="V624" s="19"/>
      <c r="W624" s="19"/>
      <c r="X624" s="19"/>
      <c r="Y624" s="19"/>
      <c r="Z624" s="19"/>
    </row>
    <row r="625" spans="2:26" ht="12" customHeight="1">
      <c r="B625" s="19"/>
      <c r="C625" s="19"/>
      <c r="D625" s="19"/>
      <c r="E625" s="19"/>
      <c r="F625" s="19"/>
      <c r="G625" s="19"/>
      <c r="H625" s="19"/>
      <c r="I625" s="19"/>
      <c r="J625" s="19"/>
      <c r="K625" s="19"/>
      <c r="L625" s="19"/>
      <c r="M625" s="19"/>
      <c r="N625" s="19"/>
      <c r="O625" s="19"/>
      <c r="P625" s="19"/>
      <c r="Q625" s="19"/>
      <c r="R625" s="19"/>
      <c r="S625" s="19"/>
      <c r="T625" s="19"/>
      <c r="U625" s="19"/>
      <c r="V625" s="19"/>
      <c r="W625" s="19"/>
      <c r="X625" s="19"/>
      <c r="Y625" s="19"/>
      <c r="Z625" s="19"/>
    </row>
    <row r="626" spans="2:26" ht="12" customHeight="1">
      <c r="B626" s="19"/>
      <c r="C626" s="19"/>
      <c r="D626" s="19"/>
      <c r="E626" s="19"/>
      <c r="F626" s="19"/>
      <c r="G626" s="19"/>
      <c r="H626" s="19"/>
      <c r="I626" s="19"/>
      <c r="J626" s="19"/>
      <c r="K626" s="19"/>
      <c r="L626" s="19"/>
      <c r="M626" s="19"/>
      <c r="N626" s="19"/>
      <c r="O626" s="19"/>
      <c r="P626" s="19"/>
      <c r="Q626" s="19"/>
      <c r="R626" s="19"/>
      <c r="S626" s="19"/>
      <c r="T626" s="19"/>
      <c r="U626" s="19"/>
      <c r="V626" s="19"/>
      <c r="W626" s="19"/>
      <c r="X626" s="19"/>
      <c r="Y626" s="19"/>
      <c r="Z626" s="19"/>
    </row>
    <row r="627" spans="2:26" ht="12" customHeight="1">
      <c r="B627" s="19"/>
      <c r="C627" s="19"/>
      <c r="D627" s="19"/>
      <c r="E627" s="19"/>
      <c r="F627" s="19"/>
      <c r="G627" s="19"/>
      <c r="H627" s="19"/>
      <c r="I627" s="19"/>
      <c r="J627" s="19"/>
      <c r="K627" s="19"/>
      <c r="L627" s="19"/>
      <c r="M627" s="19"/>
      <c r="N627" s="19"/>
      <c r="O627" s="19"/>
      <c r="P627" s="19"/>
      <c r="Q627" s="19"/>
      <c r="R627" s="19"/>
      <c r="S627" s="19"/>
      <c r="T627" s="19"/>
      <c r="U627" s="19"/>
      <c r="V627" s="19"/>
      <c r="W627" s="19"/>
      <c r="X627" s="19"/>
      <c r="Y627" s="19"/>
      <c r="Z627" s="19"/>
    </row>
    <row r="628" spans="2:26" ht="12" customHeight="1">
      <c r="B628" s="19"/>
      <c r="C628" s="19"/>
      <c r="D628" s="19"/>
      <c r="E628" s="19"/>
      <c r="F628" s="19"/>
      <c r="G628" s="19"/>
      <c r="H628" s="19"/>
      <c r="I628" s="19"/>
      <c r="J628" s="19"/>
      <c r="K628" s="19"/>
      <c r="L628" s="19"/>
      <c r="M628" s="19"/>
      <c r="N628" s="19"/>
      <c r="O628" s="19"/>
      <c r="P628" s="19"/>
      <c r="Q628" s="19"/>
      <c r="R628" s="19"/>
      <c r="S628" s="19"/>
      <c r="T628" s="19"/>
      <c r="U628" s="19"/>
      <c r="V628" s="19"/>
      <c r="W628" s="19"/>
      <c r="X628" s="19"/>
      <c r="Y628" s="19"/>
      <c r="Z628" s="19"/>
    </row>
    <row r="629" spans="2:26" ht="12" customHeight="1">
      <c r="B629" s="19"/>
      <c r="C629" s="19"/>
      <c r="D629" s="19"/>
      <c r="E629" s="19"/>
      <c r="F629" s="19"/>
      <c r="G629" s="19"/>
      <c r="H629" s="19"/>
      <c r="I629" s="19"/>
      <c r="J629" s="19"/>
      <c r="K629" s="19"/>
      <c r="L629" s="19"/>
      <c r="M629" s="19"/>
      <c r="N629" s="19"/>
      <c r="O629" s="19"/>
      <c r="P629" s="19"/>
      <c r="Q629" s="19"/>
      <c r="R629" s="19"/>
      <c r="S629" s="19"/>
      <c r="T629" s="19"/>
      <c r="U629" s="19"/>
      <c r="V629" s="19"/>
      <c r="W629" s="19"/>
      <c r="X629" s="19"/>
      <c r="Y629" s="19"/>
      <c r="Z629" s="19"/>
    </row>
    <row r="630" spans="2:26" ht="12" customHeight="1">
      <c r="B630" s="19"/>
      <c r="C630" s="19"/>
      <c r="D630" s="19"/>
      <c r="E630" s="19"/>
      <c r="F630" s="19"/>
      <c r="G630" s="19"/>
      <c r="H630" s="19"/>
      <c r="I630" s="19"/>
      <c r="J630" s="19"/>
      <c r="K630" s="19"/>
      <c r="L630" s="19"/>
      <c r="M630" s="19"/>
      <c r="N630" s="19"/>
      <c r="O630" s="19"/>
      <c r="P630" s="19"/>
      <c r="Q630" s="19"/>
      <c r="R630" s="19"/>
      <c r="S630" s="19"/>
      <c r="T630" s="19"/>
      <c r="U630" s="19"/>
      <c r="V630" s="19"/>
      <c r="W630" s="19"/>
      <c r="X630" s="19"/>
      <c r="Y630" s="19"/>
      <c r="Z630" s="19"/>
    </row>
    <row r="631" spans="2:26" ht="12" customHeight="1">
      <c r="B631" s="19"/>
      <c r="C631" s="19"/>
      <c r="D631" s="19"/>
      <c r="E631" s="19"/>
      <c r="F631" s="19"/>
      <c r="G631" s="19"/>
      <c r="H631" s="19"/>
      <c r="I631" s="19"/>
      <c r="J631" s="19"/>
      <c r="K631" s="19"/>
      <c r="L631" s="19"/>
      <c r="M631" s="19"/>
      <c r="N631" s="19"/>
      <c r="O631" s="19"/>
      <c r="P631" s="19"/>
      <c r="Q631" s="19"/>
      <c r="R631" s="19"/>
      <c r="S631" s="19"/>
      <c r="T631" s="19"/>
      <c r="U631" s="19"/>
      <c r="V631" s="19"/>
      <c r="W631" s="19"/>
      <c r="X631" s="19"/>
      <c r="Y631" s="19"/>
      <c r="Z631" s="19"/>
    </row>
    <row r="632" spans="2:26" ht="12" customHeight="1">
      <c r="B632" s="19"/>
      <c r="C632" s="19"/>
      <c r="D632" s="19"/>
      <c r="E632" s="19"/>
      <c r="F632" s="19"/>
      <c r="G632" s="19"/>
      <c r="H632" s="19"/>
      <c r="I632" s="19"/>
      <c r="J632" s="19"/>
      <c r="K632" s="19"/>
      <c r="L632" s="19"/>
      <c r="M632" s="19"/>
      <c r="N632" s="19"/>
      <c r="O632" s="19"/>
      <c r="P632" s="19"/>
      <c r="Q632" s="19"/>
      <c r="R632" s="19"/>
      <c r="S632" s="19"/>
      <c r="T632" s="19"/>
      <c r="U632" s="19"/>
      <c r="V632" s="19"/>
      <c r="W632" s="19"/>
      <c r="X632" s="19"/>
      <c r="Y632" s="19"/>
      <c r="Z632" s="19"/>
    </row>
    <row r="633" spans="2:26" ht="12" customHeight="1">
      <c r="B633" s="19"/>
      <c r="C633" s="19"/>
      <c r="D633" s="19"/>
      <c r="E633" s="19"/>
      <c r="F633" s="19"/>
      <c r="G633" s="19"/>
      <c r="H633" s="19"/>
      <c r="I633" s="19"/>
      <c r="J633" s="19"/>
      <c r="K633" s="19"/>
      <c r="L633" s="19"/>
      <c r="M633" s="19"/>
      <c r="N633" s="19"/>
      <c r="O633" s="19"/>
      <c r="P633" s="19"/>
      <c r="Q633" s="19"/>
      <c r="R633" s="19"/>
      <c r="S633" s="19"/>
      <c r="T633" s="19"/>
      <c r="U633" s="19"/>
      <c r="V633" s="19"/>
      <c r="W633" s="19"/>
      <c r="X633" s="19"/>
      <c r="Y633" s="19"/>
      <c r="Z633" s="19"/>
    </row>
    <row r="634" spans="2:26" ht="12" customHeight="1">
      <c r="B634" s="19"/>
      <c r="C634" s="19"/>
      <c r="D634" s="19"/>
      <c r="E634" s="19"/>
      <c r="F634" s="19"/>
      <c r="G634" s="19"/>
      <c r="H634" s="19"/>
      <c r="I634" s="19"/>
      <c r="J634" s="19"/>
      <c r="K634" s="19"/>
      <c r="L634" s="19"/>
      <c r="M634" s="19"/>
      <c r="N634" s="19"/>
      <c r="O634" s="19"/>
      <c r="P634" s="19"/>
      <c r="Q634" s="19"/>
      <c r="R634" s="19"/>
      <c r="S634" s="19"/>
      <c r="T634" s="19"/>
      <c r="U634" s="19"/>
      <c r="V634" s="19"/>
      <c r="W634" s="19"/>
      <c r="X634" s="19"/>
      <c r="Y634" s="19"/>
      <c r="Z634" s="19"/>
    </row>
    <row r="635" spans="2:26" ht="12" customHeight="1">
      <c r="B635" s="19"/>
      <c r="C635" s="19"/>
      <c r="D635" s="19"/>
      <c r="E635" s="19"/>
      <c r="F635" s="19"/>
      <c r="G635" s="19"/>
      <c r="H635" s="19"/>
      <c r="I635" s="19"/>
      <c r="J635" s="19"/>
      <c r="K635" s="19"/>
      <c r="L635" s="19"/>
      <c r="M635" s="19"/>
      <c r="N635" s="19"/>
      <c r="O635" s="19"/>
      <c r="P635" s="19"/>
      <c r="Q635" s="19"/>
      <c r="R635" s="19"/>
      <c r="S635" s="19"/>
      <c r="T635" s="19"/>
      <c r="U635" s="19"/>
      <c r="V635" s="19"/>
      <c r="W635" s="19"/>
      <c r="X635" s="19"/>
      <c r="Y635" s="19"/>
      <c r="Z635" s="19"/>
    </row>
    <row r="636" spans="2:26" ht="12" customHeight="1">
      <c r="B636" s="19"/>
      <c r="C636" s="19"/>
      <c r="D636" s="19"/>
      <c r="E636" s="19"/>
      <c r="F636" s="19"/>
      <c r="G636" s="19"/>
      <c r="H636" s="19"/>
      <c r="I636" s="19"/>
      <c r="J636" s="19"/>
      <c r="K636" s="19"/>
      <c r="L636" s="19"/>
      <c r="M636" s="19"/>
      <c r="N636" s="19"/>
      <c r="O636" s="19"/>
      <c r="P636" s="19"/>
      <c r="Q636" s="19"/>
      <c r="R636" s="19"/>
      <c r="S636" s="19"/>
      <c r="T636" s="19"/>
      <c r="U636" s="19"/>
      <c r="V636" s="19"/>
      <c r="W636" s="19"/>
      <c r="X636" s="19"/>
      <c r="Y636" s="19"/>
      <c r="Z636" s="19"/>
    </row>
    <row r="637" spans="2:26" ht="12" customHeight="1">
      <c r="B637" s="19"/>
      <c r="C637" s="19"/>
      <c r="D637" s="19"/>
      <c r="E637" s="19"/>
      <c r="F637" s="19"/>
      <c r="G637" s="19"/>
      <c r="H637" s="19"/>
      <c r="I637" s="19"/>
      <c r="J637" s="19"/>
      <c r="K637" s="19"/>
      <c r="L637" s="19"/>
      <c r="M637" s="19"/>
      <c r="N637" s="19"/>
      <c r="O637" s="19"/>
      <c r="P637" s="19"/>
      <c r="Q637" s="19"/>
      <c r="R637" s="19"/>
      <c r="S637" s="19"/>
      <c r="T637" s="19"/>
      <c r="U637" s="19"/>
      <c r="V637" s="19"/>
      <c r="W637" s="19"/>
      <c r="X637" s="19"/>
      <c r="Y637" s="19"/>
      <c r="Z637" s="19"/>
    </row>
    <row r="638" spans="2:26" ht="12" customHeight="1">
      <c r="B638" s="19"/>
      <c r="C638" s="19"/>
      <c r="D638" s="19"/>
      <c r="E638" s="19"/>
      <c r="F638" s="19"/>
      <c r="G638" s="19"/>
      <c r="H638" s="19"/>
      <c r="I638" s="19"/>
      <c r="J638" s="19"/>
      <c r="K638" s="19"/>
      <c r="L638" s="19"/>
      <c r="M638" s="19"/>
      <c r="N638" s="19"/>
      <c r="O638" s="19"/>
      <c r="P638" s="19"/>
      <c r="Q638" s="19"/>
      <c r="R638" s="19"/>
      <c r="S638" s="19"/>
      <c r="T638" s="19"/>
      <c r="U638" s="19"/>
      <c r="V638" s="19"/>
      <c r="W638" s="19"/>
      <c r="X638" s="19"/>
      <c r="Y638" s="19"/>
      <c r="Z638" s="19"/>
    </row>
    <row r="639" spans="2:26" ht="12" customHeight="1">
      <c r="B639" s="19"/>
      <c r="C639" s="19"/>
      <c r="D639" s="19"/>
      <c r="E639" s="19"/>
      <c r="F639" s="19"/>
      <c r="G639" s="19"/>
      <c r="H639" s="19"/>
      <c r="I639" s="19"/>
      <c r="J639" s="19"/>
      <c r="K639" s="19"/>
      <c r="L639" s="19"/>
      <c r="M639" s="19"/>
      <c r="N639" s="19"/>
      <c r="O639" s="19"/>
      <c r="P639" s="19"/>
      <c r="Q639" s="19"/>
      <c r="R639" s="19"/>
      <c r="S639" s="19"/>
      <c r="T639" s="19"/>
      <c r="U639" s="19"/>
      <c r="V639" s="19"/>
      <c r="W639" s="19"/>
      <c r="X639" s="19"/>
      <c r="Y639" s="19"/>
      <c r="Z639" s="19"/>
    </row>
    <row r="640" spans="2:26" ht="12" customHeight="1">
      <c r="B640" s="19"/>
      <c r="C640" s="19"/>
      <c r="D640" s="19"/>
      <c r="E640" s="19"/>
      <c r="F640" s="19"/>
      <c r="G640" s="19"/>
      <c r="H640" s="19"/>
      <c r="I640" s="19"/>
      <c r="J640" s="19"/>
      <c r="K640" s="19"/>
      <c r="L640" s="19"/>
      <c r="M640" s="19"/>
      <c r="N640" s="19"/>
      <c r="O640" s="19"/>
      <c r="P640" s="19"/>
      <c r="Q640" s="19"/>
      <c r="R640" s="19"/>
      <c r="S640" s="19"/>
      <c r="T640" s="19"/>
      <c r="U640" s="19"/>
      <c r="V640" s="19"/>
      <c r="W640" s="19"/>
      <c r="X640" s="19"/>
      <c r="Y640" s="19"/>
      <c r="Z640" s="19"/>
    </row>
    <row r="641" spans="2:26" ht="12" customHeight="1">
      <c r="B641" s="19"/>
      <c r="C641" s="19"/>
      <c r="D641" s="19"/>
      <c r="E641" s="19"/>
      <c r="F641" s="19"/>
      <c r="G641" s="19"/>
      <c r="H641" s="19"/>
      <c r="I641" s="19"/>
      <c r="J641" s="19"/>
      <c r="K641" s="19"/>
      <c r="L641" s="19"/>
      <c r="M641" s="19"/>
      <c r="N641" s="19"/>
      <c r="O641" s="19"/>
      <c r="P641" s="19"/>
      <c r="Q641" s="19"/>
      <c r="R641" s="19"/>
      <c r="S641" s="19"/>
      <c r="T641" s="19"/>
      <c r="U641" s="19"/>
      <c r="V641" s="19"/>
      <c r="W641" s="19"/>
      <c r="X641" s="19"/>
      <c r="Y641" s="19"/>
      <c r="Z641" s="19"/>
    </row>
    <row r="642" spans="2:26" ht="12" customHeight="1">
      <c r="B642" s="19"/>
      <c r="C642" s="19"/>
      <c r="D642" s="19"/>
      <c r="E642" s="19"/>
      <c r="F642" s="19"/>
      <c r="G642" s="19"/>
      <c r="H642" s="19"/>
      <c r="I642" s="19"/>
      <c r="J642" s="19"/>
      <c r="K642" s="19"/>
      <c r="L642" s="19"/>
      <c r="M642" s="19"/>
      <c r="N642" s="19"/>
      <c r="O642" s="19"/>
      <c r="P642" s="19"/>
      <c r="Q642" s="19"/>
      <c r="R642" s="19"/>
      <c r="S642" s="19"/>
      <c r="T642" s="19"/>
      <c r="U642" s="19"/>
      <c r="V642" s="19"/>
      <c r="W642" s="19"/>
      <c r="X642" s="19"/>
      <c r="Y642" s="19"/>
      <c r="Z642" s="19"/>
    </row>
    <row r="643" spans="2:26" ht="12" customHeight="1">
      <c r="B643" s="19"/>
      <c r="C643" s="19"/>
      <c r="D643" s="19"/>
      <c r="E643" s="19"/>
      <c r="F643" s="19"/>
      <c r="G643" s="19"/>
      <c r="H643" s="19"/>
      <c r="I643" s="19"/>
      <c r="J643" s="19"/>
      <c r="K643" s="19"/>
      <c r="L643" s="19"/>
      <c r="M643" s="19"/>
      <c r="N643" s="19"/>
      <c r="O643" s="19"/>
      <c r="P643" s="19"/>
      <c r="Q643" s="19"/>
      <c r="R643" s="19"/>
      <c r="S643" s="19"/>
      <c r="T643" s="19"/>
      <c r="U643" s="19"/>
      <c r="V643" s="19"/>
      <c r="W643" s="19"/>
      <c r="X643" s="19"/>
      <c r="Y643" s="19"/>
      <c r="Z643" s="19"/>
    </row>
    <row r="644" spans="2:26" ht="12" customHeight="1">
      <c r="B644" s="19"/>
      <c r="C644" s="19"/>
      <c r="D644" s="19"/>
      <c r="E644" s="19"/>
      <c r="F644" s="19"/>
      <c r="G644" s="19"/>
      <c r="H644" s="19"/>
      <c r="I644" s="19"/>
      <c r="J644" s="19"/>
      <c r="K644" s="19"/>
      <c r="L644" s="19"/>
      <c r="M644" s="19"/>
      <c r="N644" s="19"/>
      <c r="O644" s="19"/>
      <c r="P644" s="19"/>
      <c r="Q644" s="19"/>
      <c r="R644" s="19"/>
      <c r="S644" s="19"/>
      <c r="T644" s="19"/>
      <c r="U644" s="19"/>
      <c r="V644" s="19"/>
      <c r="W644" s="19"/>
      <c r="X644" s="19"/>
      <c r="Y644" s="19"/>
      <c r="Z644" s="19"/>
    </row>
    <row r="645" spans="2:26" ht="12" customHeight="1">
      <c r="B645" s="19"/>
      <c r="C645" s="19"/>
      <c r="D645" s="19"/>
      <c r="E645" s="19"/>
      <c r="F645" s="19"/>
      <c r="G645" s="19"/>
      <c r="H645" s="19"/>
      <c r="I645" s="19"/>
      <c r="J645" s="19"/>
      <c r="K645" s="19"/>
      <c r="L645" s="19"/>
      <c r="M645" s="19"/>
      <c r="N645" s="19"/>
      <c r="O645" s="19"/>
      <c r="P645" s="19"/>
      <c r="Q645" s="19"/>
      <c r="R645" s="19"/>
      <c r="S645" s="19"/>
      <c r="T645" s="19"/>
      <c r="U645" s="19"/>
      <c r="V645" s="19"/>
      <c r="W645" s="19"/>
      <c r="X645" s="19"/>
      <c r="Y645" s="19"/>
      <c r="Z645" s="19"/>
    </row>
    <row r="646" spans="2:26" ht="12" customHeight="1">
      <c r="B646" s="19"/>
      <c r="C646" s="19"/>
      <c r="D646" s="19"/>
      <c r="E646" s="19"/>
      <c r="F646" s="19"/>
      <c r="G646" s="19"/>
      <c r="H646" s="19"/>
      <c r="I646" s="19"/>
      <c r="J646" s="19"/>
      <c r="K646" s="19"/>
      <c r="L646" s="19"/>
      <c r="M646" s="19"/>
      <c r="N646" s="19"/>
      <c r="O646" s="19"/>
      <c r="P646" s="19"/>
      <c r="Q646" s="19"/>
      <c r="R646" s="19"/>
      <c r="S646" s="19"/>
      <c r="T646" s="19"/>
      <c r="U646" s="19"/>
      <c r="V646" s="19"/>
      <c r="W646" s="19"/>
      <c r="X646" s="19"/>
      <c r="Y646" s="19"/>
      <c r="Z646" s="19"/>
    </row>
    <row r="647" spans="2:26" ht="12" customHeight="1">
      <c r="B647" s="19"/>
      <c r="C647" s="19"/>
      <c r="D647" s="19"/>
      <c r="E647" s="19"/>
      <c r="F647" s="19"/>
      <c r="G647" s="19"/>
      <c r="H647" s="19"/>
      <c r="I647" s="19"/>
      <c r="J647" s="19"/>
      <c r="K647" s="19"/>
      <c r="L647" s="19"/>
      <c r="M647" s="19"/>
      <c r="N647" s="19"/>
      <c r="O647" s="19"/>
      <c r="P647" s="19"/>
      <c r="Q647" s="19"/>
      <c r="R647" s="19"/>
      <c r="S647" s="19"/>
      <c r="T647" s="19"/>
      <c r="U647" s="19"/>
      <c r="V647" s="19"/>
      <c r="W647" s="19"/>
      <c r="X647" s="19"/>
      <c r="Y647" s="19"/>
      <c r="Z647" s="19"/>
    </row>
    <row r="648" spans="2:26" ht="12" customHeight="1">
      <c r="B648" s="19"/>
      <c r="C648" s="19"/>
      <c r="D648" s="19"/>
      <c r="E648" s="19"/>
      <c r="F648" s="19"/>
      <c r="G648" s="19"/>
      <c r="H648" s="19"/>
      <c r="I648" s="19"/>
      <c r="J648" s="19"/>
      <c r="K648" s="19"/>
      <c r="L648" s="19"/>
      <c r="M648" s="19"/>
      <c r="N648" s="19"/>
      <c r="O648" s="19"/>
      <c r="P648" s="19"/>
      <c r="Q648" s="19"/>
      <c r="R648" s="19"/>
      <c r="S648" s="19"/>
      <c r="T648" s="19"/>
      <c r="U648" s="19"/>
      <c r="V648" s="19"/>
      <c r="W648" s="19"/>
      <c r="X648" s="19"/>
      <c r="Y648" s="19"/>
      <c r="Z648" s="19"/>
    </row>
    <row r="649" spans="2:26" ht="12" customHeight="1">
      <c r="B649" s="19"/>
      <c r="C649" s="19"/>
      <c r="D649" s="19"/>
      <c r="E649" s="19"/>
      <c r="F649" s="19"/>
      <c r="G649" s="19"/>
      <c r="H649" s="19"/>
      <c r="I649" s="19"/>
      <c r="J649" s="19"/>
      <c r="K649" s="19"/>
      <c r="L649" s="19"/>
      <c r="M649" s="19"/>
      <c r="N649" s="19"/>
      <c r="O649" s="19"/>
      <c r="P649" s="19"/>
      <c r="Q649" s="19"/>
      <c r="R649" s="19"/>
      <c r="S649" s="19"/>
      <c r="T649" s="19"/>
      <c r="U649" s="19"/>
      <c r="V649" s="19"/>
      <c r="W649" s="19"/>
      <c r="X649" s="19"/>
      <c r="Y649" s="19"/>
      <c r="Z649" s="19"/>
    </row>
    <row r="650" spans="2:26" ht="12" customHeight="1">
      <c r="B650" s="19"/>
      <c r="C650" s="19"/>
      <c r="D650" s="19"/>
      <c r="E650" s="19"/>
      <c r="F650" s="19"/>
      <c r="G650" s="19"/>
      <c r="H650" s="19"/>
      <c r="I650" s="19"/>
      <c r="J650" s="19"/>
      <c r="K650" s="19"/>
      <c r="L650" s="19"/>
      <c r="M650" s="19"/>
      <c r="N650" s="19"/>
      <c r="O650" s="19"/>
      <c r="P650" s="19"/>
      <c r="Q650" s="19"/>
      <c r="R650" s="19"/>
      <c r="S650" s="19"/>
      <c r="T650" s="19"/>
      <c r="U650" s="19"/>
      <c r="V650" s="19"/>
      <c r="W650" s="19"/>
      <c r="X650" s="19"/>
      <c r="Y650" s="19"/>
      <c r="Z650" s="19"/>
    </row>
    <row r="651" spans="2:26" ht="12" customHeight="1">
      <c r="B651" s="19"/>
      <c r="C651" s="19"/>
      <c r="D651" s="19"/>
      <c r="E651" s="19"/>
      <c r="F651" s="19"/>
      <c r="G651" s="19"/>
      <c r="H651" s="19"/>
      <c r="I651" s="19"/>
      <c r="J651" s="19"/>
      <c r="K651" s="19"/>
      <c r="L651" s="19"/>
      <c r="M651" s="19"/>
      <c r="N651" s="19"/>
      <c r="O651" s="19"/>
      <c r="P651" s="19"/>
      <c r="Q651" s="19"/>
      <c r="R651" s="19"/>
      <c r="S651" s="19"/>
      <c r="T651" s="19"/>
      <c r="U651" s="19"/>
      <c r="V651" s="19"/>
      <c r="W651" s="19"/>
      <c r="X651" s="19"/>
      <c r="Y651" s="19"/>
      <c r="Z651" s="19"/>
    </row>
    <row r="652" spans="2:26" ht="12" customHeight="1">
      <c r="B652" s="19"/>
      <c r="C652" s="19"/>
      <c r="D652" s="19"/>
      <c r="E652" s="19"/>
      <c r="F652" s="19"/>
      <c r="G652" s="19"/>
      <c r="H652" s="19"/>
      <c r="I652" s="19"/>
      <c r="J652" s="19"/>
      <c r="K652" s="19"/>
      <c r="L652" s="19"/>
      <c r="M652" s="19"/>
      <c r="N652" s="19"/>
      <c r="O652" s="19"/>
      <c r="P652" s="19"/>
      <c r="Q652" s="19"/>
      <c r="R652" s="19"/>
      <c r="S652" s="19"/>
      <c r="T652" s="19"/>
      <c r="U652" s="19"/>
      <c r="V652" s="19"/>
      <c r="W652" s="19"/>
      <c r="X652" s="19"/>
      <c r="Y652" s="19"/>
      <c r="Z652" s="19"/>
    </row>
    <row r="653" spans="2:26" ht="12" customHeight="1">
      <c r="B653" s="19"/>
      <c r="C653" s="19"/>
      <c r="D653" s="19"/>
      <c r="E653" s="19"/>
      <c r="F653" s="19"/>
      <c r="G653" s="19"/>
      <c r="H653" s="19"/>
      <c r="I653" s="19"/>
      <c r="J653" s="19"/>
      <c r="K653" s="19"/>
      <c r="L653" s="19"/>
      <c r="M653" s="19"/>
      <c r="N653" s="19"/>
      <c r="O653" s="19"/>
      <c r="P653" s="19"/>
      <c r="Q653" s="19"/>
      <c r="R653" s="19"/>
      <c r="S653" s="19"/>
      <c r="T653" s="19"/>
      <c r="U653" s="19"/>
      <c r="V653" s="19"/>
      <c r="W653" s="19"/>
      <c r="X653" s="19"/>
      <c r="Y653" s="19"/>
      <c r="Z653" s="19"/>
    </row>
    <row r="654" spans="2:26" ht="12" customHeight="1">
      <c r="B654" s="19"/>
      <c r="C654" s="19"/>
      <c r="D654" s="19"/>
      <c r="E654" s="19"/>
      <c r="F654" s="19"/>
      <c r="G654" s="19"/>
      <c r="H654" s="19"/>
      <c r="I654" s="19"/>
      <c r="J654" s="19"/>
      <c r="K654" s="19"/>
      <c r="L654" s="19"/>
      <c r="M654" s="19"/>
      <c r="N654" s="19"/>
      <c r="O654" s="19"/>
      <c r="P654" s="19"/>
      <c r="Q654" s="19"/>
      <c r="R654" s="19"/>
      <c r="S654" s="19"/>
      <c r="T654" s="19"/>
      <c r="U654" s="19"/>
      <c r="V654" s="19"/>
      <c r="W654" s="19"/>
      <c r="X654" s="19"/>
      <c r="Y654" s="19"/>
      <c r="Z654" s="19"/>
    </row>
    <row r="655" spans="2:26" ht="12" customHeight="1">
      <c r="B655" s="19"/>
      <c r="C655" s="19"/>
      <c r="D655" s="19"/>
      <c r="E655" s="19"/>
      <c r="F655" s="19"/>
      <c r="G655" s="19"/>
      <c r="H655" s="19"/>
      <c r="I655" s="19"/>
      <c r="J655" s="19"/>
      <c r="K655" s="19"/>
      <c r="L655" s="19"/>
      <c r="M655" s="19"/>
      <c r="N655" s="19"/>
      <c r="O655" s="19"/>
      <c r="P655" s="19"/>
      <c r="Q655" s="19"/>
      <c r="R655" s="19"/>
      <c r="S655" s="19"/>
      <c r="T655" s="19"/>
      <c r="U655" s="19"/>
      <c r="V655" s="19"/>
      <c r="W655" s="19"/>
      <c r="X655" s="19"/>
      <c r="Y655" s="19"/>
      <c r="Z655" s="19"/>
    </row>
    <row r="656" spans="2:26" ht="12" customHeight="1">
      <c r="B656" s="19"/>
      <c r="C656" s="19"/>
      <c r="D656" s="19"/>
      <c r="E656" s="19"/>
      <c r="F656" s="19"/>
      <c r="G656" s="19"/>
      <c r="H656" s="19"/>
      <c r="I656" s="19"/>
      <c r="J656" s="19"/>
      <c r="K656" s="19"/>
      <c r="L656" s="19"/>
      <c r="M656" s="19"/>
      <c r="N656" s="19"/>
      <c r="O656" s="19"/>
      <c r="P656" s="19"/>
      <c r="Q656" s="19"/>
      <c r="R656" s="19"/>
      <c r="S656" s="19"/>
      <c r="T656" s="19"/>
      <c r="U656" s="19"/>
      <c r="V656" s="19"/>
      <c r="W656" s="19"/>
      <c r="X656" s="19"/>
      <c r="Y656" s="19"/>
      <c r="Z656" s="19"/>
    </row>
    <row r="657" spans="2:26" ht="12" customHeight="1">
      <c r="B657" s="19"/>
      <c r="C657" s="19"/>
      <c r="D657" s="19"/>
      <c r="E657" s="19"/>
      <c r="F657" s="19"/>
      <c r="G657" s="19"/>
      <c r="H657" s="19"/>
      <c r="I657" s="19"/>
      <c r="J657" s="19"/>
      <c r="K657" s="19"/>
      <c r="L657" s="19"/>
      <c r="M657" s="19"/>
      <c r="N657" s="19"/>
      <c r="O657" s="19"/>
      <c r="P657" s="19"/>
      <c r="Q657" s="19"/>
      <c r="R657" s="19"/>
      <c r="S657" s="19"/>
      <c r="T657" s="19"/>
      <c r="U657" s="19"/>
      <c r="V657" s="19"/>
      <c r="W657" s="19"/>
      <c r="X657" s="19"/>
      <c r="Y657" s="19"/>
      <c r="Z657" s="19"/>
    </row>
    <row r="658" spans="2:26" ht="12" customHeight="1">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row>
    <row r="659" spans="2:26" ht="12" customHeight="1">
      <c r="B659" s="19"/>
      <c r="C659" s="19"/>
      <c r="D659" s="19"/>
      <c r="E659" s="19"/>
      <c r="F659" s="19"/>
      <c r="G659" s="19"/>
      <c r="H659" s="19"/>
      <c r="I659" s="19"/>
      <c r="J659" s="19"/>
      <c r="K659" s="19"/>
      <c r="L659" s="19"/>
      <c r="M659" s="19"/>
      <c r="N659" s="19"/>
      <c r="O659" s="19"/>
      <c r="P659" s="19"/>
      <c r="Q659" s="19"/>
      <c r="R659" s="19"/>
      <c r="S659" s="19"/>
      <c r="T659" s="19"/>
      <c r="U659" s="19"/>
      <c r="V659" s="19"/>
      <c r="W659" s="19"/>
      <c r="X659" s="19"/>
      <c r="Y659" s="19"/>
      <c r="Z659" s="19"/>
    </row>
    <row r="660" spans="2:26" ht="12" customHeight="1">
      <c r="B660" s="19"/>
      <c r="C660" s="19"/>
      <c r="D660" s="19"/>
      <c r="E660" s="19"/>
      <c r="F660" s="19"/>
      <c r="G660" s="19"/>
      <c r="H660" s="19"/>
      <c r="I660" s="19"/>
      <c r="J660" s="19"/>
      <c r="K660" s="19"/>
      <c r="L660" s="19"/>
      <c r="M660" s="19"/>
      <c r="N660" s="19"/>
      <c r="O660" s="19"/>
      <c r="P660" s="19"/>
      <c r="Q660" s="19"/>
      <c r="R660" s="19"/>
      <c r="S660" s="19"/>
      <c r="T660" s="19"/>
      <c r="U660" s="19"/>
      <c r="V660" s="19"/>
      <c r="W660" s="19"/>
      <c r="X660" s="19"/>
      <c r="Y660" s="19"/>
      <c r="Z660" s="19"/>
    </row>
    <row r="661" spans="2:26" ht="12" customHeight="1">
      <c r="B661" s="19"/>
      <c r="C661" s="19"/>
      <c r="D661" s="19"/>
      <c r="E661" s="19"/>
      <c r="F661" s="19"/>
      <c r="G661" s="19"/>
      <c r="H661" s="19"/>
      <c r="I661" s="19"/>
      <c r="J661" s="19"/>
      <c r="K661" s="19"/>
      <c r="L661" s="19"/>
      <c r="M661" s="19"/>
      <c r="N661" s="19"/>
      <c r="O661" s="19"/>
      <c r="P661" s="19"/>
      <c r="Q661" s="19"/>
      <c r="R661" s="19"/>
      <c r="S661" s="19"/>
      <c r="T661" s="19"/>
      <c r="U661" s="19"/>
      <c r="V661" s="19"/>
      <c r="W661" s="19"/>
      <c r="X661" s="19"/>
      <c r="Y661" s="19"/>
      <c r="Z661" s="19"/>
    </row>
    <row r="662" spans="2:26" ht="12" customHeight="1">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row>
    <row r="663" spans="2:26" ht="12" customHeight="1">
      <c r="B663" s="19"/>
      <c r="C663" s="19"/>
      <c r="D663" s="19"/>
      <c r="E663" s="19"/>
      <c r="F663" s="19"/>
      <c r="G663" s="19"/>
      <c r="H663" s="19"/>
      <c r="I663" s="19"/>
      <c r="J663" s="19"/>
      <c r="K663" s="19"/>
      <c r="L663" s="19"/>
      <c r="M663" s="19"/>
      <c r="N663" s="19"/>
      <c r="O663" s="19"/>
      <c r="P663" s="19"/>
      <c r="Q663" s="19"/>
      <c r="R663" s="19"/>
      <c r="S663" s="19"/>
      <c r="T663" s="19"/>
      <c r="U663" s="19"/>
      <c r="V663" s="19"/>
      <c r="W663" s="19"/>
      <c r="X663" s="19"/>
      <c r="Y663" s="19"/>
      <c r="Z663" s="19"/>
    </row>
    <row r="664" spans="2:26" ht="12" customHeight="1">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row>
    <row r="665" spans="2:26" ht="12" customHeight="1">
      <c r="B665" s="19"/>
      <c r="C665" s="19"/>
      <c r="D665" s="19"/>
      <c r="E665" s="19"/>
      <c r="F665" s="19"/>
      <c r="G665" s="19"/>
      <c r="H665" s="19"/>
      <c r="I665" s="19"/>
      <c r="J665" s="19"/>
      <c r="K665" s="19"/>
      <c r="L665" s="19"/>
      <c r="M665" s="19"/>
      <c r="N665" s="19"/>
      <c r="O665" s="19"/>
      <c r="P665" s="19"/>
      <c r="Q665" s="19"/>
      <c r="R665" s="19"/>
      <c r="S665" s="19"/>
      <c r="T665" s="19"/>
      <c r="U665" s="19"/>
      <c r="V665" s="19"/>
      <c r="W665" s="19"/>
      <c r="X665" s="19"/>
      <c r="Y665" s="19"/>
      <c r="Z665" s="19"/>
    </row>
    <row r="666" spans="2:26" ht="12" customHeight="1">
      <c r="B666" s="19"/>
      <c r="C666" s="19"/>
      <c r="D666" s="19"/>
      <c r="E666" s="19"/>
      <c r="F666" s="19"/>
      <c r="G666" s="19"/>
      <c r="H666" s="19"/>
      <c r="I666" s="19"/>
      <c r="J666" s="19"/>
      <c r="K666" s="19"/>
      <c r="L666" s="19"/>
      <c r="M666" s="19"/>
      <c r="N666" s="19"/>
      <c r="O666" s="19"/>
      <c r="P666" s="19"/>
      <c r="Q666" s="19"/>
      <c r="R666" s="19"/>
      <c r="S666" s="19"/>
      <c r="T666" s="19"/>
      <c r="U666" s="19"/>
      <c r="V666" s="19"/>
      <c r="W666" s="19"/>
      <c r="X666" s="19"/>
      <c r="Y666" s="19"/>
      <c r="Z666" s="19"/>
    </row>
    <row r="667" spans="2:26" ht="12" customHeight="1">
      <c r="B667" s="19"/>
      <c r="C667" s="19"/>
      <c r="D667" s="19"/>
      <c r="E667" s="19"/>
      <c r="F667" s="19"/>
      <c r="G667" s="19"/>
      <c r="H667" s="19"/>
      <c r="I667" s="19"/>
      <c r="J667" s="19"/>
      <c r="K667" s="19"/>
      <c r="L667" s="19"/>
      <c r="M667" s="19"/>
      <c r="N667" s="19"/>
      <c r="O667" s="19"/>
      <c r="P667" s="19"/>
      <c r="Q667" s="19"/>
      <c r="R667" s="19"/>
      <c r="S667" s="19"/>
      <c r="T667" s="19"/>
      <c r="U667" s="19"/>
      <c r="V667" s="19"/>
      <c r="W667" s="19"/>
      <c r="X667" s="19"/>
      <c r="Y667" s="19"/>
      <c r="Z667" s="19"/>
    </row>
    <row r="668" spans="2:26" ht="12" customHeight="1">
      <c r="B668" s="19"/>
      <c r="C668" s="19"/>
      <c r="D668" s="19"/>
      <c r="E668" s="19"/>
      <c r="F668" s="19"/>
      <c r="G668" s="19"/>
      <c r="H668" s="19"/>
      <c r="I668" s="19"/>
      <c r="J668" s="19"/>
      <c r="K668" s="19"/>
      <c r="L668" s="19"/>
      <c r="M668" s="19"/>
      <c r="N668" s="19"/>
      <c r="O668" s="19"/>
      <c r="P668" s="19"/>
      <c r="Q668" s="19"/>
      <c r="R668" s="19"/>
      <c r="S668" s="19"/>
      <c r="T668" s="19"/>
      <c r="U668" s="19"/>
      <c r="V668" s="19"/>
      <c r="W668" s="19"/>
      <c r="X668" s="19"/>
      <c r="Y668" s="19"/>
      <c r="Z668" s="19"/>
    </row>
    <row r="669" spans="2:26" ht="12" customHeight="1">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row>
    <row r="670" spans="2:26" ht="12" customHeight="1">
      <c r="B670" s="19"/>
      <c r="C670" s="19"/>
      <c r="D670" s="19"/>
      <c r="E670" s="19"/>
      <c r="F670" s="19"/>
      <c r="G670" s="19"/>
      <c r="H670" s="19"/>
      <c r="I670" s="19"/>
      <c r="J670" s="19"/>
      <c r="K670" s="19"/>
      <c r="L670" s="19"/>
      <c r="M670" s="19"/>
      <c r="N670" s="19"/>
      <c r="O670" s="19"/>
      <c r="P670" s="19"/>
      <c r="Q670" s="19"/>
      <c r="R670" s="19"/>
      <c r="S670" s="19"/>
      <c r="T670" s="19"/>
      <c r="U670" s="19"/>
      <c r="V670" s="19"/>
      <c r="W670" s="19"/>
      <c r="X670" s="19"/>
      <c r="Y670" s="19"/>
      <c r="Z670" s="19"/>
    </row>
    <row r="671" spans="2:26" ht="12" customHeight="1">
      <c r="B671" s="19"/>
      <c r="C671" s="19"/>
      <c r="D671" s="19"/>
      <c r="E671" s="19"/>
      <c r="F671" s="19"/>
      <c r="G671" s="19"/>
      <c r="H671" s="19"/>
      <c r="I671" s="19"/>
      <c r="J671" s="19"/>
      <c r="K671" s="19"/>
      <c r="L671" s="19"/>
      <c r="M671" s="19"/>
      <c r="N671" s="19"/>
      <c r="O671" s="19"/>
      <c r="P671" s="19"/>
      <c r="Q671" s="19"/>
      <c r="R671" s="19"/>
      <c r="S671" s="19"/>
      <c r="T671" s="19"/>
      <c r="U671" s="19"/>
      <c r="V671" s="19"/>
      <c r="W671" s="19"/>
      <c r="X671" s="19"/>
      <c r="Y671" s="19"/>
      <c r="Z671" s="19"/>
    </row>
    <row r="672" spans="2:26" ht="12" customHeight="1">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row>
    <row r="673" spans="2:26" ht="12" customHeight="1">
      <c r="B673" s="19"/>
      <c r="C673" s="19"/>
      <c r="D673" s="19"/>
      <c r="E673" s="19"/>
      <c r="F673" s="19"/>
      <c r="G673" s="19"/>
      <c r="H673" s="19"/>
      <c r="I673" s="19"/>
      <c r="J673" s="19"/>
      <c r="K673" s="19"/>
      <c r="L673" s="19"/>
      <c r="M673" s="19"/>
      <c r="N673" s="19"/>
      <c r="O673" s="19"/>
      <c r="P673" s="19"/>
      <c r="Q673" s="19"/>
      <c r="R673" s="19"/>
      <c r="S673" s="19"/>
      <c r="T673" s="19"/>
      <c r="U673" s="19"/>
      <c r="V673" s="19"/>
      <c r="W673" s="19"/>
      <c r="X673" s="19"/>
      <c r="Y673" s="19"/>
      <c r="Z673" s="19"/>
    </row>
    <row r="674" spans="2:26" ht="12" customHeight="1">
      <c r="B674" s="19"/>
      <c r="C674" s="19"/>
      <c r="D674" s="19"/>
      <c r="E674" s="19"/>
      <c r="F674" s="19"/>
      <c r="G674" s="19"/>
      <c r="H674" s="19"/>
      <c r="I674" s="19"/>
      <c r="J674" s="19"/>
      <c r="K674" s="19"/>
      <c r="L674" s="19"/>
      <c r="M674" s="19"/>
      <c r="N674" s="19"/>
      <c r="O674" s="19"/>
      <c r="P674" s="19"/>
      <c r="Q674" s="19"/>
      <c r="R674" s="19"/>
      <c r="S674" s="19"/>
      <c r="T674" s="19"/>
      <c r="U674" s="19"/>
      <c r="V674" s="19"/>
      <c r="W674" s="19"/>
      <c r="X674" s="19"/>
      <c r="Y674" s="19"/>
      <c r="Z674" s="19"/>
    </row>
    <row r="675" spans="2:26" ht="12" customHeight="1">
      <c r="B675" s="19"/>
      <c r="C675" s="19"/>
      <c r="D675" s="19"/>
      <c r="E675" s="19"/>
      <c r="F675" s="19"/>
      <c r="G675" s="19"/>
      <c r="H675" s="19"/>
      <c r="I675" s="19"/>
      <c r="J675" s="19"/>
      <c r="K675" s="19"/>
      <c r="L675" s="19"/>
      <c r="M675" s="19"/>
      <c r="N675" s="19"/>
      <c r="O675" s="19"/>
      <c r="P675" s="19"/>
      <c r="Q675" s="19"/>
      <c r="R675" s="19"/>
      <c r="S675" s="19"/>
      <c r="T675" s="19"/>
      <c r="U675" s="19"/>
      <c r="V675" s="19"/>
      <c r="W675" s="19"/>
      <c r="X675" s="19"/>
      <c r="Y675" s="19"/>
      <c r="Z675" s="19"/>
    </row>
    <row r="676" spans="2:26" ht="12" customHeight="1">
      <c r="B676" s="19"/>
      <c r="C676" s="19"/>
      <c r="D676" s="19"/>
      <c r="E676" s="19"/>
      <c r="F676" s="19"/>
      <c r="G676" s="19"/>
      <c r="H676" s="19"/>
      <c r="I676" s="19"/>
      <c r="J676" s="19"/>
      <c r="K676" s="19"/>
      <c r="L676" s="19"/>
      <c r="M676" s="19"/>
      <c r="N676" s="19"/>
      <c r="O676" s="19"/>
      <c r="P676" s="19"/>
      <c r="Q676" s="19"/>
      <c r="R676" s="19"/>
      <c r="S676" s="19"/>
      <c r="T676" s="19"/>
      <c r="U676" s="19"/>
      <c r="V676" s="19"/>
      <c r="W676" s="19"/>
      <c r="X676" s="19"/>
      <c r="Y676" s="19"/>
      <c r="Z676" s="19"/>
    </row>
    <row r="677" spans="2:26" ht="12" customHeight="1">
      <c r="B677" s="19"/>
      <c r="C677" s="19"/>
      <c r="D677" s="19"/>
      <c r="E677" s="19"/>
      <c r="F677" s="19"/>
      <c r="G677" s="19"/>
      <c r="H677" s="19"/>
      <c r="I677" s="19"/>
      <c r="J677" s="19"/>
      <c r="K677" s="19"/>
      <c r="L677" s="19"/>
      <c r="M677" s="19"/>
      <c r="N677" s="19"/>
      <c r="O677" s="19"/>
      <c r="P677" s="19"/>
      <c r="Q677" s="19"/>
      <c r="R677" s="19"/>
      <c r="S677" s="19"/>
      <c r="T677" s="19"/>
      <c r="U677" s="19"/>
      <c r="V677" s="19"/>
      <c r="W677" s="19"/>
      <c r="X677" s="19"/>
      <c r="Y677" s="19"/>
      <c r="Z677" s="19"/>
    </row>
    <row r="678" spans="2:26" ht="12" customHeight="1">
      <c r="B678" s="19"/>
      <c r="C678" s="19"/>
      <c r="D678" s="19"/>
      <c r="E678" s="19"/>
      <c r="F678" s="19"/>
      <c r="G678" s="19"/>
      <c r="H678" s="19"/>
      <c r="I678" s="19"/>
      <c r="J678" s="19"/>
      <c r="K678" s="19"/>
      <c r="L678" s="19"/>
      <c r="M678" s="19"/>
      <c r="N678" s="19"/>
      <c r="O678" s="19"/>
      <c r="P678" s="19"/>
      <c r="Q678" s="19"/>
      <c r="R678" s="19"/>
      <c r="S678" s="19"/>
      <c r="T678" s="19"/>
      <c r="U678" s="19"/>
      <c r="V678" s="19"/>
      <c r="W678" s="19"/>
      <c r="X678" s="19"/>
      <c r="Y678" s="19"/>
      <c r="Z678" s="19"/>
    </row>
    <row r="679" spans="2:26" ht="12" customHeight="1">
      <c r="B679" s="19"/>
      <c r="C679" s="19"/>
      <c r="D679" s="19"/>
      <c r="E679" s="19"/>
      <c r="F679" s="19"/>
      <c r="G679" s="19"/>
      <c r="H679" s="19"/>
      <c r="I679" s="19"/>
      <c r="J679" s="19"/>
      <c r="K679" s="19"/>
      <c r="L679" s="19"/>
      <c r="M679" s="19"/>
      <c r="N679" s="19"/>
      <c r="O679" s="19"/>
      <c r="P679" s="19"/>
      <c r="Q679" s="19"/>
      <c r="R679" s="19"/>
      <c r="S679" s="19"/>
      <c r="T679" s="19"/>
      <c r="U679" s="19"/>
      <c r="V679" s="19"/>
      <c r="W679" s="19"/>
      <c r="X679" s="19"/>
      <c r="Y679" s="19"/>
      <c r="Z679" s="19"/>
    </row>
    <row r="680" spans="2:26" ht="12" customHeight="1">
      <c r="B680" s="19"/>
      <c r="C680" s="19"/>
      <c r="D680" s="19"/>
      <c r="E680" s="19"/>
      <c r="F680" s="19"/>
      <c r="G680" s="19"/>
      <c r="H680" s="19"/>
      <c r="I680" s="19"/>
      <c r="J680" s="19"/>
      <c r="K680" s="19"/>
      <c r="L680" s="19"/>
      <c r="M680" s="19"/>
      <c r="N680" s="19"/>
      <c r="O680" s="19"/>
      <c r="P680" s="19"/>
      <c r="Q680" s="19"/>
      <c r="R680" s="19"/>
      <c r="S680" s="19"/>
      <c r="T680" s="19"/>
      <c r="U680" s="19"/>
      <c r="V680" s="19"/>
      <c r="W680" s="19"/>
      <c r="X680" s="19"/>
      <c r="Y680" s="19"/>
      <c r="Z680" s="19"/>
    </row>
    <row r="681" spans="2:26" ht="12" customHeight="1">
      <c r="B681" s="19"/>
      <c r="C681" s="19"/>
      <c r="D681" s="19"/>
      <c r="E681" s="19"/>
      <c r="F681" s="19"/>
      <c r="G681" s="19"/>
      <c r="H681" s="19"/>
      <c r="I681" s="19"/>
      <c r="J681" s="19"/>
      <c r="K681" s="19"/>
      <c r="L681" s="19"/>
      <c r="M681" s="19"/>
      <c r="N681" s="19"/>
      <c r="O681" s="19"/>
      <c r="P681" s="19"/>
      <c r="Q681" s="19"/>
      <c r="R681" s="19"/>
      <c r="S681" s="19"/>
      <c r="T681" s="19"/>
      <c r="U681" s="19"/>
      <c r="V681" s="19"/>
      <c r="W681" s="19"/>
      <c r="X681" s="19"/>
      <c r="Y681" s="19"/>
      <c r="Z681" s="19"/>
    </row>
    <row r="682" spans="2:26" ht="12" customHeight="1">
      <c r="B682" s="19"/>
      <c r="C682" s="19"/>
      <c r="D682" s="19"/>
      <c r="E682" s="19"/>
      <c r="F682" s="19"/>
      <c r="G682" s="19"/>
      <c r="H682" s="19"/>
      <c r="I682" s="19"/>
      <c r="J682" s="19"/>
      <c r="K682" s="19"/>
      <c r="L682" s="19"/>
      <c r="M682" s="19"/>
      <c r="N682" s="19"/>
      <c r="O682" s="19"/>
      <c r="P682" s="19"/>
      <c r="Q682" s="19"/>
      <c r="R682" s="19"/>
      <c r="S682" s="19"/>
      <c r="T682" s="19"/>
      <c r="U682" s="19"/>
      <c r="V682" s="19"/>
      <c r="W682" s="19"/>
      <c r="X682" s="19"/>
      <c r="Y682" s="19"/>
      <c r="Z682" s="19"/>
    </row>
    <row r="683" spans="2:26" ht="12" customHeight="1">
      <c r="B683" s="19"/>
      <c r="C683" s="19"/>
      <c r="D683" s="19"/>
      <c r="E683" s="19"/>
      <c r="F683" s="19"/>
      <c r="G683" s="19"/>
      <c r="H683" s="19"/>
      <c r="I683" s="19"/>
      <c r="J683" s="19"/>
      <c r="K683" s="19"/>
      <c r="L683" s="19"/>
      <c r="M683" s="19"/>
      <c r="N683" s="19"/>
      <c r="O683" s="19"/>
      <c r="P683" s="19"/>
      <c r="Q683" s="19"/>
      <c r="R683" s="19"/>
      <c r="S683" s="19"/>
      <c r="T683" s="19"/>
      <c r="U683" s="19"/>
      <c r="V683" s="19"/>
      <c r="W683" s="19"/>
      <c r="X683" s="19"/>
      <c r="Y683" s="19"/>
      <c r="Z683" s="19"/>
    </row>
    <row r="684" spans="2:26" ht="12" customHeight="1">
      <c r="B684" s="19"/>
      <c r="C684" s="19"/>
      <c r="D684" s="19"/>
      <c r="E684" s="19"/>
      <c r="F684" s="19"/>
      <c r="G684" s="19"/>
      <c r="H684" s="19"/>
      <c r="I684" s="19"/>
      <c r="J684" s="19"/>
      <c r="K684" s="19"/>
      <c r="L684" s="19"/>
      <c r="M684" s="19"/>
      <c r="N684" s="19"/>
      <c r="O684" s="19"/>
      <c r="P684" s="19"/>
      <c r="Q684" s="19"/>
      <c r="R684" s="19"/>
      <c r="S684" s="19"/>
      <c r="T684" s="19"/>
      <c r="U684" s="19"/>
      <c r="V684" s="19"/>
      <c r="W684" s="19"/>
      <c r="X684" s="19"/>
      <c r="Y684" s="19"/>
      <c r="Z684" s="19"/>
    </row>
    <row r="685" spans="2:26" ht="12" customHeight="1">
      <c r="B685" s="19"/>
      <c r="C685" s="19"/>
      <c r="D685" s="19"/>
      <c r="E685" s="19"/>
      <c r="F685" s="19"/>
      <c r="G685" s="19"/>
      <c r="H685" s="19"/>
      <c r="I685" s="19"/>
      <c r="J685" s="19"/>
      <c r="K685" s="19"/>
      <c r="L685" s="19"/>
      <c r="M685" s="19"/>
      <c r="N685" s="19"/>
      <c r="O685" s="19"/>
      <c r="P685" s="19"/>
      <c r="Q685" s="19"/>
      <c r="R685" s="19"/>
      <c r="S685" s="19"/>
      <c r="T685" s="19"/>
      <c r="U685" s="19"/>
      <c r="V685" s="19"/>
      <c r="W685" s="19"/>
      <c r="X685" s="19"/>
      <c r="Y685" s="19"/>
      <c r="Z685" s="19"/>
    </row>
    <row r="686" spans="2:26" ht="12" customHeight="1">
      <c r="B686" s="19"/>
      <c r="C686" s="19"/>
      <c r="D686" s="19"/>
      <c r="E686" s="19"/>
      <c r="F686" s="19"/>
      <c r="G686" s="19"/>
      <c r="H686" s="19"/>
      <c r="I686" s="19"/>
      <c r="J686" s="19"/>
      <c r="K686" s="19"/>
      <c r="L686" s="19"/>
      <c r="M686" s="19"/>
      <c r="N686" s="19"/>
      <c r="O686" s="19"/>
      <c r="P686" s="19"/>
      <c r="Q686" s="19"/>
      <c r="R686" s="19"/>
      <c r="S686" s="19"/>
      <c r="T686" s="19"/>
      <c r="U686" s="19"/>
      <c r="V686" s="19"/>
      <c r="W686" s="19"/>
      <c r="X686" s="19"/>
      <c r="Y686" s="19"/>
      <c r="Z686" s="19"/>
    </row>
    <row r="687" spans="2:26" ht="12" customHeight="1">
      <c r="B687" s="19"/>
      <c r="C687" s="19"/>
      <c r="D687" s="19"/>
      <c r="E687" s="19"/>
      <c r="F687" s="19"/>
      <c r="G687" s="19"/>
      <c r="H687" s="19"/>
      <c r="I687" s="19"/>
      <c r="J687" s="19"/>
      <c r="K687" s="19"/>
      <c r="L687" s="19"/>
      <c r="M687" s="19"/>
      <c r="N687" s="19"/>
      <c r="O687" s="19"/>
      <c r="P687" s="19"/>
      <c r="Q687" s="19"/>
      <c r="R687" s="19"/>
      <c r="S687" s="19"/>
      <c r="T687" s="19"/>
      <c r="U687" s="19"/>
      <c r="V687" s="19"/>
      <c r="W687" s="19"/>
      <c r="X687" s="19"/>
      <c r="Y687" s="19"/>
      <c r="Z687" s="19"/>
    </row>
    <row r="688" spans="2:26" ht="12" customHeight="1">
      <c r="B688" s="19"/>
      <c r="C688" s="19"/>
      <c r="D688" s="19"/>
      <c r="E688" s="19"/>
      <c r="F688" s="19"/>
      <c r="G688" s="19"/>
      <c r="H688" s="19"/>
      <c r="I688" s="19"/>
      <c r="J688" s="19"/>
      <c r="K688" s="19"/>
      <c r="L688" s="19"/>
      <c r="M688" s="19"/>
      <c r="N688" s="19"/>
      <c r="O688" s="19"/>
      <c r="P688" s="19"/>
      <c r="Q688" s="19"/>
      <c r="R688" s="19"/>
      <c r="S688" s="19"/>
      <c r="T688" s="19"/>
      <c r="U688" s="19"/>
      <c r="V688" s="19"/>
      <c r="W688" s="19"/>
      <c r="X688" s="19"/>
      <c r="Y688" s="19"/>
      <c r="Z688" s="19"/>
    </row>
    <row r="689" spans="2:26" ht="12" customHeight="1">
      <c r="B689" s="19"/>
      <c r="C689" s="19"/>
      <c r="D689" s="19"/>
      <c r="E689" s="19"/>
      <c r="F689" s="19"/>
      <c r="G689" s="19"/>
      <c r="H689" s="19"/>
      <c r="I689" s="19"/>
      <c r="J689" s="19"/>
      <c r="K689" s="19"/>
      <c r="L689" s="19"/>
      <c r="M689" s="19"/>
      <c r="N689" s="19"/>
      <c r="O689" s="19"/>
      <c r="P689" s="19"/>
      <c r="Q689" s="19"/>
      <c r="R689" s="19"/>
      <c r="S689" s="19"/>
      <c r="T689" s="19"/>
      <c r="U689" s="19"/>
      <c r="V689" s="19"/>
      <c r="W689" s="19"/>
      <c r="X689" s="19"/>
      <c r="Y689" s="19"/>
      <c r="Z689" s="19"/>
    </row>
    <row r="690" spans="2:26" ht="12" customHeight="1">
      <c r="B690" s="19"/>
      <c r="C690" s="19"/>
      <c r="D690" s="19"/>
      <c r="E690" s="19"/>
      <c r="F690" s="19"/>
      <c r="G690" s="19"/>
      <c r="H690" s="19"/>
      <c r="I690" s="19"/>
      <c r="J690" s="19"/>
      <c r="K690" s="19"/>
      <c r="L690" s="19"/>
      <c r="M690" s="19"/>
      <c r="N690" s="19"/>
      <c r="O690" s="19"/>
      <c r="P690" s="19"/>
      <c r="Q690" s="19"/>
      <c r="R690" s="19"/>
      <c r="S690" s="19"/>
      <c r="T690" s="19"/>
      <c r="U690" s="19"/>
      <c r="V690" s="19"/>
      <c r="W690" s="19"/>
      <c r="X690" s="19"/>
      <c r="Y690" s="19"/>
      <c r="Z690" s="19"/>
    </row>
    <row r="691" spans="2:26" ht="12" customHeight="1">
      <c r="B691" s="19"/>
      <c r="C691" s="19"/>
      <c r="D691" s="19"/>
      <c r="E691" s="19"/>
      <c r="F691" s="19"/>
      <c r="G691" s="19"/>
      <c r="H691" s="19"/>
      <c r="I691" s="19"/>
      <c r="J691" s="19"/>
      <c r="K691" s="19"/>
      <c r="L691" s="19"/>
      <c r="M691" s="19"/>
      <c r="N691" s="19"/>
      <c r="O691" s="19"/>
      <c r="P691" s="19"/>
      <c r="Q691" s="19"/>
      <c r="R691" s="19"/>
      <c r="S691" s="19"/>
      <c r="T691" s="19"/>
      <c r="U691" s="19"/>
      <c r="V691" s="19"/>
      <c r="W691" s="19"/>
      <c r="X691" s="19"/>
      <c r="Y691" s="19"/>
      <c r="Z691" s="19"/>
    </row>
    <row r="692" spans="2:26" ht="12" customHeight="1">
      <c r="B692" s="19"/>
      <c r="C692" s="19"/>
      <c r="D692" s="19"/>
      <c r="E692" s="19"/>
      <c r="F692" s="19"/>
      <c r="G692" s="19"/>
      <c r="H692" s="19"/>
      <c r="I692" s="19"/>
      <c r="J692" s="19"/>
      <c r="K692" s="19"/>
      <c r="L692" s="19"/>
      <c r="M692" s="19"/>
      <c r="N692" s="19"/>
      <c r="O692" s="19"/>
      <c r="P692" s="19"/>
      <c r="Q692" s="19"/>
      <c r="R692" s="19"/>
      <c r="S692" s="19"/>
      <c r="T692" s="19"/>
      <c r="U692" s="19"/>
      <c r="V692" s="19"/>
      <c r="W692" s="19"/>
      <c r="X692" s="19"/>
      <c r="Y692" s="19"/>
      <c r="Z692" s="19"/>
    </row>
    <row r="693" spans="2:26" ht="12" customHeight="1">
      <c r="B693" s="19"/>
      <c r="C693" s="19"/>
      <c r="D693" s="19"/>
      <c r="E693" s="19"/>
      <c r="F693" s="19"/>
      <c r="G693" s="19"/>
      <c r="H693" s="19"/>
      <c r="I693" s="19"/>
      <c r="J693" s="19"/>
      <c r="K693" s="19"/>
      <c r="L693" s="19"/>
      <c r="M693" s="19"/>
      <c r="N693" s="19"/>
      <c r="O693" s="19"/>
      <c r="P693" s="19"/>
      <c r="Q693" s="19"/>
      <c r="R693" s="19"/>
      <c r="S693" s="19"/>
      <c r="T693" s="19"/>
      <c r="U693" s="19"/>
      <c r="V693" s="19"/>
      <c r="W693" s="19"/>
      <c r="X693" s="19"/>
      <c r="Y693" s="19"/>
      <c r="Z693" s="19"/>
    </row>
    <row r="694" spans="2:26" ht="12" customHeight="1">
      <c r="B694" s="19"/>
      <c r="C694" s="19"/>
      <c r="D694" s="19"/>
      <c r="E694" s="19"/>
      <c r="F694" s="19"/>
      <c r="G694" s="19"/>
      <c r="H694" s="19"/>
      <c r="I694" s="19"/>
      <c r="J694" s="19"/>
      <c r="K694" s="19"/>
      <c r="L694" s="19"/>
      <c r="M694" s="19"/>
      <c r="N694" s="19"/>
      <c r="O694" s="19"/>
      <c r="P694" s="19"/>
      <c r="Q694" s="19"/>
      <c r="R694" s="19"/>
      <c r="S694" s="19"/>
      <c r="T694" s="19"/>
      <c r="U694" s="19"/>
      <c r="V694" s="19"/>
      <c r="W694" s="19"/>
      <c r="X694" s="19"/>
      <c r="Y694" s="19"/>
      <c r="Z694" s="19"/>
    </row>
    <row r="695" spans="2:26" ht="12" customHeight="1">
      <c r="B695" s="19"/>
      <c r="C695" s="19"/>
      <c r="D695" s="19"/>
      <c r="E695" s="19"/>
      <c r="F695" s="19"/>
      <c r="G695" s="19"/>
      <c r="H695" s="19"/>
      <c r="I695" s="19"/>
      <c r="J695" s="19"/>
      <c r="K695" s="19"/>
      <c r="L695" s="19"/>
      <c r="M695" s="19"/>
      <c r="N695" s="19"/>
      <c r="O695" s="19"/>
      <c r="P695" s="19"/>
      <c r="Q695" s="19"/>
      <c r="R695" s="19"/>
      <c r="S695" s="19"/>
      <c r="T695" s="19"/>
      <c r="U695" s="19"/>
      <c r="V695" s="19"/>
      <c r="W695" s="19"/>
      <c r="X695" s="19"/>
      <c r="Y695" s="19"/>
      <c r="Z695" s="19"/>
    </row>
    <row r="696" spans="2:26" ht="12" customHeight="1">
      <c r="B696" s="19"/>
      <c r="C696" s="19"/>
      <c r="D696" s="19"/>
      <c r="E696" s="19"/>
      <c r="F696" s="19"/>
      <c r="G696" s="19"/>
      <c r="H696" s="19"/>
      <c r="I696" s="19"/>
      <c r="J696" s="19"/>
      <c r="K696" s="19"/>
      <c r="L696" s="19"/>
      <c r="M696" s="19"/>
      <c r="N696" s="19"/>
      <c r="O696" s="19"/>
      <c r="P696" s="19"/>
      <c r="Q696" s="19"/>
      <c r="R696" s="19"/>
      <c r="S696" s="19"/>
      <c r="T696" s="19"/>
      <c r="U696" s="19"/>
      <c r="V696" s="19"/>
      <c r="W696" s="19"/>
      <c r="X696" s="19"/>
      <c r="Y696" s="19"/>
      <c r="Z696" s="19"/>
    </row>
    <row r="697" spans="2:26" ht="12" customHeight="1">
      <c r="B697" s="19"/>
      <c r="C697" s="19"/>
      <c r="D697" s="19"/>
      <c r="E697" s="19"/>
      <c r="F697" s="19"/>
      <c r="G697" s="19"/>
      <c r="H697" s="19"/>
      <c r="I697" s="19"/>
      <c r="J697" s="19"/>
      <c r="K697" s="19"/>
      <c r="L697" s="19"/>
      <c r="M697" s="19"/>
      <c r="N697" s="19"/>
      <c r="O697" s="19"/>
      <c r="P697" s="19"/>
      <c r="Q697" s="19"/>
      <c r="R697" s="19"/>
      <c r="S697" s="19"/>
      <c r="T697" s="19"/>
      <c r="U697" s="19"/>
      <c r="V697" s="19"/>
      <c r="W697" s="19"/>
      <c r="X697" s="19"/>
      <c r="Y697" s="19"/>
      <c r="Z697" s="19"/>
    </row>
    <row r="698" spans="2:26" ht="12" customHeight="1">
      <c r="B698" s="19"/>
      <c r="C698" s="19"/>
      <c r="D698" s="19"/>
      <c r="E698" s="19"/>
      <c r="F698" s="19"/>
      <c r="G698" s="19"/>
      <c r="H698" s="19"/>
      <c r="I698" s="19"/>
      <c r="J698" s="19"/>
      <c r="K698" s="19"/>
      <c r="L698" s="19"/>
      <c r="M698" s="19"/>
      <c r="N698" s="19"/>
      <c r="O698" s="19"/>
      <c r="P698" s="19"/>
      <c r="Q698" s="19"/>
      <c r="R698" s="19"/>
      <c r="S698" s="19"/>
      <c r="T698" s="19"/>
      <c r="U698" s="19"/>
      <c r="V698" s="19"/>
      <c r="W698" s="19"/>
      <c r="X698" s="19"/>
      <c r="Y698" s="19"/>
      <c r="Z698" s="19"/>
    </row>
    <row r="699" spans="2:26" ht="12" customHeight="1">
      <c r="B699" s="19"/>
      <c r="C699" s="19"/>
      <c r="D699" s="19"/>
      <c r="E699" s="19"/>
      <c r="F699" s="19"/>
      <c r="G699" s="19"/>
      <c r="H699" s="19"/>
      <c r="I699" s="19"/>
      <c r="J699" s="19"/>
      <c r="K699" s="19"/>
      <c r="L699" s="19"/>
      <c r="M699" s="19"/>
      <c r="N699" s="19"/>
      <c r="O699" s="19"/>
      <c r="P699" s="19"/>
      <c r="Q699" s="19"/>
      <c r="R699" s="19"/>
      <c r="S699" s="19"/>
      <c r="T699" s="19"/>
      <c r="U699" s="19"/>
      <c r="V699" s="19"/>
      <c r="W699" s="19"/>
      <c r="X699" s="19"/>
      <c r="Y699" s="19"/>
      <c r="Z699" s="19"/>
    </row>
    <row r="700" spans="2:26" ht="12" customHeight="1">
      <c r="B700" s="19"/>
      <c r="C700" s="19"/>
      <c r="D700" s="19"/>
      <c r="E700" s="19"/>
      <c r="F700" s="19"/>
      <c r="G700" s="19"/>
      <c r="H700" s="19"/>
      <c r="I700" s="19"/>
      <c r="J700" s="19"/>
      <c r="K700" s="19"/>
      <c r="L700" s="19"/>
      <c r="M700" s="19"/>
      <c r="N700" s="19"/>
      <c r="O700" s="19"/>
      <c r="P700" s="19"/>
      <c r="Q700" s="19"/>
      <c r="R700" s="19"/>
      <c r="S700" s="19"/>
      <c r="T700" s="19"/>
      <c r="U700" s="19"/>
      <c r="V700" s="19"/>
      <c r="W700" s="19"/>
      <c r="X700" s="19"/>
      <c r="Y700" s="19"/>
      <c r="Z700" s="19"/>
    </row>
    <row r="701" spans="2:26" ht="12" customHeight="1">
      <c r="B701" s="19"/>
      <c r="C701" s="19"/>
      <c r="D701" s="19"/>
      <c r="E701" s="19"/>
      <c r="F701" s="19"/>
      <c r="G701" s="19"/>
      <c r="H701" s="19"/>
      <c r="I701" s="19"/>
      <c r="J701" s="19"/>
      <c r="K701" s="19"/>
      <c r="L701" s="19"/>
      <c r="M701" s="19"/>
      <c r="N701" s="19"/>
      <c r="O701" s="19"/>
      <c r="P701" s="19"/>
      <c r="Q701" s="19"/>
      <c r="R701" s="19"/>
      <c r="S701" s="19"/>
      <c r="T701" s="19"/>
      <c r="U701" s="19"/>
      <c r="V701" s="19"/>
      <c r="W701" s="19"/>
      <c r="X701" s="19"/>
      <c r="Y701" s="19"/>
      <c r="Z701" s="19"/>
    </row>
    <row r="702" spans="2:26" ht="12" customHeight="1">
      <c r="B702" s="19"/>
      <c r="C702" s="19"/>
      <c r="D702" s="19"/>
      <c r="E702" s="19"/>
      <c r="F702" s="19"/>
      <c r="G702" s="19"/>
      <c r="H702" s="19"/>
      <c r="I702" s="19"/>
      <c r="J702" s="19"/>
      <c r="K702" s="19"/>
      <c r="L702" s="19"/>
      <c r="M702" s="19"/>
      <c r="N702" s="19"/>
      <c r="O702" s="19"/>
      <c r="P702" s="19"/>
      <c r="Q702" s="19"/>
      <c r="R702" s="19"/>
      <c r="S702" s="19"/>
      <c r="T702" s="19"/>
      <c r="U702" s="19"/>
      <c r="V702" s="19"/>
      <c r="W702" s="19"/>
      <c r="X702" s="19"/>
      <c r="Y702" s="19"/>
      <c r="Z702" s="19"/>
    </row>
    <row r="703" spans="2:26" ht="12" customHeight="1">
      <c r="B703" s="19"/>
      <c r="C703" s="19"/>
      <c r="D703" s="19"/>
      <c r="E703" s="19"/>
      <c r="F703" s="19"/>
      <c r="G703" s="19"/>
      <c r="H703" s="19"/>
      <c r="I703" s="19"/>
      <c r="J703" s="19"/>
      <c r="K703" s="19"/>
      <c r="L703" s="19"/>
      <c r="M703" s="19"/>
      <c r="N703" s="19"/>
      <c r="O703" s="19"/>
      <c r="P703" s="19"/>
      <c r="Q703" s="19"/>
      <c r="R703" s="19"/>
      <c r="S703" s="19"/>
      <c r="T703" s="19"/>
      <c r="U703" s="19"/>
      <c r="V703" s="19"/>
      <c r="W703" s="19"/>
      <c r="X703" s="19"/>
      <c r="Y703" s="19"/>
      <c r="Z703" s="19"/>
    </row>
    <row r="704" spans="2:26" ht="12" customHeight="1">
      <c r="B704" s="19"/>
      <c r="C704" s="19"/>
      <c r="D704" s="19"/>
      <c r="E704" s="19"/>
      <c r="F704" s="19"/>
      <c r="G704" s="19"/>
      <c r="H704" s="19"/>
      <c r="I704" s="19"/>
      <c r="J704" s="19"/>
      <c r="K704" s="19"/>
      <c r="L704" s="19"/>
      <c r="M704" s="19"/>
      <c r="N704" s="19"/>
      <c r="O704" s="19"/>
      <c r="P704" s="19"/>
      <c r="Q704" s="19"/>
      <c r="R704" s="19"/>
      <c r="S704" s="19"/>
      <c r="T704" s="19"/>
      <c r="U704" s="19"/>
      <c r="V704" s="19"/>
      <c r="W704" s="19"/>
      <c r="X704" s="19"/>
      <c r="Y704" s="19"/>
      <c r="Z704" s="19"/>
    </row>
    <row r="705" spans="2:26" ht="12" customHeight="1">
      <c r="B705" s="19"/>
      <c r="C705" s="19"/>
      <c r="D705" s="19"/>
      <c r="E705" s="19"/>
      <c r="F705" s="19"/>
      <c r="G705" s="19"/>
      <c r="H705" s="19"/>
      <c r="I705" s="19"/>
      <c r="J705" s="19"/>
      <c r="K705" s="19"/>
      <c r="L705" s="19"/>
      <c r="M705" s="19"/>
      <c r="N705" s="19"/>
      <c r="O705" s="19"/>
      <c r="P705" s="19"/>
      <c r="Q705" s="19"/>
      <c r="R705" s="19"/>
      <c r="S705" s="19"/>
      <c r="T705" s="19"/>
      <c r="U705" s="19"/>
      <c r="V705" s="19"/>
      <c r="W705" s="19"/>
      <c r="X705" s="19"/>
      <c r="Y705" s="19"/>
      <c r="Z705" s="19"/>
    </row>
    <row r="706" spans="2:26" ht="12" customHeight="1">
      <c r="B706" s="19"/>
      <c r="C706" s="19"/>
      <c r="D706" s="19"/>
      <c r="E706" s="19"/>
      <c r="F706" s="19"/>
      <c r="G706" s="19"/>
      <c r="H706" s="19"/>
      <c r="I706" s="19"/>
      <c r="J706" s="19"/>
      <c r="K706" s="19"/>
      <c r="L706" s="19"/>
      <c r="M706" s="19"/>
      <c r="N706" s="19"/>
      <c r="O706" s="19"/>
      <c r="P706" s="19"/>
      <c r="Q706" s="19"/>
      <c r="R706" s="19"/>
      <c r="S706" s="19"/>
      <c r="T706" s="19"/>
      <c r="U706" s="19"/>
      <c r="V706" s="19"/>
      <c r="W706" s="19"/>
      <c r="X706" s="19"/>
      <c r="Y706" s="19"/>
      <c r="Z706" s="19"/>
    </row>
    <row r="707" spans="2:26" ht="12" customHeight="1">
      <c r="B707" s="19"/>
      <c r="C707" s="19"/>
      <c r="D707" s="19"/>
      <c r="E707" s="19"/>
      <c r="F707" s="19"/>
      <c r="G707" s="19"/>
      <c r="H707" s="19"/>
      <c r="I707" s="19"/>
      <c r="J707" s="19"/>
      <c r="K707" s="19"/>
      <c r="L707" s="19"/>
      <c r="M707" s="19"/>
      <c r="N707" s="19"/>
      <c r="O707" s="19"/>
      <c r="P707" s="19"/>
      <c r="Q707" s="19"/>
      <c r="R707" s="19"/>
      <c r="S707" s="19"/>
      <c r="T707" s="19"/>
      <c r="U707" s="19"/>
      <c r="V707" s="19"/>
      <c r="W707" s="19"/>
      <c r="X707" s="19"/>
      <c r="Y707" s="19"/>
      <c r="Z707" s="19"/>
    </row>
    <row r="708" spans="2:26" ht="12" customHeight="1">
      <c r="B708" s="19"/>
      <c r="C708" s="19"/>
      <c r="D708" s="19"/>
      <c r="E708" s="19"/>
      <c r="F708" s="19"/>
      <c r="G708" s="19"/>
      <c r="H708" s="19"/>
      <c r="I708" s="19"/>
      <c r="J708" s="19"/>
      <c r="K708" s="19"/>
      <c r="L708" s="19"/>
      <c r="M708" s="19"/>
      <c r="N708" s="19"/>
      <c r="O708" s="19"/>
      <c r="P708" s="19"/>
      <c r="Q708" s="19"/>
      <c r="R708" s="19"/>
      <c r="S708" s="19"/>
      <c r="T708" s="19"/>
      <c r="U708" s="19"/>
      <c r="V708" s="19"/>
      <c r="W708" s="19"/>
      <c r="X708" s="19"/>
      <c r="Y708" s="19"/>
      <c r="Z708" s="19"/>
    </row>
    <row r="709" spans="2:26" ht="12" customHeight="1">
      <c r="B709" s="19"/>
      <c r="C709" s="19"/>
      <c r="D709" s="19"/>
      <c r="E709" s="19"/>
      <c r="F709" s="19"/>
      <c r="G709" s="19"/>
      <c r="H709" s="19"/>
      <c r="I709" s="19"/>
      <c r="J709" s="19"/>
      <c r="K709" s="19"/>
      <c r="L709" s="19"/>
      <c r="M709" s="19"/>
      <c r="N709" s="19"/>
      <c r="O709" s="19"/>
      <c r="P709" s="19"/>
      <c r="Q709" s="19"/>
      <c r="R709" s="19"/>
      <c r="S709" s="19"/>
      <c r="T709" s="19"/>
      <c r="U709" s="19"/>
      <c r="V709" s="19"/>
      <c r="W709" s="19"/>
      <c r="X709" s="19"/>
      <c r="Y709" s="19"/>
      <c r="Z709" s="19"/>
    </row>
    <row r="710" spans="2:26" ht="12" customHeight="1">
      <c r="B710" s="19"/>
      <c r="C710" s="19"/>
      <c r="D710" s="19"/>
      <c r="E710" s="19"/>
      <c r="F710" s="19"/>
      <c r="G710" s="19"/>
      <c r="H710" s="19"/>
      <c r="I710" s="19"/>
      <c r="J710" s="19"/>
      <c r="K710" s="19"/>
      <c r="L710" s="19"/>
      <c r="M710" s="19"/>
      <c r="N710" s="19"/>
      <c r="O710" s="19"/>
      <c r="P710" s="19"/>
      <c r="Q710" s="19"/>
      <c r="R710" s="19"/>
      <c r="S710" s="19"/>
      <c r="T710" s="19"/>
      <c r="U710" s="19"/>
      <c r="V710" s="19"/>
      <c r="W710" s="19"/>
      <c r="X710" s="19"/>
      <c r="Y710" s="19"/>
      <c r="Z710" s="19"/>
    </row>
    <row r="711" spans="2:26" ht="12" customHeight="1">
      <c r="B711" s="19"/>
      <c r="C711" s="19"/>
      <c r="D711" s="19"/>
      <c r="E711" s="19"/>
      <c r="F711" s="19"/>
      <c r="G711" s="19"/>
      <c r="H711" s="19"/>
      <c r="I711" s="19"/>
      <c r="J711" s="19"/>
      <c r="K711" s="19"/>
      <c r="L711" s="19"/>
      <c r="M711" s="19"/>
      <c r="N711" s="19"/>
      <c r="O711" s="19"/>
      <c r="P711" s="19"/>
      <c r="Q711" s="19"/>
      <c r="R711" s="19"/>
      <c r="S711" s="19"/>
      <c r="T711" s="19"/>
      <c r="U711" s="19"/>
      <c r="V711" s="19"/>
      <c r="W711" s="19"/>
      <c r="X711" s="19"/>
      <c r="Y711" s="19"/>
      <c r="Z711" s="19"/>
    </row>
    <row r="712" spans="2:26" ht="12" customHeight="1">
      <c r="B712" s="19"/>
      <c r="C712" s="19"/>
      <c r="D712" s="19"/>
      <c r="E712" s="19"/>
      <c r="F712" s="19"/>
      <c r="G712" s="19"/>
      <c r="H712" s="19"/>
      <c r="I712" s="19"/>
      <c r="J712" s="19"/>
      <c r="K712" s="19"/>
      <c r="L712" s="19"/>
      <c r="M712" s="19"/>
      <c r="N712" s="19"/>
      <c r="O712" s="19"/>
      <c r="P712" s="19"/>
      <c r="Q712" s="19"/>
      <c r="R712" s="19"/>
      <c r="S712" s="19"/>
      <c r="T712" s="19"/>
      <c r="U712" s="19"/>
      <c r="V712" s="19"/>
      <c r="W712" s="19"/>
      <c r="X712" s="19"/>
      <c r="Y712" s="19"/>
      <c r="Z712" s="19"/>
    </row>
    <row r="713" spans="2:26" ht="12" customHeight="1">
      <c r="B713" s="19"/>
      <c r="C713" s="19"/>
      <c r="D713" s="19"/>
      <c r="E713" s="19"/>
      <c r="F713" s="19"/>
      <c r="G713" s="19"/>
      <c r="H713" s="19"/>
      <c r="I713" s="19"/>
      <c r="J713" s="19"/>
      <c r="K713" s="19"/>
      <c r="L713" s="19"/>
      <c r="M713" s="19"/>
      <c r="N713" s="19"/>
      <c r="O713" s="19"/>
      <c r="P713" s="19"/>
      <c r="Q713" s="19"/>
      <c r="R713" s="19"/>
      <c r="S713" s="19"/>
      <c r="T713" s="19"/>
      <c r="U713" s="19"/>
      <c r="V713" s="19"/>
      <c r="W713" s="19"/>
      <c r="X713" s="19"/>
      <c r="Y713" s="19"/>
      <c r="Z713" s="19"/>
    </row>
    <row r="714" spans="2:26" ht="12" customHeight="1">
      <c r="B714" s="19"/>
      <c r="C714" s="19"/>
      <c r="D714" s="19"/>
      <c r="E714" s="19"/>
      <c r="F714" s="19"/>
      <c r="G714" s="19"/>
      <c r="H714" s="19"/>
      <c r="I714" s="19"/>
      <c r="J714" s="19"/>
      <c r="K714" s="19"/>
      <c r="L714" s="19"/>
      <c r="M714" s="19"/>
      <c r="N714" s="19"/>
      <c r="O714" s="19"/>
      <c r="P714" s="19"/>
      <c r="Q714" s="19"/>
      <c r="R714" s="19"/>
      <c r="S714" s="19"/>
      <c r="T714" s="19"/>
      <c r="U714" s="19"/>
      <c r="V714" s="19"/>
      <c r="W714" s="19"/>
      <c r="X714" s="19"/>
      <c r="Y714" s="19"/>
      <c r="Z714" s="19"/>
    </row>
    <row r="715" spans="2:26" ht="12" customHeight="1">
      <c r="B715" s="19"/>
      <c r="C715" s="19"/>
      <c r="D715" s="19"/>
      <c r="E715" s="19"/>
      <c r="F715" s="19"/>
      <c r="G715" s="19"/>
      <c r="H715" s="19"/>
      <c r="I715" s="19"/>
      <c r="J715" s="19"/>
      <c r="K715" s="19"/>
      <c r="L715" s="19"/>
      <c r="M715" s="19"/>
      <c r="N715" s="19"/>
      <c r="O715" s="19"/>
      <c r="P715" s="19"/>
      <c r="Q715" s="19"/>
      <c r="R715" s="19"/>
      <c r="S715" s="19"/>
      <c r="T715" s="19"/>
      <c r="U715" s="19"/>
      <c r="V715" s="19"/>
      <c r="W715" s="19"/>
      <c r="X715" s="19"/>
      <c r="Y715" s="19"/>
      <c r="Z715" s="19"/>
    </row>
    <row r="716" spans="2:26" ht="12" customHeight="1">
      <c r="B716" s="19"/>
      <c r="C716" s="19"/>
      <c r="D716" s="19"/>
      <c r="E716" s="19"/>
      <c r="F716" s="19"/>
      <c r="G716" s="19"/>
      <c r="H716" s="19"/>
      <c r="I716" s="19"/>
      <c r="J716" s="19"/>
      <c r="K716" s="19"/>
      <c r="L716" s="19"/>
      <c r="M716" s="19"/>
      <c r="N716" s="19"/>
      <c r="O716" s="19"/>
      <c r="P716" s="19"/>
      <c r="Q716" s="19"/>
      <c r="R716" s="19"/>
      <c r="S716" s="19"/>
      <c r="T716" s="19"/>
      <c r="U716" s="19"/>
      <c r="V716" s="19"/>
      <c r="W716" s="19"/>
      <c r="X716" s="19"/>
      <c r="Y716" s="19"/>
      <c r="Z716" s="19"/>
    </row>
    <row r="717" spans="2:26" ht="12" customHeight="1">
      <c r="B717" s="19"/>
      <c r="C717" s="19"/>
      <c r="D717" s="19"/>
      <c r="E717" s="19"/>
      <c r="F717" s="19"/>
      <c r="G717" s="19"/>
      <c r="H717" s="19"/>
      <c r="I717" s="19"/>
      <c r="J717" s="19"/>
      <c r="K717" s="19"/>
      <c r="L717" s="19"/>
      <c r="M717" s="19"/>
      <c r="N717" s="19"/>
      <c r="O717" s="19"/>
      <c r="P717" s="19"/>
      <c r="Q717" s="19"/>
      <c r="R717" s="19"/>
      <c r="S717" s="19"/>
      <c r="T717" s="19"/>
      <c r="U717" s="19"/>
      <c r="V717" s="19"/>
      <c r="W717" s="19"/>
      <c r="X717" s="19"/>
      <c r="Y717" s="19"/>
      <c r="Z717" s="19"/>
    </row>
    <row r="718" spans="2:26" ht="12" customHeight="1">
      <c r="B718" s="19"/>
      <c r="C718" s="19"/>
      <c r="D718" s="19"/>
      <c r="E718" s="19"/>
      <c r="F718" s="19"/>
      <c r="G718" s="19"/>
      <c r="H718" s="19"/>
      <c r="I718" s="19"/>
      <c r="J718" s="19"/>
      <c r="K718" s="19"/>
      <c r="L718" s="19"/>
      <c r="M718" s="19"/>
      <c r="N718" s="19"/>
      <c r="O718" s="19"/>
      <c r="P718" s="19"/>
      <c r="Q718" s="19"/>
      <c r="R718" s="19"/>
      <c r="S718" s="19"/>
      <c r="T718" s="19"/>
      <c r="U718" s="19"/>
      <c r="V718" s="19"/>
      <c r="W718" s="19"/>
      <c r="X718" s="19"/>
      <c r="Y718" s="19"/>
      <c r="Z718" s="19"/>
    </row>
    <row r="719" spans="2:26" ht="12" customHeight="1">
      <c r="B719" s="19"/>
      <c r="C719" s="19"/>
      <c r="D719" s="19"/>
      <c r="E719" s="19"/>
      <c r="F719" s="19"/>
      <c r="G719" s="19"/>
      <c r="H719" s="19"/>
      <c r="I719" s="19"/>
      <c r="J719" s="19"/>
      <c r="K719" s="19"/>
      <c r="L719" s="19"/>
      <c r="M719" s="19"/>
      <c r="N719" s="19"/>
      <c r="O719" s="19"/>
      <c r="P719" s="19"/>
      <c r="Q719" s="19"/>
      <c r="R719" s="19"/>
      <c r="S719" s="19"/>
      <c r="T719" s="19"/>
      <c r="U719" s="19"/>
      <c r="V719" s="19"/>
      <c r="W719" s="19"/>
      <c r="X719" s="19"/>
      <c r="Y719" s="19"/>
      <c r="Z719" s="19"/>
    </row>
    <row r="720" spans="2:26" ht="12" customHeight="1">
      <c r="B720" s="19"/>
      <c r="C720" s="19"/>
      <c r="D720" s="19"/>
      <c r="E720" s="19"/>
      <c r="F720" s="19"/>
      <c r="G720" s="19"/>
      <c r="H720" s="19"/>
      <c r="I720" s="19"/>
      <c r="J720" s="19"/>
      <c r="K720" s="19"/>
      <c r="L720" s="19"/>
      <c r="M720" s="19"/>
      <c r="N720" s="19"/>
      <c r="O720" s="19"/>
      <c r="P720" s="19"/>
      <c r="Q720" s="19"/>
      <c r="R720" s="19"/>
      <c r="S720" s="19"/>
      <c r="T720" s="19"/>
      <c r="U720" s="19"/>
      <c r="V720" s="19"/>
      <c r="W720" s="19"/>
      <c r="X720" s="19"/>
      <c r="Y720" s="19"/>
      <c r="Z720" s="19"/>
    </row>
    <row r="721" spans="2:26" ht="12" customHeight="1">
      <c r="B721" s="19"/>
      <c r="C721" s="19"/>
      <c r="D721" s="19"/>
      <c r="E721" s="19"/>
      <c r="F721" s="19"/>
      <c r="G721" s="19"/>
      <c r="H721" s="19"/>
      <c r="I721" s="19"/>
      <c r="J721" s="19"/>
      <c r="K721" s="19"/>
      <c r="L721" s="19"/>
      <c r="M721" s="19"/>
      <c r="N721" s="19"/>
      <c r="O721" s="19"/>
      <c r="P721" s="19"/>
      <c r="Q721" s="19"/>
      <c r="R721" s="19"/>
      <c r="S721" s="19"/>
      <c r="T721" s="19"/>
      <c r="U721" s="19"/>
      <c r="V721" s="19"/>
      <c r="W721" s="19"/>
      <c r="X721" s="19"/>
      <c r="Y721" s="19"/>
      <c r="Z721" s="19"/>
    </row>
    <row r="722" spans="2:26" ht="12" customHeight="1">
      <c r="B722" s="19"/>
      <c r="C722" s="19"/>
      <c r="D722" s="19"/>
      <c r="E722" s="19"/>
      <c r="F722" s="19"/>
      <c r="G722" s="19"/>
      <c r="H722" s="19"/>
      <c r="I722" s="19"/>
      <c r="J722" s="19"/>
      <c r="K722" s="19"/>
      <c r="L722" s="19"/>
      <c r="M722" s="19"/>
      <c r="N722" s="19"/>
      <c r="O722" s="19"/>
      <c r="P722" s="19"/>
      <c r="Q722" s="19"/>
      <c r="R722" s="19"/>
      <c r="S722" s="19"/>
      <c r="T722" s="19"/>
      <c r="U722" s="19"/>
      <c r="V722" s="19"/>
      <c r="W722" s="19"/>
      <c r="X722" s="19"/>
      <c r="Y722" s="19"/>
      <c r="Z722" s="19"/>
    </row>
    <row r="723" spans="2:26" ht="12" customHeight="1">
      <c r="B723" s="19"/>
      <c r="C723" s="19"/>
      <c r="D723" s="19"/>
      <c r="E723" s="19"/>
      <c r="F723" s="19"/>
      <c r="G723" s="19"/>
      <c r="H723" s="19"/>
      <c r="I723" s="19"/>
      <c r="J723" s="19"/>
      <c r="K723" s="19"/>
      <c r="L723" s="19"/>
      <c r="M723" s="19"/>
      <c r="N723" s="19"/>
      <c r="O723" s="19"/>
      <c r="P723" s="19"/>
      <c r="Q723" s="19"/>
      <c r="R723" s="19"/>
      <c r="S723" s="19"/>
      <c r="T723" s="19"/>
      <c r="U723" s="19"/>
      <c r="V723" s="19"/>
      <c r="W723" s="19"/>
      <c r="X723" s="19"/>
      <c r="Y723" s="19"/>
      <c r="Z723" s="19"/>
    </row>
    <row r="724" spans="2:26" ht="12" customHeight="1">
      <c r="B724" s="19"/>
      <c r="C724" s="19"/>
      <c r="D724" s="19"/>
      <c r="E724" s="19"/>
      <c r="F724" s="19"/>
      <c r="G724" s="19"/>
      <c r="H724" s="19"/>
      <c r="I724" s="19"/>
      <c r="J724" s="19"/>
      <c r="K724" s="19"/>
      <c r="L724" s="19"/>
      <c r="M724" s="19"/>
      <c r="N724" s="19"/>
      <c r="O724" s="19"/>
      <c r="P724" s="19"/>
      <c r="Q724" s="19"/>
      <c r="R724" s="19"/>
      <c r="S724" s="19"/>
      <c r="T724" s="19"/>
      <c r="U724" s="19"/>
      <c r="V724" s="19"/>
      <c r="W724" s="19"/>
      <c r="X724" s="19"/>
      <c r="Y724" s="19"/>
      <c r="Z724" s="19"/>
    </row>
    <row r="725" spans="2:26" ht="12" customHeight="1">
      <c r="B725" s="19"/>
      <c r="C725" s="19"/>
      <c r="D725" s="19"/>
      <c r="E725" s="19"/>
      <c r="F725" s="19"/>
      <c r="G725" s="19"/>
      <c r="H725" s="19"/>
      <c r="I725" s="19"/>
      <c r="J725" s="19"/>
      <c r="K725" s="19"/>
      <c r="L725" s="19"/>
      <c r="M725" s="19"/>
      <c r="N725" s="19"/>
      <c r="O725" s="19"/>
      <c r="P725" s="19"/>
      <c r="Q725" s="19"/>
      <c r="R725" s="19"/>
      <c r="S725" s="19"/>
      <c r="T725" s="19"/>
      <c r="U725" s="19"/>
      <c r="V725" s="19"/>
      <c r="W725" s="19"/>
      <c r="X725" s="19"/>
      <c r="Y725" s="19"/>
      <c r="Z725" s="19"/>
    </row>
    <row r="726" spans="2:26" ht="12" customHeight="1">
      <c r="B726" s="19"/>
      <c r="C726" s="19"/>
      <c r="D726" s="19"/>
      <c r="E726" s="19"/>
      <c r="F726" s="19"/>
      <c r="G726" s="19"/>
      <c r="H726" s="19"/>
      <c r="I726" s="19"/>
      <c r="J726" s="19"/>
      <c r="K726" s="19"/>
      <c r="L726" s="19"/>
      <c r="M726" s="19"/>
      <c r="N726" s="19"/>
      <c r="O726" s="19"/>
      <c r="P726" s="19"/>
      <c r="Q726" s="19"/>
      <c r="R726" s="19"/>
      <c r="S726" s="19"/>
      <c r="T726" s="19"/>
      <c r="U726" s="19"/>
      <c r="V726" s="19"/>
      <c r="W726" s="19"/>
      <c r="X726" s="19"/>
      <c r="Y726" s="19"/>
      <c r="Z726" s="19"/>
    </row>
    <row r="727" spans="2:26" ht="12" customHeight="1">
      <c r="B727" s="19"/>
      <c r="C727" s="19"/>
      <c r="D727" s="19"/>
      <c r="E727" s="19"/>
      <c r="F727" s="19"/>
      <c r="G727" s="19"/>
      <c r="H727" s="19"/>
      <c r="I727" s="19"/>
      <c r="J727" s="19"/>
      <c r="K727" s="19"/>
      <c r="L727" s="19"/>
      <c r="M727" s="19"/>
      <c r="N727" s="19"/>
      <c r="O727" s="19"/>
      <c r="P727" s="19"/>
      <c r="Q727" s="19"/>
      <c r="R727" s="19"/>
      <c r="S727" s="19"/>
      <c r="T727" s="19"/>
      <c r="U727" s="19"/>
      <c r="V727" s="19"/>
      <c r="W727" s="19"/>
      <c r="X727" s="19"/>
      <c r="Y727" s="19"/>
      <c r="Z727" s="19"/>
    </row>
    <row r="728" spans="2:26" ht="12" customHeight="1">
      <c r="B728" s="19"/>
      <c r="C728" s="19"/>
      <c r="D728" s="19"/>
      <c r="E728" s="19"/>
      <c r="F728" s="19"/>
      <c r="G728" s="19"/>
      <c r="H728" s="19"/>
      <c r="I728" s="19"/>
      <c r="J728" s="19"/>
      <c r="K728" s="19"/>
      <c r="L728" s="19"/>
      <c r="M728" s="19"/>
      <c r="N728" s="19"/>
      <c r="O728" s="19"/>
      <c r="P728" s="19"/>
      <c r="Q728" s="19"/>
      <c r="R728" s="19"/>
      <c r="S728" s="19"/>
      <c r="T728" s="19"/>
      <c r="U728" s="19"/>
      <c r="V728" s="19"/>
      <c r="W728" s="19"/>
      <c r="X728" s="19"/>
      <c r="Y728" s="19"/>
      <c r="Z728" s="19"/>
    </row>
    <row r="729" spans="2:26" ht="12" customHeight="1">
      <c r="B729" s="19"/>
      <c r="C729" s="19"/>
      <c r="D729" s="19"/>
      <c r="E729" s="19"/>
      <c r="F729" s="19"/>
      <c r="G729" s="19"/>
      <c r="H729" s="19"/>
      <c r="I729" s="19"/>
      <c r="J729" s="19"/>
      <c r="K729" s="19"/>
      <c r="L729" s="19"/>
      <c r="M729" s="19"/>
      <c r="N729" s="19"/>
      <c r="O729" s="19"/>
      <c r="P729" s="19"/>
      <c r="Q729" s="19"/>
      <c r="R729" s="19"/>
      <c r="S729" s="19"/>
      <c r="T729" s="19"/>
      <c r="U729" s="19"/>
      <c r="V729" s="19"/>
      <c r="W729" s="19"/>
      <c r="X729" s="19"/>
      <c r="Y729" s="19"/>
      <c r="Z729" s="19"/>
    </row>
    <row r="730" spans="2:26" ht="12" customHeight="1">
      <c r="B730" s="19"/>
      <c r="C730" s="19"/>
      <c r="D730" s="19"/>
      <c r="E730" s="19"/>
      <c r="F730" s="19"/>
      <c r="G730" s="19"/>
      <c r="H730" s="19"/>
      <c r="I730" s="19"/>
      <c r="J730" s="19"/>
      <c r="K730" s="19"/>
      <c r="L730" s="19"/>
      <c r="M730" s="19"/>
      <c r="N730" s="19"/>
      <c r="O730" s="19"/>
      <c r="P730" s="19"/>
      <c r="Q730" s="19"/>
      <c r="R730" s="19"/>
      <c r="S730" s="19"/>
      <c r="T730" s="19"/>
      <c r="U730" s="19"/>
      <c r="V730" s="19"/>
      <c r="W730" s="19"/>
      <c r="X730" s="19"/>
      <c r="Y730" s="19"/>
      <c r="Z730" s="19"/>
    </row>
    <row r="731" spans="2:26" ht="12" customHeight="1">
      <c r="B731" s="19"/>
      <c r="C731" s="19"/>
      <c r="D731" s="19"/>
      <c r="E731" s="19"/>
      <c r="F731" s="19"/>
      <c r="G731" s="19"/>
      <c r="H731" s="19"/>
      <c r="I731" s="19"/>
      <c r="J731" s="19"/>
      <c r="K731" s="19"/>
      <c r="L731" s="19"/>
      <c r="M731" s="19"/>
      <c r="N731" s="19"/>
      <c r="O731" s="19"/>
      <c r="P731" s="19"/>
      <c r="Q731" s="19"/>
      <c r="R731" s="19"/>
      <c r="S731" s="19"/>
      <c r="T731" s="19"/>
      <c r="U731" s="19"/>
      <c r="V731" s="19"/>
      <c r="W731" s="19"/>
      <c r="X731" s="19"/>
      <c r="Y731" s="19"/>
      <c r="Z731" s="19"/>
    </row>
    <row r="732" spans="2:26" ht="12" customHeight="1">
      <c r="B732" s="19"/>
      <c r="C732" s="19"/>
      <c r="D732" s="19"/>
      <c r="E732" s="19"/>
      <c r="F732" s="19"/>
      <c r="G732" s="19"/>
      <c r="H732" s="19"/>
      <c r="I732" s="19"/>
      <c r="J732" s="19"/>
      <c r="K732" s="19"/>
      <c r="L732" s="19"/>
      <c r="M732" s="19"/>
      <c r="N732" s="19"/>
      <c r="O732" s="19"/>
      <c r="P732" s="19"/>
      <c r="Q732" s="19"/>
      <c r="R732" s="19"/>
      <c r="S732" s="19"/>
      <c r="T732" s="19"/>
      <c r="U732" s="19"/>
      <c r="V732" s="19"/>
      <c r="W732" s="19"/>
      <c r="X732" s="19"/>
      <c r="Y732" s="19"/>
      <c r="Z732" s="19"/>
    </row>
    <row r="733" spans="2:26" ht="12" customHeight="1">
      <c r="B733" s="19"/>
      <c r="C733" s="19"/>
      <c r="D733" s="19"/>
      <c r="E733" s="19"/>
      <c r="F733" s="19"/>
      <c r="G733" s="19"/>
      <c r="H733" s="19"/>
      <c r="I733" s="19"/>
      <c r="J733" s="19"/>
      <c r="K733" s="19"/>
      <c r="L733" s="19"/>
      <c r="M733" s="19"/>
      <c r="N733" s="19"/>
      <c r="O733" s="19"/>
      <c r="P733" s="19"/>
      <c r="Q733" s="19"/>
      <c r="R733" s="19"/>
      <c r="S733" s="19"/>
      <c r="T733" s="19"/>
      <c r="U733" s="19"/>
      <c r="V733" s="19"/>
      <c r="W733" s="19"/>
      <c r="X733" s="19"/>
      <c r="Y733" s="19"/>
      <c r="Z733" s="19"/>
    </row>
    <row r="734" spans="2:26" ht="12" customHeight="1">
      <c r="B734" s="19"/>
      <c r="C734" s="19"/>
      <c r="D734" s="19"/>
      <c r="E734" s="19"/>
      <c r="F734" s="19"/>
      <c r="G734" s="19"/>
      <c r="H734" s="19"/>
      <c r="I734" s="19"/>
      <c r="J734" s="19"/>
      <c r="K734" s="19"/>
      <c r="L734" s="19"/>
      <c r="M734" s="19"/>
      <c r="N734" s="19"/>
      <c r="O734" s="19"/>
      <c r="P734" s="19"/>
      <c r="Q734" s="19"/>
      <c r="R734" s="19"/>
      <c r="S734" s="19"/>
      <c r="T734" s="19"/>
      <c r="U734" s="19"/>
      <c r="V734" s="19"/>
      <c r="W734" s="19"/>
      <c r="X734" s="19"/>
      <c r="Y734" s="19"/>
      <c r="Z734" s="19"/>
    </row>
    <row r="735" spans="2:26" ht="12" customHeight="1">
      <c r="B735" s="19"/>
      <c r="C735" s="19"/>
      <c r="D735" s="19"/>
      <c r="E735" s="19"/>
      <c r="F735" s="19"/>
      <c r="G735" s="19"/>
      <c r="H735" s="19"/>
      <c r="I735" s="19"/>
      <c r="J735" s="19"/>
      <c r="K735" s="19"/>
      <c r="L735" s="19"/>
      <c r="M735" s="19"/>
      <c r="N735" s="19"/>
      <c r="O735" s="19"/>
      <c r="P735" s="19"/>
      <c r="Q735" s="19"/>
      <c r="R735" s="19"/>
      <c r="S735" s="19"/>
      <c r="T735" s="19"/>
      <c r="U735" s="19"/>
      <c r="V735" s="19"/>
      <c r="W735" s="19"/>
      <c r="X735" s="19"/>
      <c r="Y735" s="19"/>
      <c r="Z735" s="19"/>
    </row>
    <row r="736" spans="2:26" ht="12" customHeight="1">
      <c r="B736" s="19"/>
      <c r="C736" s="19"/>
      <c r="D736" s="19"/>
      <c r="E736" s="19"/>
      <c r="F736" s="19"/>
      <c r="G736" s="19"/>
      <c r="H736" s="19"/>
      <c r="I736" s="19"/>
      <c r="J736" s="19"/>
      <c r="K736" s="19"/>
      <c r="L736" s="19"/>
      <c r="M736" s="19"/>
      <c r="N736" s="19"/>
      <c r="O736" s="19"/>
      <c r="P736" s="19"/>
      <c r="Q736" s="19"/>
      <c r="R736" s="19"/>
      <c r="S736" s="19"/>
      <c r="T736" s="19"/>
      <c r="U736" s="19"/>
      <c r="V736" s="19"/>
      <c r="W736" s="19"/>
      <c r="X736" s="19"/>
      <c r="Y736" s="19"/>
      <c r="Z736" s="19"/>
    </row>
    <row r="737" spans="2:26" ht="12" customHeight="1">
      <c r="B737" s="19"/>
      <c r="C737" s="19"/>
      <c r="D737" s="19"/>
      <c r="E737" s="19"/>
      <c r="F737" s="19"/>
      <c r="G737" s="19"/>
      <c r="H737" s="19"/>
      <c r="I737" s="19"/>
      <c r="J737" s="19"/>
      <c r="K737" s="19"/>
      <c r="L737" s="19"/>
      <c r="M737" s="19"/>
      <c r="N737" s="19"/>
      <c r="O737" s="19"/>
      <c r="P737" s="19"/>
      <c r="Q737" s="19"/>
      <c r="R737" s="19"/>
      <c r="S737" s="19"/>
      <c r="T737" s="19"/>
      <c r="U737" s="19"/>
      <c r="V737" s="19"/>
      <c r="W737" s="19"/>
      <c r="X737" s="19"/>
      <c r="Y737" s="19"/>
      <c r="Z737" s="19"/>
    </row>
    <row r="738" spans="2:26" ht="12" customHeight="1">
      <c r="B738" s="19"/>
      <c r="C738" s="19"/>
      <c r="D738" s="19"/>
      <c r="E738" s="19"/>
      <c r="F738" s="19"/>
      <c r="G738" s="19"/>
      <c r="H738" s="19"/>
      <c r="I738" s="19"/>
      <c r="J738" s="19"/>
      <c r="K738" s="19"/>
      <c r="L738" s="19"/>
      <c r="M738" s="19"/>
      <c r="N738" s="19"/>
      <c r="O738" s="19"/>
      <c r="P738" s="19"/>
      <c r="Q738" s="19"/>
      <c r="R738" s="19"/>
      <c r="S738" s="19"/>
      <c r="T738" s="19"/>
      <c r="U738" s="19"/>
      <c r="V738" s="19"/>
      <c r="W738" s="19"/>
      <c r="X738" s="19"/>
      <c r="Y738" s="19"/>
      <c r="Z738" s="19"/>
    </row>
    <row r="739" spans="2:26" ht="12" customHeight="1">
      <c r="B739" s="19"/>
      <c r="C739" s="19"/>
      <c r="D739" s="19"/>
      <c r="E739" s="19"/>
      <c r="F739" s="19"/>
      <c r="G739" s="19"/>
      <c r="H739" s="19"/>
      <c r="I739" s="19"/>
      <c r="J739" s="19"/>
      <c r="K739" s="19"/>
      <c r="L739" s="19"/>
      <c r="M739" s="19"/>
      <c r="N739" s="19"/>
      <c r="O739" s="19"/>
      <c r="P739" s="19"/>
      <c r="Q739" s="19"/>
      <c r="R739" s="19"/>
      <c r="S739" s="19"/>
      <c r="T739" s="19"/>
      <c r="U739" s="19"/>
      <c r="V739" s="19"/>
      <c r="W739" s="19"/>
      <c r="X739" s="19"/>
      <c r="Y739" s="19"/>
      <c r="Z739" s="19"/>
    </row>
    <row r="740" spans="2:26" ht="12" customHeight="1">
      <c r="B740" s="19"/>
      <c r="C740" s="19"/>
      <c r="D740" s="19"/>
      <c r="E740" s="19"/>
      <c r="F740" s="19"/>
      <c r="G740" s="19"/>
      <c r="H740" s="19"/>
      <c r="I740" s="19"/>
      <c r="J740" s="19"/>
      <c r="K740" s="19"/>
      <c r="L740" s="19"/>
      <c r="M740" s="19"/>
      <c r="N740" s="19"/>
      <c r="O740" s="19"/>
      <c r="P740" s="19"/>
      <c r="Q740" s="19"/>
      <c r="R740" s="19"/>
      <c r="S740" s="19"/>
      <c r="T740" s="19"/>
      <c r="U740" s="19"/>
      <c r="V740" s="19"/>
      <c r="W740" s="19"/>
      <c r="X740" s="19"/>
      <c r="Y740" s="19"/>
      <c r="Z740" s="19"/>
    </row>
    <row r="741" spans="2:26" ht="12" customHeight="1">
      <c r="B741" s="19"/>
      <c r="C741" s="19"/>
      <c r="D741" s="19"/>
      <c r="E741" s="19"/>
      <c r="F741" s="19"/>
      <c r="G741" s="19"/>
      <c r="H741" s="19"/>
      <c r="I741" s="19"/>
      <c r="J741" s="19"/>
      <c r="K741" s="19"/>
      <c r="L741" s="19"/>
      <c r="M741" s="19"/>
      <c r="N741" s="19"/>
      <c r="O741" s="19"/>
      <c r="P741" s="19"/>
      <c r="Q741" s="19"/>
      <c r="R741" s="19"/>
      <c r="S741" s="19"/>
      <c r="T741" s="19"/>
      <c r="U741" s="19"/>
      <c r="V741" s="19"/>
      <c r="W741" s="19"/>
      <c r="X741" s="19"/>
      <c r="Y741" s="19"/>
      <c r="Z741" s="19"/>
    </row>
    <row r="742" spans="2:26" ht="12" customHeight="1">
      <c r="B742" s="19"/>
      <c r="C742" s="19"/>
      <c r="D742" s="19"/>
      <c r="E742" s="19"/>
      <c r="F742" s="19"/>
      <c r="G742" s="19"/>
      <c r="H742" s="19"/>
      <c r="I742" s="19"/>
      <c r="J742" s="19"/>
      <c r="K742" s="19"/>
      <c r="L742" s="19"/>
      <c r="M742" s="19"/>
      <c r="N742" s="19"/>
      <c r="O742" s="19"/>
      <c r="P742" s="19"/>
      <c r="Q742" s="19"/>
      <c r="R742" s="19"/>
      <c r="S742" s="19"/>
      <c r="T742" s="19"/>
      <c r="U742" s="19"/>
      <c r="V742" s="19"/>
      <c r="W742" s="19"/>
      <c r="X742" s="19"/>
      <c r="Y742" s="19"/>
      <c r="Z742" s="19"/>
    </row>
    <row r="743" spans="2:26" ht="12" customHeight="1">
      <c r="B743" s="19"/>
      <c r="C743" s="19"/>
      <c r="D743" s="19"/>
      <c r="E743" s="19"/>
      <c r="F743" s="19"/>
      <c r="G743" s="19"/>
      <c r="H743" s="19"/>
      <c r="I743" s="19"/>
      <c r="J743" s="19"/>
      <c r="K743" s="19"/>
      <c r="L743" s="19"/>
      <c r="M743" s="19"/>
      <c r="N743" s="19"/>
      <c r="O743" s="19"/>
      <c r="P743" s="19"/>
      <c r="Q743" s="19"/>
      <c r="R743" s="19"/>
      <c r="S743" s="19"/>
      <c r="T743" s="19"/>
      <c r="U743" s="19"/>
      <c r="V743" s="19"/>
      <c r="W743" s="19"/>
      <c r="X743" s="19"/>
      <c r="Y743" s="19"/>
      <c r="Z743" s="19"/>
    </row>
    <row r="744" spans="2:26" ht="12" customHeight="1">
      <c r="B744" s="19"/>
      <c r="C744" s="19"/>
      <c r="D744" s="19"/>
      <c r="E744" s="19"/>
      <c r="F744" s="19"/>
      <c r="G744" s="19"/>
      <c r="H744" s="19"/>
      <c r="I744" s="19"/>
      <c r="J744" s="19"/>
      <c r="K744" s="19"/>
      <c r="L744" s="19"/>
      <c r="M744" s="19"/>
      <c r="N744" s="19"/>
      <c r="O744" s="19"/>
      <c r="P744" s="19"/>
      <c r="Q744" s="19"/>
      <c r="R744" s="19"/>
      <c r="S744" s="19"/>
      <c r="T744" s="19"/>
      <c r="U744" s="19"/>
      <c r="V744" s="19"/>
      <c r="W744" s="19"/>
      <c r="X744" s="19"/>
      <c r="Y744" s="19"/>
      <c r="Z744" s="19"/>
    </row>
    <row r="745" spans="2:26" ht="12" customHeight="1">
      <c r="B745" s="19"/>
      <c r="C745" s="19"/>
      <c r="D745" s="19"/>
      <c r="E745" s="19"/>
      <c r="F745" s="19"/>
      <c r="G745" s="19"/>
      <c r="H745" s="19"/>
      <c r="I745" s="19"/>
      <c r="J745" s="19"/>
      <c r="K745" s="19"/>
      <c r="L745" s="19"/>
      <c r="M745" s="19"/>
      <c r="N745" s="19"/>
      <c r="O745" s="19"/>
      <c r="P745" s="19"/>
      <c r="Q745" s="19"/>
      <c r="R745" s="19"/>
      <c r="S745" s="19"/>
      <c r="T745" s="19"/>
      <c r="U745" s="19"/>
      <c r="V745" s="19"/>
      <c r="W745" s="19"/>
      <c r="X745" s="19"/>
      <c r="Y745" s="19"/>
      <c r="Z745" s="19"/>
    </row>
    <row r="746" spans="2:26" ht="12" customHeight="1">
      <c r="B746" s="19"/>
      <c r="C746" s="19"/>
      <c r="D746" s="19"/>
      <c r="E746" s="19"/>
      <c r="F746" s="19"/>
      <c r="G746" s="19"/>
      <c r="H746" s="19"/>
      <c r="I746" s="19"/>
      <c r="J746" s="19"/>
      <c r="K746" s="19"/>
      <c r="L746" s="19"/>
      <c r="M746" s="19"/>
      <c r="N746" s="19"/>
      <c r="O746" s="19"/>
      <c r="P746" s="19"/>
      <c r="Q746" s="19"/>
      <c r="R746" s="19"/>
      <c r="S746" s="19"/>
      <c r="T746" s="19"/>
      <c r="U746" s="19"/>
      <c r="V746" s="19"/>
      <c r="W746" s="19"/>
      <c r="X746" s="19"/>
      <c r="Y746" s="19"/>
      <c r="Z746" s="19"/>
    </row>
    <row r="747" spans="2:26" ht="12" customHeight="1">
      <c r="B747" s="19"/>
      <c r="C747" s="19"/>
      <c r="D747" s="19"/>
      <c r="E747" s="19"/>
      <c r="F747" s="19"/>
      <c r="G747" s="19"/>
      <c r="H747" s="19"/>
      <c r="I747" s="19"/>
      <c r="J747" s="19"/>
      <c r="K747" s="19"/>
      <c r="L747" s="19"/>
      <c r="M747" s="19"/>
      <c r="N747" s="19"/>
      <c r="O747" s="19"/>
      <c r="P747" s="19"/>
      <c r="Q747" s="19"/>
      <c r="R747" s="19"/>
      <c r="S747" s="19"/>
      <c r="T747" s="19"/>
      <c r="U747" s="19"/>
      <c r="V747" s="19"/>
      <c r="W747" s="19"/>
      <c r="X747" s="19"/>
      <c r="Y747" s="19"/>
      <c r="Z747" s="19"/>
    </row>
    <row r="748" spans="2:26" ht="12" customHeight="1">
      <c r="B748" s="19"/>
      <c r="C748" s="19"/>
      <c r="D748" s="19"/>
      <c r="E748" s="19"/>
      <c r="F748" s="19"/>
      <c r="G748" s="19"/>
      <c r="H748" s="19"/>
      <c r="I748" s="19"/>
      <c r="J748" s="19"/>
      <c r="K748" s="19"/>
      <c r="L748" s="19"/>
      <c r="M748" s="19"/>
      <c r="N748" s="19"/>
      <c r="O748" s="19"/>
      <c r="P748" s="19"/>
      <c r="Q748" s="19"/>
      <c r="R748" s="19"/>
      <c r="S748" s="19"/>
      <c r="T748" s="19"/>
      <c r="U748" s="19"/>
      <c r="V748" s="19"/>
      <c r="W748" s="19"/>
      <c r="X748" s="19"/>
      <c r="Y748" s="19"/>
      <c r="Z748" s="19"/>
    </row>
    <row r="749" spans="2:26" ht="12" customHeight="1">
      <c r="B749" s="19"/>
      <c r="C749" s="19"/>
      <c r="D749" s="19"/>
      <c r="E749" s="19"/>
      <c r="F749" s="19"/>
      <c r="G749" s="19"/>
      <c r="H749" s="19"/>
      <c r="I749" s="19"/>
      <c r="J749" s="19"/>
      <c r="K749" s="19"/>
      <c r="L749" s="19"/>
      <c r="M749" s="19"/>
      <c r="N749" s="19"/>
      <c r="O749" s="19"/>
      <c r="P749" s="19"/>
      <c r="Q749" s="19"/>
      <c r="R749" s="19"/>
      <c r="S749" s="19"/>
      <c r="T749" s="19"/>
      <c r="U749" s="19"/>
      <c r="V749" s="19"/>
      <c r="W749" s="19"/>
      <c r="X749" s="19"/>
      <c r="Y749" s="19"/>
      <c r="Z749" s="19"/>
    </row>
    <row r="750" spans="2:26" ht="12" customHeight="1">
      <c r="B750" s="19"/>
      <c r="C750" s="19"/>
      <c r="D750" s="19"/>
      <c r="E750" s="19"/>
      <c r="F750" s="19"/>
      <c r="G750" s="19"/>
      <c r="H750" s="19"/>
      <c r="I750" s="19"/>
      <c r="J750" s="19"/>
      <c r="K750" s="19"/>
      <c r="L750" s="19"/>
      <c r="M750" s="19"/>
      <c r="N750" s="19"/>
      <c r="O750" s="19"/>
      <c r="P750" s="19"/>
      <c r="Q750" s="19"/>
      <c r="R750" s="19"/>
      <c r="S750" s="19"/>
      <c r="T750" s="19"/>
      <c r="U750" s="19"/>
      <c r="V750" s="19"/>
      <c r="W750" s="19"/>
      <c r="X750" s="19"/>
      <c r="Y750" s="19"/>
      <c r="Z750" s="19"/>
    </row>
    <row r="751" spans="2:26" ht="12" customHeight="1">
      <c r="B751" s="19"/>
      <c r="C751" s="19"/>
      <c r="D751" s="19"/>
      <c r="E751" s="19"/>
      <c r="F751" s="19"/>
      <c r="G751" s="19"/>
      <c r="H751" s="19"/>
      <c r="I751" s="19"/>
      <c r="J751" s="19"/>
      <c r="K751" s="19"/>
      <c r="L751" s="19"/>
      <c r="M751" s="19"/>
      <c r="N751" s="19"/>
      <c r="O751" s="19"/>
      <c r="P751" s="19"/>
      <c r="Q751" s="19"/>
      <c r="R751" s="19"/>
      <c r="S751" s="19"/>
      <c r="T751" s="19"/>
      <c r="U751" s="19"/>
      <c r="V751" s="19"/>
      <c r="W751" s="19"/>
      <c r="X751" s="19"/>
      <c r="Y751" s="19"/>
      <c r="Z751" s="19"/>
    </row>
    <row r="752" spans="2:26" ht="12" customHeight="1">
      <c r="B752" s="19"/>
      <c r="C752" s="19"/>
      <c r="D752" s="19"/>
      <c r="E752" s="19"/>
      <c r="F752" s="19"/>
      <c r="G752" s="19"/>
      <c r="H752" s="19"/>
      <c r="I752" s="19"/>
      <c r="J752" s="19"/>
      <c r="K752" s="19"/>
      <c r="L752" s="19"/>
      <c r="M752" s="19"/>
      <c r="N752" s="19"/>
      <c r="O752" s="19"/>
      <c r="P752" s="19"/>
      <c r="Q752" s="19"/>
      <c r="R752" s="19"/>
      <c r="S752" s="19"/>
      <c r="T752" s="19"/>
      <c r="U752" s="19"/>
      <c r="V752" s="19"/>
      <c r="W752" s="19"/>
      <c r="X752" s="19"/>
      <c r="Y752" s="19"/>
      <c r="Z752" s="19"/>
    </row>
    <row r="753" spans="2:26" ht="12" customHeight="1">
      <c r="B753" s="19"/>
      <c r="C753" s="19"/>
      <c r="D753" s="19"/>
      <c r="E753" s="19"/>
      <c r="F753" s="19"/>
      <c r="G753" s="19"/>
      <c r="H753" s="19"/>
      <c r="I753" s="19"/>
      <c r="J753" s="19"/>
      <c r="K753" s="19"/>
      <c r="L753" s="19"/>
      <c r="M753" s="19"/>
      <c r="N753" s="19"/>
      <c r="O753" s="19"/>
      <c r="P753" s="19"/>
      <c r="Q753" s="19"/>
      <c r="R753" s="19"/>
      <c r="S753" s="19"/>
      <c r="T753" s="19"/>
      <c r="U753" s="19"/>
      <c r="V753" s="19"/>
      <c r="W753" s="19"/>
      <c r="X753" s="19"/>
      <c r="Y753" s="19"/>
      <c r="Z753" s="19"/>
    </row>
    <row r="754" spans="2:26" ht="12" customHeight="1">
      <c r="B754" s="19"/>
      <c r="C754" s="19"/>
      <c r="D754" s="19"/>
      <c r="E754" s="19"/>
      <c r="F754" s="19"/>
      <c r="G754" s="19"/>
      <c r="H754" s="19"/>
      <c r="I754" s="19"/>
      <c r="J754" s="19"/>
      <c r="K754" s="19"/>
      <c r="L754" s="19"/>
      <c r="M754" s="19"/>
      <c r="N754" s="19"/>
      <c r="O754" s="19"/>
      <c r="P754" s="19"/>
      <c r="Q754" s="19"/>
      <c r="R754" s="19"/>
      <c r="S754" s="19"/>
      <c r="T754" s="19"/>
      <c r="U754" s="19"/>
      <c r="V754" s="19"/>
      <c r="W754" s="19"/>
      <c r="X754" s="19"/>
      <c r="Y754" s="19"/>
      <c r="Z754" s="19"/>
    </row>
    <row r="755" spans="2:26" ht="12" customHeight="1">
      <c r="B755" s="19"/>
      <c r="C755" s="19"/>
      <c r="D755" s="19"/>
      <c r="E755" s="19"/>
      <c r="F755" s="19"/>
      <c r="G755" s="19"/>
      <c r="H755" s="19"/>
      <c r="I755" s="19"/>
      <c r="J755" s="19"/>
      <c r="K755" s="19"/>
      <c r="L755" s="19"/>
      <c r="M755" s="19"/>
      <c r="N755" s="19"/>
      <c r="O755" s="19"/>
      <c r="P755" s="19"/>
      <c r="Q755" s="19"/>
      <c r="R755" s="19"/>
      <c r="S755" s="19"/>
      <c r="T755" s="19"/>
      <c r="U755" s="19"/>
      <c r="V755" s="19"/>
      <c r="W755" s="19"/>
      <c r="X755" s="19"/>
      <c r="Y755" s="19"/>
      <c r="Z755" s="19"/>
    </row>
    <row r="756" spans="2:26" ht="12" customHeight="1">
      <c r="B756" s="19"/>
      <c r="C756" s="19"/>
      <c r="D756" s="19"/>
      <c r="E756" s="19"/>
      <c r="F756" s="19"/>
      <c r="G756" s="19"/>
      <c r="H756" s="19"/>
      <c r="I756" s="19"/>
      <c r="J756" s="19"/>
      <c r="K756" s="19"/>
      <c r="L756" s="19"/>
      <c r="M756" s="19"/>
      <c r="N756" s="19"/>
      <c r="O756" s="19"/>
      <c r="P756" s="19"/>
      <c r="Q756" s="19"/>
      <c r="R756" s="19"/>
      <c r="S756" s="19"/>
      <c r="T756" s="19"/>
      <c r="U756" s="19"/>
      <c r="V756" s="19"/>
      <c r="W756" s="19"/>
      <c r="X756" s="19"/>
      <c r="Y756" s="19"/>
      <c r="Z756" s="19"/>
    </row>
    <row r="757" spans="2:26" ht="12" customHeight="1">
      <c r="B757" s="19"/>
      <c r="C757" s="19"/>
      <c r="D757" s="19"/>
      <c r="E757" s="19"/>
      <c r="F757" s="19"/>
      <c r="G757" s="19"/>
      <c r="H757" s="19"/>
      <c r="I757" s="19"/>
      <c r="J757" s="19"/>
      <c r="K757" s="19"/>
      <c r="L757" s="19"/>
      <c r="M757" s="19"/>
      <c r="N757" s="19"/>
      <c r="O757" s="19"/>
      <c r="P757" s="19"/>
      <c r="Q757" s="19"/>
      <c r="R757" s="19"/>
      <c r="S757" s="19"/>
      <c r="T757" s="19"/>
      <c r="U757" s="19"/>
      <c r="V757" s="19"/>
      <c r="W757" s="19"/>
      <c r="X757" s="19"/>
      <c r="Y757" s="19"/>
      <c r="Z757" s="19"/>
    </row>
    <row r="758" spans="2:26" ht="12" customHeight="1">
      <c r="B758" s="19"/>
      <c r="C758" s="19"/>
      <c r="D758" s="19"/>
      <c r="E758" s="19"/>
      <c r="F758" s="19"/>
      <c r="G758" s="19"/>
      <c r="H758" s="19"/>
      <c r="I758" s="19"/>
      <c r="J758" s="19"/>
      <c r="K758" s="19"/>
      <c r="L758" s="19"/>
      <c r="M758" s="19"/>
      <c r="N758" s="19"/>
      <c r="O758" s="19"/>
      <c r="P758" s="19"/>
      <c r="Q758" s="19"/>
      <c r="R758" s="19"/>
      <c r="S758" s="19"/>
      <c r="T758" s="19"/>
      <c r="U758" s="19"/>
      <c r="V758" s="19"/>
      <c r="W758" s="19"/>
      <c r="X758" s="19"/>
      <c r="Y758" s="19"/>
      <c r="Z758" s="19"/>
    </row>
    <row r="759" spans="2:26" ht="12" customHeight="1">
      <c r="B759" s="19"/>
      <c r="C759" s="19"/>
      <c r="D759" s="19"/>
      <c r="E759" s="19"/>
      <c r="F759" s="19"/>
      <c r="G759" s="19"/>
      <c r="H759" s="19"/>
      <c r="I759" s="19"/>
      <c r="J759" s="19"/>
      <c r="K759" s="19"/>
      <c r="L759" s="19"/>
      <c r="M759" s="19"/>
      <c r="N759" s="19"/>
      <c r="O759" s="19"/>
      <c r="P759" s="19"/>
      <c r="Q759" s="19"/>
      <c r="R759" s="19"/>
      <c r="S759" s="19"/>
      <c r="T759" s="19"/>
      <c r="U759" s="19"/>
      <c r="V759" s="19"/>
      <c r="W759" s="19"/>
      <c r="X759" s="19"/>
      <c r="Y759" s="19"/>
      <c r="Z759" s="19"/>
    </row>
    <row r="760" spans="2:26" ht="12" customHeight="1">
      <c r="B760" s="19"/>
      <c r="C760" s="19"/>
      <c r="D760" s="19"/>
      <c r="E760" s="19"/>
      <c r="F760" s="19"/>
      <c r="G760" s="19"/>
      <c r="H760" s="19"/>
      <c r="I760" s="19"/>
      <c r="J760" s="19"/>
      <c r="K760" s="19"/>
      <c r="L760" s="19"/>
      <c r="M760" s="19"/>
      <c r="N760" s="19"/>
      <c r="O760" s="19"/>
      <c r="P760" s="19"/>
      <c r="Q760" s="19"/>
      <c r="R760" s="19"/>
      <c r="S760" s="19"/>
      <c r="T760" s="19"/>
      <c r="U760" s="19"/>
      <c r="V760" s="19"/>
      <c r="W760" s="19"/>
      <c r="X760" s="19"/>
      <c r="Y760" s="19"/>
      <c r="Z760" s="19"/>
    </row>
    <row r="761" spans="2:26" ht="12" customHeight="1">
      <c r="B761" s="19"/>
      <c r="C761" s="19"/>
      <c r="D761" s="19"/>
      <c r="E761" s="19"/>
      <c r="F761" s="19"/>
      <c r="G761" s="19"/>
      <c r="H761" s="19"/>
      <c r="I761" s="19"/>
      <c r="J761" s="19"/>
      <c r="K761" s="19"/>
      <c r="L761" s="19"/>
      <c r="M761" s="19"/>
      <c r="N761" s="19"/>
      <c r="O761" s="19"/>
      <c r="P761" s="19"/>
      <c r="Q761" s="19"/>
      <c r="R761" s="19"/>
      <c r="S761" s="19"/>
      <c r="T761" s="19"/>
      <c r="U761" s="19"/>
      <c r="V761" s="19"/>
      <c r="W761" s="19"/>
      <c r="X761" s="19"/>
      <c r="Y761" s="19"/>
      <c r="Z761" s="19"/>
    </row>
    <row r="762" spans="2:26" ht="12" customHeight="1">
      <c r="B762" s="19"/>
      <c r="C762" s="19"/>
      <c r="D762" s="19"/>
      <c r="E762" s="19"/>
      <c r="F762" s="19"/>
      <c r="G762" s="19"/>
      <c r="H762" s="19"/>
      <c r="I762" s="19"/>
      <c r="J762" s="19"/>
      <c r="K762" s="19"/>
      <c r="L762" s="19"/>
      <c r="M762" s="19"/>
      <c r="N762" s="19"/>
      <c r="O762" s="19"/>
      <c r="P762" s="19"/>
      <c r="Q762" s="19"/>
      <c r="R762" s="19"/>
      <c r="S762" s="19"/>
      <c r="T762" s="19"/>
      <c r="U762" s="19"/>
      <c r="V762" s="19"/>
      <c r="W762" s="19"/>
      <c r="X762" s="19"/>
      <c r="Y762" s="19"/>
      <c r="Z762" s="19"/>
    </row>
    <row r="763" spans="2:26" ht="12" customHeight="1">
      <c r="B763" s="19"/>
      <c r="C763" s="19"/>
      <c r="D763" s="19"/>
      <c r="E763" s="19"/>
      <c r="F763" s="19"/>
      <c r="G763" s="19"/>
      <c r="H763" s="19"/>
      <c r="I763" s="19"/>
      <c r="J763" s="19"/>
      <c r="K763" s="19"/>
      <c r="L763" s="19"/>
      <c r="M763" s="19"/>
      <c r="N763" s="19"/>
      <c r="O763" s="19"/>
      <c r="P763" s="19"/>
      <c r="Q763" s="19"/>
      <c r="R763" s="19"/>
      <c r="S763" s="19"/>
      <c r="T763" s="19"/>
      <c r="U763" s="19"/>
      <c r="V763" s="19"/>
      <c r="W763" s="19"/>
      <c r="X763" s="19"/>
      <c r="Y763" s="19"/>
      <c r="Z763" s="19"/>
    </row>
    <row r="764" spans="2:26" ht="12" customHeight="1">
      <c r="B764" s="19"/>
      <c r="C764" s="19"/>
      <c r="D764" s="19"/>
      <c r="E764" s="19"/>
      <c r="F764" s="19"/>
      <c r="G764" s="19"/>
      <c r="H764" s="19"/>
      <c r="I764" s="19"/>
      <c r="J764" s="19"/>
      <c r="K764" s="19"/>
      <c r="L764" s="19"/>
      <c r="M764" s="19"/>
      <c r="N764" s="19"/>
      <c r="O764" s="19"/>
      <c r="P764" s="19"/>
      <c r="Q764" s="19"/>
      <c r="R764" s="19"/>
      <c r="S764" s="19"/>
      <c r="T764" s="19"/>
      <c r="U764" s="19"/>
      <c r="V764" s="19"/>
      <c r="W764" s="19"/>
      <c r="X764" s="19"/>
      <c r="Y764" s="19"/>
      <c r="Z764" s="19"/>
    </row>
    <row r="765" spans="2:26" ht="12" customHeight="1">
      <c r="B765" s="19"/>
      <c r="C765" s="19"/>
      <c r="D765" s="19"/>
      <c r="E765" s="19"/>
      <c r="F765" s="19"/>
      <c r="G765" s="19"/>
      <c r="H765" s="19"/>
      <c r="I765" s="19"/>
      <c r="J765" s="19"/>
      <c r="K765" s="19"/>
      <c r="L765" s="19"/>
      <c r="M765" s="19"/>
      <c r="N765" s="19"/>
      <c r="O765" s="19"/>
      <c r="P765" s="19"/>
      <c r="Q765" s="19"/>
      <c r="R765" s="19"/>
      <c r="S765" s="19"/>
      <c r="T765" s="19"/>
      <c r="U765" s="19"/>
      <c r="V765" s="19"/>
      <c r="W765" s="19"/>
      <c r="X765" s="19"/>
      <c r="Y765" s="19"/>
      <c r="Z765" s="19"/>
    </row>
    <row r="766" spans="2:26" ht="12" customHeight="1">
      <c r="B766" s="19"/>
      <c r="C766" s="19"/>
      <c r="D766" s="19"/>
      <c r="E766" s="19"/>
      <c r="F766" s="19"/>
      <c r="G766" s="19"/>
      <c r="H766" s="19"/>
      <c r="I766" s="19"/>
      <c r="J766" s="19"/>
      <c r="K766" s="19"/>
      <c r="L766" s="19"/>
      <c r="M766" s="19"/>
      <c r="N766" s="19"/>
      <c r="O766" s="19"/>
      <c r="P766" s="19"/>
      <c r="Q766" s="19"/>
      <c r="R766" s="19"/>
      <c r="S766" s="19"/>
      <c r="T766" s="19"/>
      <c r="U766" s="19"/>
      <c r="V766" s="19"/>
      <c r="W766" s="19"/>
      <c r="X766" s="19"/>
      <c r="Y766" s="19"/>
      <c r="Z766" s="19"/>
    </row>
    <row r="767" spans="2:26" ht="12" customHeight="1">
      <c r="B767" s="19"/>
      <c r="C767" s="19"/>
      <c r="D767" s="19"/>
      <c r="E767" s="19"/>
      <c r="F767" s="19"/>
      <c r="G767" s="19"/>
      <c r="H767" s="19"/>
      <c r="I767" s="19"/>
      <c r="J767" s="19"/>
      <c r="K767" s="19"/>
      <c r="L767" s="19"/>
      <c r="M767" s="19"/>
      <c r="N767" s="19"/>
      <c r="O767" s="19"/>
      <c r="P767" s="19"/>
      <c r="Q767" s="19"/>
      <c r="R767" s="19"/>
      <c r="S767" s="19"/>
      <c r="T767" s="19"/>
      <c r="U767" s="19"/>
      <c r="V767" s="19"/>
      <c r="W767" s="19"/>
      <c r="X767" s="19"/>
      <c r="Y767" s="19"/>
      <c r="Z767" s="19"/>
    </row>
    <row r="768" spans="2:26" ht="12" customHeight="1">
      <c r="B768" s="19"/>
      <c r="C768" s="19"/>
      <c r="D768" s="19"/>
      <c r="E768" s="19"/>
      <c r="F768" s="19"/>
      <c r="G768" s="19"/>
      <c r="H768" s="19"/>
      <c r="I768" s="19"/>
      <c r="J768" s="19"/>
      <c r="K768" s="19"/>
      <c r="L768" s="19"/>
      <c r="M768" s="19"/>
      <c r="N768" s="19"/>
      <c r="O768" s="19"/>
      <c r="P768" s="19"/>
      <c r="Q768" s="19"/>
      <c r="R768" s="19"/>
      <c r="S768" s="19"/>
      <c r="T768" s="19"/>
      <c r="U768" s="19"/>
      <c r="V768" s="19"/>
      <c r="W768" s="19"/>
      <c r="X768" s="19"/>
      <c r="Y768" s="19"/>
      <c r="Z768" s="19"/>
    </row>
    <row r="769" spans="2:26" ht="12" customHeight="1">
      <c r="B769" s="19"/>
      <c r="C769" s="19"/>
      <c r="D769" s="19"/>
      <c r="E769" s="19"/>
      <c r="F769" s="19"/>
      <c r="G769" s="19"/>
      <c r="H769" s="19"/>
      <c r="I769" s="19"/>
      <c r="J769" s="19"/>
      <c r="K769" s="19"/>
      <c r="L769" s="19"/>
      <c r="M769" s="19"/>
      <c r="N769" s="19"/>
      <c r="O769" s="19"/>
      <c r="P769" s="19"/>
      <c r="Q769" s="19"/>
      <c r="R769" s="19"/>
      <c r="S769" s="19"/>
      <c r="T769" s="19"/>
      <c r="U769" s="19"/>
      <c r="V769" s="19"/>
      <c r="W769" s="19"/>
      <c r="X769" s="19"/>
      <c r="Y769" s="19"/>
      <c r="Z769" s="19"/>
    </row>
    <row r="770" spans="2:26" ht="12" customHeight="1">
      <c r="B770" s="19"/>
      <c r="C770" s="19"/>
      <c r="D770" s="19"/>
      <c r="E770" s="19"/>
      <c r="F770" s="19"/>
      <c r="G770" s="19"/>
      <c r="H770" s="19"/>
      <c r="I770" s="19"/>
      <c r="J770" s="19"/>
      <c r="K770" s="19"/>
      <c r="L770" s="19"/>
      <c r="M770" s="19"/>
      <c r="N770" s="19"/>
      <c r="O770" s="19"/>
      <c r="P770" s="19"/>
      <c r="Q770" s="19"/>
      <c r="R770" s="19"/>
      <c r="S770" s="19"/>
      <c r="T770" s="19"/>
      <c r="U770" s="19"/>
      <c r="V770" s="19"/>
      <c r="W770" s="19"/>
      <c r="X770" s="19"/>
      <c r="Y770" s="19"/>
      <c r="Z770" s="19"/>
    </row>
    <row r="771" spans="2:26" ht="12" customHeight="1">
      <c r="B771" s="19"/>
      <c r="C771" s="19"/>
      <c r="D771" s="19"/>
      <c r="E771" s="19"/>
      <c r="F771" s="19"/>
      <c r="G771" s="19"/>
      <c r="H771" s="19"/>
      <c r="I771" s="19"/>
      <c r="J771" s="19"/>
      <c r="K771" s="19"/>
      <c r="L771" s="19"/>
      <c r="M771" s="19"/>
      <c r="N771" s="19"/>
      <c r="O771" s="19"/>
      <c r="P771" s="19"/>
      <c r="Q771" s="19"/>
      <c r="R771" s="19"/>
      <c r="S771" s="19"/>
      <c r="T771" s="19"/>
      <c r="U771" s="19"/>
      <c r="V771" s="19"/>
      <c r="W771" s="19"/>
      <c r="X771" s="19"/>
      <c r="Y771" s="19"/>
      <c r="Z771" s="19"/>
    </row>
    <row r="772" spans="2:26" ht="12" customHeight="1">
      <c r="B772" s="19"/>
      <c r="C772" s="19"/>
      <c r="D772" s="19"/>
      <c r="E772" s="19"/>
      <c r="F772" s="19"/>
      <c r="G772" s="19"/>
      <c r="H772" s="19"/>
      <c r="I772" s="19"/>
      <c r="J772" s="19"/>
      <c r="K772" s="19"/>
      <c r="L772" s="19"/>
      <c r="M772" s="19"/>
      <c r="N772" s="19"/>
      <c r="O772" s="19"/>
      <c r="P772" s="19"/>
      <c r="Q772" s="19"/>
      <c r="R772" s="19"/>
      <c r="S772" s="19"/>
      <c r="T772" s="19"/>
      <c r="U772" s="19"/>
      <c r="V772" s="19"/>
      <c r="W772" s="19"/>
      <c r="X772" s="19"/>
      <c r="Y772" s="19"/>
      <c r="Z772" s="19"/>
    </row>
    <row r="773" spans="2:26" ht="12" customHeight="1">
      <c r="B773" s="19"/>
      <c r="C773" s="19"/>
      <c r="D773" s="19"/>
      <c r="E773" s="19"/>
      <c r="F773" s="19"/>
      <c r="G773" s="19"/>
      <c r="H773" s="19"/>
      <c r="I773" s="19"/>
      <c r="J773" s="19"/>
      <c r="K773" s="19"/>
      <c r="L773" s="19"/>
      <c r="M773" s="19"/>
      <c r="N773" s="19"/>
      <c r="O773" s="19"/>
      <c r="P773" s="19"/>
      <c r="Q773" s="19"/>
      <c r="R773" s="19"/>
      <c r="S773" s="19"/>
      <c r="T773" s="19"/>
      <c r="U773" s="19"/>
      <c r="V773" s="19"/>
      <c r="W773" s="19"/>
      <c r="X773" s="19"/>
      <c r="Y773" s="19"/>
      <c r="Z773" s="19"/>
    </row>
    <row r="774" spans="2:26" ht="12" customHeight="1">
      <c r="B774" s="19"/>
      <c r="C774" s="19"/>
      <c r="D774" s="19"/>
      <c r="E774" s="19"/>
      <c r="F774" s="19"/>
      <c r="G774" s="19"/>
      <c r="H774" s="19"/>
      <c r="I774" s="19"/>
      <c r="J774" s="19"/>
      <c r="K774" s="19"/>
      <c r="L774" s="19"/>
      <c r="M774" s="19"/>
      <c r="N774" s="19"/>
      <c r="O774" s="19"/>
      <c r="P774" s="19"/>
      <c r="Q774" s="19"/>
      <c r="R774" s="19"/>
      <c r="S774" s="19"/>
      <c r="T774" s="19"/>
      <c r="U774" s="19"/>
      <c r="V774" s="19"/>
      <c r="W774" s="19"/>
      <c r="X774" s="19"/>
      <c r="Y774" s="19"/>
      <c r="Z774" s="19"/>
    </row>
    <row r="775" spans="2:26" ht="12" customHeight="1">
      <c r="B775" s="19"/>
      <c r="C775" s="19"/>
      <c r="D775" s="19"/>
      <c r="E775" s="19"/>
      <c r="F775" s="19"/>
      <c r="G775" s="19"/>
      <c r="H775" s="19"/>
      <c r="I775" s="19"/>
      <c r="J775" s="19"/>
      <c r="K775" s="19"/>
      <c r="L775" s="19"/>
      <c r="M775" s="19"/>
      <c r="N775" s="19"/>
      <c r="O775" s="19"/>
      <c r="P775" s="19"/>
      <c r="Q775" s="19"/>
      <c r="R775" s="19"/>
      <c r="S775" s="19"/>
      <c r="T775" s="19"/>
      <c r="U775" s="19"/>
      <c r="V775" s="19"/>
      <c r="W775" s="19"/>
      <c r="X775" s="19"/>
      <c r="Y775" s="19"/>
      <c r="Z775" s="19"/>
    </row>
    <row r="776" spans="2:26" ht="12" customHeight="1">
      <c r="B776" s="19"/>
      <c r="C776" s="19"/>
      <c r="D776" s="19"/>
      <c r="E776" s="19"/>
      <c r="F776" s="19"/>
      <c r="G776" s="19"/>
      <c r="H776" s="19"/>
      <c r="I776" s="19"/>
      <c r="J776" s="19"/>
      <c r="K776" s="19"/>
      <c r="L776" s="19"/>
      <c r="M776" s="19"/>
      <c r="N776" s="19"/>
      <c r="O776" s="19"/>
      <c r="P776" s="19"/>
      <c r="Q776" s="19"/>
      <c r="R776" s="19"/>
      <c r="S776" s="19"/>
      <c r="T776" s="19"/>
      <c r="U776" s="19"/>
      <c r="V776" s="19"/>
      <c r="W776" s="19"/>
      <c r="X776" s="19"/>
      <c r="Y776" s="19"/>
      <c r="Z776" s="19"/>
    </row>
    <row r="777" spans="2:26" ht="12" customHeight="1">
      <c r="B777" s="19"/>
      <c r="C777" s="19"/>
      <c r="D777" s="19"/>
      <c r="E777" s="19"/>
      <c r="F777" s="19"/>
      <c r="G777" s="19"/>
      <c r="H777" s="19"/>
      <c r="I777" s="19"/>
      <c r="J777" s="19"/>
      <c r="K777" s="19"/>
      <c r="L777" s="19"/>
      <c r="M777" s="19"/>
      <c r="N777" s="19"/>
      <c r="O777" s="19"/>
      <c r="P777" s="19"/>
      <c r="Q777" s="19"/>
      <c r="R777" s="19"/>
      <c r="S777" s="19"/>
      <c r="T777" s="19"/>
      <c r="U777" s="19"/>
      <c r="V777" s="19"/>
      <c r="W777" s="19"/>
      <c r="X777" s="19"/>
      <c r="Y777" s="19"/>
      <c r="Z777" s="19"/>
    </row>
    <row r="778" spans="2:26" ht="12" customHeight="1">
      <c r="B778" s="19"/>
      <c r="C778" s="19"/>
      <c r="D778" s="19"/>
      <c r="E778" s="19"/>
      <c r="F778" s="19"/>
      <c r="G778" s="19"/>
      <c r="H778" s="19"/>
      <c r="I778" s="19"/>
      <c r="J778" s="19"/>
      <c r="K778" s="19"/>
      <c r="L778" s="19"/>
      <c r="M778" s="19"/>
      <c r="N778" s="19"/>
      <c r="O778" s="19"/>
      <c r="P778" s="19"/>
      <c r="Q778" s="19"/>
      <c r="R778" s="19"/>
      <c r="S778" s="19"/>
      <c r="T778" s="19"/>
      <c r="U778" s="19"/>
      <c r="V778" s="19"/>
      <c r="W778" s="19"/>
      <c r="X778" s="19"/>
      <c r="Y778" s="19"/>
      <c r="Z778" s="19"/>
    </row>
    <row r="779" spans="2:26" ht="12" customHeight="1">
      <c r="B779" s="19"/>
      <c r="C779" s="19"/>
      <c r="D779" s="19"/>
      <c r="E779" s="19"/>
      <c r="F779" s="19"/>
      <c r="G779" s="19"/>
      <c r="H779" s="19"/>
      <c r="I779" s="19"/>
      <c r="J779" s="19"/>
      <c r="K779" s="19"/>
      <c r="L779" s="19"/>
      <c r="M779" s="19"/>
      <c r="N779" s="19"/>
      <c r="O779" s="19"/>
      <c r="P779" s="19"/>
      <c r="Q779" s="19"/>
      <c r="R779" s="19"/>
      <c r="S779" s="19"/>
      <c r="T779" s="19"/>
      <c r="U779" s="19"/>
      <c r="V779" s="19"/>
      <c r="W779" s="19"/>
      <c r="X779" s="19"/>
      <c r="Y779" s="19"/>
      <c r="Z779" s="19"/>
    </row>
    <row r="780" spans="2:26" ht="12" customHeight="1">
      <c r="B780" s="19"/>
      <c r="C780" s="19"/>
      <c r="D780" s="19"/>
      <c r="E780" s="19"/>
      <c r="F780" s="19"/>
      <c r="G780" s="19"/>
      <c r="H780" s="19"/>
      <c r="I780" s="19"/>
      <c r="J780" s="19"/>
      <c r="K780" s="19"/>
      <c r="L780" s="19"/>
      <c r="M780" s="19"/>
      <c r="N780" s="19"/>
      <c r="O780" s="19"/>
      <c r="P780" s="19"/>
      <c r="Q780" s="19"/>
      <c r="R780" s="19"/>
      <c r="S780" s="19"/>
      <c r="T780" s="19"/>
      <c r="U780" s="19"/>
      <c r="V780" s="19"/>
      <c r="W780" s="19"/>
      <c r="X780" s="19"/>
      <c r="Y780" s="19"/>
      <c r="Z780" s="19"/>
    </row>
    <row r="781" spans="2:26" ht="12" customHeight="1">
      <c r="B781" s="19"/>
      <c r="C781" s="19"/>
      <c r="D781" s="19"/>
      <c r="E781" s="19"/>
      <c r="F781" s="19"/>
      <c r="G781" s="19"/>
      <c r="H781" s="19"/>
      <c r="I781" s="19"/>
      <c r="J781" s="19"/>
      <c r="K781" s="19"/>
      <c r="L781" s="19"/>
      <c r="M781" s="19"/>
      <c r="N781" s="19"/>
      <c r="O781" s="19"/>
      <c r="P781" s="19"/>
      <c r="Q781" s="19"/>
      <c r="R781" s="19"/>
      <c r="S781" s="19"/>
      <c r="T781" s="19"/>
      <c r="U781" s="19"/>
      <c r="V781" s="19"/>
      <c r="W781" s="19"/>
      <c r="X781" s="19"/>
      <c r="Y781" s="19"/>
      <c r="Z781" s="19"/>
    </row>
    <row r="782" spans="2:26" ht="12" customHeight="1">
      <c r="B782" s="19"/>
      <c r="C782" s="19"/>
      <c r="D782" s="19"/>
      <c r="E782" s="19"/>
      <c r="F782" s="19"/>
      <c r="G782" s="19"/>
      <c r="H782" s="19"/>
      <c r="I782" s="19"/>
      <c r="J782" s="19"/>
      <c r="K782" s="19"/>
      <c r="L782" s="19"/>
      <c r="M782" s="19"/>
      <c r="N782" s="19"/>
      <c r="O782" s="19"/>
      <c r="P782" s="19"/>
      <c r="Q782" s="19"/>
      <c r="R782" s="19"/>
      <c r="S782" s="19"/>
      <c r="T782" s="19"/>
      <c r="U782" s="19"/>
      <c r="V782" s="19"/>
      <c r="W782" s="19"/>
      <c r="X782" s="19"/>
      <c r="Y782" s="19"/>
      <c r="Z782" s="19"/>
    </row>
    <row r="783" spans="2:26" ht="12" customHeight="1">
      <c r="B783" s="19"/>
      <c r="C783" s="19"/>
      <c r="D783" s="19"/>
      <c r="E783" s="19"/>
      <c r="F783" s="19"/>
      <c r="G783" s="19"/>
      <c r="H783" s="19"/>
      <c r="I783" s="19"/>
      <c r="J783" s="19"/>
      <c r="K783" s="19"/>
      <c r="L783" s="19"/>
      <c r="M783" s="19"/>
      <c r="N783" s="19"/>
      <c r="O783" s="19"/>
      <c r="P783" s="19"/>
      <c r="Q783" s="19"/>
      <c r="R783" s="19"/>
      <c r="S783" s="19"/>
      <c r="T783" s="19"/>
      <c r="U783" s="19"/>
      <c r="V783" s="19"/>
      <c r="W783" s="19"/>
      <c r="X783" s="19"/>
      <c r="Y783" s="19"/>
      <c r="Z783" s="19"/>
    </row>
    <row r="784" spans="2:26" ht="12" customHeight="1">
      <c r="B784" s="19"/>
      <c r="C784" s="19"/>
      <c r="D784" s="19"/>
      <c r="E784" s="19"/>
      <c r="F784" s="19"/>
      <c r="G784" s="19"/>
      <c r="H784" s="19"/>
      <c r="I784" s="19"/>
      <c r="J784" s="19"/>
      <c r="K784" s="19"/>
      <c r="L784" s="19"/>
      <c r="M784" s="19"/>
      <c r="N784" s="19"/>
      <c r="O784" s="19"/>
      <c r="P784" s="19"/>
      <c r="Q784" s="19"/>
      <c r="R784" s="19"/>
      <c r="S784" s="19"/>
      <c r="T784" s="19"/>
      <c r="U784" s="19"/>
      <c r="V784" s="19"/>
      <c r="W784" s="19"/>
      <c r="X784" s="19"/>
      <c r="Y784" s="19"/>
      <c r="Z784" s="19"/>
    </row>
    <row r="785" spans="2:26" ht="12" customHeight="1">
      <c r="B785" s="19"/>
      <c r="C785" s="19"/>
      <c r="D785" s="19"/>
      <c r="E785" s="19"/>
      <c r="F785" s="19"/>
      <c r="G785" s="19"/>
      <c r="H785" s="19"/>
      <c r="I785" s="19"/>
      <c r="J785" s="19"/>
      <c r="K785" s="19"/>
      <c r="L785" s="19"/>
      <c r="M785" s="19"/>
      <c r="N785" s="19"/>
      <c r="O785" s="19"/>
      <c r="P785" s="19"/>
      <c r="Q785" s="19"/>
      <c r="R785" s="19"/>
      <c r="S785" s="19"/>
      <c r="T785" s="19"/>
      <c r="U785" s="19"/>
      <c r="V785" s="19"/>
      <c r="W785" s="19"/>
      <c r="X785" s="19"/>
      <c r="Y785" s="19"/>
      <c r="Z785" s="19"/>
    </row>
    <row r="786" spans="2:26" ht="12" customHeight="1">
      <c r="B786" s="19"/>
      <c r="C786" s="19"/>
      <c r="D786" s="19"/>
      <c r="E786" s="19"/>
      <c r="F786" s="19"/>
      <c r="G786" s="19"/>
      <c r="H786" s="19"/>
      <c r="I786" s="19"/>
      <c r="J786" s="19"/>
      <c r="K786" s="19"/>
      <c r="L786" s="19"/>
      <c r="M786" s="19"/>
      <c r="N786" s="19"/>
      <c r="O786" s="19"/>
      <c r="P786" s="19"/>
      <c r="Q786" s="19"/>
      <c r="R786" s="19"/>
      <c r="S786" s="19"/>
      <c r="T786" s="19"/>
      <c r="U786" s="19"/>
      <c r="V786" s="19"/>
      <c r="W786" s="19"/>
      <c r="X786" s="19"/>
      <c r="Y786" s="19"/>
      <c r="Z786" s="19"/>
    </row>
    <row r="787" spans="2:26" ht="12" customHeight="1">
      <c r="B787" s="19"/>
      <c r="C787" s="19"/>
      <c r="D787" s="19"/>
      <c r="E787" s="19"/>
      <c r="F787" s="19"/>
      <c r="G787" s="19"/>
      <c r="H787" s="19"/>
      <c r="I787" s="19"/>
      <c r="J787" s="19"/>
      <c r="K787" s="19"/>
      <c r="L787" s="19"/>
      <c r="M787" s="19"/>
      <c r="N787" s="19"/>
      <c r="O787" s="19"/>
      <c r="P787" s="19"/>
      <c r="Q787" s="19"/>
      <c r="R787" s="19"/>
      <c r="S787" s="19"/>
      <c r="T787" s="19"/>
      <c r="U787" s="19"/>
      <c r="V787" s="19"/>
      <c r="W787" s="19"/>
      <c r="X787" s="19"/>
      <c r="Y787" s="19"/>
      <c r="Z787" s="19"/>
    </row>
    <row r="788" spans="2:26" ht="12" customHeight="1">
      <c r="B788" s="19"/>
      <c r="C788" s="19"/>
      <c r="D788" s="19"/>
      <c r="E788" s="19"/>
      <c r="F788" s="19"/>
      <c r="G788" s="19"/>
      <c r="H788" s="19"/>
      <c r="I788" s="19"/>
      <c r="J788" s="19"/>
      <c r="K788" s="19"/>
      <c r="L788" s="19"/>
      <c r="M788" s="19"/>
      <c r="N788" s="19"/>
      <c r="O788" s="19"/>
      <c r="P788" s="19"/>
      <c r="Q788" s="19"/>
      <c r="R788" s="19"/>
      <c r="S788" s="19"/>
      <c r="T788" s="19"/>
      <c r="U788" s="19"/>
      <c r="V788" s="19"/>
      <c r="W788" s="19"/>
      <c r="X788" s="19"/>
      <c r="Y788" s="19"/>
      <c r="Z788" s="19"/>
    </row>
    <row r="789" spans="2:26" ht="12" customHeight="1">
      <c r="B789" s="19"/>
      <c r="C789" s="19"/>
      <c r="D789" s="19"/>
      <c r="E789" s="19"/>
      <c r="F789" s="19"/>
      <c r="G789" s="19"/>
      <c r="H789" s="19"/>
      <c r="I789" s="19"/>
      <c r="J789" s="19"/>
      <c r="K789" s="19"/>
      <c r="L789" s="19"/>
      <c r="M789" s="19"/>
      <c r="N789" s="19"/>
      <c r="O789" s="19"/>
      <c r="P789" s="19"/>
      <c r="Q789" s="19"/>
      <c r="R789" s="19"/>
      <c r="S789" s="19"/>
      <c r="T789" s="19"/>
      <c r="U789" s="19"/>
      <c r="V789" s="19"/>
      <c r="W789" s="19"/>
      <c r="X789" s="19"/>
      <c r="Y789" s="19"/>
      <c r="Z789" s="19"/>
    </row>
    <row r="790" spans="2:26" ht="12" customHeight="1">
      <c r="B790" s="19"/>
      <c r="C790" s="19"/>
      <c r="D790" s="19"/>
      <c r="E790" s="19"/>
      <c r="F790" s="19"/>
      <c r="G790" s="19"/>
      <c r="H790" s="19"/>
      <c r="I790" s="19"/>
      <c r="J790" s="19"/>
      <c r="K790" s="19"/>
      <c r="L790" s="19"/>
      <c r="M790" s="19"/>
      <c r="N790" s="19"/>
      <c r="O790" s="19"/>
      <c r="P790" s="19"/>
      <c r="Q790" s="19"/>
      <c r="R790" s="19"/>
      <c r="S790" s="19"/>
      <c r="T790" s="19"/>
      <c r="U790" s="19"/>
      <c r="V790" s="19"/>
      <c r="W790" s="19"/>
      <c r="X790" s="19"/>
      <c r="Y790" s="19"/>
      <c r="Z790" s="19"/>
    </row>
    <row r="791" spans="2:26" ht="12" customHeight="1">
      <c r="B791" s="19"/>
      <c r="C791" s="19"/>
      <c r="D791" s="19"/>
      <c r="E791" s="19"/>
      <c r="F791" s="19"/>
      <c r="G791" s="19"/>
      <c r="H791" s="19"/>
      <c r="I791" s="19"/>
      <c r="J791" s="19"/>
      <c r="K791" s="19"/>
      <c r="L791" s="19"/>
      <c r="M791" s="19"/>
      <c r="N791" s="19"/>
      <c r="O791" s="19"/>
      <c r="P791" s="19"/>
      <c r="Q791" s="19"/>
      <c r="R791" s="19"/>
      <c r="S791" s="19"/>
      <c r="T791" s="19"/>
      <c r="U791" s="19"/>
      <c r="V791" s="19"/>
      <c r="W791" s="19"/>
      <c r="X791" s="19"/>
      <c r="Y791" s="19"/>
      <c r="Z791" s="19"/>
    </row>
    <row r="792" spans="2:26" ht="12" customHeight="1">
      <c r="B792" s="19"/>
      <c r="C792" s="19"/>
      <c r="D792" s="19"/>
      <c r="E792" s="19"/>
      <c r="F792" s="19"/>
      <c r="G792" s="19"/>
      <c r="H792" s="19"/>
      <c r="I792" s="19"/>
      <c r="J792" s="19"/>
      <c r="K792" s="19"/>
      <c r="L792" s="19"/>
      <c r="M792" s="19"/>
      <c r="N792" s="19"/>
      <c r="O792" s="19"/>
      <c r="P792" s="19"/>
      <c r="Q792" s="19"/>
      <c r="R792" s="19"/>
      <c r="S792" s="19"/>
      <c r="T792" s="19"/>
      <c r="U792" s="19"/>
      <c r="V792" s="19"/>
      <c r="W792" s="19"/>
      <c r="X792" s="19"/>
      <c r="Y792" s="19"/>
      <c r="Z792" s="19"/>
    </row>
    <row r="793" spans="2:26" ht="12" customHeight="1">
      <c r="B793" s="19"/>
      <c r="C793" s="19"/>
      <c r="D793" s="19"/>
      <c r="E793" s="19"/>
      <c r="F793" s="19"/>
      <c r="G793" s="19"/>
      <c r="H793" s="19"/>
      <c r="I793" s="19"/>
      <c r="J793" s="19"/>
      <c r="K793" s="19"/>
      <c r="L793" s="19"/>
      <c r="M793" s="19"/>
      <c r="N793" s="19"/>
      <c r="O793" s="19"/>
      <c r="P793" s="19"/>
      <c r="Q793" s="19"/>
      <c r="R793" s="19"/>
      <c r="S793" s="19"/>
      <c r="T793" s="19"/>
      <c r="U793" s="19"/>
      <c r="V793" s="19"/>
      <c r="W793" s="19"/>
      <c r="X793" s="19"/>
      <c r="Y793" s="19"/>
      <c r="Z793" s="19"/>
    </row>
    <row r="794" spans="2:26" ht="12" customHeight="1">
      <c r="B794" s="19"/>
      <c r="C794" s="19"/>
      <c r="D794" s="19"/>
      <c r="E794" s="19"/>
      <c r="F794" s="19"/>
      <c r="G794" s="19"/>
      <c r="H794" s="19"/>
      <c r="I794" s="19"/>
      <c r="J794" s="19"/>
      <c r="K794" s="19"/>
      <c r="L794" s="19"/>
      <c r="M794" s="19"/>
      <c r="N794" s="19"/>
      <c r="O794" s="19"/>
      <c r="P794" s="19"/>
      <c r="Q794" s="19"/>
      <c r="R794" s="19"/>
      <c r="S794" s="19"/>
      <c r="T794" s="19"/>
      <c r="U794" s="19"/>
      <c r="V794" s="19"/>
      <c r="W794" s="19"/>
      <c r="X794" s="19"/>
      <c r="Y794" s="19"/>
      <c r="Z794" s="19"/>
    </row>
    <row r="795" spans="2:26" ht="12" customHeight="1">
      <c r="B795" s="19"/>
      <c r="C795" s="19"/>
      <c r="D795" s="19"/>
      <c r="E795" s="19"/>
      <c r="F795" s="19"/>
      <c r="G795" s="19"/>
      <c r="H795" s="19"/>
      <c r="I795" s="19"/>
      <c r="J795" s="19"/>
      <c r="K795" s="19"/>
      <c r="L795" s="19"/>
      <c r="M795" s="19"/>
      <c r="N795" s="19"/>
      <c r="O795" s="19"/>
      <c r="P795" s="19"/>
      <c r="Q795" s="19"/>
      <c r="R795" s="19"/>
      <c r="S795" s="19"/>
      <c r="T795" s="19"/>
      <c r="U795" s="19"/>
      <c r="V795" s="19"/>
      <c r="W795" s="19"/>
      <c r="X795" s="19"/>
      <c r="Y795" s="19"/>
      <c r="Z795" s="19"/>
    </row>
    <row r="796" spans="2:26" ht="12" customHeight="1">
      <c r="B796" s="19"/>
      <c r="C796" s="19"/>
      <c r="D796" s="19"/>
      <c r="E796" s="19"/>
      <c r="F796" s="19"/>
      <c r="G796" s="19"/>
      <c r="H796" s="19"/>
      <c r="I796" s="19"/>
      <c r="J796" s="19"/>
      <c r="K796" s="19"/>
      <c r="L796" s="19"/>
      <c r="M796" s="19"/>
      <c r="N796" s="19"/>
      <c r="O796" s="19"/>
      <c r="P796" s="19"/>
      <c r="Q796" s="19"/>
      <c r="R796" s="19"/>
      <c r="S796" s="19"/>
      <c r="T796" s="19"/>
      <c r="U796" s="19"/>
      <c r="V796" s="19"/>
      <c r="W796" s="19"/>
      <c r="X796" s="19"/>
      <c r="Y796" s="19"/>
      <c r="Z796" s="19"/>
    </row>
    <row r="797" spans="2:26" ht="12" customHeight="1">
      <c r="B797" s="19"/>
      <c r="C797" s="19"/>
      <c r="D797" s="19"/>
      <c r="E797" s="19"/>
      <c r="F797" s="19"/>
      <c r="G797" s="19"/>
      <c r="H797" s="19"/>
      <c r="I797" s="19"/>
      <c r="J797" s="19"/>
      <c r="K797" s="19"/>
      <c r="L797" s="19"/>
      <c r="M797" s="19"/>
      <c r="N797" s="19"/>
      <c r="O797" s="19"/>
      <c r="P797" s="19"/>
      <c r="Q797" s="19"/>
      <c r="R797" s="19"/>
      <c r="S797" s="19"/>
      <c r="T797" s="19"/>
      <c r="U797" s="19"/>
      <c r="V797" s="19"/>
      <c r="W797" s="19"/>
      <c r="X797" s="19"/>
      <c r="Y797" s="19"/>
      <c r="Z797" s="19"/>
    </row>
    <row r="798" spans="2:26" ht="12" customHeight="1">
      <c r="B798" s="19"/>
      <c r="C798" s="19"/>
      <c r="D798" s="19"/>
      <c r="E798" s="19"/>
      <c r="F798" s="19"/>
      <c r="G798" s="19"/>
      <c r="H798" s="19"/>
      <c r="I798" s="19"/>
      <c r="J798" s="19"/>
      <c r="K798" s="19"/>
      <c r="L798" s="19"/>
      <c r="M798" s="19"/>
      <c r="N798" s="19"/>
      <c r="O798" s="19"/>
      <c r="P798" s="19"/>
      <c r="Q798" s="19"/>
      <c r="R798" s="19"/>
      <c r="S798" s="19"/>
      <c r="T798" s="19"/>
      <c r="U798" s="19"/>
      <c r="V798" s="19"/>
      <c r="W798" s="19"/>
      <c r="X798" s="19"/>
      <c r="Y798" s="19"/>
      <c r="Z798" s="19"/>
    </row>
    <row r="799" spans="2:26" ht="12" customHeight="1">
      <c r="B799" s="19"/>
      <c r="C799" s="19"/>
      <c r="D799" s="19"/>
      <c r="E799" s="19"/>
      <c r="F799" s="19"/>
      <c r="G799" s="19"/>
      <c r="H799" s="19"/>
      <c r="I799" s="19"/>
      <c r="J799" s="19"/>
      <c r="K799" s="19"/>
      <c r="L799" s="19"/>
      <c r="M799" s="19"/>
      <c r="N799" s="19"/>
      <c r="O799" s="19"/>
      <c r="P799" s="19"/>
      <c r="Q799" s="19"/>
      <c r="R799" s="19"/>
      <c r="S799" s="19"/>
      <c r="T799" s="19"/>
      <c r="U799" s="19"/>
      <c r="V799" s="19"/>
      <c r="W799" s="19"/>
      <c r="X799" s="19"/>
      <c r="Y799" s="19"/>
      <c r="Z799" s="19"/>
    </row>
    <row r="800" spans="2:26" ht="12" customHeight="1">
      <c r="B800" s="19"/>
      <c r="C800" s="19"/>
      <c r="D800" s="19"/>
      <c r="E800" s="19"/>
      <c r="F800" s="19"/>
      <c r="G800" s="19"/>
      <c r="H800" s="19"/>
      <c r="I800" s="19"/>
      <c r="J800" s="19"/>
      <c r="K800" s="19"/>
      <c r="L800" s="19"/>
      <c r="M800" s="19"/>
      <c r="N800" s="19"/>
      <c r="O800" s="19"/>
      <c r="P800" s="19"/>
      <c r="Q800" s="19"/>
      <c r="R800" s="19"/>
      <c r="S800" s="19"/>
      <c r="T800" s="19"/>
      <c r="U800" s="19"/>
      <c r="V800" s="19"/>
      <c r="W800" s="19"/>
      <c r="X800" s="19"/>
      <c r="Y800" s="19"/>
      <c r="Z800" s="19"/>
    </row>
    <row r="801" spans="2:26" ht="12" customHeight="1">
      <c r="B801" s="19"/>
      <c r="C801" s="19"/>
      <c r="D801" s="19"/>
      <c r="E801" s="19"/>
      <c r="F801" s="19"/>
      <c r="G801" s="19"/>
      <c r="H801" s="19"/>
      <c r="I801" s="19"/>
      <c r="J801" s="19"/>
      <c r="K801" s="19"/>
      <c r="L801" s="19"/>
      <c r="M801" s="19"/>
      <c r="N801" s="19"/>
      <c r="O801" s="19"/>
      <c r="P801" s="19"/>
      <c r="Q801" s="19"/>
      <c r="R801" s="19"/>
      <c r="S801" s="19"/>
      <c r="T801" s="19"/>
      <c r="U801" s="19"/>
      <c r="V801" s="19"/>
      <c r="W801" s="19"/>
      <c r="X801" s="19"/>
      <c r="Y801" s="19"/>
      <c r="Z801" s="19"/>
    </row>
    <row r="802" spans="2:26" ht="12" customHeight="1">
      <c r="B802" s="19"/>
      <c r="C802" s="19"/>
      <c r="D802" s="19"/>
      <c r="E802" s="19"/>
      <c r="F802" s="19"/>
      <c r="G802" s="19"/>
      <c r="H802" s="19"/>
      <c r="I802" s="19"/>
      <c r="J802" s="19"/>
      <c r="K802" s="19"/>
      <c r="L802" s="19"/>
      <c r="M802" s="19"/>
      <c r="N802" s="19"/>
      <c r="O802" s="19"/>
      <c r="P802" s="19"/>
      <c r="Q802" s="19"/>
      <c r="R802" s="19"/>
      <c r="S802" s="19"/>
      <c r="T802" s="19"/>
      <c r="U802" s="19"/>
      <c r="V802" s="19"/>
      <c r="W802" s="19"/>
      <c r="X802" s="19"/>
      <c r="Y802" s="19"/>
      <c r="Z802" s="19"/>
    </row>
    <row r="803" spans="2:26" ht="12" customHeight="1">
      <c r="B803" s="19"/>
      <c r="C803" s="19"/>
      <c r="D803" s="19"/>
      <c r="E803" s="19"/>
      <c r="F803" s="19"/>
      <c r="G803" s="19"/>
      <c r="H803" s="19"/>
      <c r="I803" s="19"/>
      <c r="J803" s="19"/>
      <c r="K803" s="19"/>
      <c r="L803" s="19"/>
      <c r="M803" s="19"/>
      <c r="N803" s="19"/>
      <c r="O803" s="19"/>
      <c r="P803" s="19"/>
      <c r="Q803" s="19"/>
      <c r="R803" s="19"/>
      <c r="S803" s="19"/>
      <c r="T803" s="19"/>
      <c r="U803" s="19"/>
      <c r="V803" s="19"/>
      <c r="W803" s="19"/>
      <c r="X803" s="19"/>
      <c r="Y803" s="19"/>
      <c r="Z803" s="19"/>
    </row>
    <row r="804" spans="2:26" ht="12" customHeight="1">
      <c r="B804" s="19"/>
      <c r="C804" s="19"/>
      <c r="D804" s="19"/>
      <c r="E804" s="19"/>
      <c r="F804" s="19"/>
      <c r="G804" s="19"/>
      <c r="H804" s="19"/>
      <c r="I804" s="19"/>
      <c r="J804" s="19"/>
      <c r="K804" s="19"/>
      <c r="L804" s="19"/>
      <c r="M804" s="19"/>
      <c r="N804" s="19"/>
      <c r="O804" s="19"/>
      <c r="P804" s="19"/>
      <c r="Q804" s="19"/>
      <c r="R804" s="19"/>
      <c r="S804" s="19"/>
      <c r="T804" s="19"/>
      <c r="U804" s="19"/>
      <c r="V804" s="19"/>
      <c r="W804" s="19"/>
      <c r="X804" s="19"/>
      <c r="Y804" s="19"/>
      <c r="Z804" s="19"/>
    </row>
    <row r="805" spans="2:26" ht="12" customHeight="1">
      <c r="B805" s="19"/>
      <c r="C805" s="19"/>
      <c r="D805" s="19"/>
      <c r="E805" s="19"/>
      <c r="F805" s="19"/>
      <c r="G805" s="19"/>
      <c r="H805" s="19"/>
      <c r="I805" s="19"/>
      <c r="J805" s="19"/>
      <c r="K805" s="19"/>
      <c r="L805" s="19"/>
      <c r="M805" s="19"/>
      <c r="N805" s="19"/>
      <c r="O805" s="19"/>
      <c r="P805" s="19"/>
      <c r="Q805" s="19"/>
      <c r="R805" s="19"/>
      <c r="S805" s="19"/>
      <c r="T805" s="19"/>
      <c r="U805" s="19"/>
      <c r="V805" s="19"/>
      <c r="W805" s="19"/>
      <c r="X805" s="19"/>
      <c r="Y805" s="19"/>
      <c r="Z805" s="19"/>
    </row>
    <row r="806" spans="2:26" ht="12" customHeight="1">
      <c r="B806" s="19"/>
      <c r="C806" s="19"/>
      <c r="D806" s="19"/>
      <c r="E806" s="19"/>
      <c r="F806" s="19"/>
      <c r="G806" s="19"/>
      <c r="H806" s="19"/>
      <c r="I806" s="19"/>
      <c r="J806" s="19"/>
      <c r="K806" s="19"/>
      <c r="L806" s="19"/>
      <c r="M806" s="19"/>
      <c r="N806" s="19"/>
      <c r="O806" s="19"/>
      <c r="P806" s="19"/>
      <c r="Q806" s="19"/>
      <c r="R806" s="19"/>
      <c r="S806" s="19"/>
      <c r="T806" s="19"/>
      <c r="U806" s="19"/>
      <c r="V806" s="19"/>
      <c r="W806" s="19"/>
      <c r="X806" s="19"/>
      <c r="Y806" s="19"/>
      <c r="Z806" s="19"/>
    </row>
    <row r="807" spans="2:26" ht="12" customHeight="1">
      <c r="B807" s="19"/>
      <c r="C807" s="19"/>
      <c r="D807" s="19"/>
      <c r="E807" s="19"/>
      <c r="F807" s="19"/>
      <c r="G807" s="19"/>
      <c r="H807" s="19"/>
      <c r="I807" s="19"/>
      <c r="J807" s="19"/>
      <c r="K807" s="19"/>
      <c r="L807" s="19"/>
      <c r="M807" s="19"/>
      <c r="N807" s="19"/>
      <c r="O807" s="19"/>
      <c r="P807" s="19"/>
      <c r="Q807" s="19"/>
      <c r="R807" s="19"/>
      <c r="S807" s="19"/>
      <c r="T807" s="19"/>
      <c r="U807" s="19"/>
      <c r="V807" s="19"/>
      <c r="W807" s="19"/>
      <c r="X807" s="19"/>
      <c r="Y807" s="19"/>
      <c r="Z807" s="19"/>
    </row>
    <row r="808" spans="2:26" ht="12" customHeight="1">
      <c r="B808" s="19"/>
      <c r="C808" s="19"/>
      <c r="D808" s="19"/>
      <c r="E808" s="19"/>
      <c r="F808" s="19"/>
      <c r="G808" s="19"/>
      <c r="H808" s="19"/>
      <c r="I808" s="19"/>
      <c r="J808" s="19"/>
      <c r="K808" s="19"/>
      <c r="L808" s="19"/>
      <c r="M808" s="19"/>
      <c r="N808" s="19"/>
      <c r="O808" s="19"/>
      <c r="P808" s="19"/>
      <c r="Q808" s="19"/>
      <c r="R808" s="19"/>
      <c r="S808" s="19"/>
      <c r="T808" s="19"/>
      <c r="U808" s="19"/>
      <c r="V808" s="19"/>
      <c r="W808" s="19"/>
      <c r="X808" s="19"/>
      <c r="Y808" s="19"/>
      <c r="Z808" s="19"/>
    </row>
    <row r="809" spans="2:26" ht="12" customHeight="1">
      <c r="B809" s="19"/>
      <c r="C809" s="19"/>
      <c r="D809" s="19"/>
      <c r="E809" s="19"/>
      <c r="F809" s="19"/>
      <c r="G809" s="19"/>
      <c r="H809" s="19"/>
      <c r="I809" s="19"/>
      <c r="J809" s="19"/>
      <c r="K809" s="19"/>
      <c r="L809" s="19"/>
      <c r="M809" s="19"/>
      <c r="N809" s="19"/>
      <c r="O809" s="19"/>
      <c r="P809" s="19"/>
      <c r="Q809" s="19"/>
      <c r="R809" s="19"/>
      <c r="S809" s="19"/>
      <c r="T809" s="19"/>
      <c r="U809" s="19"/>
      <c r="V809" s="19"/>
      <c r="W809" s="19"/>
      <c r="X809" s="19"/>
      <c r="Y809" s="19"/>
      <c r="Z809" s="19"/>
    </row>
    <row r="810" spans="2:26" ht="12" customHeight="1">
      <c r="B810" s="19"/>
      <c r="C810" s="19"/>
      <c r="D810" s="19"/>
      <c r="E810" s="19"/>
      <c r="F810" s="19"/>
      <c r="G810" s="19"/>
      <c r="H810" s="19"/>
      <c r="I810" s="19"/>
      <c r="J810" s="19"/>
      <c r="K810" s="19"/>
      <c r="L810" s="19"/>
      <c r="M810" s="19"/>
      <c r="N810" s="19"/>
      <c r="O810" s="19"/>
      <c r="P810" s="19"/>
      <c r="Q810" s="19"/>
      <c r="R810" s="19"/>
      <c r="S810" s="19"/>
      <c r="T810" s="19"/>
      <c r="U810" s="19"/>
      <c r="V810" s="19"/>
      <c r="W810" s="19"/>
      <c r="X810" s="19"/>
      <c r="Y810" s="19"/>
      <c r="Z810" s="19"/>
    </row>
    <row r="811" spans="2:26" ht="12" customHeight="1">
      <c r="B811" s="19"/>
      <c r="C811" s="19"/>
      <c r="D811" s="19"/>
      <c r="E811" s="19"/>
      <c r="F811" s="19"/>
      <c r="G811" s="19"/>
      <c r="H811" s="19"/>
      <c r="I811" s="19"/>
      <c r="J811" s="19"/>
      <c r="K811" s="19"/>
      <c r="L811" s="19"/>
      <c r="M811" s="19"/>
      <c r="N811" s="19"/>
      <c r="O811" s="19"/>
      <c r="P811" s="19"/>
      <c r="Q811" s="19"/>
      <c r="R811" s="19"/>
      <c r="S811" s="19"/>
      <c r="T811" s="19"/>
      <c r="U811" s="19"/>
      <c r="V811" s="19"/>
      <c r="W811" s="19"/>
      <c r="X811" s="19"/>
      <c r="Y811" s="19"/>
      <c r="Z811" s="19"/>
    </row>
    <row r="812" spans="2:26" ht="12" customHeight="1">
      <c r="B812" s="19"/>
      <c r="C812" s="19"/>
      <c r="D812" s="19"/>
      <c r="E812" s="19"/>
      <c r="F812" s="19"/>
      <c r="G812" s="19"/>
      <c r="H812" s="19"/>
      <c r="I812" s="19"/>
      <c r="J812" s="19"/>
      <c r="K812" s="19"/>
      <c r="L812" s="19"/>
      <c r="M812" s="19"/>
      <c r="N812" s="19"/>
      <c r="O812" s="19"/>
      <c r="P812" s="19"/>
      <c r="Q812" s="19"/>
      <c r="R812" s="19"/>
      <c r="S812" s="19"/>
      <c r="T812" s="19"/>
      <c r="U812" s="19"/>
      <c r="V812" s="19"/>
      <c r="W812" s="19"/>
      <c r="X812" s="19"/>
      <c r="Y812" s="19"/>
      <c r="Z812" s="19"/>
    </row>
    <row r="813" spans="2:26" ht="12" customHeight="1">
      <c r="B813" s="19"/>
      <c r="C813" s="19"/>
      <c r="D813" s="19"/>
      <c r="E813" s="19"/>
      <c r="F813" s="19"/>
      <c r="G813" s="19"/>
      <c r="H813" s="19"/>
      <c r="I813" s="19"/>
      <c r="J813" s="19"/>
      <c r="K813" s="19"/>
      <c r="L813" s="19"/>
      <c r="M813" s="19"/>
      <c r="N813" s="19"/>
      <c r="O813" s="19"/>
      <c r="P813" s="19"/>
      <c r="Q813" s="19"/>
      <c r="R813" s="19"/>
      <c r="S813" s="19"/>
      <c r="T813" s="19"/>
      <c r="U813" s="19"/>
      <c r="V813" s="19"/>
      <c r="W813" s="19"/>
      <c r="X813" s="19"/>
      <c r="Y813" s="19"/>
      <c r="Z813" s="19"/>
    </row>
    <row r="814" spans="2:26" ht="12" customHeight="1">
      <c r="B814" s="19"/>
      <c r="C814" s="19"/>
      <c r="D814" s="19"/>
      <c r="E814" s="19"/>
      <c r="F814" s="19"/>
      <c r="G814" s="19"/>
      <c r="H814" s="19"/>
      <c r="I814" s="19"/>
      <c r="J814" s="19"/>
      <c r="K814" s="19"/>
      <c r="L814" s="19"/>
      <c r="M814" s="19"/>
      <c r="N814" s="19"/>
      <c r="O814" s="19"/>
      <c r="P814" s="19"/>
      <c r="Q814" s="19"/>
      <c r="R814" s="19"/>
      <c r="S814" s="19"/>
      <c r="T814" s="19"/>
      <c r="U814" s="19"/>
      <c r="V814" s="19"/>
      <c r="W814" s="19"/>
      <c r="X814" s="19"/>
      <c r="Y814" s="19"/>
      <c r="Z814" s="19"/>
    </row>
    <row r="815" spans="2:26" ht="12" customHeight="1">
      <c r="B815" s="19"/>
      <c r="C815" s="19"/>
      <c r="D815" s="19"/>
      <c r="E815" s="19"/>
      <c r="F815" s="19"/>
      <c r="G815" s="19"/>
      <c r="H815" s="19"/>
      <c r="I815" s="19"/>
      <c r="J815" s="19"/>
      <c r="K815" s="19"/>
      <c r="L815" s="19"/>
      <c r="M815" s="19"/>
      <c r="N815" s="19"/>
      <c r="O815" s="19"/>
      <c r="P815" s="19"/>
      <c r="Q815" s="19"/>
      <c r="R815" s="19"/>
      <c r="S815" s="19"/>
      <c r="T815" s="19"/>
      <c r="U815" s="19"/>
      <c r="V815" s="19"/>
      <c r="W815" s="19"/>
      <c r="X815" s="19"/>
      <c r="Y815" s="19"/>
      <c r="Z815" s="19"/>
    </row>
    <row r="816" spans="2:26" ht="12" customHeight="1">
      <c r="B816" s="19"/>
      <c r="C816" s="19"/>
      <c r="D816" s="19"/>
      <c r="E816" s="19"/>
      <c r="F816" s="19"/>
      <c r="G816" s="19"/>
      <c r="H816" s="19"/>
      <c r="I816" s="19"/>
      <c r="J816" s="19"/>
      <c r="K816" s="19"/>
      <c r="L816" s="19"/>
      <c r="M816" s="19"/>
      <c r="N816" s="19"/>
      <c r="O816" s="19"/>
      <c r="P816" s="19"/>
      <c r="Q816" s="19"/>
      <c r="R816" s="19"/>
      <c r="S816" s="19"/>
      <c r="T816" s="19"/>
      <c r="U816" s="19"/>
      <c r="V816" s="19"/>
      <c r="W816" s="19"/>
      <c r="X816" s="19"/>
      <c r="Y816" s="19"/>
      <c r="Z816" s="19"/>
    </row>
    <row r="817" spans="2:26" ht="12" customHeight="1">
      <c r="B817" s="19"/>
      <c r="C817" s="19"/>
      <c r="D817" s="19"/>
      <c r="E817" s="19"/>
      <c r="F817" s="19"/>
      <c r="G817" s="19"/>
      <c r="H817" s="19"/>
      <c r="I817" s="19"/>
      <c r="J817" s="19"/>
      <c r="K817" s="19"/>
      <c r="L817" s="19"/>
      <c r="M817" s="19"/>
      <c r="N817" s="19"/>
      <c r="O817" s="19"/>
      <c r="P817" s="19"/>
      <c r="Q817" s="19"/>
      <c r="R817" s="19"/>
      <c r="S817" s="19"/>
      <c r="T817" s="19"/>
      <c r="U817" s="19"/>
      <c r="V817" s="19"/>
      <c r="W817" s="19"/>
      <c r="X817" s="19"/>
      <c r="Y817" s="19"/>
      <c r="Z817" s="19"/>
    </row>
    <row r="818" spans="2:26" ht="12" customHeight="1">
      <c r="B818" s="19"/>
      <c r="C818" s="19"/>
      <c r="D818" s="19"/>
      <c r="E818" s="19"/>
      <c r="F818" s="19"/>
      <c r="G818" s="19"/>
      <c r="H818" s="19"/>
      <c r="I818" s="19"/>
      <c r="J818" s="19"/>
      <c r="K818" s="19"/>
      <c r="L818" s="19"/>
      <c r="M818" s="19"/>
      <c r="N818" s="19"/>
      <c r="O818" s="19"/>
      <c r="P818" s="19"/>
      <c r="Q818" s="19"/>
      <c r="R818" s="19"/>
      <c r="S818" s="19"/>
      <c r="T818" s="19"/>
      <c r="U818" s="19"/>
      <c r="V818" s="19"/>
      <c r="W818" s="19"/>
      <c r="X818" s="19"/>
      <c r="Y818" s="19"/>
      <c r="Z818" s="19"/>
    </row>
    <row r="819" spans="2:26" ht="12" customHeight="1">
      <c r="B819" s="19"/>
      <c r="C819" s="19"/>
      <c r="D819" s="19"/>
      <c r="E819" s="19"/>
      <c r="F819" s="19"/>
      <c r="G819" s="19"/>
      <c r="H819" s="19"/>
      <c r="I819" s="19"/>
      <c r="J819" s="19"/>
      <c r="K819" s="19"/>
      <c r="L819" s="19"/>
      <c r="M819" s="19"/>
      <c r="N819" s="19"/>
      <c r="O819" s="19"/>
      <c r="P819" s="19"/>
      <c r="Q819" s="19"/>
      <c r="R819" s="19"/>
      <c r="S819" s="19"/>
      <c r="T819" s="19"/>
      <c r="U819" s="19"/>
      <c r="V819" s="19"/>
      <c r="W819" s="19"/>
      <c r="X819" s="19"/>
      <c r="Y819" s="19"/>
      <c r="Z819" s="19"/>
    </row>
    <row r="820" spans="2:26" ht="12" customHeight="1">
      <c r="B820" s="19"/>
      <c r="C820" s="19"/>
      <c r="D820" s="19"/>
      <c r="E820" s="19"/>
      <c r="F820" s="19"/>
      <c r="G820" s="19"/>
      <c r="H820" s="19"/>
      <c r="I820" s="19"/>
      <c r="J820" s="19"/>
      <c r="K820" s="19"/>
      <c r="L820" s="19"/>
      <c r="M820" s="19"/>
      <c r="N820" s="19"/>
      <c r="O820" s="19"/>
      <c r="P820" s="19"/>
      <c r="Q820" s="19"/>
      <c r="R820" s="19"/>
      <c r="S820" s="19"/>
      <c r="T820" s="19"/>
      <c r="U820" s="19"/>
      <c r="V820" s="19"/>
      <c r="W820" s="19"/>
      <c r="X820" s="19"/>
      <c r="Y820" s="19"/>
      <c r="Z820" s="19"/>
    </row>
    <row r="821" spans="2:26" ht="12" customHeight="1">
      <c r="B821" s="19"/>
      <c r="C821" s="19"/>
      <c r="D821" s="19"/>
      <c r="E821" s="19"/>
      <c r="F821" s="19"/>
      <c r="G821" s="19"/>
      <c r="H821" s="19"/>
      <c r="I821" s="19"/>
      <c r="J821" s="19"/>
      <c r="K821" s="19"/>
      <c r="L821" s="19"/>
      <c r="M821" s="19"/>
      <c r="N821" s="19"/>
      <c r="O821" s="19"/>
      <c r="P821" s="19"/>
      <c r="Q821" s="19"/>
      <c r="R821" s="19"/>
      <c r="S821" s="19"/>
      <c r="T821" s="19"/>
      <c r="U821" s="19"/>
      <c r="V821" s="19"/>
      <c r="W821" s="19"/>
      <c r="X821" s="19"/>
      <c r="Y821" s="19"/>
      <c r="Z821" s="19"/>
    </row>
    <row r="822" spans="2:26" ht="12" customHeight="1">
      <c r="B822" s="19"/>
      <c r="C822" s="19"/>
      <c r="D822" s="19"/>
      <c r="E822" s="19"/>
      <c r="F822" s="19"/>
      <c r="G822" s="19"/>
      <c r="H822" s="19"/>
      <c r="I822" s="19"/>
      <c r="J822" s="19"/>
      <c r="K822" s="19"/>
      <c r="L822" s="19"/>
      <c r="M822" s="19"/>
      <c r="N822" s="19"/>
      <c r="O822" s="19"/>
      <c r="P822" s="19"/>
      <c r="Q822" s="19"/>
      <c r="R822" s="19"/>
      <c r="S822" s="19"/>
      <c r="T822" s="19"/>
      <c r="U822" s="19"/>
      <c r="V822" s="19"/>
      <c r="W822" s="19"/>
      <c r="X822" s="19"/>
      <c r="Y822" s="19"/>
      <c r="Z822" s="19"/>
    </row>
    <row r="823" spans="2:26" ht="12" customHeight="1">
      <c r="B823" s="19"/>
      <c r="C823" s="19"/>
      <c r="D823" s="19"/>
      <c r="E823" s="19"/>
      <c r="F823" s="19"/>
      <c r="G823" s="19"/>
      <c r="H823" s="19"/>
      <c r="I823" s="19"/>
      <c r="J823" s="19"/>
      <c r="K823" s="19"/>
      <c r="L823" s="19"/>
      <c r="M823" s="19"/>
      <c r="N823" s="19"/>
      <c r="O823" s="19"/>
      <c r="P823" s="19"/>
      <c r="Q823" s="19"/>
      <c r="R823" s="19"/>
      <c r="S823" s="19"/>
      <c r="T823" s="19"/>
      <c r="U823" s="19"/>
      <c r="V823" s="19"/>
      <c r="W823" s="19"/>
      <c r="X823" s="19"/>
      <c r="Y823" s="19"/>
      <c r="Z823" s="19"/>
    </row>
    <row r="824" spans="2:26" ht="12" customHeight="1">
      <c r="B824" s="19"/>
      <c r="C824" s="19"/>
      <c r="D824" s="19"/>
      <c r="E824" s="19"/>
      <c r="F824" s="19"/>
      <c r="G824" s="19"/>
      <c r="H824" s="19"/>
      <c r="I824" s="19"/>
      <c r="J824" s="19"/>
      <c r="K824" s="19"/>
      <c r="L824" s="19"/>
      <c r="M824" s="19"/>
      <c r="N824" s="19"/>
      <c r="O824" s="19"/>
      <c r="P824" s="19"/>
      <c r="Q824" s="19"/>
      <c r="R824" s="19"/>
      <c r="S824" s="19"/>
      <c r="T824" s="19"/>
      <c r="U824" s="19"/>
      <c r="V824" s="19"/>
      <c r="W824" s="19"/>
      <c r="X824" s="19"/>
      <c r="Y824" s="19"/>
      <c r="Z824" s="19"/>
    </row>
    <row r="825" spans="2:26" ht="12" customHeight="1">
      <c r="B825" s="19"/>
      <c r="C825" s="19"/>
      <c r="D825" s="19"/>
      <c r="E825" s="19"/>
      <c r="F825" s="19"/>
      <c r="G825" s="19"/>
      <c r="H825" s="19"/>
      <c r="I825" s="19"/>
      <c r="J825" s="19"/>
      <c r="K825" s="19"/>
      <c r="L825" s="19"/>
      <c r="M825" s="19"/>
      <c r="N825" s="19"/>
      <c r="O825" s="19"/>
      <c r="P825" s="19"/>
      <c r="Q825" s="19"/>
      <c r="R825" s="19"/>
      <c r="S825" s="19"/>
      <c r="T825" s="19"/>
      <c r="U825" s="19"/>
      <c r="V825" s="19"/>
      <c r="W825" s="19"/>
      <c r="X825" s="19"/>
      <c r="Y825" s="19"/>
      <c r="Z825" s="19"/>
    </row>
    <row r="826" spans="2:26" ht="12" customHeight="1">
      <c r="B826" s="19"/>
      <c r="C826" s="19"/>
      <c r="D826" s="19"/>
      <c r="E826" s="19"/>
      <c r="F826" s="19"/>
      <c r="G826" s="19"/>
      <c r="H826" s="19"/>
      <c r="I826" s="19"/>
      <c r="J826" s="19"/>
      <c r="K826" s="19"/>
      <c r="L826" s="19"/>
      <c r="M826" s="19"/>
      <c r="N826" s="19"/>
      <c r="O826" s="19"/>
      <c r="P826" s="19"/>
      <c r="Q826" s="19"/>
      <c r="R826" s="19"/>
      <c r="S826" s="19"/>
      <c r="T826" s="19"/>
      <c r="U826" s="19"/>
      <c r="V826" s="19"/>
      <c r="W826" s="19"/>
      <c r="X826" s="19"/>
      <c r="Y826" s="19"/>
      <c r="Z826" s="19"/>
    </row>
    <row r="827" spans="2:26" ht="12" customHeight="1">
      <c r="B827" s="19"/>
      <c r="C827" s="19"/>
      <c r="D827" s="19"/>
      <c r="E827" s="19"/>
      <c r="F827" s="19"/>
      <c r="G827" s="19"/>
      <c r="H827" s="19"/>
      <c r="I827" s="19"/>
      <c r="J827" s="19"/>
      <c r="K827" s="19"/>
      <c r="L827" s="19"/>
      <c r="M827" s="19"/>
      <c r="N827" s="19"/>
      <c r="O827" s="19"/>
      <c r="P827" s="19"/>
      <c r="Q827" s="19"/>
      <c r="R827" s="19"/>
      <c r="S827" s="19"/>
      <c r="T827" s="19"/>
      <c r="U827" s="19"/>
      <c r="V827" s="19"/>
      <c r="W827" s="19"/>
      <c r="X827" s="19"/>
      <c r="Y827" s="19"/>
      <c r="Z827" s="19"/>
    </row>
    <row r="828" spans="2:26" ht="12" customHeight="1">
      <c r="B828" s="19"/>
      <c r="C828" s="19"/>
      <c r="D828" s="19"/>
      <c r="E828" s="19"/>
      <c r="F828" s="19"/>
      <c r="G828" s="19"/>
      <c r="H828" s="19"/>
      <c r="I828" s="19"/>
      <c r="J828" s="19"/>
      <c r="K828" s="19"/>
      <c r="L828" s="19"/>
      <c r="M828" s="19"/>
      <c r="N828" s="19"/>
      <c r="O828" s="19"/>
      <c r="P828" s="19"/>
      <c r="Q828" s="19"/>
      <c r="R828" s="19"/>
      <c r="S828" s="19"/>
      <c r="T828" s="19"/>
      <c r="U828" s="19"/>
      <c r="V828" s="19"/>
      <c r="W828" s="19"/>
      <c r="X828" s="19"/>
      <c r="Y828" s="19"/>
      <c r="Z828" s="19"/>
    </row>
    <row r="829" spans="2:26" ht="12" customHeight="1">
      <c r="B829" s="19"/>
      <c r="C829" s="19"/>
      <c r="D829" s="19"/>
      <c r="E829" s="19"/>
      <c r="F829" s="19"/>
      <c r="G829" s="19"/>
      <c r="H829" s="19"/>
      <c r="I829" s="19"/>
      <c r="J829" s="19"/>
      <c r="K829" s="19"/>
      <c r="L829" s="19"/>
      <c r="M829" s="19"/>
      <c r="N829" s="19"/>
      <c r="O829" s="19"/>
      <c r="P829" s="19"/>
      <c r="Q829" s="19"/>
      <c r="R829" s="19"/>
      <c r="S829" s="19"/>
      <c r="T829" s="19"/>
      <c r="U829" s="19"/>
      <c r="V829" s="19"/>
      <c r="W829" s="19"/>
      <c r="X829" s="19"/>
      <c r="Y829" s="19"/>
      <c r="Z829" s="19"/>
    </row>
    <row r="830" spans="2:26" ht="12" customHeight="1">
      <c r="B830" s="19"/>
      <c r="C830" s="19"/>
      <c r="D830" s="19"/>
      <c r="E830" s="19"/>
      <c r="F830" s="19"/>
      <c r="G830" s="19"/>
      <c r="H830" s="19"/>
      <c r="I830" s="19"/>
      <c r="J830" s="19"/>
      <c r="K830" s="19"/>
      <c r="L830" s="19"/>
      <c r="M830" s="19"/>
      <c r="N830" s="19"/>
      <c r="O830" s="19"/>
      <c r="P830" s="19"/>
      <c r="Q830" s="19"/>
      <c r="R830" s="19"/>
      <c r="S830" s="19"/>
      <c r="T830" s="19"/>
      <c r="U830" s="19"/>
      <c r="V830" s="19"/>
      <c r="W830" s="19"/>
      <c r="X830" s="19"/>
      <c r="Y830" s="19"/>
      <c r="Z830" s="19"/>
    </row>
    <row r="831" spans="2:26" ht="12" customHeight="1">
      <c r="B831" s="19"/>
      <c r="C831" s="19"/>
      <c r="D831" s="19"/>
      <c r="E831" s="19"/>
      <c r="F831" s="19"/>
      <c r="G831" s="19"/>
      <c r="H831" s="19"/>
      <c r="I831" s="19"/>
      <c r="J831" s="19"/>
      <c r="K831" s="19"/>
      <c r="L831" s="19"/>
      <c r="M831" s="19"/>
      <c r="N831" s="19"/>
      <c r="O831" s="19"/>
      <c r="P831" s="19"/>
      <c r="Q831" s="19"/>
      <c r="R831" s="19"/>
      <c r="S831" s="19"/>
      <c r="T831" s="19"/>
      <c r="U831" s="19"/>
      <c r="V831" s="19"/>
      <c r="W831" s="19"/>
      <c r="X831" s="19"/>
      <c r="Y831" s="19"/>
      <c r="Z831" s="19"/>
    </row>
    <row r="832" spans="2:26" ht="12" customHeight="1">
      <c r="B832" s="19"/>
      <c r="C832" s="19"/>
      <c r="D832" s="19"/>
      <c r="E832" s="19"/>
      <c r="F832" s="19"/>
      <c r="G832" s="19"/>
      <c r="H832" s="19"/>
      <c r="I832" s="19"/>
      <c r="J832" s="19"/>
      <c r="K832" s="19"/>
      <c r="L832" s="19"/>
      <c r="M832" s="19"/>
      <c r="N832" s="19"/>
      <c r="O832" s="19"/>
      <c r="P832" s="19"/>
      <c r="Q832" s="19"/>
      <c r="R832" s="19"/>
      <c r="S832" s="19"/>
      <c r="T832" s="19"/>
      <c r="U832" s="19"/>
      <c r="V832" s="19"/>
      <c r="W832" s="19"/>
      <c r="X832" s="19"/>
      <c r="Y832" s="19"/>
      <c r="Z832" s="19"/>
    </row>
    <row r="833" spans="2:26" ht="12" customHeight="1">
      <c r="B833" s="19"/>
      <c r="C833" s="19"/>
      <c r="D833" s="19"/>
      <c r="E833" s="19"/>
      <c r="F833" s="19"/>
      <c r="G833" s="19"/>
      <c r="H833" s="19"/>
      <c r="I833" s="19"/>
      <c r="J833" s="19"/>
      <c r="K833" s="19"/>
      <c r="L833" s="19"/>
      <c r="M833" s="19"/>
      <c r="N833" s="19"/>
      <c r="O833" s="19"/>
      <c r="P833" s="19"/>
      <c r="Q833" s="19"/>
      <c r="R833" s="19"/>
      <c r="S833" s="19"/>
      <c r="T833" s="19"/>
      <c r="U833" s="19"/>
      <c r="V833" s="19"/>
      <c r="W833" s="19"/>
      <c r="X833" s="19"/>
      <c r="Y833" s="19"/>
      <c r="Z833" s="19"/>
    </row>
    <row r="834" spans="2:26" ht="12" customHeight="1">
      <c r="B834" s="19"/>
      <c r="C834" s="19"/>
      <c r="D834" s="19"/>
      <c r="E834" s="19"/>
      <c r="F834" s="19"/>
      <c r="G834" s="19"/>
      <c r="H834" s="19"/>
      <c r="I834" s="19"/>
      <c r="J834" s="19"/>
      <c r="K834" s="19"/>
      <c r="L834" s="19"/>
      <c r="M834" s="19"/>
      <c r="N834" s="19"/>
      <c r="O834" s="19"/>
      <c r="P834" s="19"/>
      <c r="Q834" s="19"/>
      <c r="R834" s="19"/>
      <c r="S834" s="19"/>
      <c r="T834" s="19"/>
      <c r="U834" s="19"/>
      <c r="V834" s="19"/>
      <c r="W834" s="19"/>
      <c r="X834" s="19"/>
      <c r="Y834" s="19"/>
      <c r="Z834" s="19"/>
    </row>
    <row r="835" spans="2:26" ht="12" customHeight="1">
      <c r="B835" s="19"/>
      <c r="C835" s="19"/>
      <c r="D835" s="19"/>
      <c r="E835" s="19"/>
      <c r="F835" s="19"/>
      <c r="G835" s="19"/>
      <c r="H835" s="19"/>
      <c r="I835" s="19"/>
      <c r="J835" s="19"/>
      <c r="K835" s="19"/>
      <c r="L835" s="19"/>
      <c r="M835" s="19"/>
      <c r="N835" s="19"/>
      <c r="O835" s="19"/>
      <c r="P835" s="19"/>
      <c r="Q835" s="19"/>
      <c r="R835" s="19"/>
      <c r="S835" s="19"/>
      <c r="T835" s="19"/>
      <c r="U835" s="19"/>
      <c r="V835" s="19"/>
      <c r="W835" s="19"/>
      <c r="X835" s="19"/>
      <c r="Y835" s="19"/>
      <c r="Z835" s="19"/>
    </row>
    <row r="836" spans="2:26" ht="12" customHeight="1">
      <c r="B836" s="19"/>
      <c r="C836" s="19"/>
      <c r="D836" s="19"/>
      <c r="E836" s="19"/>
      <c r="F836" s="19"/>
      <c r="G836" s="19"/>
      <c r="H836" s="19"/>
      <c r="I836" s="19"/>
      <c r="J836" s="19"/>
      <c r="K836" s="19"/>
      <c r="L836" s="19"/>
      <c r="M836" s="19"/>
      <c r="N836" s="19"/>
      <c r="O836" s="19"/>
      <c r="P836" s="19"/>
      <c r="Q836" s="19"/>
      <c r="R836" s="19"/>
      <c r="S836" s="19"/>
      <c r="T836" s="19"/>
      <c r="U836" s="19"/>
      <c r="V836" s="19"/>
      <c r="W836" s="19"/>
      <c r="X836" s="19"/>
      <c r="Y836" s="19"/>
      <c r="Z836" s="19"/>
    </row>
    <row r="837" spans="2:26" ht="12" customHeight="1">
      <c r="B837" s="19"/>
      <c r="C837" s="19"/>
      <c r="D837" s="19"/>
      <c r="E837" s="19"/>
      <c r="F837" s="19"/>
      <c r="G837" s="19"/>
      <c r="H837" s="19"/>
      <c r="I837" s="19"/>
      <c r="J837" s="19"/>
      <c r="K837" s="19"/>
      <c r="L837" s="19"/>
      <c r="M837" s="19"/>
      <c r="N837" s="19"/>
      <c r="O837" s="19"/>
      <c r="P837" s="19"/>
      <c r="Q837" s="19"/>
      <c r="R837" s="19"/>
      <c r="S837" s="19"/>
      <c r="T837" s="19"/>
      <c r="U837" s="19"/>
      <c r="V837" s="19"/>
      <c r="W837" s="19"/>
      <c r="X837" s="19"/>
      <c r="Y837" s="19"/>
      <c r="Z837" s="19"/>
    </row>
    <row r="838" spans="2:26" ht="12" customHeight="1">
      <c r="B838" s="19"/>
      <c r="C838" s="19"/>
      <c r="D838" s="19"/>
      <c r="E838" s="19"/>
      <c r="F838" s="19"/>
      <c r="G838" s="19"/>
      <c r="H838" s="19"/>
      <c r="I838" s="19"/>
      <c r="J838" s="19"/>
      <c r="K838" s="19"/>
      <c r="L838" s="19"/>
      <c r="M838" s="19"/>
      <c r="N838" s="19"/>
      <c r="O838" s="19"/>
      <c r="P838" s="19"/>
      <c r="Q838" s="19"/>
      <c r="R838" s="19"/>
      <c r="S838" s="19"/>
      <c r="T838" s="19"/>
      <c r="U838" s="19"/>
      <c r="V838" s="19"/>
      <c r="W838" s="19"/>
      <c r="X838" s="19"/>
      <c r="Y838" s="19"/>
      <c r="Z838" s="19"/>
    </row>
    <row r="839" spans="2:26" ht="12" customHeight="1">
      <c r="B839" s="19"/>
      <c r="C839" s="19"/>
      <c r="D839" s="19"/>
      <c r="E839" s="19"/>
      <c r="F839" s="19"/>
      <c r="G839" s="19"/>
      <c r="H839" s="19"/>
      <c r="I839" s="19"/>
      <c r="J839" s="19"/>
      <c r="K839" s="19"/>
      <c r="L839" s="19"/>
      <c r="M839" s="19"/>
      <c r="N839" s="19"/>
      <c r="O839" s="19"/>
      <c r="P839" s="19"/>
      <c r="Q839" s="19"/>
      <c r="R839" s="19"/>
      <c r="S839" s="19"/>
      <c r="T839" s="19"/>
      <c r="U839" s="19"/>
      <c r="V839" s="19"/>
      <c r="W839" s="19"/>
      <c r="X839" s="19"/>
      <c r="Y839" s="19"/>
      <c r="Z839" s="19"/>
    </row>
    <row r="840" spans="2:26" ht="12" customHeight="1">
      <c r="B840" s="19"/>
      <c r="C840" s="19"/>
      <c r="D840" s="19"/>
      <c r="E840" s="19"/>
      <c r="F840" s="19"/>
      <c r="G840" s="19"/>
      <c r="H840" s="19"/>
      <c r="I840" s="19"/>
      <c r="J840" s="19"/>
      <c r="K840" s="19"/>
      <c r="L840" s="19"/>
      <c r="M840" s="19"/>
      <c r="N840" s="19"/>
      <c r="O840" s="19"/>
      <c r="P840" s="19"/>
      <c r="Q840" s="19"/>
      <c r="R840" s="19"/>
      <c r="S840" s="19"/>
      <c r="T840" s="19"/>
      <c r="U840" s="19"/>
      <c r="V840" s="19"/>
      <c r="W840" s="19"/>
      <c r="X840" s="19"/>
      <c r="Y840" s="19"/>
      <c r="Z840" s="19"/>
    </row>
    <row r="841" spans="2:26" ht="12" customHeight="1">
      <c r="B841" s="19"/>
      <c r="C841" s="19"/>
      <c r="D841" s="19"/>
      <c r="E841" s="19"/>
      <c r="F841" s="19"/>
      <c r="G841" s="19"/>
      <c r="H841" s="19"/>
      <c r="I841" s="19"/>
      <c r="J841" s="19"/>
      <c r="K841" s="19"/>
      <c r="L841" s="19"/>
      <c r="M841" s="19"/>
      <c r="N841" s="19"/>
      <c r="O841" s="19"/>
      <c r="P841" s="19"/>
      <c r="Q841" s="19"/>
      <c r="R841" s="19"/>
      <c r="S841" s="19"/>
      <c r="T841" s="19"/>
      <c r="U841" s="19"/>
      <c r="V841" s="19"/>
      <c r="W841" s="19"/>
      <c r="X841" s="19"/>
      <c r="Y841" s="19"/>
      <c r="Z841" s="19"/>
    </row>
    <row r="842" spans="2:26" ht="12" customHeight="1">
      <c r="B842" s="19"/>
      <c r="C842" s="19"/>
      <c r="D842" s="19"/>
      <c r="E842" s="19"/>
      <c r="F842" s="19"/>
      <c r="G842" s="19"/>
      <c r="H842" s="19"/>
      <c r="I842" s="19"/>
      <c r="J842" s="19"/>
      <c r="K842" s="19"/>
      <c r="L842" s="19"/>
      <c r="M842" s="19"/>
      <c r="N842" s="19"/>
      <c r="O842" s="19"/>
      <c r="P842" s="19"/>
      <c r="Q842" s="19"/>
      <c r="R842" s="19"/>
      <c r="S842" s="19"/>
      <c r="T842" s="19"/>
      <c r="U842" s="19"/>
      <c r="V842" s="19"/>
      <c r="W842" s="19"/>
      <c r="X842" s="19"/>
      <c r="Y842" s="19"/>
      <c r="Z842" s="19"/>
    </row>
    <row r="843" spans="2:26" ht="12" customHeight="1">
      <c r="B843" s="19"/>
      <c r="C843" s="19"/>
      <c r="D843" s="19"/>
      <c r="E843" s="19"/>
      <c r="F843" s="19"/>
      <c r="G843" s="19"/>
      <c r="H843" s="19"/>
      <c r="I843" s="19"/>
      <c r="J843" s="19"/>
      <c r="K843" s="19"/>
      <c r="L843" s="19"/>
      <c r="M843" s="19"/>
      <c r="N843" s="19"/>
      <c r="O843" s="19"/>
      <c r="P843" s="19"/>
      <c r="Q843" s="19"/>
      <c r="R843" s="19"/>
      <c r="S843" s="19"/>
      <c r="T843" s="19"/>
      <c r="U843" s="19"/>
      <c r="V843" s="19"/>
      <c r="W843" s="19"/>
      <c r="X843" s="19"/>
      <c r="Y843" s="19"/>
      <c r="Z843" s="19"/>
    </row>
    <row r="844" spans="2:26" ht="12" customHeight="1">
      <c r="B844" s="19"/>
      <c r="C844" s="19"/>
      <c r="D844" s="19"/>
      <c r="E844" s="19"/>
      <c r="F844" s="19"/>
      <c r="G844" s="19"/>
      <c r="H844" s="19"/>
      <c r="I844" s="19"/>
      <c r="J844" s="19"/>
      <c r="K844" s="19"/>
      <c r="L844" s="19"/>
      <c r="M844" s="19"/>
      <c r="N844" s="19"/>
      <c r="O844" s="19"/>
      <c r="P844" s="19"/>
      <c r="Q844" s="19"/>
      <c r="R844" s="19"/>
      <c r="S844" s="19"/>
      <c r="T844" s="19"/>
      <c r="U844" s="19"/>
      <c r="V844" s="19"/>
      <c r="W844" s="19"/>
      <c r="X844" s="19"/>
      <c r="Y844" s="19"/>
      <c r="Z844" s="19"/>
    </row>
    <row r="845" spans="2:26" ht="12" customHeight="1">
      <c r="B845" s="19"/>
      <c r="C845" s="19"/>
      <c r="D845" s="19"/>
      <c r="E845" s="19"/>
      <c r="F845" s="19"/>
      <c r="G845" s="19"/>
      <c r="H845" s="19"/>
      <c r="I845" s="19"/>
      <c r="J845" s="19"/>
      <c r="K845" s="19"/>
      <c r="L845" s="19"/>
      <c r="M845" s="19"/>
      <c r="N845" s="19"/>
      <c r="O845" s="19"/>
      <c r="P845" s="19"/>
      <c r="Q845" s="19"/>
      <c r="R845" s="19"/>
      <c r="S845" s="19"/>
      <c r="T845" s="19"/>
      <c r="U845" s="19"/>
      <c r="V845" s="19"/>
      <c r="W845" s="19"/>
      <c r="X845" s="19"/>
      <c r="Y845" s="19"/>
      <c r="Z845" s="19"/>
    </row>
    <row r="846" spans="2:26" ht="12" customHeight="1">
      <c r="B846" s="19"/>
      <c r="C846" s="19"/>
      <c r="D846" s="19"/>
      <c r="E846" s="19"/>
      <c r="F846" s="19"/>
      <c r="G846" s="19"/>
      <c r="H846" s="19"/>
      <c r="I846" s="19"/>
      <c r="J846" s="19"/>
      <c r="K846" s="19"/>
      <c r="L846" s="19"/>
      <c r="M846" s="19"/>
      <c r="N846" s="19"/>
      <c r="O846" s="19"/>
      <c r="P846" s="19"/>
      <c r="Q846" s="19"/>
      <c r="R846" s="19"/>
      <c r="S846" s="19"/>
      <c r="T846" s="19"/>
      <c r="U846" s="19"/>
      <c r="V846" s="19"/>
      <c r="W846" s="19"/>
      <c r="X846" s="19"/>
      <c r="Y846" s="19"/>
      <c r="Z846" s="19"/>
    </row>
    <row r="847" spans="2:26" ht="12" customHeight="1">
      <c r="B847" s="19"/>
      <c r="C847" s="19"/>
      <c r="D847" s="19"/>
      <c r="E847" s="19"/>
      <c r="F847" s="19"/>
      <c r="G847" s="19"/>
      <c r="H847" s="19"/>
      <c r="I847" s="19"/>
      <c r="J847" s="19"/>
      <c r="K847" s="19"/>
      <c r="L847" s="19"/>
      <c r="M847" s="19"/>
      <c r="N847" s="19"/>
      <c r="O847" s="19"/>
      <c r="P847" s="19"/>
      <c r="Q847" s="19"/>
      <c r="R847" s="19"/>
      <c r="S847" s="19"/>
      <c r="T847" s="19"/>
      <c r="U847" s="19"/>
      <c r="V847" s="19"/>
      <c r="W847" s="19"/>
      <c r="X847" s="19"/>
      <c r="Y847" s="19"/>
      <c r="Z847" s="19"/>
    </row>
    <row r="848" spans="2:26" ht="12" customHeight="1">
      <c r="B848" s="19"/>
      <c r="C848" s="19"/>
      <c r="D848" s="19"/>
      <c r="E848" s="19"/>
      <c r="F848" s="19"/>
      <c r="G848" s="19"/>
      <c r="H848" s="19"/>
      <c r="I848" s="19"/>
      <c r="J848" s="19"/>
      <c r="K848" s="19"/>
      <c r="L848" s="19"/>
      <c r="M848" s="19"/>
      <c r="N848" s="19"/>
      <c r="O848" s="19"/>
      <c r="P848" s="19"/>
      <c r="Q848" s="19"/>
      <c r="R848" s="19"/>
      <c r="S848" s="19"/>
      <c r="T848" s="19"/>
      <c r="U848" s="19"/>
      <c r="V848" s="19"/>
      <c r="W848" s="19"/>
      <c r="X848" s="19"/>
      <c r="Y848" s="19"/>
      <c r="Z848" s="19"/>
    </row>
    <row r="849" spans="2:26" ht="12" customHeight="1">
      <c r="B849" s="19"/>
      <c r="C849" s="19"/>
      <c r="D849" s="19"/>
      <c r="E849" s="19"/>
      <c r="F849" s="19"/>
      <c r="G849" s="19"/>
      <c r="H849" s="19"/>
      <c r="I849" s="19"/>
      <c r="J849" s="19"/>
      <c r="K849" s="19"/>
      <c r="L849" s="19"/>
      <c r="M849" s="19"/>
      <c r="N849" s="19"/>
      <c r="O849" s="19"/>
      <c r="P849" s="19"/>
      <c r="Q849" s="19"/>
      <c r="R849" s="19"/>
      <c r="S849" s="19"/>
      <c r="T849" s="19"/>
      <c r="U849" s="19"/>
      <c r="V849" s="19"/>
      <c r="W849" s="19"/>
      <c r="X849" s="19"/>
      <c r="Y849" s="19"/>
      <c r="Z849" s="19"/>
    </row>
    <row r="850" spans="2:26" ht="12" customHeight="1">
      <c r="B850" s="19"/>
      <c r="C850" s="19"/>
      <c r="D850" s="19"/>
      <c r="E850" s="19"/>
      <c r="F850" s="19"/>
      <c r="G850" s="19"/>
      <c r="H850" s="19"/>
      <c r="I850" s="19"/>
      <c r="J850" s="19"/>
      <c r="K850" s="19"/>
      <c r="L850" s="19"/>
      <c r="M850" s="19"/>
      <c r="N850" s="19"/>
      <c r="O850" s="19"/>
      <c r="P850" s="19"/>
      <c r="Q850" s="19"/>
      <c r="R850" s="19"/>
      <c r="S850" s="19"/>
      <c r="T850" s="19"/>
      <c r="U850" s="19"/>
      <c r="V850" s="19"/>
      <c r="W850" s="19"/>
      <c r="X850" s="19"/>
      <c r="Y850" s="19"/>
      <c r="Z850" s="19"/>
    </row>
    <row r="851" spans="2:26" ht="12" customHeight="1">
      <c r="B851" s="19"/>
      <c r="C851" s="19"/>
      <c r="D851" s="19"/>
      <c r="E851" s="19"/>
      <c r="F851" s="19"/>
      <c r="G851" s="19"/>
      <c r="H851" s="19"/>
      <c r="I851" s="19"/>
      <c r="J851" s="19"/>
      <c r="K851" s="19"/>
      <c r="L851" s="19"/>
      <c r="M851" s="19"/>
      <c r="N851" s="19"/>
      <c r="O851" s="19"/>
      <c r="P851" s="19"/>
      <c r="Q851" s="19"/>
      <c r="R851" s="19"/>
      <c r="S851" s="19"/>
      <c r="T851" s="19"/>
      <c r="U851" s="19"/>
      <c r="V851" s="19"/>
      <c r="W851" s="19"/>
      <c r="X851" s="19"/>
      <c r="Y851" s="19"/>
      <c r="Z851" s="19"/>
    </row>
    <row r="852" spans="2:26" ht="12" customHeight="1">
      <c r="B852" s="19"/>
      <c r="C852" s="19"/>
      <c r="D852" s="19"/>
      <c r="E852" s="19"/>
      <c r="F852" s="19"/>
      <c r="G852" s="19"/>
      <c r="H852" s="19"/>
      <c r="I852" s="19"/>
      <c r="J852" s="19"/>
      <c r="K852" s="19"/>
      <c r="L852" s="19"/>
      <c r="M852" s="19"/>
      <c r="N852" s="19"/>
      <c r="O852" s="19"/>
      <c r="P852" s="19"/>
      <c r="Q852" s="19"/>
      <c r="R852" s="19"/>
      <c r="S852" s="19"/>
      <c r="T852" s="19"/>
      <c r="U852" s="19"/>
      <c r="V852" s="19"/>
      <c r="W852" s="19"/>
      <c r="X852" s="19"/>
      <c r="Y852" s="19"/>
      <c r="Z852" s="19"/>
    </row>
    <row r="853" spans="2:26" ht="12" customHeight="1">
      <c r="B853" s="19"/>
      <c r="C853" s="19"/>
      <c r="D853" s="19"/>
      <c r="E853" s="19"/>
      <c r="F853" s="19"/>
      <c r="G853" s="19"/>
      <c r="H853" s="19"/>
      <c r="I853" s="19"/>
      <c r="J853" s="19"/>
      <c r="K853" s="19"/>
      <c r="L853" s="19"/>
      <c r="M853" s="19"/>
      <c r="N853" s="19"/>
      <c r="O853" s="19"/>
      <c r="P853" s="19"/>
      <c r="Q853" s="19"/>
      <c r="R853" s="19"/>
      <c r="S853" s="19"/>
      <c r="T853" s="19"/>
      <c r="U853" s="19"/>
      <c r="V853" s="19"/>
      <c r="W853" s="19"/>
      <c r="X853" s="19"/>
      <c r="Y853" s="19"/>
      <c r="Z853" s="19"/>
    </row>
    <row r="854" spans="2:26" ht="12" customHeight="1">
      <c r="B854" s="19"/>
      <c r="C854" s="19"/>
      <c r="D854" s="19"/>
      <c r="E854" s="19"/>
      <c r="F854" s="19"/>
      <c r="G854" s="19"/>
      <c r="H854" s="19"/>
      <c r="I854" s="19"/>
      <c r="J854" s="19"/>
      <c r="K854" s="19"/>
      <c r="L854" s="19"/>
      <c r="M854" s="19"/>
      <c r="N854" s="19"/>
      <c r="O854" s="19"/>
      <c r="P854" s="19"/>
      <c r="Q854" s="19"/>
      <c r="R854" s="19"/>
      <c r="S854" s="19"/>
      <c r="T854" s="19"/>
      <c r="U854" s="19"/>
      <c r="V854" s="19"/>
      <c r="W854" s="19"/>
      <c r="X854" s="19"/>
      <c r="Y854" s="19"/>
      <c r="Z854" s="19"/>
    </row>
    <row r="855" spans="2:26" ht="12" customHeight="1">
      <c r="B855" s="19"/>
      <c r="C855" s="19"/>
      <c r="D855" s="19"/>
      <c r="E855" s="19"/>
      <c r="F855" s="19"/>
      <c r="G855" s="19"/>
      <c r="H855" s="19"/>
      <c r="I855" s="19"/>
      <c r="J855" s="19"/>
      <c r="K855" s="19"/>
      <c r="L855" s="19"/>
      <c r="M855" s="19"/>
      <c r="N855" s="19"/>
      <c r="O855" s="19"/>
      <c r="P855" s="19"/>
      <c r="Q855" s="19"/>
      <c r="R855" s="19"/>
      <c r="S855" s="19"/>
      <c r="T855" s="19"/>
      <c r="U855" s="19"/>
      <c r="V855" s="19"/>
      <c r="W855" s="19"/>
      <c r="X855" s="19"/>
      <c r="Y855" s="19"/>
      <c r="Z855" s="19"/>
    </row>
    <row r="856" spans="2:26" ht="12" customHeight="1">
      <c r="B856" s="19"/>
      <c r="C856" s="19"/>
      <c r="D856" s="19"/>
      <c r="E856" s="19"/>
      <c r="F856" s="19"/>
      <c r="G856" s="19"/>
      <c r="H856" s="19"/>
      <c r="I856" s="19"/>
      <c r="J856" s="19"/>
      <c r="K856" s="19"/>
      <c r="L856" s="19"/>
      <c r="M856" s="19"/>
      <c r="N856" s="19"/>
      <c r="O856" s="19"/>
      <c r="P856" s="19"/>
      <c r="Q856" s="19"/>
      <c r="R856" s="19"/>
      <c r="S856" s="19"/>
      <c r="T856" s="19"/>
      <c r="U856" s="19"/>
      <c r="V856" s="19"/>
      <c r="W856" s="19"/>
      <c r="X856" s="19"/>
      <c r="Y856" s="19"/>
      <c r="Z856" s="19"/>
    </row>
    <row r="857" spans="2:26" ht="12" customHeight="1">
      <c r="B857" s="19"/>
      <c r="C857" s="19"/>
      <c r="D857" s="19"/>
      <c r="E857" s="19"/>
      <c r="F857" s="19"/>
      <c r="G857" s="19"/>
      <c r="H857" s="19"/>
      <c r="I857" s="19"/>
      <c r="J857" s="19"/>
      <c r="K857" s="19"/>
      <c r="L857" s="19"/>
      <c r="M857" s="19"/>
      <c r="N857" s="19"/>
      <c r="O857" s="19"/>
      <c r="P857" s="19"/>
      <c r="Q857" s="19"/>
      <c r="R857" s="19"/>
      <c r="S857" s="19"/>
      <c r="T857" s="19"/>
      <c r="U857" s="19"/>
      <c r="V857" s="19"/>
      <c r="W857" s="19"/>
      <c r="X857" s="19"/>
      <c r="Y857" s="19"/>
      <c r="Z857" s="19"/>
    </row>
    <row r="858" spans="2:26" ht="12" customHeight="1">
      <c r="B858" s="19"/>
      <c r="C858" s="19"/>
      <c r="D858" s="19"/>
      <c r="E858" s="19"/>
      <c r="F858" s="19"/>
      <c r="G858" s="19"/>
      <c r="H858" s="19"/>
      <c r="I858" s="19"/>
      <c r="J858" s="19"/>
      <c r="K858" s="19"/>
      <c r="L858" s="19"/>
      <c r="M858" s="19"/>
      <c r="N858" s="19"/>
      <c r="O858" s="19"/>
      <c r="P858" s="19"/>
      <c r="Q858" s="19"/>
      <c r="R858" s="19"/>
      <c r="S858" s="19"/>
      <c r="T858" s="19"/>
      <c r="U858" s="19"/>
      <c r="V858" s="19"/>
      <c r="W858" s="19"/>
      <c r="X858" s="19"/>
      <c r="Y858" s="19"/>
      <c r="Z858" s="19"/>
    </row>
    <row r="859" spans="2:26" ht="12" customHeight="1">
      <c r="B859" s="19"/>
      <c r="C859" s="19"/>
      <c r="D859" s="19"/>
      <c r="E859" s="19"/>
      <c r="F859" s="19"/>
      <c r="G859" s="19"/>
      <c r="H859" s="19"/>
      <c r="I859" s="19"/>
      <c r="J859" s="19"/>
      <c r="K859" s="19"/>
      <c r="L859" s="19"/>
      <c r="M859" s="19"/>
      <c r="N859" s="19"/>
      <c r="O859" s="19"/>
      <c r="P859" s="19"/>
      <c r="Q859" s="19"/>
      <c r="R859" s="19"/>
      <c r="S859" s="19"/>
      <c r="T859" s="19"/>
      <c r="U859" s="19"/>
      <c r="V859" s="19"/>
      <c r="W859" s="19"/>
      <c r="X859" s="19"/>
      <c r="Y859" s="19"/>
      <c r="Z859" s="19"/>
    </row>
    <row r="860" spans="2:26" ht="12" customHeight="1">
      <c r="B860" s="19"/>
      <c r="C860" s="19"/>
      <c r="D860" s="19"/>
      <c r="E860" s="19"/>
      <c r="F860" s="19"/>
      <c r="G860" s="19"/>
      <c r="H860" s="19"/>
      <c r="I860" s="19"/>
      <c r="J860" s="19"/>
      <c r="K860" s="19"/>
      <c r="L860" s="19"/>
      <c r="M860" s="19"/>
      <c r="N860" s="19"/>
      <c r="O860" s="19"/>
      <c r="P860" s="19"/>
      <c r="Q860" s="19"/>
      <c r="R860" s="19"/>
      <c r="S860" s="19"/>
      <c r="T860" s="19"/>
      <c r="U860" s="19"/>
      <c r="V860" s="19"/>
      <c r="W860" s="19"/>
      <c r="X860" s="19"/>
      <c r="Y860" s="19"/>
      <c r="Z860" s="19"/>
    </row>
    <row r="861" spans="2:26" ht="12" customHeight="1">
      <c r="B861" s="19"/>
      <c r="C861" s="19"/>
      <c r="D861" s="19"/>
      <c r="E861" s="19"/>
      <c r="F861" s="19"/>
      <c r="G861" s="19"/>
      <c r="H861" s="19"/>
      <c r="I861" s="19"/>
      <c r="J861" s="19"/>
      <c r="K861" s="19"/>
      <c r="L861" s="19"/>
      <c r="M861" s="19"/>
      <c r="N861" s="19"/>
      <c r="O861" s="19"/>
      <c r="P861" s="19"/>
      <c r="Q861" s="19"/>
      <c r="R861" s="19"/>
      <c r="S861" s="19"/>
      <c r="T861" s="19"/>
      <c r="U861" s="19"/>
      <c r="V861" s="19"/>
      <c r="W861" s="19"/>
      <c r="X861" s="19"/>
      <c r="Y861" s="19"/>
      <c r="Z861" s="19"/>
    </row>
    <row r="862" spans="2:26" ht="12" customHeight="1">
      <c r="B862" s="19"/>
      <c r="C862" s="19"/>
      <c r="D862" s="19"/>
      <c r="E862" s="19"/>
      <c r="F862" s="19"/>
      <c r="G862" s="19"/>
      <c r="H862" s="19"/>
      <c r="I862" s="19"/>
      <c r="J862" s="19"/>
      <c r="K862" s="19"/>
      <c r="L862" s="19"/>
      <c r="M862" s="19"/>
      <c r="N862" s="19"/>
      <c r="O862" s="19"/>
      <c r="P862" s="19"/>
      <c r="Q862" s="19"/>
      <c r="R862" s="19"/>
      <c r="S862" s="19"/>
      <c r="T862" s="19"/>
      <c r="U862" s="19"/>
      <c r="V862" s="19"/>
      <c r="W862" s="19"/>
      <c r="X862" s="19"/>
      <c r="Y862" s="19"/>
      <c r="Z862" s="19"/>
    </row>
    <row r="863" spans="2:26" ht="12" customHeight="1">
      <c r="B863" s="19"/>
      <c r="C863" s="19"/>
      <c r="D863" s="19"/>
      <c r="E863" s="19"/>
      <c r="F863" s="19"/>
      <c r="G863" s="19"/>
      <c r="H863" s="19"/>
      <c r="I863" s="19"/>
      <c r="J863" s="19"/>
      <c r="K863" s="19"/>
      <c r="L863" s="19"/>
      <c r="M863" s="19"/>
      <c r="N863" s="19"/>
      <c r="O863" s="19"/>
      <c r="P863" s="19"/>
      <c r="Q863" s="19"/>
      <c r="R863" s="19"/>
      <c r="S863" s="19"/>
      <c r="T863" s="19"/>
      <c r="U863" s="19"/>
      <c r="V863" s="19"/>
      <c r="W863" s="19"/>
      <c r="X863" s="19"/>
      <c r="Y863" s="19"/>
      <c r="Z863" s="19"/>
    </row>
    <row r="864" spans="2:26" ht="12" customHeight="1">
      <c r="B864" s="19"/>
      <c r="C864" s="19"/>
      <c r="D864" s="19"/>
      <c r="E864" s="19"/>
      <c r="F864" s="19"/>
      <c r="G864" s="19"/>
      <c r="H864" s="19"/>
      <c r="I864" s="19"/>
      <c r="J864" s="19"/>
      <c r="K864" s="19"/>
      <c r="L864" s="19"/>
      <c r="M864" s="19"/>
      <c r="N864" s="19"/>
      <c r="O864" s="19"/>
      <c r="P864" s="19"/>
      <c r="Q864" s="19"/>
      <c r="R864" s="19"/>
      <c r="S864" s="19"/>
      <c r="T864" s="19"/>
      <c r="U864" s="19"/>
      <c r="V864" s="19"/>
      <c r="W864" s="19"/>
      <c r="X864" s="19"/>
      <c r="Y864" s="19"/>
      <c r="Z864" s="19"/>
    </row>
    <row r="865" spans="2:26" ht="12" customHeight="1">
      <c r="B865" s="19"/>
      <c r="C865" s="19"/>
      <c r="D865" s="19"/>
      <c r="E865" s="19"/>
      <c r="F865" s="19"/>
      <c r="G865" s="19"/>
      <c r="H865" s="19"/>
      <c r="I865" s="19"/>
      <c r="J865" s="19"/>
      <c r="K865" s="19"/>
      <c r="L865" s="19"/>
      <c r="M865" s="19"/>
      <c r="N865" s="19"/>
      <c r="O865" s="19"/>
      <c r="P865" s="19"/>
      <c r="Q865" s="19"/>
      <c r="R865" s="19"/>
      <c r="S865" s="19"/>
      <c r="T865" s="19"/>
      <c r="U865" s="19"/>
      <c r="V865" s="19"/>
      <c r="W865" s="19"/>
      <c r="X865" s="19"/>
      <c r="Y865" s="19"/>
      <c r="Z865" s="19"/>
    </row>
    <row r="866" spans="2:26" ht="12" customHeight="1">
      <c r="B866" s="19"/>
      <c r="C866" s="19"/>
      <c r="D866" s="19"/>
      <c r="E866" s="19"/>
      <c r="F866" s="19"/>
      <c r="G866" s="19"/>
      <c r="H866" s="19"/>
      <c r="I866" s="19"/>
      <c r="J866" s="19"/>
      <c r="K866" s="19"/>
      <c r="L866" s="19"/>
      <c r="M866" s="19"/>
      <c r="N866" s="19"/>
      <c r="O866" s="19"/>
      <c r="P866" s="19"/>
      <c r="Q866" s="19"/>
      <c r="R866" s="19"/>
      <c r="S866" s="19"/>
      <c r="T866" s="19"/>
      <c r="U866" s="19"/>
      <c r="V866" s="19"/>
      <c r="W866" s="19"/>
      <c r="X866" s="19"/>
      <c r="Y866" s="19"/>
      <c r="Z866" s="19"/>
    </row>
    <row r="867" spans="2:26" ht="12" customHeight="1">
      <c r="B867" s="19"/>
      <c r="C867" s="19"/>
      <c r="D867" s="19"/>
      <c r="E867" s="19"/>
      <c r="F867" s="19"/>
      <c r="G867" s="19"/>
      <c r="H867" s="19"/>
      <c r="I867" s="19"/>
      <c r="J867" s="19"/>
      <c r="K867" s="19"/>
      <c r="L867" s="19"/>
      <c r="M867" s="19"/>
      <c r="N867" s="19"/>
      <c r="O867" s="19"/>
      <c r="P867" s="19"/>
      <c r="Q867" s="19"/>
      <c r="R867" s="19"/>
      <c r="S867" s="19"/>
      <c r="T867" s="19"/>
      <c r="U867" s="19"/>
      <c r="V867" s="19"/>
      <c r="W867" s="19"/>
      <c r="X867" s="19"/>
      <c r="Y867" s="19"/>
      <c r="Z867" s="19"/>
    </row>
    <row r="868" spans="2:26" ht="12" customHeight="1">
      <c r="B868" s="19"/>
      <c r="C868" s="19"/>
      <c r="D868" s="19"/>
      <c r="E868" s="19"/>
      <c r="F868" s="19"/>
      <c r="G868" s="19"/>
      <c r="H868" s="19"/>
      <c r="I868" s="19"/>
      <c r="J868" s="19"/>
      <c r="K868" s="19"/>
      <c r="L868" s="19"/>
      <c r="M868" s="19"/>
      <c r="N868" s="19"/>
      <c r="O868" s="19"/>
      <c r="P868" s="19"/>
      <c r="Q868" s="19"/>
      <c r="R868" s="19"/>
      <c r="S868" s="19"/>
      <c r="T868" s="19"/>
      <c r="U868" s="19"/>
      <c r="V868" s="19"/>
      <c r="W868" s="19"/>
      <c r="X868" s="19"/>
      <c r="Y868" s="19"/>
      <c r="Z868" s="19"/>
    </row>
    <row r="869" spans="2:26" ht="12" customHeight="1">
      <c r="B869" s="19"/>
      <c r="C869" s="19"/>
      <c r="D869" s="19"/>
      <c r="E869" s="19"/>
      <c r="F869" s="19"/>
      <c r="G869" s="19"/>
      <c r="H869" s="19"/>
      <c r="I869" s="19"/>
      <c r="J869" s="19"/>
      <c r="K869" s="19"/>
      <c r="L869" s="19"/>
      <c r="M869" s="19"/>
      <c r="N869" s="19"/>
      <c r="O869" s="19"/>
      <c r="P869" s="19"/>
      <c r="Q869" s="19"/>
      <c r="R869" s="19"/>
      <c r="S869" s="19"/>
      <c r="T869" s="19"/>
      <c r="U869" s="19"/>
      <c r="V869" s="19"/>
      <c r="W869" s="19"/>
      <c r="X869" s="19"/>
      <c r="Y869" s="19"/>
      <c r="Z869" s="19"/>
    </row>
    <row r="870" spans="2:26" ht="12" customHeight="1">
      <c r="B870" s="19"/>
      <c r="C870" s="19"/>
      <c r="D870" s="19"/>
      <c r="E870" s="19"/>
      <c r="F870" s="19"/>
      <c r="G870" s="19"/>
      <c r="H870" s="19"/>
      <c r="I870" s="19"/>
      <c r="J870" s="19"/>
      <c r="K870" s="19"/>
      <c r="L870" s="19"/>
      <c r="M870" s="19"/>
      <c r="N870" s="19"/>
      <c r="O870" s="19"/>
      <c r="P870" s="19"/>
      <c r="Q870" s="19"/>
      <c r="R870" s="19"/>
      <c r="S870" s="19"/>
      <c r="T870" s="19"/>
      <c r="U870" s="19"/>
      <c r="V870" s="19"/>
      <c r="W870" s="19"/>
      <c r="X870" s="19"/>
      <c r="Y870" s="19"/>
      <c r="Z870" s="19"/>
    </row>
    <row r="871" spans="2:26" ht="12" customHeight="1">
      <c r="B871" s="19"/>
      <c r="C871" s="19"/>
      <c r="D871" s="19"/>
      <c r="E871" s="19"/>
      <c r="F871" s="19"/>
      <c r="G871" s="19"/>
      <c r="H871" s="19"/>
      <c r="I871" s="19"/>
      <c r="J871" s="19"/>
      <c r="K871" s="19"/>
      <c r="L871" s="19"/>
      <c r="M871" s="19"/>
      <c r="N871" s="19"/>
      <c r="O871" s="19"/>
      <c r="P871" s="19"/>
      <c r="Q871" s="19"/>
      <c r="R871" s="19"/>
      <c r="S871" s="19"/>
      <c r="T871" s="19"/>
      <c r="U871" s="19"/>
      <c r="V871" s="19"/>
      <c r="W871" s="19"/>
      <c r="X871" s="19"/>
      <c r="Y871" s="19"/>
      <c r="Z871" s="19"/>
    </row>
    <row r="872" spans="2:26" ht="12" customHeight="1">
      <c r="B872" s="19"/>
      <c r="C872" s="19"/>
      <c r="D872" s="19"/>
      <c r="E872" s="19"/>
      <c r="F872" s="19"/>
      <c r="G872" s="19"/>
      <c r="H872" s="19"/>
      <c r="I872" s="19"/>
      <c r="J872" s="19"/>
      <c r="K872" s="19"/>
      <c r="L872" s="19"/>
      <c r="M872" s="19"/>
      <c r="N872" s="19"/>
      <c r="O872" s="19"/>
      <c r="P872" s="19"/>
      <c r="Q872" s="19"/>
      <c r="R872" s="19"/>
      <c r="S872" s="19"/>
      <c r="T872" s="19"/>
      <c r="U872" s="19"/>
      <c r="V872" s="19"/>
      <c r="W872" s="19"/>
      <c r="X872" s="19"/>
      <c r="Y872" s="19"/>
      <c r="Z872" s="19"/>
    </row>
    <row r="873" spans="2:26" ht="12" customHeight="1">
      <c r="B873" s="19"/>
      <c r="C873" s="19"/>
      <c r="D873" s="19"/>
      <c r="E873" s="19"/>
      <c r="F873" s="19"/>
      <c r="G873" s="19"/>
      <c r="H873" s="19"/>
      <c r="I873" s="19"/>
      <c r="J873" s="19"/>
      <c r="K873" s="19"/>
      <c r="L873" s="19"/>
      <c r="M873" s="19"/>
      <c r="N873" s="19"/>
      <c r="O873" s="19"/>
      <c r="P873" s="19"/>
      <c r="Q873" s="19"/>
      <c r="R873" s="19"/>
      <c r="S873" s="19"/>
      <c r="T873" s="19"/>
      <c r="U873" s="19"/>
      <c r="V873" s="19"/>
      <c r="W873" s="19"/>
      <c r="X873" s="19"/>
      <c r="Y873" s="19"/>
      <c r="Z873" s="19"/>
    </row>
    <row r="874" spans="2:26" ht="12" customHeight="1">
      <c r="B874" s="19"/>
      <c r="C874" s="19"/>
      <c r="D874" s="19"/>
      <c r="E874" s="19"/>
      <c r="F874" s="19"/>
      <c r="G874" s="19"/>
      <c r="H874" s="19"/>
      <c r="I874" s="19"/>
      <c r="J874" s="19"/>
      <c r="K874" s="19"/>
      <c r="L874" s="19"/>
      <c r="M874" s="19"/>
      <c r="N874" s="19"/>
      <c r="O874" s="19"/>
      <c r="P874" s="19"/>
      <c r="Q874" s="19"/>
      <c r="R874" s="19"/>
      <c r="S874" s="19"/>
      <c r="T874" s="19"/>
      <c r="U874" s="19"/>
      <c r="V874" s="19"/>
      <c r="W874" s="19"/>
      <c r="X874" s="19"/>
      <c r="Y874" s="19"/>
      <c r="Z874" s="19"/>
    </row>
    <row r="875" spans="2:26" ht="12" customHeight="1">
      <c r="B875" s="19"/>
      <c r="C875" s="19"/>
      <c r="D875" s="19"/>
      <c r="E875" s="19"/>
      <c r="F875" s="19"/>
      <c r="G875" s="19"/>
      <c r="H875" s="19"/>
      <c r="I875" s="19"/>
      <c r="J875" s="19"/>
      <c r="K875" s="19"/>
      <c r="L875" s="19"/>
      <c r="M875" s="19"/>
      <c r="N875" s="19"/>
      <c r="O875" s="19"/>
      <c r="P875" s="19"/>
      <c r="Q875" s="19"/>
      <c r="R875" s="19"/>
      <c r="S875" s="19"/>
      <c r="T875" s="19"/>
      <c r="U875" s="19"/>
      <c r="V875" s="19"/>
      <c r="W875" s="19"/>
      <c r="X875" s="19"/>
      <c r="Y875" s="19"/>
      <c r="Z875" s="19"/>
    </row>
    <row r="876" spans="2:26" ht="12" customHeight="1">
      <c r="B876" s="19"/>
      <c r="C876" s="19"/>
      <c r="D876" s="19"/>
      <c r="E876" s="19"/>
      <c r="F876" s="19"/>
      <c r="G876" s="19"/>
      <c r="H876" s="19"/>
      <c r="I876" s="19"/>
      <c r="J876" s="19"/>
      <c r="K876" s="19"/>
      <c r="L876" s="19"/>
      <c r="M876" s="19"/>
      <c r="N876" s="19"/>
      <c r="O876" s="19"/>
      <c r="P876" s="19"/>
      <c r="Q876" s="19"/>
      <c r="R876" s="19"/>
      <c r="S876" s="19"/>
      <c r="T876" s="19"/>
      <c r="U876" s="19"/>
      <c r="V876" s="19"/>
      <c r="W876" s="19"/>
      <c r="X876" s="19"/>
      <c r="Y876" s="19"/>
      <c r="Z876" s="19"/>
    </row>
    <row r="877" spans="2:26" ht="12" customHeight="1">
      <c r="B877" s="19"/>
      <c r="C877" s="19"/>
      <c r="D877" s="19"/>
      <c r="E877" s="19"/>
      <c r="F877" s="19"/>
      <c r="G877" s="19"/>
      <c r="H877" s="19"/>
      <c r="I877" s="19"/>
      <c r="J877" s="19"/>
      <c r="K877" s="19"/>
      <c r="L877" s="19"/>
      <c r="M877" s="19"/>
      <c r="N877" s="19"/>
      <c r="O877" s="19"/>
      <c r="P877" s="19"/>
      <c r="Q877" s="19"/>
      <c r="R877" s="19"/>
      <c r="S877" s="19"/>
      <c r="T877" s="19"/>
      <c r="U877" s="19"/>
      <c r="V877" s="19"/>
      <c r="W877" s="19"/>
      <c r="X877" s="19"/>
      <c r="Y877" s="19"/>
      <c r="Z877" s="19"/>
    </row>
    <row r="878" spans="2:26" ht="12" customHeight="1">
      <c r="B878" s="19"/>
      <c r="C878" s="19"/>
      <c r="D878" s="19"/>
      <c r="E878" s="19"/>
      <c r="F878" s="19"/>
      <c r="G878" s="19"/>
      <c r="H878" s="19"/>
      <c r="I878" s="19"/>
      <c r="J878" s="19"/>
      <c r="K878" s="19"/>
      <c r="L878" s="19"/>
      <c r="M878" s="19"/>
      <c r="N878" s="19"/>
      <c r="O878" s="19"/>
      <c r="P878" s="19"/>
      <c r="Q878" s="19"/>
      <c r="R878" s="19"/>
      <c r="S878" s="19"/>
      <c r="T878" s="19"/>
      <c r="U878" s="19"/>
      <c r="V878" s="19"/>
      <c r="W878" s="19"/>
      <c r="X878" s="19"/>
      <c r="Y878" s="19"/>
      <c r="Z878" s="19"/>
    </row>
    <row r="879" spans="2:26" ht="12" customHeight="1">
      <c r="B879" s="19"/>
      <c r="C879" s="19"/>
      <c r="D879" s="19"/>
      <c r="E879" s="19"/>
      <c r="F879" s="19"/>
      <c r="G879" s="19"/>
      <c r="H879" s="19"/>
      <c r="I879" s="19"/>
      <c r="J879" s="19"/>
      <c r="K879" s="19"/>
      <c r="L879" s="19"/>
      <c r="M879" s="19"/>
      <c r="N879" s="19"/>
      <c r="O879" s="19"/>
      <c r="P879" s="19"/>
      <c r="Q879" s="19"/>
      <c r="R879" s="19"/>
      <c r="S879" s="19"/>
      <c r="T879" s="19"/>
      <c r="U879" s="19"/>
      <c r="V879" s="19"/>
      <c r="W879" s="19"/>
      <c r="X879" s="19"/>
      <c r="Y879" s="19"/>
      <c r="Z879" s="19"/>
    </row>
    <row r="880" spans="2:26" ht="12" customHeight="1">
      <c r="B880" s="19"/>
      <c r="C880" s="19"/>
      <c r="D880" s="19"/>
      <c r="E880" s="19"/>
      <c r="F880" s="19"/>
      <c r="G880" s="19"/>
      <c r="H880" s="19"/>
      <c r="I880" s="19"/>
      <c r="J880" s="19"/>
      <c r="K880" s="19"/>
      <c r="L880" s="19"/>
      <c r="M880" s="19"/>
      <c r="N880" s="19"/>
      <c r="O880" s="19"/>
      <c r="P880" s="19"/>
      <c r="Q880" s="19"/>
      <c r="R880" s="19"/>
      <c r="S880" s="19"/>
      <c r="T880" s="19"/>
      <c r="U880" s="19"/>
      <c r="V880" s="19"/>
      <c r="W880" s="19"/>
      <c r="X880" s="19"/>
      <c r="Y880" s="19"/>
      <c r="Z880" s="19"/>
    </row>
    <row r="881" spans="2:26" ht="12" customHeight="1">
      <c r="B881" s="19"/>
      <c r="C881" s="19"/>
      <c r="D881" s="19"/>
      <c r="E881" s="19"/>
      <c r="F881" s="19"/>
      <c r="G881" s="19"/>
      <c r="H881" s="19"/>
      <c r="I881" s="19"/>
      <c r="J881" s="19"/>
      <c r="K881" s="19"/>
      <c r="L881" s="19"/>
      <c r="M881" s="19"/>
      <c r="N881" s="19"/>
      <c r="O881" s="19"/>
      <c r="P881" s="19"/>
      <c r="Q881" s="19"/>
      <c r="R881" s="19"/>
      <c r="S881" s="19"/>
      <c r="T881" s="19"/>
      <c r="U881" s="19"/>
      <c r="V881" s="19"/>
      <c r="W881" s="19"/>
      <c r="X881" s="19"/>
      <c r="Y881" s="19"/>
      <c r="Z881" s="19"/>
    </row>
    <row r="882" spans="2:26" ht="12" customHeight="1">
      <c r="B882" s="19"/>
      <c r="C882" s="19"/>
      <c r="D882" s="19"/>
      <c r="E882" s="19"/>
      <c r="F882" s="19"/>
      <c r="G882" s="19"/>
      <c r="H882" s="19"/>
      <c r="I882" s="19"/>
      <c r="J882" s="19"/>
      <c r="K882" s="19"/>
      <c r="L882" s="19"/>
      <c r="M882" s="19"/>
      <c r="N882" s="19"/>
      <c r="O882" s="19"/>
      <c r="P882" s="19"/>
      <c r="Q882" s="19"/>
      <c r="R882" s="19"/>
      <c r="S882" s="19"/>
      <c r="T882" s="19"/>
      <c r="U882" s="19"/>
      <c r="V882" s="19"/>
      <c r="W882" s="19"/>
      <c r="X882" s="19"/>
      <c r="Y882" s="19"/>
      <c r="Z882" s="19"/>
    </row>
    <row r="883" spans="2:26" ht="12" customHeight="1">
      <c r="B883" s="19"/>
      <c r="C883" s="19"/>
      <c r="D883" s="19"/>
      <c r="E883" s="19"/>
      <c r="F883" s="19"/>
      <c r="G883" s="19"/>
      <c r="H883" s="19"/>
      <c r="I883" s="19"/>
      <c r="J883" s="19"/>
      <c r="K883" s="19"/>
      <c r="L883" s="19"/>
      <c r="M883" s="19"/>
      <c r="N883" s="19"/>
      <c r="O883" s="19"/>
      <c r="P883" s="19"/>
      <c r="Q883" s="19"/>
      <c r="R883" s="19"/>
      <c r="S883" s="19"/>
      <c r="T883" s="19"/>
      <c r="U883" s="19"/>
      <c r="V883" s="19"/>
      <c r="W883" s="19"/>
      <c r="X883" s="19"/>
      <c r="Y883" s="19"/>
      <c r="Z883" s="19"/>
    </row>
    <row r="884" spans="2:26" ht="12" customHeight="1">
      <c r="B884" s="19"/>
      <c r="C884" s="19"/>
      <c r="D884" s="19"/>
      <c r="E884" s="19"/>
      <c r="F884" s="19"/>
      <c r="G884" s="19"/>
      <c r="H884" s="19"/>
      <c r="I884" s="19"/>
      <c r="J884" s="19"/>
      <c r="K884" s="19"/>
      <c r="L884" s="19"/>
      <c r="M884" s="19"/>
      <c r="N884" s="19"/>
      <c r="O884" s="19"/>
      <c r="P884" s="19"/>
      <c r="Q884" s="19"/>
      <c r="R884" s="19"/>
      <c r="S884" s="19"/>
      <c r="T884" s="19"/>
      <c r="U884" s="19"/>
      <c r="V884" s="19"/>
      <c r="W884" s="19"/>
      <c r="X884" s="19"/>
      <c r="Y884" s="19"/>
      <c r="Z884" s="19"/>
    </row>
    <row r="885" spans="2:26" ht="12" customHeight="1">
      <c r="B885" s="19"/>
      <c r="C885" s="19"/>
      <c r="D885" s="19"/>
      <c r="E885" s="19"/>
      <c r="F885" s="19"/>
      <c r="G885" s="19"/>
      <c r="H885" s="19"/>
      <c r="I885" s="19"/>
      <c r="J885" s="19"/>
      <c r="K885" s="19"/>
      <c r="L885" s="19"/>
      <c r="M885" s="19"/>
      <c r="N885" s="19"/>
      <c r="O885" s="19"/>
      <c r="P885" s="19"/>
      <c r="Q885" s="19"/>
      <c r="R885" s="19"/>
      <c r="S885" s="19"/>
      <c r="T885" s="19"/>
      <c r="U885" s="19"/>
      <c r="V885" s="19"/>
      <c r="W885" s="19"/>
      <c r="X885" s="19"/>
      <c r="Y885" s="19"/>
      <c r="Z885" s="19"/>
    </row>
    <row r="886" spans="2:26" ht="12" customHeight="1">
      <c r="B886" s="19"/>
      <c r="C886" s="19"/>
      <c r="D886" s="19"/>
      <c r="E886" s="19"/>
      <c r="F886" s="19"/>
      <c r="G886" s="19"/>
      <c r="H886" s="19"/>
      <c r="I886" s="19"/>
      <c r="J886" s="19"/>
      <c r="K886" s="19"/>
      <c r="L886" s="19"/>
      <c r="M886" s="19"/>
      <c r="N886" s="19"/>
      <c r="O886" s="19"/>
      <c r="P886" s="19"/>
      <c r="Q886" s="19"/>
      <c r="R886" s="19"/>
      <c r="S886" s="19"/>
      <c r="T886" s="19"/>
      <c r="U886" s="19"/>
      <c r="V886" s="19"/>
      <c r="W886" s="19"/>
      <c r="X886" s="19"/>
      <c r="Y886" s="19"/>
      <c r="Z886" s="19"/>
    </row>
    <row r="887" spans="2:26" ht="12" customHeight="1">
      <c r="B887" s="19"/>
      <c r="C887" s="19"/>
      <c r="D887" s="19"/>
      <c r="E887" s="19"/>
      <c r="F887" s="19"/>
      <c r="G887" s="19"/>
      <c r="H887" s="19"/>
      <c r="I887" s="19"/>
      <c r="J887" s="19"/>
      <c r="K887" s="19"/>
      <c r="L887" s="19"/>
      <c r="M887" s="19"/>
      <c r="N887" s="19"/>
      <c r="O887" s="19"/>
      <c r="P887" s="19"/>
      <c r="Q887" s="19"/>
      <c r="R887" s="19"/>
      <c r="S887" s="19"/>
      <c r="T887" s="19"/>
      <c r="U887" s="19"/>
      <c r="V887" s="19"/>
      <c r="W887" s="19"/>
      <c r="X887" s="19"/>
      <c r="Y887" s="19"/>
      <c r="Z887" s="19"/>
    </row>
    <row r="888" spans="2:26" ht="12" customHeight="1">
      <c r="B888" s="19"/>
      <c r="C888" s="19"/>
      <c r="D888" s="19"/>
      <c r="E888" s="19"/>
      <c r="F888" s="19"/>
      <c r="G888" s="19"/>
      <c r="H888" s="19"/>
      <c r="I888" s="19"/>
      <c r="J888" s="19"/>
      <c r="K888" s="19"/>
      <c r="L888" s="19"/>
      <c r="M888" s="19"/>
      <c r="N888" s="19"/>
      <c r="O888" s="19"/>
      <c r="P888" s="19"/>
      <c r="Q888" s="19"/>
      <c r="R888" s="19"/>
      <c r="S888" s="19"/>
      <c r="T888" s="19"/>
      <c r="U888" s="19"/>
      <c r="V888" s="19"/>
      <c r="W888" s="19"/>
      <c r="X888" s="19"/>
      <c r="Y888" s="19"/>
      <c r="Z888" s="19"/>
    </row>
    <row r="889" spans="2:26" ht="12" customHeight="1">
      <c r="B889" s="19"/>
      <c r="C889" s="19"/>
      <c r="D889" s="19"/>
      <c r="E889" s="19"/>
      <c r="F889" s="19"/>
      <c r="G889" s="19"/>
      <c r="H889" s="19"/>
      <c r="I889" s="19"/>
      <c r="J889" s="19"/>
      <c r="K889" s="19"/>
      <c r="L889" s="19"/>
      <c r="M889" s="19"/>
      <c r="N889" s="19"/>
      <c r="O889" s="19"/>
      <c r="P889" s="19"/>
      <c r="Q889" s="19"/>
      <c r="R889" s="19"/>
      <c r="S889" s="19"/>
      <c r="T889" s="19"/>
      <c r="U889" s="19"/>
      <c r="V889" s="19"/>
      <c r="W889" s="19"/>
      <c r="X889" s="19"/>
      <c r="Y889" s="19"/>
      <c r="Z889" s="19"/>
    </row>
    <row r="890" spans="2:26" ht="12" customHeight="1">
      <c r="B890" s="19"/>
      <c r="C890" s="19"/>
      <c r="D890" s="19"/>
      <c r="E890" s="19"/>
      <c r="F890" s="19"/>
      <c r="G890" s="19"/>
      <c r="H890" s="19"/>
      <c r="I890" s="19"/>
      <c r="J890" s="19"/>
      <c r="K890" s="19"/>
      <c r="L890" s="19"/>
      <c r="M890" s="19"/>
      <c r="N890" s="19"/>
      <c r="O890" s="19"/>
      <c r="P890" s="19"/>
      <c r="Q890" s="19"/>
      <c r="R890" s="19"/>
      <c r="S890" s="19"/>
      <c r="T890" s="19"/>
      <c r="U890" s="19"/>
      <c r="V890" s="19"/>
      <c r="W890" s="19"/>
      <c r="X890" s="19"/>
      <c r="Y890" s="19"/>
      <c r="Z890" s="19"/>
    </row>
    <row r="891" spans="2:26" ht="12" customHeight="1">
      <c r="B891" s="19"/>
      <c r="C891" s="19"/>
      <c r="D891" s="19"/>
      <c r="E891" s="19"/>
      <c r="F891" s="19"/>
      <c r="G891" s="19"/>
      <c r="H891" s="19"/>
      <c r="I891" s="19"/>
      <c r="J891" s="19"/>
      <c r="K891" s="19"/>
      <c r="L891" s="19"/>
      <c r="M891" s="19"/>
      <c r="N891" s="19"/>
      <c r="O891" s="19"/>
      <c r="P891" s="19"/>
      <c r="Q891" s="19"/>
      <c r="R891" s="19"/>
      <c r="S891" s="19"/>
      <c r="T891" s="19"/>
      <c r="U891" s="19"/>
      <c r="V891" s="19"/>
      <c r="W891" s="19"/>
      <c r="X891" s="19"/>
      <c r="Y891" s="19"/>
      <c r="Z891" s="19"/>
    </row>
    <row r="892" spans="2:26" ht="12" customHeight="1">
      <c r="B892" s="19"/>
      <c r="C892" s="19"/>
      <c r="D892" s="19"/>
      <c r="E892" s="19"/>
      <c r="F892" s="19"/>
      <c r="G892" s="19"/>
      <c r="H892" s="19"/>
      <c r="I892" s="19"/>
      <c r="J892" s="19"/>
      <c r="K892" s="19"/>
      <c r="L892" s="19"/>
      <c r="M892" s="19"/>
      <c r="N892" s="19"/>
      <c r="O892" s="19"/>
      <c r="P892" s="19"/>
      <c r="Q892" s="19"/>
      <c r="R892" s="19"/>
      <c r="S892" s="19"/>
      <c r="T892" s="19"/>
      <c r="U892" s="19"/>
      <c r="V892" s="19"/>
      <c r="W892" s="19"/>
      <c r="X892" s="19"/>
      <c r="Y892" s="19"/>
      <c r="Z892" s="19"/>
    </row>
    <row r="893" spans="2:26" ht="12" customHeight="1">
      <c r="B893" s="19"/>
      <c r="C893" s="19"/>
      <c r="D893" s="19"/>
      <c r="E893" s="19"/>
      <c r="F893" s="19"/>
      <c r="G893" s="19"/>
      <c r="H893" s="19"/>
      <c r="I893" s="19"/>
      <c r="J893" s="19"/>
      <c r="K893" s="19"/>
      <c r="L893" s="19"/>
      <c r="M893" s="19"/>
      <c r="N893" s="19"/>
      <c r="O893" s="19"/>
      <c r="P893" s="19"/>
      <c r="Q893" s="19"/>
      <c r="R893" s="19"/>
      <c r="S893" s="19"/>
      <c r="T893" s="19"/>
      <c r="U893" s="19"/>
      <c r="V893" s="19"/>
      <c r="W893" s="19"/>
      <c r="X893" s="19"/>
      <c r="Y893" s="19"/>
      <c r="Z893" s="19"/>
    </row>
    <row r="894" spans="2:26" ht="12" customHeight="1">
      <c r="B894" s="19"/>
      <c r="C894" s="19"/>
      <c r="D894" s="19"/>
      <c r="E894" s="19"/>
      <c r="F894" s="19"/>
      <c r="G894" s="19"/>
      <c r="H894" s="19"/>
      <c r="I894" s="19"/>
      <c r="J894" s="19"/>
      <c r="K894" s="19"/>
      <c r="L894" s="19"/>
      <c r="M894" s="19"/>
      <c r="N894" s="19"/>
      <c r="O894" s="19"/>
      <c r="P894" s="19"/>
      <c r="Q894" s="19"/>
      <c r="R894" s="19"/>
      <c r="S894" s="19"/>
      <c r="T894" s="19"/>
      <c r="U894" s="19"/>
      <c r="V894" s="19"/>
      <c r="W894" s="19"/>
      <c r="X894" s="19"/>
      <c r="Y894" s="19"/>
      <c r="Z894" s="19"/>
    </row>
    <row r="895" spans="2:26" ht="12" customHeight="1">
      <c r="B895" s="19"/>
      <c r="C895" s="19"/>
      <c r="D895" s="19"/>
      <c r="E895" s="19"/>
      <c r="F895" s="19"/>
      <c r="G895" s="19"/>
      <c r="H895" s="19"/>
      <c r="I895" s="19"/>
      <c r="J895" s="19"/>
      <c r="K895" s="19"/>
      <c r="L895" s="19"/>
      <c r="M895" s="19"/>
      <c r="N895" s="19"/>
      <c r="O895" s="19"/>
      <c r="P895" s="19"/>
      <c r="Q895" s="19"/>
      <c r="R895" s="19"/>
      <c r="S895" s="19"/>
      <c r="T895" s="19"/>
      <c r="U895" s="19"/>
      <c r="V895" s="19"/>
      <c r="W895" s="19"/>
      <c r="X895" s="19"/>
      <c r="Y895" s="19"/>
      <c r="Z895" s="19"/>
    </row>
    <row r="896" spans="2:26" ht="12" customHeight="1">
      <c r="B896" s="19"/>
      <c r="C896" s="19"/>
      <c r="D896" s="19"/>
      <c r="E896" s="19"/>
      <c r="F896" s="19"/>
      <c r="G896" s="19"/>
      <c r="H896" s="19"/>
      <c r="I896" s="19"/>
      <c r="J896" s="19"/>
      <c r="K896" s="19"/>
      <c r="L896" s="19"/>
      <c r="M896" s="19"/>
      <c r="N896" s="19"/>
      <c r="O896" s="19"/>
      <c r="P896" s="19"/>
      <c r="Q896" s="19"/>
      <c r="R896" s="19"/>
      <c r="S896" s="19"/>
      <c r="T896" s="19"/>
      <c r="U896" s="19"/>
      <c r="V896" s="19"/>
      <c r="W896" s="19"/>
      <c r="X896" s="19"/>
      <c r="Y896" s="19"/>
      <c r="Z896" s="19"/>
    </row>
    <row r="897" spans="2:26" ht="12" customHeight="1">
      <c r="B897" s="19"/>
      <c r="C897" s="19"/>
      <c r="D897" s="19"/>
      <c r="E897" s="19"/>
      <c r="F897" s="19"/>
      <c r="G897" s="19"/>
      <c r="H897" s="19"/>
      <c r="I897" s="19"/>
      <c r="J897" s="19"/>
      <c r="K897" s="19"/>
      <c r="L897" s="19"/>
      <c r="M897" s="19"/>
      <c r="N897" s="19"/>
      <c r="O897" s="19"/>
      <c r="P897" s="19"/>
      <c r="Q897" s="19"/>
      <c r="R897" s="19"/>
      <c r="S897" s="19"/>
      <c r="T897" s="19"/>
      <c r="U897" s="19"/>
      <c r="V897" s="19"/>
      <c r="W897" s="19"/>
      <c r="X897" s="19"/>
      <c r="Y897" s="19"/>
      <c r="Z897" s="19"/>
    </row>
    <row r="898" spans="2:26" ht="12" customHeight="1">
      <c r="B898" s="19"/>
      <c r="C898" s="19"/>
      <c r="D898" s="19"/>
      <c r="E898" s="19"/>
      <c r="F898" s="19"/>
      <c r="G898" s="19"/>
      <c r="H898" s="19"/>
      <c r="I898" s="19"/>
      <c r="J898" s="19"/>
      <c r="K898" s="19"/>
      <c r="L898" s="19"/>
      <c r="M898" s="19"/>
      <c r="N898" s="19"/>
      <c r="O898" s="19"/>
      <c r="P898" s="19"/>
      <c r="Q898" s="19"/>
      <c r="R898" s="19"/>
      <c r="S898" s="19"/>
      <c r="T898" s="19"/>
      <c r="U898" s="19"/>
      <c r="V898" s="19"/>
      <c r="W898" s="19"/>
      <c r="X898" s="19"/>
      <c r="Y898" s="19"/>
      <c r="Z898" s="19"/>
    </row>
    <row r="899" spans="2:26" ht="12" customHeight="1">
      <c r="B899" s="19"/>
      <c r="C899" s="19"/>
      <c r="D899" s="19"/>
      <c r="E899" s="19"/>
      <c r="F899" s="19"/>
      <c r="G899" s="19"/>
      <c r="H899" s="19"/>
      <c r="I899" s="19"/>
      <c r="J899" s="19"/>
      <c r="K899" s="19"/>
      <c r="L899" s="19"/>
      <c r="M899" s="19"/>
      <c r="N899" s="19"/>
      <c r="O899" s="19"/>
      <c r="P899" s="19"/>
      <c r="Q899" s="19"/>
      <c r="R899" s="19"/>
      <c r="S899" s="19"/>
      <c r="T899" s="19"/>
      <c r="U899" s="19"/>
      <c r="V899" s="19"/>
      <c r="W899" s="19"/>
      <c r="X899" s="19"/>
      <c r="Y899" s="19"/>
      <c r="Z899" s="19"/>
    </row>
    <row r="900" spans="2:26" ht="12" customHeight="1">
      <c r="B900" s="19"/>
      <c r="C900" s="19"/>
      <c r="D900" s="19"/>
      <c r="E900" s="19"/>
      <c r="F900" s="19"/>
      <c r="G900" s="19"/>
      <c r="H900" s="19"/>
      <c r="I900" s="19"/>
      <c r="J900" s="19"/>
      <c r="K900" s="19"/>
      <c r="L900" s="19"/>
      <c r="M900" s="19"/>
      <c r="N900" s="19"/>
      <c r="O900" s="19"/>
      <c r="P900" s="19"/>
      <c r="Q900" s="19"/>
      <c r="R900" s="19"/>
      <c r="S900" s="19"/>
      <c r="T900" s="19"/>
      <c r="U900" s="19"/>
      <c r="V900" s="19"/>
      <c r="W900" s="19"/>
      <c r="X900" s="19"/>
      <c r="Y900" s="19"/>
      <c r="Z900" s="19"/>
    </row>
    <row r="901" spans="2:26" ht="12" customHeight="1">
      <c r="B901" s="19"/>
      <c r="C901" s="19"/>
      <c r="D901" s="19"/>
      <c r="E901" s="19"/>
      <c r="F901" s="19"/>
      <c r="G901" s="19"/>
      <c r="H901" s="19"/>
      <c r="I901" s="19"/>
      <c r="J901" s="19"/>
      <c r="K901" s="19"/>
      <c r="L901" s="19"/>
      <c r="M901" s="19"/>
      <c r="N901" s="19"/>
      <c r="O901" s="19"/>
      <c r="P901" s="19"/>
      <c r="Q901" s="19"/>
      <c r="R901" s="19"/>
      <c r="S901" s="19"/>
      <c r="T901" s="19"/>
      <c r="U901" s="19"/>
      <c r="V901" s="19"/>
      <c r="W901" s="19"/>
      <c r="X901" s="19"/>
      <c r="Y901" s="19"/>
      <c r="Z901" s="19"/>
    </row>
    <row r="902" spans="2:26" ht="12" customHeight="1">
      <c r="B902" s="19"/>
      <c r="C902" s="19"/>
      <c r="D902" s="19"/>
      <c r="E902" s="19"/>
      <c r="F902" s="19"/>
      <c r="G902" s="19"/>
      <c r="H902" s="19"/>
      <c r="I902" s="19"/>
      <c r="J902" s="19"/>
      <c r="K902" s="19"/>
      <c r="L902" s="19"/>
      <c r="M902" s="19"/>
      <c r="N902" s="19"/>
      <c r="O902" s="19"/>
      <c r="P902" s="19"/>
      <c r="Q902" s="19"/>
      <c r="R902" s="19"/>
      <c r="S902" s="19"/>
      <c r="T902" s="19"/>
      <c r="U902" s="19"/>
      <c r="V902" s="19"/>
      <c r="W902" s="19"/>
      <c r="X902" s="19"/>
      <c r="Y902" s="19"/>
      <c r="Z902" s="19"/>
    </row>
    <row r="903" spans="2:26" ht="12" customHeight="1">
      <c r="B903" s="19"/>
      <c r="C903" s="19"/>
      <c r="D903" s="19"/>
      <c r="E903" s="19"/>
      <c r="F903" s="19"/>
      <c r="G903" s="19"/>
      <c r="H903" s="19"/>
      <c r="I903" s="19"/>
      <c r="J903" s="19"/>
      <c r="K903" s="19"/>
      <c r="L903" s="19"/>
      <c r="M903" s="19"/>
      <c r="N903" s="19"/>
      <c r="O903" s="19"/>
      <c r="P903" s="19"/>
      <c r="Q903" s="19"/>
      <c r="R903" s="19"/>
      <c r="S903" s="19"/>
      <c r="T903" s="19"/>
      <c r="U903" s="19"/>
      <c r="V903" s="19"/>
      <c r="W903" s="19"/>
      <c r="X903" s="19"/>
      <c r="Y903" s="19"/>
      <c r="Z903" s="19"/>
    </row>
    <row r="904" spans="2:26" ht="12" customHeight="1">
      <c r="B904" s="19"/>
      <c r="C904" s="19"/>
      <c r="D904" s="19"/>
      <c r="E904" s="19"/>
      <c r="F904" s="19"/>
      <c r="G904" s="19"/>
      <c r="H904" s="19"/>
      <c r="I904" s="19"/>
      <c r="J904" s="19"/>
      <c r="K904" s="19"/>
      <c r="L904" s="19"/>
      <c r="M904" s="19"/>
      <c r="N904" s="19"/>
      <c r="O904" s="19"/>
      <c r="P904" s="19"/>
      <c r="Q904" s="19"/>
      <c r="R904" s="19"/>
      <c r="S904" s="19"/>
      <c r="T904" s="19"/>
      <c r="U904" s="19"/>
      <c r="V904" s="19"/>
      <c r="W904" s="19"/>
      <c r="X904" s="19"/>
      <c r="Y904" s="19"/>
      <c r="Z904" s="19"/>
    </row>
    <row r="905" spans="2:26" ht="12" customHeight="1">
      <c r="B905" s="19"/>
      <c r="C905" s="19"/>
      <c r="D905" s="19"/>
      <c r="E905" s="19"/>
      <c r="F905" s="19"/>
      <c r="G905" s="19"/>
      <c r="H905" s="19"/>
      <c r="I905" s="19"/>
      <c r="J905" s="19"/>
      <c r="K905" s="19"/>
      <c r="L905" s="19"/>
      <c r="M905" s="19"/>
      <c r="N905" s="19"/>
      <c r="O905" s="19"/>
      <c r="P905" s="19"/>
      <c r="Q905" s="19"/>
      <c r="R905" s="19"/>
      <c r="S905" s="19"/>
      <c r="T905" s="19"/>
      <c r="U905" s="19"/>
      <c r="V905" s="19"/>
      <c r="W905" s="19"/>
      <c r="X905" s="19"/>
      <c r="Y905" s="19"/>
      <c r="Z905" s="19"/>
    </row>
    <row r="906" spans="2:26" ht="12" customHeight="1">
      <c r="B906" s="19"/>
      <c r="C906" s="19"/>
      <c r="D906" s="19"/>
      <c r="E906" s="19"/>
      <c r="F906" s="19"/>
      <c r="G906" s="19"/>
      <c r="H906" s="19"/>
      <c r="I906" s="19"/>
      <c r="J906" s="19"/>
      <c r="K906" s="19"/>
      <c r="L906" s="19"/>
      <c r="M906" s="19"/>
      <c r="N906" s="19"/>
      <c r="O906" s="19"/>
      <c r="P906" s="19"/>
      <c r="Q906" s="19"/>
      <c r="R906" s="19"/>
      <c r="S906" s="19"/>
      <c r="T906" s="19"/>
      <c r="U906" s="19"/>
      <c r="V906" s="19"/>
      <c r="W906" s="19"/>
      <c r="X906" s="19"/>
      <c r="Y906" s="19"/>
      <c r="Z906" s="19"/>
    </row>
    <row r="907" spans="2:26" ht="12" customHeight="1">
      <c r="B907" s="19"/>
      <c r="C907" s="19"/>
      <c r="D907" s="19"/>
      <c r="E907" s="19"/>
      <c r="F907" s="19"/>
      <c r="G907" s="19"/>
      <c r="H907" s="19"/>
      <c r="I907" s="19"/>
      <c r="J907" s="19"/>
      <c r="K907" s="19"/>
      <c r="L907" s="19"/>
      <c r="M907" s="19"/>
      <c r="N907" s="19"/>
      <c r="O907" s="19"/>
      <c r="P907" s="19"/>
      <c r="Q907" s="19"/>
      <c r="R907" s="19"/>
      <c r="S907" s="19"/>
      <c r="T907" s="19"/>
      <c r="U907" s="19"/>
      <c r="V907" s="19"/>
      <c r="W907" s="19"/>
      <c r="X907" s="19"/>
      <c r="Y907" s="19"/>
      <c r="Z907" s="19"/>
    </row>
    <row r="908" spans="2:26" ht="12" customHeight="1">
      <c r="B908" s="19"/>
      <c r="C908" s="19"/>
      <c r="D908" s="19"/>
      <c r="E908" s="19"/>
      <c r="F908" s="19"/>
      <c r="G908" s="19"/>
      <c r="H908" s="19"/>
      <c r="I908" s="19"/>
      <c r="J908" s="19"/>
      <c r="K908" s="19"/>
      <c r="L908" s="19"/>
      <c r="M908" s="19"/>
      <c r="N908" s="19"/>
      <c r="O908" s="19"/>
      <c r="P908" s="19"/>
      <c r="Q908" s="19"/>
      <c r="R908" s="19"/>
      <c r="S908" s="19"/>
      <c r="T908" s="19"/>
      <c r="U908" s="19"/>
      <c r="V908" s="19"/>
      <c r="W908" s="19"/>
      <c r="X908" s="19"/>
      <c r="Y908" s="19"/>
      <c r="Z908" s="19"/>
    </row>
    <row r="909" spans="2:26" ht="12" customHeight="1">
      <c r="B909" s="19"/>
      <c r="C909" s="19"/>
      <c r="D909" s="19"/>
      <c r="E909" s="19"/>
      <c r="F909" s="19"/>
      <c r="G909" s="19"/>
      <c r="H909" s="19"/>
      <c r="I909" s="19"/>
      <c r="J909" s="19"/>
      <c r="K909" s="19"/>
      <c r="L909" s="19"/>
      <c r="M909" s="19"/>
      <c r="N909" s="19"/>
      <c r="O909" s="19"/>
      <c r="P909" s="19"/>
      <c r="Q909" s="19"/>
      <c r="R909" s="19"/>
      <c r="S909" s="19"/>
      <c r="T909" s="19"/>
      <c r="U909" s="19"/>
      <c r="V909" s="19"/>
      <c r="W909" s="19"/>
      <c r="X909" s="19"/>
      <c r="Y909" s="19"/>
      <c r="Z909" s="19"/>
    </row>
    <row r="910" spans="2:26" ht="12" customHeight="1">
      <c r="B910" s="19"/>
      <c r="C910" s="19"/>
      <c r="D910" s="19"/>
      <c r="E910" s="19"/>
      <c r="F910" s="19"/>
      <c r="G910" s="19"/>
      <c r="H910" s="19"/>
      <c r="I910" s="19"/>
      <c r="J910" s="19"/>
      <c r="K910" s="19"/>
      <c r="L910" s="19"/>
      <c r="M910" s="19"/>
      <c r="N910" s="19"/>
      <c r="O910" s="19"/>
      <c r="P910" s="19"/>
      <c r="Q910" s="19"/>
      <c r="R910" s="19"/>
      <c r="S910" s="19"/>
      <c r="T910" s="19"/>
      <c r="U910" s="19"/>
      <c r="V910" s="19"/>
      <c r="W910" s="19"/>
      <c r="X910" s="19"/>
      <c r="Y910" s="19"/>
      <c r="Z910" s="19"/>
    </row>
    <row r="911" spans="2:26" ht="12" customHeight="1">
      <c r="B911" s="19"/>
      <c r="C911" s="19"/>
      <c r="D911" s="19"/>
      <c r="E911" s="19"/>
      <c r="F911" s="19"/>
      <c r="G911" s="19"/>
      <c r="H911" s="19"/>
      <c r="I911" s="19"/>
      <c r="J911" s="19"/>
      <c r="K911" s="19"/>
      <c r="L911" s="19"/>
      <c r="M911" s="19"/>
      <c r="N911" s="19"/>
      <c r="O911" s="19"/>
      <c r="P911" s="19"/>
      <c r="Q911" s="19"/>
      <c r="R911" s="19"/>
      <c r="S911" s="19"/>
      <c r="T911" s="19"/>
      <c r="U911" s="19"/>
      <c r="V911" s="19"/>
      <c r="W911" s="19"/>
      <c r="X911" s="19"/>
      <c r="Y911" s="19"/>
      <c r="Z911" s="19"/>
    </row>
    <row r="912" spans="2:26" ht="12" customHeight="1">
      <c r="B912" s="19"/>
      <c r="C912" s="19"/>
      <c r="D912" s="19"/>
      <c r="E912" s="19"/>
      <c r="F912" s="19"/>
      <c r="G912" s="19"/>
      <c r="H912" s="19"/>
      <c r="I912" s="19"/>
      <c r="J912" s="19"/>
      <c r="K912" s="19"/>
      <c r="L912" s="19"/>
      <c r="M912" s="19"/>
      <c r="N912" s="19"/>
      <c r="O912" s="19"/>
      <c r="P912" s="19"/>
      <c r="Q912" s="19"/>
      <c r="R912" s="19"/>
      <c r="S912" s="19"/>
      <c r="T912" s="19"/>
      <c r="U912" s="19"/>
      <c r="V912" s="19"/>
      <c r="W912" s="19"/>
      <c r="X912" s="19"/>
      <c r="Y912" s="19"/>
      <c r="Z912" s="19"/>
    </row>
    <row r="913" spans="2:26" ht="12" customHeight="1">
      <c r="B913" s="19"/>
      <c r="C913" s="19"/>
      <c r="D913" s="19"/>
      <c r="E913" s="19"/>
      <c r="F913" s="19"/>
      <c r="G913" s="19"/>
      <c r="H913" s="19"/>
      <c r="I913" s="19"/>
      <c r="J913" s="19"/>
      <c r="K913" s="19"/>
      <c r="L913" s="19"/>
      <c r="M913" s="19"/>
      <c r="N913" s="19"/>
      <c r="O913" s="19"/>
      <c r="P913" s="19"/>
      <c r="Q913" s="19"/>
      <c r="R913" s="19"/>
      <c r="S913" s="19"/>
      <c r="T913" s="19"/>
      <c r="U913" s="19"/>
      <c r="V913" s="19"/>
      <c r="W913" s="19"/>
      <c r="X913" s="19"/>
      <c r="Y913" s="19"/>
      <c r="Z913" s="19"/>
    </row>
    <row r="914" spans="2:26" ht="12" customHeight="1">
      <c r="B914" s="19"/>
      <c r="C914" s="19"/>
      <c r="D914" s="19"/>
      <c r="E914" s="19"/>
      <c r="F914" s="19"/>
      <c r="G914" s="19"/>
      <c r="H914" s="19"/>
      <c r="I914" s="19"/>
      <c r="J914" s="19"/>
      <c r="K914" s="19"/>
      <c r="L914" s="19"/>
      <c r="M914" s="19"/>
      <c r="N914" s="19"/>
      <c r="O914" s="19"/>
      <c r="P914" s="19"/>
      <c r="Q914" s="19"/>
      <c r="R914" s="19"/>
      <c r="S914" s="19"/>
      <c r="T914" s="19"/>
      <c r="U914" s="19"/>
      <c r="V914" s="19"/>
      <c r="W914" s="19"/>
      <c r="X914" s="19"/>
      <c r="Y914" s="19"/>
      <c r="Z914" s="19"/>
    </row>
    <row r="915" spans="2:26" ht="12" customHeight="1">
      <c r="B915" s="19"/>
      <c r="C915" s="19"/>
      <c r="D915" s="19"/>
      <c r="E915" s="19"/>
      <c r="F915" s="19"/>
      <c r="G915" s="19"/>
      <c r="H915" s="19"/>
      <c r="I915" s="19"/>
      <c r="J915" s="19"/>
      <c r="K915" s="19"/>
      <c r="L915" s="19"/>
      <c r="M915" s="19"/>
      <c r="N915" s="19"/>
      <c r="O915" s="19"/>
      <c r="P915" s="19"/>
      <c r="Q915" s="19"/>
      <c r="R915" s="19"/>
      <c r="S915" s="19"/>
      <c r="T915" s="19"/>
      <c r="U915" s="19"/>
      <c r="V915" s="19"/>
      <c r="W915" s="19"/>
      <c r="X915" s="19"/>
      <c r="Y915" s="19"/>
      <c r="Z915" s="19"/>
    </row>
    <row r="916" spans="2:26" ht="12" customHeight="1">
      <c r="B916" s="19"/>
      <c r="C916" s="19"/>
      <c r="D916" s="19"/>
      <c r="E916" s="19"/>
      <c r="F916" s="19"/>
      <c r="G916" s="19"/>
      <c r="H916" s="19"/>
      <c r="I916" s="19"/>
      <c r="J916" s="19"/>
      <c r="K916" s="19"/>
      <c r="L916" s="19"/>
      <c r="M916" s="19"/>
      <c r="N916" s="19"/>
      <c r="O916" s="19"/>
      <c r="P916" s="19"/>
      <c r="Q916" s="19"/>
      <c r="R916" s="19"/>
      <c r="S916" s="19"/>
      <c r="T916" s="19"/>
      <c r="U916" s="19"/>
      <c r="V916" s="19"/>
      <c r="W916" s="19"/>
      <c r="X916" s="19"/>
      <c r="Y916" s="19"/>
      <c r="Z916" s="19"/>
    </row>
    <row r="917" spans="2:26" ht="12" customHeight="1">
      <c r="B917" s="19"/>
      <c r="C917" s="19"/>
      <c r="D917" s="19"/>
      <c r="E917" s="19"/>
      <c r="F917" s="19"/>
      <c r="G917" s="19"/>
      <c r="H917" s="19"/>
      <c r="I917" s="19"/>
      <c r="J917" s="19"/>
      <c r="K917" s="19"/>
      <c r="L917" s="19"/>
      <c r="M917" s="19"/>
      <c r="N917" s="19"/>
      <c r="O917" s="19"/>
      <c r="P917" s="19"/>
      <c r="Q917" s="19"/>
      <c r="R917" s="19"/>
      <c r="S917" s="19"/>
      <c r="T917" s="19"/>
      <c r="U917" s="19"/>
      <c r="V917" s="19"/>
      <c r="W917" s="19"/>
      <c r="X917" s="19"/>
      <c r="Y917" s="19"/>
      <c r="Z917" s="19"/>
    </row>
    <row r="918" spans="2:26" ht="12" customHeight="1">
      <c r="B918" s="19"/>
      <c r="C918" s="19"/>
      <c r="D918" s="19"/>
      <c r="E918" s="19"/>
      <c r="F918" s="19"/>
      <c r="G918" s="19"/>
      <c r="H918" s="19"/>
      <c r="I918" s="19"/>
      <c r="J918" s="19"/>
      <c r="K918" s="19"/>
      <c r="L918" s="19"/>
      <c r="M918" s="19"/>
      <c r="N918" s="19"/>
      <c r="O918" s="19"/>
      <c r="P918" s="19"/>
      <c r="Q918" s="19"/>
      <c r="R918" s="19"/>
      <c r="S918" s="19"/>
      <c r="T918" s="19"/>
      <c r="U918" s="19"/>
      <c r="V918" s="19"/>
      <c r="W918" s="19"/>
      <c r="X918" s="19"/>
      <c r="Y918" s="19"/>
      <c r="Z918" s="19"/>
    </row>
    <row r="919" spans="2:26" ht="12" customHeight="1">
      <c r="B919" s="19"/>
      <c r="C919" s="19"/>
      <c r="D919" s="19"/>
      <c r="E919" s="19"/>
      <c r="F919" s="19"/>
      <c r="G919" s="19"/>
      <c r="H919" s="19"/>
      <c r="I919" s="19"/>
      <c r="J919" s="19"/>
      <c r="K919" s="19"/>
      <c r="L919" s="19"/>
      <c r="M919" s="19"/>
      <c r="N919" s="19"/>
      <c r="O919" s="19"/>
      <c r="P919" s="19"/>
      <c r="Q919" s="19"/>
      <c r="R919" s="19"/>
      <c r="S919" s="19"/>
      <c r="T919" s="19"/>
      <c r="U919" s="19"/>
      <c r="V919" s="19"/>
      <c r="W919" s="19"/>
      <c r="X919" s="19"/>
      <c r="Y919" s="19"/>
      <c r="Z919" s="19"/>
    </row>
    <row r="920" spans="2:26" ht="12" customHeight="1">
      <c r="B920" s="19"/>
      <c r="C920" s="19"/>
      <c r="D920" s="19"/>
      <c r="E920" s="19"/>
      <c r="F920" s="19"/>
      <c r="G920" s="19"/>
      <c r="H920" s="19"/>
      <c r="I920" s="19"/>
      <c r="J920" s="19"/>
      <c r="K920" s="19"/>
      <c r="L920" s="19"/>
      <c r="M920" s="19"/>
      <c r="N920" s="19"/>
      <c r="O920" s="19"/>
      <c r="P920" s="19"/>
      <c r="Q920" s="19"/>
      <c r="R920" s="19"/>
      <c r="S920" s="19"/>
      <c r="T920" s="19"/>
      <c r="U920" s="19"/>
      <c r="V920" s="19"/>
      <c r="W920" s="19"/>
      <c r="X920" s="19"/>
      <c r="Y920" s="19"/>
      <c r="Z920" s="19"/>
    </row>
    <row r="921" spans="2:26" ht="12" customHeight="1">
      <c r="B921" s="19"/>
      <c r="C921" s="19"/>
      <c r="D921" s="19"/>
      <c r="E921" s="19"/>
      <c r="F921" s="19"/>
      <c r="G921" s="19"/>
      <c r="H921" s="19"/>
      <c r="I921" s="19"/>
      <c r="J921" s="19"/>
      <c r="K921" s="19"/>
      <c r="L921" s="19"/>
      <c r="M921" s="19"/>
      <c r="N921" s="19"/>
      <c r="O921" s="19"/>
      <c r="P921" s="19"/>
      <c r="Q921" s="19"/>
      <c r="R921" s="19"/>
      <c r="S921" s="19"/>
      <c r="T921" s="19"/>
      <c r="U921" s="19"/>
      <c r="V921" s="19"/>
      <c r="W921" s="19"/>
      <c r="X921" s="19"/>
      <c r="Y921" s="19"/>
      <c r="Z921" s="19"/>
    </row>
    <row r="922" spans="2:26" ht="12" customHeight="1">
      <c r="B922" s="19"/>
      <c r="C922" s="19"/>
      <c r="D922" s="19"/>
      <c r="E922" s="19"/>
      <c r="F922" s="19"/>
      <c r="G922" s="19"/>
      <c r="H922" s="19"/>
      <c r="I922" s="19"/>
      <c r="J922" s="19"/>
      <c r="K922" s="19"/>
      <c r="L922" s="19"/>
      <c r="M922" s="19"/>
      <c r="N922" s="19"/>
      <c r="O922" s="19"/>
      <c r="P922" s="19"/>
      <c r="Q922" s="19"/>
      <c r="R922" s="19"/>
      <c r="S922" s="19"/>
      <c r="T922" s="19"/>
      <c r="U922" s="19"/>
      <c r="V922" s="19"/>
      <c r="W922" s="19"/>
      <c r="X922" s="19"/>
      <c r="Y922" s="19"/>
      <c r="Z922" s="19"/>
    </row>
    <row r="923" spans="2:26" ht="12" customHeight="1">
      <c r="B923" s="19"/>
      <c r="C923" s="19"/>
      <c r="D923" s="19"/>
      <c r="E923" s="19"/>
      <c r="F923" s="19"/>
      <c r="G923" s="19"/>
      <c r="H923" s="19"/>
      <c r="I923" s="19"/>
      <c r="J923" s="19"/>
      <c r="K923" s="19"/>
      <c r="L923" s="19"/>
      <c r="M923" s="19"/>
      <c r="N923" s="19"/>
      <c r="O923" s="19"/>
      <c r="P923" s="19"/>
      <c r="Q923" s="19"/>
      <c r="R923" s="19"/>
      <c r="S923" s="19"/>
      <c r="T923" s="19"/>
      <c r="U923" s="19"/>
      <c r="V923" s="19"/>
      <c r="W923" s="19"/>
      <c r="X923" s="19"/>
      <c r="Y923" s="19"/>
      <c r="Z923" s="19"/>
    </row>
    <row r="924" spans="2:26" ht="12" customHeight="1">
      <c r="B924" s="19"/>
      <c r="C924" s="19"/>
      <c r="D924" s="19"/>
      <c r="E924" s="19"/>
      <c r="F924" s="19"/>
      <c r="G924" s="19"/>
      <c r="H924" s="19"/>
      <c r="I924" s="19"/>
      <c r="J924" s="19"/>
      <c r="K924" s="19"/>
      <c r="L924" s="19"/>
      <c r="M924" s="19"/>
      <c r="N924" s="19"/>
      <c r="O924" s="19"/>
      <c r="P924" s="19"/>
      <c r="Q924" s="19"/>
      <c r="R924" s="19"/>
      <c r="S924" s="19"/>
      <c r="T924" s="19"/>
      <c r="U924" s="19"/>
      <c r="V924" s="19"/>
      <c r="W924" s="19"/>
      <c r="X924" s="19"/>
      <c r="Y924" s="19"/>
      <c r="Z924" s="19"/>
    </row>
    <row r="925" spans="2:26" ht="12" customHeight="1">
      <c r="B925" s="19"/>
      <c r="C925" s="19"/>
      <c r="D925" s="19"/>
      <c r="E925" s="19"/>
      <c r="F925" s="19"/>
      <c r="G925" s="19"/>
      <c r="H925" s="19"/>
      <c r="I925" s="19"/>
      <c r="J925" s="19"/>
      <c r="K925" s="19"/>
      <c r="L925" s="19"/>
      <c r="M925" s="19"/>
      <c r="N925" s="19"/>
      <c r="O925" s="19"/>
      <c r="P925" s="19"/>
      <c r="Q925" s="19"/>
      <c r="R925" s="19"/>
      <c r="S925" s="19"/>
      <c r="T925" s="19"/>
      <c r="U925" s="19"/>
      <c r="V925" s="19"/>
      <c r="W925" s="19"/>
      <c r="X925" s="19"/>
      <c r="Y925" s="19"/>
      <c r="Z925" s="19"/>
    </row>
    <row r="926" spans="2:26" ht="12" customHeight="1">
      <c r="B926" s="19"/>
      <c r="C926" s="19"/>
      <c r="D926" s="19"/>
      <c r="E926" s="19"/>
      <c r="F926" s="19"/>
      <c r="G926" s="19"/>
      <c r="H926" s="19"/>
      <c r="I926" s="19"/>
      <c r="J926" s="19"/>
      <c r="K926" s="19"/>
      <c r="L926" s="19"/>
      <c r="M926" s="19"/>
      <c r="N926" s="19"/>
      <c r="O926" s="19"/>
      <c r="P926" s="19"/>
      <c r="Q926" s="19"/>
      <c r="R926" s="19"/>
      <c r="S926" s="19"/>
      <c r="T926" s="19"/>
      <c r="U926" s="19"/>
      <c r="V926" s="19"/>
      <c r="W926" s="19"/>
      <c r="X926" s="19"/>
      <c r="Y926" s="19"/>
      <c r="Z926" s="19"/>
    </row>
    <row r="927" spans="2:26" ht="12" customHeight="1">
      <c r="B927" s="19"/>
      <c r="C927" s="19"/>
      <c r="D927" s="19"/>
      <c r="E927" s="19"/>
      <c r="F927" s="19"/>
      <c r="G927" s="19"/>
      <c r="H927" s="19"/>
      <c r="I927" s="19"/>
      <c r="J927" s="19"/>
      <c r="K927" s="19"/>
      <c r="L927" s="19"/>
      <c r="M927" s="19"/>
      <c r="N927" s="19"/>
      <c r="O927" s="19"/>
      <c r="P927" s="19"/>
      <c r="Q927" s="19"/>
      <c r="R927" s="19"/>
      <c r="S927" s="19"/>
      <c r="T927" s="19"/>
      <c r="U927" s="19"/>
      <c r="V927" s="19"/>
      <c r="W927" s="19"/>
      <c r="X927" s="19"/>
      <c r="Y927" s="19"/>
      <c r="Z927" s="19"/>
    </row>
    <row r="928" spans="2:26" ht="12" customHeight="1">
      <c r="B928" s="19"/>
      <c r="C928" s="19"/>
      <c r="D928" s="19"/>
      <c r="E928" s="19"/>
      <c r="F928" s="19"/>
      <c r="G928" s="19"/>
      <c r="H928" s="19"/>
      <c r="I928" s="19"/>
      <c r="J928" s="19"/>
      <c r="K928" s="19"/>
      <c r="L928" s="19"/>
      <c r="M928" s="19"/>
      <c r="N928" s="19"/>
      <c r="O928" s="19"/>
      <c r="P928" s="19"/>
      <c r="Q928" s="19"/>
      <c r="R928" s="19"/>
      <c r="S928" s="19"/>
      <c r="T928" s="19"/>
      <c r="U928" s="19"/>
      <c r="V928" s="19"/>
      <c r="W928" s="19"/>
      <c r="X928" s="19"/>
      <c r="Y928" s="19"/>
      <c r="Z928" s="19"/>
    </row>
    <row r="929" spans="2:26" ht="12" customHeight="1">
      <c r="B929" s="19"/>
      <c r="C929" s="19"/>
      <c r="D929" s="19"/>
      <c r="E929" s="19"/>
      <c r="F929" s="19"/>
      <c r="G929" s="19"/>
      <c r="H929" s="19"/>
      <c r="I929" s="19"/>
      <c r="J929" s="19"/>
      <c r="K929" s="19"/>
      <c r="L929" s="19"/>
      <c r="M929" s="19"/>
      <c r="N929" s="19"/>
      <c r="O929" s="19"/>
      <c r="P929" s="19"/>
      <c r="Q929" s="19"/>
      <c r="R929" s="19"/>
      <c r="S929" s="19"/>
      <c r="T929" s="19"/>
      <c r="U929" s="19"/>
      <c r="V929" s="19"/>
      <c r="W929" s="19"/>
      <c r="X929" s="19"/>
      <c r="Y929" s="19"/>
      <c r="Z929" s="19"/>
    </row>
    <row r="930" spans="2:26" ht="12" customHeight="1">
      <c r="B930" s="19"/>
      <c r="C930" s="19"/>
      <c r="D930" s="19"/>
      <c r="E930" s="19"/>
      <c r="F930" s="19"/>
      <c r="G930" s="19"/>
      <c r="H930" s="19"/>
      <c r="I930" s="19"/>
      <c r="J930" s="19"/>
      <c r="K930" s="19"/>
      <c r="L930" s="19"/>
      <c r="M930" s="19"/>
      <c r="N930" s="19"/>
      <c r="O930" s="19"/>
      <c r="P930" s="19"/>
      <c r="Q930" s="19"/>
      <c r="R930" s="19"/>
      <c r="S930" s="19"/>
      <c r="T930" s="19"/>
      <c r="U930" s="19"/>
      <c r="V930" s="19"/>
      <c r="W930" s="19"/>
      <c r="X930" s="19"/>
      <c r="Y930" s="19"/>
      <c r="Z930" s="19"/>
    </row>
    <row r="931" spans="2:26" ht="12" customHeight="1">
      <c r="B931" s="19"/>
      <c r="C931" s="19"/>
      <c r="D931" s="19"/>
      <c r="E931" s="19"/>
      <c r="F931" s="19"/>
      <c r="G931" s="19"/>
      <c r="H931" s="19"/>
      <c r="I931" s="19"/>
      <c r="J931" s="19"/>
      <c r="K931" s="19"/>
      <c r="L931" s="19"/>
      <c r="M931" s="19"/>
      <c r="N931" s="19"/>
      <c r="O931" s="19"/>
      <c r="P931" s="19"/>
      <c r="Q931" s="19"/>
      <c r="R931" s="19"/>
      <c r="S931" s="19"/>
      <c r="T931" s="19"/>
      <c r="U931" s="19"/>
      <c r="V931" s="19"/>
      <c r="W931" s="19"/>
      <c r="X931" s="19"/>
      <c r="Y931" s="19"/>
      <c r="Z931" s="19"/>
    </row>
    <row r="932" spans="2:26" ht="12" customHeight="1">
      <c r="B932" s="19"/>
      <c r="C932" s="19"/>
      <c r="D932" s="19"/>
      <c r="E932" s="19"/>
      <c r="F932" s="19"/>
      <c r="G932" s="19"/>
      <c r="H932" s="19"/>
      <c r="I932" s="19"/>
      <c r="J932" s="19"/>
      <c r="K932" s="19"/>
      <c r="L932" s="19"/>
      <c r="M932" s="19"/>
      <c r="N932" s="19"/>
      <c r="O932" s="19"/>
      <c r="P932" s="19"/>
      <c r="Q932" s="19"/>
      <c r="R932" s="19"/>
      <c r="S932" s="19"/>
      <c r="T932" s="19"/>
      <c r="U932" s="19"/>
      <c r="V932" s="19"/>
      <c r="W932" s="19"/>
      <c r="X932" s="19"/>
      <c r="Y932" s="19"/>
      <c r="Z932" s="19"/>
    </row>
    <row r="933" spans="2:26" ht="12" customHeight="1">
      <c r="B933" s="19"/>
      <c r="C933" s="19"/>
      <c r="D933" s="19"/>
      <c r="E933" s="19"/>
      <c r="F933" s="19"/>
      <c r="G933" s="19"/>
      <c r="H933" s="19"/>
      <c r="I933" s="19"/>
      <c r="J933" s="19"/>
      <c r="K933" s="19"/>
      <c r="L933" s="19"/>
      <c r="M933" s="19"/>
      <c r="N933" s="19"/>
      <c r="O933" s="19"/>
      <c r="P933" s="19"/>
      <c r="Q933" s="19"/>
      <c r="R933" s="19"/>
      <c r="S933" s="19"/>
      <c r="T933" s="19"/>
      <c r="U933" s="19"/>
      <c r="V933" s="19"/>
      <c r="W933" s="19"/>
      <c r="X933" s="19"/>
      <c r="Y933" s="19"/>
      <c r="Z933" s="19"/>
    </row>
    <row r="934" spans="2:26" ht="12" customHeight="1">
      <c r="B934" s="19"/>
      <c r="C934" s="19"/>
      <c r="D934" s="19"/>
      <c r="E934" s="19"/>
      <c r="F934" s="19"/>
      <c r="G934" s="19"/>
      <c r="H934" s="19"/>
      <c r="I934" s="19"/>
      <c r="J934" s="19"/>
      <c r="K934" s="19"/>
      <c r="L934" s="19"/>
      <c r="M934" s="19"/>
      <c r="N934" s="19"/>
      <c r="O934" s="19"/>
      <c r="P934" s="19"/>
      <c r="Q934" s="19"/>
      <c r="R934" s="19"/>
      <c r="S934" s="19"/>
      <c r="T934" s="19"/>
      <c r="U934" s="19"/>
      <c r="V934" s="19"/>
      <c r="W934" s="19"/>
      <c r="X934" s="19"/>
      <c r="Y934" s="19"/>
      <c r="Z934" s="19"/>
    </row>
    <row r="935" spans="2:26" ht="12" customHeight="1">
      <c r="B935" s="19"/>
      <c r="C935" s="19"/>
      <c r="D935" s="19"/>
      <c r="E935" s="19"/>
      <c r="F935" s="19"/>
      <c r="G935" s="19"/>
      <c r="H935" s="19"/>
      <c r="I935" s="19"/>
      <c r="J935" s="19"/>
      <c r="K935" s="19"/>
      <c r="L935" s="19"/>
      <c r="M935" s="19"/>
      <c r="N935" s="19"/>
      <c r="O935" s="19"/>
      <c r="P935" s="19"/>
      <c r="Q935" s="19"/>
      <c r="R935" s="19"/>
      <c r="S935" s="19"/>
      <c r="T935" s="19"/>
      <c r="U935" s="19"/>
      <c r="V935" s="19"/>
      <c r="W935" s="19"/>
      <c r="X935" s="19"/>
      <c r="Y935" s="19"/>
      <c r="Z935" s="19"/>
    </row>
    <row r="936" spans="2:26" ht="12" customHeight="1">
      <c r="B936" s="19"/>
      <c r="C936" s="19"/>
      <c r="D936" s="19"/>
      <c r="E936" s="19"/>
      <c r="F936" s="19"/>
      <c r="G936" s="19"/>
      <c r="H936" s="19"/>
      <c r="I936" s="19"/>
      <c r="J936" s="19"/>
      <c r="K936" s="19"/>
      <c r="L936" s="19"/>
      <c r="M936" s="19"/>
      <c r="N936" s="19"/>
      <c r="O936" s="19"/>
      <c r="P936" s="19"/>
      <c r="Q936" s="19"/>
      <c r="R936" s="19"/>
      <c r="S936" s="19"/>
      <c r="T936" s="19"/>
      <c r="U936" s="19"/>
      <c r="V936" s="19"/>
      <c r="W936" s="19"/>
      <c r="X936" s="19"/>
      <c r="Y936" s="19"/>
      <c r="Z936" s="19"/>
    </row>
    <row r="937" spans="2:26" ht="12" customHeight="1">
      <c r="B937" s="19"/>
      <c r="C937" s="19"/>
      <c r="D937" s="19"/>
      <c r="E937" s="19"/>
      <c r="F937" s="19"/>
      <c r="G937" s="19"/>
      <c r="H937" s="19"/>
      <c r="I937" s="19"/>
      <c r="J937" s="19"/>
      <c r="K937" s="19"/>
      <c r="L937" s="19"/>
      <c r="M937" s="19"/>
      <c r="N937" s="19"/>
      <c r="O937" s="19"/>
      <c r="P937" s="19"/>
      <c r="Q937" s="19"/>
      <c r="R937" s="19"/>
      <c r="S937" s="19"/>
      <c r="T937" s="19"/>
      <c r="U937" s="19"/>
      <c r="V937" s="19"/>
      <c r="W937" s="19"/>
      <c r="X937" s="19"/>
      <c r="Y937" s="19"/>
      <c r="Z937" s="19"/>
    </row>
    <row r="938" spans="2:26" ht="12" customHeight="1">
      <c r="B938" s="19"/>
      <c r="C938" s="19"/>
      <c r="D938" s="19"/>
      <c r="E938" s="19"/>
      <c r="F938" s="19"/>
      <c r="G938" s="19"/>
      <c r="H938" s="19"/>
      <c r="I938" s="19"/>
      <c r="J938" s="19"/>
      <c r="K938" s="19"/>
      <c r="L938" s="19"/>
      <c r="M938" s="19"/>
      <c r="N938" s="19"/>
      <c r="O938" s="19"/>
      <c r="P938" s="19"/>
      <c r="Q938" s="19"/>
      <c r="R938" s="19"/>
      <c r="S938" s="19"/>
      <c r="T938" s="19"/>
      <c r="U938" s="19"/>
      <c r="V938" s="19"/>
      <c r="W938" s="19"/>
      <c r="X938" s="19"/>
      <c r="Y938" s="19"/>
      <c r="Z938" s="19"/>
    </row>
    <row r="939" spans="2:26" ht="12" customHeight="1">
      <c r="B939" s="19"/>
      <c r="C939" s="19"/>
      <c r="D939" s="19"/>
      <c r="E939" s="19"/>
      <c r="F939" s="19"/>
      <c r="G939" s="19"/>
      <c r="H939" s="19"/>
      <c r="I939" s="19"/>
      <c r="J939" s="19"/>
      <c r="K939" s="19"/>
      <c r="L939" s="19"/>
      <c r="M939" s="19"/>
      <c r="N939" s="19"/>
      <c r="O939" s="19"/>
      <c r="P939" s="19"/>
      <c r="Q939" s="19"/>
      <c r="R939" s="19"/>
      <c r="S939" s="19"/>
      <c r="T939" s="19"/>
      <c r="U939" s="19"/>
      <c r="V939" s="19"/>
      <c r="W939" s="19"/>
      <c r="X939" s="19"/>
      <c r="Y939" s="19"/>
      <c r="Z939" s="19"/>
    </row>
    <row r="940" spans="2:26" ht="12" customHeight="1">
      <c r="B940" s="19"/>
      <c r="C940" s="19"/>
      <c r="D940" s="19"/>
      <c r="E940" s="19"/>
      <c r="F940" s="19"/>
      <c r="G940" s="19"/>
      <c r="H940" s="19"/>
      <c r="I940" s="19"/>
      <c r="J940" s="19"/>
      <c r="K940" s="19"/>
      <c r="L940" s="19"/>
      <c r="M940" s="19"/>
      <c r="N940" s="19"/>
      <c r="O940" s="19"/>
      <c r="P940" s="19"/>
      <c r="Q940" s="19"/>
      <c r="R940" s="19"/>
      <c r="S940" s="19"/>
      <c r="T940" s="19"/>
      <c r="U940" s="19"/>
      <c r="V940" s="19"/>
      <c r="W940" s="19"/>
      <c r="X940" s="19"/>
      <c r="Y940" s="19"/>
      <c r="Z940" s="19"/>
    </row>
    <row r="941" spans="2:26" ht="12" customHeight="1">
      <c r="B941" s="19"/>
      <c r="C941" s="19"/>
      <c r="D941" s="19"/>
      <c r="E941" s="19"/>
      <c r="F941" s="19"/>
      <c r="G941" s="19"/>
      <c r="H941" s="19"/>
      <c r="I941" s="19"/>
      <c r="J941" s="19"/>
      <c r="K941" s="19"/>
      <c r="L941" s="19"/>
      <c r="M941" s="19"/>
      <c r="N941" s="19"/>
      <c r="O941" s="19"/>
      <c r="P941" s="19"/>
      <c r="Q941" s="19"/>
      <c r="R941" s="19"/>
      <c r="S941" s="19"/>
      <c r="T941" s="19"/>
      <c r="U941" s="19"/>
      <c r="V941" s="19"/>
      <c r="W941" s="19"/>
      <c r="X941" s="19"/>
      <c r="Y941" s="19"/>
      <c r="Z941" s="19"/>
    </row>
    <row r="942" spans="2:26" ht="12" customHeight="1">
      <c r="B942" s="19"/>
      <c r="C942" s="19"/>
      <c r="D942" s="19"/>
      <c r="E942" s="19"/>
      <c r="F942" s="19"/>
      <c r="G942" s="19"/>
      <c r="H942" s="19"/>
      <c r="I942" s="19"/>
      <c r="J942" s="19"/>
      <c r="K942" s="19"/>
      <c r="L942" s="19"/>
      <c r="M942" s="19"/>
      <c r="N942" s="19"/>
      <c r="O942" s="19"/>
      <c r="P942" s="19"/>
      <c r="Q942" s="19"/>
      <c r="R942" s="19"/>
      <c r="S942" s="19"/>
      <c r="T942" s="19"/>
      <c r="U942" s="19"/>
      <c r="V942" s="19"/>
      <c r="W942" s="19"/>
      <c r="X942" s="19"/>
      <c r="Y942" s="19"/>
      <c r="Z942" s="19"/>
    </row>
    <row r="943" spans="2:26" ht="12" customHeight="1">
      <c r="B943" s="19"/>
      <c r="C943" s="19"/>
      <c r="D943" s="19"/>
      <c r="E943" s="19"/>
      <c r="F943" s="19"/>
      <c r="G943" s="19"/>
      <c r="H943" s="19"/>
      <c r="I943" s="19"/>
      <c r="J943" s="19"/>
      <c r="K943" s="19"/>
      <c r="L943" s="19"/>
      <c r="M943" s="19"/>
      <c r="N943" s="19"/>
      <c r="O943" s="19"/>
      <c r="P943" s="19"/>
      <c r="Q943" s="19"/>
      <c r="R943" s="19"/>
      <c r="S943" s="19"/>
      <c r="T943" s="19"/>
      <c r="U943" s="19"/>
      <c r="V943" s="19"/>
      <c r="W943" s="19"/>
      <c r="X943" s="19"/>
      <c r="Y943" s="19"/>
      <c r="Z943" s="19"/>
    </row>
    <row r="944" spans="2:26" ht="12" customHeight="1">
      <c r="B944" s="19"/>
      <c r="C944" s="19"/>
      <c r="D944" s="19"/>
      <c r="E944" s="19"/>
      <c r="F944" s="19"/>
      <c r="G944" s="19"/>
      <c r="H944" s="19"/>
      <c r="I944" s="19"/>
      <c r="J944" s="19"/>
      <c r="K944" s="19"/>
      <c r="L944" s="19"/>
      <c r="M944" s="19"/>
      <c r="N944" s="19"/>
      <c r="O944" s="19"/>
      <c r="P944" s="19"/>
      <c r="Q944" s="19"/>
      <c r="R944" s="19"/>
      <c r="S944" s="19"/>
      <c r="T944" s="19"/>
      <c r="U944" s="19"/>
      <c r="V944" s="19"/>
      <c r="W944" s="19"/>
      <c r="X944" s="19"/>
      <c r="Y944" s="19"/>
      <c r="Z944" s="19"/>
    </row>
    <row r="945" spans="2:26" ht="12" customHeight="1">
      <c r="B945" s="19"/>
      <c r="C945" s="19"/>
      <c r="D945" s="19"/>
      <c r="E945" s="19"/>
      <c r="F945" s="19"/>
      <c r="G945" s="19"/>
      <c r="H945" s="19"/>
      <c r="I945" s="19"/>
      <c r="J945" s="19"/>
      <c r="K945" s="19"/>
      <c r="L945" s="19"/>
      <c r="M945" s="19"/>
      <c r="N945" s="19"/>
      <c r="O945" s="19"/>
      <c r="P945" s="19"/>
      <c r="Q945" s="19"/>
      <c r="R945" s="19"/>
      <c r="S945" s="19"/>
      <c r="T945" s="19"/>
      <c r="U945" s="19"/>
      <c r="V945" s="19"/>
      <c r="W945" s="19"/>
      <c r="X945" s="19"/>
      <c r="Y945" s="19"/>
      <c r="Z945" s="19"/>
    </row>
    <row r="946" spans="2:26" ht="12" customHeight="1">
      <c r="B946" s="19"/>
      <c r="C946" s="19"/>
      <c r="D946" s="19"/>
      <c r="E946" s="19"/>
      <c r="F946" s="19"/>
      <c r="G946" s="19"/>
      <c r="H946" s="19"/>
      <c r="I946" s="19"/>
      <c r="J946" s="19"/>
      <c r="K946" s="19"/>
      <c r="L946" s="19"/>
      <c r="M946" s="19"/>
      <c r="N946" s="19"/>
      <c r="O946" s="19"/>
      <c r="P946" s="19"/>
      <c r="Q946" s="19"/>
      <c r="R946" s="19"/>
      <c r="S946" s="19"/>
      <c r="T946" s="19"/>
      <c r="U946" s="19"/>
      <c r="V946" s="19"/>
      <c r="W946" s="19"/>
      <c r="X946" s="19"/>
      <c r="Y946" s="19"/>
      <c r="Z946" s="19"/>
    </row>
    <row r="947" spans="2:26" ht="12" customHeight="1">
      <c r="B947" s="19"/>
      <c r="C947" s="19"/>
      <c r="D947" s="19"/>
      <c r="E947" s="19"/>
      <c r="F947" s="19"/>
      <c r="G947" s="19"/>
      <c r="H947" s="19"/>
      <c r="I947" s="19"/>
      <c r="J947" s="19"/>
      <c r="K947" s="19"/>
      <c r="L947" s="19"/>
      <c r="M947" s="19"/>
      <c r="N947" s="19"/>
      <c r="O947" s="19"/>
      <c r="P947" s="19"/>
      <c r="Q947" s="19"/>
      <c r="R947" s="19"/>
      <c r="S947" s="19"/>
      <c r="T947" s="19"/>
      <c r="U947" s="19"/>
      <c r="V947" s="19"/>
      <c r="W947" s="19"/>
      <c r="X947" s="19"/>
      <c r="Y947" s="19"/>
      <c r="Z947" s="19"/>
    </row>
    <row r="948" spans="2:26" ht="12" customHeight="1">
      <c r="B948" s="19"/>
      <c r="C948" s="19"/>
      <c r="D948" s="19"/>
      <c r="E948" s="19"/>
      <c r="F948" s="19"/>
      <c r="G948" s="19"/>
      <c r="H948" s="19"/>
      <c r="I948" s="19"/>
      <c r="J948" s="19"/>
      <c r="K948" s="19"/>
      <c r="L948" s="19"/>
      <c r="M948" s="19"/>
      <c r="N948" s="19"/>
      <c r="O948" s="19"/>
      <c r="P948" s="19"/>
      <c r="Q948" s="19"/>
      <c r="R948" s="19"/>
      <c r="S948" s="19"/>
      <c r="T948" s="19"/>
      <c r="U948" s="19"/>
      <c r="V948" s="19"/>
      <c r="W948" s="19"/>
      <c r="X948" s="19"/>
      <c r="Y948" s="19"/>
      <c r="Z948" s="19"/>
    </row>
    <row r="949" spans="2:26" ht="12" customHeight="1">
      <c r="B949" s="19"/>
      <c r="C949" s="19"/>
      <c r="D949" s="19"/>
      <c r="E949" s="19"/>
      <c r="F949" s="19"/>
      <c r="G949" s="19"/>
      <c r="H949" s="19"/>
      <c r="I949" s="19"/>
      <c r="J949" s="19"/>
      <c r="K949" s="19"/>
      <c r="L949" s="19"/>
      <c r="M949" s="19"/>
      <c r="N949" s="19"/>
      <c r="O949" s="19"/>
      <c r="P949" s="19"/>
      <c r="Q949" s="19"/>
      <c r="R949" s="19"/>
      <c r="S949" s="19"/>
      <c r="T949" s="19"/>
      <c r="U949" s="19"/>
      <c r="V949" s="19"/>
      <c r="W949" s="19"/>
      <c r="X949" s="19"/>
      <c r="Y949" s="19"/>
      <c r="Z949" s="19"/>
    </row>
    <row r="950" spans="2:26" ht="12" customHeight="1">
      <c r="B950" s="19"/>
      <c r="C950" s="19"/>
      <c r="D950" s="19"/>
      <c r="E950" s="19"/>
      <c r="F950" s="19"/>
      <c r="G950" s="19"/>
      <c r="H950" s="19"/>
      <c r="I950" s="19"/>
      <c r="J950" s="19"/>
      <c r="K950" s="19"/>
      <c r="L950" s="19"/>
      <c r="M950" s="19"/>
      <c r="N950" s="19"/>
      <c r="O950" s="19"/>
      <c r="P950" s="19"/>
      <c r="Q950" s="19"/>
      <c r="R950" s="19"/>
      <c r="S950" s="19"/>
      <c r="T950" s="19"/>
      <c r="U950" s="19"/>
      <c r="V950" s="19"/>
      <c r="W950" s="19"/>
      <c r="X950" s="19"/>
      <c r="Y950" s="19"/>
      <c r="Z950" s="19"/>
    </row>
    <row r="951" spans="2:26" ht="12" customHeight="1">
      <c r="B951" s="19"/>
      <c r="C951" s="19"/>
      <c r="D951" s="19"/>
      <c r="E951" s="19"/>
      <c r="F951" s="19"/>
      <c r="G951" s="19"/>
      <c r="H951" s="19"/>
      <c r="I951" s="19"/>
      <c r="J951" s="19"/>
      <c r="K951" s="19"/>
      <c r="L951" s="19"/>
      <c r="M951" s="19"/>
      <c r="N951" s="19"/>
      <c r="O951" s="19"/>
      <c r="P951" s="19"/>
      <c r="Q951" s="19"/>
      <c r="R951" s="19"/>
      <c r="S951" s="19"/>
      <c r="T951" s="19"/>
      <c r="U951" s="19"/>
      <c r="V951" s="19"/>
      <c r="W951" s="19"/>
      <c r="X951" s="19"/>
      <c r="Y951" s="19"/>
      <c r="Z951" s="19"/>
    </row>
    <row r="952" spans="2:26" ht="12" customHeight="1">
      <c r="B952" s="19"/>
      <c r="C952" s="19"/>
      <c r="D952" s="19"/>
      <c r="E952" s="19"/>
      <c r="F952" s="19"/>
      <c r="G952" s="19"/>
      <c r="H952" s="19"/>
      <c r="I952" s="19"/>
      <c r="J952" s="19"/>
      <c r="K952" s="19"/>
      <c r="L952" s="19"/>
      <c r="M952" s="19"/>
      <c r="N952" s="19"/>
      <c r="O952" s="19"/>
      <c r="P952" s="19"/>
      <c r="Q952" s="19"/>
      <c r="R952" s="19"/>
      <c r="S952" s="19"/>
      <c r="T952" s="19"/>
      <c r="U952" s="19"/>
      <c r="V952" s="19"/>
      <c r="W952" s="19"/>
      <c r="X952" s="19"/>
      <c r="Y952" s="19"/>
      <c r="Z952" s="19"/>
    </row>
    <row r="953" spans="2:26" ht="12" customHeight="1">
      <c r="B953" s="19"/>
      <c r="C953" s="19"/>
      <c r="D953" s="19"/>
      <c r="E953" s="19"/>
      <c r="F953" s="19"/>
      <c r="G953" s="19"/>
      <c r="H953" s="19"/>
      <c r="I953" s="19"/>
      <c r="J953" s="19"/>
      <c r="K953" s="19"/>
      <c r="L953" s="19"/>
      <c r="M953" s="19"/>
      <c r="N953" s="19"/>
      <c r="O953" s="19"/>
      <c r="P953" s="19"/>
      <c r="Q953" s="19"/>
      <c r="R953" s="19"/>
      <c r="S953" s="19"/>
      <c r="T953" s="19"/>
      <c r="U953" s="19"/>
      <c r="V953" s="19"/>
      <c r="W953" s="19"/>
      <c r="X953" s="19"/>
      <c r="Y953" s="19"/>
      <c r="Z953" s="19"/>
    </row>
    <row r="954" spans="2:26" ht="12" customHeight="1">
      <c r="B954" s="19"/>
      <c r="C954" s="19"/>
      <c r="D954" s="19"/>
      <c r="E954" s="19"/>
      <c r="F954" s="19"/>
      <c r="G954" s="19"/>
      <c r="H954" s="19"/>
      <c r="I954" s="19"/>
      <c r="J954" s="19"/>
      <c r="K954" s="19"/>
      <c r="L954" s="19"/>
      <c r="M954" s="19"/>
      <c r="N954" s="19"/>
      <c r="O954" s="19"/>
      <c r="P954" s="19"/>
      <c r="Q954" s="19"/>
      <c r="R954" s="19"/>
      <c r="S954" s="19"/>
      <c r="T954" s="19"/>
      <c r="U954" s="19"/>
      <c r="V954" s="19"/>
      <c r="W954" s="19"/>
      <c r="X954" s="19"/>
      <c r="Y954" s="19"/>
      <c r="Z954" s="19"/>
    </row>
    <row r="955" spans="2:26" ht="12" customHeight="1">
      <c r="B955" s="19"/>
      <c r="C955" s="19"/>
      <c r="D955" s="19"/>
      <c r="E955" s="19"/>
      <c r="F955" s="19"/>
      <c r="G955" s="19"/>
      <c r="H955" s="19"/>
      <c r="I955" s="19"/>
      <c r="J955" s="19"/>
      <c r="K955" s="19"/>
      <c r="L955" s="19"/>
      <c r="M955" s="19"/>
      <c r="N955" s="19"/>
      <c r="O955" s="19"/>
      <c r="P955" s="19"/>
      <c r="Q955" s="19"/>
      <c r="R955" s="19"/>
      <c r="S955" s="19"/>
      <c r="T955" s="19"/>
      <c r="U955" s="19"/>
      <c r="V955" s="19"/>
      <c r="W955" s="19"/>
      <c r="X955" s="19"/>
      <c r="Y955" s="19"/>
      <c r="Z955" s="19"/>
    </row>
    <row r="956" spans="2:26" ht="12" customHeight="1">
      <c r="B956" s="19"/>
      <c r="C956" s="19"/>
      <c r="D956" s="19"/>
      <c r="E956" s="19"/>
      <c r="F956" s="19"/>
      <c r="G956" s="19"/>
      <c r="H956" s="19"/>
      <c r="I956" s="19"/>
      <c r="J956" s="19"/>
      <c r="K956" s="19"/>
      <c r="L956" s="19"/>
      <c r="M956" s="19"/>
      <c r="N956" s="19"/>
      <c r="O956" s="19"/>
      <c r="P956" s="19"/>
      <c r="Q956" s="19"/>
      <c r="R956" s="19"/>
      <c r="S956" s="19"/>
      <c r="T956" s="19"/>
      <c r="U956" s="19"/>
      <c r="V956" s="19"/>
      <c r="W956" s="19"/>
      <c r="X956" s="19"/>
      <c r="Y956" s="19"/>
      <c r="Z956" s="19"/>
    </row>
    <row r="957" spans="2:26" ht="12" customHeight="1">
      <c r="B957" s="19"/>
      <c r="C957" s="19"/>
      <c r="D957" s="19"/>
      <c r="E957" s="19"/>
      <c r="F957" s="19"/>
      <c r="G957" s="19"/>
      <c r="H957" s="19"/>
      <c r="I957" s="19"/>
      <c r="J957" s="19"/>
      <c r="K957" s="19"/>
      <c r="L957" s="19"/>
      <c r="M957" s="19"/>
      <c r="N957" s="19"/>
      <c r="O957" s="19"/>
      <c r="P957" s="19"/>
      <c r="Q957" s="19"/>
      <c r="R957" s="19"/>
      <c r="S957" s="19"/>
      <c r="T957" s="19"/>
      <c r="U957" s="19"/>
      <c r="V957" s="19"/>
      <c r="W957" s="19"/>
      <c r="X957" s="19"/>
      <c r="Y957" s="19"/>
      <c r="Z957" s="19"/>
    </row>
    <row r="958" spans="2:26" ht="12" customHeight="1">
      <c r="B958" s="19"/>
      <c r="C958" s="19"/>
      <c r="D958" s="19"/>
      <c r="E958" s="19"/>
      <c r="F958" s="19"/>
      <c r="G958" s="19"/>
      <c r="H958" s="19"/>
      <c r="I958" s="19"/>
      <c r="J958" s="19"/>
      <c r="K958" s="19"/>
      <c r="L958" s="19"/>
      <c r="M958" s="19"/>
      <c r="N958" s="19"/>
      <c r="O958" s="19"/>
      <c r="P958" s="19"/>
      <c r="Q958" s="19"/>
      <c r="R958" s="19"/>
      <c r="S958" s="19"/>
      <c r="T958" s="19"/>
      <c r="U958" s="19"/>
      <c r="V958" s="19"/>
      <c r="W958" s="19"/>
      <c r="X958" s="19"/>
      <c r="Y958" s="19"/>
      <c r="Z958" s="19"/>
    </row>
    <row r="959" spans="2:26" ht="12" customHeight="1">
      <c r="B959" s="19"/>
      <c r="C959" s="19"/>
      <c r="D959" s="19"/>
      <c r="E959" s="19"/>
      <c r="F959" s="19"/>
      <c r="G959" s="19"/>
      <c r="H959" s="19"/>
      <c r="I959" s="19"/>
      <c r="J959" s="19"/>
      <c r="K959" s="19"/>
      <c r="L959" s="19"/>
      <c r="M959" s="19"/>
      <c r="N959" s="19"/>
      <c r="O959" s="19"/>
      <c r="P959" s="19"/>
      <c r="Q959" s="19"/>
      <c r="R959" s="19"/>
      <c r="S959" s="19"/>
      <c r="T959" s="19"/>
      <c r="U959" s="19"/>
      <c r="V959" s="19"/>
      <c r="W959" s="19"/>
      <c r="X959" s="19"/>
      <c r="Y959" s="19"/>
      <c r="Z959" s="19"/>
    </row>
    <row r="960" spans="2:26" ht="12" customHeight="1">
      <c r="B960" s="19"/>
      <c r="C960" s="19"/>
      <c r="D960" s="19"/>
      <c r="E960" s="19"/>
      <c r="F960" s="19"/>
      <c r="G960" s="19"/>
      <c r="H960" s="19"/>
      <c r="I960" s="19"/>
      <c r="J960" s="19"/>
      <c r="K960" s="19"/>
      <c r="L960" s="19"/>
      <c r="M960" s="19"/>
      <c r="N960" s="19"/>
      <c r="O960" s="19"/>
      <c r="P960" s="19"/>
      <c r="Q960" s="19"/>
      <c r="R960" s="19"/>
      <c r="S960" s="19"/>
      <c r="T960" s="19"/>
      <c r="U960" s="19"/>
      <c r="V960" s="19"/>
      <c r="W960" s="19"/>
      <c r="X960" s="19"/>
      <c r="Y960" s="19"/>
      <c r="Z960" s="19"/>
    </row>
    <row r="961" spans="2:26" ht="12" customHeight="1">
      <c r="B961" s="19"/>
      <c r="C961" s="19"/>
      <c r="D961" s="19"/>
      <c r="E961" s="19"/>
      <c r="F961" s="19"/>
      <c r="G961" s="19"/>
      <c r="H961" s="19"/>
      <c r="I961" s="19"/>
      <c r="J961" s="19"/>
      <c r="K961" s="19"/>
      <c r="L961" s="19"/>
      <c r="M961" s="19"/>
      <c r="N961" s="19"/>
      <c r="O961" s="19"/>
      <c r="P961" s="19"/>
      <c r="Q961" s="19"/>
      <c r="R961" s="19"/>
      <c r="S961" s="19"/>
      <c r="T961" s="19"/>
      <c r="U961" s="19"/>
      <c r="V961" s="19"/>
      <c r="W961" s="19"/>
      <c r="X961" s="19"/>
      <c r="Y961" s="19"/>
      <c r="Z961" s="19"/>
    </row>
    <row r="962" spans="2:26" ht="12" customHeight="1">
      <c r="B962" s="19"/>
      <c r="C962" s="19"/>
      <c r="D962" s="19"/>
      <c r="E962" s="19"/>
      <c r="F962" s="19"/>
      <c r="G962" s="19"/>
      <c r="H962" s="19"/>
      <c r="I962" s="19"/>
      <c r="J962" s="19"/>
      <c r="K962" s="19"/>
      <c r="L962" s="19"/>
      <c r="M962" s="19"/>
      <c r="N962" s="19"/>
      <c r="O962" s="19"/>
      <c r="P962" s="19"/>
      <c r="Q962" s="19"/>
      <c r="R962" s="19"/>
      <c r="S962" s="19"/>
      <c r="T962" s="19"/>
      <c r="U962" s="19"/>
      <c r="V962" s="19"/>
      <c r="W962" s="19"/>
      <c r="X962" s="19"/>
      <c r="Y962" s="19"/>
      <c r="Z962" s="19"/>
    </row>
    <row r="963" spans="2:26" ht="12" customHeight="1">
      <c r="B963" s="19"/>
      <c r="C963" s="19"/>
      <c r="D963" s="19"/>
      <c r="E963" s="19"/>
      <c r="F963" s="19"/>
      <c r="G963" s="19"/>
      <c r="H963" s="19"/>
      <c r="I963" s="19"/>
      <c r="J963" s="19"/>
      <c r="K963" s="19"/>
      <c r="L963" s="19"/>
      <c r="M963" s="19"/>
      <c r="N963" s="19"/>
      <c r="O963" s="19"/>
      <c r="P963" s="19"/>
      <c r="Q963" s="19"/>
      <c r="R963" s="19"/>
      <c r="S963" s="19"/>
      <c r="T963" s="19"/>
      <c r="U963" s="19"/>
      <c r="V963" s="19"/>
      <c r="W963" s="19"/>
      <c r="X963" s="19"/>
      <c r="Y963" s="19"/>
      <c r="Z963" s="19"/>
    </row>
    <row r="964" spans="2:26" ht="12" customHeight="1">
      <c r="B964" s="19"/>
      <c r="C964" s="19"/>
      <c r="D964" s="19"/>
      <c r="E964" s="19"/>
      <c r="F964" s="19"/>
      <c r="G964" s="19"/>
      <c r="H964" s="19"/>
      <c r="I964" s="19"/>
      <c r="J964" s="19"/>
      <c r="K964" s="19"/>
      <c r="L964" s="19"/>
      <c r="M964" s="19"/>
      <c r="N964" s="19"/>
      <c r="O964" s="19"/>
      <c r="P964" s="19"/>
      <c r="Q964" s="19"/>
      <c r="R964" s="19"/>
      <c r="S964" s="19"/>
      <c r="T964" s="19"/>
      <c r="U964" s="19"/>
      <c r="V964" s="19"/>
      <c r="W964" s="19"/>
      <c r="X964" s="19"/>
      <c r="Y964" s="19"/>
      <c r="Z964" s="19"/>
    </row>
    <row r="965" spans="2:26" ht="12" customHeight="1">
      <c r="B965" s="19"/>
      <c r="C965" s="19"/>
      <c r="D965" s="19"/>
      <c r="E965" s="19"/>
      <c r="F965" s="19"/>
      <c r="G965" s="19"/>
      <c r="H965" s="19"/>
      <c r="I965" s="19"/>
      <c r="J965" s="19"/>
      <c r="K965" s="19"/>
      <c r="L965" s="19"/>
      <c r="M965" s="19"/>
      <c r="N965" s="19"/>
      <c r="O965" s="19"/>
      <c r="P965" s="19"/>
      <c r="Q965" s="19"/>
      <c r="R965" s="19"/>
      <c r="S965" s="19"/>
      <c r="T965" s="19"/>
      <c r="U965" s="19"/>
      <c r="V965" s="19"/>
      <c r="W965" s="19"/>
      <c r="X965" s="19"/>
      <c r="Y965" s="19"/>
      <c r="Z965" s="19"/>
    </row>
    <row r="966" spans="2:26" ht="12" customHeight="1">
      <c r="B966" s="19"/>
      <c r="C966" s="19"/>
      <c r="D966" s="19"/>
      <c r="E966" s="19"/>
      <c r="F966" s="19"/>
      <c r="G966" s="19"/>
      <c r="H966" s="19"/>
      <c r="I966" s="19"/>
      <c r="J966" s="19"/>
      <c r="K966" s="19"/>
      <c r="L966" s="19"/>
      <c r="M966" s="19"/>
      <c r="N966" s="19"/>
      <c r="O966" s="19"/>
      <c r="P966" s="19"/>
      <c r="Q966" s="19"/>
      <c r="R966" s="19"/>
      <c r="S966" s="19"/>
      <c r="T966" s="19"/>
      <c r="U966" s="19"/>
      <c r="V966" s="19"/>
      <c r="W966" s="19"/>
      <c r="X966" s="19"/>
      <c r="Y966" s="19"/>
      <c r="Z966" s="19"/>
    </row>
    <row r="967" spans="2:26" ht="12" customHeight="1">
      <c r="B967" s="19"/>
      <c r="C967" s="19"/>
      <c r="D967" s="19"/>
      <c r="E967" s="19"/>
      <c r="F967" s="19"/>
      <c r="G967" s="19"/>
      <c r="H967" s="19"/>
      <c r="I967" s="19"/>
      <c r="J967" s="19"/>
      <c r="K967" s="19"/>
      <c r="L967" s="19"/>
      <c r="M967" s="19"/>
      <c r="N967" s="19"/>
      <c r="O967" s="19"/>
      <c r="P967" s="19"/>
      <c r="Q967" s="19"/>
      <c r="R967" s="19"/>
      <c r="S967" s="19"/>
      <c r="T967" s="19"/>
      <c r="U967" s="19"/>
      <c r="V967" s="19"/>
      <c r="W967" s="19"/>
      <c r="X967" s="19"/>
      <c r="Y967" s="19"/>
      <c r="Z967" s="19"/>
    </row>
    <row r="968" spans="2:26" ht="12" customHeight="1">
      <c r="B968" s="19"/>
      <c r="C968" s="19"/>
      <c r="D968" s="19"/>
      <c r="E968" s="19"/>
      <c r="F968" s="19"/>
      <c r="G968" s="19"/>
      <c r="H968" s="19"/>
      <c r="I968" s="19"/>
      <c r="J968" s="19"/>
      <c r="K968" s="19"/>
      <c r="L968" s="19"/>
      <c r="M968" s="19"/>
      <c r="N968" s="19"/>
      <c r="O968" s="19"/>
      <c r="P968" s="19"/>
      <c r="Q968" s="19"/>
      <c r="R968" s="19"/>
      <c r="S968" s="19"/>
      <c r="T968" s="19"/>
      <c r="U968" s="19"/>
      <c r="V968" s="19"/>
      <c r="W968" s="19"/>
      <c r="X968" s="19"/>
      <c r="Y968" s="19"/>
      <c r="Z968" s="19"/>
    </row>
    <row r="969" spans="2:26" ht="12" customHeight="1">
      <c r="B969" s="19"/>
      <c r="C969" s="19"/>
      <c r="D969" s="19"/>
      <c r="E969" s="19"/>
      <c r="F969" s="19"/>
      <c r="G969" s="19"/>
      <c r="H969" s="19"/>
      <c r="I969" s="19"/>
      <c r="J969" s="19"/>
      <c r="K969" s="19"/>
      <c r="L969" s="19"/>
      <c r="M969" s="19"/>
      <c r="N969" s="19"/>
      <c r="O969" s="19"/>
      <c r="P969" s="19"/>
      <c r="Q969" s="19"/>
      <c r="R969" s="19"/>
      <c r="S969" s="19"/>
      <c r="T969" s="19"/>
      <c r="U969" s="19"/>
      <c r="V969" s="19"/>
      <c r="W969" s="19"/>
      <c r="X969" s="19"/>
      <c r="Y969" s="19"/>
      <c r="Z969" s="19"/>
    </row>
    <row r="970" spans="2:26" ht="12" customHeight="1">
      <c r="B970" s="19"/>
      <c r="C970" s="19"/>
      <c r="D970" s="19"/>
      <c r="E970" s="19"/>
      <c r="F970" s="19"/>
      <c r="G970" s="19"/>
      <c r="H970" s="19"/>
      <c r="I970" s="19"/>
      <c r="J970" s="19"/>
      <c r="K970" s="19"/>
      <c r="L970" s="19"/>
      <c r="M970" s="19"/>
      <c r="N970" s="19"/>
      <c r="O970" s="19"/>
      <c r="P970" s="19"/>
      <c r="Q970" s="19"/>
      <c r="R970" s="19"/>
      <c r="S970" s="19"/>
      <c r="T970" s="19"/>
      <c r="U970" s="19"/>
      <c r="V970" s="19"/>
      <c r="W970" s="19"/>
      <c r="X970" s="19"/>
      <c r="Y970" s="19"/>
      <c r="Z970" s="19"/>
    </row>
    <row r="971" spans="2:26" ht="12" customHeight="1">
      <c r="B971" s="19"/>
      <c r="C971" s="19"/>
      <c r="D971" s="19"/>
      <c r="E971" s="19"/>
      <c r="F971" s="19"/>
      <c r="G971" s="19"/>
      <c r="H971" s="19"/>
      <c r="I971" s="19"/>
      <c r="J971" s="19"/>
      <c r="K971" s="19"/>
      <c r="L971" s="19"/>
      <c r="M971" s="19"/>
      <c r="N971" s="19"/>
      <c r="O971" s="19"/>
      <c r="P971" s="19"/>
      <c r="Q971" s="19"/>
      <c r="R971" s="19"/>
      <c r="S971" s="19"/>
      <c r="T971" s="19"/>
      <c r="U971" s="19"/>
      <c r="V971" s="19"/>
      <c r="W971" s="19"/>
      <c r="X971" s="19"/>
      <c r="Y971" s="19"/>
      <c r="Z971" s="19"/>
    </row>
    <row r="972" spans="2:26" ht="12" customHeight="1">
      <c r="B972" s="19"/>
      <c r="C972" s="19"/>
      <c r="D972" s="19"/>
      <c r="E972" s="19"/>
      <c r="F972" s="19"/>
      <c r="G972" s="19"/>
      <c r="H972" s="19"/>
      <c r="I972" s="19"/>
      <c r="J972" s="19"/>
      <c r="K972" s="19"/>
      <c r="L972" s="19"/>
      <c r="M972" s="19"/>
      <c r="N972" s="19"/>
      <c r="O972" s="19"/>
      <c r="P972" s="19"/>
      <c r="Q972" s="19"/>
      <c r="R972" s="19"/>
      <c r="S972" s="19"/>
      <c r="T972" s="19"/>
      <c r="U972" s="19"/>
      <c r="V972" s="19"/>
      <c r="W972" s="19"/>
      <c r="X972" s="19"/>
      <c r="Y972" s="19"/>
      <c r="Z972" s="19"/>
    </row>
    <row r="973" spans="2:26" ht="12" customHeight="1">
      <c r="B973" s="19"/>
      <c r="C973" s="19"/>
      <c r="D973" s="19"/>
      <c r="E973" s="19"/>
      <c r="F973" s="19"/>
      <c r="G973" s="19"/>
      <c r="H973" s="19"/>
      <c r="I973" s="19"/>
      <c r="J973" s="19"/>
      <c r="K973" s="19"/>
      <c r="L973" s="19"/>
      <c r="M973" s="19"/>
      <c r="N973" s="19"/>
      <c r="O973" s="19"/>
      <c r="P973" s="19"/>
      <c r="Q973" s="19"/>
      <c r="R973" s="19"/>
      <c r="S973" s="19"/>
      <c r="T973" s="19"/>
      <c r="U973" s="19"/>
      <c r="V973" s="19"/>
      <c r="W973" s="19"/>
      <c r="X973" s="19"/>
      <c r="Y973" s="19"/>
      <c r="Z973" s="19"/>
    </row>
    <row r="974" spans="2:26" ht="12" customHeight="1">
      <c r="B974" s="19"/>
      <c r="C974" s="19"/>
      <c r="D974" s="19"/>
      <c r="E974" s="19"/>
      <c r="F974" s="19"/>
      <c r="G974" s="19"/>
      <c r="H974" s="19"/>
      <c r="I974" s="19"/>
      <c r="J974" s="19"/>
      <c r="K974" s="19"/>
      <c r="L974" s="19"/>
      <c r="M974" s="19"/>
      <c r="N974" s="19"/>
      <c r="O974" s="19"/>
      <c r="P974" s="19"/>
      <c r="Q974" s="19"/>
      <c r="R974" s="19"/>
      <c r="S974" s="19"/>
      <c r="T974" s="19"/>
      <c r="U974" s="19"/>
      <c r="V974" s="19"/>
      <c r="W974" s="19"/>
      <c r="X974" s="19"/>
      <c r="Y974" s="19"/>
      <c r="Z974" s="19"/>
    </row>
    <row r="975" spans="2:26" ht="12" customHeight="1">
      <c r="B975" s="19"/>
      <c r="C975" s="19"/>
      <c r="D975" s="19"/>
      <c r="E975" s="19"/>
      <c r="F975" s="19"/>
      <c r="G975" s="19"/>
      <c r="H975" s="19"/>
      <c r="I975" s="19"/>
      <c r="J975" s="19"/>
      <c r="K975" s="19"/>
      <c r="L975" s="19"/>
      <c r="M975" s="19"/>
      <c r="N975" s="19"/>
      <c r="O975" s="19"/>
      <c r="P975" s="19"/>
      <c r="Q975" s="19"/>
      <c r="R975" s="19"/>
      <c r="S975" s="19"/>
      <c r="T975" s="19"/>
      <c r="U975" s="19"/>
      <c r="V975" s="19"/>
      <c r="W975" s="19"/>
      <c r="X975" s="19"/>
      <c r="Y975" s="19"/>
      <c r="Z975" s="19"/>
    </row>
    <row r="976" spans="2:26" ht="12" customHeight="1">
      <c r="B976" s="19"/>
      <c r="C976" s="19"/>
      <c r="D976" s="19"/>
      <c r="E976" s="19"/>
      <c r="F976" s="19"/>
      <c r="G976" s="19"/>
      <c r="H976" s="19"/>
      <c r="I976" s="19"/>
      <c r="J976" s="19"/>
      <c r="K976" s="19"/>
      <c r="L976" s="19"/>
      <c r="M976" s="19"/>
      <c r="N976" s="19"/>
      <c r="O976" s="19"/>
      <c r="P976" s="19"/>
      <c r="Q976" s="19"/>
      <c r="R976" s="19"/>
      <c r="S976" s="19"/>
      <c r="T976" s="19"/>
      <c r="U976" s="19"/>
      <c r="V976" s="19"/>
      <c r="W976" s="19"/>
      <c r="X976" s="19"/>
      <c r="Y976" s="19"/>
      <c r="Z976" s="19"/>
    </row>
    <row r="977" spans="2:26" ht="12" customHeight="1">
      <c r="B977" s="19"/>
      <c r="C977" s="19"/>
      <c r="D977" s="19"/>
      <c r="E977" s="19"/>
      <c r="F977" s="19"/>
      <c r="G977" s="19"/>
      <c r="H977" s="19"/>
      <c r="I977" s="19"/>
      <c r="J977" s="19"/>
      <c r="K977" s="19"/>
      <c r="L977" s="19"/>
      <c r="M977" s="19"/>
      <c r="N977" s="19"/>
      <c r="O977" s="19"/>
      <c r="P977" s="19"/>
      <c r="Q977" s="19"/>
      <c r="R977" s="19"/>
      <c r="S977" s="19"/>
      <c r="T977" s="19"/>
      <c r="U977" s="19"/>
      <c r="V977" s="19"/>
      <c r="W977" s="19"/>
      <c r="X977" s="19"/>
      <c r="Y977" s="19"/>
      <c r="Z977" s="19"/>
    </row>
    <row r="978" spans="2:26" ht="12" customHeight="1">
      <c r="B978" s="19"/>
      <c r="C978" s="19"/>
      <c r="D978" s="19"/>
      <c r="E978" s="19"/>
      <c r="F978" s="19"/>
      <c r="G978" s="19"/>
      <c r="H978" s="19"/>
      <c r="I978" s="19"/>
      <c r="J978" s="19"/>
      <c r="K978" s="19"/>
      <c r="L978" s="19"/>
      <c r="M978" s="19"/>
      <c r="N978" s="19"/>
      <c r="O978" s="19"/>
      <c r="P978" s="19"/>
      <c r="Q978" s="19"/>
      <c r="R978" s="19"/>
      <c r="S978" s="19"/>
      <c r="T978" s="19"/>
      <c r="U978" s="19"/>
      <c r="V978" s="19"/>
      <c r="W978" s="19"/>
      <c r="X978" s="19"/>
      <c r="Y978" s="19"/>
      <c r="Z978" s="19"/>
    </row>
    <row r="979" spans="2:26" ht="12" customHeight="1">
      <c r="B979" s="19"/>
      <c r="C979" s="19"/>
      <c r="D979" s="19"/>
      <c r="E979" s="19"/>
      <c r="F979" s="19"/>
      <c r="G979" s="19"/>
      <c r="H979" s="19"/>
      <c r="I979" s="19"/>
      <c r="J979" s="19"/>
      <c r="K979" s="19"/>
      <c r="L979" s="19"/>
      <c r="M979" s="19"/>
      <c r="N979" s="19"/>
      <c r="O979" s="19"/>
      <c r="P979" s="19"/>
      <c r="Q979" s="19"/>
      <c r="R979" s="19"/>
      <c r="S979" s="19"/>
      <c r="T979" s="19"/>
      <c r="U979" s="19"/>
      <c r="V979" s="19"/>
      <c r="W979" s="19"/>
      <c r="X979" s="19"/>
      <c r="Y979" s="19"/>
      <c r="Z979" s="19"/>
    </row>
    <row r="980" spans="2:26" ht="12" customHeight="1">
      <c r="B980" s="19"/>
      <c r="C980" s="19"/>
      <c r="D980" s="19"/>
      <c r="E980" s="19"/>
      <c r="F980" s="19"/>
      <c r="G980" s="19"/>
      <c r="H980" s="19"/>
      <c r="I980" s="19"/>
      <c r="J980" s="19"/>
      <c r="K980" s="19"/>
      <c r="L980" s="19"/>
      <c r="M980" s="19"/>
      <c r="N980" s="19"/>
      <c r="O980" s="19"/>
      <c r="P980" s="19"/>
      <c r="Q980" s="19"/>
      <c r="R980" s="19"/>
      <c r="S980" s="19"/>
      <c r="T980" s="19"/>
      <c r="U980" s="19"/>
      <c r="V980" s="19"/>
      <c r="W980" s="19"/>
      <c r="X980" s="19"/>
      <c r="Y980" s="19"/>
      <c r="Z980" s="19"/>
    </row>
    <row r="981" spans="2:26" ht="12" customHeight="1">
      <c r="B981" s="19"/>
      <c r="C981" s="19"/>
      <c r="D981" s="19"/>
      <c r="E981" s="19"/>
      <c r="F981" s="19"/>
      <c r="G981" s="19"/>
      <c r="H981" s="19"/>
      <c r="I981" s="19"/>
      <c r="J981" s="19"/>
      <c r="K981" s="19"/>
      <c r="L981" s="19"/>
      <c r="M981" s="19"/>
      <c r="N981" s="19"/>
      <c r="O981" s="19"/>
      <c r="P981" s="19"/>
      <c r="Q981" s="19"/>
      <c r="R981" s="19"/>
      <c r="S981" s="19"/>
      <c r="T981" s="19"/>
      <c r="U981" s="19"/>
      <c r="V981" s="19"/>
      <c r="W981" s="19"/>
      <c r="X981" s="19"/>
      <c r="Y981" s="19"/>
      <c r="Z981" s="19"/>
    </row>
    <row r="982" spans="2:26" ht="12" customHeight="1">
      <c r="B982" s="19"/>
      <c r="C982" s="19"/>
      <c r="D982" s="19"/>
      <c r="E982" s="19"/>
      <c r="F982" s="19"/>
      <c r="G982" s="19"/>
      <c r="H982" s="19"/>
      <c r="I982" s="19"/>
      <c r="J982" s="19"/>
      <c r="K982" s="19"/>
      <c r="L982" s="19"/>
      <c r="M982" s="19"/>
      <c r="N982" s="19"/>
      <c r="O982" s="19"/>
      <c r="P982" s="19"/>
      <c r="Q982" s="19"/>
      <c r="R982" s="19"/>
      <c r="S982" s="19"/>
      <c r="T982" s="19"/>
      <c r="U982" s="19"/>
      <c r="V982" s="19"/>
      <c r="W982" s="19"/>
      <c r="X982" s="19"/>
      <c r="Y982" s="19"/>
      <c r="Z982" s="19"/>
    </row>
    <row r="983" spans="2:26" ht="12" customHeight="1">
      <c r="B983" s="19"/>
      <c r="C983" s="19"/>
      <c r="D983" s="19"/>
      <c r="E983" s="19"/>
      <c r="F983" s="19"/>
      <c r="G983" s="19"/>
      <c r="H983" s="19"/>
      <c r="I983" s="19"/>
      <c r="J983" s="19"/>
      <c r="K983" s="19"/>
      <c r="L983" s="19"/>
      <c r="M983" s="19"/>
      <c r="N983" s="19"/>
      <c r="O983" s="19"/>
      <c r="P983" s="19"/>
      <c r="Q983" s="19"/>
      <c r="R983" s="19"/>
      <c r="S983" s="19"/>
      <c r="T983" s="19"/>
      <c r="U983" s="19"/>
      <c r="V983" s="19"/>
      <c r="W983" s="19"/>
      <c r="X983" s="19"/>
      <c r="Y983" s="19"/>
      <c r="Z983" s="19"/>
    </row>
    <row r="984" spans="2:26" ht="12" customHeight="1">
      <c r="B984" s="19"/>
      <c r="C984" s="19"/>
      <c r="D984" s="19"/>
      <c r="E984" s="19"/>
      <c r="F984" s="19"/>
      <c r="G984" s="19"/>
      <c r="H984" s="19"/>
      <c r="I984" s="19"/>
      <c r="J984" s="19"/>
      <c r="K984" s="19"/>
      <c r="L984" s="19"/>
      <c r="M984" s="19"/>
      <c r="N984" s="19"/>
      <c r="O984" s="19"/>
      <c r="P984" s="19"/>
      <c r="Q984" s="19"/>
      <c r="R984" s="19"/>
      <c r="S984" s="19"/>
      <c r="T984" s="19"/>
      <c r="U984" s="19"/>
      <c r="V984" s="19"/>
      <c r="W984" s="19"/>
      <c r="X984" s="19"/>
      <c r="Y984" s="19"/>
      <c r="Z984" s="19"/>
    </row>
    <row r="985" spans="2:26" ht="12" customHeight="1">
      <c r="B985" s="19"/>
      <c r="C985" s="19"/>
      <c r="D985" s="19"/>
      <c r="E985" s="19"/>
      <c r="F985" s="19"/>
      <c r="G985" s="19"/>
      <c r="H985" s="19"/>
      <c r="I985" s="19"/>
      <c r="J985" s="19"/>
      <c r="K985" s="19"/>
      <c r="L985" s="19"/>
      <c r="M985" s="19"/>
      <c r="N985" s="19"/>
      <c r="O985" s="19"/>
      <c r="P985" s="19"/>
      <c r="Q985" s="19"/>
      <c r="R985" s="19"/>
      <c r="S985" s="19"/>
      <c r="T985" s="19"/>
      <c r="U985" s="19"/>
      <c r="V985" s="19"/>
      <c r="W985" s="19"/>
      <c r="X985" s="19"/>
      <c r="Y985" s="19"/>
      <c r="Z985" s="19"/>
    </row>
    <row r="986" spans="2:26" ht="12" customHeight="1">
      <c r="B986" s="19"/>
      <c r="C986" s="19"/>
      <c r="D986" s="19"/>
      <c r="E986" s="19"/>
      <c r="F986" s="19"/>
      <c r="G986" s="19"/>
      <c r="H986" s="19"/>
      <c r="I986" s="19"/>
      <c r="J986" s="19"/>
      <c r="K986" s="19"/>
      <c r="L986" s="19"/>
      <c r="M986" s="19"/>
      <c r="N986" s="19"/>
      <c r="O986" s="19"/>
      <c r="P986" s="19"/>
      <c r="Q986" s="19"/>
      <c r="R986" s="19"/>
      <c r="S986" s="19"/>
      <c r="T986" s="19"/>
      <c r="U986" s="19"/>
      <c r="V986" s="19"/>
      <c r="W986" s="19"/>
      <c r="X986" s="19"/>
      <c r="Y986" s="19"/>
      <c r="Z986" s="19"/>
    </row>
    <row r="987" spans="2:26" ht="12" customHeight="1">
      <c r="B987" s="19"/>
      <c r="C987" s="19"/>
      <c r="D987" s="19"/>
      <c r="E987" s="19"/>
      <c r="F987" s="19"/>
      <c r="G987" s="19"/>
      <c r="H987" s="19"/>
      <c r="I987" s="19"/>
      <c r="J987" s="19"/>
      <c r="K987" s="19"/>
      <c r="L987" s="19"/>
      <c r="M987" s="19"/>
      <c r="N987" s="19"/>
      <c r="O987" s="19"/>
      <c r="P987" s="19"/>
      <c r="Q987" s="19"/>
      <c r="R987" s="19"/>
      <c r="S987" s="19"/>
      <c r="T987" s="19"/>
      <c r="U987" s="19"/>
      <c r="V987" s="19"/>
      <c r="W987" s="19"/>
      <c r="X987" s="19"/>
      <c r="Y987" s="19"/>
      <c r="Z987" s="19"/>
    </row>
    <row r="988" spans="2:26" ht="12" customHeight="1">
      <c r="B988" s="19"/>
      <c r="C988" s="19"/>
      <c r="D988" s="19"/>
      <c r="E988" s="19"/>
      <c r="F988" s="19"/>
      <c r="G988" s="19"/>
      <c r="H988" s="19"/>
      <c r="I988" s="19"/>
      <c r="J988" s="19"/>
      <c r="K988" s="19"/>
      <c r="L988" s="19"/>
      <c r="M988" s="19"/>
      <c r="N988" s="19"/>
      <c r="O988" s="19"/>
      <c r="P988" s="19"/>
      <c r="Q988" s="19"/>
      <c r="R988" s="19"/>
      <c r="S988" s="19"/>
      <c r="T988" s="19"/>
      <c r="U988" s="19"/>
      <c r="V988" s="19"/>
      <c r="W988" s="19"/>
      <c r="X988" s="19"/>
      <c r="Y988" s="19"/>
      <c r="Z988" s="19"/>
    </row>
    <row r="989" spans="2:26" ht="12" customHeight="1">
      <c r="B989" s="19"/>
      <c r="C989" s="19"/>
      <c r="D989" s="19"/>
      <c r="E989" s="19"/>
      <c r="F989" s="19"/>
      <c r="G989" s="19"/>
      <c r="H989" s="19"/>
      <c r="I989" s="19"/>
      <c r="J989" s="19"/>
      <c r="K989" s="19"/>
      <c r="L989" s="19"/>
      <c r="M989" s="19"/>
      <c r="N989" s="19"/>
      <c r="O989" s="19"/>
      <c r="P989" s="19"/>
      <c r="Q989" s="19"/>
      <c r="R989" s="19"/>
      <c r="S989" s="19"/>
      <c r="T989" s="19"/>
      <c r="U989" s="19"/>
      <c r="V989" s="19"/>
      <c r="W989" s="19"/>
      <c r="X989" s="19"/>
      <c r="Y989" s="19"/>
      <c r="Z989" s="19"/>
    </row>
    <row r="990" spans="2:26" ht="12" customHeight="1">
      <c r="B990" s="19"/>
      <c r="C990" s="19"/>
      <c r="D990" s="19"/>
      <c r="E990" s="19"/>
      <c r="F990" s="19"/>
      <c r="G990" s="19"/>
      <c r="H990" s="19"/>
      <c r="I990" s="19"/>
      <c r="J990" s="19"/>
      <c r="K990" s="19"/>
      <c r="L990" s="19"/>
      <c r="M990" s="19"/>
      <c r="N990" s="19"/>
      <c r="O990" s="19"/>
      <c r="P990" s="19"/>
      <c r="Q990" s="19"/>
      <c r="R990" s="19"/>
      <c r="S990" s="19"/>
      <c r="T990" s="19"/>
      <c r="U990" s="19"/>
      <c r="V990" s="19"/>
      <c r="W990" s="19"/>
      <c r="X990" s="19"/>
      <c r="Y990" s="19"/>
      <c r="Z990" s="19"/>
    </row>
    <row r="991" spans="2:26" ht="12" customHeight="1">
      <c r="B991" s="19"/>
      <c r="C991" s="19"/>
      <c r="D991" s="19"/>
      <c r="E991" s="19"/>
      <c r="F991" s="19"/>
      <c r="G991" s="19"/>
      <c r="H991" s="19"/>
      <c r="I991" s="19"/>
      <c r="J991" s="19"/>
      <c r="K991" s="19"/>
      <c r="L991" s="19"/>
      <c r="M991" s="19"/>
      <c r="N991" s="19"/>
      <c r="O991" s="19"/>
      <c r="P991" s="19"/>
      <c r="Q991" s="19"/>
      <c r="R991" s="19"/>
      <c r="S991" s="19"/>
      <c r="T991" s="19"/>
      <c r="U991" s="19"/>
      <c r="V991" s="19"/>
      <c r="W991" s="19"/>
      <c r="X991" s="19"/>
      <c r="Y991" s="19"/>
      <c r="Z991" s="19"/>
    </row>
    <row r="992" spans="2:26" ht="12" customHeight="1">
      <c r="B992" s="19"/>
      <c r="C992" s="19"/>
      <c r="D992" s="19"/>
      <c r="E992" s="19"/>
      <c r="F992" s="19"/>
      <c r="G992" s="19"/>
      <c r="H992" s="19"/>
      <c r="I992" s="19"/>
      <c r="J992" s="19"/>
      <c r="K992" s="19"/>
      <c r="L992" s="19"/>
      <c r="M992" s="19"/>
      <c r="N992" s="19"/>
      <c r="O992" s="19"/>
      <c r="P992" s="19"/>
      <c r="Q992" s="19"/>
      <c r="R992" s="19"/>
      <c r="S992" s="19"/>
      <c r="T992" s="19"/>
      <c r="U992" s="19"/>
      <c r="V992" s="19"/>
      <c r="W992" s="19"/>
      <c r="X992" s="19"/>
      <c r="Y992" s="19"/>
      <c r="Z992" s="19"/>
    </row>
    <row r="993" spans="2:26" ht="12" customHeight="1">
      <c r="B993" s="19"/>
      <c r="C993" s="19"/>
      <c r="D993" s="19"/>
      <c r="E993" s="19"/>
      <c r="F993" s="19"/>
      <c r="G993" s="19"/>
      <c r="H993" s="19"/>
      <c r="I993" s="19"/>
      <c r="J993" s="19"/>
      <c r="K993" s="19"/>
      <c r="L993" s="19"/>
      <c r="M993" s="19"/>
      <c r="N993" s="19"/>
      <c r="O993" s="19"/>
      <c r="P993" s="19"/>
      <c r="Q993" s="19"/>
      <c r="R993" s="19"/>
      <c r="S993" s="19"/>
      <c r="T993" s="19"/>
      <c r="U993" s="19"/>
      <c r="V993" s="19"/>
      <c r="W993" s="19"/>
      <c r="X993" s="19"/>
      <c r="Y993" s="19"/>
      <c r="Z993" s="19"/>
    </row>
    <row r="994" spans="2:26" ht="12" customHeight="1">
      <c r="B994" s="19"/>
      <c r="C994" s="19"/>
      <c r="D994" s="19"/>
      <c r="E994" s="19"/>
      <c r="F994" s="19"/>
      <c r="G994" s="19"/>
      <c r="H994" s="19"/>
      <c r="I994" s="19"/>
      <c r="J994" s="19"/>
      <c r="K994" s="19"/>
      <c r="L994" s="19"/>
      <c r="M994" s="19"/>
      <c r="N994" s="19"/>
      <c r="O994" s="19"/>
      <c r="P994" s="19"/>
      <c r="Q994" s="19"/>
      <c r="R994" s="19"/>
      <c r="S994" s="19"/>
      <c r="T994" s="19"/>
      <c r="U994" s="19"/>
      <c r="V994" s="19"/>
      <c r="W994" s="19"/>
      <c r="X994" s="19"/>
      <c r="Y994" s="19"/>
      <c r="Z994" s="19"/>
    </row>
    <row r="995" spans="2:26" ht="12" customHeight="1">
      <c r="B995" s="19"/>
      <c r="C995" s="19"/>
      <c r="D995" s="19"/>
      <c r="E995" s="19"/>
      <c r="F995" s="19"/>
      <c r="G995" s="19"/>
      <c r="H995" s="19"/>
      <c r="I995" s="19"/>
      <c r="J995" s="19"/>
      <c r="K995" s="19"/>
      <c r="L995" s="19"/>
      <c r="M995" s="19"/>
      <c r="N995" s="19"/>
      <c r="O995" s="19"/>
      <c r="P995" s="19"/>
      <c r="Q995" s="19"/>
      <c r="R995" s="19"/>
      <c r="S995" s="19"/>
      <c r="T995" s="19"/>
      <c r="U995" s="19"/>
      <c r="V995" s="19"/>
      <c r="W995" s="19"/>
      <c r="X995" s="19"/>
      <c r="Y995" s="19"/>
      <c r="Z995" s="19"/>
    </row>
    <row r="996" spans="2:26" ht="12" customHeight="1">
      <c r="B996" s="19"/>
      <c r="C996" s="19"/>
      <c r="D996" s="19"/>
      <c r="E996" s="19"/>
      <c r="F996" s="19"/>
      <c r="G996" s="19"/>
      <c r="H996" s="19"/>
      <c r="I996" s="19"/>
      <c r="J996" s="19"/>
      <c r="K996" s="19"/>
      <c r="L996" s="19"/>
      <c r="M996" s="19"/>
      <c r="N996" s="19"/>
      <c r="O996" s="19"/>
      <c r="P996" s="19"/>
      <c r="Q996" s="19"/>
      <c r="R996" s="19"/>
      <c r="S996" s="19"/>
      <c r="T996" s="19"/>
      <c r="U996" s="19"/>
      <c r="V996" s="19"/>
      <c r="W996" s="19"/>
      <c r="X996" s="19"/>
      <c r="Y996" s="19"/>
      <c r="Z996" s="19"/>
    </row>
    <row r="997" spans="2:26" ht="12" customHeight="1">
      <c r="B997" s="19"/>
      <c r="C997" s="19"/>
      <c r="D997" s="19"/>
      <c r="E997" s="19"/>
      <c r="F997" s="19"/>
      <c r="G997" s="19"/>
      <c r="H997" s="19"/>
      <c r="I997" s="19"/>
      <c r="J997" s="19"/>
      <c r="K997" s="19"/>
      <c r="L997" s="19"/>
      <c r="M997" s="19"/>
      <c r="N997" s="19"/>
      <c r="O997" s="19"/>
      <c r="P997" s="19"/>
      <c r="Q997" s="19"/>
      <c r="R997" s="19"/>
      <c r="S997" s="19"/>
      <c r="T997" s="19"/>
      <c r="U997" s="19"/>
      <c r="V997" s="19"/>
      <c r="W997" s="19"/>
      <c r="X997" s="19"/>
      <c r="Y997" s="19"/>
      <c r="Z997" s="19"/>
    </row>
    <row r="998" spans="2:26" ht="12" customHeight="1">
      <c r="B998" s="19"/>
      <c r="C998" s="19"/>
      <c r="D998" s="19"/>
      <c r="E998" s="19"/>
      <c r="F998" s="19"/>
      <c r="G998" s="19"/>
      <c r="H998" s="19"/>
      <c r="I998" s="19"/>
      <c r="J998" s="19"/>
      <c r="K998" s="19"/>
      <c r="L998" s="19"/>
      <c r="M998" s="19"/>
      <c r="N998" s="19"/>
      <c r="O998" s="19"/>
      <c r="P998" s="19"/>
      <c r="Q998" s="19"/>
      <c r="R998" s="19"/>
      <c r="S998" s="19"/>
      <c r="T998" s="19"/>
      <c r="U998" s="19"/>
      <c r="V998" s="19"/>
      <c r="W998" s="19"/>
      <c r="X998" s="19"/>
      <c r="Y998" s="19"/>
      <c r="Z998" s="19"/>
    </row>
    <row r="999" spans="2:26" ht="12" customHeight="1">
      <c r="B999" s="19"/>
      <c r="C999" s="19"/>
      <c r="D999" s="19"/>
      <c r="E999" s="19"/>
      <c r="F999" s="19"/>
      <c r="G999" s="19"/>
      <c r="H999" s="19"/>
      <c r="I999" s="19"/>
      <c r="J999" s="19"/>
      <c r="K999" s="19"/>
      <c r="L999" s="19"/>
      <c r="M999" s="19"/>
      <c r="N999" s="19"/>
      <c r="O999" s="19"/>
      <c r="P999" s="19"/>
      <c r="Q999" s="19"/>
      <c r="R999" s="19"/>
      <c r="S999" s="19"/>
      <c r="T999" s="19"/>
      <c r="U999" s="19"/>
      <c r="V999" s="19"/>
      <c r="W999" s="19"/>
      <c r="X999" s="19"/>
      <c r="Y999" s="19"/>
      <c r="Z999" s="19"/>
    </row>
    <row r="1000" spans="2:26" ht="12" customHeight="1">
      <c r="B1000" s="19"/>
      <c r="C1000" s="19"/>
      <c r="D1000" s="19"/>
      <c r="E1000" s="19"/>
      <c r="F1000" s="19"/>
      <c r="G1000" s="19"/>
      <c r="H1000" s="19"/>
      <c r="I1000" s="19"/>
      <c r="J1000" s="19"/>
      <c r="K1000" s="19"/>
      <c r="L1000" s="19"/>
      <c r="M1000" s="19"/>
      <c r="N1000" s="19"/>
      <c r="O1000" s="19"/>
      <c r="P1000" s="19"/>
      <c r="Q1000" s="19"/>
      <c r="R1000" s="19"/>
      <c r="S1000" s="19"/>
      <c r="T1000" s="19"/>
      <c r="U1000" s="19"/>
      <c r="V1000" s="19"/>
      <c r="W1000" s="19"/>
      <c r="X1000" s="19"/>
      <c r="Y1000" s="19"/>
      <c r="Z1000" s="19"/>
    </row>
    <row r="1001" spans="2:26" ht="12" customHeight="1">
      <c r="B1001" s="19"/>
      <c r="C1001" s="19"/>
      <c r="D1001" s="19"/>
      <c r="E1001" s="19"/>
      <c r="F1001" s="19"/>
      <c r="G1001" s="19"/>
      <c r="H1001" s="19"/>
      <c r="I1001" s="19"/>
      <c r="J1001" s="19"/>
      <c r="K1001" s="19"/>
      <c r="L1001" s="19"/>
      <c r="M1001" s="19"/>
      <c r="N1001" s="19"/>
      <c r="O1001" s="19"/>
      <c r="P1001" s="19"/>
      <c r="Q1001" s="19"/>
      <c r="R1001" s="19"/>
      <c r="S1001" s="19"/>
      <c r="T1001" s="19"/>
      <c r="U1001" s="19"/>
      <c r="V1001" s="19"/>
      <c r="W1001" s="19"/>
      <c r="X1001" s="19"/>
      <c r="Y1001" s="19"/>
      <c r="Z1001" s="19"/>
    </row>
    <row r="1002" spans="2:26" ht="12" customHeight="1">
      <c r="B1002" s="19"/>
      <c r="C1002" s="19"/>
      <c r="D1002" s="19"/>
      <c r="E1002" s="19"/>
      <c r="F1002" s="19"/>
      <c r="G1002" s="19"/>
      <c r="H1002" s="19"/>
      <c r="I1002" s="19"/>
      <c r="J1002" s="19"/>
      <c r="K1002" s="19"/>
      <c r="L1002" s="19"/>
      <c r="M1002" s="19"/>
      <c r="N1002" s="19"/>
      <c r="O1002" s="19"/>
      <c r="P1002" s="19"/>
      <c r="Q1002" s="19"/>
      <c r="R1002" s="19"/>
      <c r="S1002" s="19"/>
      <c r="T1002" s="19"/>
      <c r="U1002" s="19"/>
      <c r="V1002" s="19"/>
      <c r="W1002" s="19"/>
      <c r="X1002" s="19"/>
      <c r="Y1002" s="19"/>
      <c r="Z1002" s="19"/>
    </row>
    <row r="1003" spans="2:26" ht="12" customHeight="1">
      <c r="B1003" s="19"/>
      <c r="C1003" s="19"/>
      <c r="D1003" s="19"/>
      <c r="E1003" s="19"/>
      <c r="F1003" s="19"/>
      <c r="G1003" s="19"/>
      <c r="H1003" s="19"/>
      <c r="I1003" s="19"/>
      <c r="J1003" s="19"/>
      <c r="K1003" s="19"/>
      <c r="L1003" s="19"/>
      <c r="M1003" s="19"/>
      <c r="N1003" s="19"/>
      <c r="O1003" s="19"/>
      <c r="P1003" s="19"/>
      <c r="Q1003" s="19"/>
      <c r="R1003" s="19"/>
      <c r="S1003" s="19"/>
      <c r="T1003" s="19"/>
      <c r="U1003" s="19"/>
      <c r="V1003" s="19"/>
      <c r="W1003" s="19"/>
      <c r="X1003" s="19"/>
      <c r="Y1003" s="19"/>
      <c r="Z1003" s="19"/>
    </row>
    <row r="1004" spans="2:26" ht="12" customHeight="1">
      <c r="B1004" s="19"/>
      <c r="C1004" s="19"/>
      <c r="D1004" s="19"/>
      <c r="E1004" s="19"/>
      <c r="F1004" s="19"/>
      <c r="G1004" s="19"/>
      <c r="H1004" s="19"/>
      <c r="I1004" s="19"/>
      <c r="J1004" s="19"/>
      <c r="K1004" s="19"/>
      <c r="L1004" s="19"/>
      <c r="M1004" s="19"/>
      <c r="N1004" s="19"/>
      <c r="O1004" s="19"/>
      <c r="P1004" s="19"/>
      <c r="Q1004" s="19"/>
      <c r="R1004" s="19"/>
      <c r="S1004" s="19"/>
      <c r="T1004" s="19"/>
      <c r="U1004" s="19"/>
      <c r="V1004" s="19"/>
      <c r="W1004" s="19"/>
      <c r="X1004" s="19"/>
      <c r="Y1004" s="19"/>
      <c r="Z1004" s="19"/>
    </row>
    <row r="1005" spans="2:26" ht="12" customHeight="1">
      <c r="B1005" s="19"/>
      <c r="C1005" s="19"/>
      <c r="D1005" s="19"/>
      <c r="E1005" s="19"/>
      <c r="F1005" s="19"/>
      <c r="G1005" s="19"/>
      <c r="H1005" s="19"/>
      <c r="I1005" s="19"/>
      <c r="J1005" s="19"/>
      <c r="K1005" s="19"/>
      <c r="L1005" s="19"/>
      <c r="M1005" s="19"/>
      <c r="N1005" s="19"/>
      <c r="O1005" s="19"/>
      <c r="P1005" s="19"/>
      <c r="Q1005" s="19"/>
      <c r="R1005" s="19"/>
      <c r="S1005" s="19"/>
      <c r="T1005" s="19"/>
      <c r="U1005" s="19"/>
      <c r="V1005" s="19"/>
      <c r="W1005" s="19"/>
      <c r="X1005" s="19"/>
      <c r="Y1005" s="19"/>
      <c r="Z1005" s="19"/>
    </row>
    <row r="1006" spans="2:26" ht="12" customHeight="1">
      <c r="B1006" s="19"/>
      <c r="C1006" s="19"/>
      <c r="D1006" s="19"/>
      <c r="E1006" s="19"/>
      <c r="F1006" s="19"/>
      <c r="G1006" s="19"/>
      <c r="H1006" s="19"/>
      <c r="I1006" s="19"/>
      <c r="J1006" s="19"/>
      <c r="K1006" s="19"/>
      <c r="L1006" s="19"/>
      <c r="M1006" s="19"/>
      <c r="N1006" s="19"/>
      <c r="O1006" s="19"/>
      <c r="P1006" s="19"/>
      <c r="Q1006" s="19"/>
      <c r="R1006" s="19"/>
      <c r="S1006" s="19"/>
      <c r="T1006" s="19"/>
      <c r="U1006" s="19"/>
      <c r="V1006" s="19"/>
      <c r="W1006" s="19"/>
      <c r="X1006" s="19"/>
      <c r="Y1006" s="19"/>
      <c r="Z1006" s="19"/>
    </row>
    <row r="1007" spans="2:26" ht="12" customHeight="1">
      <c r="B1007" s="19"/>
      <c r="C1007" s="19"/>
      <c r="D1007" s="19"/>
      <c r="E1007" s="19"/>
      <c r="F1007" s="19"/>
      <c r="G1007" s="19"/>
      <c r="H1007" s="19"/>
      <c r="I1007" s="19"/>
      <c r="J1007" s="19"/>
      <c r="K1007" s="19"/>
      <c r="L1007" s="19"/>
      <c r="M1007" s="19"/>
      <c r="N1007" s="19"/>
      <c r="O1007" s="19"/>
      <c r="P1007" s="19"/>
      <c r="Q1007" s="19"/>
      <c r="R1007" s="19"/>
      <c r="S1007" s="19"/>
      <c r="T1007" s="19"/>
      <c r="U1007" s="19"/>
      <c r="V1007" s="19"/>
      <c r="W1007" s="19"/>
      <c r="X1007" s="19"/>
      <c r="Y1007" s="19"/>
      <c r="Z1007" s="19"/>
    </row>
    <row r="1008" spans="2:26" ht="12" customHeight="1">
      <c r="B1008" s="19"/>
      <c r="C1008" s="19"/>
      <c r="D1008" s="19"/>
      <c r="E1008" s="19"/>
      <c r="F1008" s="19"/>
      <c r="G1008" s="19"/>
      <c r="H1008" s="19"/>
      <c r="I1008" s="19"/>
      <c r="J1008" s="19"/>
      <c r="K1008" s="19"/>
      <c r="L1008" s="19"/>
      <c r="M1008" s="19"/>
      <c r="N1008" s="19"/>
      <c r="O1008" s="19"/>
      <c r="P1008" s="19"/>
      <c r="Q1008" s="19"/>
      <c r="R1008" s="19"/>
      <c r="S1008" s="19"/>
      <c r="T1008" s="19"/>
      <c r="U1008" s="19"/>
      <c r="V1008" s="19"/>
      <c r="W1008" s="19"/>
      <c r="X1008" s="19"/>
      <c r="Y1008" s="19"/>
      <c r="Z1008" s="19"/>
    </row>
    <row r="1009" spans="2:26" ht="12" customHeight="1">
      <c r="B1009" s="19"/>
      <c r="C1009" s="19"/>
      <c r="D1009" s="19"/>
      <c r="E1009" s="19"/>
      <c r="F1009" s="19"/>
      <c r="G1009" s="19"/>
      <c r="H1009" s="19"/>
      <c r="I1009" s="19"/>
      <c r="J1009" s="19"/>
      <c r="K1009" s="19"/>
      <c r="L1009" s="19"/>
      <c r="M1009" s="19"/>
      <c r="N1009" s="19"/>
      <c r="O1009" s="19"/>
      <c r="P1009" s="19"/>
      <c r="Q1009" s="19"/>
      <c r="R1009" s="19"/>
      <c r="S1009" s="19"/>
      <c r="T1009" s="19"/>
      <c r="U1009" s="19"/>
      <c r="V1009" s="19"/>
      <c r="W1009" s="19"/>
      <c r="X1009" s="19"/>
      <c r="Y1009" s="19"/>
      <c r="Z1009" s="19"/>
    </row>
    <row r="1010" spans="2:26" ht="12" customHeight="1">
      <c r="B1010" s="19"/>
      <c r="C1010" s="19"/>
      <c r="D1010" s="19"/>
      <c r="E1010" s="19"/>
      <c r="F1010" s="19"/>
      <c r="G1010" s="19"/>
      <c r="H1010" s="19"/>
      <c r="I1010" s="19"/>
      <c r="J1010" s="19"/>
      <c r="K1010" s="19"/>
      <c r="L1010" s="19"/>
      <c r="M1010" s="19"/>
      <c r="N1010" s="19"/>
      <c r="O1010" s="19"/>
      <c r="P1010" s="19"/>
      <c r="Q1010" s="19"/>
      <c r="R1010" s="19"/>
      <c r="S1010" s="19"/>
      <c r="T1010" s="19"/>
      <c r="U1010" s="19"/>
      <c r="V1010" s="19"/>
      <c r="W1010" s="19"/>
      <c r="X1010" s="19"/>
      <c r="Y1010" s="19"/>
      <c r="Z1010" s="19"/>
    </row>
    <row r="1011" spans="2:26" ht="12" customHeight="1">
      <c r="B1011" s="19"/>
      <c r="C1011" s="19"/>
      <c r="D1011" s="19"/>
      <c r="E1011" s="19"/>
      <c r="F1011" s="19"/>
      <c r="G1011" s="19"/>
      <c r="H1011" s="19"/>
      <c r="I1011" s="19"/>
      <c r="J1011" s="19"/>
      <c r="K1011" s="19"/>
      <c r="L1011" s="19"/>
      <c r="M1011" s="19"/>
      <c r="N1011" s="19"/>
      <c r="O1011" s="19"/>
      <c r="P1011" s="19"/>
      <c r="Q1011" s="19"/>
      <c r="R1011" s="19"/>
      <c r="S1011" s="19"/>
      <c r="T1011" s="19"/>
      <c r="U1011" s="19"/>
      <c r="V1011" s="19"/>
      <c r="W1011" s="19"/>
      <c r="X1011" s="19"/>
      <c r="Y1011" s="19"/>
      <c r="Z1011" s="19"/>
    </row>
    <row r="1012" spans="2:26" ht="12" customHeight="1">
      <c r="B1012" s="19"/>
      <c r="C1012" s="19"/>
      <c r="D1012" s="19"/>
      <c r="E1012" s="19"/>
      <c r="F1012" s="19"/>
      <c r="G1012" s="19"/>
      <c r="H1012" s="19"/>
      <c r="I1012" s="19"/>
      <c r="J1012" s="19"/>
      <c r="K1012" s="19"/>
      <c r="L1012" s="19"/>
      <c r="M1012" s="19"/>
      <c r="N1012" s="19"/>
      <c r="O1012" s="19"/>
      <c r="P1012" s="19"/>
      <c r="Q1012" s="19"/>
      <c r="R1012" s="19"/>
      <c r="S1012" s="19"/>
      <c r="T1012" s="19"/>
      <c r="U1012" s="19"/>
      <c r="V1012" s="19"/>
      <c r="W1012" s="19"/>
      <c r="X1012" s="19"/>
      <c r="Y1012" s="19"/>
      <c r="Z1012" s="19"/>
    </row>
    <row r="1013" spans="2:26" ht="12" customHeight="1">
      <c r="B1013" s="19"/>
      <c r="C1013" s="19"/>
      <c r="D1013" s="19"/>
      <c r="E1013" s="19"/>
      <c r="F1013" s="19"/>
      <c r="G1013" s="19"/>
      <c r="H1013" s="19"/>
      <c r="I1013" s="19"/>
      <c r="J1013" s="19"/>
      <c r="K1013" s="19"/>
      <c r="L1013" s="19"/>
      <c r="M1013" s="19"/>
      <c r="N1013" s="19"/>
      <c r="O1013" s="19"/>
      <c r="P1013" s="19"/>
      <c r="Q1013" s="19"/>
      <c r="R1013" s="19"/>
      <c r="S1013" s="19"/>
      <c r="T1013" s="19"/>
      <c r="U1013" s="19"/>
      <c r="V1013" s="19"/>
      <c r="W1013" s="19"/>
      <c r="X1013" s="19"/>
      <c r="Y1013" s="19"/>
      <c r="Z1013" s="19"/>
    </row>
    <row r="1014" spans="2:26" ht="12" customHeight="1">
      <c r="B1014" s="19"/>
      <c r="C1014" s="19"/>
      <c r="D1014" s="19"/>
      <c r="E1014" s="19"/>
      <c r="F1014" s="19"/>
      <c r="G1014" s="19"/>
      <c r="H1014" s="19"/>
      <c r="I1014" s="19"/>
      <c r="J1014" s="19"/>
      <c r="K1014" s="19"/>
      <c r="L1014" s="19"/>
      <c r="M1014" s="19"/>
      <c r="N1014" s="19"/>
      <c r="O1014" s="19"/>
      <c r="P1014" s="19"/>
      <c r="Q1014" s="19"/>
      <c r="R1014" s="19"/>
      <c r="S1014" s="19"/>
      <c r="T1014" s="19"/>
      <c r="U1014" s="19"/>
      <c r="V1014" s="19"/>
      <c r="W1014" s="19"/>
      <c r="X1014" s="19"/>
      <c r="Y1014" s="19"/>
      <c r="Z1014" s="19"/>
    </row>
    <row r="1015" spans="2:26" ht="12" customHeight="1">
      <c r="B1015" s="19"/>
      <c r="C1015" s="19"/>
      <c r="D1015" s="19"/>
      <c r="E1015" s="19"/>
      <c r="F1015" s="19"/>
      <c r="G1015" s="19"/>
      <c r="H1015" s="19"/>
      <c r="I1015" s="19"/>
      <c r="J1015" s="19"/>
      <c r="K1015" s="19"/>
      <c r="L1015" s="19"/>
      <c r="M1015" s="19"/>
      <c r="N1015" s="19"/>
      <c r="O1015" s="19"/>
      <c r="P1015" s="19"/>
      <c r="Q1015" s="19"/>
      <c r="R1015" s="19"/>
      <c r="S1015" s="19"/>
      <c r="T1015" s="19"/>
      <c r="U1015" s="19"/>
      <c r="V1015" s="19"/>
      <c r="W1015" s="19"/>
      <c r="X1015" s="19"/>
      <c r="Y1015" s="19"/>
      <c r="Z1015" s="19"/>
    </row>
    <row r="1016" spans="2:26" ht="12" customHeight="1">
      <c r="B1016" s="19"/>
      <c r="C1016" s="19"/>
      <c r="D1016" s="19"/>
      <c r="E1016" s="19"/>
      <c r="F1016" s="19"/>
      <c r="G1016" s="19"/>
      <c r="H1016" s="19"/>
      <c r="I1016" s="19"/>
      <c r="J1016" s="19"/>
      <c r="K1016" s="19"/>
      <c r="L1016" s="19"/>
      <c r="M1016" s="19"/>
      <c r="N1016" s="19"/>
      <c r="O1016" s="19"/>
      <c r="P1016" s="19"/>
      <c r="Q1016" s="19"/>
      <c r="R1016" s="19"/>
      <c r="S1016" s="19"/>
      <c r="T1016" s="19"/>
      <c r="U1016" s="19"/>
      <c r="V1016" s="19"/>
      <c r="W1016" s="19"/>
      <c r="X1016" s="19"/>
      <c r="Y1016" s="19"/>
      <c r="Z1016" s="19"/>
    </row>
    <row r="1017" spans="2:26" ht="12" customHeight="1">
      <c r="B1017" s="19"/>
      <c r="C1017" s="19"/>
      <c r="D1017" s="19"/>
      <c r="E1017" s="19"/>
      <c r="F1017" s="19"/>
      <c r="G1017" s="19"/>
      <c r="H1017" s="19"/>
      <c r="I1017" s="19"/>
      <c r="J1017" s="19"/>
      <c r="K1017" s="19"/>
      <c r="L1017" s="19"/>
      <c r="M1017" s="19"/>
      <c r="N1017" s="19"/>
      <c r="O1017" s="19"/>
      <c r="P1017" s="19"/>
      <c r="Q1017" s="19"/>
      <c r="R1017" s="19"/>
      <c r="S1017" s="19"/>
      <c r="T1017" s="19"/>
      <c r="U1017" s="19"/>
      <c r="V1017" s="19"/>
      <c r="W1017" s="19"/>
      <c r="X1017" s="19"/>
      <c r="Y1017" s="19"/>
      <c r="Z1017" s="19"/>
    </row>
    <row r="1018" spans="2:26" ht="12" customHeight="1">
      <c r="B1018" s="19"/>
      <c r="C1018" s="19"/>
      <c r="D1018" s="19"/>
      <c r="E1018" s="19"/>
      <c r="F1018" s="19"/>
      <c r="G1018" s="19"/>
      <c r="H1018" s="19"/>
      <c r="I1018" s="19"/>
      <c r="J1018" s="19"/>
      <c r="K1018" s="19"/>
      <c r="L1018" s="19"/>
      <c r="M1018" s="19"/>
      <c r="N1018" s="19"/>
      <c r="O1018" s="19"/>
      <c r="P1018" s="19"/>
      <c r="Q1018" s="19"/>
      <c r="R1018" s="19"/>
      <c r="S1018" s="19"/>
      <c r="T1018" s="19"/>
      <c r="U1018" s="19"/>
      <c r="V1018" s="19"/>
      <c r="W1018" s="19"/>
      <c r="X1018" s="19"/>
      <c r="Y1018" s="19"/>
      <c r="Z1018" s="19"/>
    </row>
    <row r="1019" spans="2:26" ht="12" customHeight="1">
      <c r="B1019" s="19"/>
      <c r="C1019" s="19"/>
      <c r="D1019" s="19"/>
      <c r="E1019" s="19"/>
      <c r="F1019" s="19"/>
      <c r="G1019" s="19"/>
      <c r="H1019" s="19"/>
      <c r="I1019" s="19"/>
      <c r="J1019" s="19"/>
      <c r="K1019" s="19"/>
      <c r="L1019" s="19"/>
      <c r="M1019" s="19"/>
      <c r="N1019" s="19"/>
      <c r="O1019" s="19"/>
      <c r="P1019" s="19"/>
      <c r="Q1019" s="19"/>
      <c r="R1019" s="19"/>
      <c r="S1019" s="19"/>
      <c r="T1019" s="19"/>
      <c r="U1019" s="19"/>
      <c r="V1019" s="19"/>
      <c r="W1019" s="19"/>
      <c r="X1019" s="19"/>
      <c r="Y1019" s="19"/>
      <c r="Z1019" s="19"/>
    </row>
    <row r="1020" spans="2:26" ht="12" customHeight="1">
      <c r="B1020" s="19"/>
      <c r="C1020" s="19"/>
      <c r="D1020" s="19"/>
      <c r="E1020" s="19"/>
      <c r="F1020" s="19"/>
      <c r="G1020" s="19"/>
      <c r="H1020" s="19"/>
      <c r="I1020" s="19"/>
      <c r="J1020" s="19"/>
      <c r="K1020" s="19"/>
      <c r="L1020" s="19"/>
      <c r="M1020" s="19"/>
      <c r="N1020" s="19"/>
      <c r="O1020" s="19"/>
      <c r="P1020" s="19"/>
      <c r="Q1020" s="19"/>
      <c r="R1020" s="19"/>
      <c r="S1020" s="19"/>
      <c r="T1020" s="19"/>
      <c r="U1020" s="19"/>
      <c r="V1020" s="19"/>
      <c r="W1020" s="19"/>
      <c r="X1020" s="19"/>
      <c r="Y1020" s="19"/>
      <c r="Z1020" s="19"/>
    </row>
    <row r="1021" spans="2:26" ht="12" customHeight="1">
      <c r="B1021" s="19"/>
      <c r="C1021" s="19"/>
      <c r="D1021" s="19"/>
      <c r="E1021" s="19"/>
      <c r="F1021" s="19"/>
      <c r="G1021" s="19"/>
      <c r="H1021" s="19"/>
      <c r="I1021" s="19"/>
      <c r="J1021" s="19"/>
      <c r="K1021" s="19"/>
      <c r="L1021" s="19"/>
      <c r="M1021" s="19"/>
      <c r="N1021" s="19"/>
      <c r="O1021" s="19"/>
      <c r="P1021" s="19"/>
      <c r="Q1021" s="19"/>
      <c r="R1021" s="19"/>
      <c r="S1021" s="19"/>
      <c r="T1021" s="19"/>
      <c r="U1021" s="19"/>
      <c r="V1021" s="19"/>
      <c r="W1021" s="19"/>
      <c r="X1021" s="19"/>
      <c r="Y1021" s="19"/>
      <c r="Z1021" s="19"/>
    </row>
    <row r="1022" spans="2:26" ht="12" customHeight="1">
      <c r="B1022" s="19"/>
      <c r="C1022" s="19"/>
      <c r="D1022" s="19"/>
      <c r="E1022" s="19"/>
      <c r="F1022" s="19"/>
      <c r="G1022" s="19"/>
      <c r="H1022" s="19"/>
      <c r="I1022" s="19"/>
      <c r="J1022" s="19"/>
      <c r="K1022" s="19"/>
      <c r="L1022" s="19"/>
      <c r="M1022" s="19"/>
      <c r="N1022" s="19"/>
      <c r="O1022" s="19"/>
      <c r="P1022" s="19"/>
      <c r="Q1022" s="19"/>
      <c r="R1022" s="19"/>
      <c r="S1022" s="19"/>
      <c r="T1022" s="19"/>
      <c r="U1022" s="19"/>
      <c r="V1022" s="19"/>
      <c r="W1022" s="19"/>
      <c r="X1022" s="19"/>
      <c r="Y1022" s="19"/>
      <c r="Z1022" s="19"/>
    </row>
    <row r="1023" spans="2:26" ht="12" customHeight="1">
      <c r="B1023" s="19"/>
      <c r="C1023" s="19"/>
      <c r="D1023" s="19"/>
      <c r="E1023" s="19"/>
      <c r="F1023" s="19"/>
      <c r="G1023" s="19"/>
      <c r="H1023" s="19"/>
      <c r="I1023" s="19"/>
      <c r="J1023" s="19"/>
      <c r="K1023" s="19"/>
      <c r="L1023" s="19"/>
      <c r="M1023" s="19"/>
      <c r="N1023" s="19"/>
      <c r="O1023" s="19"/>
      <c r="P1023" s="19"/>
      <c r="Q1023" s="19"/>
      <c r="R1023" s="19"/>
      <c r="S1023" s="19"/>
      <c r="T1023" s="19"/>
      <c r="U1023" s="19"/>
      <c r="V1023" s="19"/>
      <c r="W1023" s="19"/>
      <c r="X1023" s="19"/>
      <c r="Y1023" s="19"/>
      <c r="Z1023" s="19"/>
    </row>
    <row r="1024" spans="2:26" ht="12" customHeight="1">
      <c r="B1024" s="19"/>
      <c r="C1024" s="19"/>
      <c r="D1024" s="19"/>
      <c r="E1024" s="19"/>
      <c r="F1024" s="19"/>
      <c r="G1024" s="19"/>
      <c r="H1024" s="19"/>
      <c r="I1024" s="19"/>
      <c r="J1024" s="19"/>
      <c r="K1024" s="19"/>
      <c r="L1024" s="19"/>
      <c r="M1024" s="19"/>
      <c r="N1024" s="19"/>
      <c r="O1024" s="19"/>
      <c r="P1024" s="19"/>
      <c r="Q1024" s="19"/>
      <c r="R1024" s="19"/>
      <c r="S1024" s="19"/>
      <c r="T1024" s="19"/>
      <c r="U1024" s="19"/>
      <c r="V1024" s="19"/>
      <c r="W1024" s="19"/>
      <c r="X1024" s="19"/>
      <c r="Y1024" s="19"/>
      <c r="Z1024" s="19"/>
    </row>
    <row r="1025" spans="2:26" ht="12" customHeight="1">
      <c r="B1025" s="19"/>
      <c r="C1025" s="19"/>
      <c r="D1025" s="19"/>
      <c r="E1025" s="19"/>
      <c r="F1025" s="19"/>
      <c r="G1025" s="19"/>
      <c r="H1025" s="19"/>
      <c r="I1025" s="19"/>
      <c r="J1025" s="19"/>
      <c r="K1025" s="19"/>
      <c r="L1025" s="19"/>
      <c r="M1025" s="19"/>
      <c r="N1025" s="19"/>
      <c r="O1025" s="19"/>
      <c r="P1025" s="19"/>
      <c r="Q1025" s="19"/>
      <c r="R1025" s="19"/>
      <c r="S1025" s="19"/>
      <c r="T1025" s="19"/>
      <c r="U1025" s="19"/>
      <c r="V1025" s="19"/>
      <c r="W1025" s="19"/>
      <c r="X1025" s="19"/>
      <c r="Y1025" s="19"/>
      <c r="Z1025" s="19"/>
    </row>
    <row r="1026" spans="2:26" ht="12" customHeight="1">
      <c r="B1026" s="19"/>
      <c r="C1026" s="19"/>
      <c r="D1026" s="19"/>
      <c r="E1026" s="19"/>
      <c r="F1026" s="19"/>
      <c r="G1026" s="19"/>
      <c r="H1026" s="19"/>
      <c r="I1026" s="19"/>
      <c r="J1026" s="19"/>
      <c r="K1026" s="19"/>
      <c r="L1026" s="19"/>
      <c r="M1026" s="19"/>
      <c r="N1026" s="19"/>
      <c r="O1026" s="19"/>
      <c r="P1026" s="19"/>
      <c r="Q1026" s="19"/>
      <c r="R1026" s="19"/>
      <c r="S1026" s="19"/>
      <c r="T1026" s="19"/>
      <c r="U1026" s="19"/>
      <c r="V1026" s="19"/>
      <c r="W1026" s="19"/>
      <c r="X1026" s="19"/>
      <c r="Y1026" s="19"/>
      <c r="Z1026" s="19"/>
    </row>
    <row r="1027" spans="2:26" ht="12" customHeight="1">
      <c r="B1027" s="19"/>
      <c r="C1027" s="19"/>
      <c r="D1027" s="19"/>
      <c r="E1027" s="19"/>
      <c r="F1027" s="19"/>
      <c r="G1027" s="19"/>
      <c r="H1027" s="19"/>
      <c r="I1027" s="19"/>
      <c r="J1027" s="19"/>
      <c r="K1027" s="19"/>
      <c r="L1027" s="19"/>
      <c r="M1027" s="19"/>
      <c r="N1027" s="19"/>
      <c r="O1027" s="19"/>
      <c r="P1027" s="19"/>
      <c r="Q1027" s="19"/>
      <c r="R1027" s="19"/>
      <c r="S1027" s="19"/>
      <c r="T1027" s="19"/>
      <c r="U1027" s="19"/>
      <c r="V1027" s="19"/>
      <c r="W1027" s="19"/>
      <c r="X1027" s="19"/>
      <c r="Y1027" s="19"/>
      <c r="Z1027" s="19"/>
    </row>
    <row r="1028" spans="2:26" ht="12" customHeight="1">
      <c r="B1028" s="19"/>
      <c r="C1028" s="19"/>
      <c r="D1028" s="19"/>
      <c r="E1028" s="19"/>
      <c r="F1028" s="19"/>
      <c r="G1028" s="19"/>
      <c r="H1028" s="19"/>
      <c r="I1028" s="19"/>
      <c r="J1028" s="19"/>
      <c r="K1028" s="19"/>
      <c r="L1028" s="19"/>
      <c r="M1028" s="19"/>
      <c r="N1028" s="19"/>
      <c r="O1028" s="19"/>
      <c r="P1028" s="19"/>
      <c r="Q1028" s="19"/>
      <c r="R1028" s="19"/>
      <c r="S1028" s="19"/>
      <c r="T1028" s="19"/>
      <c r="U1028" s="19"/>
      <c r="V1028" s="19"/>
      <c r="W1028" s="19"/>
      <c r="X1028" s="19"/>
      <c r="Y1028" s="19"/>
      <c r="Z1028" s="19"/>
    </row>
    <row r="1029" spans="2:26" ht="12" customHeight="1">
      <c r="B1029" s="19"/>
      <c r="C1029" s="19"/>
      <c r="D1029" s="19"/>
      <c r="E1029" s="19"/>
      <c r="F1029" s="19"/>
      <c r="G1029" s="19"/>
      <c r="H1029" s="19"/>
      <c r="I1029" s="19"/>
      <c r="J1029" s="19"/>
      <c r="K1029" s="19"/>
      <c r="L1029" s="19"/>
      <c r="M1029" s="19"/>
      <c r="N1029" s="19"/>
      <c r="O1029" s="19"/>
      <c r="P1029" s="19"/>
      <c r="Q1029" s="19"/>
      <c r="R1029" s="19"/>
      <c r="S1029" s="19"/>
      <c r="T1029" s="19"/>
      <c r="U1029" s="19"/>
      <c r="V1029" s="19"/>
      <c r="W1029" s="19"/>
      <c r="X1029" s="19"/>
      <c r="Y1029" s="19"/>
      <c r="Z1029" s="19"/>
    </row>
    <row r="1030" spans="2:26" ht="12" customHeight="1">
      <c r="B1030" s="19"/>
      <c r="C1030" s="19"/>
      <c r="D1030" s="19"/>
      <c r="E1030" s="19"/>
      <c r="F1030" s="19"/>
      <c r="G1030" s="19"/>
      <c r="H1030" s="19"/>
      <c r="I1030" s="19"/>
      <c r="J1030" s="19"/>
      <c r="K1030" s="19"/>
      <c r="L1030" s="19"/>
      <c r="M1030" s="19"/>
      <c r="N1030" s="19"/>
      <c r="O1030" s="19"/>
      <c r="P1030" s="19"/>
      <c r="Q1030" s="19"/>
      <c r="R1030" s="19"/>
      <c r="S1030" s="19"/>
      <c r="T1030" s="19"/>
      <c r="U1030" s="19"/>
      <c r="V1030" s="19"/>
      <c r="W1030" s="19"/>
      <c r="X1030" s="19"/>
      <c r="Y1030" s="19"/>
      <c r="Z1030" s="19"/>
    </row>
    <row r="1031" spans="2:26" ht="12" customHeight="1">
      <c r="B1031" s="19"/>
      <c r="C1031" s="19"/>
      <c r="D1031" s="19"/>
      <c r="E1031" s="19"/>
      <c r="F1031" s="19"/>
      <c r="G1031" s="19"/>
      <c r="H1031" s="19"/>
      <c r="I1031" s="19"/>
      <c r="J1031" s="19"/>
      <c r="K1031" s="19"/>
      <c r="L1031" s="19"/>
      <c r="M1031" s="19"/>
      <c r="N1031" s="19"/>
      <c r="O1031" s="19"/>
      <c r="P1031" s="19"/>
      <c r="Q1031" s="19"/>
      <c r="R1031" s="19"/>
      <c r="S1031" s="19"/>
      <c r="T1031" s="19"/>
      <c r="U1031" s="19"/>
      <c r="V1031" s="19"/>
      <c r="W1031" s="19"/>
      <c r="X1031" s="19"/>
      <c r="Y1031" s="19"/>
      <c r="Z1031" s="19"/>
    </row>
    <row r="1032" spans="2:26" ht="12" customHeight="1">
      <c r="B1032" s="19"/>
      <c r="C1032" s="19"/>
      <c r="D1032" s="19"/>
      <c r="E1032" s="19"/>
      <c r="F1032" s="19"/>
      <c r="G1032" s="19"/>
      <c r="H1032" s="19"/>
      <c r="I1032" s="19"/>
      <c r="J1032" s="19"/>
      <c r="K1032" s="19"/>
      <c r="L1032" s="19"/>
      <c r="M1032" s="19"/>
      <c r="N1032" s="19"/>
      <c r="O1032" s="19"/>
      <c r="P1032" s="19"/>
      <c r="Q1032" s="19"/>
      <c r="R1032" s="19"/>
      <c r="S1032" s="19"/>
      <c r="T1032" s="19"/>
      <c r="U1032" s="19"/>
      <c r="V1032" s="19"/>
      <c r="W1032" s="19"/>
      <c r="X1032" s="19"/>
      <c r="Y1032" s="19"/>
      <c r="Z1032" s="19"/>
    </row>
    <row r="1033" spans="2:26" ht="12" customHeight="1">
      <c r="B1033" s="19"/>
      <c r="C1033" s="19"/>
      <c r="D1033" s="19"/>
      <c r="E1033" s="19"/>
      <c r="F1033" s="19"/>
      <c r="G1033" s="19"/>
      <c r="H1033" s="19"/>
      <c r="I1033" s="19"/>
      <c r="J1033" s="19"/>
      <c r="K1033" s="19"/>
      <c r="L1033" s="19"/>
      <c r="M1033" s="19"/>
      <c r="N1033" s="19"/>
      <c r="O1033" s="19"/>
      <c r="P1033" s="19"/>
      <c r="Q1033" s="19"/>
      <c r="R1033" s="19"/>
      <c r="S1033" s="19"/>
      <c r="T1033" s="19"/>
      <c r="U1033" s="19"/>
      <c r="V1033" s="19"/>
      <c r="W1033" s="19"/>
      <c r="X1033" s="19"/>
      <c r="Y1033" s="19"/>
      <c r="Z1033" s="19"/>
    </row>
    <row r="1034" spans="2:26" ht="12" customHeight="1">
      <c r="B1034" s="19"/>
      <c r="C1034" s="19"/>
      <c r="D1034" s="19"/>
      <c r="E1034" s="19"/>
      <c r="F1034" s="19"/>
      <c r="G1034" s="19"/>
      <c r="H1034" s="19"/>
      <c r="I1034" s="19"/>
      <c r="J1034" s="19"/>
      <c r="K1034" s="19"/>
      <c r="L1034" s="19"/>
      <c r="M1034" s="19"/>
      <c r="N1034" s="19"/>
      <c r="O1034" s="19"/>
      <c r="P1034" s="19"/>
      <c r="Q1034" s="19"/>
      <c r="R1034" s="19"/>
      <c r="S1034" s="19"/>
      <c r="T1034" s="19"/>
      <c r="U1034" s="19"/>
      <c r="V1034" s="19"/>
      <c r="W1034" s="19"/>
      <c r="X1034" s="19"/>
      <c r="Y1034" s="19"/>
      <c r="Z1034" s="19"/>
    </row>
    <row r="1035" spans="2:26" ht="12" customHeight="1">
      <c r="B1035" s="19"/>
      <c r="C1035" s="19"/>
      <c r="D1035" s="19"/>
      <c r="E1035" s="19"/>
      <c r="F1035" s="19"/>
      <c r="G1035" s="19"/>
      <c r="H1035" s="19"/>
      <c r="I1035" s="19"/>
      <c r="J1035" s="19"/>
      <c r="K1035" s="19"/>
      <c r="L1035" s="19"/>
      <c r="M1035" s="19"/>
      <c r="N1035" s="19"/>
      <c r="O1035" s="19"/>
      <c r="P1035" s="19"/>
      <c r="Q1035" s="19"/>
      <c r="R1035" s="19"/>
      <c r="S1035" s="19"/>
      <c r="T1035" s="19"/>
      <c r="U1035" s="19"/>
      <c r="V1035" s="19"/>
      <c r="W1035" s="19"/>
      <c r="X1035" s="19"/>
      <c r="Y1035" s="19"/>
      <c r="Z1035" s="19"/>
    </row>
    <row r="1036" spans="2:26" ht="12" customHeight="1">
      <c r="B1036" s="19"/>
      <c r="C1036" s="19"/>
      <c r="D1036" s="19"/>
      <c r="E1036" s="19"/>
      <c r="F1036" s="19"/>
      <c r="G1036" s="19"/>
      <c r="H1036" s="19"/>
      <c r="I1036" s="19"/>
      <c r="J1036" s="19"/>
      <c r="K1036" s="19"/>
      <c r="L1036" s="19"/>
      <c r="M1036" s="19"/>
      <c r="N1036" s="19"/>
      <c r="O1036" s="19"/>
      <c r="P1036" s="19"/>
      <c r="Q1036" s="19"/>
      <c r="R1036" s="19"/>
      <c r="S1036" s="19"/>
      <c r="T1036" s="19"/>
      <c r="U1036" s="19"/>
      <c r="V1036" s="19"/>
      <c r="W1036" s="19"/>
      <c r="X1036" s="19"/>
      <c r="Y1036" s="19"/>
      <c r="Z1036" s="19"/>
    </row>
  </sheetData>
  <sheetCalcPr fullCalcOnLoad="true"/>
  <sheetProtection password="DC4E" sheet="true" scenarios="true" objects="true"/>
  <mergeCells count="1">
    <mergeCell ref="D3:E3"/>
  </mergeCells>
  <pageMargins left="0.7" right="0.7" top="0.75" bottom="0.75" header="0.51180555555555496" footer="0.51180555555555496"/>
  <pageSetup paperSize="9" firstPageNumber="0" orientation="portrait" horizontalDpi="300" verticalDpi="300" r:id="rId1"/>
  <drawing r:id="rId2"/>
  <legacyDrawing r:id="rId3"/>
  <extLst>
    <ext uri="{CCE6A557-97BC-4b89-ADB6-D9C93CAAB3DF}">
      <x14:dataValidations xmlns:xm="http://schemas.microsoft.com/office/excel/2006/main" count="4">
        <x14:dataValidation type="list" operator="equal" allowBlank="1" showErrorMessage="1" errorTitle="Error" error="Seleccione una de las opciones del desplegable.">
          <x14:formula1>
            <xm:f>'DATA - Oculta'!$C$8:$C$12</xm:f>
          </x14:formula1>
          <x14:formula2>
            <xm:f>0</xm:f>
          </x14:formula2>
          <xm:sqref>C45</xm:sqref>
        </x14:dataValidation>
        <x14:dataValidation type="list" operator="equal" allowBlank="1" showErrorMessage="1" errorTitle="Error" error="Seleccione una de las opciones del desplegable.">
          <x14:formula1>
            <xm:f>'DATA - Oculta'!$K$8:$K$10</xm:f>
          </x14:formula1>
          <x14:formula2>
            <xm:f>0</xm:f>
          </x14:formula2>
          <xm:sqref>D48:D56</xm:sqref>
        </x14:dataValidation>
        <x14:dataValidation type="list" operator="equal" allowBlank="1" showErrorMessage="1" errorTitle="Error" error="Seleccione una de las opciones del desplegable.">
          <x14:formula1>
            <xm:f>'DATA - Oculta'!$G$9:$G$11</xm:f>
          </x14:formula1>
          <x14:formula2>
            <xm:f>0</xm:f>
          </x14:formula2>
          <xm:sqref>C58</xm:sqref>
        </x14:dataValidation>
        <x14:dataValidation type="list" allowBlank="1" showInputMessage="1" showErrorMessage="1">
          <x14:formula1>
            <xm:f>'DATA - Oculta'!$S$9:$S$11</xm:f>
          </x14:formula1>
          <xm:sqref>C25</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5"/>
  <dimension ref="A1:BH23"/>
  <sheetViews>
    <sheetView zoomScale="85" zoomScaleNormal="85" workbookViewId="0">
      <selection activeCell="B6" sqref="B6:L6"/>
    </sheetView>
  </sheetViews>
  <sheetFormatPr baseColWidth="10" defaultColWidth="11.5703125" defaultRowHeight="12.75"/>
  <cols>
    <col min="1" max="1" style="192" width="11.5703125" collapsed="false"/>
    <col min="2" max="2" customWidth="true" style="192" width="14.0" collapsed="false"/>
    <col min="3" max="3" customWidth="true" style="192" width="8.7109375" collapsed="false"/>
    <col min="4" max="4" customWidth="true" style="192" width="9.42578125" collapsed="false"/>
    <col min="5" max="5" customWidth="true" style="192" width="14.42578125" collapsed="false"/>
    <col min="6" max="6" customWidth="true" style="192" width="8.5703125" collapsed="false"/>
    <col min="7" max="7" style="192" width="11.5703125" collapsed="false"/>
    <col min="8" max="8" customWidth="true" style="192" width="12.0" collapsed="false"/>
    <col min="9" max="9" customWidth="true" style="192" width="8.7109375" collapsed="false"/>
    <col min="10" max="10" style="192" width="11.5703125" collapsed="false"/>
    <col min="11" max="11" customWidth="true" style="192" width="19.5703125" collapsed="false"/>
    <col min="12" max="12" customWidth="true" style="192" width="40.7109375" collapsed="false"/>
    <col min="13" max="16384" style="192" width="11.5703125" collapsed="false"/>
  </cols>
  <sheetData>
    <row r="1" spans="1:60" ht="12.75" customHeight="1">
      <c r="A1" s="189"/>
      <c r="B1" s="190"/>
      <c r="C1" s="191"/>
      <c r="D1" s="191"/>
      <c r="E1" s="191"/>
      <c r="F1" s="191"/>
      <c r="G1" s="191"/>
      <c r="H1" s="191"/>
      <c r="I1" s="191"/>
      <c r="J1" s="191"/>
      <c r="K1" s="191"/>
      <c r="L1" s="191"/>
      <c r="M1" s="191"/>
      <c r="N1" s="191"/>
      <c r="O1" s="191"/>
      <c r="P1" s="191"/>
      <c r="Q1" s="191"/>
      <c r="R1" s="191"/>
      <c r="S1" s="191"/>
      <c r="T1" s="191"/>
      <c r="U1" s="191"/>
      <c r="V1" s="191"/>
    </row>
    <row r="2" spans="1:60" ht="25.35" customHeight="1">
      <c r="A2" s="189"/>
      <c r="B2" s="193" t="s">
        <v>0</v>
      </c>
      <c r="C2" s="191"/>
      <c r="D2" s="191"/>
      <c r="E2" s="191"/>
      <c r="F2" s="191"/>
      <c r="G2" s="191"/>
      <c r="H2" s="191"/>
      <c r="I2" s="191"/>
      <c r="J2" s="191"/>
      <c r="K2" s="191"/>
      <c r="L2" s="191"/>
      <c r="M2" s="191"/>
      <c r="N2" s="191"/>
      <c r="O2" s="191"/>
      <c r="P2" s="191"/>
      <c r="Q2" s="191"/>
      <c r="R2" s="191"/>
      <c r="S2" s="191"/>
      <c r="T2" s="191"/>
      <c r="U2" s="191"/>
      <c r="V2" s="191"/>
    </row>
    <row r="3" spans="1:60" ht="23.65" customHeight="1">
      <c r="A3" s="189"/>
      <c r="B3" s="194" t="s">
        <v>278</v>
      </c>
      <c r="C3" s="191"/>
      <c r="D3" s="191"/>
      <c r="E3" s="191"/>
      <c r="F3" s="191"/>
      <c r="G3" s="191"/>
      <c r="H3" s="191"/>
      <c r="I3" s="191"/>
      <c r="J3" s="191"/>
      <c r="K3" s="191"/>
      <c r="L3" s="191"/>
      <c r="M3" s="191"/>
      <c r="N3" s="191"/>
      <c r="O3" s="191"/>
      <c r="P3" s="191"/>
      <c r="Q3" s="191"/>
      <c r="R3" s="191"/>
      <c r="S3" s="191"/>
      <c r="T3" s="191"/>
      <c r="U3" s="191"/>
      <c r="V3" s="191"/>
    </row>
    <row r="4" spans="1:60" ht="16.7" customHeight="1">
      <c r="A4" s="189"/>
      <c r="B4" s="195"/>
      <c r="C4" s="191"/>
      <c r="D4" s="191"/>
      <c r="E4" s="191"/>
      <c r="F4" s="191"/>
      <c r="G4" s="191"/>
      <c r="H4" s="191"/>
      <c r="I4" s="191"/>
      <c r="J4" s="191"/>
      <c r="K4" s="191"/>
      <c r="L4" s="191"/>
      <c r="M4" s="191"/>
      <c r="N4" s="191"/>
      <c r="O4" s="191"/>
      <c r="P4" s="191"/>
      <c r="Q4" s="191"/>
      <c r="R4" s="191"/>
      <c r="S4" s="191"/>
      <c r="T4" s="191"/>
      <c r="U4" s="191"/>
      <c r="V4" s="191"/>
    </row>
    <row r="5" spans="1:60" ht="28.35" customHeight="1">
      <c r="B5" s="196" t="s">
        <v>290</v>
      </c>
      <c r="C5" s="196"/>
      <c r="D5" s="197"/>
      <c r="E5" s="197"/>
      <c r="F5" s="197"/>
      <c r="G5" s="197"/>
      <c r="H5" s="197"/>
      <c r="I5" s="197"/>
      <c r="J5" s="197"/>
      <c r="K5" s="197"/>
      <c r="L5" s="197"/>
      <c r="M5" s="198"/>
      <c r="N5" s="198"/>
      <c r="O5" s="198"/>
      <c r="P5" s="198"/>
      <c r="Q5" s="198"/>
      <c r="R5" s="198"/>
      <c r="S5" s="198"/>
      <c r="T5" s="198"/>
      <c r="U5" s="198"/>
      <c r="V5" s="198"/>
      <c r="W5" s="199"/>
      <c r="X5" s="199"/>
      <c r="Y5" s="199"/>
      <c r="Z5" s="199"/>
      <c r="AA5" s="199"/>
      <c r="AB5" s="199"/>
      <c r="AC5" s="199"/>
      <c r="AD5" s="199"/>
      <c r="AE5" s="199"/>
      <c r="AF5" s="199"/>
      <c r="AG5" s="199"/>
      <c r="AH5" s="199"/>
      <c r="AI5" s="199"/>
      <c r="AJ5" s="199"/>
      <c r="AK5" s="199"/>
      <c r="AL5" s="199"/>
      <c r="AM5" s="199"/>
      <c r="AN5" s="199"/>
      <c r="AO5" s="199"/>
      <c r="AP5" s="199"/>
      <c r="AQ5" s="199"/>
      <c r="AR5" s="199"/>
      <c r="AS5" s="199"/>
      <c r="AT5" s="199"/>
      <c r="AU5" s="199"/>
      <c r="AV5" s="199"/>
      <c r="AW5" s="199"/>
      <c r="AX5" s="199"/>
      <c r="AY5" s="199"/>
      <c r="AZ5" s="199"/>
      <c r="BA5" s="199"/>
      <c r="BB5" s="199"/>
      <c r="BC5" s="199"/>
      <c r="BD5" s="199"/>
      <c r="BE5" s="199"/>
      <c r="BF5" s="199"/>
      <c r="BG5" s="199"/>
      <c r="BH5" s="199"/>
    </row>
    <row r="6" spans="1:60" ht="27.95" customHeight="1" thickBot="1">
      <c r="B6" s="250" t="s">
        <v>291</v>
      </c>
      <c r="C6" s="250"/>
      <c r="D6" s="250"/>
      <c r="E6" s="250"/>
      <c r="F6" s="250"/>
      <c r="G6" s="250"/>
      <c r="H6" s="250"/>
      <c r="I6" s="250"/>
      <c r="J6" s="250"/>
      <c r="K6" s="250"/>
      <c r="L6" s="250"/>
    </row>
    <row r="7" spans="1:60" ht="33.200000000000003" customHeight="1" thickTop="1">
      <c r="B7" s="251" t="s">
        <v>292</v>
      </c>
      <c r="C7" s="251"/>
      <c r="D7" s="251"/>
      <c r="E7" s="251"/>
      <c r="F7" s="251"/>
      <c r="G7" s="251"/>
      <c r="H7" s="251"/>
      <c r="I7" s="251"/>
      <c r="J7" s="251"/>
      <c r="K7" s="251"/>
      <c r="L7" s="251"/>
    </row>
    <row r="8" spans="1:60" ht="21.6" customHeight="1"/>
    <row r="9" spans="1:60" ht="17.100000000000001" customHeight="1">
      <c r="B9" s="200" t="s">
        <v>293</v>
      </c>
      <c r="C9" s="201" t="s">
        <v>60</v>
      </c>
      <c r="E9" s="200" t="s">
        <v>294</v>
      </c>
      <c r="F9" s="201" t="s">
        <v>6</v>
      </c>
      <c r="H9" s="200" t="s">
        <v>295</v>
      </c>
      <c r="I9" s="201" t="s">
        <v>6</v>
      </c>
    </row>
    <row r="10" spans="1:60" ht="17.100000000000001" customHeight="1">
      <c r="B10" s="200" t="s">
        <v>296</v>
      </c>
      <c r="C10" s="201" t="s">
        <v>6</v>
      </c>
      <c r="E10" s="200" t="s">
        <v>297</v>
      </c>
      <c r="F10" s="201" t="s">
        <v>6</v>
      </c>
      <c r="H10" s="200" t="s">
        <v>298</v>
      </c>
      <c r="I10" s="201" t="s">
        <v>6</v>
      </c>
    </row>
    <row r="11" spans="1:60" ht="17.100000000000001" customHeight="1">
      <c r="B11" s="200" t="s">
        <v>299</v>
      </c>
      <c r="C11" s="201" t="s">
        <v>6</v>
      </c>
      <c r="E11" s="200" t="s">
        <v>300</v>
      </c>
      <c r="F11" s="201" t="s">
        <v>6</v>
      </c>
      <c r="H11" s="200" t="s">
        <v>301</v>
      </c>
      <c r="I11" s="201" t="s">
        <v>6</v>
      </c>
    </row>
    <row r="12" spans="1:60" ht="17.100000000000001" customHeight="1">
      <c r="B12" s="200" t="s">
        <v>302</v>
      </c>
      <c r="C12" s="201" t="s">
        <v>60</v>
      </c>
      <c r="E12" s="200" t="s">
        <v>303</v>
      </c>
      <c r="F12" s="201" t="s">
        <v>6</v>
      </c>
      <c r="H12" s="200" t="s">
        <v>304</v>
      </c>
      <c r="I12" s="201" t="s">
        <v>6</v>
      </c>
      <c r="K12" s="202" t="s">
        <v>305</v>
      </c>
      <c r="L12" s="202" t="s">
        <v>306</v>
      </c>
    </row>
    <row r="13" spans="1:60" ht="17.100000000000001" customHeight="1">
      <c r="B13" s="200" t="s">
        <v>307</v>
      </c>
      <c r="C13" s="201" t="s">
        <v>60</v>
      </c>
      <c r="E13" s="200" t="s">
        <v>308</v>
      </c>
      <c r="F13" s="201" t="s">
        <v>6</v>
      </c>
      <c r="K13" s="203"/>
      <c r="L13" s="203"/>
    </row>
    <row r="14" spans="1:60" ht="17.100000000000001" customHeight="1">
      <c r="K14" s="203"/>
      <c r="L14" s="203"/>
    </row>
    <row r="15" spans="1:60" ht="17.100000000000001" customHeight="1">
      <c r="K15" s="203"/>
      <c r="L15" s="203"/>
    </row>
    <row r="16" spans="1:60" ht="17.100000000000001" customHeight="1">
      <c r="K16" s="203"/>
      <c r="L16" s="203"/>
    </row>
    <row r="17" spans="3:12">
      <c r="C17" s="252" t="s">
        <v>309</v>
      </c>
      <c r="D17" s="253"/>
      <c r="E17" s="253"/>
      <c r="F17" s="253"/>
      <c r="G17" s="254"/>
      <c r="K17" s="203"/>
      <c r="L17" s="203"/>
    </row>
    <row r="18" spans="3:12">
      <c r="C18" s="255"/>
      <c r="D18" s="256"/>
      <c r="E18" s="256"/>
      <c r="F18" s="256"/>
      <c r="G18" s="257"/>
      <c r="K18" s="203"/>
      <c r="L18" s="203"/>
    </row>
    <row r="19" spans="3:12">
      <c r="C19" s="258"/>
      <c r="D19" s="259"/>
      <c r="E19" s="259"/>
      <c r="F19" s="259"/>
      <c r="G19" s="260"/>
      <c r="K19" s="203"/>
      <c r="L19" s="203"/>
    </row>
    <row r="20" spans="3:12">
      <c r="K20" s="203"/>
      <c r="L20" s="203"/>
    </row>
    <row r="21" spans="3:12">
      <c r="K21" s="203"/>
      <c r="L21" s="203"/>
    </row>
    <row r="22" spans="3:12">
      <c r="K22" s="203"/>
      <c r="L22" s="203"/>
    </row>
    <row r="23" spans="3:12">
      <c r="K23" s="203"/>
      <c r="L23" s="203"/>
    </row>
  </sheetData>
  <sheetCalcPr fullCalcOnLoad="true"/>
  <sheetProtection password="DC4E" sheet="true" scenarios="true" objects="true"/>
  <mergeCells count="3">
    <mergeCell ref="B6:L6"/>
    <mergeCell ref="B7:L7"/>
    <mergeCell ref="C17:G19"/>
  </mergeCells>
  <pageMargins left="0.78749999999999998" right="0.78749999999999998" top="1.0249999999999999" bottom="1.0249999999999999" header="0.78749999999999998" footer="0.78749999999999998"/>
  <pageSetup paperSize="9" firstPageNumber="0" orientation="portrait" horizontalDpi="300" verticalDpi="300" r:id="rId1"/>
  <headerFooter>
    <oddHeader>&amp;C&amp;A</oddHeader>
    <oddFooter>&amp;CPage &amp;P</oddFooter>
  </headerFooter>
  <drawing r:id="rId2"/>
  <legacyDrawing r:id="rId3"/>
  <extLst>
    <ext uri="{CCE6A557-97BC-4b89-ADB6-D9C93CAAB3DF}">
      <x14:dataValidations xmlns:xm="http://schemas.microsoft.com/office/excel/2006/main" count="1">
        <x14:dataValidation type="list" allowBlank="1" showInputMessage="1" showErrorMessage="1">
          <x14:formula1>
            <xm:f>'DATA - Oculta'!$K$8:$K$10</xm:f>
          </x14:formula1>
          <xm:sqref>C9:C13 F9:F13 I9:I12</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3"/>
  <dimension ref="A1:BL981"/>
  <sheetViews>
    <sheetView zoomScale="85" zoomScaleNormal="85" workbookViewId="0">
      <selection activeCell="C8" sqref="C8"/>
    </sheetView>
  </sheetViews>
  <sheetFormatPr baseColWidth="10" defaultColWidth="11.5703125" defaultRowHeight="12.75"/>
  <cols>
    <col min="1" max="1" customWidth="true" style="14" width="11.7109375" collapsed="false"/>
    <col min="2" max="2" customWidth="true" style="14" width="9.5703125" collapsed="false"/>
    <col min="3" max="3" customWidth="true" style="14" width="27.28515625" collapsed="false"/>
    <col min="4" max="4" customWidth="true" style="14" width="19.140625" collapsed="false"/>
    <col min="5" max="5" bestFit="true" customWidth="true" style="14" width="27.5703125" collapsed="false"/>
    <col min="6" max="6" customWidth="true" style="14" width="72.5703125" collapsed="false"/>
    <col min="7" max="7" customWidth="true" style="14" width="64.7109375" collapsed="false"/>
    <col min="8" max="8" customWidth="true" style="14" width="134.42578125" collapsed="false"/>
    <col min="9" max="24" customWidth="true" style="14" width="8.7109375" collapsed="false"/>
    <col min="25" max="64" customWidth="true" style="14" width="14.42578125" collapsed="false"/>
    <col min="65" max="16384" style="14" width="11.5703125" collapsed="false"/>
  </cols>
  <sheetData>
    <row r="1" spans="1:64" ht="12.75" customHeight="1">
      <c r="A1" s="27"/>
      <c r="B1" s="2"/>
      <c r="C1" s="19"/>
      <c r="D1" s="19"/>
      <c r="E1" s="19"/>
      <c r="F1" s="19"/>
      <c r="G1" s="19"/>
      <c r="H1" s="19"/>
      <c r="I1" s="19"/>
      <c r="J1" s="19"/>
      <c r="K1" s="19"/>
      <c r="L1" s="19"/>
      <c r="M1" s="19"/>
      <c r="N1" s="19"/>
      <c r="O1" s="19"/>
      <c r="P1" s="19"/>
      <c r="Q1" s="19"/>
      <c r="R1" s="19"/>
      <c r="S1" s="19"/>
      <c r="T1" s="19"/>
      <c r="U1" s="19"/>
      <c r="V1" s="19"/>
      <c r="W1" s="19"/>
      <c r="X1" s="19"/>
      <c r="Y1" s="19"/>
    </row>
    <row r="2" spans="1:64" ht="25.35" customHeight="1" thickBot="1">
      <c r="A2" s="27"/>
      <c r="B2" s="64" t="s">
        <v>0</v>
      </c>
      <c r="C2" s="19"/>
      <c r="D2" s="19"/>
      <c r="E2" s="19"/>
      <c r="F2" s="19"/>
      <c r="G2" s="19"/>
      <c r="H2" s="19"/>
      <c r="I2" s="19"/>
      <c r="J2" s="19"/>
      <c r="K2" s="19"/>
      <c r="L2" s="19"/>
      <c r="M2" s="19"/>
      <c r="N2" s="19"/>
      <c r="O2" s="19"/>
      <c r="P2" s="19"/>
      <c r="Q2" s="19"/>
      <c r="R2" s="19"/>
      <c r="S2" s="19"/>
      <c r="T2" s="19"/>
      <c r="U2" s="19"/>
      <c r="V2" s="19"/>
      <c r="W2" s="19"/>
      <c r="X2" s="19"/>
      <c r="Y2" s="19"/>
    </row>
    <row r="3" spans="1:64" ht="23.65" customHeight="1" thickTop="1" thickBot="1">
      <c r="A3" s="27"/>
      <c r="B3" s="65" t="s">
        <v>278</v>
      </c>
      <c r="C3" s="19"/>
      <c r="D3" s="19"/>
      <c r="E3" s="19"/>
      <c r="G3" s="43" t="s">
        <v>14</v>
      </c>
      <c r="H3" s="19"/>
      <c r="I3" s="19"/>
      <c r="J3" s="19"/>
      <c r="K3" s="19"/>
      <c r="L3" s="19"/>
      <c r="M3" s="19"/>
      <c r="N3" s="19"/>
      <c r="O3" s="19"/>
      <c r="P3" s="19"/>
      <c r="Q3" s="19"/>
      <c r="R3" s="19"/>
      <c r="S3" s="19"/>
      <c r="T3" s="19"/>
      <c r="U3" s="19"/>
      <c r="V3" s="19"/>
      <c r="W3" s="19"/>
      <c r="X3" s="19"/>
      <c r="Y3" s="19"/>
    </row>
    <row r="4" spans="1:64" ht="16.7" customHeight="1" thickTop="1">
      <c r="A4" s="27"/>
      <c r="B4" s="66"/>
      <c r="C4" s="19"/>
      <c r="D4" s="19"/>
      <c r="E4" s="19"/>
      <c r="F4" s="19"/>
      <c r="G4" s="19"/>
      <c r="H4" s="19"/>
      <c r="I4" s="19"/>
      <c r="J4" s="19"/>
      <c r="K4" s="19"/>
      <c r="L4" s="19"/>
      <c r="M4" s="19"/>
      <c r="N4" s="19"/>
      <c r="O4" s="19"/>
      <c r="P4" s="19"/>
      <c r="Q4" s="19"/>
      <c r="R4" s="19"/>
      <c r="S4" s="19"/>
      <c r="T4" s="19"/>
      <c r="U4" s="19"/>
      <c r="V4" s="19"/>
      <c r="W4" s="19"/>
      <c r="X4" s="19"/>
      <c r="Y4" s="19"/>
    </row>
    <row r="5" spans="1:64" ht="28.35" customHeight="1">
      <c r="B5" s="261" t="s">
        <v>15</v>
      </c>
      <c r="C5" s="261"/>
      <c r="D5" s="261"/>
      <c r="E5" s="261"/>
      <c r="F5" s="261"/>
      <c r="G5" s="261"/>
      <c r="H5" s="67"/>
      <c r="I5" s="67"/>
      <c r="J5" s="67"/>
      <c r="K5" s="67"/>
      <c r="L5" s="67"/>
      <c r="M5" s="67"/>
      <c r="N5" s="67"/>
      <c r="O5" s="67"/>
      <c r="P5" s="67"/>
      <c r="Q5" s="67"/>
      <c r="R5" s="67"/>
      <c r="S5" s="67"/>
      <c r="T5" s="67"/>
      <c r="U5" s="67"/>
      <c r="V5" s="67"/>
      <c r="W5" s="67"/>
      <c r="X5" s="67"/>
      <c r="Y5" s="67"/>
      <c r="Z5" s="68"/>
      <c r="AA5" s="68"/>
      <c r="AB5" s="68"/>
      <c r="AC5" s="68"/>
      <c r="AD5" s="68"/>
      <c r="AE5" s="68"/>
      <c r="AF5" s="68"/>
      <c r="AG5" s="68"/>
      <c r="AH5" s="68"/>
      <c r="AI5" s="68"/>
      <c r="AJ5" s="68"/>
      <c r="AK5" s="68"/>
      <c r="AL5" s="68"/>
      <c r="AM5" s="68"/>
      <c r="AN5" s="68"/>
      <c r="AO5" s="68"/>
      <c r="AP5" s="68"/>
      <c r="AQ5" s="68"/>
      <c r="AR5" s="68"/>
      <c r="AS5" s="68"/>
      <c r="AT5" s="68"/>
      <c r="AU5" s="68"/>
      <c r="AV5" s="68"/>
      <c r="AW5" s="68"/>
      <c r="AX5" s="68"/>
      <c r="AY5" s="68"/>
      <c r="AZ5" s="68"/>
      <c r="BA5" s="68"/>
      <c r="BB5" s="68"/>
      <c r="BC5" s="68"/>
      <c r="BD5" s="68"/>
      <c r="BE5" s="68"/>
      <c r="BF5" s="68"/>
      <c r="BG5" s="68"/>
      <c r="BH5" s="68"/>
      <c r="BI5" s="68"/>
      <c r="BJ5" s="68"/>
      <c r="BK5" s="68"/>
      <c r="BL5" s="68"/>
    </row>
    <row r="6" spans="1:64" ht="17.850000000000001" customHeight="1">
      <c r="A6" s="69"/>
      <c r="B6" s="69"/>
      <c r="C6" s="69"/>
      <c r="D6" s="69"/>
      <c r="E6" s="69"/>
      <c r="F6" s="19"/>
      <c r="G6" s="19"/>
      <c r="H6" s="19"/>
      <c r="I6" s="19"/>
      <c r="J6" s="19"/>
      <c r="K6" s="19"/>
      <c r="L6" s="19"/>
      <c r="M6" s="19"/>
      <c r="N6" s="19"/>
      <c r="O6" s="19"/>
      <c r="P6" s="19"/>
      <c r="Q6" s="19"/>
      <c r="R6" s="19"/>
      <c r="S6" s="19"/>
      <c r="T6" s="19"/>
      <c r="U6" s="19"/>
      <c r="V6" s="19"/>
      <c r="W6" s="19"/>
      <c r="X6" s="19"/>
    </row>
    <row r="7" spans="1:64" ht="18.2" customHeight="1">
      <c r="B7" s="135" t="s">
        <v>16</v>
      </c>
      <c r="C7" s="135" t="s">
        <v>248</v>
      </c>
      <c r="D7" s="135" t="s">
        <v>249</v>
      </c>
      <c r="E7" s="135" t="s">
        <v>17</v>
      </c>
      <c r="F7" s="135" t="s">
        <v>310</v>
      </c>
      <c r="G7" s="135" t="s">
        <v>18</v>
      </c>
      <c r="H7" s="135" t="s">
        <v>19</v>
      </c>
      <c r="I7" s="19"/>
      <c r="J7" s="19"/>
      <c r="K7" s="19"/>
      <c r="L7" s="19"/>
      <c r="M7" s="19"/>
      <c r="N7" s="19"/>
      <c r="O7" s="19"/>
      <c r="P7" s="19"/>
      <c r="Q7" s="19"/>
      <c r="R7" s="19"/>
      <c r="S7" s="19"/>
      <c r="T7" s="19"/>
      <c r="U7" s="19"/>
      <c r="V7" s="19"/>
      <c r="W7" s="19"/>
      <c r="X7" s="19"/>
      <c r="Y7" s="19"/>
    </row>
    <row r="8" spans="1:64" ht="18.2" customHeight="1">
      <c r="B8" s="133">
        <v>1</v>
      </c>
      <c r="C8" s="134" t="s">
        <v>481</v>
      </c>
      <c r="D8" s="72" t="s">
        <v>482</v>
      </c>
      <c r="E8" s="72" t="s">
        <v>483</v>
      </c>
      <c r="F8" s="158" t="s">
        <v>484</v>
      </c>
      <c r="G8" s="72"/>
      <c r="H8" s="187" t="s">
        <v>20</v>
      </c>
      <c r="I8" s="19"/>
      <c r="J8" s="19"/>
      <c r="K8" s="19"/>
      <c r="L8" s="19"/>
      <c r="M8" s="19"/>
      <c r="N8" s="19"/>
      <c r="O8" s="19"/>
      <c r="P8" s="19"/>
      <c r="Q8" s="19"/>
      <c r="R8" s="19"/>
      <c r="S8" s="19"/>
      <c r="T8" s="19"/>
      <c r="U8" s="19"/>
      <c r="V8" s="19"/>
      <c r="W8" s="19"/>
      <c r="X8" s="19"/>
      <c r="Y8" s="19"/>
    </row>
    <row r="9" spans="1:64" ht="18.2" customHeight="1">
      <c r="B9" s="70">
        <v>2</v>
      </c>
      <c r="C9" s="71" t="s">
        <v>485</v>
      </c>
      <c r="D9" s="72" t="s">
        <v>482</v>
      </c>
      <c r="E9" s="72" t="s">
        <v>483</v>
      </c>
      <c r="F9" s="158" t="s">
        <v>486</v>
      </c>
      <c r="G9" s="72"/>
      <c r="H9" s="132"/>
      <c r="I9" s="19"/>
      <c r="J9" s="19"/>
      <c r="K9" s="19"/>
      <c r="L9" s="19"/>
      <c r="M9" s="19"/>
      <c r="N9" s="19"/>
      <c r="O9" s="19"/>
      <c r="P9" s="19"/>
      <c r="Q9" s="19"/>
      <c r="R9" s="19"/>
      <c r="S9" s="19"/>
      <c r="T9" s="19"/>
      <c r="U9" s="19"/>
      <c r="V9" s="19"/>
      <c r="W9" s="19"/>
      <c r="X9" s="19"/>
      <c r="Y9" s="19"/>
    </row>
    <row r="10" spans="1:64" ht="18.2" customHeight="1">
      <c r="B10" s="70">
        <v>3</v>
      </c>
      <c r="C10" s="71" t="s">
        <v>487</v>
      </c>
      <c r="D10" s="72" t="s">
        <v>482</v>
      </c>
      <c r="E10" s="72" t="s">
        <v>483</v>
      </c>
      <c r="F10" s="158" t="s">
        <v>488</v>
      </c>
      <c r="G10" s="72"/>
      <c r="H10" s="132"/>
      <c r="I10" s="19"/>
      <c r="J10" s="19"/>
      <c r="K10" s="19"/>
      <c r="L10" s="19"/>
      <c r="M10" s="19"/>
      <c r="N10" s="19"/>
      <c r="O10" s="19"/>
      <c r="P10" s="19"/>
      <c r="Q10" s="19"/>
      <c r="R10" s="19"/>
      <c r="S10" s="19"/>
      <c r="T10" s="19"/>
      <c r="U10" s="19"/>
      <c r="V10" s="19"/>
      <c r="W10" s="19"/>
      <c r="X10" s="19"/>
      <c r="Y10" s="19"/>
    </row>
    <row r="11" spans="1:64" ht="18.2" customHeight="1">
      <c r="B11" s="70">
        <v>4</v>
      </c>
      <c r="C11" s="71" t="s">
        <v>489</v>
      </c>
      <c r="D11" s="72" t="s">
        <v>482</v>
      </c>
      <c r="E11" s="72" t="s">
        <v>483</v>
      </c>
      <c r="F11" s="158" t="s">
        <v>490</v>
      </c>
      <c r="G11" s="72"/>
      <c r="H11" s="132" t="s">
        <v>4</v>
      </c>
      <c r="I11" s="19"/>
      <c r="J11" s="19"/>
      <c r="K11" s="19"/>
      <c r="L11" s="19"/>
      <c r="M11" s="19"/>
      <c r="N11" s="19"/>
      <c r="O11" s="19"/>
      <c r="P11" s="19"/>
      <c r="Q11" s="19"/>
      <c r="R11" s="19"/>
      <c r="S11" s="19"/>
      <c r="T11" s="19"/>
      <c r="U11" s="19"/>
      <c r="V11" s="19"/>
      <c r="W11" s="19"/>
      <c r="X11" s="19"/>
      <c r="Y11" s="19"/>
    </row>
    <row r="12" spans="1:64" ht="18.2" customHeight="1">
      <c r="B12" s="70">
        <v>5</v>
      </c>
      <c r="C12" s="71" t="s">
        <v>491</v>
      </c>
      <c r="D12" s="72" t="s">
        <v>482</v>
      </c>
      <c r="E12" s="72" t="s">
        <v>483</v>
      </c>
      <c r="F12" s="158" t="s">
        <v>492</v>
      </c>
      <c r="G12" s="72"/>
      <c r="H12" s="132"/>
      <c r="I12" s="19"/>
      <c r="J12" s="19"/>
      <c r="K12" s="19"/>
      <c r="L12" s="19"/>
      <c r="M12" s="19"/>
      <c r="N12" s="19"/>
      <c r="O12" s="19"/>
      <c r="P12" s="19"/>
      <c r="Q12" s="19"/>
      <c r="R12" s="19"/>
      <c r="S12" s="19"/>
      <c r="T12" s="19"/>
      <c r="U12" s="19"/>
      <c r="V12" s="19"/>
      <c r="W12" s="19"/>
      <c r="X12" s="19"/>
      <c r="Y12" s="19"/>
    </row>
    <row r="13" spans="1:64" ht="18.2" customHeight="1">
      <c r="B13" s="70">
        <v>6</v>
      </c>
      <c r="C13" s="71" t="s">
        <v>493</v>
      </c>
      <c r="D13" s="72" t="s">
        <v>482</v>
      </c>
      <c r="E13" s="72" t="s">
        <v>483</v>
      </c>
      <c r="F13" s="158" t="s">
        <v>494</v>
      </c>
      <c r="G13" s="72"/>
      <c r="H13" s="132"/>
      <c r="I13" s="19"/>
      <c r="J13" s="19"/>
      <c r="K13" s="19"/>
      <c r="L13" s="19"/>
      <c r="M13" s="19"/>
      <c r="N13" s="19"/>
      <c r="O13" s="19"/>
      <c r="P13" s="19"/>
      <c r="Q13" s="19"/>
      <c r="R13" s="19"/>
      <c r="S13" s="19"/>
      <c r="T13" s="19"/>
      <c r="V13" s="19"/>
      <c r="W13" s="19"/>
      <c r="X13" s="19"/>
      <c r="Y13" s="19"/>
    </row>
    <row r="14" spans="1:64" ht="18.2" customHeight="1">
      <c r="B14" s="70">
        <v>7</v>
      </c>
      <c r="C14" s="71" t="s">
        <v>495</v>
      </c>
      <c r="D14" s="72" t="s">
        <v>482</v>
      </c>
      <c r="E14" s="72" t="s">
        <v>483</v>
      </c>
      <c r="F14" s="158" t="s">
        <v>496</v>
      </c>
      <c r="G14" s="72"/>
      <c r="H14" s="132"/>
      <c r="I14" s="19"/>
      <c r="J14" s="19"/>
      <c r="K14" s="19"/>
      <c r="L14" s="19"/>
      <c r="M14" s="19"/>
      <c r="N14" s="19"/>
      <c r="O14" s="19"/>
      <c r="P14" s="19"/>
      <c r="Q14" s="19"/>
      <c r="R14" s="19"/>
      <c r="S14" s="19"/>
      <c r="T14" s="19"/>
      <c r="U14" s="19"/>
      <c r="V14" s="19"/>
      <c r="W14" s="19"/>
      <c r="X14" s="19"/>
      <c r="Y14" s="19"/>
    </row>
    <row r="15" spans="1:64" ht="18.2" customHeight="1">
      <c r="B15" s="70">
        <v>8</v>
      </c>
      <c r="C15" s="71" t="s">
        <v>497</v>
      </c>
      <c r="D15" s="72" t="s">
        <v>482</v>
      </c>
      <c r="E15" s="72" t="s">
        <v>483</v>
      </c>
      <c r="F15" s="158" t="s">
        <v>498</v>
      </c>
      <c r="G15" s="72"/>
      <c r="H15" s="132"/>
      <c r="I15" s="19"/>
      <c r="J15" s="19"/>
      <c r="K15" s="19"/>
      <c r="L15" s="19"/>
      <c r="M15" s="19"/>
      <c r="N15" s="19"/>
      <c r="O15" s="19"/>
      <c r="P15" s="19"/>
      <c r="Q15" s="19"/>
      <c r="R15" s="19"/>
      <c r="S15" s="19"/>
      <c r="T15" s="19"/>
      <c r="U15" s="19"/>
      <c r="V15" s="19"/>
      <c r="W15" s="19"/>
      <c r="X15" s="19"/>
      <c r="Y15" s="19"/>
    </row>
    <row r="16" spans="1:64" ht="18.2" customHeight="1">
      <c r="B16" s="70">
        <v>9</v>
      </c>
      <c r="C16" s="71" t="s">
        <v>499</v>
      </c>
      <c r="D16" s="72" t="s">
        <v>482</v>
      </c>
      <c r="E16" s="72" t="s">
        <v>483</v>
      </c>
      <c r="F16" s="158" t="s">
        <v>500</v>
      </c>
      <c r="G16" s="72"/>
      <c r="H16" s="132"/>
      <c r="I16" s="19"/>
      <c r="J16" s="19"/>
      <c r="K16" s="19"/>
      <c r="L16" s="19"/>
      <c r="M16" s="19"/>
      <c r="N16" s="19"/>
      <c r="O16" s="19"/>
      <c r="P16" s="19"/>
      <c r="Q16" s="19"/>
      <c r="R16" s="19"/>
      <c r="S16" s="19"/>
      <c r="T16" s="19"/>
      <c r="U16" s="19"/>
      <c r="V16" s="19"/>
      <c r="W16" s="19"/>
      <c r="X16" s="19"/>
      <c r="Y16" s="19"/>
    </row>
    <row r="17" spans="2:25" ht="18.2" customHeight="1">
      <c r="B17" s="70">
        <v>10</v>
      </c>
      <c r="C17" s="71" t="s">
        <v>501</v>
      </c>
      <c r="D17" s="72" t="s">
        <v>482</v>
      </c>
      <c r="E17" s="72" t="s">
        <v>483</v>
      </c>
      <c r="F17" s="158" t="s">
        <v>502</v>
      </c>
      <c r="G17" s="72"/>
      <c r="H17" s="132"/>
      <c r="I17" s="19"/>
      <c r="J17" s="19"/>
      <c r="K17" s="19"/>
      <c r="L17" s="19"/>
      <c r="M17" s="19"/>
      <c r="N17" s="19"/>
      <c r="O17" s="19"/>
      <c r="P17" s="19"/>
      <c r="Q17" s="19"/>
      <c r="R17" s="19"/>
      <c r="S17" s="19"/>
      <c r="T17" s="19"/>
      <c r="U17" s="19"/>
      <c r="V17" s="19"/>
      <c r="W17" s="19"/>
      <c r="X17" s="19"/>
      <c r="Y17" s="19"/>
    </row>
    <row r="18" spans="2:25" ht="18.2" customHeight="1">
      <c r="B18" s="70">
        <v>11</v>
      </c>
      <c r="C18" s="71" t="s">
        <v>499</v>
      </c>
      <c r="D18" s="72" t="s">
        <v>482</v>
      </c>
      <c r="E18" s="72" t="s">
        <v>483</v>
      </c>
      <c r="F18" s="158" t="s">
        <v>503</v>
      </c>
      <c r="G18" s="72"/>
      <c r="H18" s="132"/>
      <c r="I18" s="19"/>
      <c r="J18" s="19"/>
      <c r="K18" s="19"/>
      <c r="L18" s="19"/>
      <c r="M18" s="19"/>
      <c r="N18" s="19"/>
      <c r="O18" s="19"/>
      <c r="P18" s="19"/>
      <c r="Q18" s="19"/>
      <c r="R18" s="19"/>
      <c r="S18" s="19"/>
      <c r="T18" s="19"/>
      <c r="U18" s="19"/>
      <c r="V18" s="19"/>
      <c r="W18" s="19"/>
      <c r="X18" s="19"/>
      <c r="Y18" s="19"/>
    </row>
    <row r="19" spans="2:25" ht="18.2" customHeight="1">
      <c r="B19" s="70">
        <v>12</v>
      </c>
      <c r="C19" s="71" t="s">
        <v>485</v>
      </c>
      <c r="D19" s="72" t="s">
        <v>482</v>
      </c>
      <c r="E19" s="72" t="s">
        <v>483</v>
      </c>
      <c r="F19" s="158" t="s">
        <v>504</v>
      </c>
      <c r="G19" s="72"/>
      <c r="H19" s="132"/>
      <c r="I19" s="19"/>
      <c r="J19" s="19"/>
      <c r="K19" s="19"/>
      <c r="L19" s="19"/>
      <c r="M19" s="19"/>
      <c r="N19" s="19"/>
      <c r="O19" s="19"/>
      <c r="P19" s="19"/>
      <c r="Q19" s="19"/>
      <c r="R19" s="19"/>
      <c r="S19" s="19"/>
      <c r="T19" s="19"/>
      <c r="U19" s="19"/>
      <c r="V19" s="19"/>
      <c r="W19" s="19"/>
      <c r="X19" s="19"/>
      <c r="Y19" s="19"/>
    </row>
    <row r="20" spans="2:25" ht="18.2" customHeight="1">
      <c r="B20" s="70">
        <v>13</v>
      </c>
      <c r="C20" s="71" t="s">
        <v>499</v>
      </c>
      <c r="D20" s="72" t="s">
        <v>482</v>
      </c>
      <c r="E20" s="72" t="s">
        <v>483</v>
      </c>
      <c r="F20" s="158" t="s">
        <v>505</v>
      </c>
      <c r="G20" s="72"/>
      <c r="H20" s="132"/>
      <c r="I20" s="19"/>
      <c r="J20" s="19"/>
      <c r="K20" s="19"/>
      <c r="L20" s="19"/>
      <c r="M20" s="19"/>
      <c r="N20" s="19"/>
      <c r="O20" s="19"/>
      <c r="P20" s="19"/>
      <c r="Q20" s="19"/>
      <c r="R20" s="19"/>
      <c r="S20" s="19"/>
      <c r="T20" s="19"/>
      <c r="U20" s="19"/>
      <c r="V20" s="19"/>
      <c r="W20" s="19"/>
      <c r="X20" s="19"/>
      <c r="Y20" s="19"/>
    </row>
    <row r="21" spans="2:25" ht="18.2" customHeight="1">
      <c r="B21" s="70">
        <v>14</v>
      </c>
      <c r="C21" s="71" t="s">
        <v>506</v>
      </c>
      <c r="D21" s="72" t="s">
        <v>482</v>
      </c>
      <c r="E21" s="72" t="s">
        <v>483</v>
      </c>
      <c r="F21" s="158" t="s">
        <v>507</v>
      </c>
      <c r="G21" s="72"/>
      <c r="H21" s="132"/>
      <c r="I21" s="19"/>
      <c r="J21" s="19"/>
      <c r="K21" s="19"/>
      <c r="L21" s="19"/>
      <c r="M21" s="19"/>
      <c r="N21" s="19"/>
      <c r="O21" s="19"/>
      <c r="P21" s="19"/>
      <c r="Q21" s="19"/>
      <c r="R21" s="19"/>
      <c r="S21" s="19"/>
      <c r="T21" s="19"/>
      <c r="U21" s="19"/>
      <c r="V21" s="19"/>
      <c r="W21" s="19"/>
      <c r="X21" s="19"/>
      <c r="Y21" s="19"/>
    </row>
    <row r="22" spans="2:25" ht="18.2" customHeight="1">
      <c r="B22" s="70">
        <v>15</v>
      </c>
      <c r="C22" s="71" t="s">
        <v>508</v>
      </c>
      <c r="D22" s="72" t="s">
        <v>482</v>
      </c>
      <c r="E22" s="72" t="s">
        <v>483</v>
      </c>
      <c r="F22" s="158" t="s">
        <v>509</v>
      </c>
      <c r="G22" s="72"/>
      <c r="H22" s="132"/>
      <c r="I22" s="19"/>
      <c r="J22" s="19"/>
      <c r="K22" s="19"/>
      <c r="L22" s="19"/>
      <c r="M22" s="19"/>
      <c r="N22" s="19"/>
      <c r="O22" s="19"/>
      <c r="P22" s="19"/>
      <c r="Q22" s="19"/>
      <c r="R22" s="19"/>
      <c r="S22" s="19"/>
      <c r="T22" s="19"/>
      <c r="U22" s="19"/>
      <c r="V22" s="19"/>
      <c r="W22" s="19"/>
      <c r="X22" s="19"/>
      <c r="Y22" s="19"/>
    </row>
    <row r="23" spans="2:25" ht="18.2" customHeight="1">
      <c r="B23" s="70">
        <v>16</v>
      </c>
      <c r="C23" s="71" t="s">
        <v>510</v>
      </c>
      <c r="D23" s="72" t="s">
        <v>482</v>
      </c>
      <c r="E23" s="72" t="s">
        <v>483</v>
      </c>
      <c r="F23" s="158" t="s">
        <v>511</v>
      </c>
      <c r="G23" s="72"/>
      <c r="H23" s="132"/>
      <c r="I23" s="19"/>
      <c r="J23" s="19"/>
      <c r="K23" s="19"/>
      <c r="L23" s="19"/>
      <c r="M23" s="19"/>
      <c r="N23" s="19"/>
      <c r="O23" s="19"/>
      <c r="P23" s="19"/>
      <c r="Q23" s="19"/>
      <c r="R23" s="19"/>
      <c r="S23" s="19"/>
      <c r="T23" s="19"/>
      <c r="U23" s="19"/>
      <c r="V23" s="19"/>
      <c r="W23" s="19"/>
      <c r="X23" s="19"/>
      <c r="Y23" s="19"/>
    </row>
    <row r="24" spans="2:25" ht="18.2" customHeight="1">
      <c r="B24" s="70">
        <v>17</v>
      </c>
      <c r="C24" s="71" t="s">
        <v>512</v>
      </c>
      <c r="D24" s="72" t="s">
        <v>482</v>
      </c>
      <c r="E24" s="72" t="s">
        <v>483</v>
      </c>
      <c r="F24" s="158" t="s">
        <v>513</v>
      </c>
      <c r="G24" s="72"/>
      <c r="H24" s="132"/>
      <c r="I24" s="19"/>
      <c r="J24" s="19"/>
      <c r="K24" s="19"/>
      <c r="L24" s="19"/>
      <c r="M24" s="19"/>
      <c r="N24" s="19"/>
      <c r="O24" s="19"/>
      <c r="P24" s="19"/>
      <c r="Q24" s="19"/>
      <c r="R24" s="19"/>
      <c r="S24" s="19"/>
      <c r="T24" s="19"/>
      <c r="U24" s="19"/>
      <c r="V24" s="19"/>
      <c r="W24" s="19"/>
      <c r="X24" s="19"/>
      <c r="Y24" s="19"/>
    </row>
    <row r="25" spans="2:25" ht="18.2" customHeight="1">
      <c r="B25" s="70">
        <v>18</v>
      </c>
      <c r="C25" s="71" t="s">
        <v>514</v>
      </c>
      <c r="D25" s="72" t="s">
        <v>482</v>
      </c>
      <c r="E25" s="72" t="s">
        <v>483</v>
      </c>
      <c r="F25" s="158" t="s">
        <v>515</v>
      </c>
      <c r="G25" s="72"/>
      <c r="H25" s="132"/>
      <c r="I25" s="19"/>
      <c r="J25" s="19"/>
      <c r="K25" s="19"/>
      <c r="L25" s="19"/>
      <c r="M25" s="19"/>
      <c r="N25" s="19"/>
      <c r="O25" s="19"/>
      <c r="P25" s="19"/>
      <c r="Q25" s="19"/>
      <c r="R25" s="19"/>
      <c r="S25" s="19"/>
      <c r="T25" s="19"/>
      <c r="U25" s="19"/>
      <c r="V25" s="19"/>
      <c r="W25" s="19"/>
      <c r="X25" s="19"/>
      <c r="Y25" s="19"/>
    </row>
    <row r="26" spans="2:25" ht="18.2" customHeight="1">
      <c r="B26" s="70">
        <v>19</v>
      </c>
      <c r="C26" s="71" t="s">
        <v>485</v>
      </c>
      <c r="D26" s="72" t="s">
        <v>482</v>
      </c>
      <c r="E26" s="72" t="s">
        <v>483</v>
      </c>
      <c r="F26" s="158" t="s">
        <v>516</v>
      </c>
      <c r="G26" s="72"/>
      <c r="H26" s="132"/>
      <c r="I26" s="19"/>
      <c r="J26" s="19"/>
      <c r="K26" s="19"/>
      <c r="L26" s="19"/>
      <c r="M26" s="19"/>
      <c r="N26" s="19"/>
      <c r="O26" s="19"/>
      <c r="P26" s="19"/>
      <c r="Q26" s="19"/>
      <c r="R26" s="19"/>
      <c r="S26" s="19"/>
      <c r="T26" s="19"/>
      <c r="U26" s="19"/>
      <c r="V26" s="19"/>
      <c r="W26" s="19"/>
      <c r="X26" s="19"/>
      <c r="Y26" s="19"/>
    </row>
    <row r="27" spans="2:25" ht="18.2" customHeight="1">
      <c r="B27" s="70">
        <v>20</v>
      </c>
      <c r="C27" s="71" t="s">
        <v>485</v>
      </c>
      <c r="D27" s="72" t="s">
        <v>482</v>
      </c>
      <c r="E27" s="72" t="s">
        <v>483</v>
      </c>
      <c r="F27" s="158" t="s">
        <v>517</v>
      </c>
      <c r="G27" s="72"/>
      <c r="H27" s="132"/>
      <c r="I27" s="19"/>
      <c r="J27" s="19"/>
      <c r="K27" s="19"/>
      <c r="L27" s="19"/>
      <c r="M27" s="19"/>
      <c r="N27" s="19"/>
      <c r="O27" s="19"/>
      <c r="P27" s="19"/>
      <c r="Q27" s="19"/>
      <c r="R27" s="19"/>
      <c r="S27" s="19"/>
      <c r="T27" s="19"/>
      <c r="U27" s="19"/>
      <c r="V27" s="19"/>
      <c r="W27" s="19"/>
      <c r="X27" s="19"/>
      <c r="Y27" s="19"/>
    </row>
    <row r="28" spans="2:25" ht="18.2" customHeight="1">
      <c r="B28" s="70">
        <v>21</v>
      </c>
      <c r="C28" s="71" t="s">
        <v>518</v>
      </c>
      <c r="D28" s="72" t="s">
        <v>482</v>
      </c>
      <c r="E28" s="72" t="s">
        <v>483</v>
      </c>
      <c r="F28" s="158" t="s">
        <v>519</v>
      </c>
      <c r="G28" s="72"/>
      <c r="H28" s="132"/>
      <c r="I28" s="19"/>
      <c r="J28" s="19"/>
      <c r="K28" s="19"/>
      <c r="L28" s="19"/>
      <c r="M28" s="19"/>
      <c r="N28" s="19"/>
      <c r="O28" s="19"/>
      <c r="P28" s="19"/>
      <c r="Q28" s="19"/>
      <c r="R28" s="19"/>
      <c r="S28" s="19"/>
      <c r="T28" s="19"/>
      <c r="U28" s="19"/>
      <c r="V28" s="19"/>
      <c r="W28" s="19"/>
      <c r="X28" s="19"/>
      <c r="Y28" s="19"/>
    </row>
    <row r="29" spans="2:25" ht="18.2" customHeight="1">
      <c r="B29" s="70">
        <v>22</v>
      </c>
      <c r="C29" s="71" t="s">
        <v>520</v>
      </c>
      <c r="D29" s="72" t="s">
        <v>482</v>
      </c>
      <c r="E29" s="72" t="s">
        <v>483</v>
      </c>
      <c r="F29" s="158" t="s">
        <v>521</v>
      </c>
      <c r="G29" s="72"/>
      <c r="H29" s="132"/>
      <c r="I29" s="19"/>
      <c r="J29" s="19"/>
      <c r="K29" s="19"/>
      <c r="L29" s="19"/>
      <c r="M29" s="19"/>
      <c r="N29" s="19"/>
      <c r="O29" s="19"/>
      <c r="P29" s="19"/>
      <c r="Q29" s="19"/>
      <c r="R29" s="19"/>
      <c r="S29" s="19"/>
      <c r="T29" s="19"/>
      <c r="U29" s="19"/>
      <c r="V29" s="19"/>
      <c r="W29" s="19"/>
      <c r="X29" s="19"/>
      <c r="Y29" s="19"/>
    </row>
    <row r="30" spans="2:25" ht="18.2" customHeight="1">
      <c r="B30" s="70">
        <v>23</v>
      </c>
      <c r="C30" s="71" t="s">
        <v>522</v>
      </c>
      <c r="D30" s="72" t="s">
        <v>482</v>
      </c>
      <c r="E30" s="72" t="s">
        <v>483</v>
      </c>
      <c r="F30" s="158" t="s">
        <v>523</v>
      </c>
      <c r="G30" s="72"/>
      <c r="H30" s="132"/>
      <c r="I30" s="19"/>
      <c r="J30" s="19"/>
      <c r="K30" s="19"/>
      <c r="L30" s="19"/>
      <c r="M30" s="19"/>
      <c r="N30" s="19"/>
      <c r="O30" s="19"/>
      <c r="P30" s="19"/>
      <c r="Q30" s="19"/>
      <c r="R30" s="19"/>
      <c r="S30" s="19"/>
      <c r="T30" s="19"/>
      <c r="U30" s="19"/>
      <c r="V30" s="19"/>
      <c r="W30" s="19"/>
      <c r="X30" s="19"/>
      <c r="Y30" s="19"/>
    </row>
    <row r="31" spans="2:25" ht="18.2" customHeight="1">
      <c r="B31" s="70">
        <v>24</v>
      </c>
      <c r="C31" s="71" t="s">
        <v>524</v>
      </c>
      <c r="D31" s="72" t="s">
        <v>482</v>
      </c>
      <c r="E31" s="72" t="s">
        <v>483</v>
      </c>
      <c r="F31" s="158" t="s">
        <v>525</v>
      </c>
      <c r="G31" s="72"/>
      <c r="H31" s="132"/>
      <c r="I31" s="19"/>
      <c r="J31" s="19"/>
      <c r="K31" s="19"/>
      <c r="L31" s="19"/>
      <c r="M31" s="19"/>
      <c r="N31" s="19"/>
      <c r="O31" s="19"/>
      <c r="P31" s="19"/>
      <c r="Q31" s="19"/>
      <c r="R31" s="19"/>
      <c r="S31" s="19"/>
      <c r="T31" s="19"/>
      <c r="U31" s="19"/>
      <c r="V31" s="19"/>
      <c r="W31" s="19"/>
      <c r="X31" s="19"/>
      <c r="Y31" s="19"/>
    </row>
    <row r="32" spans="2:25" ht="18.2" customHeight="1">
      <c r="B32" s="70">
        <v>25</v>
      </c>
      <c r="C32" s="71" t="s">
        <v>526</v>
      </c>
      <c r="D32" s="72" t="s">
        <v>482</v>
      </c>
      <c r="E32" s="72" t="s">
        <v>483</v>
      </c>
      <c r="F32" s="158" t="s">
        <v>527</v>
      </c>
      <c r="G32" s="72"/>
      <c r="H32" s="132"/>
      <c r="I32" s="19"/>
      <c r="J32" s="19"/>
      <c r="K32" s="19"/>
      <c r="L32" s="19"/>
      <c r="M32" s="19"/>
      <c r="N32" s="19"/>
      <c r="O32" s="19"/>
      <c r="P32" s="19"/>
      <c r="Q32" s="19"/>
      <c r="R32" s="19"/>
      <c r="S32" s="19"/>
      <c r="T32" s="19"/>
      <c r="U32" s="19"/>
      <c r="V32" s="19"/>
      <c r="W32" s="19"/>
      <c r="X32" s="19"/>
      <c r="Y32" s="19"/>
    </row>
    <row r="33" spans="2:25" ht="18.2" customHeight="1">
      <c r="B33" s="70">
        <v>26</v>
      </c>
      <c r="C33" s="71" t="s">
        <v>528</v>
      </c>
      <c r="D33" s="72" t="s">
        <v>482</v>
      </c>
      <c r="E33" s="72" t="s">
        <v>483</v>
      </c>
      <c r="F33" s="158" t="s">
        <v>529</v>
      </c>
      <c r="G33" s="72"/>
      <c r="H33" s="132"/>
      <c r="I33" s="19"/>
      <c r="J33" s="19"/>
      <c r="K33" s="19"/>
      <c r="L33" s="19"/>
      <c r="M33" s="19"/>
      <c r="N33" s="19"/>
      <c r="O33" s="19"/>
      <c r="P33" s="19"/>
      <c r="Q33" s="19"/>
      <c r="R33" s="19"/>
      <c r="S33" s="19"/>
      <c r="T33" s="19"/>
      <c r="U33" s="19"/>
      <c r="V33" s="19"/>
      <c r="W33" s="19"/>
      <c r="X33" s="19"/>
      <c r="Y33" s="19"/>
    </row>
    <row r="34" spans="2:25" ht="18.2" customHeight="1">
      <c r="B34" s="70">
        <v>27</v>
      </c>
      <c r="C34" s="71" t="s">
        <v>530</v>
      </c>
      <c r="D34" s="72" t="s">
        <v>482</v>
      </c>
      <c r="E34" s="72" t="s">
        <v>483</v>
      </c>
      <c r="F34" s="158" t="s">
        <v>531</v>
      </c>
      <c r="G34" s="72"/>
      <c r="H34" s="132"/>
      <c r="I34" s="19"/>
      <c r="J34" s="19"/>
      <c r="K34" s="19"/>
      <c r="L34" s="19"/>
      <c r="M34" s="19"/>
      <c r="N34" s="19"/>
      <c r="O34" s="19"/>
      <c r="P34" s="19"/>
      <c r="Q34" s="19"/>
      <c r="R34" s="19"/>
      <c r="S34" s="19"/>
      <c r="T34" s="19"/>
      <c r="U34" s="19"/>
      <c r="V34" s="19"/>
      <c r="W34" s="19"/>
      <c r="X34" s="19"/>
      <c r="Y34" s="19"/>
    </row>
    <row r="35" spans="2:25" ht="18.2" customHeight="1">
      <c r="B35" s="70">
        <v>28</v>
      </c>
      <c r="C35" s="71" t="s">
        <v>532</v>
      </c>
      <c r="D35" s="72" t="s">
        <v>482</v>
      </c>
      <c r="E35" s="72" t="s">
        <v>483</v>
      </c>
      <c r="F35" s="158" t="s">
        <v>533</v>
      </c>
      <c r="G35" s="72"/>
      <c r="H35" s="132"/>
      <c r="I35" s="19"/>
      <c r="J35" s="19"/>
      <c r="K35" s="19"/>
      <c r="L35" s="19"/>
      <c r="M35" s="19"/>
      <c r="N35" s="19"/>
      <c r="O35" s="19"/>
      <c r="P35" s="19"/>
      <c r="Q35" s="19"/>
      <c r="R35" s="19"/>
      <c r="S35" s="19"/>
      <c r="T35" s="19"/>
      <c r="U35" s="19"/>
      <c r="V35" s="19"/>
      <c r="W35" s="19"/>
      <c r="X35" s="19"/>
      <c r="Y35" s="19"/>
    </row>
    <row r="36" spans="2:25" ht="18.2" customHeight="1">
      <c r="B36" s="70">
        <v>29</v>
      </c>
      <c r="C36" s="71" t="s">
        <v>534</v>
      </c>
      <c r="D36" s="72" t="s">
        <v>482</v>
      </c>
      <c r="E36" s="72" t="s">
        <v>483</v>
      </c>
      <c r="F36" s="158" t="s">
        <v>535</v>
      </c>
      <c r="G36" s="72"/>
      <c r="H36" s="132"/>
      <c r="I36" s="19"/>
      <c r="J36" s="19"/>
      <c r="K36" s="19"/>
      <c r="L36" s="19"/>
      <c r="M36" s="19"/>
      <c r="N36" s="19"/>
      <c r="O36" s="19"/>
      <c r="P36" s="19"/>
      <c r="Q36" s="19"/>
      <c r="R36" s="19"/>
      <c r="S36" s="19"/>
      <c r="T36" s="19"/>
      <c r="U36" s="19"/>
      <c r="V36" s="19"/>
      <c r="W36" s="19"/>
      <c r="X36" s="19"/>
      <c r="Y36" s="19"/>
    </row>
    <row r="37" spans="2:25" ht="18.2" customHeight="1">
      <c r="B37" s="70">
        <v>30</v>
      </c>
      <c r="C37" s="71" t="s">
        <v>536</v>
      </c>
      <c r="D37" s="72" t="s">
        <v>482</v>
      </c>
      <c r="E37" s="72" t="s">
        <v>483</v>
      </c>
      <c r="F37" s="158" t="s">
        <v>537</v>
      </c>
      <c r="G37" s="72"/>
      <c r="H37" s="132"/>
      <c r="I37" s="19"/>
      <c r="J37" s="19"/>
      <c r="K37" s="19"/>
      <c r="L37" s="19"/>
      <c r="M37" s="19"/>
      <c r="N37" s="19"/>
      <c r="O37" s="19"/>
      <c r="P37" s="19"/>
      <c r="Q37" s="19"/>
      <c r="R37" s="19"/>
      <c r="S37" s="19"/>
      <c r="T37" s="19"/>
      <c r="U37" s="19"/>
      <c r="V37" s="19"/>
      <c r="W37" s="19"/>
      <c r="X37" s="19"/>
      <c r="Y37" s="19"/>
    </row>
    <row r="38" spans="2:25" ht="18.2" customHeight="1">
      <c r="B38" s="70">
        <v>31</v>
      </c>
      <c r="C38" s="71" t="s">
        <v>538</v>
      </c>
      <c r="D38" s="72" t="s">
        <v>482</v>
      </c>
      <c r="E38" s="72" t="s">
        <v>483</v>
      </c>
      <c r="F38" s="158" t="s">
        <v>539</v>
      </c>
      <c r="G38" s="72"/>
      <c r="H38" s="132"/>
      <c r="I38" s="19"/>
      <c r="J38" s="19"/>
      <c r="K38" s="19"/>
      <c r="L38" s="19"/>
      <c r="M38" s="19"/>
      <c r="N38" s="19"/>
      <c r="O38" s="19"/>
      <c r="P38" s="19"/>
      <c r="Q38" s="19"/>
      <c r="R38" s="19"/>
      <c r="S38" s="19"/>
      <c r="T38" s="19"/>
      <c r="U38" s="19"/>
      <c r="V38" s="19"/>
      <c r="W38" s="19"/>
      <c r="X38" s="19"/>
      <c r="Y38" s="19"/>
    </row>
    <row r="39" spans="2:25" ht="18.2" customHeight="1">
      <c r="B39" s="70">
        <v>32</v>
      </c>
      <c r="C39" s="71" t="s">
        <v>540</v>
      </c>
      <c r="D39" s="72" t="s">
        <v>482</v>
      </c>
      <c r="E39" s="72" t="s">
        <v>483</v>
      </c>
      <c r="F39" s="158" t="s">
        <v>541</v>
      </c>
      <c r="G39" s="72"/>
      <c r="H39" s="132"/>
      <c r="I39" s="19"/>
      <c r="J39" s="19"/>
      <c r="K39" s="19"/>
      <c r="L39" s="19"/>
      <c r="M39" s="19"/>
      <c r="N39" s="19"/>
      <c r="O39" s="19"/>
      <c r="P39" s="19"/>
      <c r="Q39" s="19"/>
      <c r="R39" s="19"/>
      <c r="S39" s="19"/>
      <c r="T39" s="19"/>
      <c r="U39" s="19"/>
      <c r="V39" s="19"/>
      <c r="W39" s="19"/>
      <c r="X39" s="19"/>
      <c r="Y39" s="19"/>
    </row>
    <row r="40" spans="2:25" ht="18.2" customHeight="1">
      <c r="B40" s="70">
        <v>33</v>
      </c>
      <c r="C40" s="71" t="s">
        <v>542</v>
      </c>
      <c r="D40" s="72" t="s">
        <v>482</v>
      </c>
      <c r="E40" s="72" t="s">
        <v>483</v>
      </c>
      <c r="F40" s="158" t="s">
        <v>543</v>
      </c>
      <c r="G40" s="72"/>
      <c r="H40" s="132"/>
      <c r="I40" s="19"/>
      <c r="J40" s="19"/>
      <c r="K40" s="19"/>
      <c r="L40" s="19"/>
      <c r="M40" s="19"/>
      <c r="N40" s="19"/>
      <c r="O40" s="19"/>
      <c r="P40" s="19"/>
      <c r="Q40" s="19"/>
      <c r="R40" s="19"/>
      <c r="S40" s="19"/>
      <c r="T40" s="19"/>
      <c r="U40" s="19"/>
      <c r="V40" s="19"/>
      <c r="W40" s="19"/>
      <c r="X40" s="19"/>
      <c r="Y40" s="19"/>
    </row>
    <row r="41" spans="2:25" ht="18.2" customHeight="1">
      <c r="B41" s="70">
        <v>34</v>
      </c>
      <c r="C41" s="71" t="s">
        <v>544</v>
      </c>
      <c r="D41" s="72" t="s">
        <v>545</v>
      </c>
      <c r="E41" s="72" t="s">
        <v>483</v>
      </c>
      <c r="F41" s="158" t="s">
        <v>546</v>
      </c>
      <c r="G41" s="72"/>
      <c r="H41" s="132"/>
      <c r="I41" s="19"/>
      <c r="J41" s="19"/>
      <c r="K41" s="19"/>
      <c r="L41" s="19"/>
      <c r="M41" s="19"/>
      <c r="N41" s="19"/>
      <c r="O41" s="19"/>
      <c r="P41" s="19"/>
      <c r="Q41" s="19"/>
      <c r="R41" s="19"/>
      <c r="S41" s="19"/>
      <c r="T41" s="19"/>
      <c r="U41" s="19"/>
      <c r="V41" s="19"/>
      <c r="W41" s="19"/>
      <c r="X41" s="19"/>
      <c r="Y41" s="19"/>
    </row>
    <row r="42" spans="2:25" ht="18.2" customHeight="1">
      <c r="B42" s="70">
        <v>35</v>
      </c>
      <c r="C42" s="71" t="s">
        <v>544</v>
      </c>
      <c r="D42" s="72" t="s">
        <v>545</v>
      </c>
      <c r="E42" s="72" t="s">
        <v>483</v>
      </c>
      <c r="F42" s="158" t="s">
        <v>547</v>
      </c>
      <c r="G42" s="72"/>
      <c r="H42" s="132"/>
      <c r="I42" s="19"/>
      <c r="J42" s="19"/>
      <c r="K42" s="19"/>
      <c r="L42" s="19"/>
      <c r="M42" s="19"/>
      <c r="N42" s="19"/>
      <c r="O42" s="19"/>
      <c r="P42" s="19"/>
      <c r="Q42" s="19"/>
      <c r="R42" s="19"/>
      <c r="S42" s="19"/>
      <c r="T42" s="19"/>
      <c r="U42" s="19"/>
      <c r="V42" s="19"/>
      <c r="W42" s="19"/>
      <c r="X42" s="19"/>
      <c r="Y42" s="19"/>
    </row>
    <row r="43" spans="2:25" ht="12" customHeight="1">
      <c r="B43" s="73"/>
      <c r="C43" s="73"/>
      <c r="D43" s="73"/>
      <c r="E43" s="73"/>
      <c r="F43" s="73"/>
      <c r="G43" s="19"/>
      <c r="H43" s="19"/>
      <c r="I43" s="19"/>
      <c r="J43" s="19"/>
      <c r="K43" s="19"/>
      <c r="L43" s="19"/>
      <c r="M43" s="19"/>
      <c r="N43" s="19"/>
      <c r="O43" s="19"/>
      <c r="P43" s="19"/>
      <c r="Q43" s="19"/>
      <c r="R43" s="19"/>
      <c r="S43" s="19"/>
      <c r="T43" s="19"/>
      <c r="U43" s="19"/>
      <c r="V43" s="19"/>
      <c r="W43" s="19"/>
      <c r="X43" s="19"/>
    </row>
    <row r="44" spans="2:25" ht="12" customHeight="1">
      <c r="B44" s="73"/>
      <c r="C44" s="73"/>
      <c r="D44" s="73"/>
      <c r="E44" s="73"/>
      <c r="F44" s="73"/>
      <c r="G44" s="19"/>
      <c r="H44" s="19"/>
      <c r="I44" s="19"/>
      <c r="J44" s="19"/>
      <c r="K44" s="19"/>
      <c r="L44" s="19"/>
      <c r="M44" s="19"/>
      <c r="N44" s="19"/>
      <c r="O44" s="19"/>
      <c r="P44" s="19"/>
      <c r="Q44" s="19"/>
      <c r="R44" s="19"/>
      <c r="S44" s="19"/>
      <c r="T44" s="19"/>
      <c r="U44" s="19"/>
      <c r="V44" s="19"/>
      <c r="W44" s="19"/>
      <c r="X44" s="19"/>
    </row>
    <row r="45" spans="2:25" ht="18.2" customHeight="1">
      <c r="B45" s="74" t="s">
        <v>311</v>
      </c>
      <c r="C45" s="75"/>
      <c r="D45" s="76" t="n">
        <f>COUNTA(F8:F42)</f>
        <v>35.0</v>
      </c>
      <c r="F45" s="19"/>
      <c r="G45" s="19"/>
      <c r="H45" s="19"/>
      <c r="I45" s="19"/>
      <c r="J45" s="19"/>
      <c r="K45" s="19"/>
      <c r="L45" s="19"/>
      <c r="M45" s="19"/>
      <c r="N45" s="19"/>
      <c r="O45" s="19"/>
      <c r="P45" s="19"/>
      <c r="Q45" s="19"/>
      <c r="R45" s="19"/>
      <c r="S45" s="19"/>
      <c r="T45" s="19"/>
      <c r="U45" s="19"/>
      <c r="V45" s="19"/>
      <c r="W45" s="19"/>
      <c r="X45" s="19"/>
    </row>
    <row r="46" spans="2:25" ht="18.2" customHeight="1">
      <c r="B46" s="19"/>
      <c r="C46" s="19"/>
      <c r="D46" s="19"/>
      <c r="E46" s="19"/>
      <c r="G46" s="19"/>
      <c r="H46" s="19"/>
      <c r="I46" s="19"/>
      <c r="J46" s="19"/>
      <c r="K46" s="19"/>
      <c r="L46" s="19"/>
      <c r="M46" s="19"/>
      <c r="N46" s="19"/>
      <c r="O46" s="19"/>
      <c r="P46" s="19"/>
      <c r="Q46" s="19"/>
      <c r="R46" s="19"/>
      <c r="S46" s="19"/>
      <c r="T46" s="19"/>
      <c r="U46" s="19"/>
      <c r="V46" s="19"/>
      <c r="W46" s="19"/>
      <c r="X46" s="19"/>
    </row>
    <row r="47" spans="2:25" ht="18.2" customHeight="1">
      <c r="B47" s="74" t="s">
        <v>312</v>
      </c>
      <c r="C47" s="75"/>
      <c r="D47" s="76" t="n">
        <f>D45-D49</f>
        <v>35.0</v>
      </c>
      <c r="E47" s="19"/>
      <c r="F47" s="19"/>
      <c r="G47" s="19"/>
      <c r="H47" s="19"/>
      <c r="I47" s="19"/>
      <c r="J47" s="19"/>
      <c r="K47" s="19"/>
      <c r="L47" s="19"/>
      <c r="M47" s="19"/>
      <c r="N47" s="19"/>
      <c r="O47" s="19"/>
      <c r="P47" s="19"/>
      <c r="Q47" s="19"/>
      <c r="R47" s="19"/>
      <c r="S47" s="19"/>
      <c r="T47" s="19"/>
      <c r="U47" s="19"/>
      <c r="V47" s="19"/>
      <c r="W47" s="19"/>
      <c r="X47" s="19"/>
    </row>
    <row r="48" spans="2:25" ht="16.7" customHeight="1">
      <c r="B48" s="67"/>
      <c r="C48" s="68"/>
      <c r="D48" s="68"/>
      <c r="E48" s="68"/>
      <c r="F48" s="67"/>
      <c r="G48" s="19"/>
      <c r="H48" s="19"/>
      <c r="I48" s="19"/>
      <c r="J48" s="19"/>
      <c r="K48" s="19"/>
      <c r="L48" s="19"/>
      <c r="M48" s="19"/>
      <c r="N48" s="19"/>
      <c r="O48" s="19"/>
      <c r="P48" s="19"/>
      <c r="Q48" s="19"/>
      <c r="R48" s="19"/>
      <c r="S48" s="19"/>
      <c r="T48" s="19"/>
      <c r="U48" s="19"/>
      <c r="V48" s="19"/>
      <c r="W48" s="19"/>
      <c r="X48" s="19"/>
    </row>
    <row r="49" spans="1:24" ht="18.399999999999999" customHeight="1">
      <c r="B49" s="74" t="s">
        <v>313</v>
      </c>
      <c r="C49" s="77"/>
      <c r="D49" s="76" t="n">
        <f>COUNTIF(E8:E42,"Aleatoria")</f>
        <v>0.0</v>
      </c>
      <c r="E49" s="19"/>
      <c r="F49" s="19"/>
      <c r="G49" s="19"/>
      <c r="H49" s="19"/>
      <c r="I49" s="19"/>
      <c r="J49" s="19"/>
      <c r="K49" s="19"/>
      <c r="L49" s="19"/>
      <c r="M49" s="19"/>
      <c r="N49" s="19"/>
      <c r="O49" s="19"/>
      <c r="P49" s="19"/>
      <c r="Q49" s="19"/>
      <c r="R49" s="19"/>
      <c r="S49" s="19"/>
      <c r="T49" s="19"/>
      <c r="U49" s="19"/>
      <c r="V49" s="19"/>
      <c r="W49" s="19"/>
      <c r="X49" s="19"/>
    </row>
    <row r="50" spans="1:24" ht="12" customHeight="1">
      <c r="B50" s="19"/>
      <c r="C50" s="19"/>
      <c r="D50" s="19"/>
      <c r="E50" s="19"/>
      <c r="F50" s="19"/>
      <c r="G50" s="19"/>
      <c r="I50" s="19"/>
      <c r="J50" s="19"/>
      <c r="K50" s="19"/>
      <c r="L50" s="19"/>
      <c r="M50" s="19"/>
      <c r="N50" s="19"/>
      <c r="O50" s="19"/>
      <c r="P50" s="19"/>
      <c r="Q50" s="19"/>
      <c r="R50" s="19"/>
      <c r="S50" s="19"/>
      <c r="T50" s="19"/>
      <c r="U50" s="19"/>
      <c r="V50" s="19"/>
      <c r="W50" s="19"/>
      <c r="X50" s="19"/>
    </row>
    <row r="51" spans="1:24" ht="12" customHeight="1">
      <c r="B51" s="19"/>
      <c r="C51" s="19"/>
      <c r="D51" s="19"/>
      <c r="E51" s="19"/>
      <c r="F51" s="19"/>
      <c r="G51" s="19"/>
      <c r="H51" s="19"/>
      <c r="I51" s="19"/>
      <c r="J51" s="19"/>
      <c r="K51" s="19"/>
      <c r="L51" s="19"/>
      <c r="M51" s="19"/>
      <c r="N51" s="19"/>
      <c r="O51" s="19"/>
      <c r="P51" s="19"/>
      <c r="Q51" s="19"/>
      <c r="R51" s="19"/>
      <c r="S51" s="19"/>
      <c r="T51" s="19"/>
      <c r="U51" s="19"/>
      <c r="V51" s="19"/>
      <c r="W51" s="19"/>
      <c r="X51" s="19"/>
    </row>
    <row r="52" spans="1:24" ht="20.100000000000001" customHeight="1">
      <c r="B52" s="74" t="s">
        <v>21</v>
      </c>
      <c r="C52" s="77"/>
      <c r="D52" s="63" t="str">
        <f>IF(AND(D49&gt;=0.1*D47,D49&gt;0, COUNTIF(E8:E42,"Página inicio"),   COUNTIF(E8:E42,"Declaración accesibilidad"),  COUNTA(C8:C42)=COUNTA(D8:D42),  COUNTA(C8:C42)=COUNTA(E8:E42),   COUNTA(C8:C42)=COUNTA(F8:F42), COUNTA(C8:C42)=COUNTA(G8:G42)    ),"SI","NO")</f>
        <v>NO</v>
      </c>
      <c r="F52" s="19"/>
      <c r="G52" s="19"/>
      <c r="H52" s="19"/>
      <c r="I52" s="19"/>
      <c r="J52" s="19"/>
      <c r="K52" s="19"/>
      <c r="L52" s="19"/>
      <c r="M52" s="19"/>
      <c r="N52" s="19"/>
      <c r="O52" s="19"/>
      <c r="P52" s="19"/>
      <c r="Q52" s="19"/>
      <c r="R52" s="19"/>
      <c r="S52" s="19"/>
      <c r="T52" s="19"/>
      <c r="U52" s="19"/>
      <c r="V52" s="19"/>
      <c r="W52" s="19"/>
      <c r="X52" s="19"/>
    </row>
    <row r="53" spans="1:24" ht="12" customHeight="1">
      <c r="B53" s="19"/>
      <c r="C53" s="19"/>
      <c r="D53" s="19"/>
      <c r="E53" s="19"/>
      <c r="F53" s="19"/>
      <c r="G53" s="19"/>
      <c r="H53" s="19"/>
      <c r="I53" s="19"/>
      <c r="J53" s="19"/>
      <c r="K53" s="19"/>
      <c r="L53" s="19"/>
      <c r="M53" s="19"/>
      <c r="N53" s="19"/>
      <c r="O53" s="19"/>
      <c r="P53" s="19"/>
      <c r="Q53" s="19"/>
      <c r="R53" s="19"/>
      <c r="S53" s="19"/>
      <c r="T53" s="19"/>
      <c r="U53" s="19"/>
      <c r="V53" s="19"/>
      <c r="W53" s="19"/>
      <c r="X53" s="19"/>
    </row>
    <row r="54" spans="1:24" ht="12" customHeight="1">
      <c r="B54" s="19"/>
      <c r="C54" s="19"/>
      <c r="D54" s="19"/>
      <c r="E54" s="19"/>
      <c r="F54" s="19"/>
      <c r="G54" s="19"/>
      <c r="H54" s="19"/>
      <c r="I54" s="19"/>
      <c r="J54" s="19"/>
      <c r="K54" s="19"/>
      <c r="L54" s="19"/>
      <c r="M54" s="19"/>
      <c r="N54" s="19"/>
      <c r="O54" s="19"/>
      <c r="P54" s="19"/>
      <c r="Q54" s="19"/>
      <c r="R54" s="19"/>
      <c r="S54" s="19"/>
      <c r="T54" s="19"/>
      <c r="U54" s="19"/>
      <c r="V54" s="19"/>
      <c r="W54" s="19"/>
      <c r="X54" s="19"/>
    </row>
    <row r="55" spans="1:24" ht="12" customHeight="1">
      <c r="B55" s="19"/>
      <c r="C55" s="19"/>
      <c r="E55" s="19"/>
      <c r="F55" s="19"/>
      <c r="G55" s="19"/>
      <c r="H55" s="19"/>
      <c r="I55" s="19"/>
      <c r="J55" s="19"/>
      <c r="K55" s="19"/>
      <c r="L55" s="19"/>
      <c r="M55" s="19"/>
      <c r="N55" s="19"/>
      <c r="O55" s="19"/>
      <c r="P55" s="19"/>
      <c r="Q55" s="19"/>
      <c r="R55" s="19"/>
      <c r="S55" s="19"/>
      <c r="T55" s="19"/>
      <c r="U55" s="19"/>
      <c r="V55" s="19"/>
      <c r="W55" s="19"/>
      <c r="X55" s="19"/>
    </row>
    <row r="56" spans="1:24" ht="12" customHeight="1">
      <c r="A56" s="19"/>
      <c r="B56" s="19"/>
      <c r="C56" s="19"/>
      <c r="D56" s="19"/>
      <c r="E56" s="19"/>
      <c r="F56" s="19"/>
      <c r="G56" s="19"/>
      <c r="H56" s="19"/>
      <c r="I56" s="19"/>
      <c r="J56" s="19"/>
      <c r="K56" s="19"/>
      <c r="L56" s="19"/>
      <c r="M56" s="19"/>
      <c r="N56" s="19"/>
      <c r="O56" s="19"/>
      <c r="P56" s="19"/>
      <c r="Q56" s="19"/>
      <c r="R56" s="19"/>
      <c r="S56" s="19"/>
      <c r="T56" s="19"/>
      <c r="U56" s="19"/>
      <c r="V56" s="19"/>
      <c r="W56" s="19"/>
      <c r="X56" s="19"/>
    </row>
    <row r="57" spans="1:24" ht="12" customHeight="1">
      <c r="A57" s="19"/>
      <c r="B57" s="19"/>
      <c r="C57" s="19"/>
      <c r="D57" s="19"/>
      <c r="E57" s="19"/>
      <c r="F57" s="19"/>
      <c r="G57" s="19"/>
      <c r="H57" s="19"/>
      <c r="I57" s="19"/>
      <c r="J57" s="19"/>
      <c r="K57" s="19"/>
      <c r="L57" s="19"/>
      <c r="M57" s="19"/>
      <c r="N57" s="19"/>
      <c r="O57" s="19"/>
      <c r="P57" s="19"/>
      <c r="Q57" s="19"/>
      <c r="R57" s="19"/>
      <c r="S57" s="19"/>
      <c r="T57" s="19"/>
      <c r="U57" s="19"/>
      <c r="V57" s="19"/>
      <c r="W57" s="19"/>
      <c r="X57" s="19"/>
    </row>
    <row r="58" spans="1:24" ht="12" customHeight="1">
      <c r="A58" s="19"/>
      <c r="B58" s="19"/>
      <c r="C58" s="19"/>
      <c r="D58" s="19"/>
      <c r="E58" s="19"/>
      <c r="F58" s="19"/>
      <c r="G58" s="19"/>
      <c r="H58" s="19"/>
      <c r="I58" s="19"/>
      <c r="J58" s="19"/>
      <c r="K58" s="19"/>
      <c r="L58" s="19"/>
      <c r="M58" s="19"/>
      <c r="N58" s="19"/>
      <c r="O58" s="19"/>
      <c r="P58" s="19"/>
      <c r="Q58" s="19"/>
      <c r="R58" s="19"/>
      <c r="S58" s="19"/>
      <c r="T58" s="19"/>
      <c r="U58" s="19"/>
      <c r="V58" s="19"/>
      <c r="W58" s="19"/>
      <c r="X58" s="19"/>
    </row>
    <row r="59" spans="1:24" ht="12" customHeight="1">
      <c r="A59" s="19"/>
      <c r="B59" s="19"/>
      <c r="C59" s="19"/>
      <c r="D59" s="19"/>
      <c r="E59" s="19"/>
      <c r="F59" s="19"/>
      <c r="G59" s="19"/>
      <c r="H59" s="19"/>
      <c r="I59" s="19"/>
      <c r="J59" s="19"/>
      <c r="K59" s="19"/>
      <c r="L59" s="19"/>
      <c r="M59" s="19"/>
      <c r="N59" s="19"/>
      <c r="O59" s="19"/>
      <c r="P59" s="19"/>
      <c r="Q59" s="19"/>
      <c r="R59" s="19"/>
      <c r="S59" s="19"/>
      <c r="T59" s="19"/>
      <c r="U59" s="19"/>
      <c r="V59" s="19"/>
      <c r="W59" s="19"/>
      <c r="X59" s="19"/>
    </row>
    <row r="60" spans="1:24" ht="12" customHeight="1">
      <c r="A60" s="19"/>
      <c r="B60" s="19"/>
      <c r="C60" s="19"/>
      <c r="D60" s="19"/>
      <c r="E60" s="19"/>
      <c r="F60" s="19"/>
      <c r="G60" s="19"/>
      <c r="H60" s="19"/>
      <c r="I60" s="19"/>
      <c r="J60" s="19"/>
      <c r="K60" s="19"/>
      <c r="L60" s="19"/>
      <c r="M60" s="19"/>
      <c r="N60" s="19"/>
      <c r="O60" s="19"/>
      <c r="P60" s="19"/>
      <c r="Q60" s="19"/>
      <c r="R60" s="19"/>
      <c r="S60" s="19"/>
      <c r="T60" s="19"/>
      <c r="U60" s="19"/>
      <c r="V60" s="19"/>
      <c r="W60" s="19"/>
      <c r="X60" s="19"/>
    </row>
    <row r="61" spans="1:24" ht="12" customHeight="1">
      <c r="A61" s="19"/>
      <c r="B61" s="19"/>
      <c r="C61" s="19"/>
      <c r="D61" s="19"/>
      <c r="E61" s="19"/>
      <c r="F61" s="19"/>
      <c r="G61" s="19"/>
      <c r="H61" s="19"/>
      <c r="I61" s="19"/>
      <c r="J61" s="19"/>
      <c r="K61" s="19"/>
      <c r="L61" s="19"/>
      <c r="M61" s="19"/>
      <c r="N61" s="19"/>
      <c r="O61" s="19"/>
      <c r="P61" s="19"/>
      <c r="Q61" s="19"/>
      <c r="R61" s="19"/>
      <c r="S61" s="19"/>
      <c r="T61" s="19"/>
      <c r="U61" s="19"/>
      <c r="V61" s="19"/>
      <c r="W61" s="19"/>
      <c r="X61" s="19"/>
    </row>
    <row r="62" spans="1:24" ht="12" customHeight="1">
      <c r="A62" s="19"/>
      <c r="B62" s="19"/>
      <c r="C62" s="19"/>
      <c r="D62" s="19"/>
      <c r="E62" s="19"/>
      <c r="F62" s="19"/>
      <c r="G62" s="19"/>
      <c r="H62" s="19"/>
      <c r="I62" s="19"/>
      <c r="J62" s="19"/>
      <c r="K62" s="19"/>
      <c r="L62" s="19"/>
      <c r="M62" s="19"/>
      <c r="N62" s="19"/>
      <c r="O62" s="19"/>
      <c r="P62" s="19"/>
      <c r="Q62" s="19"/>
      <c r="R62" s="19"/>
      <c r="S62" s="19"/>
      <c r="T62" s="19"/>
      <c r="U62" s="19"/>
      <c r="V62" s="19"/>
      <c r="W62" s="19"/>
      <c r="X62" s="19"/>
    </row>
    <row r="63" spans="1:24" ht="12" customHeight="1">
      <c r="A63" s="19"/>
      <c r="B63" s="19"/>
      <c r="C63" s="19"/>
      <c r="D63" s="19"/>
      <c r="E63" s="19"/>
      <c r="F63" s="19"/>
      <c r="G63" s="19"/>
      <c r="H63" s="19"/>
      <c r="I63" s="19"/>
      <c r="J63" s="19"/>
      <c r="K63" s="19"/>
      <c r="L63" s="19"/>
      <c r="M63" s="19"/>
      <c r="N63" s="19"/>
      <c r="O63" s="19"/>
      <c r="P63" s="19"/>
      <c r="Q63" s="19"/>
      <c r="R63" s="19"/>
      <c r="S63" s="19"/>
      <c r="T63" s="19"/>
      <c r="U63" s="19"/>
      <c r="V63" s="19"/>
      <c r="W63" s="19"/>
      <c r="X63" s="19"/>
    </row>
    <row r="64" spans="1:24" ht="12" customHeight="1">
      <c r="A64" s="19"/>
      <c r="B64" s="19"/>
      <c r="C64" s="19"/>
      <c r="D64" s="19"/>
      <c r="E64" s="19"/>
      <c r="F64" s="19"/>
      <c r="G64" s="19"/>
      <c r="H64" s="19"/>
      <c r="I64" s="19"/>
      <c r="J64" s="19"/>
      <c r="K64" s="19"/>
      <c r="L64" s="19"/>
      <c r="M64" s="19"/>
      <c r="N64" s="19"/>
      <c r="O64" s="19"/>
      <c r="P64" s="19"/>
      <c r="Q64" s="19"/>
      <c r="R64" s="19"/>
      <c r="S64" s="19"/>
      <c r="T64" s="19"/>
      <c r="U64" s="19"/>
      <c r="V64" s="19"/>
      <c r="W64" s="19"/>
      <c r="X64" s="19"/>
    </row>
    <row r="65" spans="1:24" ht="12" customHeight="1">
      <c r="A65" s="19"/>
      <c r="B65" s="19"/>
      <c r="C65" s="19"/>
      <c r="D65" s="19"/>
      <c r="E65" s="19"/>
      <c r="F65" s="19"/>
      <c r="G65" s="19"/>
      <c r="H65" s="19"/>
      <c r="I65" s="19"/>
      <c r="J65" s="19"/>
      <c r="K65" s="19"/>
      <c r="L65" s="19"/>
      <c r="M65" s="19"/>
      <c r="N65" s="19"/>
      <c r="O65" s="19"/>
      <c r="P65" s="19"/>
      <c r="Q65" s="19"/>
      <c r="R65" s="19"/>
      <c r="S65" s="19"/>
      <c r="T65" s="19"/>
      <c r="U65" s="19"/>
      <c r="V65" s="19"/>
      <c r="W65" s="19"/>
      <c r="X65" s="19"/>
    </row>
    <row r="66" spans="1:24" ht="12" customHeight="1">
      <c r="A66" s="19"/>
      <c r="B66" s="19"/>
      <c r="C66" s="19"/>
      <c r="D66" s="19"/>
      <c r="E66" s="19"/>
      <c r="F66" s="19"/>
      <c r="G66" s="19"/>
      <c r="H66" s="19"/>
      <c r="I66" s="19"/>
      <c r="J66" s="19"/>
      <c r="K66" s="19"/>
      <c r="L66" s="19"/>
      <c r="M66" s="19"/>
      <c r="N66" s="19"/>
      <c r="O66" s="19"/>
      <c r="P66" s="19"/>
      <c r="Q66" s="19"/>
      <c r="R66" s="19"/>
      <c r="S66" s="19"/>
      <c r="T66" s="19"/>
      <c r="U66" s="19"/>
      <c r="V66" s="19"/>
      <c r="W66" s="19"/>
      <c r="X66" s="19"/>
    </row>
    <row r="67" spans="1:24" ht="12" customHeight="1">
      <c r="A67" s="19"/>
      <c r="B67" s="19"/>
      <c r="C67" s="19"/>
      <c r="D67" s="19"/>
      <c r="E67" s="19"/>
      <c r="F67" s="19"/>
      <c r="G67" s="19"/>
      <c r="H67" s="19"/>
      <c r="I67" s="19"/>
      <c r="J67" s="19"/>
      <c r="K67" s="19"/>
      <c r="L67" s="19"/>
      <c r="M67" s="19"/>
      <c r="N67" s="19"/>
      <c r="O67" s="19"/>
      <c r="P67" s="19"/>
      <c r="Q67" s="19"/>
      <c r="R67" s="19"/>
      <c r="S67" s="19"/>
      <c r="T67" s="19"/>
      <c r="U67" s="19"/>
      <c r="V67" s="19"/>
      <c r="W67" s="19"/>
      <c r="X67" s="19"/>
    </row>
    <row r="68" spans="1:24" ht="12" customHeight="1">
      <c r="A68" s="19"/>
      <c r="B68" s="19"/>
      <c r="C68" s="19"/>
      <c r="D68" s="19"/>
      <c r="E68" s="19"/>
      <c r="F68" s="19"/>
      <c r="G68" s="19"/>
      <c r="H68" s="19"/>
      <c r="I68" s="19"/>
      <c r="J68" s="19"/>
      <c r="K68" s="19"/>
      <c r="L68" s="19"/>
      <c r="M68" s="19"/>
      <c r="N68" s="19"/>
      <c r="O68" s="19"/>
      <c r="P68" s="19"/>
      <c r="Q68" s="19"/>
      <c r="R68" s="19"/>
      <c r="S68" s="19"/>
      <c r="T68" s="19"/>
      <c r="U68" s="19"/>
      <c r="V68" s="19"/>
      <c r="W68" s="19"/>
      <c r="X68" s="19"/>
    </row>
    <row r="69" spans="1:24" ht="12" customHeight="1">
      <c r="A69" s="19"/>
      <c r="B69" s="19"/>
      <c r="C69" s="19"/>
      <c r="D69" s="19"/>
      <c r="E69" s="19"/>
      <c r="F69" s="19"/>
      <c r="G69" s="19"/>
      <c r="H69" s="19"/>
      <c r="I69" s="19"/>
      <c r="J69" s="19"/>
      <c r="K69" s="19"/>
      <c r="L69" s="19"/>
      <c r="M69" s="19"/>
      <c r="N69" s="19"/>
      <c r="O69" s="19"/>
      <c r="P69" s="19"/>
      <c r="Q69" s="19"/>
      <c r="R69" s="19"/>
      <c r="S69" s="19"/>
      <c r="T69" s="19"/>
      <c r="U69" s="19"/>
      <c r="V69" s="19"/>
      <c r="W69" s="19"/>
      <c r="X69" s="19"/>
    </row>
    <row r="70" spans="1:24" ht="12" customHeight="1">
      <c r="A70" s="19"/>
      <c r="B70" s="19"/>
      <c r="C70" s="19"/>
      <c r="D70" s="19"/>
      <c r="E70" s="19"/>
      <c r="F70" s="19"/>
      <c r="G70" s="19"/>
      <c r="H70" s="19"/>
      <c r="I70" s="19"/>
      <c r="J70" s="19"/>
      <c r="K70" s="19"/>
      <c r="L70" s="19"/>
      <c r="M70" s="19"/>
      <c r="N70" s="19"/>
      <c r="O70" s="19"/>
      <c r="P70" s="19"/>
      <c r="Q70" s="19"/>
      <c r="R70" s="19"/>
      <c r="S70" s="19"/>
      <c r="T70" s="19"/>
      <c r="U70" s="19"/>
      <c r="V70" s="19"/>
      <c r="W70" s="19"/>
      <c r="X70" s="19"/>
    </row>
    <row r="71" spans="1:24" ht="12" customHeight="1">
      <c r="A71" s="19"/>
      <c r="B71" s="19"/>
      <c r="C71" s="19"/>
      <c r="D71" s="19"/>
      <c r="E71" s="19"/>
      <c r="F71" s="19"/>
      <c r="G71" s="19"/>
      <c r="H71" s="19"/>
      <c r="I71" s="19"/>
      <c r="J71" s="19"/>
      <c r="K71" s="19"/>
      <c r="L71" s="19"/>
      <c r="M71" s="19"/>
      <c r="N71" s="19"/>
      <c r="O71" s="19"/>
      <c r="P71" s="19"/>
      <c r="Q71" s="19"/>
      <c r="R71" s="19"/>
      <c r="S71" s="19"/>
      <c r="T71" s="19"/>
      <c r="U71" s="19"/>
      <c r="V71" s="19"/>
      <c r="W71" s="19"/>
      <c r="X71" s="19"/>
    </row>
    <row r="72" spans="1:24" ht="12" customHeight="1">
      <c r="A72" s="19"/>
      <c r="B72" s="19"/>
      <c r="C72" s="19"/>
      <c r="D72" s="19"/>
      <c r="E72" s="19"/>
      <c r="F72" s="19"/>
      <c r="G72" s="19"/>
      <c r="H72" s="19"/>
      <c r="I72" s="19"/>
      <c r="J72" s="19"/>
      <c r="K72" s="19"/>
      <c r="L72" s="19"/>
      <c r="M72" s="19"/>
      <c r="N72" s="19"/>
      <c r="O72" s="19"/>
      <c r="P72" s="19"/>
      <c r="Q72" s="19"/>
      <c r="R72" s="19"/>
      <c r="S72" s="19"/>
      <c r="T72" s="19"/>
      <c r="U72" s="19"/>
      <c r="V72" s="19"/>
      <c r="W72" s="19"/>
      <c r="X72" s="19"/>
    </row>
    <row r="73" spans="1:24" ht="12" customHeight="1">
      <c r="A73" s="19"/>
      <c r="B73" s="19"/>
      <c r="C73" s="19"/>
      <c r="D73" s="19"/>
      <c r="E73" s="19"/>
      <c r="F73" s="19"/>
      <c r="G73" s="19"/>
      <c r="H73" s="19"/>
      <c r="I73" s="19"/>
      <c r="J73" s="19"/>
      <c r="K73" s="19"/>
      <c r="L73" s="19"/>
      <c r="M73" s="19"/>
      <c r="N73" s="19"/>
      <c r="O73" s="19"/>
      <c r="P73" s="19"/>
      <c r="Q73" s="19"/>
      <c r="R73" s="19"/>
      <c r="S73" s="19"/>
      <c r="T73" s="19"/>
      <c r="U73" s="19"/>
      <c r="V73" s="19"/>
      <c r="W73" s="19"/>
      <c r="X73" s="19"/>
    </row>
    <row r="74" spans="1:24" ht="12" customHeight="1">
      <c r="A74" s="19"/>
      <c r="B74" s="19"/>
      <c r="C74" s="19"/>
      <c r="D74" s="19"/>
      <c r="E74" s="19"/>
      <c r="F74" s="19"/>
      <c r="G74" s="19"/>
      <c r="H74" s="19"/>
      <c r="I74" s="19"/>
      <c r="J74" s="19"/>
      <c r="K74" s="19"/>
      <c r="L74" s="19"/>
      <c r="M74" s="19"/>
      <c r="N74" s="19"/>
      <c r="O74" s="19"/>
      <c r="P74" s="19"/>
      <c r="Q74" s="19"/>
      <c r="R74" s="19"/>
      <c r="S74" s="19"/>
      <c r="T74" s="19"/>
      <c r="U74" s="19"/>
      <c r="V74" s="19"/>
      <c r="W74" s="19"/>
      <c r="X74" s="19"/>
    </row>
    <row r="75" spans="1:24" ht="12" customHeight="1">
      <c r="A75" s="19"/>
      <c r="B75" s="19"/>
      <c r="C75" s="19"/>
      <c r="D75" s="19"/>
      <c r="E75" s="19"/>
      <c r="F75" s="19"/>
      <c r="G75" s="19"/>
      <c r="H75" s="19"/>
      <c r="I75" s="19"/>
      <c r="J75" s="19"/>
      <c r="K75" s="19"/>
      <c r="L75" s="19"/>
      <c r="M75" s="19"/>
      <c r="N75" s="19"/>
      <c r="O75" s="19"/>
      <c r="P75" s="19"/>
      <c r="Q75" s="19"/>
      <c r="R75" s="19"/>
      <c r="S75" s="19"/>
      <c r="T75" s="19"/>
      <c r="U75" s="19"/>
      <c r="V75" s="19"/>
      <c r="W75" s="19"/>
      <c r="X75" s="19"/>
    </row>
    <row r="76" spans="1:24" ht="12" customHeight="1">
      <c r="A76" s="19"/>
      <c r="B76" s="19"/>
      <c r="C76" s="19"/>
      <c r="D76" s="19"/>
      <c r="E76" s="19"/>
      <c r="F76" s="19"/>
      <c r="G76" s="19"/>
      <c r="H76" s="19"/>
      <c r="I76" s="19"/>
      <c r="J76" s="19"/>
      <c r="K76" s="19"/>
      <c r="L76" s="19"/>
      <c r="M76" s="19"/>
      <c r="N76" s="19"/>
      <c r="O76" s="19"/>
      <c r="P76" s="19"/>
      <c r="Q76" s="19"/>
      <c r="R76" s="19"/>
      <c r="S76" s="19"/>
      <c r="T76" s="19"/>
      <c r="U76" s="19"/>
      <c r="V76" s="19"/>
      <c r="W76" s="19"/>
      <c r="X76" s="19"/>
    </row>
    <row r="77" spans="1:24" ht="12" customHeight="1">
      <c r="A77" s="19"/>
      <c r="B77" s="19"/>
      <c r="C77" s="19"/>
      <c r="D77" s="19"/>
      <c r="E77" s="19"/>
      <c r="F77" s="19"/>
      <c r="G77" s="19"/>
      <c r="H77" s="19"/>
      <c r="I77" s="19"/>
      <c r="J77" s="19"/>
      <c r="K77" s="19"/>
      <c r="L77" s="19"/>
      <c r="M77" s="19"/>
      <c r="N77" s="19"/>
      <c r="O77" s="19"/>
      <c r="P77" s="19"/>
      <c r="Q77" s="19"/>
      <c r="R77" s="19"/>
      <c r="S77" s="19"/>
      <c r="T77" s="19"/>
      <c r="U77" s="19"/>
      <c r="V77" s="19"/>
      <c r="W77" s="19"/>
      <c r="X77" s="19"/>
    </row>
    <row r="78" spans="1:24" ht="12" customHeight="1">
      <c r="A78" s="19"/>
      <c r="B78" s="19"/>
      <c r="C78" s="19"/>
      <c r="D78" s="19"/>
      <c r="E78" s="19"/>
      <c r="F78" s="19"/>
      <c r="G78" s="19"/>
      <c r="H78" s="19"/>
      <c r="I78" s="19"/>
      <c r="J78" s="19"/>
      <c r="K78" s="19"/>
      <c r="L78" s="19"/>
      <c r="M78" s="19"/>
      <c r="N78" s="19"/>
      <c r="O78" s="19"/>
      <c r="P78" s="19"/>
      <c r="Q78" s="19"/>
      <c r="R78" s="19"/>
      <c r="S78" s="19"/>
      <c r="T78" s="19"/>
      <c r="U78" s="19"/>
      <c r="V78" s="19"/>
      <c r="W78" s="19"/>
      <c r="X78" s="19"/>
    </row>
    <row r="79" spans="1:24" ht="12" customHeight="1">
      <c r="A79" s="19"/>
      <c r="B79" s="19"/>
      <c r="C79" s="19"/>
      <c r="D79" s="19"/>
      <c r="E79" s="19"/>
      <c r="F79" s="19"/>
      <c r="G79" s="19"/>
      <c r="H79" s="19"/>
      <c r="I79" s="19"/>
      <c r="J79" s="19"/>
      <c r="K79" s="19"/>
      <c r="L79" s="19"/>
      <c r="M79" s="19"/>
      <c r="N79" s="19"/>
      <c r="O79" s="19"/>
      <c r="P79" s="19"/>
      <c r="Q79" s="19"/>
      <c r="R79" s="19"/>
      <c r="S79" s="19"/>
      <c r="T79" s="19"/>
      <c r="U79" s="19"/>
      <c r="V79" s="19"/>
      <c r="W79" s="19"/>
      <c r="X79" s="19"/>
    </row>
    <row r="80" spans="1:24" ht="12" customHeight="1">
      <c r="A80" s="19"/>
      <c r="B80" s="19"/>
      <c r="C80" s="19"/>
      <c r="D80" s="19"/>
      <c r="E80" s="19"/>
      <c r="F80" s="19"/>
      <c r="G80" s="19"/>
      <c r="H80" s="19"/>
      <c r="I80" s="19"/>
      <c r="J80" s="19"/>
      <c r="K80" s="19"/>
      <c r="L80" s="19"/>
      <c r="M80" s="19"/>
      <c r="N80" s="19"/>
      <c r="O80" s="19"/>
      <c r="P80" s="19"/>
      <c r="Q80" s="19"/>
      <c r="R80" s="19"/>
      <c r="S80" s="19"/>
      <c r="T80" s="19"/>
      <c r="U80" s="19"/>
      <c r="V80" s="19"/>
      <c r="W80" s="19"/>
      <c r="X80" s="19"/>
    </row>
    <row r="81" spans="1:24" ht="12" customHeight="1">
      <c r="A81" s="19"/>
      <c r="B81" s="19"/>
      <c r="C81" s="19"/>
      <c r="D81" s="19"/>
      <c r="E81" s="19"/>
      <c r="F81" s="19"/>
      <c r="G81" s="19"/>
      <c r="H81" s="19"/>
      <c r="I81" s="19"/>
      <c r="J81" s="19"/>
      <c r="K81" s="19"/>
      <c r="L81" s="19"/>
      <c r="M81" s="19"/>
      <c r="N81" s="19"/>
      <c r="O81" s="19"/>
      <c r="P81" s="19"/>
      <c r="Q81" s="19"/>
      <c r="R81" s="19"/>
      <c r="S81" s="19"/>
      <c r="T81" s="19"/>
      <c r="U81" s="19"/>
      <c r="V81" s="19"/>
      <c r="W81" s="19"/>
      <c r="X81" s="19"/>
    </row>
    <row r="82" spans="1:24" ht="12" customHeight="1">
      <c r="A82" s="19"/>
      <c r="B82" s="19"/>
      <c r="C82" s="19"/>
      <c r="D82" s="19"/>
      <c r="E82" s="19"/>
      <c r="F82" s="19"/>
      <c r="G82" s="19"/>
      <c r="H82" s="19"/>
      <c r="I82" s="19"/>
      <c r="J82" s="19"/>
      <c r="K82" s="19"/>
      <c r="L82" s="19"/>
      <c r="M82" s="19"/>
      <c r="N82" s="19"/>
      <c r="O82" s="19"/>
      <c r="P82" s="19"/>
      <c r="Q82" s="19"/>
      <c r="R82" s="19"/>
      <c r="S82" s="19"/>
      <c r="T82" s="19"/>
      <c r="U82" s="19"/>
      <c r="V82" s="19"/>
      <c r="W82" s="19"/>
      <c r="X82" s="19"/>
    </row>
    <row r="83" spans="1:24" ht="12" customHeight="1">
      <c r="A83" s="19"/>
      <c r="B83" s="19"/>
      <c r="C83" s="19"/>
      <c r="D83" s="19"/>
      <c r="E83" s="19"/>
      <c r="F83" s="19"/>
      <c r="G83" s="19"/>
      <c r="H83" s="19"/>
      <c r="I83" s="19"/>
      <c r="J83" s="19"/>
      <c r="K83" s="19"/>
      <c r="L83" s="19"/>
      <c r="M83" s="19"/>
      <c r="N83" s="19"/>
      <c r="O83" s="19"/>
      <c r="P83" s="19"/>
      <c r="Q83" s="19"/>
      <c r="R83" s="19"/>
      <c r="S83" s="19"/>
      <c r="T83" s="19"/>
      <c r="U83" s="19"/>
      <c r="V83" s="19"/>
      <c r="W83" s="19"/>
      <c r="X83" s="19"/>
    </row>
    <row r="84" spans="1:24" ht="12" customHeight="1">
      <c r="A84" s="19"/>
      <c r="B84" s="19"/>
      <c r="C84" s="19"/>
      <c r="D84" s="19"/>
      <c r="E84" s="19"/>
      <c r="F84" s="19"/>
      <c r="G84" s="19"/>
      <c r="H84" s="19"/>
      <c r="I84" s="19"/>
      <c r="J84" s="19"/>
      <c r="K84" s="19"/>
      <c r="L84" s="19"/>
      <c r="M84" s="19"/>
      <c r="N84" s="19"/>
      <c r="O84" s="19"/>
      <c r="P84" s="19"/>
      <c r="Q84" s="19"/>
      <c r="R84" s="19"/>
      <c r="S84" s="19"/>
      <c r="T84" s="19"/>
      <c r="U84" s="19"/>
      <c r="V84" s="19"/>
      <c r="W84" s="19"/>
      <c r="X84" s="19"/>
    </row>
    <row r="85" spans="1:24" ht="12" customHeight="1">
      <c r="A85" s="19"/>
      <c r="B85" s="19"/>
      <c r="C85" s="19"/>
      <c r="D85" s="19"/>
      <c r="E85" s="19"/>
      <c r="F85" s="19"/>
      <c r="G85" s="19"/>
      <c r="H85" s="19"/>
      <c r="I85" s="19"/>
      <c r="J85" s="19"/>
      <c r="K85" s="19"/>
      <c r="L85" s="19"/>
      <c r="M85" s="19"/>
      <c r="N85" s="19"/>
      <c r="O85" s="19"/>
      <c r="P85" s="19"/>
      <c r="Q85" s="19"/>
      <c r="R85" s="19"/>
      <c r="S85" s="19"/>
      <c r="T85" s="19"/>
      <c r="U85" s="19"/>
      <c r="V85" s="19"/>
      <c r="W85" s="19"/>
      <c r="X85" s="19"/>
    </row>
    <row r="86" spans="1:24" ht="12" customHeight="1">
      <c r="A86" s="19"/>
      <c r="B86" s="19"/>
      <c r="C86" s="19"/>
      <c r="D86" s="19"/>
      <c r="E86" s="19"/>
      <c r="F86" s="19"/>
      <c r="G86" s="19"/>
      <c r="H86" s="19"/>
      <c r="I86" s="19"/>
      <c r="J86" s="19"/>
      <c r="K86" s="19"/>
      <c r="L86" s="19"/>
      <c r="M86" s="19"/>
      <c r="N86" s="19"/>
      <c r="O86" s="19"/>
      <c r="P86" s="19"/>
      <c r="Q86" s="19"/>
      <c r="R86" s="19"/>
      <c r="S86" s="19"/>
      <c r="T86" s="19"/>
      <c r="U86" s="19"/>
      <c r="V86" s="19"/>
      <c r="W86" s="19"/>
      <c r="X86" s="19"/>
    </row>
    <row r="87" spans="1:24" ht="12" customHeight="1">
      <c r="A87" s="19"/>
      <c r="B87" s="19"/>
      <c r="C87" s="19"/>
      <c r="D87" s="19"/>
      <c r="E87" s="19"/>
      <c r="F87" s="19"/>
      <c r="G87" s="19"/>
      <c r="H87" s="19"/>
      <c r="I87" s="19"/>
      <c r="J87" s="19"/>
      <c r="K87" s="19"/>
      <c r="L87" s="19"/>
      <c r="M87" s="19"/>
      <c r="N87" s="19"/>
      <c r="O87" s="19"/>
      <c r="P87" s="19"/>
      <c r="Q87" s="19"/>
      <c r="R87" s="19"/>
      <c r="S87" s="19"/>
      <c r="T87" s="19"/>
      <c r="U87" s="19"/>
      <c r="V87" s="19"/>
      <c r="W87" s="19"/>
      <c r="X87" s="19"/>
    </row>
    <row r="88" spans="1:24" ht="12" customHeight="1">
      <c r="A88" s="19"/>
      <c r="B88" s="19"/>
      <c r="C88" s="19"/>
      <c r="D88" s="19"/>
      <c r="E88" s="19"/>
      <c r="F88" s="19"/>
      <c r="G88" s="19"/>
      <c r="H88" s="19"/>
      <c r="I88" s="19"/>
      <c r="J88" s="19"/>
      <c r="K88" s="19"/>
      <c r="L88" s="19"/>
      <c r="M88" s="19"/>
      <c r="N88" s="19"/>
      <c r="O88" s="19"/>
      <c r="P88" s="19"/>
      <c r="Q88" s="19"/>
      <c r="R88" s="19"/>
      <c r="S88" s="19"/>
      <c r="T88" s="19"/>
      <c r="U88" s="19"/>
      <c r="V88" s="19"/>
      <c r="W88" s="19"/>
      <c r="X88" s="19"/>
    </row>
    <row r="89" spans="1:24" ht="12" customHeight="1">
      <c r="A89" s="19"/>
      <c r="B89" s="19"/>
      <c r="C89" s="19"/>
      <c r="D89" s="19"/>
      <c r="E89" s="19"/>
      <c r="F89" s="19"/>
      <c r="G89" s="19"/>
      <c r="H89" s="19"/>
      <c r="I89" s="19"/>
      <c r="J89" s="19"/>
      <c r="K89" s="19"/>
      <c r="L89" s="19"/>
      <c r="M89" s="19"/>
      <c r="N89" s="19"/>
      <c r="O89" s="19"/>
      <c r="P89" s="19"/>
      <c r="Q89" s="19"/>
      <c r="R89" s="19"/>
      <c r="S89" s="19"/>
      <c r="T89" s="19"/>
      <c r="U89" s="19"/>
      <c r="V89" s="19"/>
      <c r="W89" s="19"/>
      <c r="X89" s="19"/>
    </row>
    <row r="90" spans="1:24" ht="12" customHeight="1">
      <c r="A90" s="19"/>
      <c r="B90" s="19"/>
      <c r="C90" s="19"/>
      <c r="D90" s="19"/>
      <c r="E90" s="19"/>
      <c r="F90" s="19"/>
      <c r="G90" s="19"/>
      <c r="H90" s="19"/>
      <c r="I90" s="19"/>
      <c r="J90" s="19"/>
      <c r="K90" s="19"/>
      <c r="L90" s="19"/>
      <c r="M90" s="19"/>
      <c r="N90" s="19"/>
      <c r="O90" s="19"/>
      <c r="P90" s="19"/>
      <c r="Q90" s="19"/>
      <c r="R90" s="19"/>
      <c r="S90" s="19"/>
      <c r="T90" s="19"/>
      <c r="U90" s="19"/>
      <c r="V90" s="19"/>
      <c r="W90" s="19"/>
      <c r="X90" s="19"/>
    </row>
    <row r="91" spans="1:24" ht="12" customHeight="1">
      <c r="A91" s="19"/>
      <c r="B91" s="19"/>
      <c r="C91" s="19"/>
      <c r="D91" s="19"/>
      <c r="E91" s="19"/>
      <c r="F91" s="19"/>
      <c r="G91" s="19"/>
      <c r="H91" s="19"/>
      <c r="I91" s="19"/>
      <c r="J91" s="19"/>
      <c r="K91" s="19"/>
      <c r="L91" s="19"/>
      <c r="M91" s="19"/>
      <c r="N91" s="19"/>
      <c r="O91" s="19"/>
      <c r="P91" s="19"/>
      <c r="Q91" s="19"/>
      <c r="R91" s="19"/>
      <c r="S91" s="19"/>
      <c r="T91" s="19"/>
      <c r="U91" s="19"/>
      <c r="V91" s="19"/>
      <c r="W91" s="19"/>
      <c r="X91" s="19"/>
    </row>
    <row r="92" spans="1:24" ht="12" customHeight="1">
      <c r="A92" s="19"/>
      <c r="B92" s="19"/>
      <c r="C92" s="19"/>
      <c r="D92" s="19"/>
      <c r="E92" s="19"/>
      <c r="F92" s="19"/>
      <c r="G92" s="19"/>
      <c r="H92" s="19"/>
      <c r="I92" s="19"/>
      <c r="J92" s="19"/>
      <c r="K92" s="19"/>
      <c r="L92" s="19"/>
      <c r="M92" s="19"/>
      <c r="N92" s="19"/>
      <c r="O92" s="19"/>
      <c r="P92" s="19"/>
      <c r="Q92" s="19"/>
      <c r="R92" s="19"/>
      <c r="S92" s="19"/>
      <c r="T92" s="19"/>
      <c r="U92" s="19"/>
      <c r="V92" s="19"/>
      <c r="W92" s="19"/>
      <c r="X92" s="19"/>
    </row>
    <row r="93" spans="1:24" ht="12" customHeight="1">
      <c r="A93" s="19"/>
      <c r="B93" s="19"/>
      <c r="C93" s="19"/>
      <c r="D93" s="19"/>
      <c r="E93" s="19"/>
      <c r="F93" s="19"/>
      <c r="G93" s="19"/>
      <c r="H93" s="19"/>
      <c r="I93" s="19"/>
      <c r="J93" s="19"/>
      <c r="K93" s="19"/>
      <c r="L93" s="19"/>
      <c r="M93" s="19"/>
      <c r="N93" s="19"/>
      <c r="O93" s="19"/>
      <c r="P93" s="19"/>
      <c r="Q93" s="19"/>
      <c r="R93" s="19"/>
      <c r="S93" s="19"/>
      <c r="T93" s="19"/>
      <c r="U93" s="19"/>
      <c r="V93" s="19"/>
      <c r="W93" s="19"/>
      <c r="X93" s="19"/>
    </row>
    <row r="94" spans="1:24" ht="12" customHeight="1">
      <c r="A94" s="19"/>
      <c r="B94" s="19"/>
      <c r="C94" s="19"/>
      <c r="D94" s="19"/>
      <c r="E94" s="19"/>
      <c r="F94" s="19"/>
      <c r="G94" s="19"/>
      <c r="H94" s="19"/>
      <c r="I94" s="19"/>
      <c r="J94" s="19"/>
      <c r="K94" s="19"/>
      <c r="L94" s="19"/>
      <c r="M94" s="19"/>
      <c r="N94" s="19"/>
      <c r="O94" s="19"/>
      <c r="P94" s="19"/>
      <c r="Q94" s="19"/>
      <c r="R94" s="19"/>
      <c r="S94" s="19"/>
      <c r="T94" s="19"/>
      <c r="U94" s="19"/>
      <c r="V94" s="19"/>
      <c r="W94" s="19"/>
      <c r="X94" s="19"/>
    </row>
    <row r="95" spans="1:24" ht="12" customHeight="1">
      <c r="A95" s="19"/>
      <c r="B95" s="19"/>
      <c r="C95" s="19"/>
      <c r="D95" s="19"/>
      <c r="E95" s="19"/>
      <c r="F95" s="19"/>
      <c r="G95" s="19"/>
      <c r="H95" s="19"/>
      <c r="I95" s="19"/>
      <c r="J95" s="19"/>
      <c r="K95" s="19"/>
      <c r="L95" s="19"/>
      <c r="M95" s="19"/>
      <c r="N95" s="19"/>
      <c r="O95" s="19"/>
      <c r="P95" s="19"/>
      <c r="Q95" s="19"/>
      <c r="R95" s="19"/>
      <c r="S95" s="19"/>
      <c r="T95" s="19"/>
      <c r="U95" s="19"/>
      <c r="V95" s="19"/>
      <c r="W95" s="19"/>
      <c r="X95" s="19"/>
    </row>
    <row r="96" spans="1:24" ht="12" customHeight="1">
      <c r="A96" s="19"/>
      <c r="B96" s="19"/>
      <c r="C96" s="19"/>
      <c r="D96" s="19"/>
      <c r="E96" s="19"/>
      <c r="F96" s="19"/>
      <c r="G96" s="19"/>
      <c r="H96" s="19"/>
      <c r="I96" s="19"/>
      <c r="J96" s="19"/>
      <c r="K96" s="19"/>
      <c r="L96" s="19"/>
      <c r="M96" s="19"/>
      <c r="N96" s="19"/>
      <c r="O96" s="19"/>
      <c r="P96" s="19"/>
      <c r="Q96" s="19"/>
      <c r="R96" s="19"/>
      <c r="S96" s="19"/>
      <c r="T96" s="19"/>
      <c r="U96" s="19"/>
      <c r="V96" s="19"/>
      <c r="W96" s="19"/>
      <c r="X96" s="19"/>
    </row>
    <row r="97" spans="1:24" ht="12" customHeight="1">
      <c r="A97" s="19"/>
      <c r="B97" s="19"/>
      <c r="C97" s="19"/>
      <c r="D97" s="19"/>
      <c r="E97" s="19"/>
      <c r="F97" s="19"/>
      <c r="G97" s="19"/>
      <c r="H97" s="19"/>
      <c r="I97" s="19"/>
      <c r="J97" s="19"/>
      <c r="K97" s="19"/>
      <c r="L97" s="19"/>
      <c r="M97" s="19"/>
      <c r="N97" s="19"/>
      <c r="O97" s="19"/>
      <c r="P97" s="19"/>
      <c r="Q97" s="19"/>
      <c r="R97" s="19"/>
      <c r="S97" s="19"/>
      <c r="T97" s="19"/>
      <c r="U97" s="19"/>
      <c r="V97" s="19"/>
      <c r="W97" s="19"/>
      <c r="X97" s="19"/>
    </row>
    <row r="98" spans="1:24" ht="12" customHeight="1">
      <c r="A98" s="19"/>
      <c r="B98" s="19"/>
      <c r="C98" s="19"/>
      <c r="D98" s="19"/>
      <c r="E98" s="19"/>
      <c r="F98" s="19"/>
      <c r="G98" s="19"/>
      <c r="H98" s="19"/>
      <c r="I98" s="19"/>
      <c r="J98" s="19"/>
      <c r="K98" s="19"/>
      <c r="L98" s="19"/>
      <c r="M98" s="19"/>
      <c r="N98" s="19"/>
      <c r="O98" s="19"/>
      <c r="P98" s="19"/>
      <c r="Q98" s="19"/>
      <c r="R98" s="19"/>
      <c r="S98" s="19"/>
      <c r="T98" s="19"/>
      <c r="U98" s="19"/>
      <c r="V98" s="19"/>
      <c r="W98" s="19"/>
      <c r="X98" s="19"/>
    </row>
    <row r="99" spans="1:24" ht="12" customHeight="1">
      <c r="A99" s="19"/>
      <c r="B99" s="19"/>
      <c r="C99" s="19"/>
      <c r="D99" s="19"/>
      <c r="E99" s="19"/>
      <c r="F99" s="19"/>
      <c r="G99" s="19"/>
      <c r="H99" s="19"/>
      <c r="I99" s="19"/>
      <c r="J99" s="19"/>
      <c r="K99" s="19"/>
      <c r="L99" s="19"/>
      <c r="M99" s="19"/>
      <c r="N99" s="19"/>
      <c r="O99" s="19"/>
      <c r="P99" s="19"/>
      <c r="Q99" s="19"/>
      <c r="R99" s="19"/>
      <c r="S99" s="19"/>
      <c r="T99" s="19"/>
      <c r="U99" s="19"/>
      <c r="V99" s="19"/>
      <c r="W99" s="19"/>
      <c r="X99" s="19"/>
    </row>
    <row r="100" spans="1:24" ht="12" customHeight="1">
      <c r="A100" s="19"/>
      <c r="B100" s="19"/>
      <c r="C100" s="19"/>
      <c r="D100" s="19"/>
      <c r="E100" s="19"/>
      <c r="F100" s="19"/>
      <c r="G100" s="19"/>
      <c r="H100" s="19"/>
      <c r="I100" s="19"/>
      <c r="J100" s="19"/>
      <c r="K100" s="19"/>
      <c r="L100" s="19"/>
      <c r="M100" s="19"/>
      <c r="N100" s="19"/>
      <c r="O100" s="19"/>
      <c r="P100" s="19"/>
      <c r="Q100" s="19"/>
      <c r="R100" s="19"/>
      <c r="S100" s="19"/>
      <c r="T100" s="19"/>
      <c r="U100" s="19"/>
      <c r="V100" s="19"/>
      <c r="W100" s="19"/>
      <c r="X100" s="19"/>
    </row>
    <row r="101" spans="1:24" ht="12" customHeight="1">
      <c r="A101" s="19"/>
      <c r="B101" s="19"/>
      <c r="C101" s="19"/>
      <c r="D101" s="19"/>
      <c r="E101" s="19"/>
      <c r="F101" s="19"/>
      <c r="G101" s="19"/>
      <c r="H101" s="19"/>
      <c r="I101" s="19"/>
      <c r="J101" s="19"/>
      <c r="K101" s="19"/>
      <c r="L101" s="19"/>
      <c r="M101" s="19"/>
      <c r="N101" s="19"/>
      <c r="O101" s="19"/>
      <c r="P101" s="19"/>
      <c r="Q101" s="19"/>
      <c r="R101" s="19"/>
      <c r="S101" s="19"/>
      <c r="T101" s="19"/>
      <c r="U101" s="19"/>
      <c r="V101" s="19"/>
      <c r="W101" s="19"/>
      <c r="X101" s="19"/>
    </row>
    <row r="102" spans="1:24" ht="12" customHeight="1">
      <c r="A102" s="19"/>
      <c r="B102" s="19"/>
      <c r="C102" s="19"/>
      <c r="D102" s="19"/>
      <c r="E102" s="19"/>
      <c r="F102" s="19"/>
      <c r="G102" s="19"/>
      <c r="H102" s="19"/>
      <c r="I102" s="19"/>
      <c r="J102" s="19"/>
      <c r="K102" s="19"/>
      <c r="L102" s="19"/>
      <c r="M102" s="19"/>
      <c r="N102" s="19"/>
      <c r="O102" s="19"/>
      <c r="P102" s="19"/>
      <c r="Q102" s="19"/>
      <c r="R102" s="19"/>
      <c r="S102" s="19"/>
      <c r="T102" s="19"/>
      <c r="U102" s="19"/>
      <c r="V102" s="19"/>
      <c r="W102" s="19"/>
      <c r="X102" s="19"/>
    </row>
    <row r="103" spans="1:24" ht="12" customHeight="1">
      <c r="A103" s="19"/>
      <c r="B103" s="19"/>
      <c r="C103" s="19"/>
      <c r="D103" s="19"/>
      <c r="E103" s="19"/>
      <c r="F103" s="19"/>
      <c r="G103" s="19"/>
      <c r="H103" s="19"/>
      <c r="I103" s="19"/>
      <c r="J103" s="19"/>
      <c r="K103" s="19"/>
      <c r="L103" s="19"/>
      <c r="M103" s="19"/>
      <c r="N103" s="19"/>
      <c r="O103" s="19"/>
      <c r="P103" s="19"/>
      <c r="Q103" s="19"/>
      <c r="R103" s="19"/>
      <c r="S103" s="19"/>
      <c r="T103" s="19"/>
      <c r="U103" s="19"/>
      <c r="V103" s="19"/>
      <c r="W103" s="19"/>
      <c r="X103" s="19"/>
    </row>
    <row r="104" spans="1:24" ht="12" customHeight="1">
      <c r="A104" s="19"/>
      <c r="B104" s="19"/>
      <c r="C104" s="19"/>
      <c r="D104" s="19"/>
      <c r="E104" s="19"/>
      <c r="F104" s="19"/>
      <c r="G104" s="19"/>
      <c r="H104" s="19"/>
      <c r="I104" s="19"/>
      <c r="J104" s="19"/>
      <c r="K104" s="19"/>
      <c r="L104" s="19"/>
      <c r="M104" s="19"/>
      <c r="N104" s="19"/>
      <c r="O104" s="19"/>
      <c r="P104" s="19"/>
      <c r="Q104" s="19"/>
      <c r="R104" s="19"/>
      <c r="S104" s="19"/>
      <c r="T104" s="19"/>
      <c r="U104" s="19"/>
      <c r="V104" s="19"/>
      <c r="W104" s="19"/>
      <c r="X104" s="19"/>
    </row>
    <row r="105" spans="1:24" ht="12" customHeight="1">
      <c r="A105" s="19"/>
      <c r="B105" s="19"/>
      <c r="C105" s="19"/>
      <c r="D105" s="19"/>
      <c r="E105" s="19"/>
      <c r="F105" s="19"/>
      <c r="G105" s="19"/>
      <c r="H105" s="19"/>
      <c r="I105" s="19"/>
      <c r="J105" s="19"/>
      <c r="K105" s="19"/>
      <c r="L105" s="19"/>
      <c r="M105" s="19"/>
      <c r="N105" s="19"/>
      <c r="O105" s="19"/>
      <c r="P105" s="19"/>
      <c r="Q105" s="19"/>
      <c r="R105" s="19"/>
      <c r="S105" s="19"/>
      <c r="T105" s="19"/>
      <c r="U105" s="19"/>
      <c r="V105" s="19"/>
      <c r="W105" s="19"/>
      <c r="X105" s="19"/>
    </row>
    <row r="106" spans="1:24" ht="12" customHeight="1">
      <c r="A106" s="19"/>
      <c r="B106" s="19"/>
      <c r="C106" s="19"/>
      <c r="D106" s="19"/>
      <c r="E106" s="19"/>
      <c r="F106" s="19"/>
      <c r="G106" s="19"/>
      <c r="H106" s="19"/>
      <c r="I106" s="19"/>
      <c r="J106" s="19"/>
      <c r="K106" s="19"/>
      <c r="L106" s="19"/>
      <c r="M106" s="19"/>
      <c r="N106" s="19"/>
      <c r="O106" s="19"/>
      <c r="P106" s="19"/>
      <c r="Q106" s="19"/>
      <c r="R106" s="19"/>
      <c r="S106" s="19"/>
      <c r="T106" s="19"/>
      <c r="U106" s="19"/>
      <c r="V106" s="19"/>
      <c r="W106" s="19"/>
      <c r="X106" s="19"/>
    </row>
    <row r="107" spans="1:24" ht="12" customHeight="1">
      <c r="A107" s="19"/>
      <c r="B107" s="19"/>
      <c r="C107" s="19"/>
      <c r="D107" s="19"/>
      <c r="E107" s="19"/>
      <c r="F107" s="19"/>
      <c r="G107" s="19"/>
      <c r="H107" s="19"/>
      <c r="I107" s="19"/>
      <c r="J107" s="19"/>
      <c r="K107" s="19"/>
      <c r="L107" s="19"/>
      <c r="M107" s="19"/>
      <c r="N107" s="19"/>
      <c r="O107" s="19"/>
      <c r="P107" s="19"/>
      <c r="Q107" s="19"/>
      <c r="R107" s="19"/>
      <c r="S107" s="19"/>
      <c r="T107" s="19"/>
      <c r="U107" s="19"/>
      <c r="V107" s="19"/>
      <c r="W107" s="19"/>
      <c r="X107" s="19"/>
    </row>
    <row r="108" spans="1:24" ht="12" customHeight="1">
      <c r="A108" s="19"/>
      <c r="B108" s="19"/>
      <c r="C108" s="19"/>
      <c r="D108" s="19"/>
      <c r="E108" s="19"/>
      <c r="F108" s="19"/>
      <c r="G108" s="19"/>
      <c r="H108" s="19"/>
      <c r="I108" s="19"/>
      <c r="J108" s="19"/>
      <c r="K108" s="19"/>
      <c r="L108" s="19"/>
      <c r="M108" s="19"/>
      <c r="N108" s="19"/>
      <c r="O108" s="19"/>
      <c r="P108" s="19"/>
      <c r="Q108" s="19"/>
      <c r="R108" s="19"/>
      <c r="S108" s="19"/>
      <c r="T108" s="19"/>
      <c r="U108" s="19"/>
      <c r="V108" s="19"/>
      <c r="W108" s="19"/>
      <c r="X108" s="19"/>
    </row>
    <row r="109" spans="1:24" ht="12" customHeight="1">
      <c r="A109" s="19"/>
      <c r="B109" s="19"/>
      <c r="C109" s="19"/>
      <c r="D109" s="19"/>
      <c r="E109" s="19"/>
      <c r="F109" s="19"/>
      <c r="G109" s="19"/>
      <c r="H109" s="19"/>
      <c r="I109" s="19"/>
      <c r="J109" s="19"/>
      <c r="K109" s="19"/>
      <c r="L109" s="19"/>
      <c r="M109" s="19"/>
      <c r="N109" s="19"/>
      <c r="O109" s="19"/>
      <c r="P109" s="19"/>
      <c r="Q109" s="19"/>
      <c r="R109" s="19"/>
      <c r="S109" s="19"/>
      <c r="T109" s="19"/>
      <c r="U109" s="19"/>
      <c r="V109" s="19"/>
      <c r="W109" s="19"/>
      <c r="X109" s="19"/>
    </row>
    <row r="110" spans="1:24" ht="12" customHeight="1">
      <c r="A110" s="19"/>
      <c r="B110" s="19"/>
      <c r="C110" s="19"/>
      <c r="D110" s="19"/>
      <c r="E110" s="19"/>
      <c r="F110" s="19"/>
      <c r="G110" s="19"/>
      <c r="H110" s="19"/>
      <c r="I110" s="19"/>
      <c r="J110" s="19"/>
      <c r="K110" s="19"/>
      <c r="L110" s="19"/>
      <c r="M110" s="19"/>
      <c r="N110" s="19"/>
      <c r="O110" s="19"/>
      <c r="P110" s="19"/>
      <c r="Q110" s="19"/>
      <c r="R110" s="19"/>
      <c r="S110" s="19"/>
      <c r="T110" s="19"/>
      <c r="U110" s="19"/>
      <c r="V110" s="19"/>
      <c r="W110" s="19"/>
      <c r="X110" s="19"/>
    </row>
    <row r="111" spans="1:24" ht="12" customHeight="1">
      <c r="A111" s="19"/>
      <c r="B111" s="19"/>
      <c r="C111" s="19"/>
      <c r="D111" s="19"/>
      <c r="E111" s="19"/>
      <c r="F111" s="19"/>
      <c r="G111" s="19"/>
      <c r="H111" s="19"/>
      <c r="I111" s="19"/>
      <c r="J111" s="19"/>
      <c r="K111" s="19"/>
      <c r="L111" s="19"/>
      <c r="M111" s="19"/>
      <c r="N111" s="19"/>
      <c r="O111" s="19"/>
      <c r="P111" s="19"/>
      <c r="Q111" s="19"/>
      <c r="R111" s="19"/>
      <c r="S111" s="19"/>
      <c r="T111" s="19"/>
      <c r="U111" s="19"/>
      <c r="V111" s="19"/>
      <c r="W111" s="19"/>
      <c r="X111" s="19"/>
    </row>
    <row r="112" spans="1:24" ht="12" customHeight="1">
      <c r="A112" s="19"/>
      <c r="B112" s="19"/>
      <c r="C112" s="19"/>
      <c r="D112" s="19"/>
      <c r="E112" s="19"/>
      <c r="F112" s="19"/>
      <c r="G112" s="19"/>
      <c r="H112" s="19"/>
      <c r="I112" s="19"/>
      <c r="J112" s="19"/>
      <c r="K112" s="19"/>
      <c r="L112" s="19"/>
      <c r="M112" s="19"/>
      <c r="N112" s="19"/>
      <c r="O112" s="19"/>
      <c r="P112" s="19"/>
      <c r="Q112" s="19"/>
      <c r="R112" s="19"/>
      <c r="S112" s="19"/>
      <c r="T112" s="19"/>
      <c r="U112" s="19"/>
      <c r="V112" s="19"/>
      <c r="W112" s="19"/>
      <c r="X112" s="19"/>
    </row>
    <row r="113" spans="1:24" ht="12" customHeight="1">
      <c r="A113" s="19"/>
      <c r="B113" s="19"/>
      <c r="C113" s="19"/>
      <c r="D113" s="19"/>
      <c r="E113" s="19"/>
      <c r="F113" s="19"/>
      <c r="G113" s="19"/>
      <c r="H113" s="19"/>
      <c r="I113" s="19"/>
      <c r="J113" s="19"/>
      <c r="K113" s="19"/>
      <c r="L113" s="19"/>
      <c r="M113" s="19"/>
      <c r="N113" s="19"/>
      <c r="O113" s="19"/>
      <c r="P113" s="19"/>
      <c r="Q113" s="19"/>
      <c r="R113" s="19"/>
      <c r="S113" s="19"/>
      <c r="T113" s="19"/>
      <c r="U113" s="19"/>
      <c r="V113" s="19"/>
      <c r="W113" s="19"/>
      <c r="X113" s="19"/>
    </row>
    <row r="114" spans="1:24" ht="12" customHeight="1">
      <c r="A114" s="19"/>
      <c r="B114" s="19"/>
      <c r="C114" s="19"/>
      <c r="D114" s="19"/>
      <c r="E114" s="19"/>
      <c r="F114" s="19"/>
      <c r="G114" s="19"/>
      <c r="H114" s="19"/>
      <c r="I114" s="19"/>
      <c r="J114" s="19"/>
      <c r="K114" s="19"/>
      <c r="L114" s="19"/>
      <c r="M114" s="19"/>
      <c r="N114" s="19"/>
      <c r="O114" s="19"/>
      <c r="P114" s="19"/>
      <c r="Q114" s="19"/>
      <c r="R114" s="19"/>
      <c r="S114" s="19"/>
      <c r="T114" s="19"/>
      <c r="U114" s="19"/>
      <c r="V114" s="19"/>
      <c r="W114" s="19"/>
      <c r="X114" s="19"/>
    </row>
    <row r="115" spans="1:24" ht="12" customHeight="1">
      <c r="A115" s="19"/>
      <c r="B115" s="19"/>
      <c r="C115" s="19"/>
      <c r="D115" s="19"/>
      <c r="E115" s="19"/>
      <c r="F115" s="19"/>
      <c r="G115" s="19"/>
      <c r="H115" s="19"/>
      <c r="I115" s="19"/>
      <c r="J115" s="19"/>
      <c r="K115" s="19"/>
      <c r="L115" s="19"/>
      <c r="M115" s="19"/>
      <c r="N115" s="19"/>
      <c r="O115" s="19"/>
      <c r="P115" s="19"/>
      <c r="Q115" s="19"/>
      <c r="R115" s="19"/>
      <c r="S115" s="19"/>
      <c r="T115" s="19"/>
      <c r="U115" s="19"/>
      <c r="V115" s="19"/>
      <c r="W115" s="19"/>
      <c r="X115" s="19"/>
    </row>
    <row r="116" spans="1:24" ht="12" customHeight="1">
      <c r="A116" s="19"/>
      <c r="B116" s="19"/>
      <c r="C116" s="19"/>
      <c r="D116" s="19"/>
      <c r="E116" s="19"/>
      <c r="F116" s="19"/>
      <c r="G116" s="19"/>
      <c r="H116" s="19"/>
      <c r="I116" s="19"/>
      <c r="J116" s="19"/>
      <c r="K116" s="19"/>
      <c r="L116" s="19"/>
      <c r="M116" s="19"/>
      <c r="N116" s="19"/>
      <c r="O116" s="19"/>
      <c r="P116" s="19"/>
      <c r="Q116" s="19"/>
      <c r="R116" s="19"/>
      <c r="S116" s="19"/>
      <c r="T116" s="19"/>
      <c r="U116" s="19"/>
      <c r="V116" s="19"/>
      <c r="W116" s="19"/>
      <c r="X116" s="19"/>
    </row>
    <row r="117" spans="1:24" ht="12" customHeight="1">
      <c r="A117" s="19"/>
      <c r="B117" s="19"/>
      <c r="C117" s="19"/>
      <c r="D117" s="19"/>
      <c r="E117" s="19"/>
      <c r="F117" s="19"/>
      <c r="G117" s="19"/>
      <c r="H117" s="19"/>
      <c r="I117" s="19"/>
      <c r="J117" s="19"/>
      <c r="K117" s="19"/>
      <c r="L117" s="19"/>
      <c r="M117" s="19"/>
      <c r="N117" s="19"/>
      <c r="O117" s="19"/>
      <c r="P117" s="19"/>
      <c r="Q117" s="19"/>
      <c r="R117" s="19"/>
      <c r="S117" s="19"/>
      <c r="T117" s="19"/>
      <c r="U117" s="19"/>
      <c r="V117" s="19"/>
      <c r="W117" s="19"/>
      <c r="X117" s="19"/>
    </row>
    <row r="118" spans="1:24" ht="12" customHeight="1">
      <c r="A118" s="19"/>
      <c r="B118" s="19"/>
      <c r="C118" s="19"/>
      <c r="D118" s="19"/>
      <c r="E118" s="19"/>
      <c r="F118" s="19"/>
      <c r="G118" s="19"/>
      <c r="H118" s="19"/>
      <c r="I118" s="19"/>
      <c r="J118" s="19"/>
      <c r="K118" s="19"/>
      <c r="L118" s="19"/>
      <c r="M118" s="19"/>
      <c r="N118" s="19"/>
      <c r="O118" s="19"/>
      <c r="P118" s="19"/>
      <c r="Q118" s="19"/>
      <c r="R118" s="19"/>
      <c r="S118" s="19"/>
      <c r="T118" s="19"/>
      <c r="U118" s="19"/>
      <c r="V118" s="19"/>
      <c r="W118" s="19"/>
      <c r="X118" s="19"/>
    </row>
    <row r="119" spans="1:24" ht="12" customHeight="1">
      <c r="A119" s="19"/>
      <c r="B119" s="19"/>
      <c r="C119" s="19"/>
      <c r="D119" s="19"/>
      <c r="E119" s="19"/>
      <c r="F119" s="19"/>
      <c r="G119" s="19"/>
      <c r="H119" s="19"/>
      <c r="I119" s="19"/>
      <c r="J119" s="19"/>
      <c r="K119" s="19"/>
      <c r="L119" s="19"/>
      <c r="M119" s="19"/>
      <c r="N119" s="19"/>
      <c r="O119" s="19"/>
      <c r="P119" s="19"/>
      <c r="Q119" s="19"/>
      <c r="R119" s="19"/>
      <c r="S119" s="19"/>
      <c r="T119" s="19"/>
      <c r="U119" s="19"/>
      <c r="V119" s="19"/>
      <c r="W119" s="19"/>
      <c r="X119" s="19"/>
    </row>
    <row r="120" spans="1:24" ht="12" customHeight="1">
      <c r="A120" s="19"/>
      <c r="B120" s="19"/>
      <c r="C120" s="19"/>
      <c r="D120" s="19"/>
      <c r="E120" s="19"/>
      <c r="F120" s="19"/>
      <c r="G120" s="19"/>
      <c r="H120" s="19"/>
      <c r="I120" s="19"/>
      <c r="J120" s="19"/>
      <c r="K120" s="19"/>
      <c r="L120" s="19"/>
      <c r="M120" s="19"/>
      <c r="N120" s="19"/>
      <c r="O120" s="19"/>
      <c r="P120" s="19"/>
      <c r="Q120" s="19"/>
      <c r="R120" s="19"/>
      <c r="S120" s="19"/>
      <c r="T120" s="19"/>
      <c r="U120" s="19"/>
      <c r="V120" s="19"/>
      <c r="W120" s="19"/>
      <c r="X120" s="19"/>
    </row>
    <row r="121" spans="1:24" ht="12" customHeight="1">
      <c r="A121" s="19"/>
      <c r="B121" s="19"/>
      <c r="C121" s="19"/>
      <c r="D121" s="19"/>
      <c r="E121" s="19"/>
      <c r="F121" s="19"/>
      <c r="G121" s="19"/>
      <c r="H121" s="19"/>
      <c r="I121" s="19"/>
      <c r="J121" s="19"/>
      <c r="K121" s="19"/>
      <c r="L121" s="19"/>
      <c r="M121" s="19"/>
      <c r="N121" s="19"/>
      <c r="O121" s="19"/>
      <c r="P121" s="19"/>
      <c r="Q121" s="19"/>
      <c r="R121" s="19"/>
      <c r="S121" s="19"/>
      <c r="T121" s="19"/>
      <c r="U121" s="19"/>
      <c r="V121" s="19"/>
      <c r="W121" s="19"/>
      <c r="X121" s="19"/>
    </row>
    <row r="122" spans="1:24" ht="12" customHeight="1">
      <c r="A122" s="19"/>
      <c r="B122" s="19"/>
      <c r="C122" s="19"/>
      <c r="D122" s="19"/>
      <c r="E122" s="19"/>
      <c r="F122" s="19"/>
      <c r="G122" s="19"/>
      <c r="H122" s="19"/>
      <c r="I122" s="19"/>
      <c r="J122" s="19"/>
      <c r="K122" s="19"/>
      <c r="L122" s="19"/>
      <c r="M122" s="19"/>
      <c r="N122" s="19"/>
      <c r="O122" s="19"/>
      <c r="P122" s="19"/>
      <c r="Q122" s="19"/>
      <c r="R122" s="19"/>
      <c r="S122" s="19"/>
      <c r="T122" s="19"/>
      <c r="U122" s="19"/>
      <c r="V122" s="19"/>
      <c r="W122" s="19"/>
      <c r="X122" s="19"/>
    </row>
    <row r="123" spans="1:24" ht="12" customHeight="1">
      <c r="A123" s="19"/>
      <c r="B123" s="19"/>
      <c r="C123" s="19"/>
      <c r="D123" s="19"/>
      <c r="E123" s="19"/>
      <c r="F123" s="19"/>
      <c r="G123" s="19"/>
      <c r="H123" s="19"/>
      <c r="I123" s="19"/>
      <c r="J123" s="19"/>
      <c r="K123" s="19"/>
      <c r="L123" s="19"/>
      <c r="M123" s="19"/>
      <c r="N123" s="19"/>
      <c r="O123" s="19"/>
      <c r="P123" s="19"/>
      <c r="Q123" s="19"/>
      <c r="R123" s="19"/>
      <c r="S123" s="19"/>
      <c r="T123" s="19"/>
      <c r="U123" s="19"/>
      <c r="V123" s="19"/>
      <c r="W123" s="19"/>
      <c r="X123" s="19"/>
    </row>
    <row r="124" spans="1:24" ht="12" customHeight="1">
      <c r="A124" s="19"/>
      <c r="B124" s="19"/>
      <c r="C124" s="19"/>
      <c r="D124" s="19"/>
      <c r="E124" s="19"/>
      <c r="F124" s="19"/>
      <c r="G124" s="19"/>
      <c r="H124" s="19"/>
      <c r="I124" s="19"/>
      <c r="J124" s="19"/>
      <c r="K124" s="19"/>
      <c r="L124" s="19"/>
      <c r="M124" s="19"/>
      <c r="N124" s="19"/>
      <c r="O124" s="19"/>
      <c r="P124" s="19"/>
      <c r="Q124" s="19"/>
      <c r="R124" s="19"/>
      <c r="S124" s="19"/>
      <c r="T124" s="19"/>
      <c r="U124" s="19"/>
      <c r="V124" s="19"/>
      <c r="W124" s="19"/>
      <c r="X124" s="19"/>
    </row>
    <row r="125" spans="1:24" ht="12" customHeight="1">
      <c r="A125" s="19"/>
      <c r="B125" s="19"/>
      <c r="C125" s="19"/>
      <c r="D125" s="19"/>
      <c r="E125" s="19"/>
      <c r="F125" s="19"/>
      <c r="G125" s="19"/>
      <c r="H125" s="19"/>
      <c r="I125" s="19"/>
      <c r="J125" s="19"/>
      <c r="K125" s="19"/>
      <c r="L125" s="19"/>
      <c r="M125" s="19"/>
      <c r="N125" s="19"/>
      <c r="O125" s="19"/>
      <c r="P125" s="19"/>
      <c r="Q125" s="19"/>
      <c r="R125" s="19"/>
      <c r="S125" s="19"/>
      <c r="T125" s="19"/>
      <c r="U125" s="19"/>
      <c r="V125" s="19"/>
      <c r="W125" s="19"/>
      <c r="X125" s="19"/>
    </row>
    <row r="126" spans="1:24" ht="12" customHeight="1">
      <c r="A126" s="19"/>
      <c r="B126" s="19"/>
      <c r="C126" s="19"/>
      <c r="D126" s="19"/>
      <c r="E126" s="19"/>
      <c r="F126" s="19"/>
      <c r="G126" s="19"/>
      <c r="H126" s="19"/>
      <c r="I126" s="19"/>
      <c r="J126" s="19"/>
      <c r="K126" s="19"/>
      <c r="L126" s="19"/>
      <c r="M126" s="19"/>
      <c r="N126" s="19"/>
      <c r="O126" s="19"/>
      <c r="P126" s="19"/>
      <c r="Q126" s="19"/>
      <c r="R126" s="19"/>
      <c r="S126" s="19"/>
      <c r="T126" s="19"/>
      <c r="U126" s="19"/>
      <c r="V126" s="19"/>
      <c r="W126" s="19"/>
      <c r="X126" s="19"/>
    </row>
    <row r="127" spans="1:24" ht="12" customHeight="1">
      <c r="A127" s="19"/>
      <c r="B127" s="19"/>
      <c r="C127" s="19"/>
      <c r="D127" s="19"/>
      <c r="E127" s="19"/>
      <c r="F127" s="19"/>
      <c r="G127" s="19"/>
      <c r="H127" s="19"/>
      <c r="I127" s="19"/>
      <c r="J127" s="19"/>
      <c r="K127" s="19"/>
      <c r="L127" s="19"/>
      <c r="M127" s="19"/>
      <c r="N127" s="19"/>
      <c r="O127" s="19"/>
      <c r="P127" s="19"/>
      <c r="Q127" s="19"/>
      <c r="R127" s="19"/>
      <c r="S127" s="19"/>
      <c r="T127" s="19"/>
      <c r="U127" s="19"/>
      <c r="V127" s="19"/>
      <c r="W127" s="19"/>
      <c r="X127" s="19"/>
    </row>
    <row r="128" spans="1:24" ht="12" customHeight="1">
      <c r="A128" s="19"/>
      <c r="B128" s="19"/>
      <c r="C128" s="19"/>
      <c r="D128" s="19"/>
      <c r="E128" s="19"/>
      <c r="F128" s="19"/>
      <c r="G128" s="19"/>
      <c r="H128" s="19"/>
      <c r="I128" s="19"/>
      <c r="J128" s="19"/>
      <c r="K128" s="19"/>
      <c r="L128" s="19"/>
      <c r="M128" s="19"/>
      <c r="N128" s="19"/>
      <c r="O128" s="19"/>
      <c r="P128" s="19"/>
      <c r="Q128" s="19"/>
      <c r="R128" s="19"/>
      <c r="S128" s="19"/>
      <c r="T128" s="19"/>
      <c r="U128" s="19"/>
      <c r="V128" s="19"/>
      <c r="W128" s="19"/>
      <c r="X128" s="19"/>
    </row>
    <row r="129" spans="1:24" ht="12" customHeight="1">
      <c r="A129" s="19"/>
      <c r="B129" s="19"/>
      <c r="C129" s="19"/>
      <c r="D129" s="19"/>
      <c r="E129" s="19"/>
      <c r="F129" s="19"/>
      <c r="G129" s="19"/>
      <c r="H129" s="19"/>
      <c r="I129" s="19"/>
      <c r="J129" s="19"/>
      <c r="K129" s="19"/>
      <c r="L129" s="19"/>
      <c r="M129" s="19"/>
      <c r="N129" s="19"/>
      <c r="O129" s="19"/>
      <c r="P129" s="19"/>
      <c r="Q129" s="19"/>
      <c r="R129" s="19"/>
      <c r="S129" s="19"/>
      <c r="T129" s="19"/>
      <c r="U129" s="19"/>
      <c r="V129" s="19"/>
      <c r="W129" s="19"/>
      <c r="X129" s="19"/>
    </row>
    <row r="130" spans="1:24" ht="12" customHeight="1">
      <c r="A130" s="19"/>
      <c r="B130" s="19"/>
      <c r="C130" s="19"/>
      <c r="D130" s="19"/>
      <c r="E130" s="19"/>
      <c r="F130" s="19"/>
      <c r="G130" s="19"/>
      <c r="H130" s="19"/>
      <c r="I130" s="19"/>
      <c r="J130" s="19"/>
      <c r="K130" s="19"/>
      <c r="L130" s="19"/>
      <c r="M130" s="19"/>
      <c r="N130" s="19"/>
      <c r="O130" s="19"/>
      <c r="P130" s="19"/>
      <c r="Q130" s="19"/>
      <c r="R130" s="19"/>
      <c r="S130" s="19"/>
      <c r="T130" s="19"/>
      <c r="U130" s="19"/>
      <c r="V130" s="19"/>
      <c r="W130" s="19"/>
      <c r="X130" s="19"/>
    </row>
    <row r="131" spans="1:24" ht="12" customHeight="1">
      <c r="A131" s="19"/>
      <c r="B131" s="19"/>
      <c r="C131" s="19"/>
      <c r="D131" s="19"/>
      <c r="E131" s="19"/>
      <c r="F131" s="19"/>
      <c r="G131" s="19"/>
      <c r="H131" s="19"/>
      <c r="I131" s="19"/>
      <c r="J131" s="19"/>
      <c r="K131" s="19"/>
      <c r="L131" s="19"/>
      <c r="M131" s="19"/>
      <c r="N131" s="19"/>
      <c r="O131" s="19"/>
      <c r="P131" s="19"/>
      <c r="Q131" s="19"/>
      <c r="R131" s="19"/>
      <c r="S131" s="19"/>
      <c r="T131" s="19"/>
      <c r="U131" s="19"/>
      <c r="V131" s="19"/>
      <c r="W131" s="19"/>
      <c r="X131" s="19"/>
    </row>
    <row r="132" spans="1:24" ht="12" customHeight="1">
      <c r="A132" s="19"/>
      <c r="B132" s="19"/>
      <c r="C132" s="19"/>
      <c r="D132" s="19"/>
      <c r="E132" s="19"/>
      <c r="F132" s="19"/>
      <c r="G132" s="19"/>
      <c r="H132" s="19"/>
      <c r="I132" s="19"/>
      <c r="J132" s="19"/>
      <c r="K132" s="19"/>
      <c r="L132" s="19"/>
      <c r="M132" s="19"/>
      <c r="N132" s="19"/>
      <c r="O132" s="19"/>
      <c r="P132" s="19"/>
      <c r="Q132" s="19"/>
      <c r="R132" s="19"/>
      <c r="S132" s="19"/>
      <c r="T132" s="19"/>
      <c r="U132" s="19"/>
      <c r="V132" s="19"/>
      <c r="W132" s="19"/>
      <c r="X132" s="19"/>
    </row>
    <row r="133" spans="1:24" ht="12" customHeight="1">
      <c r="A133" s="19"/>
      <c r="B133" s="19"/>
      <c r="C133" s="19"/>
      <c r="D133" s="19"/>
      <c r="E133" s="19"/>
      <c r="F133" s="19"/>
      <c r="G133" s="19"/>
      <c r="H133" s="19"/>
      <c r="I133" s="19"/>
      <c r="J133" s="19"/>
      <c r="K133" s="19"/>
      <c r="L133" s="19"/>
      <c r="M133" s="19"/>
      <c r="N133" s="19"/>
      <c r="O133" s="19"/>
      <c r="P133" s="19"/>
      <c r="Q133" s="19"/>
      <c r="R133" s="19"/>
      <c r="S133" s="19"/>
      <c r="T133" s="19"/>
      <c r="U133" s="19"/>
      <c r="V133" s="19"/>
      <c r="W133" s="19"/>
      <c r="X133" s="19"/>
    </row>
    <row r="134" spans="1:24" ht="12" customHeight="1">
      <c r="A134" s="19"/>
      <c r="B134" s="19"/>
      <c r="C134" s="19"/>
      <c r="D134" s="19"/>
      <c r="E134" s="19"/>
      <c r="F134" s="19"/>
      <c r="G134" s="19"/>
      <c r="H134" s="19"/>
      <c r="I134" s="19"/>
      <c r="J134" s="19"/>
      <c r="K134" s="19"/>
      <c r="L134" s="19"/>
      <c r="M134" s="19"/>
      <c r="N134" s="19"/>
      <c r="O134" s="19"/>
      <c r="P134" s="19"/>
      <c r="Q134" s="19"/>
      <c r="R134" s="19"/>
      <c r="S134" s="19"/>
      <c r="T134" s="19"/>
      <c r="U134" s="19"/>
      <c r="V134" s="19"/>
      <c r="W134" s="19"/>
      <c r="X134" s="19"/>
    </row>
    <row r="135" spans="1:24" ht="12" customHeight="1">
      <c r="A135" s="19"/>
      <c r="B135" s="19"/>
      <c r="C135" s="19"/>
      <c r="D135" s="19"/>
      <c r="E135" s="19"/>
      <c r="F135" s="19"/>
      <c r="G135" s="19"/>
      <c r="H135" s="19"/>
      <c r="I135" s="19"/>
      <c r="J135" s="19"/>
      <c r="K135" s="19"/>
      <c r="L135" s="19"/>
      <c r="M135" s="19"/>
      <c r="N135" s="19"/>
      <c r="O135" s="19"/>
      <c r="P135" s="19"/>
      <c r="Q135" s="19"/>
      <c r="R135" s="19"/>
      <c r="S135" s="19"/>
      <c r="T135" s="19"/>
      <c r="U135" s="19"/>
      <c r="V135" s="19"/>
      <c r="W135" s="19"/>
      <c r="X135" s="19"/>
    </row>
    <row r="136" spans="1:24" ht="12" customHeight="1">
      <c r="A136" s="19"/>
      <c r="B136" s="19"/>
      <c r="C136" s="19"/>
      <c r="D136" s="19"/>
      <c r="E136" s="19"/>
      <c r="F136" s="19"/>
      <c r="G136" s="19"/>
      <c r="H136" s="19"/>
      <c r="I136" s="19"/>
      <c r="J136" s="19"/>
      <c r="K136" s="19"/>
      <c r="L136" s="19"/>
      <c r="M136" s="19"/>
      <c r="N136" s="19"/>
      <c r="O136" s="19"/>
      <c r="P136" s="19"/>
      <c r="Q136" s="19"/>
      <c r="R136" s="19"/>
      <c r="S136" s="19"/>
      <c r="T136" s="19"/>
      <c r="U136" s="19"/>
      <c r="V136" s="19"/>
      <c r="W136" s="19"/>
      <c r="X136" s="19"/>
    </row>
    <row r="137" spans="1:24" ht="12" customHeight="1">
      <c r="A137" s="19"/>
      <c r="B137" s="19"/>
      <c r="C137" s="19"/>
      <c r="D137" s="19"/>
      <c r="E137" s="19"/>
      <c r="F137" s="19"/>
      <c r="G137" s="19"/>
      <c r="H137" s="19"/>
      <c r="I137" s="19"/>
      <c r="J137" s="19"/>
      <c r="K137" s="19"/>
      <c r="L137" s="19"/>
      <c r="M137" s="19"/>
      <c r="N137" s="19"/>
      <c r="O137" s="19"/>
      <c r="P137" s="19"/>
      <c r="Q137" s="19"/>
      <c r="R137" s="19"/>
      <c r="S137" s="19"/>
      <c r="T137" s="19"/>
      <c r="U137" s="19"/>
      <c r="V137" s="19"/>
      <c r="W137" s="19"/>
      <c r="X137" s="19"/>
    </row>
    <row r="138" spans="1:24" ht="12" customHeight="1">
      <c r="A138" s="19"/>
      <c r="B138" s="19"/>
      <c r="C138" s="19"/>
      <c r="D138" s="19"/>
      <c r="E138" s="19"/>
      <c r="F138" s="19"/>
      <c r="G138" s="19"/>
      <c r="H138" s="19"/>
      <c r="I138" s="19"/>
      <c r="J138" s="19"/>
      <c r="K138" s="19"/>
      <c r="L138" s="19"/>
      <c r="M138" s="19"/>
      <c r="N138" s="19"/>
      <c r="O138" s="19"/>
      <c r="P138" s="19"/>
      <c r="Q138" s="19"/>
      <c r="R138" s="19"/>
      <c r="S138" s="19"/>
      <c r="T138" s="19"/>
      <c r="U138" s="19"/>
      <c r="V138" s="19"/>
      <c r="W138" s="19"/>
      <c r="X138" s="19"/>
    </row>
    <row r="139" spans="1:24" ht="12" customHeight="1">
      <c r="A139" s="19"/>
      <c r="B139" s="19"/>
      <c r="C139" s="19"/>
      <c r="D139" s="19"/>
      <c r="E139" s="19"/>
      <c r="F139" s="19"/>
      <c r="G139" s="19"/>
      <c r="H139" s="19"/>
      <c r="I139" s="19"/>
      <c r="J139" s="19"/>
      <c r="K139" s="19"/>
      <c r="L139" s="19"/>
      <c r="M139" s="19"/>
      <c r="N139" s="19"/>
      <c r="O139" s="19"/>
      <c r="P139" s="19"/>
      <c r="Q139" s="19"/>
      <c r="R139" s="19"/>
      <c r="S139" s="19"/>
      <c r="T139" s="19"/>
      <c r="U139" s="19"/>
      <c r="V139" s="19"/>
      <c r="W139" s="19"/>
      <c r="X139" s="19"/>
    </row>
    <row r="140" spans="1:24" ht="12" customHeight="1">
      <c r="A140" s="19"/>
      <c r="B140" s="19"/>
      <c r="C140" s="19"/>
      <c r="D140" s="19"/>
      <c r="E140" s="19"/>
      <c r="F140" s="19"/>
      <c r="G140" s="19"/>
      <c r="H140" s="19"/>
      <c r="I140" s="19"/>
      <c r="J140" s="19"/>
      <c r="K140" s="19"/>
      <c r="L140" s="19"/>
      <c r="M140" s="19"/>
      <c r="N140" s="19"/>
      <c r="O140" s="19"/>
      <c r="P140" s="19"/>
      <c r="Q140" s="19"/>
      <c r="R140" s="19"/>
      <c r="S140" s="19"/>
      <c r="T140" s="19"/>
      <c r="U140" s="19"/>
      <c r="V140" s="19"/>
      <c r="W140" s="19"/>
      <c r="X140" s="19"/>
    </row>
    <row r="141" spans="1:24" ht="12" customHeight="1">
      <c r="A141" s="19"/>
      <c r="B141" s="19"/>
      <c r="C141" s="19"/>
      <c r="D141" s="19"/>
      <c r="E141" s="19"/>
      <c r="F141" s="19"/>
      <c r="G141" s="19"/>
      <c r="H141" s="19"/>
      <c r="I141" s="19"/>
      <c r="J141" s="19"/>
      <c r="K141" s="19"/>
      <c r="L141" s="19"/>
      <c r="M141" s="19"/>
      <c r="N141" s="19"/>
      <c r="O141" s="19"/>
      <c r="P141" s="19"/>
      <c r="Q141" s="19"/>
      <c r="R141" s="19"/>
      <c r="S141" s="19"/>
      <c r="T141" s="19"/>
      <c r="U141" s="19"/>
      <c r="V141" s="19"/>
      <c r="W141" s="19"/>
      <c r="X141" s="19"/>
    </row>
    <row r="142" spans="1:24" ht="12" customHeight="1">
      <c r="A142" s="19"/>
      <c r="B142" s="19"/>
      <c r="C142" s="19"/>
      <c r="D142" s="19"/>
      <c r="E142" s="19"/>
      <c r="F142" s="19"/>
      <c r="G142" s="19"/>
      <c r="H142" s="19"/>
      <c r="I142" s="19"/>
      <c r="J142" s="19"/>
      <c r="K142" s="19"/>
      <c r="L142" s="19"/>
      <c r="M142" s="19"/>
      <c r="N142" s="19"/>
      <c r="O142" s="19"/>
      <c r="P142" s="19"/>
      <c r="Q142" s="19"/>
      <c r="R142" s="19"/>
      <c r="S142" s="19"/>
      <c r="T142" s="19"/>
      <c r="U142" s="19"/>
      <c r="V142" s="19"/>
      <c r="W142" s="19"/>
      <c r="X142" s="19"/>
    </row>
    <row r="143" spans="1:24" ht="12" customHeight="1">
      <c r="A143" s="19"/>
      <c r="B143" s="19"/>
      <c r="C143" s="19"/>
      <c r="D143" s="19"/>
      <c r="E143" s="19"/>
      <c r="F143" s="19"/>
      <c r="G143" s="19"/>
      <c r="H143" s="19"/>
      <c r="I143" s="19"/>
      <c r="J143" s="19"/>
      <c r="K143" s="19"/>
      <c r="L143" s="19"/>
      <c r="M143" s="19"/>
      <c r="N143" s="19"/>
      <c r="O143" s="19"/>
      <c r="P143" s="19"/>
      <c r="Q143" s="19"/>
      <c r="R143" s="19"/>
      <c r="S143" s="19"/>
      <c r="T143" s="19"/>
      <c r="U143" s="19"/>
      <c r="V143" s="19"/>
      <c r="W143" s="19"/>
      <c r="X143" s="19"/>
    </row>
    <row r="144" spans="1:24" ht="12" customHeight="1">
      <c r="A144" s="19"/>
      <c r="B144" s="19"/>
      <c r="C144" s="19"/>
      <c r="D144" s="19"/>
      <c r="E144" s="19"/>
      <c r="F144" s="19"/>
      <c r="G144" s="19"/>
      <c r="H144" s="19"/>
      <c r="I144" s="19"/>
      <c r="J144" s="19"/>
      <c r="K144" s="19"/>
      <c r="L144" s="19"/>
      <c r="M144" s="19"/>
      <c r="N144" s="19"/>
      <c r="O144" s="19"/>
      <c r="P144" s="19"/>
      <c r="Q144" s="19"/>
      <c r="R144" s="19"/>
      <c r="S144" s="19"/>
      <c r="T144" s="19"/>
      <c r="U144" s="19"/>
      <c r="V144" s="19"/>
      <c r="W144" s="19"/>
      <c r="X144" s="19"/>
    </row>
    <row r="145" spans="1:24" ht="12" customHeight="1">
      <c r="A145" s="19"/>
      <c r="B145" s="19"/>
      <c r="C145" s="19"/>
      <c r="D145" s="19"/>
      <c r="E145" s="19"/>
      <c r="F145" s="19"/>
      <c r="G145" s="19"/>
      <c r="H145" s="19"/>
      <c r="I145" s="19"/>
      <c r="J145" s="19"/>
      <c r="K145" s="19"/>
      <c r="L145" s="19"/>
      <c r="M145" s="19"/>
      <c r="N145" s="19"/>
      <c r="O145" s="19"/>
      <c r="P145" s="19"/>
      <c r="Q145" s="19"/>
      <c r="R145" s="19"/>
      <c r="S145" s="19"/>
      <c r="T145" s="19"/>
      <c r="U145" s="19"/>
      <c r="V145" s="19"/>
      <c r="W145" s="19"/>
      <c r="X145" s="19"/>
    </row>
    <row r="146" spans="1:24" ht="12" customHeight="1">
      <c r="A146" s="19"/>
      <c r="B146" s="19"/>
      <c r="C146" s="19"/>
      <c r="D146" s="19"/>
      <c r="E146" s="19"/>
      <c r="F146" s="19"/>
      <c r="G146" s="19"/>
      <c r="H146" s="19"/>
      <c r="I146" s="19"/>
      <c r="J146" s="19"/>
      <c r="K146" s="19"/>
      <c r="L146" s="19"/>
      <c r="M146" s="19"/>
      <c r="N146" s="19"/>
      <c r="O146" s="19"/>
      <c r="P146" s="19"/>
      <c r="Q146" s="19"/>
      <c r="R146" s="19"/>
      <c r="S146" s="19"/>
      <c r="T146" s="19"/>
      <c r="U146" s="19"/>
      <c r="V146" s="19"/>
      <c r="W146" s="19"/>
      <c r="X146" s="19"/>
    </row>
    <row r="147" spans="1:24" ht="12" customHeight="1">
      <c r="A147" s="19"/>
      <c r="B147" s="19"/>
      <c r="C147" s="19"/>
      <c r="D147" s="19"/>
      <c r="E147" s="19"/>
      <c r="F147" s="19"/>
      <c r="G147" s="19"/>
      <c r="H147" s="19"/>
      <c r="I147" s="19"/>
      <c r="J147" s="19"/>
      <c r="K147" s="19"/>
      <c r="L147" s="19"/>
      <c r="M147" s="19"/>
      <c r="N147" s="19"/>
      <c r="O147" s="19"/>
      <c r="P147" s="19"/>
      <c r="Q147" s="19"/>
      <c r="R147" s="19"/>
      <c r="S147" s="19"/>
      <c r="T147" s="19"/>
      <c r="U147" s="19"/>
      <c r="V147" s="19"/>
      <c r="W147" s="19"/>
      <c r="X147" s="19"/>
    </row>
    <row r="148" spans="1:24" ht="12" customHeight="1">
      <c r="A148" s="19"/>
      <c r="B148" s="19"/>
      <c r="C148" s="19"/>
      <c r="D148" s="19"/>
      <c r="E148" s="19"/>
      <c r="F148" s="19"/>
      <c r="G148" s="19"/>
      <c r="H148" s="19"/>
      <c r="I148" s="19"/>
      <c r="J148" s="19"/>
      <c r="K148" s="19"/>
      <c r="L148" s="19"/>
      <c r="M148" s="19"/>
      <c r="N148" s="19"/>
      <c r="O148" s="19"/>
      <c r="P148" s="19"/>
      <c r="Q148" s="19"/>
      <c r="R148" s="19"/>
      <c r="S148" s="19"/>
      <c r="T148" s="19"/>
      <c r="U148" s="19"/>
      <c r="V148" s="19"/>
      <c r="W148" s="19"/>
      <c r="X148" s="19"/>
    </row>
    <row r="149" spans="1:24" ht="12" customHeight="1">
      <c r="A149" s="19"/>
      <c r="B149" s="19"/>
      <c r="C149" s="19"/>
      <c r="D149" s="19"/>
      <c r="E149" s="19"/>
      <c r="F149" s="19"/>
      <c r="G149" s="19"/>
      <c r="H149" s="19"/>
      <c r="I149" s="19"/>
      <c r="J149" s="19"/>
      <c r="K149" s="19"/>
      <c r="L149" s="19"/>
      <c r="M149" s="19"/>
      <c r="N149" s="19"/>
      <c r="O149" s="19"/>
      <c r="P149" s="19"/>
      <c r="Q149" s="19"/>
      <c r="R149" s="19"/>
      <c r="S149" s="19"/>
      <c r="T149" s="19"/>
      <c r="U149" s="19"/>
      <c r="V149" s="19"/>
      <c r="W149" s="19"/>
      <c r="X149" s="19"/>
    </row>
    <row r="150" spans="1:24" ht="12" customHeight="1">
      <c r="A150" s="19"/>
      <c r="B150" s="19"/>
      <c r="C150" s="19"/>
      <c r="D150" s="19"/>
      <c r="E150" s="19"/>
      <c r="F150" s="19"/>
      <c r="G150" s="19"/>
      <c r="H150" s="19"/>
      <c r="I150" s="19"/>
      <c r="J150" s="19"/>
      <c r="K150" s="19"/>
      <c r="L150" s="19"/>
      <c r="M150" s="19"/>
      <c r="N150" s="19"/>
      <c r="O150" s="19"/>
      <c r="P150" s="19"/>
      <c r="Q150" s="19"/>
      <c r="R150" s="19"/>
      <c r="S150" s="19"/>
      <c r="T150" s="19"/>
      <c r="U150" s="19"/>
      <c r="V150" s="19"/>
      <c r="W150" s="19"/>
      <c r="X150" s="19"/>
    </row>
    <row r="151" spans="1:24" ht="12" customHeight="1">
      <c r="A151" s="19"/>
      <c r="B151" s="19"/>
      <c r="C151" s="19"/>
      <c r="D151" s="19"/>
      <c r="E151" s="19"/>
      <c r="F151" s="19"/>
      <c r="G151" s="19"/>
      <c r="H151" s="19"/>
      <c r="I151" s="19"/>
      <c r="J151" s="19"/>
      <c r="K151" s="19"/>
      <c r="L151" s="19"/>
      <c r="M151" s="19"/>
      <c r="N151" s="19"/>
      <c r="O151" s="19"/>
      <c r="P151" s="19"/>
      <c r="Q151" s="19"/>
      <c r="R151" s="19"/>
      <c r="S151" s="19"/>
      <c r="T151" s="19"/>
      <c r="U151" s="19"/>
      <c r="V151" s="19"/>
      <c r="W151" s="19"/>
      <c r="X151" s="19"/>
    </row>
    <row r="152" spans="1:24" ht="12" customHeight="1">
      <c r="A152" s="19"/>
      <c r="B152" s="19"/>
      <c r="C152" s="19"/>
      <c r="D152" s="19"/>
      <c r="E152" s="19"/>
      <c r="F152" s="19"/>
      <c r="G152" s="19"/>
      <c r="H152" s="19"/>
      <c r="I152" s="19"/>
      <c r="J152" s="19"/>
      <c r="K152" s="19"/>
      <c r="L152" s="19"/>
      <c r="M152" s="19"/>
      <c r="N152" s="19"/>
      <c r="O152" s="19"/>
      <c r="P152" s="19"/>
      <c r="Q152" s="19"/>
      <c r="R152" s="19"/>
      <c r="S152" s="19"/>
      <c r="T152" s="19"/>
      <c r="U152" s="19"/>
      <c r="V152" s="19"/>
      <c r="W152" s="19"/>
      <c r="X152" s="19"/>
    </row>
    <row r="153" spans="1:24" ht="12" customHeight="1">
      <c r="A153" s="19"/>
      <c r="B153" s="19"/>
      <c r="C153" s="19"/>
      <c r="D153" s="19"/>
      <c r="E153" s="19"/>
      <c r="F153" s="19"/>
      <c r="G153" s="19"/>
      <c r="H153" s="19"/>
      <c r="I153" s="19"/>
      <c r="J153" s="19"/>
      <c r="K153" s="19"/>
      <c r="L153" s="19"/>
      <c r="M153" s="19"/>
      <c r="N153" s="19"/>
      <c r="O153" s="19"/>
      <c r="P153" s="19"/>
      <c r="Q153" s="19"/>
      <c r="R153" s="19"/>
      <c r="S153" s="19"/>
      <c r="T153" s="19"/>
      <c r="U153" s="19"/>
      <c r="V153" s="19"/>
      <c r="W153" s="19"/>
      <c r="X153" s="19"/>
    </row>
    <row r="154" spans="1:24" ht="12" customHeight="1">
      <c r="A154" s="19"/>
      <c r="B154" s="19"/>
      <c r="C154" s="19"/>
      <c r="D154" s="19"/>
      <c r="E154" s="19"/>
      <c r="F154" s="19"/>
      <c r="G154" s="19"/>
      <c r="H154" s="19"/>
      <c r="I154" s="19"/>
      <c r="J154" s="19"/>
      <c r="K154" s="19"/>
      <c r="L154" s="19"/>
      <c r="M154" s="19"/>
      <c r="N154" s="19"/>
      <c r="O154" s="19"/>
      <c r="P154" s="19"/>
      <c r="Q154" s="19"/>
      <c r="R154" s="19"/>
      <c r="S154" s="19"/>
      <c r="T154" s="19"/>
      <c r="U154" s="19"/>
      <c r="V154" s="19"/>
      <c r="W154" s="19"/>
      <c r="X154" s="19"/>
    </row>
    <row r="155" spans="1:24" ht="12" customHeight="1">
      <c r="A155" s="19"/>
      <c r="B155" s="19"/>
      <c r="C155" s="19"/>
      <c r="D155" s="19"/>
      <c r="E155" s="19"/>
      <c r="F155" s="19"/>
      <c r="G155" s="19"/>
      <c r="H155" s="19"/>
      <c r="I155" s="19"/>
      <c r="J155" s="19"/>
      <c r="K155" s="19"/>
      <c r="L155" s="19"/>
      <c r="M155" s="19"/>
      <c r="N155" s="19"/>
      <c r="O155" s="19"/>
      <c r="P155" s="19"/>
      <c r="Q155" s="19"/>
      <c r="R155" s="19"/>
      <c r="S155" s="19"/>
      <c r="T155" s="19"/>
      <c r="U155" s="19"/>
      <c r="V155" s="19"/>
      <c r="W155" s="19"/>
      <c r="X155" s="19"/>
    </row>
    <row r="156" spans="1:24" ht="12" customHeight="1">
      <c r="A156" s="19"/>
      <c r="B156" s="19"/>
      <c r="C156" s="19"/>
      <c r="D156" s="19"/>
      <c r="E156" s="19"/>
      <c r="F156" s="19"/>
      <c r="G156" s="19"/>
      <c r="H156" s="19"/>
      <c r="I156" s="19"/>
      <c r="J156" s="19"/>
      <c r="K156" s="19"/>
      <c r="L156" s="19"/>
      <c r="M156" s="19"/>
      <c r="N156" s="19"/>
      <c r="O156" s="19"/>
      <c r="P156" s="19"/>
      <c r="Q156" s="19"/>
      <c r="R156" s="19"/>
      <c r="S156" s="19"/>
      <c r="T156" s="19"/>
      <c r="U156" s="19"/>
      <c r="V156" s="19"/>
      <c r="W156" s="19"/>
      <c r="X156" s="19"/>
    </row>
    <row r="157" spans="1:24" ht="12" customHeight="1">
      <c r="A157" s="19"/>
      <c r="B157" s="19"/>
      <c r="C157" s="19"/>
      <c r="D157" s="19"/>
      <c r="E157" s="19"/>
      <c r="F157" s="19"/>
      <c r="G157" s="19"/>
      <c r="H157" s="19"/>
      <c r="I157" s="19"/>
      <c r="J157" s="19"/>
      <c r="K157" s="19"/>
      <c r="L157" s="19"/>
      <c r="M157" s="19"/>
      <c r="N157" s="19"/>
      <c r="O157" s="19"/>
      <c r="P157" s="19"/>
      <c r="Q157" s="19"/>
      <c r="R157" s="19"/>
      <c r="S157" s="19"/>
      <c r="T157" s="19"/>
      <c r="U157" s="19"/>
      <c r="V157" s="19"/>
      <c r="W157" s="19"/>
      <c r="X157" s="19"/>
    </row>
    <row r="158" spans="1:24" ht="12" customHeight="1">
      <c r="A158" s="19"/>
      <c r="B158" s="19"/>
      <c r="C158" s="19"/>
      <c r="D158" s="19"/>
      <c r="E158" s="19"/>
      <c r="F158" s="19"/>
      <c r="G158" s="19"/>
      <c r="H158" s="19"/>
      <c r="I158" s="19"/>
      <c r="J158" s="19"/>
      <c r="K158" s="19"/>
      <c r="L158" s="19"/>
      <c r="M158" s="19"/>
      <c r="N158" s="19"/>
      <c r="O158" s="19"/>
      <c r="P158" s="19"/>
      <c r="Q158" s="19"/>
      <c r="R158" s="19"/>
      <c r="S158" s="19"/>
      <c r="T158" s="19"/>
      <c r="U158" s="19"/>
      <c r="V158" s="19"/>
      <c r="W158" s="19"/>
      <c r="X158" s="19"/>
    </row>
    <row r="159" spans="1:24" ht="12" customHeight="1">
      <c r="A159" s="19"/>
      <c r="B159" s="19"/>
      <c r="C159" s="19"/>
      <c r="D159" s="19"/>
      <c r="E159" s="19"/>
      <c r="F159" s="19"/>
      <c r="G159" s="19"/>
      <c r="H159" s="19"/>
      <c r="I159" s="19"/>
      <c r="J159" s="19"/>
      <c r="K159" s="19"/>
      <c r="L159" s="19"/>
      <c r="M159" s="19"/>
      <c r="N159" s="19"/>
      <c r="O159" s="19"/>
      <c r="P159" s="19"/>
      <c r="Q159" s="19"/>
      <c r="R159" s="19"/>
      <c r="S159" s="19"/>
      <c r="T159" s="19"/>
      <c r="U159" s="19"/>
      <c r="V159" s="19"/>
      <c r="W159" s="19"/>
      <c r="X159" s="19"/>
    </row>
    <row r="160" spans="1:24" ht="12" customHeight="1">
      <c r="A160" s="19"/>
      <c r="B160" s="19"/>
      <c r="C160" s="19"/>
      <c r="D160" s="19"/>
      <c r="E160" s="19"/>
      <c r="F160" s="19"/>
      <c r="G160" s="19"/>
      <c r="H160" s="19"/>
      <c r="I160" s="19"/>
      <c r="J160" s="19"/>
      <c r="K160" s="19"/>
      <c r="L160" s="19"/>
      <c r="M160" s="19"/>
      <c r="N160" s="19"/>
      <c r="O160" s="19"/>
      <c r="P160" s="19"/>
      <c r="Q160" s="19"/>
      <c r="R160" s="19"/>
      <c r="S160" s="19"/>
      <c r="T160" s="19"/>
      <c r="U160" s="19"/>
      <c r="V160" s="19"/>
      <c r="W160" s="19"/>
      <c r="X160" s="19"/>
    </row>
    <row r="161" spans="1:24" ht="12" customHeight="1">
      <c r="A161" s="19"/>
      <c r="B161" s="19"/>
      <c r="C161" s="19"/>
      <c r="D161" s="19"/>
      <c r="E161" s="19"/>
      <c r="F161" s="19"/>
      <c r="G161" s="19"/>
      <c r="H161" s="19"/>
      <c r="I161" s="19"/>
      <c r="J161" s="19"/>
      <c r="K161" s="19"/>
      <c r="L161" s="19"/>
      <c r="M161" s="19"/>
      <c r="N161" s="19"/>
      <c r="O161" s="19"/>
      <c r="P161" s="19"/>
      <c r="Q161" s="19"/>
      <c r="R161" s="19"/>
      <c r="S161" s="19"/>
      <c r="T161" s="19"/>
      <c r="U161" s="19"/>
      <c r="V161" s="19"/>
      <c r="W161" s="19"/>
      <c r="X161" s="19"/>
    </row>
    <row r="162" spans="1:24" ht="12" customHeight="1">
      <c r="A162" s="19"/>
      <c r="B162" s="19"/>
      <c r="C162" s="19"/>
      <c r="D162" s="19"/>
      <c r="E162" s="19"/>
      <c r="F162" s="19"/>
      <c r="G162" s="19"/>
      <c r="H162" s="19"/>
      <c r="I162" s="19"/>
      <c r="J162" s="19"/>
      <c r="K162" s="19"/>
      <c r="L162" s="19"/>
      <c r="M162" s="19"/>
      <c r="N162" s="19"/>
      <c r="O162" s="19"/>
      <c r="P162" s="19"/>
      <c r="Q162" s="19"/>
      <c r="R162" s="19"/>
      <c r="S162" s="19"/>
      <c r="T162" s="19"/>
      <c r="U162" s="19"/>
      <c r="V162" s="19"/>
      <c r="W162" s="19"/>
      <c r="X162" s="19"/>
    </row>
    <row r="163" spans="1:24" ht="12" customHeight="1">
      <c r="A163" s="19"/>
      <c r="B163" s="19"/>
      <c r="C163" s="19"/>
      <c r="D163" s="19"/>
      <c r="E163" s="19"/>
      <c r="F163" s="19"/>
      <c r="G163" s="19"/>
      <c r="H163" s="19"/>
      <c r="I163" s="19"/>
      <c r="J163" s="19"/>
      <c r="K163" s="19"/>
      <c r="L163" s="19"/>
      <c r="M163" s="19"/>
      <c r="N163" s="19"/>
      <c r="O163" s="19"/>
      <c r="P163" s="19"/>
      <c r="Q163" s="19"/>
      <c r="R163" s="19"/>
      <c r="S163" s="19"/>
      <c r="T163" s="19"/>
      <c r="U163" s="19"/>
      <c r="V163" s="19"/>
      <c r="W163" s="19"/>
      <c r="X163" s="19"/>
    </row>
    <row r="164" spans="1:24" ht="12" customHeight="1">
      <c r="A164" s="19"/>
      <c r="B164" s="19"/>
      <c r="C164" s="19"/>
      <c r="D164" s="19"/>
      <c r="E164" s="19"/>
      <c r="F164" s="19"/>
      <c r="G164" s="19"/>
      <c r="H164" s="19"/>
      <c r="I164" s="19"/>
      <c r="J164" s="19"/>
      <c r="K164" s="19"/>
      <c r="L164" s="19"/>
      <c r="M164" s="19"/>
      <c r="N164" s="19"/>
      <c r="O164" s="19"/>
      <c r="P164" s="19"/>
      <c r="Q164" s="19"/>
      <c r="R164" s="19"/>
      <c r="S164" s="19"/>
      <c r="T164" s="19"/>
      <c r="U164" s="19"/>
      <c r="V164" s="19"/>
      <c r="W164" s="19"/>
      <c r="X164" s="19"/>
    </row>
    <row r="165" spans="1:24" ht="12" customHeight="1">
      <c r="A165" s="19"/>
      <c r="B165" s="19"/>
      <c r="C165" s="19"/>
      <c r="D165" s="19"/>
      <c r="E165" s="19"/>
      <c r="F165" s="19"/>
      <c r="G165" s="19"/>
      <c r="H165" s="19"/>
      <c r="I165" s="19"/>
      <c r="J165" s="19"/>
      <c r="K165" s="19"/>
      <c r="L165" s="19"/>
      <c r="M165" s="19"/>
      <c r="N165" s="19"/>
      <c r="O165" s="19"/>
      <c r="P165" s="19"/>
      <c r="Q165" s="19"/>
      <c r="R165" s="19"/>
      <c r="S165" s="19"/>
      <c r="T165" s="19"/>
      <c r="U165" s="19"/>
      <c r="V165" s="19"/>
      <c r="W165" s="19"/>
      <c r="X165" s="19"/>
    </row>
    <row r="166" spans="1:24" ht="12" customHeight="1">
      <c r="A166" s="19"/>
      <c r="B166" s="19"/>
      <c r="C166" s="19"/>
      <c r="D166" s="19"/>
      <c r="E166" s="19"/>
      <c r="F166" s="19"/>
      <c r="G166" s="19"/>
      <c r="H166" s="19"/>
      <c r="I166" s="19"/>
      <c r="J166" s="19"/>
      <c r="K166" s="19"/>
      <c r="L166" s="19"/>
      <c r="M166" s="19"/>
      <c r="N166" s="19"/>
      <c r="O166" s="19"/>
      <c r="P166" s="19"/>
      <c r="Q166" s="19"/>
      <c r="R166" s="19"/>
      <c r="S166" s="19"/>
      <c r="T166" s="19"/>
      <c r="U166" s="19"/>
      <c r="V166" s="19"/>
      <c r="W166" s="19"/>
      <c r="X166" s="19"/>
    </row>
    <row r="167" spans="1:24" ht="12" customHeight="1">
      <c r="A167" s="19"/>
      <c r="B167" s="19"/>
      <c r="C167" s="19"/>
      <c r="D167" s="19"/>
      <c r="E167" s="19"/>
      <c r="F167" s="19"/>
      <c r="G167" s="19"/>
      <c r="H167" s="19"/>
      <c r="I167" s="19"/>
      <c r="J167" s="19"/>
      <c r="K167" s="19"/>
      <c r="L167" s="19"/>
      <c r="M167" s="19"/>
      <c r="N167" s="19"/>
      <c r="O167" s="19"/>
      <c r="P167" s="19"/>
      <c r="Q167" s="19"/>
      <c r="R167" s="19"/>
      <c r="S167" s="19"/>
      <c r="T167" s="19"/>
      <c r="U167" s="19"/>
      <c r="V167" s="19"/>
      <c r="W167" s="19"/>
      <c r="X167" s="19"/>
    </row>
    <row r="168" spans="1:24" ht="12" customHeight="1">
      <c r="A168" s="19"/>
      <c r="B168" s="19"/>
      <c r="C168" s="19"/>
      <c r="D168" s="19"/>
      <c r="E168" s="19"/>
      <c r="F168" s="19"/>
      <c r="G168" s="19"/>
      <c r="H168" s="19"/>
      <c r="I168" s="19"/>
      <c r="J168" s="19"/>
      <c r="K168" s="19"/>
      <c r="L168" s="19"/>
      <c r="M168" s="19"/>
      <c r="N168" s="19"/>
      <c r="O168" s="19"/>
      <c r="P168" s="19"/>
      <c r="Q168" s="19"/>
      <c r="R168" s="19"/>
      <c r="S168" s="19"/>
      <c r="T168" s="19"/>
      <c r="U168" s="19"/>
      <c r="V168" s="19"/>
      <c r="W168" s="19"/>
      <c r="X168" s="19"/>
    </row>
    <row r="169" spans="1:24" ht="12" customHeight="1">
      <c r="A169" s="19"/>
      <c r="B169" s="19"/>
      <c r="C169" s="19"/>
      <c r="D169" s="19"/>
      <c r="E169" s="19"/>
      <c r="F169" s="19"/>
      <c r="G169" s="19"/>
      <c r="H169" s="19"/>
      <c r="I169" s="19"/>
      <c r="J169" s="19"/>
      <c r="K169" s="19"/>
      <c r="L169" s="19"/>
      <c r="M169" s="19"/>
      <c r="N169" s="19"/>
      <c r="O169" s="19"/>
      <c r="P169" s="19"/>
      <c r="Q169" s="19"/>
      <c r="R169" s="19"/>
      <c r="S169" s="19"/>
      <c r="T169" s="19"/>
      <c r="U169" s="19"/>
      <c r="V169" s="19"/>
      <c r="W169" s="19"/>
      <c r="X169" s="19"/>
    </row>
    <row r="170" spans="1:24" ht="12" customHeight="1">
      <c r="A170" s="19"/>
      <c r="B170" s="19"/>
      <c r="C170" s="19"/>
      <c r="D170" s="19"/>
      <c r="E170" s="19"/>
      <c r="F170" s="19"/>
      <c r="G170" s="19"/>
      <c r="H170" s="19"/>
      <c r="I170" s="19"/>
      <c r="J170" s="19"/>
      <c r="K170" s="19"/>
      <c r="L170" s="19"/>
      <c r="M170" s="19"/>
      <c r="N170" s="19"/>
      <c r="O170" s="19"/>
      <c r="P170" s="19"/>
      <c r="Q170" s="19"/>
      <c r="R170" s="19"/>
      <c r="S170" s="19"/>
      <c r="T170" s="19"/>
      <c r="U170" s="19"/>
      <c r="V170" s="19"/>
      <c r="W170" s="19"/>
      <c r="X170" s="19"/>
    </row>
    <row r="171" spans="1:24" ht="12" customHeight="1">
      <c r="A171" s="19"/>
      <c r="B171" s="19"/>
      <c r="C171" s="19"/>
      <c r="D171" s="19"/>
      <c r="E171" s="19"/>
      <c r="F171" s="19"/>
      <c r="G171" s="19"/>
      <c r="H171" s="19"/>
      <c r="I171" s="19"/>
      <c r="J171" s="19"/>
      <c r="K171" s="19"/>
      <c r="L171" s="19"/>
      <c r="M171" s="19"/>
      <c r="N171" s="19"/>
      <c r="O171" s="19"/>
      <c r="P171" s="19"/>
      <c r="Q171" s="19"/>
      <c r="R171" s="19"/>
      <c r="S171" s="19"/>
      <c r="T171" s="19"/>
      <c r="U171" s="19"/>
      <c r="V171" s="19"/>
      <c r="W171" s="19"/>
      <c r="X171" s="19"/>
    </row>
    <row r="172" spans="1:24" ht="12" customHeight="1">
      <c r="A172" s="19"/>
      <c r="B172" s="19"/>
      <c r="C172" s="19"/>
      <c r="D172" s="19"/>
      <c r="E172" s="19"/>
      <c r="F172" s="19"/>
      <c r="G172" s="19"/>
      <c r="H172" s="19"/>
      <c r="I172" s="19"/>
      <c r="J172" s="19"/>
      <c r="K172" s="19"/>
      <c r="L172" s="19"/>
      <c r="M172" s="19"/>
      <c r="N172" s="19"/>
      <c r="O172" s="19"/>
      <c r="P172" s="19"/>
      <c r="Q172" s="19"/>
      <c r="R172" s="19"/>
      <c r="S172" s="19"/>
      <c r="T172" s="19"/>
      <c r="U172" s="19"/>
      <c r="V172" s="19"/>
      <c r="W172" s="19"/>
      <c r="X172" s="19"/>
    </row>
    <row r="173" spans="1:24" ht="12" customHeight="1">
      <c r="A173" s="19"/>
      <c r="B173" s="19"/>
      <c r="C173" s="19"/>
      <c r="D173" s="19"/>
      <c r="E173" s="19"/>
      <c r="F173" s="19"/>
      <c r="G173" s="19"/>
      <c r="H173" s="19"/>
      <c r="I173" s="19"/>
      <c r="J173" s="19"/>
      <c r="K173" s="19"/>
      <c r="L173" s="19"/>
      <c r="M173" s="19"/>
      <c r="N173" s="19"/>
      <c r="O173" s="19"/>
      <c r="P173" s="19"/>
      <c r="Q173" s="19"/>
      <c r="R173" s="19"/>
      <c r="S173" s="19"/>
      <c r="T173" s="19"/>
      <c r="U173" s="19"/>
      <c r="V173" s="19"/>
      <c r="W173" s="19"/>
      <c r="X173" s="19"/>
    </row>
    <row r="174" spans="1:24" ht="12" customHeight="1">
      <c r="A174" s="19"/>
      <c r="B174" s="19"/>
      <c r="C174" s="19"/>
      <c r="D174" s="19"/>
      <c r="E174" s="19"/>
      <c r="F174" s="19"/>
      <c r="G174" s="19"/>
      <c r="H174" s="19"/>
      <c r="I174" s="19"/>
      <c r="J174" s="19"/>
      <c r="K174" s="19"/>
      <c r="L174" s="19"/>
      <c r="M174" s="19"/>
      <c r="N174" s="19"/>
      <c r="O174" s="19"/>
      <c r="P174" s="19"/>
      <c r="Q174" s="19"/>
      <c r="R174" s="19"/>
      <c r="S174" s="19"/>
      <c r="T174" s="19"/>
      <c r="U174" s="19"/>
      <c r="V174" s="19"/>
      <c r="W174" s="19"/>
      <c r="X174" s="19"/>
    </row>
    <row r="175" spans="1:24" ht="12" customHeight="1">
      <c r="A175" s="19"/>
      <c r="B175" s="19"/>
      <c r="C175" s="19"/>
      <c r="D175" s="19"/>
      <c r="E175" s="19"/>
      <c r="F175" s="19"/>
      <c r="G175" s="19"/>
      <c r="H175" s="19"/>
      <c r="I175" s="19"/>
      <c r="J175" s="19"/>
      <c r="K175" s="19"/>
      <c r="L175" s="19"/>
      <c r="M175" s="19"/>
      <c r="N175" s="19"/>
      <c r="O175" s="19"/>
      <c r="P175" s="19"/>
      <c r="Q175" s="19"/>
      <c r="R175" s="19"/>
      <c r="S175" s="19"/>
      <c r="T175" s="19"/>
      <c r="U175" s="19"/>
      <c r="V175" s="19"/>
      <c r="W175" s="19"/>
      <c r="X175" s="19"/>
    </row>
    <row r="176" spans="1:24" ht="12" customHeight="1">
      <c r="A176" s="19"/>
      <c r="B176" s="19"/>
      <c r="C176" s="19"/>
      <c r="D176" s="19"/>
      <c r="E176" s="19"/>
      <c r="F176" s="19"/>
      <c r="G176" s="19"/>
      <c r="H176" s="19"/>
      <c r="I176" s="19"/>
      <c r="J176" s="19"/>
      <c r="K176" s="19"/>
      <c r="L176" s="19"/>
      <c r="M176" s="19"/>
      <c r="N176" s="19"/>
      <c r="O176" s="19"/>
      <c r="P176" s="19"/>
      <c r="Q176" s="19"/>
      <c r="R176" s="19"/>
      <c r="S176" s="19"/>
      <c r="T176" s="19"/>
      <c r="U176" s="19"/>
      <c r="V176" s="19"/>
      <c r="W176" s="19"/>
      <c r="X176" s="19"/>
    </row>
    <row r="177" spans="1:24" ht="12" customHeight="1">
      <c r="A177" s="19"/>
      <c r="B177" s="19"/>
      <c r="C177" s="19"/>
      <c r="D177" s="19"/>
      <c r="E177" s="19"/>
      <c r="F177" s="19"/>
      <c r="G177" s="19"/>
      <c r="H177" s="19"/>
      <c r="I177" s="19"/>
      <c r="J177" s="19"/>
      <c r="K177" s="19"/>
      <c r="L177" s="19"/>
      <c r="M177" s="19"/>
      <c r="N177" s="19"/>
      <c r="O177" s="19"/>
      <c r="P177" s="19"/>
      <c r="Q177" s="19"/>
      <c r="R177" s="19"/>
      <c r="S177" s="19"/>
      <c r="T177" s="19"/>
      <c r="U177" s="19"/>
      <c r="V177" s="19"/>
      <c r="W177" s="19"/>
      <c r="X177" s="19"/>
    </row>
    <row r="178" spans="1:24" ht="12" customHeight="1">
      <c r="A178" s="19"/>
      <c r="B178" s="19"/>
      <c r="C178" s="19"/>
      <c r="D178" s="19"/>
      <c r="E178" s="19"/>
      <c r="F178" s="19"/>
      <c r="G178" s="19"/>
      <c r="H178" s="19"/>
      <c r="I178" s="19"/>
      <c r="J178" s="19"/>
      <c r="K178" s="19"/>
      <c r="L178" s="19"/>
      <c r="M178" s="19"/>
      <c r="N178" s="19"/>
      <c r="O178" s="19"/>
      <c r="P178" s="19"/>
      <c r="Q178" s="19"/>
      <c r="R178" s="19"/>
      <c r="S178" s="19"/>
      <c r="T178" s="19"/>
      <c r="U178" s="19"/>
      <c r="V178" s="19"/>
      <c r="W178" s="19"/>
      <c r="X178" s="19"/>
    </row>
    <row r="179" spans="1:24" ht="12" customHeight="1">
      <c r="A179" s="19"/>
      <c r="B179" s="19"/>
      <c r="C179" s="19"/>
      <c r="D179" s="19"/>
      <c r="E179" s="19"/>
      <c r="F179" s="19"/>
      <c r="G179" s="19"/>
      <c r="H179" s="19"/>
      <c r="I179" s="19"/>
      <c r="J179" s="19"/>
      <c r="K179" s="19"/>
      <c r="L179" s="19"/>
      <c r="M179" s="19"/>
      <c r="N179" s="19"/>
      <c r="O179" s="19"/>
      <c r="P179" s="19"/>
      <c r="Q179" s="19"/>
      <c r="R179" s="19"/>
      <c r="S179" s="19"/>
      <c r="T179" s="19"/>
      <c r="U179" s="19"/>
      <c r="V179" s="19"/>
      <c r="W179" s="19"/>
      <c r="X179" s="19"/>
    </row>
    <row r="180" spans="1:24" ht="12" customHeight="1">
      <c r="A180" s="19"/>
      <c r="B180" s="19"/>
      <c r="C180" s="19"/>
      <c r="D180" s="19"/>
      <c r="E180" s="19"/>
      <c r="F180" s="19"/>
      <c r="G180" s="19"/>
      <c r="H180" s="19"/>
      <c r="I180" s="19"/>
      <c r="J180" s="19"/>
      <c r="K180" s="19"/>
      <c r="L180" s="19"/>
      <c r="M180" s="19"/>
      <c r="N180" s="19"/>
      <c r="O180" s="19"/>
      <c r="P180" s="19"/>
      <c r="Q180" s="19"/>
      <c r="R180" s="19"/>
      <c r="S180" s="19"/>
      <c r="T180" s="19"/>
      <c r="U180" s="19"/>
      <c r="V180" s="19"/>
      <c r="W180" s="19"/>
      <c r="X180" s="19"/>
    </row>
    <row r="181" spans="1:24" ht="12" customHeight="1">
      <c r="A181" s="19"/>
      <c r="B181" s="19"/>
      <c r="C181" s="19"/>
      <c r="D181" s="19"/>
      <c r="E181" s="19"/>
      <c r="F181" s="19"/>
      <c r="G181" s="19"/>
      <c r="H181" s="19"/>
      <c r="I181" s="19"/>
      <c r="J181" s="19"/>
      <c r="K181" s="19"/>
      <c r="L181" s="19"/>
      <c r="M181" s="19"/>
      <c r="N181" s="19"/>
      <c r="O181" s="19"/>
      <c r="P181" s="19"/>
      <c r="Q181" s="19"/>
      <c r="R181" s="19"/>
      <c r="S181" s="19"/>
      <c r="T181" s="19"/>
      <c r="U181" s="19"/>
      <c r="V181" s="19"/>
      <c r="W181" s="19"/>
      <c r="X181" s="19"/>
    </row>
    <row r="182" spans="1:24" ht="12" customHeight="1">
      <c r="A182" s="19"/>
      <c r="B182" s="19"/>
      <c r="C182" s="19"/>
      <c r="D182" s="19"/>
      <c r="E182" s="19"/>
      <c r="F182" s="19"/>
      <c r="G182" s="19"/>
      <c r="H182" s="19"/>
      <c r="I182" s="19"/>
      <c r="J182" s="19"/>
      <c r="K182" s="19"/>
      <c r="L182" s="19"/>
      <c r="M182" s="19"/>
      <c r="N182" s="19"/>
      <c r="O182" s="19"/>
      <c r="P182" s="19"/>
      <c r="Q182" s="19"/>
      <c r="R182" s="19"/>
      <c r="S182" s="19"/>
      <c r="T182" s="19"/>
      <c r="U182" s="19"/>
      <c r="V182" s="19"/>
      <c r="W182" s="19"/>
      <c r="X182" s="19"/>
    </row>
    <row r="183" spans="1:24" ht="12" customHeight="1">
      <c r="A183" s="19"/>
      <c r="B183" s="19"/>
      <c r="C183" s="19"/>
      <c r="D183" s="19"/>
      <c r="E183" s="19"/>
      <c r="F183" s="19"/>
      <c r="G183" s="19"/>
      <c r="H183" s="19"/>
      <c r="I183" s="19"/>
      <c r="J183" s="19"/>
      <c r="K183" s="19"/>
      <c r="L183" s="19"/>
      <c r="M183" s="19"/>
      <c r="N183" s="19"/>
      <c r="O183" s="19"/>
      <c r="P183" s="19"/>
      <c r="Q183" s="19"/>
      <c r="R183" s="19"/>
      <c r="S183" s="19"/>
      <c r="T183" s="19"/>
      <c r="U183" s="19"/>
      <c r="V183" s="19"/>
      <c r="W183" s="19"/>
      <c r="X183" s="19"/>
    </row>
    <row r="184" spans="1:24" ht="12" customHeight="1">
      <c r="A184" s="19"/>
      <c r="B184" s="19"/>
      <c r="C184" s="19"/>
      <c r="D184" s="19"/>
      <c r="E184" s="19"/>
      <c r="F184" s="19"/>
      <c r="G184" s="19"/>
      <c r="H184" s="19"/>
      <c r="I184" s="19"/>
      <c r="J184" s="19"/>
      <c r="K184" s="19"/>
      <c r="L184" s="19"/>
      <c r="M184" s="19"/>
      <c r="N184" s="19"/>
      <c r="O184" s="19"/>
      <c r="P184" s="19"/>
      <c r="Q184" s="19"/>
      <c r="R184" s="19"/>
      <c r="S184" s="19"/>
      <c r="T184" s="19"/>
      <c r="U184" s="19"/>
      <c r="V184" s="19"/>
      <c r="W184" s="19"/>
      <c r="X184" s="19"/>
    </row>
    <row r="185" spans="1:24" ht="12" customHeight="1">
      <c r="A185" s="19"/>
      <c r="B185" s="19"/>
      <c r="C185" s="19"/>
      <c r="D185" s="19"/>
      <c r="E185" s="19"/>
      <c r="F185" s="19"/>
      <c r="G185" s="19"/>
      <c r="H185" s="19"/>
      <c r="I185" s="19"/>
      <c r="J185" s="19"/>
      <c r="K185" s="19"/>
      <c r="L185" s="19"/>
      <c r="M185" s="19"/>
      <c r="N185" s="19"/>
      <c r="O185" s="19"/>
      <c r="P185" s="19"/>
      <c r="Q185" s="19"/>
      <c r="R185" s="19"/>
      <c r="S185" s="19"/>
      <c r="T185" s="19"/>
      <c r="U185" s="19"/>
      <c r="V185" s="19"/>
      <c r="W185" s="19"/>
      <c r="X185" s="19"/>
    </row>
    <row r="186" spans="1:24" ht="12" customHeight="1">
      <c r="A186" s="19"/>
      <c r="B186" s="19"/>
      <c r="C186" s="19"/>
      <c r="D186" s="19"/>
      <c r="E186" s="19"/>
      <c r="F186" s="19"/>
      <c r="G186" s="19"/>
      <c r="H186" s="19"/>
      <c r="I186" s="19"/>
      <c r="J186" s="19"/>
      <c r="K186" s="19"/>
      <c r="L186" s="19"/>
      <c r="M186" s="19"/>
      <c r="N186" s="19"/>
      <c r="O186" s="19"/>
      <c r="P186" s="19"/>
      <c r="Q186" s="19"/>
      <c r="R186" s="19"/>
      <c r="S186" s="19"/>
      <c r="T186" s="19"/>
      <c r="U186" s="19"/>
      <c r="V186" s="19"/>
      <c r="W186" s="19"/>
      <c r="X186" s="19"/>
    </row>
    <row r="187" spans="1:24" ht="12" customHeight="1">
      <c r="A187" s="19"/>
      <c r="B187" s="19"/>
      <c r="C187" s="19"/>
      <c r="D187" s="19"/>
      <c r="E187" s="19"/>
      <c r="F187" s="19"/>
      <c r="G187" s="19"/>
      <c r="H187" s="19"/>
      <c r="I187" s="19"/>
      <c r="J187" s="19"/>
      <c r="K187" s="19"/>
      <c r="L187" s="19"/>
      <c r="M187" s="19"/>
      <c r="N187" s="19"/>
      <c r="O187" s="19"/>
      <c r="P187" s="19"/>
      <c r="Q187" s="19"/>
      <c r="R187" s="19"/>
      <c r="S187" s="19"/>
      <c r="T187" s="19"/>
      <c r="U187" s="19"/>
      <c r="V187" s="19"/>
      <c r="W187" s="19"/>
      <c r="X187" s="19"/>
    </row>
    <row r="188" spans="1:24" ht="12" customHeight="1">
      <c r="A188" s="19"/>
      <c r="B188" s="19"/>
      <c r="C188" s="19"/>
      <c r="D188" s="19"/>
      <c r="E188" s="19"/>
      <c r="F188" s="19"/>
      <c r="G188" s="19"/>
      <c r="H188" s="19"/>
      <c r="I188" s="19"/>
      <c r="J188" s="19"/>
      <c r="K188" s="19"/>
      <c r="L188" s="19"/>
      <c r="M188" s="19"/>
      <c r="N188" s="19"/>
      <c r="O188" s="19"/>
      <c r="P188" s="19"/>
      <c r="Q188" s="19"/>
      <c r="R188" s="19"/>
      <c r="S188" s="19"/>
      <c r="T188" s="19"/>
      <c r="U188" s="19"/>
      <c r="V188" s="19"/>
      <c r="W188" s="19"/>
      <c r="X188" s="19"/>
    </row>
    <row r="189" spans="1:24" ht="12" customHeight="1">
      <c r="A189" s="19"/>
      <c r="B189" s="19"/>
      <c r="C189" s="19"/>
      <c r="D189" s="19"/>
      <c r="E189" s="19"/>
      <c r="F189" s="19"/>
      <c r="G189" s="19"/>
      <c r="H189" s="19"/>
      <c r="I189" s="19"/>
      <c r="J189" s="19"/>
      <c r="K189" s="19"/>
      <c r="L189" s="19"/>
      <c r="M189" s="19"/>
      <c r="N189" s="19"/>
      <c r="O189" s="19"/>
      <c r="P189" s="19"/>
      <c r="Q189" s="19"/>
      <c r="R189" s="19"/>
      <c r="S189" s="19"/>
      <c r="T189" s="19"/>
      <c r="U189" s="19"/>
      <c r="V189" s="19"/>
      <c r="W189" s="19"/>
      <c r="X189" s="19"/>
    </row>
    <row r="190" spans="1:24" ht="12" customHeight="1">
      <c r="A190" s="19"/>
      <c r="B190" s="19"/>
      <c r="C190" s="19"/>
      <c r="D190" s="19"/>
      <c r="E190" s="19"/>
      <c r="F190" s="19"/>
      <c r="G190" s="19"/>
      <c r="H190" s="19"/>
      <c r="I190" s="19"/>
      <c r="J190" s="19"/>
      <c r="K190" s="19"/>
      <c r="L190" s="19"/>
      <c r="M190" s="19"/>
      <c r="N190" s="19"/>
      <c r="O190" s="19"/>
      <c r="P190" s="19"/>
      <c r="Q190" s="19"/>
      <c r="R190" s="19"/>
      <c r="S190" s="19"/>
      <c r="T190" s="19"/>
      <c r="U190" s="19"/>
      <c r="V190" s="19"/>
      <c r="W190" s="19"/>
      <c r="X190" s="19"/>
    </row>
    <row r="191" spans="1:24" ht="12" customHeight="1">
      <c r="A191" s="19"/>
      <c r="B191" s="19"/>
      <c r="C191" s="19"/>
      <c r="D191" s="19"/>
      <c r="E191" s="19"/>
      <c r="F191" s="19"/>
      <c r="G191" s="19"/>
      <c r="H191" s="19"/>
      <c r="I191" s="19"/>
      <c r="J191" s="19"/>
      <c r="K191" s="19"/>
      <c r="L191" s="19"/>
      <c r="M191" s="19"/>
      <c r="N191" s="19"/>
      <c r="O191" s="19"/>
      <c r="P191" s="19"/>
      <c r="Q191" s="19"/>
      <c r="R191" s="19"/>
      <c r="S191" s="19"/>
      <c r="T191" s="19"/>
      <c r="U191" s="19"/>
      <c r="V191" s="19"/>
      <c r="W191" s="19"/>
      <c r="X191" s="19"/>
    </row>
    <row r="192" spans="1:24" ht="12" customHeight="1">
      <c r="A192" s="19"/>
      <c r="B192" s="19"/>
      <c r="C192" s="19"/>
      <c r="D192" s="19"/>
      <c r="E192" s="19"/>
      <c r="F192" s="19"/>
      <c r="G192" s="19"/>
      <c r="H192" s="19"/>
      <c r="I192" s="19"/>
      <c r="J192" s="19"/>
      <c r="K192" s="19"/>
      <c r="L192" s="19"/>
      <c r="M192" s="19"/>
      <c r="N192" s="19"/>
      <c r="O192" s="19"/>
      <c r="P192" s="19"/>
      <c r="Q192" s="19"/>
      <c r="R192" s="19"/>
      <c r="S192" s="19"/>
      <c r="T192" s="19"/>
      <c r="U192" s="19"/>
      <c r="V192" s="19"/>
      <c r="W192" s="19"/>
      <c r="X192" s="19"/>
    </row>
    <row r="193" spans="1:24" ht="12" customHeight="1">
      <c r="A193" s="19"/>
      <c r="B193" s="19"/>
      <c r="C193" s="19"/>
      <c r="D193" s="19"/>
      <c r="E193" s="19"/>
      <c r="F193" s="19"/>
      <c r="G193" s="19"/>
      <c r="H193" s="19"/>
      <c r="I193" s="19"/>
      <c r="J193" s="19"/>
      <c r="K193" s="19"/>
      <c r="L193" s="19"/>
      <c r="M193" s="19"/>
      <c r="N193" s="19"/>
      <c r="O193" s="19"/>
      <c r="P193" s="19"/>
      <c r="Q193" s="19"/>
      <c r="R193" s="19"/>
      <c r="S193" s="19"/>
      <c r="T193" s="19"/>
      <c r="U193" s="19"/>
      <c r="V193" s="19"/>
      <c r="W193" s="19"/>
      <c r="X193" s="19"/>
    </row>
    <row r="194" spans="1:24" ht="12" customHeight="1">
      <c r="A194" s="19"/>
      <c r="B194" s="19"/>
      <c r="C194" s="19"/>
      <c r="D194" s="19"/>
      <c r="E194" s="19"/>
      <c r="F194" s="19"/>
      <c r="G194" s="19"/>
      <c r="H194" s="19"/>
      <c r="I194" s="19"/>
      <c r="J194" s="19"/>
      <c r="K194" s="19"/>
      <c r="L194" s="19"/>
      <c r="M194" s="19"/>
      <c r="N194" s="19"/>
      <c r="O194" s="19"/>
      <c r="P194" s="19"/>
      <c r="Q194" s="19"/>
      <c r="R194" s="19"/>
      <c r="S194" s="19"/>
      <c r="T194" s="19"/>
      <c r="U194" s="19"/>
      <c r="V194" s="19"/>
      <c r="W194" s="19"/>
      <c r="X194" s="19"/>
    </row>
    <row r="195" spans="1:24" ht="12" customHeight="1">
      <c r="A195" s="19"/>
      <c r="B195" s="19"/>
      <c r="C195" s="19"/>
      <c r="D195" s="19"/>
      <c r="E195" s="19"/>
      <c r="F195" s="19"/>
      <c r="G195" s="19"/>
      <c r="H195" s="19"/>
      <c r="I195" s="19"/>
      <c r="J195" s="19"/>
      <c r="K195" s="19"/>
      <c r="L195" s="19"/>
      <c r="M195" s="19"/>
      <c r="N195" s="19"/>
      <c r="O195" s="19"/>
      <c r="P195" s="19"/>
      <c r="Q195" s="19"/>
      <c r="R195" s="19"/>
      <c r="S195" s="19"/>
      <c r="T195" s="19"/>
      <c r="U195" s="19"/>
      <c r="V195" s="19"/>
      <c r="W195" s="19"/>
      <c r="X195" s="19"/>
    </row>
    <row r="196" spans="1:24" ht="12" customHeight="1">
      <c r="A196" s="19"/>
      <c r="B196" s="19"/>
      <c r="C196" s="19"/>
      <c r="D196" s="19"/>
      <c r="E196" s="19"/>
      <c r="F196" s="19"/>
      <c r="G196" s="19"/>
      <c r="H196" s="19"/>
      <c r="I196" s="19"/>
      <c r="J196" s="19"/>
      <c r="K196" s="19"/>
      <c r="L196" s="19"/>
      <c r="M196" s="19"/>
      <c r="N196" s="19"/>
      <c r="O196" s="19"/>
      <c r="P196" s="19"/>
      <c r="Q196" s="19"/>
      <c r="R196" s="19"/>
      <c r="S196" s="19"/>
      <c r="T196" s="19"/>
      <c r="U196" s="19"/>
      <c r="V196" s="19"/>
      <c r="W196" s="19"/>
      <c r="X196" s="19"/>
    </row>
    <row r="197" spans="1:24" ht="12" customHeight="1">
      <c r="A197" s="19"/>
      <c r="B197" s="19"/>
      <c r="C197" s="19"/>
      <c r="D197" s="19"/>
      <c r="E197" s="19"/>
      <c r="F197" s="19"/>
      <c r="G197" s="19"/>
      <c r="H197" s="19"/>
      <c r="I197" s="19"/>
      <c r="J197" s="19"/>
      <c r="K197" s="19"/>
      <c r="L197" s="19"/>
      <c r="M197" s="19"/>
      <c r="N197" s="19"/>
      <c r="O197" s="19"/>
      <c r="P197" s="19"/>
      <c r="Q197" s="19"/>
      <c r="R197" s="19"/>
      <c r="S197" s="19"/>
      <c r="T197" s="19"/>
      <c r="U197" s="19"/>
      <c r="V197" s="19"/>
      <c r="W197" s="19"/>
      <c r="X197" s="19"/>
    </row>
    <row r="198" spans="1:24" ht="12" customHeight="1">
      <c r="A198" s="19"/>
      <c r="B198" s="19"/>
      <c r="C198" s="19"/>
      <c r="D198" s="19"/>
      <c r="E198" s="19"/>
      <c r="F198" s="19"/>
      <c r="G198" s="19"/>
      <c r="H198" s="19"/>
      <c r="I198" s="19"/>
      <c r="J198" s="19"/>
      <c r="K198" s="19"/>
      <c r="L198" s="19"/>
      <c r="M198" s="19"/>
      <c r="N198" s="19"/>
      <c r="O198" s="19"/>
      <c r="P198" s="19"/>
      <c r="Q198" s="19"/>
      <c r="R198" s="19"/>
      <c r="S198" s="19"/>
      <c r="T198" s="19"/>
      <c r="U198" s="19"/>
      <c r="V198" s="19"/>
      <c r="W198" s="19"/>
      <c r="X198" s="19"/>
    </row>
    <row r="199" spans="1:24" ht="12" customHeight="1">
      <c r="A199" s="19"/>
      <c r="B199" s="19"/>
      <c r="C199" s="19"/>
      <c r="D199" s="19"/>
      <c r="E199" s="19"/>
      <c r="F199" s="19"/>
      <c r="G199" s="19"/>
      <c r="H199" s="19"/>
      <c r="I199" s="19"/>
      <c r="J199" s="19"/>
      <c r="K199" s="19"/>
      <c r="L199" s="19"/>
      <c r="M199" s="19"/>
      <c r="N199" s="19"/>
      <c r="O199" s="19"/>
      <c r="P199" s="19"/>
      <c r="Q199" s="19"/>
      <c r="R199" s="19"/>
      <c r="S199" s="19"/>
      <c r="T199" s="19"/>
      <c r="U199" s="19"/>
      <c r="V199" s="19"/>
      <c r="W199" s="19"/>
      <c r="X199" s="19"/>
    </row>
    <row r="200" spans="1:24" ht="12" customHeight="1">
      <c r="A200" s="19"/>
      <c r="B200" s="19"/>
      <c r="C200" s="19"/>
      <c r="D200" s="19"/>
      <c r="E200" s="19"/>
      <c r="F200" s="19"/>
      <c r="G200" s="19"/>
      <c r="H200" s="19"/>
      <c r="I200" s="19"/>
      <c r="J200" s="19"/>
      <c r="K200" s="19"/>
      <c r="L200" s="19"/>
      <c r="M200" s="19"/>
      <c r="N200" s="19"/>
      <c r="O200" s="19"/>
      <c r="P200" s="19"/>
      <c r="Q200" s="19"/>
      <c r="R200" s="19"/>
      <c r="S200" s="19"/>
      <c r="T200" s="19"/>
      <c r="U200" s="19"/>
      <c r="V200" s="19"/>
      <c r="W200" s="19"/>
      <c r="X200" s="19"/>
    </row>
    <row r="201" spans="1:24" ht="12" customHeight="1">
      <c r="A201" s="19"/>
      <c r="B201" s="19"/>
      <c r="C201" s="19"/>
      <c r="D201" s="19"/>
      <c r="E201" s="19"/>
      <c r="F201" s="19"/>
      <c r="G201" s="19"/>
      <c r="H201" s="19"/>
      <c r="I201" s="19"/>
      <c r="J201" s="19"/>
      <c r="K201" s="19"/>
      <c r="L201" s="19"/>
      <c r="M201" s="19"/>
      <c r="N201" s="19"/>
      <c r="O201" s="19"/>
      <c r="P201" s="19"/>
      <c r="Q201" s="19"/>
      <c r="R201" s="19"/>
      <c r="S201" s="19"/>
      <c r="T201" s="19"/>
      <c r="U201" s="19"/>
      <c r="V201" s="19"/>
      <c r="W201" s="19"/>
      <c r="X201" s="19"/>
    </row>
    <row r="202" spans="1:24" ht="12" customHeight="1">
      <c r="A202" s="19"/>
      <c r="B202" s="19"/>
      <c r="C202" s="19"/>
      <c r="D202" s="19"/>
      <c r="E202" s="19"/>
      <c r="F202" s="19"/>
      <c r="G202" s="19"/>
      <c r="H202" s="19"/>
      <c r="I202" s="19"/>
      <c r="J202" s="19"/>
      <c r="K202" s="19"/>
      <c r="L202" s="19"/>
      <c r="M202" s="19"/>
      <c r="N202" s="19"/>
      <c r="O202" s="19"/>
      <c r="P202" s="19"/>
      <c r="Q202" s="19"/>
      <c r="R202" s="19"/>
      <c r="S202" s="19"/>
      <c r="T202" s="19"/>
      <c r="U202" s="19"/>
      <c r="V202" s="19"/>
      <c r="W202" s="19"/>
      <c r="X202" s="19"/>
    </row>
    <row r="203" spans="1:24" ht="12" customHeight="1">
      <c r="A203" s="19"/>
      <c r="B203" s="19"/>
      <c r="C203" s="19"/>
      <c r="D203" s="19"/>
      <c r="E203" s="19"/>
      <c r="F203" s="19"/>
      <c r="G203" s="19"/>
      <c r="H203" s="19"/>
      <c r="I203" s="19"/>
      <c r="J203" s="19"/>
      <c r="K203" s="19"/>
      <c r="L203" s="19"/>
      <c r="M203" s="19"/>
      <c r="N203" s="19"/>
      <c r="O203" s="19"/>
      <c r="P203" s="19"/>
      <c r="Q203" s="19"/>
      <c r="R203" s="19"/>
      <c r="S203" s="19"/>
      <c r="T203" s="19"/>
      <c r="U203" s="19"/>
      <c r="V203" s="19"/>
      <c r="W203" s="19"/>
      <c r="X203" s="19"/>
    </row>
    <row r="204" spans="1:24" ht="12" customHeight="1">
      <c r="A204" s="19"/>
      <c r="B204" s="19"/>
      <c r="C204" s="19"/>
      <c r="D204" s="19"/>
      <c r="E204" s="19"/>
      <c r="F204" s="19"/>
      <c r="G204" s="19"/>
      <c r="H204" s="19"/>
      <c r="I204" s="19"/>
      <c r="J204" s="19"/>
      <c r="K204" s="19"/>
      <c r="L204" s="19"/>
      <c r="M204" s="19"/>
      <c r="N204" s="19"/>
      <c r="O204" s="19"/>
      <c r="P204" s="19"/>
      <c r="Q204" s="19"/>
      <c r="R204" s="19"/>
      <c r="S204" s="19"/>
      <c r="T204" s="19"/>
      <c r="U204" s="19"/>
      <c r="V204" s="19"/>
      <c r="W204" s="19"/>
      <c r="X204" s="19"/>
    </row>
    <row r="205" spans="1:24" ht="12" customHeight="1">
      <c r="A205" s="19"/>
      <c r="B205" s="19"/>
      <c r="C205" s="19"/>
      <c r="D205" s="19"/>
      <c r="E205" s="19"/>
      <c r="F205" s="19"/>
      <c r="G205" s="19"/>
      <c r="H205" s="19"/>
      <c r="I205" s="19"/>
      <c r="J205" s="19"/>
      <c r="K205" s="19"/>
      <c r="L205" s="19"/>
      <c r="M205" s="19"/>
      <c r="N205" s="19"/>
      <c r="O205" s="19"/>
      <c r="P205" s="19"/>
      <c r="Q205" s="19"/>
      <c r="R205" s="19"/>
      <c r="S205" s="19"/>
      <c r="T205" s="19"/>
      <c r="U205" s="19"/>
      <c r="V205" s="19"/>
      <c r="W205" s="19"/>
      <c r="X205" s="19"/>
    </row>
    <row r="206" spans="1:24" ht="12" customHeight="1">
      <c r="A206" s="19"/>
      <c r="B206" s="19"/>
      <c r="C206" s="19"/>
      <c r="D206" s="19"/>
      <c r="E206" s="19"/>
      <c r="F206" s="19"/>
      <c r="G206" s="19"/>
      <c r="H206" s="19"/>
      <c r="I206" s="19"/>
      <c r="J206" s="19"/>
      <c r="K206" s="19"/>
      <c r="L206" s="19"/>
      <c r="M206" s="19"/>
      <c r="N206" s="19"/>
      <c r="O206" s="19"/>
      <c r="P206" s="19"/>
      <c r="Q206" s="19"/>
      <c r="R206" s="19"/>
      <c r="S206" s="19"/>
      <c r="T206" s="19"/>
      <c r="U206" s="19"/>
      <c r="V206" s="19"/>
      <c r="W206" s="19"/>
      <c r="X206" s="19"/>
    </row>
    <row r="207" spans="1:24" ht="12" customHeight="1">
      <c r="A207" s="19"/>
      <c r="B207" s="19"/>
      <c r="C207" s="19"/>
      <c r="D207" s="19"/>
      <c r="E207" s="19"/>
      <c r="F207" s="19"/>
      <c r="G207" s="19"/>
      <c r="H207" s="19"/>
      <c r="I207" s="19"/>
      <c r="J207" s="19"/>
      <c r="K207" s="19"/>
      <c r="L207" s="19"/>
      <c r="M207" s="19"/>
      <c r="N207" s="19"/>
      <c r="O207" s="19"/>
      <c r="P207" s="19"/>
      <c r="Q207" s="19"/>
      <c r="R207" s="19"/>
      <c r="S207" s="19"/>
      <c r="T207" s="19"/>
      <c r="U207" s="19"/>
      <c r="V207" s="19"/>
      <c r="W207" s="19"/>
      <c r="X207" s="19"/>
    </row>
    <row r="208" spans="1:24" ht="12" customHeight="1">
      <c r="A208" s="19"/>
      <c r="B208" s="19"/>
      <c r="C208" s="19"/>
      <c r="D208" s="19"/>
      <c r="E208" s="19"/>
      <c r="F208" s="19"/>
      <c r="G208" s="19"/>
      <c r="H208" s="19"/>
      <c r="I208" s="19"/>
      <c r="J208" s="19"/>
      <c r="K208" s="19"/>
      <c r="L208" s="19"/>
      <c r="M208" s="19"/>
      <c r="N208" s="19"/>
      <c r="O208" s="19"/>
      <c r="P208" s="19"/>
      <c r="Q208" s="19"/>
      <c r="R208" s="19"/>
      <c r="S208" s="19"/>
      <c r="T208" s="19"/>
      <c r="U208" s="19"/>
      <c r="V208" s="19"/>
      <c r="W208" s="19"/>
      <c r="X208" s="19"/>
    </row>
    <row r="209" spans="1:24" ht="12" customHeight="1">
      <c r="A209" s="19"/>
      <c r="B209" s="19"/>
      <c r="C209" s="19"/>
      <c r="D209" s="19"/>
      <c r="E209" s="19"/>
      <c r="F209" s="19"/>
      <c r="G209" s="19"/>
      <c r="H209" s="19"/>
      <c r="I209" s="19"/>
      <c r="J209" s="19"/>
      <c r="K209" s="19"/>
      <c r="L209" s="19"/>
      <c r="M209" s="19"/>
      <c r="N209" s="19"/>
      <c r="O209" s="19"/>
      <c r="P209" s="19"/>
      <c r="Q209" s="19"/>
      <c r="R209" s="19"/>
      <c r="S209" s="19"/>
      <c r="T209" s="19"/>
      <c r="U209" s="19"/>
      <c r="V209" s="19"/>
      <c r="W209" s="19"/>
      <c r="X209" s="19"/>
    </row>
    <row r="210" spans="1:24" ht="12" customHeight="1">
      <c r="A210" s="19"/>
      <c r="B210" s="19"/>
      <c r="C210" s="19"/>
      <c r="D210" s="19"/>
      <c r="E210" s="19"/>
      <c r="F210" s="19"/>
      <c r="G210" s="19"/>
      <c r="H210" s="19"/>
      <c r="I210" s="19"/>
      <c r="J210" s="19"/>
      <c r="K210" s="19"/>
      <c r="L210" s="19"/>
      <c r="M210" s="19"/>
      <c r="N210" s="19"/>
      <c r="O210" s="19"/>
      <c r="P210" s="19"/>
      <c r="Q210" s="19"/>
      <c r="R210" s="19"/>
      <c r="S210" s="19"/>
      <c r="T210" s="19"/>
      <c r="U210" s="19"/>
      <c r="V210" s="19"/>
      <c r="W210" s="19"/>
      <c r="X210" s="19"/>
    </row>
    <row r="211" spans="1:24" ht="12" customHeight="1">
      <c r="A211" s="19"/>
      <c r="B211" s="19"/>
      <c r="C211" s="19"/>
      <c r="D211" s="19"/>
      <c r="E211" s="19"/>
      <c r="F211" s="19"/>
      <c r="G211" s="19"/>
      <c r="H211" s="19"/>
      <c r="I211" s="19"/>
      <c r="J211" s="19"/>
      <c r="K211" s="19"/>
      <c r="L211" s="19"/>
      <c r="M211" s="19"/>
      <c r="N211" s="19"/>
      <c r="O211" s="19"/>
      <c r="P211" s="19"/>
      <c r="Q211" s="19"/>
      <c r="R211" s="19"/>
      <c r="S211" s="19"/>
      <c r="T211" s="19"/>
      <c r="U211" s="19"/>
      <c r="V211" s="19"/>
      <c r="W211" s="19"/>
      <c r="X211" s="19"/>
    </row>
    <row r="212" spans="1:24" ht="12" customHeight="1">
      <c r="A212" s="19"/>
      <c r="B212" s="19"/>
      <c r="C212" s="19"/>
      <c r="D212" s="19"/>
      <c r="E212" s="19"/>
      <c r="F212" s="19"/>
      <c r="G212" s="19"/>
      <c r="H212" s="19"/>
      <c r="I212" s="19"/>
      <c r="J212" s="19"/>
      <c r="K212" s="19"/>
      <c r="L212" s="19"/>
      <c r="M212" s="19"/>
      <c r="N212" s="19"/>
      <c r="O212" s="19"/>
      <c r="P212" s="19"/>
      <c r="Q212" s="19"/>
      <c r="R212" s="19"/>
      <c r="S212" s="19"/>
      <c r="T212" s="19"/>
      <c r="U212" s="19"/>
      <c r="V212" s="19"/>
      <c r="W212" s="19"/>
      <c r="X212" s="19"/>
    </row>
    <row r="213" spans="1:24" ht="12" customHeight="1">
      <c r="A213" s="19"/>
      <c r="B213" s="19"/>
      <c r="C213" s="19"/>
      <c r="D213" s="19"/>
      <c r="E213" s="19"/>
      <c r="F213" s="19"/>
      <c r="G213" s="19"/>
      <c r="H213" s="19"/>
      <c r="I213" s="19"/>
      <c r="J213" s="19"/>
      <c r="K213" s="19"/>
      <c r="L213" s="19"/>
      <c r="M213" s="19"/>
      <c r="N213" s="19"/>
      <c r="O213" s="19"/>
      <c r="P213" s="19"/>
      <c r="Q213" s="19"/>
      <c r="R213" s="19"/>
      <c r="S213" s="19"/>
      <c r="T213" s="19"/>
      <c r="U213" s="19"/>
      <c r="V213" s="19"/>
      <c r="W213" s="19"/>
      <c r="X213" s="19"/>
    </row>
    <row r="214" spans="1:24" ht="12" customHeight="1">
      <c r="A214" s="19"/>
      <c r="B214" s="19"/>
      <c r="C214" s="19"/>
      <c r="D214" s="19"/>
      <c r="E214" s="19"/>
      <c r="F214" s="19"/>
      <c r="G214" s="19"/>
      <c r="H214" s="19"/>
      <c r="I214" s="19"/>
      <c r="J214" s="19"/>
      <c r="K214" s="19"/>
      <c r="L214" s="19"/>
      <c r="M214" s="19"/>
      <c r="N214" s="19"/>
      <c r="O214" s="19"/>
      <c r="P214" s="19"/>
      <c r="Q214" s="19"/>
      <c r="R214" s="19"/>
      <c r="S214" s="19"/>
      <c r="T214" s="19"/>
      <c r="U214" s="19"/>
      <c r="V214" s="19"/>
      <c r="W214" s="19"/>
      <c r="X214" s="19"/>
    </row>
    <row r="215" spans="1:24" ht="12" customHeight="1">
      <c r="A215" s="19"/>
      <c r="B215" s="19"/>
      <c r="C215" s="19"/>
      <c r="D215" s="19"/>
      <c r="E215" s="19"/>
      <c r="F215" s="19"/>
      <c r="G215" s="19"/>
      <c r="H215" s="19"/>
      <c r="I215" s="19"/>
      <c r="J215" s="19"/>
      <c r="K215" s="19"/>
      <c r="L215" s="19"/>
      <c r="M215" s="19"/>
      <c r="N215" s="19"/>
      <c r="O215" s="19"/>
      <c r="P215" s="19"/>
      <c r="Q215" s="19"/>
      <c r="R215" s="19"/>
      <c r="S215" s="19"/>
      <c r="T215" s="19"/>
      <c r="U215" s="19"/>
      <c r="V215" s="19"/>
      <c r="W215" s="19"/>
      <c r="X215" s="19"/>
    </row>
    <row r="216" spans="1:24" ht="12" customHeight="1">
      <c r="A216" s="19"/>
      <c r="B216" s="19"/>
      <c r="C216" s="19"/>
      <c r="D216" s="19"/>
      <c r="E216" s="19"/>
      <c r="F216" s="19"/>
      <c r="G216" s="19"/>
      <c r="H216" s="19"/>
      <c r="I216" s="19"/>
      <c r="J216" s="19"/>
      <c r="K216" s="19"/>
      <c r="L216" s="19"/>
      <c r="M216" s="19"/>
      <c r="N216" s="19"/>
      <c r="O216" s="19"/>
      <c r="P216" s="19"/>
      <c r="Q216" s="19"/>
      <c r="R216" s="19"/>
      <c r="S216" s="19"/>
      <c r="T216" s="19"/>
      <c r="U216" s="19"/>
      <c r="V216" s="19"/>
      <c r="W216" s="19"/>
      <c r="X216" s="19"/>
    </row>
    <row r="217" spans="1:24" ht="12" customHeight="1">
      <c r="A217" s="19"/>
      <c r="B217" s="19"/>
      <c r="C217" s="19"/>
      <c r="D217" s="19"/>
      <c r="E217" s="19"/>
      <c r="F217" s="19"/>
      <c r="G217" s="19"/>
      <c r="H217" s="19"/>
      <c r="I217" s="19"/>
      <c r="J217" s="19"/>
      <c r="K217" s="19"/>
      <c r="L217" s="19"/>
      <c r="M217" s="19"/>
      <c r="N217" s="19"/>
      <c r="O217" s="19"/>
      <c r="P217" s="19"/>
      <c r="Q217" s="19"/>
      <c r="R217" s="19"/>
      <c r="S217" s="19"/>
      <c r="T217" s="19"/>
      <c r="U217" s="19"/>
      <c r="V217" s="19"/>
      <c r="W217" s="19"/>
      <c r="X217" s="19"/>
    </row>
    <row r="218" spans="1:24" ht="12" customHeight="1">
      <c r="A218" s="19"/>
      <c r="B218" s="19"/>
      <c r="C218" s="19"/>
      <c r="D218" s="19"/>
      <c r="E218" s="19"/>
      <c r="F218" s="19"/>
      <c r="G218" s="19"/>
      <c r="H218" s="19"/>
      <c r="I218" s="19"/>
      <c r="J218" s="19"/>
      <c r="K218" s="19"/>
      <c r="L218" s="19"/>
      <c r="M218" s="19"/>
      <c r="N218" s="19"/>
      <c r="O218" s="19"/>
      <c r="P218" s="19"/>
      <c r="Q218" s="19"/>
      <c r="R218" s="19"/>
      <c r="S218" s="19"/>
      <c r="T218" s="19"/>
      <c r="U218" s="19"/>
      <c r="V218" s="19"/>
      <c r="W218" s="19"/>
      <c r="X218" s="19"/>
    </row>
    <row r="219" spans="1:24" ht="12" customHeight="1">
      <c r="A219" s="19"/>
      <c r="B219" s="19"/>
      <c r="C219" s="19"/>
      <c r="D219" s="19"/>
      <c r="E219" s="19"/>
      <c r="F219" s="19"/>
      <c r="G219" s="19"/>
      <c r="H219" s="19"/>
      <c r="I219" s="19"/>
      <c r="J219" s="19"/>
      <c r="K219" s="19"/>
      <c r="L219" s="19"/>
      <c r="M219" s="19"/>
      <c r="N219" s="19"/>
      <c r="O219" s="19"/>
      <c r="P219" s="19"/>
      <c r="Q219" s="19"/>
      <c r="R219" s="19"/>
      <c r="S219" s="19"/>
      <c r="T219" s="19"/>
      <c r="U219" s="19"/>
      <c r="V219" s="19"/>
      <c r="W219" s="19"/>
      <c r="X219" s="19"/>
    </row>
    <row r="220" spans="1:24" ht="12" customHeight="1">
      <c r="A220" s="19"/>
      <c r="B220" s="19"/>
      <c r="C220" s="19"/>
      <c r="D220" s="19"/>
      <c r="E220" s="19"/>
      <c r="F220" s="19"/>
      <c r="G220" s="19"/>
      <c r="H220" s="19"/>
      <c r="I220" s="19"/>
      <c r="J220" s="19"/>
      <c r="K220" s="19"/>
      <c r="L220" s="19"/>
      <c r="M220" s="19"/>
      <c r="N220" s="19"/>
      <c r="O220" s="19"/>
      <c r="P220" s="19"/>
      <c r="Q220" s="19"/>
      <c r="R220" s="19"/>
      <c r="S220" s="19"/>
      <c r="T220" s="19"/>
      <c r="U220" s="19"/>
      <c r="V220" s="19"/>
      <c r="W220" s="19"/>
      <c r="X220" s="19"/>
    </row>
    <row r="221" spans="1:24" ht="12" customHeight="1">
      <c r="A221" s="19"/>
      <c r="B221" s="19"/>
      <c r="C221" s="19"/>
      <c r="D221" s="19"/>
      <c r="E221" s="19"/>
      <c r="F221" s="19"/>
      <c r="G221" s="19"/>
      <c r="H221" s="19"/>
      <c r="I221" s="19"/>
      <c r="J221" s="19"/>
      <c r="K221" s="19"/>
      <c r="L221" s="19"/>
      <c r="M221" s="19"/>
      <c r="N221" s="19"/>
      <c r="O221" s="19"/>
      <c r="P221" s="19"/>
      <c r="Q221" s="19"/>
      <c r="R221" s="19"/>
      <c r="S221" s="19"/>
      <c r="T221" s="19"/>
      <c r="U221" s="19"/>
      <c r="V221" s="19"/>
      <c r="W221" s="19"/>
      <c r="X221" s="19"/>
    </row>
    <row r="222" spans="1:24" ht="12" customHeight="1">
      <c r="A222" s="19"/>
      <c r="B222" s="19"/>
      <c r="C222" s="19"/>
      <c r="D222" s="19"/>
      <c r="E222" s="19"/>
      <c r="F222" s="19"/>
      <c r="G222" s="19"/>
      <c r="H222" s="19"/>
      <c r="I222" s="19"/>
      <c r="J222" s="19"/>
      <c r="K222" s="19"/>
      <c r="L222" s="19"/>
      <c r="M222" s="19"/>
      <c r="N222" s="19"/>
      <c r="O222" s="19"/>
      <c r="P222" s="19"/>
      <c r="Q222" s="19"/>
      <c r="R222" s="19"/>
      <c r="S222" s="19"/>
      <c r="T222" s="19"/>
      <c r="U222" s="19"/>
      <c r="V222" s="19"/>
      <c r="W222" s="19"/>
      <c r="X222" s="19"/>
    </row>
    <row r="223" spans="1:24" ht="12" customHeight="1">
      <c r="A223" s="19"/>
      <c r="B223" s="19"/>
      <c r="C223" s="19"/>
      <c r="D223" s="19"/>
      <c r="E223" s="19"/>
      <c r="F223" s="19"/>
      <c r="G223" s="19"/>
      <c r="H223" s="19"/>
      <c r="I223" s="19"/>
      <c r="J223" s="19"/>
      <c r="K223" s="19"/>
      <c r="L223" s="19"/>
      <c r="M223" s="19"/>
      <c r="N223" s="19"/>
      <c r="O223" s="19"/>
      <c r="P223" s="19"/>
      <c r="Q223" s="19"/>
      <c r="R223" s="19"/>
      <c r="S223" s="19"/>
      <c r="T223" s="19"/>
      <c r="U223" s="19"/>
      <c r="V223" s="19"/>
      <c r="W223" s="19"/>
      <c r="X223" s="19"/>
    </row>
    <row r="224" spans="1:24" ht="12" customHeight="1">
      <c r="A224" s="19"/>
      <c r="B224" s="19"/>
      <c r="C224" s="19"/>
      <c r="D224" s="19"/>
      <c r="E224" s="19"/>
      <c r="F224" s="19"/>
      <c r="G224" s="19"/>
      <c r="H224" s="19"/>
      <c r="I224" s="19"/>
      <c r="J224" s="19"/>
      <c r="K224" s="19"/>
      <c r="L224" s="19"/>
      <c r="M224" s="19"/>
      <c r="N224" s="19"/>
      <c r="O224" s="19"/>
      <c r="P224" s="19"/>
      <c r="Q224" s="19"/>
      <c r="R224" s="19"/>
      <c r="S224" s="19"/>
      <c r="T224" s="19"/>
      <c r="U224" s="19"/>
      <c r="V224" s="19"/>
      <c r="W224" s="19"/>
      <c r="X224" s="19"/>
    </row>
    <row r="225" spans="1:24" ht="12" customHeight="1">
      <c r="A225" s="19"/>
      <c r="B225" s="19"/>
      <c r="C225" s="19"/>
      <c r="D225" s="19"/>
      <c r="E225" s="19"/>
      <c r="F225" s="19"/>
      <c r="G225" s="19"/>
      <c r="H225" s="19"/>
      <c r="I225" s="19"/>
      <c r="J225" s="19"/>
      <c r="K225" s="19"/>
      <c r="L225" s="19"/>
      <c r="M225" s="19"/>
      <c r="N225" s="19"/>
      <c r="O225" s="19"/>
      <c r="P225" s="19"/>
      <c r="Q225" s="19"/>
      <c r="R225" s="19"/>
      <c r="S225" s="19"/>
      <c r="T225" s="19"/>
      <c r="U225" s="19"/>
      <c r="V225" s="19"/>
      <c r="W225" s="19"/>
      <c r="X225" s="19"/>
    </row>
    <row r="226" spans="1:24" ht="12" customHeight="1">
      <c r="A226" s="19"/>
      <c r="B226" s="19"/>
      <c r="C226" s="19"/>
      <c r="D226" s="19"/>
      <c r="E226" s="19"/>
      <c r="F226" s="19"/>
      <c r="G226" s="19"/>
      <c r="H226" s="19"/>
      <c r="I226" s="19"/>
      <c r="J226" s="19"/>
      <c r="K226" s="19"/>
      <c r="L226" s="19"/>
      <c r="M226" s="19"/>
      <c r="N226" s="19"/>
      <c r="O226" s="19"/>
      <c r="P226" s="19"/>
      <c r="Q226" s="19"/>
      <c r="R226" s="19"/>
      <c r="S226" s="19"/>
      <c r="T226" s="19"/>
      <c r="U226" s="19"/>
      <c r="V226" s="19"/>
      <c r="W226" s="19"/>
      <c r="X226" s="19"/>
    </row>
    <row r="227" spans="1:24" ht="12" customHeight="1">
      <c r="A227" s="19"/>
      <c r="B227" s="19"/>
      <c r="C227" s="19"/>
      <c r="D227" s="19"/>
      <c r="E227" s="19"/>
      <c r="F227" s="19"/>
      <c r="G227" s="19"/>
      <c r="H227" s="19"/>
      <c r="I227" s="19"/>
      <c r="J227" s="19"/>
      <c r="K227" s="19"/>
      <c r="L227" s="19"/>
      <c r="M227" s="19"/>
      <c r="N227" s="19"/>
      <c r="O227" s="19"/>
      <c r="P227" s="19"/>
      <c r="Q227" s="19"/>
      <c r="R227" s="19"/>
      <c r="S227" s="19"/>
      <c r="T227" s="19"/>
      <c r="U227" s="19"/>
      <c r="V227" s="19"/>
      <c r="W227" s="19"/>
      <c r="X227" s="19"/>
    </row>
    <row r="228" spans="1:24" ht="12" customHeight="1">
      <c r="A228" s="19"/>
      <c r="B228" s="19"/>
      <c r="C228" s="19"/>
      <c r="D228" s="19"/>
      <c r="E228" s="19"/>
      <c r="F228" s="19"/>
      <c r="G228" s="19"/>
      <c r="H228" s="19"/>
      <c r="I228" s="19"/>
      <c r="J228" s="19"/>
      <c r="K228" s="19"/>
      <c r="L228" s="19"/>
      <c r="M228" s="19"/>
      <c r="N228" s="19"/>
      <c r="O228" s="19"/>
      <c r="P228" s="19"/>
      <c r="Q228" s="19"/>
      <c r="R228" s="19"/>
      <c r="S228" s="19"/>
      <c r="T228" s="19"/>
      <c r="U228" s="19"/>
      <c r="V228" s="19"/>
      <c r="W228" s="19"/>
      <c r="X228" s="19"/>
    </row>
    <row r="229" spans="1:24" ht="12" customHeight="1">
      <c r="A229" s="19"/>
      <c r="B229" s="19"/>
      <c r="C229" s="19"/>
      <c r="D229" s="19"/>
      <c r="E229" s="19"/>
      <c r="F229" s="19"/>
      <c r="G229" s="19"/>
      <c r="H229" s="19"/>
      <c r="I229" s="19"/>
      <c r="J229" s="19"/>
      <c r="K229" s="19"/>
      <c r="L229" s="19"/>
      <c r="M229" s="19"/>
      <c r="N229" s="19"/>
      <c r="O229" s="19"/>
      <c r="P229" s="19"/>
      <c r="Q229" s="19"/>
      <c r="R229" s="19"/>
      <c r="S229" s="19"/>
      <c r="T229" s="19"/>
      <c r="U229" s="19"/>
      <c r="V229" s="19"/>
      <c r="W229" s="19"/>
      <c r="X229" s="19"/>
    </row>
    <row r="230" spans="1:24" ht="12" customHeight="1">
      <c r="A230" s="19"/>
      <c r="B230" s="19"/>
      <c r="C230" s="19"/>
      <c r="D230" s="19"/>
      <c r="E230" s="19"/>
      <c r="F230" s="19"/>
      <c r="G230" s="19"/>
      <c r="H230" s="19"/>
      <c r="I230" s="19"/>
      <c r="J230" s="19"/>
      <c r="K230" s="19"/>
      <c r="L230" s="19"/>
      <c r="M230" s="19"/>
      <c r="N230" s="19"/>
      <c r="O230" s="19"/>
      <c r="P230" s="19"/>
      <c r="Q230" s="19"/>
      <c r="R230" s="19"/>
      <c r="S230" s="19"/>
      <c r="T230" s="19"/>
      <c r="U230" s="19"/>
      <c r="V230" s="19"/>
      <c r="W230" s="19"/>
      <c r="X230" s="19"/>
    </row>
    <row r="231" spans="1:24" ht="12" customHeight="1">
      <c r="A231" s="19"/>
      <c r="B231" s="19"/>
      <c r="C231" s="19"/>
      <c r="D231" s="19"/>
      <c r="E231" s="19"/>
      <c r="F231" s="19"/>
      <c r="G231" s="19"/>
      <c r="H231" s="19"/>
      <c r="I231" s="19"/>
      <c r="J231" s="19"/>
      <c r="K231" s="19"/>
      <c r="L231" s="19"/>
      <c r="M231" s="19"/>
      <c r="N231" s="19"/>
      <c r="O231" s="19"/>
      <c r="P231" s="19"/>
      <c r="Q231" s="19"/>
      <c r="R231" s="19"/>
      <c r="S231" s="19"/>
      <c r="T231" s="19"/>
      <c r="U231" s="19"/>
      <c r="V231" s="19"/>
      <c r="W231" s="19"/>
      <c r="X231" s="19"/>
    </row>
    <row r="232" spans="1:24" ht="12" customHeight="1">
      <c r="A232" s="19"/>
      <c r="B232" s="19"/>
      <c r="C232" s="19"/>
      <c r="D232" s="19"/>
      <c r="E232" s="19"/>
      <c r="F232" s="19"/>
      <c r="G232" s="19"/>
      <c r="H232" s="19"/>
      <c r="I232" s="19"/>
      <c r="J232" s="19"/>
      <c r="K232" s="19"/>
      <c r="L232" s="19"/>
      <c r="M232" s="19"/>
      <c r="N232" s="19"/>
      <c r="O232" s="19"/>
      <c r="P232" s="19"/>
      <c r="Q232" s="19"/>
      <c r="R232" s="19"/>
      <c r="S232" s="19"/>
      <c r="T232" s="19"/>
      <c r="U232" s="19"/>
      <c r="V232" s="19"/>
      <c r="W232" s="19"/>
      <c r="X232" s="19"/>
    </row>
    <row r="233" spans="1:24" ht="12" customHeight="1">
      <c r="A233" s="19"/>
      <c r="B233" s="19"/>
      <c r="C233" s="19"/>
      <c r="D233" s="19"/>
      <c r="E233" s="19"/>
      <c r="F233" s="19"/>
      <c r="G233" s="19"/>
      <c r="H233" s="19"/>
      <c r="I233" s="19"/>
      <c r="J233" s="19"/>
      <c r="K233" s="19"/>
      <c r="L233" s="19"/>
      <c r="M233" s="19"/>
      <c r="N233" s="19"/>
      <c r="O233" s="19"/>
      <c r="P233" s="19"/>
      <c r="Q233" s="19"/>
      <c r="R233" s="19"/>
      <c r="S233" s="19"/>
      <c r="T233" s="19"/>
      <c r="U233" s="19"/>
      <c r="V233" s="19"/>
      <c r="W233" s="19"/>
      <c r="X233" s="19"/>
    </row>
    <row r="234" spans="1:24" ht="12" customHeight="1">
      <c r="A234" s="19"/>
      <c r="B234" s="19"/>
      <c r="C234" s="19"/>
      <c r="D234" s="19"/>
      <c r="E234" s="19"/>
      <c r="F234" s="19"/>
      <c r="G234" s="19"/>
      <c r="H234" s="19"/>
      <c r="I234" s="19"/>
      <c r="J234" s="19"/>
      <c r="K234" s="19"/>
      <c r="L234" s="19"/>
      <c r="M234" s="19"/>
      <c r="N234" s="19"/>
      <c r="O234" s="19"/>
      <c r="P234" s="19"/>
      <c r="Q234" s="19"/>
      <c r="R234" s="19"/>
      <c r="S234" s="19"/>
      <c r="T234" s="19"/>
      <c r="U234" s="19"/>
      <c r="V234" s="19"/>
      <c r="W234" s="19"/>
      <c r="X234" s="19"/>
    </row>
    <row r="235" spans="1:24" ht="12" customHeight="1">
      <c r="A235" s="19"/>
      <c r="B235" s="19"/>
      <c r="C235" s="19"/>
      <c r="D235" s="19"/>
      <c r="E235" s="19"/>
      <c r="F235" s="19"/>
      <c r="G235" s="19"/>
      <c r="H235" s="19"/>
      <c r="I235" s="19"/>
      <c r="J235" s="19"/>
      <c r="K235" s="19"/>
      <c r="L235" s="19"/>
      <c r="M235" s="19"/>
      <c r="N235" s="19"/>
      <c r="O235" s="19"/>
      <c r="P235" s="19"/>
      <c r="Q235" s="19"/>
      <c r="R235" s="19"/>
      <c r="S235" s="19"/>
      <c r="T235" s="19"/>
      <c r="U235" s="19"/>
      <c r="V235" s="19"/>
      <c r="W235" s="19"/>
      <c r="X235" s="19"/>
    </row>
    <row r="236" spans="1:24" ht="12" customHeight="1">
      <c r="A236" s="19"/>
      <c r="B236" s="19"/>
      <c r="C236" s="19"/>
      <c r="D236" s="19"/>
      <c r="E236" s="19"/>
      <c r="F236" s="19"/>
      <c r="G236" s="19"/>
      <c r="H236" s="19"/>
      <c r="I236" s="19"/>
      <c r="J236" s="19"/>
      <c r="K236" s="19"/>
      <c r="L236" s="19"/>
      <c r="M236" s="19"/>
      <c r="N236" s="19"/>
      <c r="O236" s="19"/>
      <c r="P236" s="19"/>
      <c r="Q236" s="19"/>
      <c r="R236" s="19"/>
      <c r="S236" s="19"/>
      <c r="T236" s="19"/>
      <c r="U236" s="19"/>
      <c r="V236" s="19"/>
      <c r="W236" s="19"/>
      <c r="X236" s="19"/>
    </row>
    <row r="237" spans="1:24" ht="12" customHeight="1">
      <c r="A237" s="19"/>
      <c r="B237" s="19"/>
      <c r="C237" s="19"/>
      <c r="D237" s="19"/>
      <c r="E237" s="19"/>
      <c r="F237" s="19"/>
      <c r="G237" s="19"/>
      <c r="H237" s="19"/>
      <c r="I237" s="19"/>
      <c r="J237" s="19"/>
      <c r="K237" s="19"/>
      <c r="L237" s="19"/>
      <c r="M237" s="19"/>
      <c r="N237" s="19"/>
      <c r="O237" s="19"/>
      <c r="P237" s="19"/>
      <c r="Q237" s="19"/>
      <c r="R237" s="19"/>
      <c r="S237" s="19"/>
      <c r="T237" s="19"/>
      <c r="U237" s="19"/>
      <c r="V237" s="19"/>
      <c r="W237" s="19"/>
      <c r="X237" s="19"/>
    </row>
    <row r="238" spans="1:24" ht="12" customHeight="1">
      <c r="A238" s="19"/>
      <c r="B238" s="19"/>
      <c r="C238" s="19"/>
      <c r="D238" s="19"/>
      <c r="E238" s="19"/>
      <c r="F238" s="19"/>
      <c r="G238" s="19"/>
      <c r="H238" s="19"/>
      <c r="I238" s="19"/>
      <c r="J238" s="19"/>
      <c r="K238" s="19"/>
      <c r="L238" s="19"/>
      <c r="M238" s="19"/>
      <c r="N238" s="19"/>
      <c r="O238" s="19"/>
      <c r="P238" s="19"/>
      <c r="Q238" s="19"/>
      <c r="R238" s="19"/>
      <c r="S238" s="19"/>
      <c r="T238" s="19"/>
      <c r="U238" s="19"/>
      <c r="V238" s="19"/>
      <c r="W238" s="19"/>
      <c r="X238" s="19"/>
    </row>
    <row r="239" spans="1:24" ht="12" customHeight="1">
      <c r="A239" s="19"/>
      <c r="B239" s="19"/>
      <c r="C239" s="19"/>
      <c r="D239" s="19"/>
      <c r="E239" s="19"/>
      <c r="F239" s="19"/>
      <c r="G239" s="19"/>
      <c r="H239" s="19"/>
      <c r="I239" s="19"/>
      <c r="J239" s="19"/>
      <c r="K239" s="19"/>
      <c r="L239" s="19"/>
      <c r="M239" s="19"/>
      <c r="N239" s="19"/>
      <c r="O239" s="19"/>
      <c r="P239" s="19"/>
      <c r="Q239" s="19"/>
      <c r="R239" s="19"/>
      <c r="S239" s="19"/>
      <c r="T239" s="19"/>
      <c r="U239" s="19"/>
      <c r="V239" s="19"/>
      <c r="W239" s="19"/>
      <c r="X239" s="19"/>
    </row>
    <row r="240" spans="1:24" ht="12" customHeight="1">
      <c r="A240" s="19"/>
      <c r="B240" s="19"/>
      <c r="C240" s="19"/>
      <c r="D240" s="19"/>
      <c r="E240" s="19"/>
      <c r="F240" s="19"/>
      <c r="G240" s="19"/>
      <c r="H240" s="19"/>
      <c r="I240" s="19"/>
      <c r="J240" s="19"/>
      <c r="K240" s="19"/>
      <c r="L240" s="19"/>
      <c r="M240" s="19"/>
      <c r="N240" s="19"/>
      <c r="O240" s="19"/>
      <c r="P240" s="19"/>
      <c r="Q240" s="19"/>
      <c r="R240" s="19"/>
      <c r="S240" s="19"/>
      <c r="T240" s="19"/>
      <c r="U240" s="19"/>
      <c r="V240" s="19"/>
      <c r="W240" s="19"/>
      <c r="X240" s="19"/>
    </row>
    <row r="241" spans="1:24" ht="12" customHeight="1">
      <c r="A241" s="19"/>
      <c r="B241" s="19"/>
      <c r="C241" s="19"/>
      <c r="D241" s="19"/>
      <c r="E241" s="19"/>
      <c r="F241" s="19"/>
      <c r="G241" s="19"/>
      <c r="H241" s="19"/>
      <c r="I241" s="19"/>
      <c r="J241" s="19"/>
      <c r="K241" s="19"/>
      <c r="L241" s="19"/>
      <c r="M241" s="19"/>
      <c r="N241" s="19"/>
      <c r="O241" s="19"/>
      <c r="P241" s="19"/>
      <c r="Q241" s="19"/>
      <c r="R241" s="19"/>
      <c r="S241" s="19"/>
      <c r="T241" s="19"/>
      <c r="U241" s="19"/>
      <c r="V241" s="19"/>
      <c r="W241" s="19"/>
      <c r="X241" s="19"/>
    </row>
    <row r="242" spans="1:24" ht="12" customHeight="1">
      <c r="A242" s="19"/>
      <c r="B242" s="19"/>
      <c r="C242" s="19"/>
      <c r="D242" s="19"/>
      <c r="E242" s="19"/>
      <c r="F242" s="19"/>
      <c r="G242" s="19"/>
      <c r="H242" s="19"/>
      <c r="I242" s="19"/>
      <c r="J242" s="19"/>
      <c r="K242" s="19"/>
      <c r="L242" s="19"/>
      <c r="M242" s="19"/>
      <c r="N242" s="19"/>
      <c r="O242" s="19"/>
      <c r="P242" s="19"/>
      <c r="Q242" s="19"/>
      <c r="R242" s="19"/>
      <c r="S242" s="19"/>
      <c r="T242" s="19"/>
      <c r="U242" s="19"/>
      <c r="V242" s="19"/>
      <c r="W242" s="19"/>
      <c r="X242" s="19"/>
    </row>
    <row r="243" spans="1:24" ht="12" customHeight="1">
      <c r="A243" s="19"/>
      <c r="B243" s="19"/>
      <c r="C243" s="19"/>
      <c r="D243" s="19"/>
      <c r="E243" s="19"/>
      <c r="F243" s="19"/>
      <c r="G243" s="19"/>
      <c r="H243" s="19"/>
      <c r="I243" s="19"/>
      <c r="J243" s="19"/>
      <c r="K243" s="19"/>
      <c r="L243" s="19"/>
      <c r="M243" s="19"/>
      <c r="N243" s="19"/>
      <c r="O243" s="19"/>
      <c r="P243" s="19"/>
      <c r="Q243" s="19"/>
      <c r="R243" s="19"/>
      <c r="S243" s="19"/>
      <c r="T243" s="19"/>
      <c r="U243" s="19"/>
      <c r="V243" s="19"/>
      <c r="W243" s="19"/>
      <c r="X243" s="19"/>
    </row>
    <row r="244" spans="1:24" ht="12" customHeight="1">
      <c r="A244" s="19"/>
      <c r="B244" s="19"/>
      <c r="C244" s="19"/>
      <c r="D244" s="19"/>
      <c r="E244" s="19"/>
      <c r="F244" s="19"/>
      <c r="G244" s="19"/>
      <c r="H244" s="19"/>
      <c r="I244" s="19"/>
      <c r="J244" s="19"/>
      <c r="K244" s="19"/>
      <c r="L244" s="19"/>
      <c r="M244" s="19"/>
      <c r="N244" s="19"/>
      <c r="O244" s="19"/>
      <c r="P244" s="19"/>
      <c r="Q244" s="19"/>
      <c r="R244" s="19"/>
      <c r="S244" s="19"/>
      <c r="T244" s="19"/>
      <c r="U244" s="19"/>
      <c r="V244" s="19"/>
      <c r="W244" s="19"/>
      <c r="X244" s="19"/>
    </row>
    <row r="245" spans="1:24" ht="12" customHeight="1">
      <c r="A245" s="19"/>
      <c r="B245" s="19"/>
      <c r="C245" s="19"/>
      <c r="D245" s="19"/>
      <c r="E245" s="19"/>
      <c r="F245" s="19"/>
      <c r="G245" s="19"/>
      <c r="H245" s="19"/>
      <c r="I245" s="19"/>
      <c r="J245" s="19"/>
      <c r="K245" s="19"/>
      <c r="L245" s="19"/>
      <c r="M245" s="19"/>
      <c r="N245" s="19"/>
      <c r="O245" s="19"/>
      <c r="P245" s="19"/>
      <c r="Q245" s="19"/>
      <c r="R245" s="19"/>
      <c r="S245" s="19"/>
      <c r="T245" s="19"/>
      <c r="U245" s="19"/>
      <c r="V245" s="19"/>
      <c r="W245" s="19"/>
      <c r="X245" s="19"/>
    </row>
    <row r="246" spans="1:24" ht="12" customHeight="1">
      <c r="A246" s="19"/>
      <c r="B246" s="19"/>
      <c r="C246" s="19"/>
      <c r="D246" s="19"/>
      <c r="E246" s="19"/>
      <c r="F246" s="19"/>
      <c r="G246" s="19"/>
      <c r="H246" s="19"/>
      <c r="I246" s="19"/>
      <c r="J246" s="19"/>
      <c r="K246" s="19"/>
      <c r="L246" s="19"/>
      <c r="M246" s="19"/>
      <c r="N246" s="19"/>
      <c r="O246" s="19"/>
      <c r="P246" s="19"/>
      <c r="Q246" s="19"/>
      <c r="R246" s="19"/>
      <c r="S246" s="19"/>
      <c r="T246" s="19"/>
      <c r="U246" s="19"/>
      <c r="V246" s="19"/>
      <c r="W246" s="19"/>
      <c r="X246" s="19"/>
    </row>
    <row r="247" spans="1:24" ht="12" customHeight="1">
      <c r="A247" s="19"/>
      <c r="B247" s="19"/>
      <c r="C247" s="19"/>
      <c r="D247" s="19"/>
      <c r="E247" s="19"/>
      <c r="F247" s="19"/>
      <c r="G247" s="19"/>
      <c r="H247" s="19"/>
      <c r="I247" s="19"/>
      <c r="J247" s="19"/>
      <c r="K247" s="19"/>
      <c r="L247" s="19"/>
      <c r="M247" s="19"/>
      <c r="N247" s="19"/>
      <c r="O247" s="19"/>
      <c r="P247" s="19"/>
      <c r="Q247" s="19"/>
      <c r="R247" s="19"/>
      <c r="S247" s="19"/>
      <c r="T247" s="19"/>
      <c r="U247" s="19"/>
      <c r="V247" s="19"/>
      <c r="W247" s="19"/>
      <c r="X247" s="19"/>
    </row>
    <row r="248" spans="1:24" ht="12" customHeight="1">
      <c r="A248" s="19"/>
      <c r="B248" s="19"/>
      <c r="C248" s="19"/>
      <c r="D248" s="19"/>
      <c r="E248" s="19"/>
      <c r="F248" s="19"/>
      <c r="G248" s="19"/>
      <c r="H248" s="19"/>
      <c r="I248" s="19"/>
      <c r="J248" s="19"/>
      <c r="K248" s="19"/>
      <c r="L248" s="19"/>
      <c r="M248" s="19"/>
      <c r="N248" s="19"/>
      <c r="O248" s="19"/>
      <c r="P248" s="19"/>
      <c r="Q248" s="19"/>
      <c r="R248" s="19"/>
      <c r="S248" s="19"/>
      <c r="T248" s="19"/>
      <c r="U248" s="19"/>
      <c r="V248" s="19"/>
      <c r="W248" s="19"/>
      <c r="X248" s="19"/>
    </row>
    <row r="249" spans="1:24" ht="12" customHeight="1">
      <c r="A249" s="19"/>
      <c r="B249" s="19"/>
      <c r="C249" s="19"/>
      <c r="D249" s="19"/>
      <c r="E249" s="19"/>
      <c r="F249" s="19"/>
      <c r="G249" s="19"/>
      <c r="H249" s="19"/>
      <c r="I249" s="19"/>
      <c r="J249" s="19"/>
      <c r="K249" s="19"/>
      <c r="L249" s="19"/>
      <c r="M249" s="19"/>
      <c r="N249" s="19"/>
      <c r="O249" s="19"/>
      <c r="P249" s="19"/>
      <c r="Q249" s="19"/>
      <c r="R249" s="19"/>
      <c r="S249" s="19"/>
      <c r="T249" s="19"/>
      <c r="U249" s="19"/>
      <c r="V249" s="19"/>
      <c r="W249" s="19"/>
      <c r="X249" s="19"/>
    </row>
    <row r="250" spans="1:24" ht="12" customHeight="1">
      <c r="A250" s="19"/>
      <c r="B250" s="19"/>
      <c r="C250" s="19"/>
      <c r="D250" s="19"/>
      <c r="E250" s="19"/>
      <c r="F250" s="19"/>
      <c r="G250" s="19"/>
      <c r="H250" s="19"/>
      <c r="I250" s="19"/>
      <c r="J250" s="19"/>
      <c r="K250" s="19"/>
      <c r="L250" s="19"/>
      <c r="M250" s="19"/>
      <c r="N250" s="19"/>
      <c r="O250" s="19"/>
      <c r="P250" s="19"/>
      <c r="Q250" s="19"/>
      <c r="R250" s="19"/>
      <c r="S250" s="19"/>
      <c r="T250" s="19"/>
      <c r="U250" s="19"/>
      <c r="V250" s="19"/>
      <c r="W250" s="19"/>
      <c r="X250" s="19"/>
    </row>
    <row r="251" spans="1:24" ht="12" customHeight="1">
      <c r="A251" s="19"/>
      <c r="B251" s="19"/>
      <c r="C251" s="19"/>
      <c r="D251" s="19"/>
      <c r="E251" s="19"/>
      <c r="F251" s="19"/>
      <c r="G251" s="19"/>
      <c r="H251" s="19"/>
      <c r="I251" s="19"/>
      <c r="J251" s="19"/>
      <c r="K251" s="19"/>
      <c r="L251" s="19"/>
      <c r="M251" s="19"/>
      <c r="N251" s="19"/>
      <c r="O251" s="19"/>
      <c r="P251" s="19"/>
      <c r="Q251" s="19"/>
      <c r="R251" s="19"/>
      <c r="S251" s="19"/>
      <c r="T251" s="19"/>
      <c r="U251" s="19"/>
      <c r="V251" s="19"/>
      <c r="W251" s="19"/>
      <c r="X251" s="19"/>
    </row>
    <row r="252" spans="1:24" ht="12" customHeight="1">
      <c r="A252" s="19"/>
      <c r="B252" s="19"/>
      <c r="C252" s="19"/>
      <c r="D252" s="19"/>
      <c r="E252" s="19"/>
      <c r="F252" s="19"/>
      <c r="G252" s="19"/>
      <c r="H252" s="19"/>
      <c r="I252" s="19"/>
      <c r="J252" s="19"/>
      <c r="K252" s="19"/>
      <c r="L252" s="19"/>
      <c r="M252" s="19"/>
      <c r="N252" s="19"/>
      <c r="O252" s="19"/>
      <c r="P252" s="19"/>
      <c r="Q252" s="19"/>
      <c r="R252" s="19"/>
      <c r="S252" s="19"/>
      <c r="T252" s="19"/>
      <c r="U252" s="19"/>
      <c r="V252" s="19"/>
      <c r="W252" s="19"/>
      <c r="X252" s="19"/>
    </row>
    <row r="253" spans="1:24" ht="12" customHeight="1">
      <c r="A253" s="19"/>
      <c r="B253" s="19"/>
      <c r="C253" s="19"/>
      <c r="D253" s="19"/>
      <c r="E253" s="19"/>
      <c r="F253" s="19"/>
      <c r="G253" s="19"/>
      <c r="H253" s="19"/>
      <c r="I253" s="19"/>
      <c r="J253" s="19"/>
      <c r="K253" s="19"/>
      <c r="L253" s="19"/>
      <c r="M253" s="19"/>
      <c r="N253" s="19"/>
      <c r="O253" s="19"/>
      <c r="P253" s="19"/>
      <c r="Q253" s="19"/>
      <c r="R253" s="19"/>
      <c r="S253" s="19"/>
      <c r="T253" s="19"/>
      <c r="U253" s="19"/>
      <c r="V253" s="19"/>
      <c r="W253" s="19"/>
      <c r="X253" s="19"/>
    </row>
    <row r="254" spans="1:24" ht="12" customHeight="1">
      <c r="A254" s="19"/>
      <c r="B254" s="19"/>
      <c r="C254" s="19"/>
      <c r="D254" s="19"/>
      <c r="E254" s="19"/>
      <c r="F254" s="19"/>
      <c r="G254" s="19"/>
      <c r="H254" s="19"/>
      <c r="I254" s="19"/>
      <c r="J254" s="19"/>
      <c r="K254" s="19"/>
      <c r="L254" s="19"/>
      <c r="M254" s="19"/>
      <c r="N254" s="19"/>
      <c r="O254" s="19"/>
      <c r="P254" s="19"/>
      <c r="Q254" s="19"/>
      <c r="R254" s="19"/>
      <c r="S254" s="19"/>
      <c r="T254" s="19"/>
      <c r="U254" s="19"/>
      <c r="V254" s="19"/>
      <c r="W254" s="19"/>
      <c r="X254" s="19"/>
    </row>
    <row r="255" spans="1:24" ht="12" customHeight="1">
      <c r="A255" s="19"/>
      <c r="B255" s="19"/>
      <c r="C255" s="19"/>
      <c r="D255" s="19"/>
      <c r="E255" s="19"/>
      <c r="F255" s="19"/>
      <c r="G255" s="19"/>
      <c r="H255" s="19"/>
      <c r="I255" s="19"/>
      <c r="J255" s="19"/>
      <c r="K255" s="19"/>
      <c r="L255" s="19"/>
      <c r="M255" s="19"/>
      <c r="N255" s="19"/>
      <c r="O255" s="19"/>
      <c r="P255" s="19"/>
      <c r="Q255" s="19"/>
      <c r="R255" s="19"/>
      <c r="S255" s="19"/>
      <c r="T255" s="19"/>
      <c r="U255" s="19"/>
      <c r="V255" s="19"/>
      <c r="W255" s="19"/>
      <c r="X255" s="19"/>
    </row>
    <row r="256" spans="1:24" ht="12" customHeight="1">
      <c r="A256" s="19"/>
      <c r="B256" s="19"/>
      <c r="C256" s="19"/>
      <c r="D256" s="19"/>
      <c r="E256" s="19"/>
      <c r="F256" s="19"/>
      <c r="G256" s="19"/>
      <c r="H256" s="19"/>
      <c r="I256" s="19"/>
      <c r="J256" s="19"/>
      <c r="K256" s="19"/>
      <c r="L256" s="19"/>
      <c r="M256" s="19"/>
      <c r="N256" s="19"/>
      <c r="O256" s="19"/>
      <c r="P256" s="19"/>
      <c r="Q256" s="19"/>
      <c r="R256" s="19"/>
      <c r="S256" s="19"/>
      <c r="T256" s="19"/>
      <c r="U256" s="19"/>
      <c r="V256" s="19"/>
      <c r="W256" s="19"/>
      <c r="X256" s="19"/>
    </row>
    <row r="257" spans="1:24" ht="12" customHeight="1">
      <c r="A257" s="19"/>
      <c r="B257" s="19"/>
      <c r="C257" s="19"/>
      <c r="D257" s="19"/>
      <c r="E257" s="19"/>
      <c r="F257" s="19"/>
      <c r="G257" s="19"/>
      <c r="H257" s="19"/>
      <c r="I257" s="19"/>
      <c r="J257" s="19"/>
      <c r="K257" s="19"/>
      <c r="L257" s="19"/>
      <c r="M257" s="19"/>
      <c r="N257" s="19"/>
      <c r="O257" s="19"/>
      <c r="P257" s="19"/>
      <c r="Q257" s="19"/>
      <c r="R257" s="19"/>
      <c r="S257" s="19"/>
      <c r="T257" s="19"/>
      <c r="U257" s="19"/>
      <c r="V257" s="19"/>
      <c r="W257" s="19"/>
      <c r="X257" s="19"/>
    </row>
    <row r="258" spans="1:24" ht="12" customHeight="1">
      <c r="A258" s="19"/>
      <c r="B258" s="19"/>
      <c r="C258" s="19"/>
      <c r="D258" s="19"/>
      <c r="E258" s="19"/>
      <c r="F258" s="19"/>
      <c r="G258" s="19"/>
      <c r="H258" s="19"/>
      <c r="I258" s="19"/>
      <c r="J258" s="19"/>
      <c r="K258" s="19"/>
      <c r="L258" s="19"/>
      <c r="M258" s="19"/>
      <c r="N258" s="19"/>
      <c r="O258" s="19"/>
      <c r="P258" s="19"/>
      <c r="Q258" s="19"/>
      <c r="R258" s="19"/>
      <c r="S258" s="19"/>
      <c r="T258" s="19"/>
      <c r="U258" s="19"/>
      <c r="V258" s="19"/>
      <c r="W258" s="19"/>
      <c r="X258" s="19"/>
    </row>
    <row r="259" spans="1:24" ht="12" customHeight="1">
      <c r="A259" s="19"/>
      <c r="B259" s="19"/>
      <c r="C259" s="19"/>
      <c r="D259" s="19"/>
      <c r="E259" s="19"/>
      <c r="F259" s="19"/>
      <c r="G259" s="19"/>
      <c r="H259" s="19"/>
      <c r="I259" s="19"/>
      <c r="J259" s="19"/>
      <c r="K259" s="19"/>
      <c r="L259" s="19"/>
      <c r="M259" s="19"/>
      <c r="N259" s="19"/>
      <c r="O259" s="19"/>
      <c r="P259" s="19"/>
      <c r="Q259" s="19"/>
      <c r="R259" s="19"/>
      <c r="S259" s="19"/>
      <c r="T259" s="19"/>
      <c r="U259" s="19"/>
      <c r="V259" s="19"/>
      <c r="W259" s="19"/>
      <c r="X259" s="19"/>
    </row>
    <row r="260" spans="1:24" ht="12" customHeight="1">
      <c r="A260" s="19"/>
      <c r="B260" s="19"/>
      <c r="C260" s="19"/>
      <c r="D260" s="19"/>
      <c r="E260" s="19"/>
      <c r="F260" s="19"/>
      <c r="G260" s="19"/>
      <c r="H260" s="19"/>
      <c r="I260" s="19"/>
      <c r="J260" s="19"/>
      <c r="K260" s="19"/>
      <c r="L260" s="19"/>
      <c r="M260" s="19"/>
      <c r="N260" s="19"/>
      <c r="O260" s="19"/>
      <c r="P260" s="19"/>
      <c r="Q260" s="19"/>
      <c r="R260" s="19"/>
      <c r="S260" s="19"/>
      <c r="T260" s="19"/>
      <c r="U260" s="19"/>
      <c r="V260" s="19"/>
      <c r="W260" s="19"/>
      <c r="X260" s="19"/>
    </row>
    <row r="261" spans="1:24" ht="12" customHeight="1">
      <c r="A261" s="19"/>
      <c r="B261" s="19"/>
      <c r="C261" s="19"/>
      <c r="D261" s="19"/>
      <c r="E261" s="19"/>
      <c r="F261" s="19"/>
      <c r="G261" s="19"/>
      <c r="H261" s="19"/>
      <c r="I261" s="19"/>
      <c r="J261" s="19"/>
      <c r="K261" s="19"/>
      <c r="L261" s="19"/>
      <c r="M261" s="19"/>
      <c r="N261" s="19"/>
      <c r="O261" s="19"/>
      <c r="P261" s="19"/>
      <c r="Q261" s="19"/>
      <c r="R261" s="19"/>
      <c r="S261" s="19"/>
      <c r="T261" s="19"/>
      <c r="U261" s="19"/>
      <c r="V261" s="19"/>
      <c r="W261" s="19"/>
      <c r="X261" s="19"/>
    </row>
    <row r="262" spans="1:24" ht="12" customHeight="1">
      <c r="A262" s="19"/>
      <c r="B262" s="19"/>
      <c r="C262" s="19"/>
      <c r="D262" s="19"/>
      <c r="E262" s="19"/>
      <c r="F262" s="19"/>
      <c r="G262" s="19"/>
      <c r="H262" s="19"/>
      <c r="I262" s="19"/>
      <c r="J262" s="19"/>
      <c r="K262" s="19"/>
      <c r="L262" s="19"/>
      <c r="M262" s="19"/>
      <c r="N262" s="19"/>
      <c r="O262" s="19"/>
      <c r="P262" s="19"/>
      <c r="Q262" s="19"/>
      <c r="R262" s="19"/>
      <c r="S262" s="19"/>
      <c r="T262" s="19"/>
      <c r="U262" s="19"/>
      <c r="V262" s="19"/>
      <c r="W262" s="19"/>
      <c r="X262" s="19"/>
    </row>
    <row r="263" spans="1:24" ht="12" customHeight="1">
      <c r="A263" s="19"/>
      <c r="B263" s="19"/>
      <c r="C263" s="19"/>
      <c r="D263" s="19"/>
      <c r="E263" s="19"/>
      <c r="F263" s="19"/>
      <c r="G263" s="19"/>
      <c r="H263" s="19"/>
      <c r="I263" s="19"/>
      <c r="J263" s="19"/>
      <c r="K263" s="19"/>
      <c r="L263" s="19"/>
      <c r="M263" s="19"/>
      <c r="N263" s="19"/>
      <c r="O263" s="19"/>
      <c r="P263" s="19"/>
      <c r="Q263" s="19"/>
      <c r="R263" s="19"/>
      <c r="S263" s="19"/>
      <c r="T263" s="19"/>
      <c r="U263" s="19"/>
      <c r="V263" s="19"/>
      <c r="W263" s="19"/>
      <c r="X263" s="19"/>
    </row>
    <row r="264" spans="1:24" ht="12" customHeight="1">
      <c r="A264" s="19"/>
      <c r="B264" s="19"/>
      <c r="C264" s="19"/>
      <c r="D264" s="19"/>
      <c r="E264" s="19"/>
      <c r="F264" s="19"/>
      <c r="G264" s="19"/>
      <c r="H264" s="19"/>
      <c r="I264" s="19"/>
      <c r="J264" s="19"/>
      <c r="K264" s="19"/>
      <c r="L264" s="19"/>
      <c r="M264" s="19"/>
      <c r="N264" s="19"/>
      <c r="O264" s="19"/>
      <c r="P264" s="19"/>
      <c r="Q264" s="19"/>
      <c r="R264" s="19"/>
      <c r="S264" s="19"/>
      <c r="T264" s="19"/>
      <c r="U264" s="19"/>
      <c r="V264" s="19"/>
      <c r="W264" s="19"/>
      <c r="X264" s="19"/>
    </row>
    <row r="265" spans="1:24" ht="12" customHeight="1">
      <c r="A265" s="19"/>
      <c r="B265" s="19"/>
      <c r="C265" s="19"/>
      <c r="D265" s="19"/>
      <c r="E265" s="19"/>
      <c r="F265" s="19"/>
      <c r="G265" s="19"/>
      <c r="H265" s="19"/>
      <c r="I265" s="19"/>
      <c r="J265" s="19"/>
      <c r="K265" s="19"/>
      <c r="L265" s="19"/>
      <c r="M265" s="19"/>
      <c r="N265" s="19"/>
      <c r="O265" s="19"/>
      <c r="P265" s="19"/>
      <c r="Q265" s="19"/>
      <c r="R265" s="19"/>
      <c r="S265" s="19"/>
      <c r="T265" s="19"/>
      <c r="U265" s="19"/>
      <c r="V265" s="19"/>
      <c r="W265" s="19"/>
      <c r="X265" s="19"/>
    </row>
    <row r="266" spans="1:24" ht="12" customHeight="1">
      <c r="A266" s="19"/>
      <c r="B266" s="19"/>
      <c r="C266" s="19"/>
      <c r="D266" s="19"/>
      <c r="E266" s="19"/>
      <c r="F266" s="19"/>
      <c r="G266" s="19"/>
      <c r="H266" s="19"/>
      <c r="I266" s="19"/>
      <c r="J266" s="19"/>
      <c r="K266" s="19"/>
      <c r="L266" s="19"/>
      <c r="M266" s="19"/>
      <c r="N266" s="19"/>
      <c r="O266" s="19"/>
      <c r="P266" s="19"/>
      <c r="Q266" s="19"/>
      <c r="R266" s="19"/>
      <c r="S266" s="19"/>
      <c r="T266" s="19"/>
      <c r="U266" s="19"/>
      <c r="V266" s="19"/>
      <c r="W266" s="19"/>
      <c r="X266" s="19"/>
    </row>
    <row r="267" spans="1:24" ht="12" customHeight="1">
      <c r="A267" s="19"/>
      <c r="B267" s="19"/>
      <c r="C267" s="19"/>
      <c r="D267" s="19"/>
      <c r="E267" s="19"/>
      <c r="F267" s="19"/>
      <c r="G267" s="19"/>
      <c r="H267" s="19"/>
      <c r="I267" s="19"/>
      <c r="J267" s="19"/>
      <c r="K267" s="19"/>
      <c r="L267" s="19"/>
      <c r="M267" s="19"/>
      <c r="N267" s="19"/>
      <c r="O267" s="19"/>
      <c r="P267" s="19"/>
      <c r="Q267" s="19"/>
      <c r="R267" s="19"/>
      <c r="S267" s="19"/>
      <c r="T267" s="19"/>
      <c r="U267" s="19"/>
      <c r="V267" s="19"/>
      <c r="W267" s="19"/>
      <c r="X267" s="19"/>
    </row>
    <row r="268" spans="1:24" ht="12" customHeight="1">
      <c r="A268" s="19"/>
      <c r="B268" s="19"/>
      <c r="C268" s="19"/>
      <c r="D268" s="19"/>
      <c r="E268" s="19"/>
      <c r="F268" s="19"/>
      <c r="G268" s="19"/>
      <c r="H268" s="19"/>
      <c r="I268" s="19"/>
      <c r="J268" s="19"/>
      <c r="K268" s="19"/>
      <c r="L268" s="19"/>
      <c r="M268" s="19"/>
      <c r="N268" s="19"/>
      <c r="O268" s="19"/>
      <c r="P268" s="19"/>
      <c r="Q268" s="19"/>
      <c r="R268" s="19"/>
      <c r="S268" s="19"/>
      <c r="T268" s="19"/>
      <c r="U268" s="19"/>
      <c r="V268" s="19"/>
      <c r="W268" s="19"/>
      <c r="X268" s="19"/>
    </row>
    <row r="269" spans="1:24" ht="12" customHeight="1">
      <c r="A269" s="19"/>
      <c r="B269" s="19"/>
      <c r="C269" s="19"/>
      <c r="D269" s="19"/>
      <c r="E269" s="19"/>
      <c r="F269" s="19"/>
      <c r="G269" s="19"/>
      <c r="H269" s="19"/>
      <c r="I269" s="19"/>
      <c r="J269" s="19"/>
      <c r="K269" s="19"/>
      <c r="L269" s="19"/>
      <c r="M269" s="19"/>
      <c r="N269" s="19"/>
      <c r="O269" s="19"/>
      <c r="P269" s="19"/>
      <c r="Q269" s="19"/>
      <c r="R269" s="19"/>
      <c r="S269" s="19"/>
      <c r="T269" s="19"/>
      <c r="U269" s="19"/>
      <c r="V269" s="19"/>
      <c r="W269" s="19"/>
      <c r="X269" s="19"/>
    </row>
    <row r="270" spans="1:24" ht="12" customHeight="1">
      <c r="A270" s="19"/>
      <c r="B270" s="19"/>
      <c r="C270" s="19"/>
      <c r="D270" s="19"/>
      <c r="E270" s="19"/>
      <c r="F270" s="19"/>
      <c r="G270" s="19"/>
      <c r="H270" s="19"/>
      <c r="I270" s="19"/>
      <c r="J270" s="19"/>
      <c r="K270" s="19"/>
      <c r="L270" s="19"/>
      <c r="M270" s="19"/>
      <c r="N270" s="19"/>
      <c r="O270" s="19"/>
      <c r="P270" s="19"/>
      <c r="Q270" s="19"/>
      <c r="R270" s="19"/>
      <c r="S270" s="19"/>
      <c r="T270" s="19"/>
      <c r="U270" s="19"/>
      <c r="V270" s="19"/>
      <c r="W270" s="19"/>
      <c r="X270" s="19"/>
    </row>
    <row r="271" spans="1:24" ht="12" customHeight="1">
      <c r="A271" s="19"/>
      <c r="B271" s="19"/>
      <c r="C271" s="19"/>
      <c r="D271" s="19"/>
      <c r="E271" s="19"/>
      <c r="F271" s="19"/>
      <c r="G271" s="19"/>
      <c r="H271" s="19"/>
      <c r="I271" s="19"/>
      <c r="J271" s="19"/>
      <c r="K271" s="19"/>
      <c r="L271" s="19"/>
      <c r="M271" s="19"/>
      <c r="N271" s="19"/>
      <c r="O271" s="19"/>
      <c r="P271" s="19"/>
      <c r="Q271" s="19"/>
      <c r="R271" s="19"/>
      <c r="S271" s="19"/>
      <c r="T271" s="19"/>
      <c r="U271" s="19"/>
      <c r="V271" s="19"/>
      <c r="W271" s="19"/>
      <c r="X271" s="19"/>
    </row>
    <row r="272" spans="1:24" ht="12" customHeight="1">
      <c r="A272" s="19"/>
      <c r="B272" s="19"/>
      <c r="C272" s="19"/>
      <c r="D272" s="19"/>
      <c r="E272" s="19"/>
      <c r="F272" s="19"/>
      <c r="G272" s="19"/>
      <c r="H272" s="19"/>
      <c r="I272" s="19"/>
      <c r="J272" s="19"/>
      <c r="K272" s="19"/>
      <c r="L272" s="19"/>
      <c r="M272" s="19"/>
      <c r="N272" s="19"/>
      <c r="O272" s="19"/>
      <c r="P272" s="19"/>
      <c r="Q272" s="19"/>
      <c r="R272" s="19"/>
      <c r="S272" s="19"/>
      <c r="T272" s="19"/>
      <c r="U272" s="19"/>
      <c r="V272" s="19"/>
      <c r="W272" s="19"/>
      <c r="X272" s="19"/>
    </row>
    <row r="273" spans="1:24" ht="12" customHeight="1">
      <c r="A273" s="19"/>
      <c r="B273" s="19"/>
      <c r="C273" s="19"/>
      <c r="D273" s="19"/>
      <c r="E273" s="19"/>
      <c r="F273" s="19"/>
      <c r="G273" s="19"/>
      <c r="H273" s="19"/>
      <c r="I273" s="19"/>
      <c r="J273" s="19"/>
      <c r="K273" s="19"/>
      <c r="L273" s="19"/>
      <c r="M273" s="19"/>
      <c r="N273" s="19"/>
      <c r="O273" s="19"/>
      <c r="P273" s="19"/>
      <c r="Q273" s="19"/>
      <c r="R273" s="19"/>
      <c r="S273" s="19"/>
      <c r="T273" s="19"/>
      <c r="U273" s="19"/>
      <c r="V273" s="19"/>
      <c r="W273" s="19"/>
      <c r="X273" s="19"/>
    </row>
    <row r="274" spans="1:24" ht="12" customHeight="1">
      <c r="A274" s="19"/>
      <c r="B274" s="19"/>
      <c r="C274" s="19"/>
      <c r="D274" s="19"/>
      <c r="E274" s="19"/>
      <c r="F274" s="19"/>
      <c r="G274" s="19"/>
      <c r="H274" s="19"/>
      <c r="I274" s="19"/>
      <c r="J274" s="19"/>
      <c r="K274" s="19"/>
      <c r="L274" s="19"/>
      <c r="M274" s="19"/>
      <c r="N274" s="19"/>
      <c r="O274" s="19"/>
      <c r="P274" s="19"/>
      <c r="Q274" s="19"/>
      <c r="R274" s="19"/>
      <c r="S274" s="19"/>
      <c r="T274" s="19"/>
      <c r="U274" s="19"/>
      <c r="V274" s="19"/>
      <c r="W274" s="19"/>
      <c r="X274" s="19"/>
    </row>
    <row r="275" spans="1:24" ht="12" customHeight="1">
      <c r="A275" s="19"/>
      <c r="B275" s="19"/>
      <c r="C275" s="19"/>
      <c r="D275" s="19"/>
      <c r="E275" s="19"/>
      <c r="F275" s="19"/>
      <c r="G275" s="19"/>
      <c r="H275" s="19"/>
      <c r="I275" s="19"/>
      <c r="J275" s="19"/>
      <c r="K275" s="19"/>
      <c r="L275" s="19"/>
      <c r="M275" s="19"/>
      <c r="N275" s="19"/>
      <c r="O275" s="19"/>
      <c r="P275" s="19"/>
      <c r="Q275" s="19"/>
      <c r="R275" s="19"/>
      <c r="S275" s="19"/>
      <c r="T275" s="19"/>
      <c r="U275" s="19"/>
      <c r="V275" s="19"/>
      <c r="W275" s="19"/>
      <c r="X275" s="19"/>
    </row>
    <row r="276" spans="1:24" ht="12" customHeight="1">
      <c r="A276" s="19"/>
      <c r="B276" s="19"/>
      <c r="C276" s="19"/>
      <c r="D276" s="19"/>
      <c r="E276" s="19"/>
      <c r="F276" s="19"/>
      <c r="G276" s="19"/>
      <c r="H276" s="19"/>
      <c r="I276" s="19"/>
      <c r="J276" s="19"/>
      <c r="K276" s="19"/>
      <c r="L276" s="19"/>
      <c r="M276" s="19"/>
      <c r="N276" s="19"/>
      <c r="O276" s="19"/>
      <c r="P276" s="19"/>
      <c r="Q276" s="19"/>
      <c r="R276" s="19"/>
      <c r="S276" s="19"/>
      <c r="T276" s="19"/>
      <c r="U276" s="19"/>
      <c r="V276" s="19"/>
      <c r="W276" s="19"/>
      <c r="X276" s="19"/>
    </row>
    <row r="277" spans="1:24" ht="12" customHeight="1">
      <c r="A277" s="19"/>
      <c r="B277" s="19"/>
      <c r="C277" s="19"/>
      <c r="D277" s="19"/>
      <c r="E277" s="19"/>
      <c r="F277" s="19"/>
      <c r="G277" s="19"/>
      <c r="H277" s="19"/>
      <c r="I277" s="19"/>
      <c r="J277" s="19"/>
      <c r="K277" s="19"/>
      <c r="L277" s="19"/>
      <c r="M277" s="19"/>
      <c r="N277" s="19"/>
      <c r="O277" s="19"/>
      <c r="P277" s="19"/>
      <c r="Q277" s="19"/>
      <c r="R277" s="19"/>
      <c r="S277" s="19"/>
      <c r="T277" s="19"/>
      <c r="U277" s="19"/>
      <c r="V277" s="19"/>
      <c r="W277" s="19"/>
      <c r="X277" s="19"/>
    </row>
    <row r="278" spans="1:24" ht="12" customHeight="1">
      <c r="A278" s="19"/>
      <c r="B278" s="19"/>
      <c r="C278" s="19"/>
      <c r="D278" s="19"/>
      <c r="E278" s="19"/>
      <c r="F278" s="19"/>
      <c r="G278" s="19"/>
      <c r="H278" s="19"/>
      <c r="I278" s="19"/>
      <c r="J278" s="19"/>
      <c r="K278" s="19"/>
      <c r="L278" s="19"/>
      <c r="M278" s="19"/>
      <c r="N278" s="19"/>
      <c r="O278" s="19"/>
      <c r="P278" s="19"/>
      <c r="Q278" s="19"/>
      <c r="R278" s="19"/>
      <c r="S278" s="19"/>
      <c r="T278" s="19"/>
      <c r="U278" s="19"/>
      <c r="V278" s="19"/>
      <c r="W278" s="19"/>
      <c r="X278" s="19"/>
    </row>
    <row r="279" spans="1:24" ht="12" customHeight="1">
      <c r="A279" s="19"/>
      <c r="B279" s="19"/>
      <c r="C279" s="19"/>
      <c r="D279" s="19"/>
      <c r="E279" s="19"/>
      <c r="F279" s="19"/>
      <c r="G279" s="19"/>
      <c r="H279" s="19"/>
      <c r="I279" s="19"/>
      <c r="J279" s="19"/>
      <c r="K279" s="19"/>
      <c r="L279" s="19"/>
      <c r="M279" s="19"/>
      <c r="N279" s="19"/>
      <c r="O279" s="19"/>
      <c r="P279" s="19"/>
      <c r="Q279" s="19"/>
      <c r="R279" s="19"/>
      <c r="S279" s="19"/>
      <c r="T279" s="19"/>
      <c r="U279" s="19"/>
      <c r="V279" s="19"/>
      <c r="W279" s="19"/>
      <c r="X279" s="19"/>
    </row>
    <row r="280" spans="1:24" ht="12" customHeight="1">
      <c r="A280" s="19"/>
      <c r="B280" s="19"/>
      <c r="C280" s="19"/>
      <c r="D280" s="19"/>
      <c r="E280" s="19"/>
      <c r="F280" s="19"/>
      <c r="G280" s="19"/>
      <c r="H280" s="19"/>
      <c r="I280" s="19"/>
      <c r="J280" s="19"/>
      <c r="K280" s="19"/>
      <c r="L280" s="19"/>
      <c r="M280" s="19"/>
      <c r="N280" s="19"/>
      <c r="O280" s="19"/>
      <c r="P280" s="19"/>
      <c r="Q280" s="19"/>
      <c r="R280" s="19"/>
      <c r="S280" s="19"/>
      <c r="T280" s="19"/>
      <c r="U280" s="19"/>
      <c r="V280" s="19"/>
      <c r="W280" s="19"/>
      <c r="X280" s="19"/>
    </row>
    <row r="281" spans="1:24" ht="12" customHeight="1">
      <c r="A281" s="19"/>
      <c r="B281" s="19"/>
      <c r="C281" s="19"/>
      <c r="D281" s="19"/>
      <c r="E281" s="19"/>
      <c r="F281" s="19"/>
      <c r="G281" s="19"/>
      <c r="H281" s="19"/>
      <c r="I281" s="19"/>
      <c r="J281" s="19"/>
      <c r="K281" s="19"/>
      <c r="L281" s="19"/>
      <c r="M281" s="19"/>
      <c r="N281" s="19"/>
      <c r="O281" s="19"/>
      <c r="P281" s="19"/>
      <c r="Q281" s="19"/>
      <c r="R281" s="19"/>
      <c r="S281" s="19"/>
      <c r="T281" s="19"/>
      <c r="U281" s="19"/>
      <c r="V281" s="19"/>
      <c r="W281" s="19"/>
      <c r="X281" s="19"/>
    </row>
    <row r="282" spans="1:24" ht="12" customHeight="1">
      <c r="A282" s="19"/>
      <c r="B282" s="19"/>
      <c r="C282" s="19"/>
      <c r="D282" s="19"/>
      <c r="E282" s="19"/>
      <c r="F282" s="19"/>
      <c r="G282" s="19"/>
      <c r="H282" s="19"/>
      <c r="I282" s="19"/>
      <c r="J282" s="19"/>
      <c r="K282" s="19"/>
      <c r="L282" s="19"/>
      <c r="M282" s="19"/>
      <c r="N282" s="19"/>
      <c r="O282" s="19"/>
      <c r="P282" s="19"/>
      <c r="Q282" s="19"/>
      <c r="R282" s="19"/>
      <c r="S282" s="19"/>
      <c r="T282" s="19"/>
      <c r="U282" s="19"/>
      <c r="V282" s="19"/>
      <c r="W282" s="19"/>
      <c r="X282" s="19"/>
    </row>
    <row r="283" spans="1:24" ht="12" customHeight="1">
      <c r="A283" s="19"/>
      <c r="B283" s="19"/>
      <c r="C283" s="19"/>
      <c r="D283" s="19"/>
      <c r="E283" s="19"/>
      <c r="F283" s="19"/>
      <c r="G283" s="19"/>
      <c r="H283" s="19"/>
      <c r="I283" s="19"/>
      <c r="J283" s="19"/>
      <c r="K283" s="19"/>
      <c r="L283" s="19"/>
      <c r="M283" s="19"/>
      <c r="N283" s="19"/>
      <c r="O283" s="19"/>
      <c r="P283" s="19"/>
      <c r="Q283" s="19"/>
      <c r="R283" s="19"/>
      <c r="S283" s="19"/>
      <c r="T283" s="19"/>
      <c r="U283" s="19"/>
      <c r="V283" s="19"/>
      <c r="W283" s="19"/>
      <c r="X283" s="19"/>
    </row>
    <row r="284" spans="1:24" ht="12" customHeight="1">
      <c r="A284" s="19"/>
      <c r="B284" s="19"/>
      <c r="C284" s="19"/>
      <c r="D284" s="19"/>
      <c r="E284" s="19"/>
      <c r="F284" s="19"/>
      <c r="G284" s="19"/>
      <c r="H284" s="19"/>
      <c r="I284" s="19"/>
      <c r="J284" s="19"/>
      <c r="K284" s="19"/>
      <c r="L284" s="19"/>
      <c r="M284" s="19"/>
      <c r="N284" s="19"/>
      <c r="O284" s="19"/>
      <c r="P284" s="19"/>
      <c r="Q284" s="19"/>
      <c r="R284" s="19"/>
      <c r="S284" s="19"/>
      <c r="T284" s="19"/>
      <c r="U284" s="19"/>
      <c r="V284" s="19"/>
      <c r="W284" s="19"/>
      <c r="X284" s="19"/>
    </row>
    <row r="285" spans="1:24" ht="12" customHeight="1">
      <c r="A285" s="19"/>
      <c r="B285" s="19"/>
      <c r="C285" s="19"/>
      <c r="D285" s="19"/>
      <c r="E285" s="19"/>
      <c r="F285" s="19"/>
      <c r="G285" s="19"/>
      <c r="H285" s="19"/>
      <c r="I285" s="19"/>
      <c r="J285" s="19"/>
      <c r="K285" s="19"/>
      <c r="L285" s="19"/>
      <c r="M285" s="19"/>
      <c r="N285" s="19"/>
      <c r="O285" s="19"/>
      <c r="P285" s="19"/>
      <c r="Q285" s="19"/>
      <c r="R285" s="19"/>
      <c r="S285" s="19"/>
      <c r="T285" s="19"/>
      <c r="U285" s="19"/>
      <c r="V285" s="19"/>
      <c r="W285" s="19"/>
      <c r="X285" s="19"/>
    </row>
    <row r="286" spans="1:24" ht="12" customHeight="1">
      <c r="A286" s="19"/>
      <c r="B286" s="19"/>
      <c r="C286" s="19"/>
      <c r="D286" s="19"/>
      <c r="E286" s="19"/>
      <c r="F286" s="19"/>
      <c r="G286" s="19"/>
      <c r="H286" s="19"/>
      <c r="I286" s="19"/>
      <c r="J286" s="19"/>
      <c r="K286" s="19"/>
      <c r="L286" s="19"/>
      <c r="M286" s="19"/>
      <c r="N286" s="19"/>
      <c r="O286" s="19"/>
      <c r="P286" s="19"/>
      <c r="Q286" s="19"/>
      <c r="R286" s="19"/>
      <c r="S286" s="19"/>
      <c r="T286" s="19"/>
      <c r="U286" s="19"/>
      <c r="V286" s="19"/>
      <c r="W286" s="19"/>
      <c r="X286" s="19"/>
    </row>
    <row r="287" spans="1:24" ht="12" customHeight="1">
      <c r="A287" s="19"/>
      <c r="B287" s="19"/>
      <c r="C287" s="19"/>
      <c r="D287" s="19"/>
      <c r="E287" s="19"/>
      <c r="F287" s="19"/>
      <c r="G287" s="19"/>
      <c r="H287" s="19"/>
      <c r="I287" s="19"/>
      <c r="J287" s="19"/>
      <c r="K287" s="19"/>
      <c r="L287" s="19"/>
      <c r="M287" s="19"/>
      <c r="N287" s="19"/>
      <c r="O287" s="19"/>
      <c r="P287" s="19"/>
      <c r="Q287" s="19"/>
      <c r="R287" s="19"/>
      <c r="S287" s="19"/>
      <c r="T287" s="19"/>
      <c r="U287" s="19"/>
      <c r="V287" s="19"/>
      <c r="W287" s="19"/>
      <c r="X287" s="19"/>
    </row>
    <row r="288" spans="1:24" ht="12" customHeight="1">
      <c r="A288" s="19"/>
      <c r="B288" s="19"/>
      <c r="C288" s="19"/>
      <c r="D288" s="19"/>
      <c r="E288" s="19"/>
      <c r="F288" s="19"/>
      <c r="G288" s="19"/>
      <c r="H288" s="19"/>
      <c r="I288" s="19"/>
      <c r="J288" s="19"/>
      <c r="K288" s="19"/>
      <c r="L288" s="19"/>
      <c r="M288" s="19"/>
      <c r="N288" s="19"/>
      <c r="O288" s="19"/>
      <c r="P288" s="19"/>
      <c r="Q288" s="19"/>
      <c r="R288" s="19"/>
      <c r="S288" s="19"/>
      <c r="T288" s="19"/>
      <c r="U288" s="19"/>
      <c r="V288" s="19"/>
      <c r="W288" s="19"/>
      <c r="X288" s="19"/>
    </row>
    <row r="289" spans="1:24" ht="12" customHeight="1">
      <c r="A289" s="19"/>
      <c r="B289" s="19"/>
      <c r="C289" s="19"/>
      <c r="D289" s="19"/>
      <c r="E289" s="19"/>
      <c r="F289" s="19"/>
      <c r="G289" s="19"/>
      <c r="H289" s="19"/>
      <c r="I289" s="19"/>
      <c r="J289" s="19"/>
      <c r="K289" s="19"/>
      <c r="L289" s="19"/>
      <c r="M289" s="19"/>
      <c r="N289" s="19"/>
      <c r="O289" s="19"/>
      <c r="P289" s="19"/>
      <c r="Q289" s="19"/>
      <c r="R289" s="19"/>
      <c r="S289" s="19"/>
      <c r="T289" s="19"/>
      <c r="U289" s="19"/>
      <c r="V289" s="19"/>
      <c r="W289" s="19"/>
      <c r="X289" s="19"/>
    </row>
    <row r="290" spans="1:24" ht="12" customHeight="1">
      <c r="A290" s="19"/>
      <c r="B290" s="19"/>
      <c r="C290" s="19"/>
      <c r="D290" s="19"/>
      <c r="E290" s="19"/>
      <c r="F290" s="19"/>
      <c r="G290" s="19"/>
      <c r="H290" s="19"/>
      <c r="I290" s="19"/>
      <c r="J290" s="19"/>
      <c r="K290" s="19"/>
      <c r="L290" s="19"/>
      <c r="M290" s="19"/>
      <c r="N290" s="19"/>
      <c r="O290" s="19"/>
      <c r="P290" s="19"/>
      <c r="Q290" s="19"/>
      <c r="R290" s="19"/>
      <c r="S290" s="19"/>
      <c r="T290" s="19"/>
      <c r="U290" s="19"/>
      <c r="V290" s="19"/>
      <c r="W290" s="19"/>
      <c r="X290" s="19"/>
    </row>
    <row r="291" spans="1:24" ht="12" customHeight="1">
      <c r="A291" s="19"/>
      <c r="B291" s="19"/>
      <c r="C291" s="19"/>
      <c r="D291" s="19"/>
      <c r="E291" s="19"/>
      <c r="F291" s="19"/>
      <c r="G291" s="19"/>
      <c r="H291" s="19"/>
      <c r="I291" s="19"/>
      <c r="J291" s="19"/>
      <c r="K291" s="19"/>
      <c r="L291" s="19"/>
      <c r="M291" s="19"/>
      <c r="N291" s="19"/>
      <c r="O291" s="19"/>
      <c r="P291" s="19"/>
      <c r="Q291" s="19"/>
      <c r="R291" s="19"/>
      <c r="S291" s="19"/>
      <c r="T291" s="19"/>
      <c r="U291" s="19"/>
      <c r="V291" s="19"/>
      <c r="W291" s="19"/>
      <c r="X291" s="19"/>
    </row>
    <row r="292" spans="1:24" ht="12" customHeight="1">
      <c r="A292" s="19"/>
      <c r="B292" s="19"/>
      <c r="C292" s="19"/>
      <c r="D292" s="19"/>
      <c r="E292" s="19"/>
      <c r="F292" s="19"/>
      <c r="G292" s="19"/>
      <c r="H292" s="19"/>
      <c r="I292" s="19"/>
      <c r="J292" s="19"/>
      <c r="K292" s="19"/>
      <c r="L292" s="19"/>
      <c r="M292" s="19"/>
      <c r="N292" s="19"/>
      <c r="O292" s="19"/>
      <c r="P292" s="19"/>
      <c r="Q292" s="19"/>
      <c r="R292" s="19"/>
      <c r="S292" s="19"/>
      <c r="T292" s="19"/>
      <c r="U292" s="19"/>
      <c r="V292" s="19"/>
      <c r="W292" s="19"/>
      <c r="X292" s="19"/>
    </row>
    <row r="293" spans="1:24" ht="12" customHeight="1">
      <c r="A293" s="19"/>
      <c r="B293" s="19"/>
      <c r="C293" s="19"/>
      <c r="D293" s="19"/>
      <c r="E293" s="19"/>
      <c r="F293" s="19"/>
      <c r="G293" s="19"/>
      <c r="H293" s="19"/>
      <c r="I293" s="19"/>
      <c r="J293" s="19"/>
      <c r="K293" s="19"/>
      <c r="L293" s="19"/>
      <c r="M293" s="19"/>
      <c r="N293" s="19"/>
      <c r="O293" s="19"/>
      <c r="P293" s="19"/>
      <c r="Q293" s="19"/>
      <c r="R293" s="19"/>
      <c r="S293" s="19"/>
      <c r="T293" s="19"/>
      <c r="U293" s="19"/>
      <c r="V293" s="19"/>
      <c r="W293" s="19"/>
      <c r="X293" s="19"/>
    </row>
    <row r="294" spans="1:24" ht="12" customHeight="1">
      <c r="A294" s="19"/>
      <c r="B294" s="19"/>
      <c r="C294" s="19"/>
      <c r="D294" s="19"/>
      <c r="E294" s="19"/>
      <c r="F294" s="19"/>
      <c r="G294" s="19"/>
      <c r="H294" s="19"/>
      <c r="I294" s="19"/>
      <c r="J294" s="19"/>
      <c r="K294" s="19"/>
      <c r="L294" s="19"/>
      <c r="M294" s="19"/>
      <c r="N294" s="19"/>
      <c r="O294" s="19"/>
      <c r="P294" s="19"/>
      <c r="Q294" s="19"/>
      <c r="R294" s="19"/>
      <c r="S294" s="19"/>
      <c r="T294" s="19"/>
      <c r="U294" s="19"/>
      <c r="V294" s="19"/>
      <c r="W294" s="19"/>
      <c r="X294" s="19"/>
    </row>
    <row r="295" spans="1:24" ht="12" customHeight="1">
      <c r="A295" s="19"/>
      <c r="B295" s="19"/>
      <c r="C295" s="19"/>
      <c r="D295" s="19"/>
      <c r="E295" s="19"/>
      <c r="F295" s="19"/>
      <c r="G295" s="19"/>
      <c r="H295" s="19"/>
      <c r="I295" s="19"/>
      <c r="J295" s="19"/>
      <c r="K295" s="19"/>
      <c r="L295" s="19"/>
      <c r="M295" s="19"/>
      <c r="N295" s="19"/>
      <c r="O295" s="19"/>
      <c r="P295" s="19"/>
      <c r="Q295" s="19"/>
      <c r="R295" s="19"/>
      <c r="S295" s="19"/>
      <c r="T295" s="19"/>
      <c r="U295" s="19"/>
      <c r="V295" s="19"/>
      <c r="W295" s="19"/>
      <c r="X295" s="19"/>
    </row>
    <row r="296" spans="1:24" ht="12" customHeight="1">
      <c r="A296" s="19"/>
      <c r="B296" s="19"/>
      <c r="C296" s="19"/>
      <c r="D296" s="19"/>
      <c r="E296" s="19"/>
      <c r="F296" s="19"/>
      <c r="G296" s="19"/>
      <c r="H296" s="19"/>
      <c r="I296" s="19"/>
      <c r="J296" s="19"/>
      <c r="K296" s="19"/>
      <c r="L296" s="19"/>
      <c r="M296" s="19"/>
      <c r="N296" s="19"/>
      <c r="O296" s="19"/>
      <c r="P296" s="19"/>
      <c r="Q296" s="19"/>
      <c r="R296" s="19"/>
      <c r="S296" s="19"/>
      <c r="T296" s="19"/>
      <c r="U296" s="19"/>
      <c r="V296" s="19"/>
      <c r="W296" s="19"/>
      <c r="X296" s="19"/>
    </row>
    <row r="297" spans="1:24" ht="12" customHeight="1">
      <c r="A297" s="19"/>
      <c r="B297" s="19"/>
      <c r="C297" s="19"/>
      <c r="D297" s="19"/>
      <c r="E297" s="19"/>
      <c r="F297" s="19"/>
      <c r="G297" s="19"/>
      <c r="H297" s="19"/>
      <c r="I297" s="19"/>
      <c r="J297" s="19"/>
      <c r="K297" s="19"/>
      <c r="L297" s="19"/>
      <c r="M297" s="19"/>
      <c r="N297" s="19"/>
      <c r="O297" s="19"/>
      <c r="P297" s="19"/>
      <c r="Q297" s="19"/>
      <c r="R297" s="19"/>
      <c r="S297" s="19"/>
      <c r="T297" s="19"/>
      <c r="U297" s="19"/>
      <c r="V297" s="19"/>
      <c r="W297" s="19"/>
      <c r="X297" s="19"/>
    </row>
    <row r="298" spans="1:24" ht="12" customHeight="1">
      <c r="A298" s="19"/>
      <c r="B298" s="19"/>
      <c r="C298" s="19"/>
      <c r="D298" s="19"/>
      <c r="E298" s="19"/>
      <c r="F298" s="19"/>
      <c r="G298" s="19"/>
      <c r="H298" s="19"/>
      <c r="I298" s="19"/>
      <c r="J298" s="19"/>
      <c r="K298" s="19"/>
      <c r="L298" s="19"/>
      <c r="M298" s="19"/>
      <c r="N298" s="19"/>
      <c r="O298" s="19"/>
      <c r="P298" s="19"/>
      <c r="Q298" s="19"/>
      <c r="R298" s="19"/>
      <c r="S298" s="19"/>
      <c r="T298" s="19"/>
      <c r="U298" s="19"/>
      <c r="V298" s="19"/>
      <c r="W298" s="19"/>
      <c r="X298" s="19"/>
    </row>
    <row r="299" spans="1:24" ht="12" customHeight="1">
      <c r="A299" s="19"/>
      <c r="B299" s="19"/>
      <c r="C299" s="19"/>
      <c r="D299" s="19"/>
      <c r="E299" s="19"/>
      <c r="F299" s="19"/>
      <c r="G299" s="19"/>
      <c r="H299" s="19"/>
      <c r="I299" s="19"/>
      <c r="J299" s="19"/>
      <c r="K299" s="19"/>
      <c r="L299" s="19"/>
      <c r="M299" s="19"/>
      <c r="N299" s="19"/>
      <c r="O299" s="19"/>
      <c r="P299" s="19"/>
      <c r="Q299" s="19"/>
      <c r="R299" s="19"/>
      <c r="S299" s="19"/>
      <c r="T299" s="19"/>
      <c r="U299" s="19"/>
      <c r="V299" s="19"/>
      <c r="W299" s="19"/>
      <c r="X299" s="19"/>
    </row>
    <row r="300" spans="1:24" ht="12" customHeight="1">
      <c r="A300" s="19"/>
      <c r="B300" s="19"/>
      <c r="C300" s="19"/>
      <c r="D300" s="19"/>
      <c r="E300" s="19"/>
      <c r="F300" s="19"/>
      <c r="G300" s="19"/>
      <c r="H300" s="19"/>
      <c r="I300" s="19"/>
      <c r="J300" s="19"/>
      <c r="K300" s="19"/>
      <c r="L300" s="19"/>
      <c r="M300" s="19"/>
      <c r="N300" s="19"/>
      <c r="O300" s="19"/>
      <c r="P300" s="19"/>
      <c r="Q300" s="19"/>
      <c r="R300" s="19"/>
      <c r="S300" s="19"/>
      <c r="T300" s="19"/>
      <c r="U300" s="19"/>
      <c r="V300" s="19"/>
      <c r="W300" s="19"/>
      <c r="X300" s="19"/>
    </row>
    <row r="301" spans="1:24" ht="12" customHeight="1">
      <c r="A301" s="19"/>
      <c r="B301" s="19"/>
      <c r="C301" s="19"/>
      <c r="D301" s="19"/>
      <c r="E301" s="19"/>
      <c r="F301" s="19"/>
      <c r="G301" s="19"/>
      <c r="H301" s="19"/>
      <c r="I301" s="19"/>
      <c r="J301" s="19"/>
      <c r="K301" s="19"/>
      <c r="L301" s="19"/>
      <c r="M301" s="19"/>
      <c r="N301" s="19"/>
      <c r="O301" s="19"/>
      <c r="P301" s="19"/>
      <c r="Q301" s="19"/>
      <c r="R301" s="19"/>
      <c r="S301" s="19"/>
      <c r="T301" s="19"/>
      <c r="U301" s="19"/>
      <c r="V301" s="19"/>
      <c r="W301" s="19"/>
      <c r="X301" s="19"/>
    </row>
    <row r="302" spans="1:24" ht="12" customHeight="1">
      <c r="A302" s="19"/>
      <c r="B302" s="19"/>
      <c r="C302" s="19"/>
      <c r="D302" s="19"/>
      <c r="E302" s="19"/>
      <c r="F302" s="19"/>
      <c r="G302" s="19"/>
      <c r="H302" s="19"/>
      <c r="I302" s="19"/>
      <c r="J302" s="19"/>
      <c r="K302" s="19"/>
      <c r="L302" s="19"/>
      <c r="M302" s="19"/>
      <c r="N302" s="19"/>
      <c r="O302" s="19"/>
      <c r="P302" s="19"/>
      <c r="Q302" s="19"/>
      <c r="R302" s="19"/>
      <c r="S302" s="19"/>
      <c r="T302" s="19"/>
      <c r="U302" s="19"/>
      <c r="V302" s="19"/>
      <c r="W302" s="19"/>
      <c r="X302" s="19"/>
    </row>
    <row r="303" spans="1:24" ht="12" customHeight="1">
      <c r="A303" s="19"/>
      <c r="B303" s="19"/>
      <c r="C303" s="19"/>
      <c r="D303" s="19"/>
      <c r="E303" s="19"/>
      <c r="F303" s="19"/>
      <c r="G303" s="19"/>
      <c r="H303" s="19"/>
      <c r="I303" s="19"/>
      <c r="J303" s="19"/>
      <c r="K303" s="19"/>
      <c r="L303" s="19"/>
      <c r="M303" s="19"/>
      <c r="N303" s="19"/>
      <c r="O303" s="19"/>
      <c r="P303" s="19"/>
      <c r="Q303" s="19"/>
      <c r="R303" s="19"/>
      <c r="S303" s="19"/>
      <c r="T303" s="19"/>
      <c r="U303" s="19"/>
      <c r="V303" s="19"/>
      <c r="W303" s="19"/>
      <c r="X303" s="19"/>
    </row>
    <row r="304" spans="1:24" ht="12" customHeight="1">
      <c r="A304" s="19"/>
      <c r="B304" s="19"/>
      <c r="C304" s="19"/>
      <c r="D304" s="19"/>
      <c r="E304" s="19"/>
      <c r="F304" s="19"/>
      <c r="G304" s="19"/>
      <c r="H304" s="19"/>
      <c r="I304" s="19"/>
      <c r="J304" s="19"/>
      <c r="K304" s="19"/>
      <c r="L304" s="19"/>
      <c r="M304" s="19"/>
      <c r="N304" s="19"/>
      <c r="O304" s="19"/>
      <c r="P304" s="19"/>
      <c r="Q304" s="19"/>
      <c r="R304" s="19"/>
      <c r="S304" s="19"/>
      <c r="T304" s="19"/>
      <c r="U304" s="19"/>
      <c r="V304" s="19"/>
      <c r="W304" s="19"/>
      <c r="X304" s="19"/>
    </row>
    <row r="305" spans="1:24" ht="12" customHeight="1">
      <c r="A305" s="19"/>
      <c r="B305" s="19"/>
      <c r="C305" s="19"/>
      <c r="D305" s="19"/>
      <c r="E305" s="19"/>
      <c r="F305" s="19"/>
      <c r="G305" s="19"/>
      <c r="H305" s="19"/>
      <c r="I305" s="19"/>
      <c r="J305" s="19"/>
      <c r="K305" s="19"/>
      <c r="L305" s="19"/>
      <c r="M305" s="19"/>
      <c r="N305" s="19"/>
      <c r="O305" s="19"/>
      <c r="P305" s="19"/>
      <c r="Q305" s="19"/>
      <c r="R305" s="19"/>
      <c r="S305" s="19"/>
      <c r="T305" s="19"/>
      <c r="U305" s="19"/>
      <c r="V305" s="19"/>
      <c r="W305" s="19"/>
      <c r="X305" s="19"/>
    </row>
    <row r="306" spans="1:24" ht="12" customHeight="1">
      <c r="A306" s="19"/>
      <c r="B306" s="19"/>
      <c r="C306" s="19"/>
      <c r="D306" s="19"/>
      <c r="E306" s="19"/>
      <c r="F306" s="19"/>
      <c r="G306" s="19"/>
      <c r="H306" s="19"/>
      <c r="I306" s="19"/>
      <c r="J306" s="19"/>
      <c r="K306" s="19"/>
      <c r="L306" s="19"/>
      <c r="M306" s="19"/>
      <c r="N306" s="19"/>
      <c r="O306" s="19"/>
      <c r="P306" s="19"/>
      <c r="Q306" s="19"/>
      <c r="R306" s="19"/>
      <c r="S306" s="19"/>
      <c r="T306" s="19"/>
      <c r="U306" s="19"/>
      <c r="V306" s="19"/>
      <c r="W306" s="19"/>
      <c r="X306" s="19"/>
    </row>
    <row r="307" spans="1:24" ht="12" customHeight="1">
      <c r="A307" s="19"/>
      <c r="B307" s="19"/>
      <c r="C307" s="19"/>
      <c r="D307" s="19"/>
      <c r="E307" s="19"/>
      <c r="F307" s="19"/>
      <c r="G307" s="19"/>
      <c r="H307" s="19"/>
      <c r="I307" s="19"/>
      <c r="J307" s="19"/>
      <c r="K307" s="19"/>
      <c r="L307" s="19"/>
      <c r="M307" s="19"/>
      <c r="N307" s="19"/>
      <c r="O307" s="19"/>
      <c r="P307" s="19"/>
      <c r="Q307" s="19"/>
      <c r="R307" s="19"/>
      <c r="S307" s="19"/>
      <c r="T307" s="19"/>
      <c r="U307" s="19"/>
      <c r="V307" s="19"/>
      <c r="W307" s="19"/>
      <c r="X307" s="19"/>
    </row>
    <row r="308" spans="1:24" ht="12" customHeight="1">
      <c r="A308" s="19"/>
      <c r="B308" s="19"/>
      <c r="C308" s="19"/>
      <c r="D308" s="19"/>
      <c r="E308" s="19"/>
      <c r="F308" s="19"/>
      <c r="G308" s="19"/>
      <c r="H308" s="19"/>
      <c r="I308" s="19"/>
      <c r="J308" s="19"/>
      <c r="K308" s="19"/>
      <c r="L308" s="19"/>
      <c r="M308" s="19"/>
      <c r="N308" s="19"/>
      <c r="O308" s="19"/>
      <c r="P308" s="19"/>
      <c r="Q308" s="19"/>
      <c r="R308" s="19"/>
      <c r="S308" s="19"/>
      <c r="T308" s="19"/>
      <c r="U308" s="19"/>
      <c r="V308" s="19"/>
      <c r="W308" s="19"/>
      <c r="X308" s="19"/>
    </row>
    <row r="309" spans="1:24" ht="12" customHeight="1">
      <c r="A309" s="19"/>
      <c r="B309" s="19"/>
      <c r="C309" s="19"/>
      <c r="D309" s="19"/>
      <c r="E309" s="19"/>
      <c r="F309" s="19"/>
      <c r="G309" s="19"/>
      <c r="H309" s="19"/>
      <c r="I309" s="19"/>
      <c r="J309" s="19"/>
      <c r="K309" s="19"/>
      <c r="L309" s="19"/>
      <c r="M309" s="19"/>
      <c r="N309" s="19"/>
      <c r="O309" s="19"/>
      <c r="P309" s="19"/>
      <c r="Q309" s="19"/>
      <c r="R309" s="19"/>
      <c r="S309" s="19"/>
      <c r="T309" s="19"/>
      <c r="U309" s="19"/>
      <c r="V309" s="19"/>
      <c r="W309" s="19"/>
      <c r="X309" s="19"/>
    </row>
    <row r="310" spans="1:24" ht="12" customHeight="1">
      <c r="A310" s="19"/>
      <c r="B310" s="19"/>
      <c r="C310" s="19"/>
      <c r="D310" s="19"/>
      <c r="E310" s="19"/>
      <c r="F310" s="19"/>
      <c r="G310" s="19"/>
      <c r="H310" s="19"/>
      <c r="I310" s="19"/>
      <c r="J310" s="19"/>
      <c r="K310" s="19"/>
      <c r="L310" s="19"/>
      <c r="M310" s="19"/>
      <c r="N310" s="19"/>
      <c r="O310" s="19"/>
      <c r="P310" s="19"/>
      <c r="Q310" s="19"/>
      <c r="R310" s="19"/>
      <c r="S310" s="19"/>
      <c r="T310" s="19"/>
      <c r="U310" s="19"/>
      <c r="V310" s="19"/>
      <c r="W310" s="19"/>
      <c r="X310" s="19"/>
    </row>
    <row r="311" spans="1:24" ht="12" customHeight="1">
      <c r="A311" s="19"/>
      <c r="B311" s="19"/>
      <c r="C311" s="19"/>
      <c r="D311" s="19"/>
      <c r="E311" s="19"/>
      <c r="F311" s="19"/>
      <c r="G311" s="19"/>
      <c r="H311" s="19"/>
      <c r="I311" s="19"/>
      <c r="J311" s="19"/>
      <c r="K311" s="19"/>
      <c r="L311" s="19"/>
      <c r="M311" s="19"/>
      <c r="N311" s="19"/>
      <c r="O311" s="19"/>
      <c r="P311" s="19"/>
      <c r="Q311" s="19"/>
      <c r="R311" s="19"/>
      <c r="S311" s="19"/>
      <c r="T311" s="19"/>
      <c r="U311" s="19"/>
      <c r="V311" s="19"/>
      <c r="W311" s="19"/>
      <c r="X311" s="19"/>
    </row>
    <row r="312" spans="1:24" ht="12" customHeight="1">
      <c r="A312" s="19"/>
      <c r="B312" s="19"/>
      <c r="C312" s="19"/>
      <c r="D312" s="19"/>
      <c r="E312" s="19"/>
      <c r="F312" s="19"/>
      <c r="G312" s="19"/>
      <c r="H312" s="19"/>
      <c r="I312" s="19"/>
      <c r="J312" s="19"/>
      <c r="K312" s="19"/>
      <c r="L312" s="19"/>
      <c r="M312" s="19"/>
      <c r="N312" s="19"/>
      <c r="O312" s="19"/>
      <c r="P312" s="19"/>
      <c r="Q312" s="19"/>
      <c r="R312" s="19"/>
      <c r="S312" s="19"/>
      <c r="T312" s="19"/>
      <c r="U312" s="19"/>
      <c r="V312" s="19"/>
      <c r="W312" s="19"/>
      <c r="X312" s="19"/>
    </row>
    <row r="313" spans="1:24" ht="12" customHeight="1">
      <c r="A313" s="19"/>
      <c r="B313" s="19"/>
      <c r="C313" s="19"/>
      <c r="D313" s="19"/>
      <c r="E313" s="19"/>
      <c r="F313" s="19"/>
      <c r="G313" s="19"/>
      <c r="H313" s="19"/>
      <c r="I313" s="19"/>
      <c r="J313" s="19"/>
      <c r="K313" s="19"/>
      <c r="L313" s="19"/>
      <c r="M313" s="19"/>
      <c r="N313" s="19"/>
      <c r="O313" s="19"/>
      <c r="P313" s="19"/>
      <c r="Q313" s="19"/>
      <c r="R313" s="19"/>
      <c r="S313" s="19"/>
      <c r="T313" s="19"/>
      <c r="U313" s="19"/>
      <c r="V313" s="19"/>
      <c r="W313" s="19"/>
      <c r="X313" s="19"/>
    </row>
    <row r="314" spans="1:24" ht="12" customHeight="1">
      <c r="A314" s="19"/>
      <c r="B314" s="19"/>
      <c r="C314" s="19"/>
      <c r="D314" s="19"/>
      <c r="E314" s="19"/>
      <c r="F314" s="19"/>
      <c r="G314" s="19"/>
      <c r="H314" s="19"/>
      <c r="I314" s="19"/>
      <c r="J314" s="19"/>
      <c r="K314" s="19"/>
      <c r="L314" s="19"/>
      <c r="M314" s="19"/>
      <c r="N314" s="19"/>
      <c r="O314" s="19"/>
      <c r="P314" s="19"/>
      <c r="Q314" s="19"/>
      <c r="R314" s="19"/>
      <c r="S314" s="19"/>
      <c r="T314" s="19"/>
      <c r="U314" s="19"/>
      <c r="V314" s="19"/>
      <c r="W314" s="19"/>
      <c r="X314" s="19"/>
    </row>
    <row r="315" spans="1:24" ht="12" customHeight="1">
      <c r="A315" s="19"/>
      <c r="B315" s="19"/>
      <c r="C315" s="19"/>
      <c r="D315" s="19"/>
      <c r="E315" s="19"/>
      <c r="F315" s="19"/>
      <c r="G315" s="19"/>
      <c r="H315" s="19"/>
      <c r="I315" s="19"/>
      <c r="J315" s="19"/>
      <c r="K315" s="19"/>
      <c r="L315" s="19"/>
      <c r="M315" s="19"/>
      <c r="N315" s="19"/>
      <c r="O315" s="19"/>
      <c r="P315" s="19"/>
      <c r="Q315" s="19"/>
      <c r="R315" s="19"/>
      <c r="S315" s="19"/>
      <c r="T315" s="19"/>
      <c r="U315" s="19"/>
      <c r="V315" s="19"/>
      <c r="W315" s="19"/>
      <c r="X315" s="19"/>
    </row>
    <row r="316" spans="1:24" ht="12" customHeight="1">
      <c r="A316" s="19"/>
      <c r="B316" s="19"/>
      <c r="C316" s="19"/>
      <c r="D316" s="19"/>
      <c r="E316" s="19"/>
      <c r="F316" s="19"/>
      <c r="G316" s="19"/>
      <c r="H316" s="19"/>
      <c r="I316" s="19"/>
      <c r="J316" s="19"/>
      <c r="K316" s="19"/>
      <c r="L316" s="19"/>
      <c r="M316" s="19"/>
      <c r="N316" s="19"/>
      <c r="O316" s="19"/>
      <c r="P316" s="19"/>
      <c r="Q316" s="19"/>
      <c r="R316" s="19"/>
      <c r="S316" s="19"/>
      <c r="T316" s="19"/>
      <c r="U316" s="19"/>
      <c r="V316" s="19"/>
      <c r="W316" s="19"/>
      <c r="X316" s="19"/>
    </row>
    <row r="317" spans="1:24" ht="12" customHeight="1">
      <c r="A317" s="19"/>
      <c r="B317" s="19"/>
      <c r="C317" s="19"/>
      <c r="D317" s="19"/>
      <c r="E317" s="19"/>
      <c r="F317" s="19"/>
      <c r="G317" s="19"/>
      <c r="H317" s="19"/>
      <c r="I317" s="19"/>
      <c r="J317" s="19"/>
      <c r="K317" s="19"/>
      <c r="L317" s="19"/>
      <c r="M317" s="19"/>
      <c r="N317" s="19"/>
      <c r="O317" s="19"/>
      <c r="P317" s="19"/>
      <c r="Q317" s="19"/>
      <c r="R317" s="19"/>
      <c r="S317" s="19"/>
      <c r="T317" s="19"/>
      <c r="U317" s="19"/>
      <c r="V317" s="19"/>
      <c r="W317" s="19"/>
      <c r="X317" s="19"/>
    </row>
    <row r="318" spans="1:24" ht="12" customHeight="1">
      <c r="A318" s="19"/>
      <c r="B318" s="19"/>
      <c r="C318" s="19"/>
      <c r="D318" s="19"/>
      <c r="E318" s="19"/>
      <c r="F318" s="19"/>
      <c r="G318" s="19"/>
      <c r="H318" s="19"/>
      <c r="I318" s="19"/>
      <c r="J318" s="19"/>
      <c r="K318" s="19"/>
      <c r="L318" s="19"/>
      <c r="M318" s="19"/>
      <c r="N318" s="19"/>
      <c r="O318" s="19"/>
      <c r="P318" s="19"/>
      <c r="Q318" s="19"/>
      <c r="R318" s="19"/>
      <c r="S318" s="19"/>
      <c r="T318" s="19"/>
      <c r="U318" s="19"/>
      <c r="V318" s="19"/>
      <c r="W318" s="19"/>
      <c r="X318" s="19"/>
    </row>
    <row r="319" spans="1:24" ht="12" customHeight="1">
      <c r="A319" s="19"/>
      <c r="B319" s="19"/>
      <c r="C319" s="19"/>
      <c r="D319" s="19"/>
      <c r="E319" s="19"/>
      <c r="F319" s="19"/>
      <c r="G319" s="19"/>
      <c r="H319" s="19"/>
      <c r="I319" s="19"/>
      <c r="J319" s="19"/>
      <c r="K319" s="19"/>
      <c r="L319" s="19"/>
      <c r="M319" s="19"/>
      <c r="N319" s="19"/>
      <c r="O319" s="19"/>
      <c r="P319" s="19"/>
      <c r="Q319" s="19"/>
      <c r="R319" s="19"/>
      <c r="S319" s="19"/>
      <c r="T319" s="19"/>
      <c r="U319" s="19"/>
      <c r="V319" s="19"/>
      <c r="W319" s="19"/>
      <c r="X319" s="19"/>
    </row>
    <row r="320" spans="1:24" ht="12" customHeight="1">
      <c r="A320" s="19"/>
      <c r="B320" s="19"/>
      <c r="C320" s="19"/>
      <c r="D320" s="19"/>
      <c r="E320" s="19"/>
      <c r="F320" s="19"/>
      <c r="G320" s="19"/>
      <c r="H320" s="19"/>
      <c r="I320" s="19"/>
      <c r="J320" s="19"/>
      <c r="K320" s="19"/>
      <c r="L320" s="19"/>
      <c r="M320" s="19"/>
      <c r="N320" s="19"/>
      <c r="O320" s="19"/>
      <c r="P320" s="19"/>
      <c r="Q320" s="19"/>
      <c r="R320" s="19"/>
      <c r="S320" s="19"/>
      <c r="T320" s="19"/>
      <c r="U320" s="19"/>
      <c r="V320" s="19"/>
      <c r="W320" s="19"/>
      <c r="X320" s="19"/>
    </row>
    <row r="321" spans="1:24" ht="12" customHeight="1">
      <c r="A321" s="19"/>
      <c r="B321" s="19"/>
      <c r="C321" s="19"/>
      <c r="D321" s="19"/>
      <c r="E321" s="19"/>
      <c r="F321" s="19"/>
      <c r="G321" s="19"/>
      <c r="H321" s="19"/>
      <c r="I321" s="19"/>
      <c r="J321" s="19"/>
      <c r="K321" s="19"/>
      <c r="L321" s="19"/>
      <c r="M321" s="19"/>
      <c r="N321" s="19"/>
      <c r="O321" s="19"/>
      <c r="P321" s="19"/>
      <c r="Q321" s="19"/>
      <c r="R321" s="19"/>
      <c r="S321" s="19"/>
      <c r="T321" s="19"/>
      <c r="U321" s="19"/>
      <c r="V321" s="19"/>
      <c r="W321" s="19"/>
      <c r="X321" s="19"/>
    </row>
    <row r="322" spans="1:24" ht="12" customHeight="1">
      <c r="A322" s="19"/>
      <c r="B322" s="19"/>
      <c r="C322" s="19"/>
      <c r="D322" s="19"/>
      <c r="E322" s="19"/>
      <c r="F322" s="19"/>
      <c r="G322" s="19"/>
      <c r="H322" s="19"/>
      <c r="I322" s="19"/>
      <c r="J322" s="19"/>
      <c r="K322" s="19"/>
      <c r="L322" s="19"/>
      <c r="M322" s="19"/>
      <c r="N322" s="19"/>
      <c r="O322" s="19"/>
      <c r="P322" s="19"/>
      <c r="Q322" s="19"/>
      <c r="R322" s="19"/>
      <c r="S322" s="19"/>
      <c r="T322" s="19"/>
      <c r="U322" s="19"/>
      <c r="V322" s="19"/>
      <c r="W322" s="19"/>
      <c r="X322" s="19"/>
    </row>
    <row r="323" spans="1:24" ht="12" customHeight="1">
      <c r="A323" s="19"/>
      <c r="B323" s="19"/>
      <c r="C323" s="19"/>
      <c r="D323" s="19"/>
      <c r="E323" s="19"/>
      <c r="F323" s="19"/>
      <c r="G323" s="19"/>
      <c r="H323" s="19"/>
      <c r="I323" s="19"/>
      <c r="J323" s="19"/>
      <c r="K323" s="19"/>
      <c r="L323" s="19"/>
      <c r="M323" s="19"/>
      <c r="N323" s="19"/>
      <c r="O323" s="19"/>
      <c r="P323" s="19"/>
      <c r="Q323" s="19"/>
      <c r="R323" s="19"/>
      <c r="S323" s="19"/>
      <c r="T323" s="19"/>
      <c r="U323" s="19"/>
      <c r="V323" s="19"/>
      <c r="W323" s="19"/>
      <c r="X323" s="19"/>
    </row>
    <row r="324" spans="1:24" ht="12" customHeight="1">
      <c r="A324" s="19"/>
      <c r="B324" s="19"/>
      <c r="C324" s="19"/>
      <c r="D324" s="19"/>
      <c r="E324" s="19"/>
      <c r="F324" s="19"/>
      <c r="G324" s="19"/>
      <c r="H324" s="19"/>
      <c r="I324" s="19"/>
      <c r="J324" s="19"/>
      <c r="K324" s="19"/>
      <c r="L324" s="19"/>
      <c r="M324" s="19"/>
      <c r="N324" s="19"/>
      <c r="O324" s="19"/>
      <c r="P324" s="19"/>
      <c r="Q324" s="19"/>
      <c r="R324" s="19"/>
      <c r="S324" s="19"/>
      <c r="T324" s="19"/>
      <c r="U324" s="19"/>
      <c r="V324" s="19"/>
      <c r="W324" s="19"/>
      <c r="X324" s="19"/>
    </row>
    <row r="325" spans="1:24" ht="12" customHeight="1">
      <c r="A325" s="19"/>
      <c r="B325" s="19"/>
      <c r="C325" s="19"/>
      <c r="D325" s="19"/>
      <c r="E325" s="19"/>
      <c r="F325" s="19"/>
      <c r="G325" s="19"/>
      <c r="H325" s="19"/>
      <c r="I325" s="19"/>
      <c r="J325" s="19"/>
      <c r="K325" s="19"/>
      <c r="L325" s="19"/>
      <c r="M325" s="19"/>
      <c r="N325" s="19"/>
      <c r="O325" s="19"/>
      <c r="P325" s="19"/>
      <c r="Q325" s="19"/>
      <c r="R325" s="19"/>
      <c r="S325" s="19"/>
      <c r="T325" s="19"/>
      <c r="U325" s="19"/>
      <c r="V325" s="19"/>
      <c r="W325" s="19"/>
      <c r="X325" s="19"/>
    </row>
    <row r="326" spans="1:24" ht="12" customHeight="1">
      <c r="A326" s="19"/>
      <c r="B326" s="19"/>
      <c r="C326" s="19"/>
      <c r="D326" s="19"/>
      <c r="E326" s="19"/>
      <c r="F326" s="19"/>
      <c r="G326" s="19"/>
      <c r="H326" s="19"/>
      <c r="I326" s="19"/>
      <c r="J326" s="19"/>
      <c r="K326" s="19"/>
      <c r="L326" s="19"/>
      <c r="M326" s="19"/>
      <c r="N326" s="19"/>
      <c r="O326" s="19"/>
      <c r="P326" s="19"/>
      <c r="Q326" s="19"/>
      <c r="R326" s="19"/>
      <c r="S326" s="19"/>
      <c r="T326" s="19"/>
      <c r="U326" s="19"/>
      <c r="V326" s="19"/>
      <c r="W326" s="19"/>
      <c r="X326" s="19"/>
    </row>
    <row r="327" spans="1:24" ht="12" customHeight="1">
      <c r="A327" s="19"/>
      <c r="B327" s="19"/>
      <c r="C327" s="19"/>
      <c r="D327" s="19"/>
      <c r="E327" s="19"/>
      <c r="F327" s="19"/>
      <c r="G327" s="19"/>
      <c r="H327" s="19"/>
      <c r="I327" s="19"/>
      <c r="J327" s="19"/>
      <c r="K327" s="19"/>
      <c r="L327" s="19"/>
      <c r="M327" s="19"/>
      <c r="N327" s="19"/>
      <c r="O327" s="19"/>
      <c r="P327" s="19"/>
      <c r="Q327" s="19"/>
      <c r="R327" s="19"/>
      <c r="S327" s="19"/>
      <c r="T327" s="19"/>
      <c r="U327" s="19"/>
      <c r="V327" s="19"/>
      <c r="W327" s="19"/>
      <c r="X327" s="19"/>
    </row>
    <row r="328" spans="1:24" ht="12" customHeight="1">
      <c r="A328" s="19"/>
      <c r="B328" s="19"/>
      <c r="C328" s="19"/>
      <c r="D328" s="19"/>
      <c r="E328" s="19"/>
      <c r="F328" s="19"/>
      <c r="G328" s="19"/>
      <c r="H328" s="19"/>
      <c r="I328" s="19"/>
      <c r="J328" s="19"/>
      <c r="K328" s="19"/>
      <c r="L328" s="19"/>
      <c r="M328" s="19"/>
      <c r="N328" s="19"/>
      <c r="O328" s="19"/>
      <c r="P328" s="19"/>
      <c r="Q328" s="19"/>
      <c r="R328" s="19"/>
      <c r="S328" s="19"/>
      <c r="T328" s="19"/>
      <c r="U328" s="19"/>
      <c r="V328" s="19"/>
      <c r="W328" s="19"/>
      <c r="X328" s="19"/>
    </row>
    <row r="329" spans="1:24" ht="12" customHeight="1">
      <c r="A329" s="19"/>
      <c r="B329" s="19"/>
      <c r="C329" s="19"/>
      <c r="D329" s="19"/>
      <c r="E329" s="19"/>
      <c r="F329" s="19"/>
      <c r="G329" s="19"/>
      <c r="H329" s="19"/>
      <c r="I329" s="19"/>
      <c r="J329" s="19"/>
      <c r="K329" s="19"/>
      <c r="L329" s="19"/>
      <c r="M329" s="19"/>
      <c r="N329" s="19"/>
      <c r="O329" s="19"/>
      <c r="P329" s="19"/>
      <c r="Q329" s="19"/>
      <c r="R329" s="19"/>
      <c r="S329" s="19"/>
      <c r="T329" s="19"/>
      <c r="U329" s="19"/>
      <c r="V329" s="19"/>
      <c r="W329" s="19"/>
      <c r="X329" s="19"/>
    </row>
    <row r="330" spans="1:24" ht="12" customHeight="1">
      <c r="A330" s="19"/>
      <c r="B330" s="19"/>
      <c r="C330" s="19"/>
      <c r="D330" s="19"/>
      <c r="E330" s="19"/>
      <c r="F330" s="19"/>
      <c r="G330" s="19"/>
      <c r="H330" s="19"/>
      <c r="I330" s="19"/>
      <c r="J330" s="19"/>
      <c r="K330" s="19"/>
      <c r="L330" s="19"/>
      <c r="M330" s="19"/>
      <c r="N330" s="19"/>
      <c r="O330" s="19"/>
      <c r="P330" s="19"/>
      <c r="Q330" s="19"/>
      <c r="R330" s="19"/>
      <c r="S330" s="19"/>
      <c r="T330" s="19"/>
      <c r="U330" s="19"/>
      <c r="V330" s="19"/>
      <c r="W330" s="19"/>
      <c r="X330" s="19"/>
    </row>
    <row r="331" spans="1:24" ht="12" customHeight="1">
      <c r="A331" s="19"/>
      <c r="B331" s="19"/>
      <c r="C331" s="19"/>
      <c r="D331" s="19"/>
      <c r="E331" s="19"/>
      <c r="F331" s="19"/>
      <c r="G331" s="19"/>
      <c r="H331" s="19"/>
      <c r="I331" s="19"/>
      <c r="J331" s="19"/>
      <c r="K331" s="19"/>
      <c r="L331" s="19"/>
      <c r="M331" s="19"/>
      <c r="N331" s="19"/>
      <c r="O331" s="19"/>
      <c r="P331" s="19"/>
      <c r="Q331" s="19"/>
      <c r="R331" s="19"/>
      <c r="S331" s="19"/>
      <c r="T331" s="19"/>
      <c r="U331" s="19"/>
      <c r="V331" s="19"/>
      <c r="W331" s="19"/>
      <c r="X331" s="19"/>
    </row>
    <row r="332" spans="1:24" ht="12" customHeight="1">
      <c r="A332" s="19"/>
      <c r="B332" s="19"/>
      <c r="C332" s="19"/>
      <c r="D332" s="19"/>
      <c r="E332" s="19"/>
      <c r="F332" s="19"/>
      <c r="G332" s="19"/>
      <c r="H332" s="19"/>
      <c r="I332" s="19"/>
      <c r="J332" s="19"/>
      <c r="K332" s="19"/>
      <c r="L332" s="19"/>
      <c r="M332" s="19"/>
      <c r="N332" s="19"/>
      <c r="O332" s="19"/>
      <c r="P332" s="19"/>
      <c r="Q332" s="19"/>
      <c r="R332" s="19"/>
      <c r="S332" s="19"/>
      <c r="T332" s="19"/>
      <c r="U332" s="19"/>
      <c r="V332" s="19"/>
      <c r="W332" s="19"/>
      <c r="X332" s="19"/>
    </row>
    <row r="333" spans="1:24" ht="12" customHeight="1">
      <c r="A333" s="19"/>
      <c r="B333" s="19"/>
      <c r="C333" s="19"/>
      <c r="D333" s="19"/>
      <c r="E333" s="19"/>
      <c r="F333" s="19"/>
      <c r="G333" s="19"/>
      <c r="H333" s="19"/>
      <c r="I333" s="19"/>
      <c r="J333" s="19"/>
      <c r="K333" s="19"/>
      <c r="L333" s="19"/>
      <c r="M333" s="19"/>
      <c r="N333" s="19"/>
      <c r="O333" s="19"/>
      <c r="P333" s="19"/>
      <c r="Q333" s="19"/>
      <c r="R333" s="19"/>
      <c r="S333" s="19"/>
      <c r="T333" s="19"/>
      <c r="U333" s="19"/>
      <c r="V333" s="19"/>
      <c r="W333" s="19"/>
      <c r="X333" s="19"/>
    </row>
    <row r="334" spans="1:24" ht="12" customHeight="1">
      <c r="A334" s="19"/>
      <c r="B334" s="19"/>
      <c r="C334" s="19"/>
      <c r="D334" s="19"/>
      <c r="E334" s="19"/>
      <c r="F334" s="19"/>
      <c r="G334" s="19"/>
      <c r="H334" s="19"/>
      <c r="I334" s="19"/>
      <c r="J334" s="19"/>
      <c r="K334" s="19"/>
      <c r="L334" s="19"/>
      <c r="M334" s="19"/>
      <c r="N334" s="19"/>
      <c r="O334" s="19"/>
      <c r="P334" s="19"/>
      <c r="Q334" s="19"/>
      <c r="R334" s="19"/>
      <c r="S334" s="19"/>
      <c r="T334" s="19"/>
      <c r="U334" s="19"/>
      <c r="V334" s="19"/>
      <c r="W334" s="19"/>
      <c r="X334" s="19"/>
    </row>
    <row r="335" spans="1:24" ht="12" customHeight="1">
      <c r="A335" s="19"/>
      <c r="B335" s="19"/>
      <c r="C335" s="19"/>
      <c r="D335" s="19"/>
      <c r="E335" s="19"/>
      <c r="F335" s="19"/>
      <c r="G335" s="19"/>
      <c r="H335" s="19"/>
      <c r="I335" s="19"/>
      <c r="J335" s="19"/>
      <c r="K335" s="19"/>
      <c r="L335" s="19"/>
      <c r="M335" s="19"/>
      <c r="N335" s="19"/>
      <c r="O335" s="19"/>
      <c r="P335" s="19"/>
      <c r="Q335" s="19"/>
      <c r="R335" s="19"/>
      <c r="S335" s="19"/>
      <c r="T335" s="19"/>
      <c r="U335" s="19"/>
      <c r="V335" s="19"/>
      <c r="W335" s="19"/>
      <c r="X335" s="19"/>
    </row>
    <row r="336" spans="1:24" ht="12" customHeight="1">
      <c r="A336" s="19"/>
      <c r="B336" s="19"/>
      <c r="C336" s="19"/>
      <c r="D336" s="19"/>
      <c r="E336" s="19"/>
      <c r="F336" s="19"/>
      <c r="G336" s="19"/>
      <c r="H336" s="19"/>
      <c r="I336" s="19"/>
      <c r="J336" s="19"/>
      <c r="K336" s="19"/>
      <c r="L336" s="19"/>
      <c r="M336" s="19"/>
      <c r="N336" s="19"/>
      <c r="O336" s="19"/>
      <c r="P336" s="19"/>
      <c r="Q336" s="19"/>
      <c r="R336" s="19"/>
      <c r="S336" s="19"/>
      <c r="T336" s="19"/>
      <c r="U336" s="19"/>
      <c r="V336" s="19"/>
      <c r="W336" s="19"/>
      <c r="X336" s="19"/>
    </row>
    <row r="337" spans="1:24" ht="12" customHeight="1">
      <c r="A337" s="19"/>
      <c r="B337" s="19"/>
      <c r="C337" s="19"/>
      <c r="D337" s="19"/>
      <c r="E337" s="19"/>
      <c r="F337" s="19"/>
      <c r="G337" s="19"/>
      <c r="H337" s="19"/>
      <c r="I337" s="19"/>
      <c r="J337" s="19"/>
      <c r="K337" s="19"/>
      <c r="L337" s="19"/>
      <c r="M337" s="19"/>
      <c r="N337" s="19"/>
      <c r="O337" s="19"/>
      <c r="P337" s="19"/>
      <c r="Q337" s="19"/>
      <c r="R337" s="19"/>
      <c r="S337" s="19"/>
      <c r="T337" s="19"/>
      <c r="U337" s="19"/>
      <c r="V337" s="19"/>
      <c r="W337" s="19"/>
      <c r="X337" s="19"/>
    </row>
    <row r="338" spans="1:24" ht="12" customHeight="1">
      <c r="A338" s="19"/>
      <c r="B338" s="19"/>
      <c r="C338" s="19"/>
      <c r="D338" s="19"/>
      <c r="E338" s="19"/>
      <c r="F338" s="19"/>
      <c r="G338" s="19"/>
      <c r="H338" s="19"/>
      <c r="I338" s="19"/>
      <c r="J338" s="19"/>
      <c r="K338" s="19"/>
      <c r="L338" s="19"/>
      <c r="M338" s="19"/>
      <c r="N338" s="19"/>
      <c r="O338" s="19"/>
      <c r="P338" s="19"/>
      <c r="Q338" s="19"/>
      <c r="R338" s="19"/>
      <c r="S338" s="19"/>
      <c r="T338" s="19"/>
      <c r="U338" s="19"/>
      <c r="V338" s="19"/>
      <c r="W338" s="19"/>
      <c r="X338" s="19"/>
    </row>
    <row r="339" spans="1:24" ht="12" customHeight="1">
      <c r="A339" s="19"/>
      <c r="B339" s="19"/>
      <c r="C339" s="19"/>
      <c r="D339" s="19"/>
      <c r="E339" s="19"/>
      <c r="F339" s="19"/>
      <c r="G339" s="19"/>
      <c r="H339" s="19"/>
      <c r="I339" s="19"/>
      <c r="J339" s="19"/>
      <c r="K339" s="19"/>
      <c r="L339" s="19"/>
      <c r="M339" s="19"/>
      <c r="N339" s="19"/>
      <c r="O339" s="19"/>
      <c r="P339" s="19"/>
      <c r="Q339" s="19"/>
      <c r="R339" s="19"/>
      <c r="S339" s="19"/>
      <c r="T339" s="19"/>
      <c r="U339" s="19"/>
      <c r="V339" s="19"/>
      <c r="W339" s="19"/>
      <c r="X339" s="19"/>
    </row>
    <row r="340" spans="1:24" ht="12" customHeight="1">
      <c r="A340" s="19"/>
      <c r="B340" s="19"/>
      <c r="C340" s="19"/>
      <c r="D340" s="19"/>
      <c r="E340" s="19"/>
      <c r="F340" s="19"/>
      <c r="G340" s="19"/>
      <c r="H340" s="19"/>
      <c r="I340" s="19"/>
      <c r="J340" s="19"/>
      <c r="K340" s="19"/>
      <c r="L340" s="19"/>
      <c r="M340" s="19"/>
      <c r="N340" s="19"/>
      <c r="O340" s="19"/>
      <c r="P340" s="19"/>
      <c r="Q340" s="19"/>
      <c r="R340" s="19"/>
      <c r="S340" s="19"/>
      <c r="T340" s="19"/>
      <c r="U340" s="19"/>
      <c r="V340" s="19"/>
      <c r="W340" s="19"/>
      <c r="X340" s="19"/>
    </row>
    <row r="341" spans="1:24" ht="12" customHeight="1">
      <c r="A341" s="19"/>
      <c r="B341" s="19"/>
      <c r="C341" s="19"/>
      <c r="D341" s="19"/>
      <c r="E341" s="19"/>
      <c r="F341" s="19"/>
      <c r="G341" s="19"/>
      <c r="H341" s="19"/>
      <c r="I341" s="19"/>
      <c r="J341" s="19"/>
      <c r="K341" s="19"/>
      <c r="L341" s="19"/>
      <c r="M341" s="19"/>
      <c r="N341" s="19"/>
      <c r="O341" s="19"/>
      <c r="P341" s="19"/>
      <c r="Q341" s="19"/>
      <c r="R341" s="19"/>
      <c r="S341" s="19"/>
      <c r="T341" s="19"/>
      <c r="U341" s="19"/>
      <c r="V341" s="19"/>
      <c r="W341" s="19"/>
      <c r="X341" s="19"/>
    </row>
    <row r="342" spans="1:24" ht="12" customHeight="1">
      <c r="A342" s="19"/>
      <c r="B342" s="19"/>
      <c r="C342" s="19"/>
      <c r="D342" s="19"/>
      <c r="E342" s="19"/>
      <c r="F342" s="19"/>
      <c r="G342" s="19"/>
      <c r="H342" s="19"/>
      <c r="I342" s="19"/>
      <c r="J342" s="19"/>
      <c r="K342" s="19"/>
      <c r="L342" s="19"/>
      <c r="M342" s="19"/>
      <c r="N342" s="19"/>
      <c r="O342" s="19"/>
      <c r="P342" s="19"/>
      <c r="Q342" s="19"/>
      <c r="R342" s="19"/>
      <c r="S342" s="19"/>
      <c r="T342" s="19"/>
      <c r="U342" s="19"/>
      <c r="V342" s="19"/>
      <c r="W342" s="19"/>
      <c r="X342" s="19"/>
    </row>
    <row r="343" spans="1:24" ht="12" customHeight="1">
      <c r="A343" s="19"/>
      <c r="B343" s="19"/>
      <c r="C343" s="19"/>
      <c r="D343" s="19"/>
      <c r="E343" s="19"/>
      <c r="F343" s="19"/>
      <c r="G343" s="19"/>
      <c r="H343" s="19"/>
      <c r="I343" s="19"/>
      <c r="J343" s="19"/>
      <c r="K343" s="19"/>
      <c r="L343" s="19"/>
      <c r="M343" s="19"/>
      <c r="N343" s="19"/>
      <c r="O343" s="19"/>
      <c r="P343" s="19"/>
      <c r="Q343" s="19"/>
      <c r="R343" s="19"/>
      <c r="S343" s="19"/>
      <c r="T343" s="19"/>
      <c r="U343" s="19"/>
      <c r="V343" s="19"/>
      <c r="W343" s="19"/>
      <c r="X343" s="19"/>
    </row>
    <row r="344" spans="1:24" ht="12" customHeight="1">
      <c r="A344" s="19"/>
      <c r="B344" s="19"/>
      <c r="C344" s="19"/>
      <c r="D344" s="19"/>
      <c r="E344" s="19"/>
      <c r="F344" s="19"/>
      <c r="G344" s="19"/>
      <c r="H344" s="19"/>
      <c r="I344" s="19"/>
      <c r="J344" s="19"/>
      <c r="K344" s="19"/>
      <c r="L344" s="19"/>
      <c r="M344" s="19"/>
      <c r="N344" s="19"/>
      <c r="O344" s="19"/>
      <c r="P344" s="19"/>
      <c r="Q344" s="19"/>
      <c r="R344" s="19"/>
      <c r="S344" s="19"/>
      <c r="T344" s="19"/>
      <c r="U344" s="19"/>
      <c r="V344" s="19"/>
      <c r="W344" s="19"/>
      <c r="X344" s="19"/>
    </row>
    <row r="345" spans="1:24" ht="12" customHeight="1">
      <c r="A345" s="19"/>
      <c r="B345" s="19"/>
      <c r="C345" s="19"/>
      <c r="D345" s="19"/>
      <c r="E345" s="19"/>
      <c r="F345" s="19"/>
      <c r="G345" s="19"/>
      <c r="H345" s="19"/>
      <c r="I345" s="19"/>
      <c r="J345" s="19"/>
      <c r="K345" s="19"/>
      <c r="L345" s="19"/>
      <c r="M345" s="19"/>
      <c r="N345" s="19"/>
      <c r="O345" s="19"/>
      <c r="P345" s="19"/>
      <c r="Q345" s="19"/>
      <c r="R345" s="19"/>
      <c r="S345" s="19"/>
      <c r="T345" s="19"/>
      <c r="U345" s="19"/>
      <c r="V345" s="19"/>
      <c r="W345" s="19"/>
      <c r="X345" s="19"/>
    </row>
    <row r="346" spans="1:24" ht="12" customHeight="1">
      <c r="A346" s="19"/>
      <c r="B346" s="19"/>
      <c r="C346" s="19"/>
      <c r="D346" s="19"/>
      <c r="E346" s="19"/>
      <c r="F346" s="19"/>
      <c r="G346" s="19"/>
      <c r="H346" s="19"/>
      <c r="I346" s="19"/>
      <c r="J346" s="19"/>
      <c r="K346" s="19"/>
      <c r="L346" s="19"/>
      <c r="M346" s="19"/>
      <c r="N346" s="19"/>
      <c r="O346" s="19"/>
      <c r="P346" s="19"/>
      <c r="Q346" s="19"/>
      <c r="R346" s="19"/>
      <c r="S346" s="19"/>
      <c r="T346" s="19"/>
      <c r="U346" s="19"/>
      <c r="V346" s="19"/>
      <c r="W346" s="19"/>
      <c r="X346" s="19"/>
    </row>
    <row r="347" spans="1:24" ht="12" customHeight="1">
      <c r="A347" s="19"/>
      <c r="B347" s="19"/>
      <c r="C347" s="19"/>
      <c r="D347" s="19"/>
      <c r="E347" s="19"/>
      <c r="F347" s="19"/>
      <c r="G347" s="19"/>
      <c r="H347" s="19"/>
      <c r="I347" s="19"/>
      <c r="J347" s="19"/>
      <c r="K347" s="19"/>
      <c r="L347" s="19"/>
      <c r="M347" s="19"/>
      <c r="N347" s="19"/>
      <c r="O347" s="19"/>
      <c r="P347" s="19"/>
      <c r="Q347" s="19"/>
      <c r="R347" s="19"/>
      <c r="S347" s="19"/>
      <c r="T347" s="19"/>
      <c r="U347" s="19"/>
      <c r="V347" s="19"/>
      <c r="W347" s="19"/>
      <c r="X347" s="19"/>
    </row>
    <row r="348" spans="1:24" ht="12" customHeight="1">
      <c r="A348" s="19"/>
      <c r="B348" s="19"/>
      <c r="C348" s="19"/>
      <c r="D348" s="19"/>
      <c r="E348" s="19"/>
      <c r="F348" s="19"/>
      <c r="G348" s="19"/>
      <c r="H348" s="19"/>
      <c r="I348" s="19"/>
      <c r="J348" s="19"/>
      <c r="K348" s="19"/>
      <c r="L348" s="19"/>
      <c r="M348" s="19"/>
      <c r="N348" s="19"/>
      <c r="O348" s="19"/>
      <c r="P348" s="19"/>
      <c r="Q348" s="19"/>
      <c r="R348" s="19"/>
      <c r="S348" s="19"/>
      <c r="T348" s="19"/>
      <c r="U348" s="19"/>
      <c r="V348" s="19"/>
      <c r="W348" s="19"/>
      <c r="X348" s="19"/>
    </row>
    <row r="349" spans="1:24" ht="12" customHeight="1">
      <c r="A349" s="19"/>
      <c r="B349" s="19"/>
      <c r="C349" s="19"/>
      <c r="D349" s="19"/>
      <c r="E349" s="19"/>
      <c r="F349" s="19"/>
      <c r="G349" s="19"/>
      <c r="H349" s="19"/>
      <c r="I349" s="19"/>
      <c r="J349" s="19"/>
      <c r="K349" s="19"/>
      <c r="L349" s="19"/>
      <c r="M349" s="19"/>
      <c r="N349" s="19"/>
      <c r="O349" s="19"/>
      <c r="P349" s="19"/>
      <c r="Q349" s="19"/>
      <c r="R349" s="19"/>
      <c r="S349" s="19"/>
      <c r="T349" s="19"/>
      <c r="U349" s="19"/>
      <c r="V349" s="19"/>
      <c r="W349" s="19"/>
      <c r="X349" s="19"/>
    </row>
    <row r="350" spans="1:24" ht="12" customHeight="1">
      <c r="A350" s="19"/>
      <c r="B350" s="19"/>
      <c r="C350" s="19"/>
      <c r="D350" s="19"/>
      <c r="E350" s="19"/>
      <c r="F350" s="19"/>
      <c r="G350" s="19"/>
      <c r="H350" s="19"/>
      <c r="I350" s="19"/>
      <c r="J350" s="19"/>
      <c r="K350" s="19"/>
      <c r="L350" s="19"/>
      <c r="M350" s="19"/>
      <c r="N350" s="19"/>
      <c r="O350" s="19"/>
      <c r="P350" s="19"/>
      <c r="Q350" s="19"/>
      <c r="R350" s="19"/>
      <c r="S350" s="19"/>
      <c r="T350" s="19"/>
      <c r="U350" s="19"/>
      <c r="V350" s="19"/>
      <c r="W350" s="19"/>
      <c r="X350" s="19"/>
    </row>
    <row r="351" spans="1:24" ht="12" customHeight="1">
      <c r="A351" s="19"/>
      <c r="B351" s="19"/>
      <c r="C351" s="19"/>
      <c r="D351" s="19"/>
      <c r="E351" s="19"/>
      <c r="F351" s="19"/>
      <c r="G351" s="19"/>
      <c r="H351" s="19"/>
      <c r="I351" s="19"/>
      <c r="J351" s="19"/>
      <c r="K351" s="19"/>
      <c r="L351" s="19"/>
      <c r="M351" s="19"/>
      <c r="N351" s="19"/>
      <c r="O351" s="19"/>
      <c r="P351" s="19"/>
      <c r="Q351" s="19"/>
      <c r="R351" s="19"/>
      <c r="S351" s="19"/>
      <c r="T351" s="19"/>
      <c r="U351" s="19"/>
      <c r="V351" s="19"/>
      <c r="W351" s="19"/>
      <c r="X351" s="19"/>
    </row>
    <row r="352" spans="1:24" ht="12" customHeight="1">
      <c r="A352" s="19"/>
      <c r="B352" s="19"/>
      <c r="C352" s="19"/>
      <c r="D352" s="19"/>
      <c r="E352" s="19"/>
      <c r="F352" s="19"/>
      <c r="G352" s="19"/>
      <c r="H352" s="19"/>
      <c r="I352" s="19"/>
      <c r="J352" s="19"/>
      <c r="K352" s="19"/>
      <c r="L352" s="19"/>
      <c r="M352" s="19"/>
      <c r="N352" s="19"/>
      <c r="O352" s="19"/>
      <c r="P352" s="19"/>
      <c r="Q352" s="19"/>
      <c r="R352" s="19"/>
      <c r="S352" s="19"/>
      <c r="T352" s="19"/>
      <c r="U352" s="19"/>
      <c r="V352" s="19"/>
      <c r="W352" s="19"/>
      <c r="X352" s="19"/>
    </row>
    <row r="353" spans="1:24" ht="12" customHeight="1">
      <c r="A353" s="19"/>
      <c r="B353" s="19"/>
      <c r="C353" s="19"/>
      <c r="D353" s="19"/>
      <c r="E353" s="19"/>
      <c r="F353" s="19"/>
      <c r="G353" s="19"/>
      <c r="H353" s="19"/>
      <c r="I353" s="19"/>
      <c r="J353" s="19"/>
      <c r="K353" s="19"/>
      <c r="L353" s="19"/>
      <c r="M353" s="19"/>
      <c r="N353" s="19"/>
      <c r="O353" s="19"/>
      <c r="P353" s="19"/>
      <c r="Q353" s="19"/>
      <c r="R353" s="19"/>
      <c r="S353" s="19"/>
      <c r="T353" s="19"/>
      <c r="U353" s="19"/>
      <c r="V353" s="19"/>
      <c r="W353" s="19"/>
      <c r="X353" s="19"/>
    </row>
    <row r="354" spans="1:24" ht="12" customHeight="1">
      <c r="A354" s="19"/>
      <c r="B354" s="19"/>
      <c r="C354" s="19"/>
      <c r="D354" s="19"/>
      <c r="E354" s="19"/>
      <c r="F354" s="19"/>
      <c r="G354" s="19"/>
      <c r="H354" s="19"/>
      <c r="I354" s="19"/>
      <c r="J354" s="19"/>
      <c r="K354" s="19"/>
      <c r="L354" s="19"/>
      <c r="M354" s="19"/>
      <c r="N354" s="19"/>
      <c r="O354" s="19"/>
      <c r="P354" s="19"/>
      <c r="Q354" s="19"/>
      <c r="R354" s="19"/>
      <c r="S354" s="19"/>
      <c r="T354" s="19"/>
      <c r="U354" s="19"/>
      <c r="V354" s="19"/>
      <c r="W354" s="19"/>
      <c r="X354" s="19"/>
    </row>
    <row r="355" spans="1:24" ht="12" customHeight="1">
      <c r="A355" s="19"/>
      <c r="B355" s="19"/>
      <c r="C355" s="19"/>
      <c r="D355" s="19"/>
      <c r="E355" s="19"/>
      <c r="F355" s="19"/>
      <c r="G355" s="19"/>
      <c r="H355" s="19"/>
      <c r="I355" s="19"/>
      <c r="J355" s="19"/>
      <c r="K355" s="19"/>
      <c r="L355" s="19"/>
      <c r="M355" s="19"/>
      <c r="N355" s="19"/>
      <c r="O355" s="19"/>
      <c r="P355" s="19"/>
      <c r="Q355" s="19"/>
      <c r="R355" s="19"/>
      <c r="S355" s="19"/>
      <c r="T355" s="19"/>
      <c r="U355" s="19"/>
      <c r="V355" s="19"/>
      <c r="W355" s="19"/>
      <c r="X355" s="19"/>
    </row>
    <row r="356" spans="1:24" ht="12" customHeight="1">
      <c r="A356" s="19"/>
      <c r="B356" s="19"/>
      <c r="C356" s="19"/>
      <c r="D356" s="19"/>
      <c r="E356" s="19"/>
      <c r="F356" s="19"/>
      <c r="G356" s="19"/>
      <c r="H356" s="19"/>
      <c r="I356" s="19"/>
      <c r="J356" s="19"/>
      <c r="K356" s="19"/>
      <c r="L356" s="19"/>
      <c r="M356" s="19"/>
      <c r="N356" s="19"/>
      <c r="O356" s="19"/>
      <c r="P356" s="19"/>
      <c r="Q356" s="19"/>
      <c r="R356" s="19"/>
      <c r="S356" s="19"/>
      <c r="T356" s="19"/>
      <c r="U356" s="19"/>
      <c r="V356" s="19"/>
      <c r="W356" s="19"/>
      <c r="X356" s="19"/>
    </row>
    <row r="357" spans="1:24" ht="12" customHeight="1">
      <c r="A357" s="19"/>
      <c r="B357" s="19"/>
      <c r="C357" s="19"/>
      <c r="D357" s="19"/>
      <c r="E357" s="19"/>
      <c r="F357" s="19"/>
      <c r="G357" s="19"/>
      <c r="H357" s="19"/>
      <c r="I357" s="19"/>
      <c r="J357" s="19"/>
      <c r="K357" s="19"/>
      <c r="L357" s="19"/>
      <c r="M357" s="19"/>
      <c r="N357" s="19"/>
      <c r="O357" s="19"/>
      <c r="P357" s="19"/>
      <c r="Q357" s="19"/>
      <c r="R357" s="19"/>
      <c r="S357" s="19"/>
      <c r="T357" s="19"/>
      <c r="U357" s="19"/>
      <c r="V357" s="19"/>
      <c r="W357" s="19"/>
      <c r="X357" s="19"/>
    </row>
    <row r="358" spans="1:24" ht="12" customHeight="1">
      <c r="A358" s="19"/>
      <c r="B358" s="19"/>
      <c r="C358" s="19"/>
      <c r="D358" s="19"/>
      <c r="E358" s="19"/>
      <c r="F358" s="19"/>
      <c r="G358" s="19"/>
      <c r="H358" s="19"/>
      <c r="I358" s="19"/>
      <c r="J358" s="19"/>
      <c r="K358" s="19"/>
      <c r="L358" s="19"/>
      <c r="M358" s="19"/>
      <c r="N358" s="19"/>
      <c r="O358" s="19"/>
      <c r="P358" s="19"/>
      <c r="Q358" s="19"/>
      <c r="R358" s="19"/>
      <c r="S358" s="19"/>
      <c r="T358" s="19"/>
      <c r="U358" s="19"/>
      <c r="V358" s="19"/>
      <c r="W358" s="19"/>
      <c r="X358" s="19"/>
    </row>
    <row r="359" spans="1:24" ht="12" customHeight="1">
      <c r="A359" s="19"/>
      <c r="B359" s="19"/>
      <c r="C359" s="19"/>
      <c r="D359" s="19"/>
      <c r="E359" s="19"/>
      <c r="F359" s="19"/>
      <c r="G359" s="19"/>
      <c r="H359" s="19"/>
      <c r="I359" s="19"/>
      <c r="J359" s="19"/>
      <c r="K359" s="19"/>
      <c r="L359" s="19"/>
      <c r="M359" s="19"/>
      <c r="N359" s="19"/>
      <c r="O359" s="19"/>
      <c r="P359" s="19"/>
      <c r="Q359" s="19"/>
      <c r="R359" s="19"/>
      <c r="S359" s="19"/>
      <c r="T359" s="19"/>
      <c r="U359" s="19"/>
      <c r="V359" s="19"/>
      <c r="W359" s="19"/>
      <c r="X359" s="19"/>
    </row>
    <row r="360" spans="1:24" ht="12" customHeight="1">
      <c r="A360" s="19"/>
      <c r="B360" s="19"/>
      <c r="C360" s="19"/>
      <c r="D360" s="19"/>
      <c r="E360" s="19"/>
      <c r="F360" s="19"/>
      <c r="G360" s="19"/>
      <c r="H360" s="19"/>
      <c r="I360" s="19"/>
      <c r="J360" s="19"/>
      <c r="K360" s="19"/>
      <c r="L360" s="19"/>
      <c r="M360" s="19"/>
      <c r="N360" s="19"/>
      <c r="O360" s="19"/>
      <c r="P360" s="19"/>
      <c r="Q360" s="19"/>
      <c r="R360" s="19"/>
      <c r="S360" s="19"/>
      <c r="T360" s="19"/>
      <c r="U360" s="19"/>
      <c r="V360" s="19"/>
      <c r="W360" s="19"/>
      <c r="X360" s="19"/>
    </row>
    <row r="361" spans="1:24" ht="12" customHeight="1">
      <c r="A361" s="19"/>
      <c r="B361" s="19"/>
      <c r="C361" s="19"/>
      <c r="D361" s="19"/>
      <c r="E361" s="19"/>
      <c r="F361" s="19"/>
      <c r="G361" s="19"/>
      <c r="H361" s="19"/>
      <c r="I361" s="19"/>
      <c r="J361" s="19"/>
      <c r="K361" s="19"/>
      <c r="L361" s="19"/>
      <c r="M361" s="19"/>
      <c r="N361" s="19"/>
      <c r="O361" s="19"/>
      <c r="P361" s="19"/>
      <c r="Q361" s="19"/>
      <c r="R361" s="19"/>
      <c r="S361" s="19"/>
      <c r="T361" s="19"/>
      <c r="U361" s="19"/>
      <c r="V361" s="19"/>
      <c r="W361" s="19"/>
      <c r="X361" s="19"/>
    </row>
    <row r="362" spans="1:24" ht="12" customHeight="1">
      <c r="A362" s="19"/>
      <c r="B362" s="19"/>
      <c r="C362" s="19"/>
      <c r="D362" s="19"/>
      <c r="E362" s="19"/>
      <c r="F362" s="19"/>
      <c r="G362" s="19"/>
      <c r="H362" s="19"/>
      <c r="I362" s="19"/>
      <c r="J362" s="19"/>
      <c r="K362" s="19"/>
      <c r="L362" s="19"/>
      <c r="M362" s="19"/>
      <c r="N362" s="19"/>
      <c r="O362" s="19"/>
      <c r="P362" s="19"/>
      <c r="Q362" s="19"/>
      <c r="R362" s="19"/>
      <c r="S362" s="19"/>
      <c r="T362" s="19"/>
      <c r="U362" s="19"/>
      <c r="V362" s="19"/>
      <c r="W362" s="19"/>
      <c r="X362" s="19"/>
    </row>
    <row r="363" spans="1:24" ht="12" customHeight="1">
      <c r="A363" s="19"/>
      <c r="B363" s="19"/>
      <c r="C363" s="19"/>
      <c r="D363" s="19"/>
      <c r="E363" s="19"/>
      <c r="F363" s="19"/>
      <c r="G363" s="19"/>
      <c r="H363" s="19"/>
      <c r="I363" s="19"/>
      <c r="J363" s="19"/>
      <c r="K363" s="19"/>
      <c r="L363" s="19"/>
      <c r="M363" s="19"/>
      <c r="N363" s="19"/>
      <c r="O363" s="19"/>
      <c r="P363" s="19"/>
      <c r="Q363" s="19"/>
      <c r="R363" s="19"/>
      <c r="S363" s="19"/>
      <c r="T363" s="19"/>
      <c r="U363" s="19"/>
      <c r="V363" s="19"/>
      <c r="W363" s="19"/>
      <c r="X363" s="19"/>
    </row>
    <row r="364" spans="1:24" ht="12" customHeight="1">
      <c r="A364" s="19"/>
      <c r="B364" s="19"/>
      <c r="C364" s="19"/>
      <c r="D364" s="19"/>
      <c r="E364" s="19"/>
      <c r="F364" s="19"/>
      <c r="G364" s="19"/>
      <c r="H364" s="19"/>
      <c r="I364" s="19"/>
      <c r="J364" s="19"/>
      <c r="K364" s="19"/>
      <c r="L364" s="19"/>
      <c r="M364" s="19"/>
      <c r="N364" s="19"/>
      <c r="O364" s="19"/>
      <c r="P364" s="19"/>
      <c r="Q364" s="19"/>
      <c r="R364" s="19"/>
      <c r="S364" s="19"/>
      <c r="T364" s="19"/>
      <c r="U364" s="19"/>
      <c r="V364" s="19"/>
      <c r="W364" s="19"/>
      <c r="X364" s="19"/>
    </row>
    <row r="365" spans="1:24" ht="12" customHeight="1">
      <c r="A365" s="19"/>
      <c r="B365" s="19"/>
      <c r="C365" s="19"/>
      <c r="D365" s="19"/>
      <c r="E365" s="19"/>
      <c r="F365" s="19"/>
      <c r="G365" s="19"/>
      <c r="H365" s="19"/>
      <c r="I365" s="19"/>
      <c r="J365" s="19"/>
      <c r="K365" s="19"/>
      <c r="L365" s="19"/>
      <c r="M365" s="19"/>
      <c r="N365" s="19"/>
      <c r="O365" s="19"/>
      <c r="P365" s="19"/>
      <c r="Q365" s="19"/>
      <c r="R365" s="19"/>
      <c r="S365" s="19"/>
      <c r="T365" s="19"/>
      <c r="U365" s="19"/>
      <c r="V365" s="19"/>
      <c r="W365" s="19"/>
      <c r="X365" s="19"/>
    </row>
    <row r="366" spans="1:24" ht="12" customHeight="1">
      <c r="A366" s="19"/>
      <c r="B366" s="19"/>
      <c r="C366" s="19"/>
      <c r="D366" s="19"/>
      <c r="E366" s="19"/>
      <c r="F366" s="19"/>
      <c r="G366" s="19"/>
      <c r="H366" s="19"/>
      <c r="I366" s="19"/>
      <c r="J366" s="19"/>
      <c r="K366" s="19"/>
      <c r="L366" s="19"/>
      <c r="M366" s="19"/>
      <c r="N366" s="19"/>
      <c r="O366" s="19"/>
      <c r="P366" s="19"/>
      <c r="Q366" s="19"/>
      <c r="R366" s="19"/>
      <c r="S366" s="19"/>
      <c r="T366" s="19"/>
      <c r="U366" s="19"/>
      <c r="V366" s="19"/>
      <c r="W366" s="19"/>
      <c r="X366" s="19"/>
    </row>
    <row r="367" spans="1:24" ht="12" customHeight="1">
      <c r="A367" s="19"/>
      <c r="B367" s="19"/>
      <c r="C367" s="19"/>
      <c r="D367" s="19"/>
      <c r="E367" s="19"/>
      <c r="F367" s="19"/>
      <c r="G367" s="19"/>
      <c r="H367" s="19"/>
      <c r="I367" s="19"/>
      <c r="J367" s="19"/>
      <c r="K367" s="19"/>
      <c r="L367" s="19"/>
      <c r="M367" s="19"/>
      <c r="N367" s="19"/>
      <c r="O367" s="19"/>
      <c r="P367" s="19"/>
      <c r="Q367" s="19"/>
      <c r="R367" s="19"/>
      <c r="S367" s="19"/>
      <c r="T367" s="19"/>
      <c r="U367" s="19"/>
      <c r="V367" s="19"/>
      <c r="W367" s="19"/>
      <c r="X367" s="19"/>
    </row>
    <row r="368" spans="1:24" ht="12" customHeight="1">
      <c r="A368" s="19"/>
      <c r="B368" s="19"/>
      <c r="C368" s="19"/>
      <c r="D368" s="19"/>
      <c r="E368" s="19"/>
      <c r="F368" s="19"/>
      <c r="G368" s="19"/>
      <c r="H368" s="19"/>
      <c r="I368" s="19"/>
      <c r="J368" s="19"/>
      <c r="K368" s="19"/>
      <c r="L368" s="19"/>
      <c r="M368" s="19"/>
      <c r="N368" s="19"/>
      <c r="O368" s="19"/>
      <c r="P368" s="19"/>
      <c r="Q368" s="19"/>
      <c r="R368" s="19"/>
      <c r="S368" s="19"/>
      <c r="T368" s="19"/>
      <c r="U368" s="19"/>
      <c r="V368" s="19"/>
      <c r="W368" s="19"/>
      <c r="X368" s="19"/>
    </row>
    <row r="369" spans="1:24" ht="12" customHeight="1">
      <c r="A369" s="19"/>
      <c r="B369" s="19"/>
      <c r="C369" s="19"/>
      <c r="D369" s="19"/>
      <c r="E369" s="19"/>
      <c r="F369" s="19"/>
      <c r="G369" s="19"/>
      <c r="H369" s="19"/>
      <c r="I369" s="19"/>
      <c r="J369" s="19"/>
      <c r="K369" s="19"/>
      <c r="L369" s="19"/>
      <c r="M369" s="19"/>
      <c r="N369" s="19"/>
      <c r="O369" s="19"/>
      <c r="P369" s="19"/>
      <c r="Q369" s="19"/>
      <c r="R369" s="19"/>
      <c r="S369" s="19"/>
      <c r="T369" s="19"/>
      <c r="U369" s="19"/>
      <c r="V369" s="19"/>
      <c r="W369" s="19"/>
      <c r="X369" s="19"/>
    </row>
    <row r="370" spans="1:24" ht="12" customHeight="1">
      <c r="A370" s="19"/>
      <c r="B370" s="19"/>
      <c r="C370" s="19"/>
      <c r="D370" s="19"/>
      <c r="E370" s="19"/>
      <c r="F370" s="19"/>
      <c r="G370" s="19"/>
      <c r="H370" s="19"/>
      <c r="I370" s="19"/>
      <c r="J370" s="19"/>
      <c r="K370" s="19"/>
      <c r="L370" s="19"/>
      <c r="M370" s="19"/>
      <c r="N370" s="19"/>
      <c r="O370" s="19"/>
      <c r="P370" s="19"/>
      <c r="Q370" s="19"/>
      <c r="R370" s="19"/>
      <c r="S370" s="19"/>
      <c r="T370" s="19"/>
      <c r="U370" s="19"/>
      <c r="V370" s="19"/>
      <c r="W370" s="19"/>
      <c r="X370" s="19"/>
    </row>
    <row r="371" spans="1:24" ht="12" customHeight="1">
      <c r="A371" s="19"/>
      <c r="B371" s="19"/>
      <c r="C371" s="19"/>
      <c r="D371" s="19"/>
      <c r="E371" s="19"/>
      <c r="F371" s="19"/>
      <c r="G371" s="19"/>
      <c r="H371" s="19"/>
      <c r="I371" s="19"/>
      <c r="J371" s="19"/>
      <c r="K371" s="19"/>
      <c r="L371" s="19"/>
      <c r="M371" s="19"/>
      <c r="N371" s="19"/>
      <c r="O371" s="19"/>
      <c r="P371" s="19"/>
      <c r="Q371" s="19"/>
      <c r="R371" s="19"/>
      <c r="S371" s="19"/>
      <c r="T371" s="19"/>
      <c r="U371" s="19"/>
      <c r="V371" s="19"/>
      <c r="W371" s="19"/>
      <c r="X371" s="19"/>
    </row>
    <row r="372" spans="1:24" ht="12" customHeight="1">
      <c r="A372" s="19"/>
      <c r="B372" s="19"/>
      <c r="C372" s="19"/>
      <c r="D372" s="19"/>
      <c r="E372" s="19"/>
      <c r="F372" s="19"/>
      <c r="G372" s="19"/>
      <c r="H372" s="19"/>
      <c r="I372" s="19"/>
      <c r="J372" s="19"/>
      <c r="K372" s="19"/>
      <c r="L372" s="19"/>
      <c r="M372" s="19"/>
      <c r="N372" s="19"/>
      <c r="O372" s="19"/>
      <c r="P372" s="19"/>
      <c r="Q372" s="19"/>
      <c r="R372" s="19"/>
      <c r="S372" s="19"/>
      <c r="T372" s="19"/>
      <c r="U372" s="19"/>
      <c r="V372" s="19"/>
      <c r="W372" s="19"/>
      <c r="X372" s="19"/>
    </row>
    <row r="373" spans="1:24" ht="12" customHeight="1">
      <c r="A373" s="19"/>
      <c r="B373" s="19"/>
      <c r="C373" s="19"/>
      <c r="D373" s="19"/>
      <c r="E373" s="19"/>
      <c r="F373" s="19"/>
      <c r="G373" s="19"/>
      <c r="H373" s="19"/>
      <c r="I373" s="19"/>
      <c r="J373" s="19"/>
      <c r="K373" s="19"/>
      <c r="L373" s="19"/>
      <c r="M373" s="19"/>
      <c r="N373" s="19"/>
      <c r="O373" s="19"/>
      <c r="P373" s="19"/>
      <c r="Q373" s="19"/>
      <c r="R373" s="19"/>
      <c r="S373" s="19"/>
      <c r="T373" s="19"/>
      <c r="U373" s="19"/>
      <c r="V373" s="19"/>
      <c r="W373" s="19"/>
      <c r="X373" s="19"/>
    </row>
    <row r="374" spans="1:24" ht="12" customHeight="1">
      <c r="A374" s="19"/>
      <c r="B374" s="19"/>
      <c r="C374" s="19"/>
      <c r="D374" s="19"/>
      <c r="E374" s="19"/>
      <c r="F374" s="19"/>
      <c r="G374" s="19"/>
      <c r="H374" s="19"/>
      <c r="I374" s="19"/>
      <c r="J374" s="19"/>
      <c r="K374" s="19"/>
      <c r="L374" s="19"/>
      <c r="M374" s="19"/>
      <c r="N374" s="19"/>
      <c r="O374" s="19"/>
      <c r="P374" s="19"/>
      <c r="Q374" s="19"/>
      <c r="R374" s="19"/>
      <c r="S374" s="19"/>
      <c r="T374" s="19"/>
      <c r="U374" s="19"/>
      <c r="V374" s="19"/>
      <c r="W374" s="19"/>
      <c r="X374" s="19"/>
    </row>
    <row r="375" spans="1:24" ht="12" customHeight="1">
      <c r="A375" s="19"/>
      <c r="B375" s="19"/>
      <c r="C375" s="19"/>
      <c r="D375" s="19"/>
      <c r="E375" s="19"/>
      <c r="F375" s="19"/>
      <c r="G375" s="19"/>
      <c r="H375" s="19"/>
      <c r="I375" s="19"/>
      <c r="J375" s="19"/>
      <c r="K375" s="19"/>
      <c r="L375" s="19"/>
      <c r="M375" s="19"/>
      <c r="N375" s="19"/>
      <c r="O375" s="19"/>
      <c r="P375" s="19"/>
      <c r="Q375" s="19"/>
      <c r="R375" s="19"/>
      <c r="S375" s="19"/>
      <c r="T375" s="19"/>
      <c r="U375" s="19"/>
      <c r="V375" s="19"/>
      <c r="W375" s="19"/>
      <c r="X375" s="19"/>
    </row>
    <row r="376" spans="1:24" ht="12" customHeight="1">
      <c r="A376" s="19"/>
      <c r="B376" s="19"/>
      <c r="C376" s="19"/>
      <c r="D376" s="19"/>
      <c r="E376" s="19"/>
      <c r="F376" s="19"/>
      <c r="G376" s="19"/>
      <c r="H376" s="19"/>
      <c r="I376" s="19"/>
      <c r="J376" s="19"/>
      <c r="K376" s="19"/>
      <c r="L376" s="19"/>
      <c r="M376" s="19"/>
      <c r="N376" s="19"/>
      <c r="O376" s="19"/>
      <c r="P376" s="19"/>
      <c r="Q376" s="19"/>
      <c r="R376" s="19"/>
      <c r="S376" s="19"/>
      <c r="T376" s="19"/>
      <c r="U376" s="19"/>
      <c r="V376" s="19"/>
      <c r="W376" s="19"/>
      <c r="X376" s="19"/>
    </row>
    <row r="377" spans="1:24" ht="12" customHeight="1">
      <c r="A377" s="19"/>
      <c r="B377" s="19"/>
      <c r="C377" s="19"/>
      <c r="D377" s="19"/>
      <c r="E377" s="19"/>
      <c r="F377" s="19"/>
      <c r="G377" s="19"/>
      <c r="H377" s="19"/>
      <c r="I377" s="19"/>
      <c r="J377" s="19"/>
      <c r="K377" s="19"/>
      <c r="L377" s="19"/>
      <c r="M377" s="19"/>
      <c r="N377" s="19"/>
      <c r="O377" s="19"/>
      <c r="P377" s="19"/>
      <c r="Q377" s="19"/>
      <c r="R377" s="19"/>
      <c r="S377" s="19"/>
      <c r="T377" s="19"/>
      <c r="U377" s="19"/>
      <c r="V377" s="19"/>
      <c r="W377" s="19"/>
      <c r="X377" s="19"/>
    </row>
    <row r="378" spans="1:24" ht="12" customHeight="1">
      <c r="A378" s="19"/>
      <c r="B378" s="19"/>
      <c r="C378" s="19"/>
      <c r="D378" s="19"/>
      <c r="E378" s="19"/>
      <c r="F378" s="19"/>
      <c r="G378" s="19"/>
      <c r="H378" s="19"/>
      <c r="I378" s="19"/>
      <c r="J378" s="19"/>
      <c r="K378" s="19"/>
      <c r="L378" s="19"/>
      <c r="M378" s="19"/>
      <c r="N378" s="19"/>
      <c r="O378" s="19"/>
      <c r="P378" s="19"/>
      <c r="Q378" s="19"/>
      <c r="R378" s="19"/>
      <c r="S378" s="19"/>
      <c r="T378" s="19"/>
      <c r="U378" s="19"/>
      <c r="V378" s="19"/>
      <c r="W378" s="19"/>
      <c r="X378" s="19"/>
    </row>
    <row r="379" spans="1:24" ht="12" customHeight="1">
      <c r="A379" s="19"/>
      <c r="B379" s="19"/>
      <c r="C379" s="19"/>
      <c r="D379" s="19"/>
      <c r="E379" s="19"/>
      <c r="F379" s="19"/>
      <c r="G379" s="19"/>
      <c r="H379" s="19"/>
      <c r="I379" s="19"/>
      <c r="J379" s="19"/>
      <c r="K379" s="19"/>
      <c r="L379" s="19"/>
      <c r="M379" s="19"/>
      <c r="N379" s="19"/>
      <c r="O379" s="19"/>
      <c r="P379" s="19"/>
      <c r="Q379" s="19"/>
      <c r="R379" s="19"/>
      <c r="S379" s="19"/>
      <c r="T379" s="19"/>
      <c r="U379" s="19"/>
      <c r="V379" s="19"/>
      <c r="W379" s="19"/>
      <c r="X379" s="19"/>
    </row>
    <row r="380" spans="1:24" ht="12" customHeight="1">
      <c r="A380" s="19"/>
      <c r="B380" s="19"/>
      <c r="C380" s="19"/>
      <c r="D380" s="19"/>
      <c r="E380" s="19"/>
      <c r="F380" s="19"/>
      <c r="G380" s="19"/>
      <c r="H380" s="19"/>
      <c r="I380" s="19"/>
      <c r="J380" s="19"/>
      <c r="K380" s="19"/>
      <c r="L380" s="19"/>
      <c r="M380" s="19"/>
      <c r="N380" s="19"/>
      <c r="O380" s="19"/>
      <c r="P380" s="19"/>
      <c r="Q380" s="19"/>
      <c r="R380" s="19"/>
      <c r="S380" s="19"/>
      <c r="T380" s="19"/>
      <c r="U380" s="19"/>
      <c r="V380" s="19"/>
      <c r="W380" s="19"/>
      <c r="X380" s="19"/>
    </row>
    <row r="381" spans="1:24" ht="12" customHeight="1">
      <c r="A381" s="19"/>
      <c r="B381" s="19"/>
      <c r="C381" s="19"/>
      <c r="D381" s="19"/>
      <c r="E381" s="19"/>
      <c r="F381" s="19"/>
      <c r="G381" s="19"/>
      <c r="H381" s="19"/>
      <c r="I381" s="19"/>
      <c r="J381" s="19"/>
      <c r="K381" s="19"/>
      <c r="L381" s="19"/>
      <c r="M381" s="19"/>
      <c r="N381" s="19"/>
      <c r="O381" s="19"/>
      <c r="P381" s="19"/>
      <c r="Q381" s="19"/>
      <c r="R381" s="19"/>
      <c r="S381" s="19"/>
      <c r="T381" s="19"/>
      <c r="U381" s="19"/>
      <c r="V381" s="19"/>
      <c r="W381" s="19"/>
      <c r="X381" s="19"/>
    </row>
    <row r="382" spans="1:24" ht="12" customHeight="1">
      <c r="A382" s="19"/>
      <c r="B382" s="19"/>
      <c r="C382" s="19"/>
      <c r="D382" s="19"/>
      <c r="E382" s="19"/>
      <c r="F382" s="19"/>
      <c r="G382" s="19"/>
      <c r="H382" s="19"/>
      <c r="I382" s="19"/>
      <c r="J382" s="19"/>
      <c r="K382" s="19"/>
      <c r="L382" s="19"/>
      <c r="M382" s="19"/>
      <c r="N382" s="19"/>
      <c r="O382" s="19"/>
      <c r="P382" s="19"/>
      <c r="Q382" s="19"/>
      <c r="R382" s="19"/>
      <c r="S382" s="19"/>
      <c r="T382" s="19"/>
      <c r="U382" s="19"/>
      <c r="V382" s="19"/>
      <c r="W382" s="19"/>
      <c r="X382" s="19"/>
    </row>
    <row r="383" spans="1:24" ht="12" customHeight="1">
      <c r="A383" s="19"/>
      <c r="B383" s="19"/>
      <c r="C383" s="19"/>
      <c r="D383" s="19"/>
      <c r="E383" s="19"/>
      <c r="F383" s="19"/>
      <c r="G383" s="19"/>
      <c r="H383" s="19"/>
      <c r="I383" s="19"/>
      <c r="J383" s="19"/>
      <c r="K383" s="19"/>
      <c r="L383" s="19"/>
      <c r="M383" s="19"/>
      <c r="N383" s="19"/>
      <c r="O383" s="19"/>
      <c r="P383" s="19"/>
      <c r="Q383" s="19"/>
      <c r="R383" s="19"/>
      <c r="S383" s="19"/>
      <c r="T383" s="19"/>
      <c r="U383" s="19"/>
      <c r="V383" s="19"/>
      <c r="W383" s="19"/>
      <c r="X383" s="19"/>
    </row>
    <row r="384" spans="1:24" ht="12" customHeight="1">
      <c r="A384" s="19"/>
      <c r="B384" s="19"/>
      <c r="C384" s="19"/>
      <c r="D384" s="19"/>
      <c r="E384" s="19"/>
      <c r="F384" s="19"/>
      <c r="G384" s="19"/>
      <c r="H384" s="19"/>
      <c r="I384" s="19"/>
      <c r="J384" s="19"/>
      <c r="K384" s="19"/>
      <c r="L384" s="19"/>
      <c r="M384" s="19"/>
      <c r="N384" s="19"/>
      <c r="O384" s="19"/>
      <c r="P384" s="19"/>
      <c r="Q384" s="19"/>
      <c r="R384" s="19"/>
      <c r="S384" s="19"/>
      <c r="T384" s="19"/>
      <c r="U384" s="19"/>
      <c r="V384" s="19"/>
      <c r="W384" s="19"/>
      <c r="X384" s="19"/>
    </row>
    <row r="385" spans="1:24" ht="12" customHeight="1">
      <c r="A385" s="19"/>
      <c r="B385" s="19"/>
      <c r="C385" s="19"/>
      <c r="D385" s="19"/>
      <c r="E385" s="19"/>
      <c r="F385" s="19"/>
      <c r="G385" s="19"/>
      <c r="H385" s="19"/>
      <c r="I385" s="19"/>
      <c r="J385" s="19"/>
      <c r="K385" s="19"/>
      <c r="L385" s="19"/>
      <c r="M385" s="19"/>
      <c r="N385" s="19"/>
      <c r="O385" s="19"/>
      <c r="P385" s="19"/>
      <c r="Q385" s="19"/>
      <c r="R385" s="19"/>
      <c r="S385" s="19"/>
      <c r="T385" s="19"/>
      <c r="U385" s="19"/>
      <c r="V385" s="19"/>
      <c r="W385" s="19"/>
      <c r="X385" s="19"/>
    </row>
    <row r="386" spans="1:24" ht="12" customHeight="1">
      <c r="A386" s="19"/>
      <c r="B386" s="19"/>
      <c r="C386" s="19"/>
      <c r="D386" s="19"/>
      <c r="E386" s="19"/>
      <c r="F386" s="19"/>
      <c r="G386" s="19"/>
      <c r="H386" s="19"/>
      <c r="I386" s="19"/>
      <c r="J386" s="19"/>
      <c r="K386" s="19"/>
      <c r="L386" s="19"/>
      <c r="M386" s="19"/>
      <c r="N386" s="19"/>
      <c r="O386" s="19"/>
      <c r="P386" s="19"/>
      <c r="Q386" s="19"/>
      <c r="R386" s="19"/>
      <c r="S386" s="19"/>
      <c r="T386" s="19"/>
      <c r="U386" s="19"/>
      <c r="V386" s="19"/>
      <c r="W386" s="19"/>
      <c r="X386" s="19"/>
    </row>
    <row r="387" spans="1:24" ht="12" customHeight="1">
      <c r="A387" s="19"/>
      <c r="B387" s="19"/>
      <c r="C387" s="19"/>
      <c r="D387" s="19"/>
      <c r="E387" s="19"/>
      <c r="F387" s="19"/>
      <c r="G387" s="19"/>
      <c r="H387" s="19"/>
      <c r="I387" s="19"/>
      <c r="J387" s="19"/>
      <c r="K387" s="19"/>
      <c r="L387" s="19"/>
      <c r="M387" s="19"/>
      <c r="N387" s="19"/>
      <c r="O387" s="19"/>
      <c r="P387" s="19"/>
      <c r="Q387" s="19"/>
      <c r="R387" s="19"/>
      <c r="S387" s="19"/>
      <c r="T387" s="19"/>
      <c r="U387" s="19"/>
      <c r="V387" s="19"/>
      <c r="W387" s="19"/>
      <c r="X387" s="19"/>
    </row>
    <row r="388" spans="1:24" ht="12" customHeight="1">
      <c r="A388" s="19"/>
      <c r="B388" s="19"/>
      <c r="C388" s="19"/>
      <c r="D388" s="19"/>
      <c r="E388" s="19"/>
      <c r="F388" s="19"/>
      <c r="G388" s="19"/>
      <c r="H388" s="19"/>
      <c r="I388" s="19"/>
      <c r="J388" s="19"/>
      <c r="K388" s="19"/>
      <c r="L388" s="19"/>
      <c r="M388" s="19"/>
      <c r="N388" s="19"/>
      <c r="O388" s="19"/>
      <c r="P388" s="19"/>
      <c r="Q388" s="19"/>
      <c r="R388" s="19"/>
      <c r="S388" s="19"/>
      <c r="T388" s="19"/>
      <c r="U388" s="19"/>
      <c r="V388" s="19"/>
      <c r="W388" s="19"/>
      <c r="X388" s="19"/>
    </row>
    <row r="389" spans="1:24" ht="12" customHeight="1">
      <c r="A389" s="19"/>
      <c r="B389" s="19"/>
      <c r="C389" s="19"/>
      <c r="D389" s="19"/>
      <c r="E389" s="19"/>
      <c r="F389" s="19"/>
      <c r="G389" s="19"/>
      <c r="H389" s="19"/>
      <c r="I389" s="19"/>
      <c r="J389" s="19"/>
      <c r="K389" s="19"/>
      <c r="L389" s="19"/>
      <c r="M389" s="19"/>
      <c r="N389" s="19"/>
      <c r="O389" s="19"/>
      <c r="P389" s="19"/>
      <c r="Q389" s="19"/>
      <c r="R389" s="19"/>
      <c r="S389" s="19"/>
      <c r="T389" s="19"/>
      <c r="U389" s="19"/>
      <c r="V389" s="19"/>
      <c r="W389" s="19"/>
      <c r="X389" s="19"/>
    </row>
    <row r="390" spans="1:24" ht="12" customHeight="1">
      <c r="A390" s="19"/>
      <c r="B390" s="19"/>
      <c r="C390" s="19"/>
      <c r="D390" s="19"/>
      <c r="E390" s="19"/>
      <c r="F390" s="19"/>
      <c r="G390" s="19"/>
      <c r="H390" s="19"/>
      <c r="I390" s="19"/>
      <c r="J390" s="19"/>
      <c r="K390" s="19"/>
      <c r="L390" s="19"/>
      <c r="M390" s="19"/>
      <c r="N390" s="19"/>
      <c r="O390" s="19"/>
      <c r="P390" s="19"/>
      <c r="Q390" s="19"/>
      <c r="R390" s="19"/>
      <c r="S390" s="19"/>
      <c r="T390" s="19"/>
      <c r="U390" s="19"/>
      <c r="V390" s="19"/>
      <c r="W390" s="19"/>
      <c r="X390" s="19"/>
    </row>
    <row r="391" spans="1:24" ht="12" customHeight="1">
      <c r="A391" s="19"/>
      <c r="B391" s="19"/>
      <c r="C391" s="19"/>
      <c r="D391" s="19"/>
      <c r="E391" s="19"/>
      <c r="F391" s="19"/>
      <c r="G391" s="19"/>
      <c r="H391" s="19"/>
      <c r="I391" s="19"/>
      <c r="J391" s="19"/>
      <c r="K391" s="19"/>
      <c r="L391" s="19"/>
      <c r="M391" s="19"/>
      <c r="N391" s="19"/>
      <c r="O391" s="19"/>
      <c r="P391" s="19"/>
      <c r="Q391" s="19"/>
      <c r="R391" s="19"/>
      <c r="S391" s="19"/>
      <c r="T391" s="19"/>
      <c r="U391" s="19"/>
      <c r="V391" s="19"/>
      <c r="W391" s="19"/>
      <c r="X391" s="19"/>
    </row>
    <row r="392" spans="1:24" ht="12" customHeight="1">
      <c r="A392" s="19"/>
      <c r="B392" s="19"/>
      <c r="C392" s="19"/>
      <c r="D392" s="19"/>
      <c r="E392" s="19"/>
      <c r="F392" s="19"/>
      <c r="G392" s="19"/>
      <c r="H392" s="19"/>
      <c r="I392" s="19"/>
      <c r="J392" s="19"/>
      <c r="K392" s="19"/>
      <c r="L392" s="19"/>
      <c r="M392" s="19"/>
      <c r="N392" s="19"/>
      <c r="O392" s="19"/>
      <c r="P392" s="19"/>
      <c r="Q392" s="19"/>
      <c r="R392" s="19"/>
      <c r="S392" s="19"/>
      <c r="T392" s="19"/>
      <c r="U392" s="19"/>
      <c r="V392" s="19"/>
      <c r="W392" s="19"/>
      <c r="X392" s="19"/>
    </row>
    <row r="393" spans="1:24" ht="12" customHeight="1">
      <c r="A393" s="19"/>
      <c r="B393" s="19"/>
      <c r="C393" s="19"/>
      <c r="D393" s="19"/>
      <c r="E393" s="19"/>
      <c r="F393" s="19"/>
      <c r="G393" s="19"/>
      <c r="H393" s="19"/>
      <c r="I393" s="19"/>
      <c r="J393" s="19"/>
      <c r="K393" s="19"/>
      <c r="L393" s="19"/>
      <c r="M393" s="19"/>
      <c r="N393" s="19"/>
      <c r="O393" s="19"/>
      <c r="P393" s="19"/>
      <c r="Q393" s="19"/>
      <c r="R393" s="19"/>
      <c r="S393" s="19"/>
      <c r="T393" s="19"/>
      <c r="U393" s="19"/>
      <c r="V393" s="19"/>
      <c r="W393" s="19"/>
      <c r="X393" s="19"/>
    </row>
    <row r="394" spans="1:24" ht="12" customHeight="1">
      <c r="A394" s="19"/>
      <c r="B394" s="19"/>
      <c r="C394" s="19"/>
      <c r="D394" s="19"/>
      <c r="E394" s="19"/>
      <c r="F394" s="19"/>
      <c r="G394" s="19"/>
      <c r="H394" s="19"/>
      <c r="I394" s="19"/>
      <c r="J394" s="19"/>
      <c r="K394" s="19"/>
      <c r="L394" s="19"/>
      <c r="M394" s="19"/>
      <c r="N394" s="19"/>
      <c r="O394" s="19"/>
      <c r="P394" s="19"/>
      <c r="Q394" s="19"/>
      <c r="R394" s="19"/>
      <c r="S394" s="19"/>
      <c r="T394" s="19"/>
      <c r="U394" s="19"/>
      <c r="V394" s="19"/>
      <c r="W394" s="19"/>
      <c r="X394" s="19"/>
    </row>
    <row r="395" spans="1:24" ht="12" customHeight="1">
      <c r="A395" s="19"/>
      <c r="B395" s="19"/>
      <c r="C395" s="19"/>
      <c r="D395" s="19"/>
      <c r="E395" s="19"/>
      <c r="F395" s="19"/>
      <c r="G395" s="19"/>
      <c r="H395" s="19"/>
      <c r="I395" s="19"/>
      <c r="J395" s="19"/>
      <c r="K395" s="19"/>
      <c r="L395" s="19"/>
      <c r="M395" s="19"/>
      <c r="N395" s="19"/>
      <c r="O395" s="19"/>
      <c r="P395" s="19"/>
      <c r="Q395" s="19"/>
      <c r="R395" s="19"/>
      <c r="S395" s="19"/>
      <c r="T395" s="19"/>
      <c r="U395" s="19"/>
      <c r="V395" s="19"/>
      <c r="W395" s="19"/>
      <c r="X395" s="19"/>
    </row>
    <row r="396" spans="1:24" ht="12" customHeight="1">
      <c r="A396" s="19"/>
      <c r="B396" s="19"/>
      <c r="C396" s="19"/>
      <c r="D396" s="19"/>
      <c r="E396" s="19"/>
      <c r="F396" s="19"/>
      <c r="G396" s="19"/>
      <c r="H396" s="19"/>
      <c r="I396" s="19"/>
      <c r="J396" s="19"/>
      <c r="K396" s="19"/>
      <c r="L396" s="19"/>
      <c r="M396" s="19"/>
      <c r="N396" s="19"/>
      <c r="O396" s="19"/>
      <c r="P396" s="19"/>
      <c r="Q396" s="19"/>
      <c r="R396" s="19"/>
      <c r="S396" s="19"/>
      <c r="T396" s="19"/>
      <c r="U396" s="19"/>
      <c r="V396" s="19"/>
      <c r="W396" s="19"/>
      <c r="X396" s="19"/>
    </row>
    <row r="397" spans="1:24" ht="12" customHeight="1">
      <c r="A397" s="19"/>
      <c r="B397" s="19"/>
      <c r="C397" s="19"/>
      <c r="D397" s="19"/>
      <c r="E397" s="19"/>
      <c r="F397" s="19"/>
      <c r="G397" s="19"/>
      <c r="H397" s="19"/>
      <c r="I397" s="19"/>
      <c r="J397" s="19"/>
      <c r="K397" s="19"/>
      <c r="L397" s="19"/>
      <c r="M397" s="19"/>
      <c r="N397" s="19"/>
      <c r="O397" s="19"/>
      <c r="P397" s="19"/>
      <c r="Q397" s="19"/>
      <c r="R397" s="19"/>
      <c r="S397" s="19"/>
      <c r="T397" s="19"/>
      <c r="U397" s="19"/>
      <c r="V397" s="19"/>
      <c r="W397" s="19"/>
      <c r="X397" s="19"/>
    </row>
    <row r="398" spans="1:24" ht="12" customHeight="1">
      <c r="A398" s="19"/>
      <c r="B398" s="19"/>
      <c r="C398" s="19"/>
      <c r="D398" s="19"/>
      <c r="E398" s="19"/>
      <c r="F398" s="19"/>
      <c r="G398" s="19"/>
      <c r="H398" s="19"/>
      <c r="I398" s="19"/>
      <c r="J398" s="19"/>
      <c r="K398" s="19"/>
      <c r="L398" s="19"/>
      <c r="M398" s="19"/>
      <c r="N398" s="19"/>
      <c r="O398" s="19"/>
      <c r="P398" s="19"/>
      <c r="Q398" s="19"/>
      <c r="R398" s="19"/>
      <c r="S398" s="19"/>
      <c r="T398" s="19"/>
      <c r="U398" s="19"/>
      <c r="V398" s="19"/>
      <c r="W398" s="19"/>
      <c r="X398" s="19"/>
    </row>
    <row r="399" spans="1:24" ht="12" customHeight="1">
      <c r="A399" s="19"/>
      <c r="B399" s="19"/>
      <c r="C399" s="19"/>
      <c r="D399" s="19"/>
      <c r="E399" s="19"/>
      <c r="F399" s="19"/>
      <c r="G399" s="19"/>
      <c r="H399" s="19"/>
      <c r="I399" s="19"/>
      <c r="J399" s="19"/>
      <c r="K399" s="19"/>
      <c r="L399" s="19"/>
      <c r="M399" s="19"/>
      <c r="N399" s="19"/>
      <c r="O399" s="19"/>
      <c r="P399" s="19"/>
      <c r="Q399" s="19"/>
      <c r="R399" s="19"/>
      <c r="S399" s="19"/>
      <c r="T399" s="19"/>
      <c r="U399" s="19"/>
      <c r="V399" s="19"/>
      <c r="W399" s="19"/>
      <c r="X399" s="19"/>
    </row>
    <row r="400" spans="1:24" ht="12" customHeight="1">
      <c r="A400" s="19"/>
      <c r="B400" s="19"/>
      <c r="C400" s="19"/>
      <c r="D400" s="19"/>
      <c r="E400" s="19"/>
      <c r="F400" s="19"/>
      <c r="G400" s="19"/>
      <c r="H400" s="19"/>
      <c r="I400" s="19"/>
      <c r="J400" s="19"/>
      <c r="K400" s="19"/>
      <c r="L400" s="19"/>
      <c r="M400" s="19"/>
      <c r="N400" s="19"/>
      <c r="O400" s="19"/>
      <c r="P400" s="19"/>
      <c r="Q400" s="19"/>
      <c r="R400" s="19"/>
      <c r="S400" s="19"/>
      <c r="T400" s="19"/>
      <c r="U400" s="19"/>
      <c r="V400" s="19"/>
      <c r="W400" s="19"/>
      <c r="X400" s="19"/>
    </row>
    <row r="401" spans="1:24" ht="12" customHeight="1">
      <c r="A401" s="19"/>
      <c r="B401" s="19"/>
      <c r="C401" s="19"/>
      <c r="D401" s="19"/>
      <c r="E401" s="19"/>
      <c r="F401" s="19"/>
      <c r="G401" s="19"/>
      <c r="H401" s="19"/>
      <c r="I401" s="19"/>
      <c r="J401" s="19"/>
      <c r="K401" s="19"/>
      <c r="L401" s="19"/>
      <c r="M401" s="19"/>
      <c r="N401" s="19"/>
      <c r="O401" s="19"/>
      <c r="P401" s="19"/>
      <c r="Q401" s="19"/>
      <c r="R401" s="19"/>
      <c r="S401" s="19"/>
      <c r="T401" s="19"/>
      <c r="U401" s="19"/>
      <c r="V401" s="19"/>
      <c r="W401" s="19"/>
      <c r="X401" s="19"/>
    </row>
    <row r="402" spans="1:24" ht="12" customHeight="1">
      <c r="A402" s="19"/>
      <c r="B402" s="19"/>
      <c r="C402" s="19"/>
      <c r="D402" s="19"/>
      <c r="E402" s="19"/>
      <c r="F402" s="19"/>
      <c r="G402" s="19"/>
      <c r="H402" s="19"/>
      <c r="I402" s="19"/>
      <c r="J402" s="19"/>
      <c r="K402" s="19"/>
      <c r="L402" s="19"/>
      <c r="M402" s="19"/>
      <c r="N402" s="19"/>
      <c r="O402" s="19"/>
      <c r="P402" s="19"/>
      <c r="Q402" s="19"/>
      <c r="R402" s="19"/>
      <c r="S402" s="19"/>
      <c r="T402" s="19"/>
      <c r="U402" s="19"/>
      <c r="V402" s="19"/>
      <c r="W402" s="19"/>
      <c r="X402" s="19"/>
    </row>
    <row r="403" spans="1:24" ht="12" customHeight="1">
      <c r="A403" s="19"/>
      <c r="B403" s="19"/>
      <c r="C403" s="19"/>
      <c r="D403" s="19"/>
      <c r="E403" s="19"/>
      <c r="F403" s="19"/>
      <c r="G403" s="19"/>
      <c r="H403" s="19"/>
      <c r="I403" s="19"/>
      <c r="J403" s="19"/>
      <c r="K403" s="19"/>
      <c r="L403" s="19"/>
      <c r="M403" s="19"/>
      <c r="N403" s="19"/>
      <c r="O403" s="19"/>
      <c r="P403" s="19"/>
      <c r="Q403" s="19"/>
      <c r="R403" s="19"/>
      <c r="S403" s="19"/>
      <c r="T403" s="19"/>
      <c r="U403" s="19"/>
      <c r="V403" s="19"/>
      <c r="W403" s="19"/>
      <c r="X403" s="19"/>
    </row>
    <row r="404" spans="1:24" ht="12" customHeight="1">
      <c r="A404" s="19"/>
      <c r="B404" s="19"/>
      <c r="C404" s="19"/>
      <c r="D404" s="19"/>
      <c r="E404" s="19"/>
      <c r="F404" s="19"/>
      <c r="G404" s="19"/>
      <c r="H404" s="19"/>
      <c r="I404" s="19"/>
      <c r="J404" s="19"/>
      <c r="K404" s="19"/>
      <c r="L404" s="19"/>
      <c r="M404" s="19"/>
      <c r="N404" s="19"/>
      <c r="O404" s="19"/>
      <c r="P404" s="19"/>
      <c r="Q404" s="19"/>
      <c r="R404" s="19"/>
      <c r="S404" s="19"/>
      <c r="T404" s="19"/>
      <c r="U404" s="19"/>
      <c r="V404" s="19"/>
      <c r="W404" s="19"/>
      <c r="X404" s="19"/>
    </row>
    <row r="405" spans="1:24" ht="12" customHeight="1">
      <c r="A405" s="19"/>
      <c r="B405" s="19"/>
      <c r="C405" s="19"/>
      <c r="D405" s="19"/>
      <c r="E405" s="19"/>
      <c r="F405" s="19"/>
      <c r="G405" s="19"/>
      <c r="H405" s="19"/>
      <c r="I405" s="19"/>
      <c r="J405" s="19"/>
      <c r="K405" s="19"/>
      <c r="L405" s="19"/>
      <c r="M405" s="19"/>
      <c r="N405" s="19"/>
      <c r="O405" s="19"/>
      <c r="P405" s="19"/>
      <c r="Q405" s="19"/>
      <c r="R405" s="19"/>
      <c r="S405" s="19"/>
      <c r="T405" s="19"/>
      <c r="U405" s="19"/>
      <c r="V405" s="19"/>
      <c r="W405" s="19"/>
      <c r="X405" s="19"/>
    </row>
    <row r="406" spans="1:24" ht="12" customHeight="1">
      <c r="A406" s="19"/>
      <c r="B406" s="19"/>
      <c r="C406" s="19"/>
      <c r="D406" s="19"/>
      <c r="E406" s="19"/>
      <c r="F406" s="19"/>
      <c r="G406" s="19"/>
      <c r="H406" s="19"/>
      <c r="I406" s="19"/>
      <c r="J406" s="19"/>
      <c r="K406" s="19"/>
      <c r="L406" s="19"/>
      <c r="M406" s="19"/>
      <c r="N406" s="19"/>
      <c r="O406" s="19"/>
      <c r="P406" s="19"/>
      <c r="Q406" s="19"/>
      <c r="R406" s="19"/>
      <c r="S406" s="19"/>
      <c r="T406" s="19"/>
      <c r="U406" s="19"/>
      <c r="V406" s="19"/>
      <c r="W406" s="19"/>
      <c r="X406" s="19"/>
    </row>
    <row r="407" spans="1:24" ht="12" customHeight="1">
      <c r="A407" s="19"/>
      <c r="B407" s="19"/>
      <c r="C407" s="19"/>
      <c r="D407" s="19"/>
      <c r="E407" s="19"/>
      <c r="F407" s="19"/>
      <c r="G407" s="19"/>
      <c r="H407" s="19"/>
      <c r="I407" s="19"/>
      <c r="J407" s="19"/>
      <c r="K407" s="19"/>
      <c r="L407" s="19"/>
      <c r="M407" s="19"/>
      <c r="N407" s="19"/>
      <c r="O407" s="19"/>
      <c r="P407" s="19"/>
      <c r="Q407" s="19"/>
      <c r="R407" s="19"/>
      <c r="S407" s="19"/>
      <c r="T407" s="19"/>
      <c r="U407" s="19"/>
      <c r="V407" s="19"/>
      <c r="W407" s="19"/>
      <c r="X407" s="19"/>
    </row>
    <row r="408" spans="1:24" ht="12" customHeight="1">
      <c r="A408" s="19"/>
      <c r="B408" s="19"/>
      <c r="C408" s="19"/>
      <c r="D408" s="19"/>
      <c r="E408" s="19"/>
      <c r="F408" s="19"/>
      <c r="G408" s="19"/>
      <c r="H408" s="19"/>
      <c r="I408" s="19"/>
      <c r="J408" s="19"/>
      <c r="K408" s="19"/>
      <c r="L408" s="19"/>
      <c r="M408" s="19"/>
      <c r="N408" s="19"/>
      <c r="O408" s="19"/>
      <c r="P408" s="19"/>
      <c r="Q408" s="19"/>
      <c r="R408" s="19"/>
      <c r="S408" s="19"/>
      <c r="T408" s="19"/>
      <c r="U408" s="19"/>
      <c r="V408" s="19"/>
      <c r="W408" s="19"/>
      <c r="X408" s="19"/>
    </row>
    <row r="409" spans="1:24" ht="12" customHeight="1">
      <c r="A409" s="19"/>
      <c r="B409" s="19"/>
      <c r="C409" s="19"/>
      <c r="D409" s="19"/>
      <c r="E409" s="19"/>
      <c r="F409" s="19"/>
      <c r="G409" s="19"/>
      <c r="H409" s="19"/>
      <c r="I409" s="19"/>
      <c r="J409" s="19"/>
      <c r="K409" s="19"/>
      <c r="L409" s="19"/>
      <c r="M409" s="19"/>
      <c r="N409" s="19"/>
      <c r="O409" s="19"/>
      <c r="P409" s="19"/>
      <c r="Q409" s="19"/>
      <c r="R409" s="19"/>
      <c r="S409" s="19"/>
      <c r="T409" s="19"/>
      <c r="U409" s="19"/>
      <c r="V409" s="19"/>
      <c r="W409" s="19"/>
      <c r="X409" s="19"/>
    </row>
    <row r="410" spans="1:24" ht="12" customHeight="1">
      <c r="A410" s="19"/>
      <c r="B410" s="19"/>
      <c r="C410" s="19"/>
      <c r="D410" s="19"/>
      <c r="E410" s="19"/>
      <c r="F410" s="19"/>
      <c r="G410" s="19"/>
      <c r="H410" s="19"/>
      <c r="I410" s="19"/>
      <c r="J410" s="19"/>
      <c r="K410" s="19"/>
      <c r="L410" s="19"/>
      <c r="M410" s="19"/>
      <c r="N410" s="19"/>
      <c r="O410" s="19"/>
      <c r="P410" s="19"/>
      <c r="Q410" s="19"/>
      <c r="R410" s="19"/>
      <c r="S410" s="19"/>
      <c r="T410" s="19"/>
      <c r="U410" s="19"/>
      <c r="V410" s="19"/>
      <c r="W410" s="19"/>
      <c r="X410" s="19"/>
    </row>
    <row r="411" spans="1:24" ht="12" customHeight="1">
      <c r="A411" s="19"/>
      <c r="B411" s="19"/>
      <c r="C411" s="19"/>
      <c r="D411" s="19"/>
      <c r="E411" s="19"/>
      <c r="F411" s="19"/>
      <c r="G411" s="19"/>
      <c r="H411" s="19"/>
      <c r="I411" s="19"/>
      <c r="J411" s="19"/>
      <c r="K411" s="19"/>
      <c r="L411" s="19"/>
      <c r="M411" s="19"/>
      <c r="N411" s="19"/>
      <c r="O411" s="19"/>
      <c r="P411" s="19"/>
      <c r="Q411" s="19"/>
      <c r="R411" s="19"/>
      <c r="S411" s="19"/>
      <c r="T411" s="19"/>
      <c r="U411" s="19"/>
      <c r="V411" s="19"/>
      <c r="W411" s="19"/>
      <c r="X411" s="19"/>
    </row>
    <row r="412" spans="1:24" ht="12" customHeight="1">
      <c r="A412" s="19"/>
      <c r="B412" s="19"/>
      <c r="C412" s="19"/>
      <c r="D412" s="19"/>
      <c r="E412" s="19"/>
      <c r="F412" s="19"/>
      <c r="G412" s="19"/>
      <c r="H412" s="19"/>
      <c r="I412" s="19"/>
      <c r="J412" s="19"/>
      <c r="K412" s="19"/>
      <c r="L412" s="19"/>
      <c r="M412" s="19"/>
      <c r="N412" s="19"/>
      <c r="O412" s="19"/>
      <c r="P412" s="19"/>
      <c r="Q412" s="19"/>
      <c r="R412" s="19"/>
      <c r="S412" s="19"/>
      <c r="T412" s="19"/>
      <c r="U412" s="19"/>
      <c r="V412" s="19"/>
      <c r="W412" s="19"/>
      <c r="X412" s="19"/>
    </row>
    <row r="413" spans="1:24" ht="12" customHeight="1">
      <c r="A413" s="19"/>
      <c r="B413" s="19"/>
      <c r="C413" s="19"/>
      <c r="D413" s="19"/>
      <c r="E413" s="19"/>
      <c r="F413" s="19"/>
      <c r="G413" s="19"/>
      <c r="H413" s="19"/>
      <c r="I413" s="19"/>
      <c r="J413" s="19"/>
      <c r="K413" s="19"/>
      <c r="L413" s="19"/>
      <c r="M413" s="19"/>
      <c r="N413" s="19"/>
      <c r="O413" s="19"/>
      <c r="P413" s="19"/>
      <c r="Q413" s="19"/>
      <c r="R413" s="19"/>
      <c r="S413" s="19"/>
      <c r="T413" s="19"/>
      <c r="U413" s="19"/>
      <c r="V413" s="19"/>
      <c r="W413" s="19"/>
      <c r="X413" s="19"/>
    </row>
    <row r="414" spans="1:24" ht="12" customHeight="1">
      <c r="A414" s="19"/>
      <c r="B414" s="19"/>
      <c r="C414" s="19"/>
      <c r="D414" s="19"/>
      <c r="E414" s="19"/>
      <c r="F414" s="19"/>
      <c r="G414" s="19"/>
      <c r="H414" s="19"/>
      <c r="I414" s="19"/>
      <c r="J414" s="19"/>
      <c r="K414" s="19"/>
      <c r="L414" s="19"/>
      <c r="M414" s="19"/>
      <c r="N414" s="19"/>
      <c r="O414" s="19"/>
      <c r="P414" s="19"/>
      <c r="Q414" s="19"/>
      <c r="R414" s="19"/>
      <c r="S414" s="19"/>
      <c r="T414" s="19"/>
      <c r="U414" s="19"/>
      <c r="V414" s="19"/>
      <c r="W414" s="19"/>
      <c r="X414" s="19"/>
    </row>
    <row r="415" spans="1:24" ht="12" customHeight="1">
      <c r="A415" s="19"/>
      <c r="B415" s="19"/>
      <c r="C415" s="19"/>
      <c r="D415" s="19"/>
      <c r="E415" s="19"/>
      <c r="F415" s="19"/>
      <c r="G415" s="19"/>
      <c r="H415" s="19"/>
      <c r="I415" s="19"/>
      <c r="J415" s="19"/>
      <c r="K415" s="19"/>
      <c r="L415" s="19"/>
      <c r="M415" s="19"/>
      <c r="N415" s="19"/>
      <c r="O415" s="19"/>
      <c r="P415" s="19"/>
      <c r="Q415" s="19"/>
      <c r="R415" s="19"/>
      <c r="S415" s="19"/>
      <c r="T415" s="19"/>
      <c r="U415" s="19"/>
      <c r="V415" s="19"/>
      <c r="W415" s="19"/>
      <c r="X415" s="19"/>
    </row>
    <row r="416" spans="1:24" ht="12" customHeight="1">
      <c r="A416" s="19"/>
      <c r="B416" s="19"/>
      <c r="C416" s="19"/>
      <c r="D416" s="19"/>
      <c r="E416" s="19"/>
      <c r="F416" s="19"/>
      <c r="G416" s="19"/>
      <c r="H416" s="19"/>
      <c r="I416" s="19"/>
      <c r="J416" s="19"/>
      <c r="K416" s="19"/>
      <c r="L416" s="19"/>
      <c r="M416" s="19"/>
      <c r="N416" s="19"/>
      <c r="O416" s="19"/>
      <c r="P416" s="19"/>
      <c r="Q416" s="19"/>
      <c r="R416" s="19"/>
      <c r="S416" s="19"/>
      <c r="T416" s="19"/>
      <c r="U416" s="19"/>
      <c r="V416" s="19"/>
      <c r="W416" s="19"/>
      <c r="X416" s="19"/>
    </row>
    <row r="417" spans="1:24" ht="12" customHeight="1">
      <c r="A417" s="19"/>
      <c r="B417" s="19"/>
      <c r="C417" s="19"/>
      <c r="D417" s="19"/>
      <c r="E417" s="19"/>
      <c r="F417" s="19"/>
      <c r="G417" s="19"/>
      <c r="H417" s="19"/>
      <c r="I417" s="19"/>
      <c r="J417" s="19"/>
      <c r="K417" s="19"/>
      <c r="L417" s="19"/>
      <c r="M417" s="19"/>
      <c r="N417" s="19"/>
      <c r="O417" s="19"/>
      <c r="P417" s="19"/>
      <c r="Q417" s="19"/>
      <c r="R417" s="19"/>
      <c r="S417" s="19"/>
      <c r="T417" s="19"/>
      <c r="U417" s="19"/>
      <c r="V417" s="19"/>
      <c r="W417" s="19"/>
      <c r="X417" s="19"/>
    </row>
    <row r="418" spans="1:24" ht="12" customHeight="1">
      <c r="A418" s="19"/>
      <c r="B418" s="19"/>
      <c r="C418" s="19"/>
      <c r="D418" s="19"/>
      <c r="E418" s="19"/>
      <c r="F418" s="19"/>
      <c r="G418" s="19"/>
      <c r="H418" s="19"/>
      <c r="I418" s="19"/>
      <c r="J418" s="19"/>
      <c r="K418" s="19"/>
      <c r="L418" s="19"/>
      <c r="M418" s="19"/>
      <c r="N418" s="19"/>
      <c r="O418" s="19"/>
      <c r="P418" s="19"/>
      <c r="Q418" s="19"/>
      <c r="R418" s="19"/>
      <c r="S418" s="19"/>
      <c r="T418" s="19"/>
      <c r="U418" s="19"/>
      <c r="V418" s="19"/>
      <c r="W418" s="19"/>
      <c r="X418" s="19"/>
    </row>
    <row r="419" spans="1:24" ht="12" customHeight="1">
      <c r="A419" s="19"/>
      <c r="B419" s="19"/>
      <c r="C419" s="19"/>
      <c r="D419" s="19"/>
      <c r="E419" s="19"/>
      <c r="F419" s="19"/>
      <c r="G419" s="19"/>
      <c r="H419" s="19"/>
      <c r="I419" s="19"/>
      <c r="J419" s="19"/>
      <c r="K419" s="19"/>
      <c r="L419" s="19"/>
      <c r="M419" s="19"/>
      <c r="N419" s="19"/>
      <c r="O419" s="19"/>
      <c r="P419" s="19"/>
      <c r="Q419" s="19"/>
      <c r="R419" s="19"/>
      <c r="S419" s="19"/>
      <c r="T419" s="19"/>
      <c r="U419" s="19"/>
      <c r="V419" s="19"/>
      <c r="W419" s="19"/>
      <c r="X419" s="19"/>
    </row>
    <row r="420" spans="1:24" ht="12" customHeight="1">
      <c r="A420" s="19"/>
      <c r="B420" s="19"/>
      <c r="C420" s="19"/>
      <c r="D420" s="19"/>
      <c r="E420" s="19"/>
      <c r="F420" s="19"/>
      <c r="G420" s="19"/>
      <c r="H420" s="19"/>
      <c r="I420" s="19"/>
      <c r="J420" s="19"/>
      <c r="K420" s="19"/>
      <c r="L420" s="19"/>
      <c r="M420" s="19"/>
      <c r="N420" s="19"/>
      <c r="O420" s="19"/>
      <c r="P420" s="19"/>
      <c r="Q420" s="19"/>
      <c r="R420" s="19"/>
      <c r="S420" s="19"/>
      <c r="T420" s="19"/>
      <c r="U420" s="19"/>
      <c r="V420" s="19"/>
      <c r="W420" s="19"/>
      <c r="X420" s="19"/>
    </row>
    <row r="421" spans="1:24" ht="12" customHeight="1">
      <c r="A421" s="19"/>
      <c r="B421" s="19"/>
      <c r="C421" s="19"/>
      <c r="D421" s="19"/>
      <c r="E421" s="19"/>
      <c r="F421" s="19"/>
      <c r="G421" s="19"/>
      <c r="H421" s="19"/>
      <c r="I421" s="19"/>
      <c r="J421" s="19"/>
      <c r="K421" s="19"/>
      <c r="L421" s="19"/>
      <c r="M421" s="19"/>
      <c r="N421" s="19"/>
      <c r="O421" s="19"/>
      <c r="P421" s="19"/>
      <c r="Q421" s="19"/>
      <c r="R421" s="19"/>
      <c r="S421" s="19"/>
      <c r="T421" s="19"/>
      <c r="U421" s="19"/>
      <c r="V421" s="19"/>
      <c r="W421" s="19"/>
      <c r="X421" s="19"/>
    </row>
    <row r="422" spans="1:24" ht="12" customHeight="1">
      <c r="A422" s="19"/>
      <c r="B422" s="19"/>
      <c r="C422" s="19"/>
      <c r="D422" s="19"/>
      <c r="E422" s="19"/>
      <c r="F422" s="19"/>
      <c r="G422" s="19"/>
      <c r="H422" s="19"/>
      <c r="I422" s="19"/>
      <c r="J422" s="19"/>
      <c r="K422" s="19"/>
      <c r="L422" s="19"/>
      <c r="M422" s="19"/>
      <c r="N422" s="19"/>
      <c r="O422" s="19"/>
      <c r="P422" s="19"/>
      <c r="Q422" s="19"/>
      <c r="R422" s="19"/>
      <c r="S422" s="19"/>
      <c r="T422" s="19"/>
      <c r="U422" s="19"/>
      <c r="V422" s="19"/>
      <c r="W422" s="19"/>
      <c r="X422" s="19"/>
    </row>
    <row r="423" spans="1:24" ht="12" customHeight="1">
      <c r="A423" s="19"/>
      <c r="B423" s="19"/>
      <c r="C423" s="19"/>
      <c r="D423" s="19"/>
      <c r="E423" s="19"/>
      <c r="F423" s="19"/>
      <c r="G423" s="19"/>
      <c r="H423" s="19"/>
      <c r="I423" s="19"/>
      <c r="J423" s="19"/>
      <c r="K423" s="19"/>
      <c r="L423" s="19"/>
      <c r="M423" s="19"/>
      <c r="N423" s="19"/>
      <c r="O423" s="19"/>
      <c r="P423" s="19"/>
      <c r="Q423" s="19"/>
      <c r="R423" s="19"/>
      <c r="S423" s="19"/>
      <c r="T423" s="19"/>
      <c r="U423" s="19"/>
      <c r="V423" s="19"/>
      <c r="W423" s="19"/>
      <c r="X423" s="19"/>
    </row>
    <row r="424" spans="1:24" ht="12" customHeight="1">
      <c r="A424" s="19"/>
      <c r="B424" s="19"/>
      <c r="C424" s="19"/>
      <c r="D424" s="19"/>
      <c r="E424" s="19"/>
      <c r="F424" s="19"/>
      <c r="G424" s="19"/>
      <c r="H424" s="19"/>
      <c r="I424" s="19"/>
      <c r="J424" s="19"/>
      <c r="K424" s="19"/>
      <c r="L424" s="19"/>
      <c r="M424" s="19"/>
      <c r="N424" s="19"/>
      <c r="O424" s="19"/>
      <c r="P424" s="19"/>
      <c r="Q424" s="19"/>
      <c r="R424" s="19"/>
      <c r="S424" s="19"/>
      <c r="T424" s="19"/>
      <c r="U424" s="19"/>
      <c r="V424" s="19"/>
      <c r="W424" s="19"/>
      <c r="X424" s="19"/>
    </row>
    <row r="425" spans="1:24" ht="12" customHeight="1">
      <c r="A425" s="19"/>
      <c r="B425" s="19"/>
      <c r="C425" s="19"/>
      <c r="D425" s="19"/>
      <c r="E425" s="19"/>
      <c r="F425" s="19"/>
      <c r="G425" s="19"/>
      <c r="H425" s="19"/>
      <c r="I425" s="19"/>
      <c r="J425" s="19"/>
      <c r="K425" s="19"/>
      <c r="L425" s="19"/>
      <c r="M425" s="19"/>
      <c r="N425" s="19"/>
      <c r="O425" s="19"/>
      <c r="P425" s="19"/>
      <c r="Q425" s="19"/>
      <c r="R425" s="19"/>
      <c r="S425" s="19"/>
      <c r="T425" s="19"/>
      <c r="U425" s="19"/>
      <c r="V425" s="19"/>
      <c r="W425" s="19"/>
      <c r="X425" s="19"/>
    </row>
    <row r="426" spans="1:24" ht="12" customHeight="1">
      <c r="A426" s="19"/>
      <c r="B426" s="19"/>
      <c r="C426" s="19"/>
      <c r="D426" s="19"/>
      <c r="E426" s="19"/>
      <c r="F426" s="19"/>
      <c r="G426" s="19"/>
      <c r="H426" s="19"/>
      <c r="I426" s="19"/>
      <c r="J426" s="19"/>
      <c r="K426" s="19"/>
      <c r="L426" s="19"/>
      <c r="M426" s="19"/>
      <c r="N426" s="19"/>
      <c r="O426" s="19"/>
      <c r="P426" s="19"/>
      <c r="Q426" s="19"/>
      <c r="R426" s="19"/>
      <c r="S426" s="19"/>
      <c r="T426" s="19"/>
      <c r="U426" s="19"/>
      <c r="V426" s="19"/>
      <c r="W426" s="19"/>
      <c r="X426" s="19"/>
    </row>
    <row r="427" spans="1:24" ht="12" customHeight="1">
      <c r="A427" s="19"/>
      <c r="B427" s="19"/>
      <c r="C427" s="19"/>
      <c r="D427" s="19"/>
      <c r="E427" s="19"/>
      <c r="F427" s="19"/>
      <c r="G427" s="19"/>
      <c r="H427" s="19"/>
      <c r="I427" s="19"/>
      <c r="J427" s="19"/>
      <c r="K427" s="19"/>
      <c r="L427" s="19"/>
      <c r="M427" s="19"/>
      <c r="N427" s="19"/>
      <c r="O427" s="19"/>
      <c r="P427" s="19"/>
      <c r="Q427" s="19"/>
      <c r="R427" s="19"/>
      <c r="S427" s="19"/>
      <c r="T427" s="19"/>
      <c r="U427" s="19"/>
      <c r="V427" s="19"/>
      <c r="W427" s="19"/>
      <c r="X427" s="19"/>
    </row>
    <row r="428" spans="1:24" ht="12" customHeight="1">
      <c r="A428" s="19"/>
      <c r="B428" s="19"/>
      <c r="C428" s="19"/>
      <c r="D428" s="19"/>
      <c r="E428" s="19"/>
      <c r="F428" s="19"/>
      <c r="G428" s="19"/>
      <c r="H428" s="19"/>
      <c r="I428" s="19"/>
      <c r="J428" s="19"/>
      <c r="K428" s="19"/>
      <c r="L428" s="19"/>
      <c r="M428" s="19"/>
      <c r="N428" s="19"/>
      <c r="O428" s="19"/>
      <c r="P428" s="19"/>
      <c r="Q428" s="19"/>
      <c r="R428" s="19"/>
      <c r="S428" s="19"/>
      <c r="T428" s="19"/>
      <c r="U428" s="19"/>
      <c r="V428" s="19"/>
      <c r="W428" s="19"/>
      <c r="X428" s="19"/>
    </row>
    <row r="429" spans="1:24" ht="12" customHeight="1">
      <c r="A429" s="19"/>
      <c r="B429" s="19"/>
      <c r="C429" s="19"/>
      <c r="D429" s="19"/>
      <c r="E429" s="19"/>
      <c r="F429" s="19"/>
      <c r="G429" s="19"/>
      <c r="H429" s="19"/>
      <c r="I429" s="19"/>
      <c r="J429" s="19"/>
      <c r="K429" s="19"/>
      <c r="L429" s="19"/>
      <c r="M429" s="19"/>
      <c r="N429" s="19"/>
      <c r="O429" s="19"/>
      <c r="P429" s="19"/>
      <c r="Q429" s="19"/>
      <c r="R429" s="19"/>
      <c r="S429" s="19"/>
      <c r="T429" s="19"/>
      <c r="U429" s="19"/>
      <c r="V429" s="19"/>
      <c r="W429" s="19"/>
      <c r="X429" s="19"/>
    </row>
    <row r="430" spans="1:24" ht="12" customHeight="1">
      <c r="A430" s="19"/>
      <c r="B430" s="19"/>
      <c r="C430" s="19"/>
      <c r="D430" s="19"/>
      <c r="E430" s="19"/>
      <c r="F430" s="19"/>
      <c r="G430" s="19"/>
      <c r="H430" s="19"/>
      <c r="I430" s="19"/>
      <c r="J430" s="19"/>
      <c r="K430" s="19"/>
      <c r="L430" s="19"/>
      <c r="M430" s="19"/>
      <c r="N430" s="19"/>
      <c r="O430" s="19"/>
      <c r="P430" s="19"/>
      <c r="Q430" s="19"/>
      <c r="R430" s="19"/>
      <c r="S430" s="19"/>
      <c r="T430" s="19"/>
      <c r="U430" s="19"/>
      <c r="V430" s="19"/>
      <c r="W430" s="19"/>
      <c r="X430" s="19"/>
    </row>
    <row r="431" spans="1:24" ht="12" customHeight="1">
      <c r="A431" s="19"/>
      <c r="B431" s="19"/>
      <c r="C431" s="19"/>
      <c r="D431" s="19"/>
      <c r="E431" s="19"/>
      <c r="F431" s="19"/>
      <c r="G431" s="19"/>
      <c r="H431" s="19"/>
      <c r="I431" s="19"/>
      <c r="J431" s="19"/>
      <c r="K431" s="19"/>
      <c r="L431" s="19"/>
      <c r="M431" s="19"/>
      <c r="N431" s="19"/>
      <c r="O431" s="19"/>
      <c r="P431" s="19"/>
      <c r="Q431" s="19"/>
      <c r="R431" s="19"/>
      <c r="S431" s="19"/>
      <c r="T431" s="19"/>
      <c r="U431" s="19"/>
      <c r="V431" s="19"/>
      <c r="W431" s="19"/>
      <c r="X431" s="19"/>
    </row>
    <row r="432" spans="1:24" ht="12" customHeight="1">
      <c r="A432" s="19"/>
      <c r="B432" s="19"/>
      <c r="C432" s="19"/>
      <c r="D432" s="19"/>
      <c r="E432" s="19"/>
      <c r="F432" s="19"/>
      <c r="G432" s="19"/>
      <c r="H432" s="19"/>
      <c r="I432" s="19"/>
      <c r="J432" s="19"/>
      <c r="K432" s="19"/>
      <c r="L432" s="19"/>
      <c r="M432" s="19"/>
      <c r="N432" s="19"/>
      <c r="O432" s="19"/>
      <c r="P432" s="19"/>
      <c r="Q432" s="19"/>
      <c r="R432" s="19"/>
      <c r="S432" s="19"/>
      <c r="T432" s="19"/>
      <c r="U432" s="19"/>
      <c r="V432" s="19"/>
      <c r="W432" s="19"/>
      <c r="X432" s="19"/>
    </row>
    <row r="433" spans="1:24" ht="12" customHeight="1">
      <c r="A433" s="19"/>
      <c r="B433" s="19"/>
      <c r="C433" s="19"/>
      <c r="D433" s="19"/>
      <c r="E433" s="19"/>
      <c r="F433" s="19"/>
      <c r="G433" s="19"/>
      <c r="H433" s="19"/>
      <c r="I433" s="19"/>
      <c r="J433" s="19"/>
      <c r="K433" s="19"/>
      <c r="L433" s="19"/>
      <c r="M433" s="19"/>
      <c r="N433" s="19"/>
      <c r="O433" s="19"/>
      <c r="P433" s="19"/>
      <c r="Q433" s="19"/>
      <c r="R433" s="19"/>
      <c r="S433" s="19"/>
      <c r="T433" s="19"/>
      <c r="U433" s="19"/>
      <c r="V433" s="19"/>
      <c r="W433" s="19"/>
      <c r="X433" s="19"/>
    </row>
    <row r="434" spans="1:24" ht="12" customHeight="1">
      <c r="A434" s="19"/>
      <c r="B434" s="19"/>
      <c r="C434" s="19"/>
      <c r="D434" s="19"/>
      <c r="E434" s="19"/>
      <c r="F434" s="19"/>
      <c r="G434" s="19"/>
      <c r="H434" s="19"/>
      <c r="I434" s="19"/>
      <c r="J434" s="19"/>
      <c r="K434" s="19"/>
      <c r="L434" s="19"/>
      <c r="M434" s="19"/>
      <c r="N434" s="19"/>
      <c r="O434" s="19"/>
      <c r="P434" s="19"/>
      <c r="Q434" s="19"/>
      <c r="R434" s="19"/>
      <c r="S434" s="19"/>
      <c r="T434" s="19"/>
      <c r="U434" s="19"/>
      <c r="V434" s="19"/>
      <c r="W434" s="19"/>
      <c r="X434" s="19"/>
    </row>
    <row r="435" spans="1:24" ht="12" customHeight="1">
      <c r="A435" s="19"/>
      <c r="B435" s="19"/>
      <c r="C435" s="19"/>
      <c r="D435" s="19"/>
      <c r="E435" s="19"/>
      <c r="F435" s="19"/>
      <c r="G435" s="19"/>
      <c r="H435" s="19"/>
      <c r="I435" s="19"/>
      <c r="J435" s="19"/>
      <c r="K435" s="19"/>
      <c r="L435" s="19"/>
      <c r="M435" s="19"/>
      <c r="N435" s="19"/>
      <c r="O435" s="19"/>
      <c r="P435" s="19"/>
      <c r="Q435" s="19"/>
      <c r="R435" s="19"/>
      <c r="S435" s="19"/>
      <c r="T435" s="19"/>
      <c r="U435" s="19"/>
      <c r="V435" s="19"/>
      <c r="W435" s="19"/>
      <c r="X435" s="19"/>
    </row>
    <row r="436" spans="1:24" ht="12" customHeight="1">
      <c r="A436" s="19"/>
      <c r="B436" s="19"/>
      <c r="C436" s="19"/>
      <c r="D436" s="19"/>
      <c r="E436" s="19"/>
      <c r="F436" s="19"/>
      <c r="G436" s="19"/>
      <c r="H436" s="19"/>
      <c r="I436" s="19"/>
      <c r="J436" s="19"/>
      <c r="K436" s="19"/>
      <c r="L436" s="19"/>
      <c r="M436" s="19"/>
      <c r="N436" s="19"/>
      <c r="O436" s="19"/>
      <c r="P436" s="19"/>
      <c r="Q436" s="19"/>
      <c r="R436" s="19"/>
      <c r="S436" s="19"/>
      <c r="T436" s="19"/>
      <c r="U436" s="19"/>
      <c r="V436" s="19"/>
      <c r="W436" s="19"/>
      <c r="X436" s="19"/>
    </row>
    <row r="437" spans="1:24" ht="12" customHeight="1">
      <c r="A437" s="19"/>
      <c r="B437" s="19"/>
      <c r="C437" s="19"/>
      <c r="D437" s="19"/>
      <c r="E437" s="19"/>
      <c r="F437" s="19"/>
      <c r="G437" s="19"/>
      <c r="H437" s="19"/>
      <c r="I437" s="19"/>
      <c r="J437" s="19"/>
      <c r="K437" s="19"/>
      <c r="L437" s="19"/>
      <c r="M437" s="19"/>
      <c r="N437" s="19"/>
      <c r="O437" s="19"/>
      <c r="P437" s="19"/>
      <c r="Q437" s="19"/>
      <c r="R437" s="19"/>
      <c r="S437" s="19"/>
      <c r="T437" s="19"/>
      <c r="U437" s="19"/>
      <c r="V437" s="19"/>
      <c r="W437" s="19"/>
      <c r="X437" s="19"/>
    </row>
    <row r="438" spans="1:24" ht="12" customHeight="1">
      <c r="A438" s="19"/>
      <c r="B438" s="19"/>
      <c r="C438" s="19"/>
      <c r="D438" s="19"/>
      <c r="E438" s="19"/>
      <c r="F438" s="19"/>
      <c r="G438" s="19"/>
      <c r="H438" s="19"/>
      <c r="I438" s="19"/>
      <c r="J438" s="19"/>
      <c r="K438" s="19"/>
      <c r="L438" s="19"/>
      <c r="M438" s="19"/>
      <c r="N438" s="19"/>
      <c r="O438" s="19"/>
      <c r="P438" s="19"/>
      <c r="Q438" s="19"/>
      <c r="R438" s="19"/>
      <c r="S438" s="19"/>
      <c r="T438" s="19"/>
      <c r="U438" s="19"/>
      <c r="V438" s="19"/>
      <c r="W438" s="19"/>
      <c r="X438" s="19"/>
    </row>
    <row r="439" spans="1:24" ht="12" customHeight="1">
      <c r="A439" s="19"/>
      <c r="B439" s="19"/>
      <c r="C439" s="19"/>
      <c r="D439" s="19"/>
      <c r="E439" s="19"/>
      <c r="F439" s="19"/>
      <c r="G439" s="19"/>
      <c r="H439" s="19"/>
      <c r="I439" s="19"/>
      <c r="J439" s="19"/>
      <c r="K439" s="19"/>
      <c r="L439" s="19"/>
      <c r="M439" s="19"/>
      <c r="N439" s="19"/>
      <c r="O439" s="19"/>
      <c r="P439" s="19"/>
      <c r="Q439" s="19"/>
      <c r="R439" s="19"/>
      <c r="S439" s="19"/>
      <c r="T439" s="19"/>
      <c r="U439" s="19"/>
      <c r="V439" s="19"/>
      <c r="W439" s="19"/>
      <c r="X439" s="19"/>
    </row>
    <row r="440" spans="1:24" ht="12" customHeight="1">
      <c r="A440" s="19"/>
      <c r="B440" s="19"/>
      <c r="C440" s="19"/>
      <c r="D440" s="19"/>
      <c r="E440" s="19"/>
      <c r="F440" s="19"/>
      <c r="G440" s="19"/>
      <c r="H440" s="19"/>
      <c r="I440" s="19"/>
      <c r="J440" s="19"/>
      <c r="K440" s="19"/>
      <c r="L440" s="19"/>
      <c r="M440" s="19"/>
      <c r="N440" s="19"/>
      <c r="O440" s="19"/>
      <c r="P440" s="19"/>
      <c r="Q440" s="19"/>
      <c r="R440" s="19"/>
      <c r="S440" s="19"/>
      <c r="T440" s="19"/>
      <c r="U440" s="19"/>
      <c r="V440" s="19"/>
      <c r="W440" s="19"/>
      <c r="X440" s="19"/>
    </row>
    <row r="441" spans="1:24" ht="12" customHeight="1">
      <c r="A441" s="19"/>
      <c r="B441" s="19"/>
      <c r="C441" s="19"/>
      <c r="D441" s="19"/>
      <c r="E441" s="19"/>
      <c r="F441" s="19"/>
      <c r="G441" s="19"/>
      <c r="H441" s="19"/>
      <c r="I441" s="19"/>
      <c r="J441" s="19"/>
      <c r="K441" s="19"/>
      <c r="L441" s="19"/>
      <c r="M441" s="19"/>
      <c r="N441" s="19"/>
      <c r="O441" s="19"/>
      <c r="P441" s="19"/>
      <c r="Q441" s="19"/>
      <c r="R441" s="19"/>
      <c r="S441" s="19"/>
      <c r="T441" s="19"/>
      <c r="U441" s="19"/>
      <c r="V441" s="19"/>
      <c r="W441" s="19"/>
      <c r="X441" s="19"/>
    </row>
    <row r="442" spans="1:24" ht="12" customHeight="1">
      <c r="A442" s="19"/>
      <c r="B442" s="19"/>
      <c r="C442" s="19"/>
      <c r="D442" s="19"/>
      <c r="E442" s="19"/>
      <c r="F442" s="19"/>
      <c r="G442" s="19"/>
      <c r="H442" s="19"/>
      <c r="I442" s="19"/>
      <c r="J442" s="19"/>
      <c r="K442" s="19"/>
      <c r="L442" s="19"/>
      <c r="M442" s="19"/>
      <c r="N442" s="19"/>
      <c r="O442" s="19"/>
      <c r="P442" s="19"/>
      <c r="Q442" s="19"/>
      <c r="R442" s="19"/>
      <c r="S442" s="19"/>
      <c r="T442" s="19"/>
      <c r="U442" s="19"/>
      <c r="V442" s="19"/>
      <c r="W442" s="19"/>
      <c r="X442" s="19"/>
    </row>
    <row r="443" spans="1:24" ht="12" customHeight="1">
      <c r="A443" s="19"/>
      <c r="B443" s="19"/>
      <c r="C443" s="19"/>
      <c r="D443" s="19"/>
      <c r="E443" s="19"/>
      <c r="F443" s="19"/>
      <c r="G443" s="19"/>
      <c r="H443" s="19"/>
      <c r="I443" s="19"/>
      <c r="J443" s="19"/>
      <c r="K443" s="19"/>
      <c r="L443" s="19"/>
      <c r="M443" s="19"/>
      <c r="N443" s="19"/>
      <c r="O443" s="19"/>
      <c r="P443" s="19"/>
      <c r="Q443" s="19"/>
      <c r="R443" s="19"/>
      <c r="S443" s="19"/>
      <c r="T443" s="19"/>
      <c r="U443" s="19"/>
      <c r="V443" s="19"/>
      <c r="W443" s="19"/>
      <c r="X443" s="19"/>
    </row>
    <row r="444" spans="1:24" ht="12" customHeight="1">
      <c r="A444" s="19"/>
      <c r="B444" s="19"/>
      <c r="C444" s="19"/>
      <c r="D444" s="19"/>
      <c r="E444" s="19"/>
      <c r="F444" s="19"/>
      <c r="G444" s="19"/>
      <c r="H444" s="19"/>
      <c r="I444" s="19"/>
      <c r="J444" s="19"/>
      <c r="K444" s="19"/>
      <c r="L444" s="19"/>
      <c r="M444" s="19"/>
      <c r="N444" s="19"/>
      <c r="O444" s="19"/>
      <c r="P444" s="19"/>
      <c r="Q444" s="19"/>
      <c r="R444" s="19"/>
      <c r="S444" s="19"/>
      <c r="T444" s="19"/>
      <c r="U444" s="19"/>
      <c r="V444" s="19"/>
      <c r="W444" s="19"/>
      <c r="X444" s="19"/>
    </row>
    <row r="445" spans="1:24" ht="12" customHeight="1">
      <c r="A445" s="19"/>
      <c r="B445" s="19"/>
      <c r="C445" s="19"/>
      <c r="D445" s="19"/>
      <c r="E445" s="19"/>
      <c r="F445" s="19"/>
      <c r="G445" s="19"/>
      <c r="H445" s="19"/>
      <c r="I445" s="19"/>
      <c r="J445" s="19"/>
      <c r="K445" s="19"/>
      <c r="L445" s="19"/>
      <c r="M445" s="19"/>
      <c r="N445" s="19"/>
      <c r="O445" s="19"/>
      <c r="P445" s="19"/>
      <c r="Q445" s="19"/>
      <c r="R445" s="19"/>
      <c r="S445" s="19"/>
      <c r="T445" s="19"/>
      <c r="U445" s="19"/>
      <c r="V445" s="19"/>
      <c r="W445" s="19"/>
      <c r="X445" s="19"/>
    </row>
    <row r="446" spans="1:24" ht="12" customHeight="1">
      <c r="A446" s="19"/>
      <c r="B446" s="19"/>
      <c r="C446" s="19"/>
      <c r="D446" s="19"/>
      <c r="E446" s="19"/>
      <c r="F446" s="19"/>
      <c r="G446" s="19"/>
      <c r="H446" s="19"/>
      <c r="I446" s="19"/>
      <c r="J446" s="19"/>
      <c r="K446" s="19"/>
      <c r="L446" s="19"/>
      <c r="M446" s="19"/>
      <c r="N446" s="19"/>
      <c r="O446" s="19"/>
      <c r="P446" s="19"/>
      <c r="Q446" s="19"/>
      <c r="R446" s="19"/>
      <c r="S446" s="19"/>
      <c r="T446" s="19"/>
      <c r="U446" s="19"/>
      <c r="V446" s="19"/>
      <c r="W446" s="19"/>
      <c r="X446" s="19"/>
    </row>
    <row r="447" spans="1:24" ht="12" customHeight="1">
      <c r="A447" s="19"/>
      <c r="B447" s="19"/>
      <c r="C447" s="19"/>
      <c r="D447" s="19"/>
      <c r="E447" s="19"/>
      <c r="F447" s="19"/>
      <c r="G447" s="19"/>
      <c r="H447" s="19"/>
      <c r="I447" s="19"/>
      <c r="J447" s="19"/>
      <c r="K447" s="19"/>
      <c r="L447" s="19"/>
      <c r="M447" s="19"/>
      <c r="N447" s="19"/>
      <c r="O447" s="19"/>
      <c r="P447" s="19"/>
      <c r="Q447" s="19"/>
      <c r="R447" s="19"/>
      <c r="S447" s="19"/>
      <c r="T447" s="19"/>
      <c r="U447" s="19"/>
      <c r="V447" s="19"/>
      <c r="W447" s="19"/>
      <c r="X447" s="19"/>
    </row>
    <row r="448" spans="1:24" ht="12" customHeight="1">
      <c r="A448" s="19"/>
      <c r="B448" s="19"/>
      <c r="C448" s="19"/>
      <c r="D448" s="19"/>
      <c r="E448" s="19"/>
      <c r="F448" s="19"/>
      <c r="G448" s="19"/>
      <c r="H448" s="19"/>
      <c r="I448" s="19"/>
      <c r="J448" s="19"/>
      <c r="K448" s="19"/>
      <c r="L448" s="19"/>
      <c r="M448" s="19"/>
      <c r="N448" s="19"/>
      <c r="O448" s="19"/>
      <c r="P448" s="19"/>
      <c r="Q448" s="19"/>
      <c r="R448" s="19"/>
      <c r="S448" s="19"/>
      <c r="T448" s="19"/>
      <c r="U448" s="19"/>
      <c r="V448" s="19"/>
      <c r="W448" s="19"/>
      <c r="X448" s="19"/>
    </row>
    <row r="449" spans="1:24" ht="12" customHeight="1">
      <c r="A449" s="19"/>
      <c r="B449" s="19"/>
      <c r="C449" s="19"/>
      <c r="D449" s="19"/>
      <c r="E449" s="19"/>
      <c r="F449" s="19"/>
      <c r="G449" s="19"/>
      <c r="H449" s="19"/>
      <c r="I449" s="19"/>
      <c r="J449" s="19"/>
      <c r="K449" s="19"/>
      <c r="L449" s="19"/>
      <c r="M449" s="19"/>
      <c r="N449" s="19"/>
      <c r="O449" s="19"/>
      <c r="P449" s="19"/>
      <c r="Q449" s="19"/>
      <c r="R449" s="19"/>
      <c r="S449" s="19"/>
      <c r="T449" s="19"/>
      <c r="U449" s="19"/>
      <c r="V449" s="19"/>
      <c r="W449" s="19"/>
      <c r="X449" s="19"/>
    </row>
    <row r="450" spans="1:24" ht="12" customHeight="1">
      <c r="A450" s="19"/>
      <c r="B450" s="19"/>
      <c r="C450" s="19"/>
      <c r="D450" s="19"/>
      <c r="E450" s="19"/>
      <c r="F450" s="19"/>
      <c r="G450" s="19"/>
      <c r="H450" s="19"/>
      <c r="I450" s="19"/>
      <c r="J450" s="19"/>
      <c r="K450" s="19"/>
      <c r="L450" s="19"/>
      <c r="M450" s="19"/>
      <c r="N450" s="19"/>
      <c r="O450" s="19"/>
      <c r="P450" s="19"/>
      <c r="Q450" s="19"/>
      <c r="R450" s="19"/>
      <c r="S450" s="19"/>
      <c r="T450" s="19"/>
      <c r="U450" s="19"/>
      <c r="V450" s="19"/>
      <c r="W450" s="19"/>
      <c r="X450" s="19"/>
    </row>
    <row r="451" spans="1:24" ht="12" customHeight="1">
      <c r="A451" s="19"/>
      <c r="B451" s="19"/>
      <c r="C451" s="19"/>
      <c r="D451" s="19"/>
      <c r="E451" s="19"/>
      <c r="F451" s="19"/>
      <c r="G451" s="19"/>
      <c r="H451" s="19"/>
      <c r="I451" s="19"/>
      <c r="J451" s="19"/>
      <c r="K451" s="19"/>
      <c r="L451" s="19"/>
      <c r="M451" s="19"/>
      <c r="N451" s="19"/>
      <c r="O451" s="19"/>
      <c r="P451" s="19"/>
      <c r="Q451" s="19"/>
      <c r="R451" s="19"/>
      <c r="S451" s="19"/>
      <c r="T451" s="19"/>
      <c r="U451" s="19"/>
      <c r="V451" s="19"/>
      <c r="W451" s="19"/>
      <c r="X451" s="19"/>
    </row>
    <row r="452" spans="1:24" ht="12" customHeight="1">
      <c r="A452" s="19"/>
      <c r="B452" s="19"/>
      <c r="C452" s="19"/>
      <c r="D452" s="19"/>
      <c r="E452" s="19"/>
      <c r="F452" s="19"/>
      <c r="G452" s="19"/>
      <c r="H452" s="19"/>
      <c r="I452" s="19"/>
      <c r="J452" s="19"/>
      <c r="K452" s="19"/>
      <c r="L452" s="19"/>
      <c r="M452" s="19"/>
      <c r="N452" s="19"/>
      <c r="O452" s="19"/>
      <c r="P452" s="19"/>
      <c r="Q452" s="19"/>
      <c r="R452" s="19"/>
      <c r="S452" s="19"/>
      <c r="T452" s="19"/>
      <c r="U452" s="19"/>
      <c r="V452" s="19"/>
      <c r="W452" s="19"/>
      <c r="X452" s="19"/>
    </row>
    <row r="453" spans="1:24" ht="12" customHeight="1">
      <c r="A453" s="19"/>
      <c r="B453" s="19"/>
      <c r="C453" s="19"/>
      <c r="D453" s="19"/>
      <c r="E453" s="19"/>
      <c r="F453" s="19"/>
      <c r="G453" s="19"/>
      <c r="H453" s="19"/>
      <c r="I453" s="19"/>
      <c r="J453" s="19"/>
      <c r="K453" s="19"/>
      <c r="L453" s="19"/>
      <c r="M453" s="19"/>
      <c r="N453" s="19"/>
      <c r="O453" s="19"/>
      <c r="P453" s="19"/>
      <c r="Q453" s="19"/>
      <c r="R453" s="19"/>
      <c r="S453" s="19"/>
      <c r="T453" s="19"/>
      <c r="U453" s="19"/>
      <c r="V453" s="19"/>
      <c r="W453" s="19"/>
      <c r="X453" s="19"/>
    </row>
    <row r="454" spans="1:24" ht="12" customHeight="1">
      <c r="A454" s="19"/>
      <c r="B454" s="19"/>
      <c r="C454" s="19"/>
      <c r="D454" s="19"/>
      <c r="E454" s="19"/>
      <c r="F454" s="19"/>
      <c r="G454" s="19"/>
      <c r="H454" s="19"/>
      <c r="I454" s="19"/>
      <c r="J454" s="19"/>
      <c r="K454" s="19"/>
      <c r="L454" s="19"/>
      <c r="M454" s="19"/>
      <c r="N454" s="19"/>
      <c r="O454" s="19"/>
      <c r="P454" s="19"/>
      <c r="Q454" s="19"/>
      <c r="R454" s="19"/>
      <c r="S454" s="19"/>
      <c r="T454" s="19"/>
      <c r="U454" s="19"/>
      <c r="V454" s="19"/>
      <c r="W454" s="19"/>
      <c r="X454" s="19"/>
    </row>
    <row r="455" spans="1:24" ht="12" customHeight="1">
      <c r="A455" s="19"/>
      <c r="B455" s="19"/>
      <c r="C455" s="19"/>
      <c r="D455" s="19"/>
      <c r="E455" s="19"/>
      <c r="F455" s="19"/>
      <c r="G455" s="19"/>
      <c r="H455" s="19"/>
      <c r="I455" s="19"/>
      <c r="J455" s="19"/>
      <c r="K455" s="19"/>
      <c r="L455" s="19"/>
      <c r="M455" s="19"/>
      <c r="N455" s="19"/>
      <c r="O455" s="19"/>
      <c r="P455" s="19"/>
      <c r="Q455" s="19"/>
      <c r="R455" s="19"/>
      <c r="S455" s="19"/>
      <c r="T455" s="19"/>
      <c r="U455" s="19"/>
      <c r="V455" s="19"/>
      <c r="W455" s="19"/>
      <c r="X455" s="19"/>
    </row>
    <row r="456" spans="1:24" ht="12" customHeight="1">
      <c r="A456" s="19"/>
      <c r="B456" s="19"/>
      <c r="C456" s="19"/>
      <c r="D456" s="19"/>
      <c r="E456" s="19"/>
      <c r="F456" s="19"/>
      <c r="G456" s="19"/>
      <c r="H456" s="19"/>
      <c r="I456" s="19"/>
      <c r="J456" s="19"/>
      <c r="K456" s="19"/>
      <c r="L456" s="19"/>
      <c r="M456" s="19"/>
      <c r="N456" s="19"/>
      <c r="O456" s="19"/>
      <c r="P456" s="19"/>
      <c r="Q456" s="19"/>
      <c r="R456" s="19"/>
      <c r="S456" s="19"/>
      <c r="T456" s="19"/>
      <c r="U456" s="19"/>
      <c r="V456" s="19"/>
      <c r="W456" s="19"/>
      <c r="X456" s="19"/>
    </row>
    <row r="457" spans="1:24" ht="12" customHeight="1">
      <c r="A457" s="19"/>
      <c r="B457" s="19"/>
      <c r="C457" s="19"/>
      <c r="D457" s="19"/>
      <c r="E457" s="19"/>
      <c r="F457" s="19"/>
      <c r="G457" s="19"/>
      <c r="H457" s="19"/>
      <c r="I457" s="19"/>
      <c r="J457" s="19"/>
      <c r="K457" s="19"/>
      <c r="L457" s="19"/>
      <c r="M457" s="19"/>
      <c r="N457" s="19"/>
      <c r="O457" s="19"/>
      <c r="P457" s="19"/>
      <c r="Q457" s="19"/>
      <c r="R457" s="19"/>
      <c r="S457" s="19"/>
      <c r="T457" s="19"/>
      <c r="U457" s="19"/>
      <c r="V457" s="19"/>
      <c r="W457" s="19"/>
      <c r="X457" s="19"/>
    </row>
    <row r="458" spans="1:24" ht="12" customHeight="1">
      <c r="A458" s="19"/>
      <c r="B458" s="19"/>
      <c r="C458" s="19"/>
      <c r="D458" s="19"/>
      <c r="E458" s="19"/>
      <c r="F458" s="19"/>
      <c r="G458" s="19"/>
      <c r="H458" s="19"/>
      <c r="I458" s="19"/>
      <c r="J458" s="19"/>
      <c r="K458" s="19"/>
      <c r="L458" s="19"/>
      <c r="M458" s="19"/>
      <c r="N458" s="19"/>
      <c r="O458" s="19"/>
      <c r="P458" s="19"/>
      <c r="Q458" s="19"/>
      <c r="R458" s="19"/>
      <c r="S458" s="19"/>
      <c r="T458" s="19"/>
      <c r="U458" s="19"/>
      <c r="V458" s="19"/>
      <c r="W458" s="19"/>
      <c r="X458" s="19"/>
    </row>
    <row r="459" spans="1:24" ht="12" customHeight="1">
      <c r="A459" s="19"/>
      <c r="B459" s="19"/>
      <c r="C459" s="19"/>
      <c r="D459" s="19"/>
      <c r="E459" s="19"/>
      <c r="F459" s="19"/>
      <c r="G459" s="19"/>
      <c r="H459" s="19"/>
      <c r="I459" s="19"/>
      <c r="J459" s="19"/>
      <c r="K459" s="19"/>
      <c r="L459" s="19"/>
      <c r="M459" s="19"/>
      <c r="N459" s="19"/>
      <c r="O459" s="19"/>
      <c r="P459" s="19"/>
      <c r="Q459" s="19"/>
      <c r="R459" s="19"/>
      <c r="S459" s="19"/>
      <c r="T459" s="19"/>
      <c r="U459" s="19"/>
      <c r="V459" s="19"/>
      <c r="W459" s="19"/>
      <c r="X459" s="19"/>
    </row>
    <row r="460" spans="1:24" ht="12" customHeight="1">
      <c r="A460" s="19"/>
      <c r="B460" s="19"/>
      <c r="C460" s="19"/>
      <c r="D460" s="19"/>
      <c r="E460" s="19"/>
      <c r="F460" s="19"/>
      <c r="G460" s="19"/>
      <c r="H460" s="19"/>
      <c r="I460" s="19"/>
      <c r="J460" s="19"/>
      <c r="K460" s="19"/>
      <c r="L460" s="19"/>
      <c r="M460" s="19"/>
      <c r="N460" s="19"/>
      <c r="O460" s="19"/>
      <c r="P460" s="19"/>
      <c r="Q460" s="19"/>
      <c r="R460" s="19"/>
      <c r="S460" s="19"/>
      <c r="T460" s="19"/>
      <c r="U460" s="19"/>
      <c r="V460" s="19"/>
      <c r="W460" s="19"/>
      <c r="X460" s="19"/>
    </row>
    <row r="461" spans="1:24" ht="12" customHeight="1">
      <c r="A461" s="19"/>
      <c r="B461" s="19"/>
      <c r="C461" s="19"/>
      <c r="D461" s="19"/>
      <c r="E461" s="19"/>
      <c r="F461" s="19"/>
      <c r="G461" s="19"/>
      <c r="H461" s="19"/>
      <c r="I461" s="19"/>
      <c r="J461" s="19"/>
      <c r="K461" s="19"/>
      <c r="L461" s="19"/>
      <c r="M461" s="19"/>
      <c r="N461" s="19"/>
      <c r="O461" s="19"/>
      <c r="P461" s="19"/>
      <c r="Q461" s="19"/>
      <c r="R461" s="19"/>
      <c r="S461" s="19"/>
      <c r="T461" s="19"/>
      <c r="U461" s="19"/>
      <c r="V461" s="19"/>
      <c r="W461" s="19"/>
      <c r="X461" s="19"/>
    </row>
    <row r="462" spans="1:24" ht="12" customHeight="1">
      <c r="A462" s="19"/>
      <c r="B462" s="19"/>
      <c r="C462" s="19"/>
      <c r="D462" s="19"/>
      <c r="E462" s="19"/>
      <c r="F462" s="19"/>
      <c r="G462" s="19"/>
      <c r="H462" s="19"/>
      <c r="I462" s="19"/>
      <c r="J462" s="19"/>
      <c r="K462" s="19"/>
      <c r="L462" s="19"/>
      <c r="M462" s="19"/>
      <c r="N462" s="19"/>
      <c r="O462" s="19"/>
      <c r="P462" s="19"/>
      <c r="Q462" s="19"/>
      <c r="R462" s="19"/>
      <c r="S462" s="19"/>
      <c r="T462" s="19"/>
      <c r="U462" s="19"/>
      <c r="V462" s="19"/>
      <c r="W462" s="19"/>
      <c r="X462" s="19"/>
    </row>
    <row r="463" spans="1:24" ht="12" customHeight="1">
      <c r="A463" s="19"/>
      <c r="B463" s="19"/>
      <c r="C463" s="19"/>
      <c r="D463" s="19"/>
      <c r="E463" s="19"/>
      <c r="F463" s="19"/>
      <c r="G463" s="19"/>
      <c r="H463" s="19"/>
      <c r="I463" s="19"/>
      <c r="J463" s="19"/>
      <c r="K463" s="19"/>
      <c r="L463" s="19"/>
      <c r="M463" s="19"/>
      <c r="N463" s="19"/>
      <c r="O463" s="19"/>
      <c r="P463" s="19"/>
      <c r="Q463" s="19"/>
      <c r="R463" s="19"/>
      <c r="S463" s="19"/>
      <c r="T463" s="19"/>
      <c r="U463" s="19"/>
      <c r="V463" s="19"/>
      <c r="W463" s="19"/>
      <c r="X463" s="19"/>
    </row>
    <row r="464" spans="1:24" ht="12" customHeight="1">
      <c r="A464" s="19"/>
      <c r="B464" s="19"/>
      <c r="C464" s="19"/>
      <c r="D464" s="19"/>
      <c r="E464" s="19"/>
      <c r="F464" s="19"/>
      <c r="G464" s="19"/>
      <c r="H464" s="19"/>
      <c r="I464" s="19"/>
      <c r="J464" s="19"/>
      <c r="K464" s="19"/>
      <c r="L464" s="19"/>
      <c r="M464" s="19"/>
      <c r="N464" s="19"/>
      <c r="O464" s="19"/>
      <c r="P464" s="19"/>
      <c r="Q464" s="19"/>
      <c r="R464" s="19"/>
      <c r="S464" s="19"/>
      <c r="T464" s="19"/>
      <c r="U464" s="19"/>
      <c r="V464" s="19"/>
      <c r="W464" s="19"/>
      <c r="X464" s="19"/>
    </row>
    <row r="465" spans="1:24" ht="12" customHeight="1">
      <c r="A465" s="19"/>
      <c r="B465" s="19"/>
      <c r="C465" s="19"/>
      <c r="D465" s="19"/>
      <c r="E465" s="19"/>
      <c r="F465" s="19"/>
      <c r="G465" s="19"/>
      <c r="H465" s="19"/>
      <c r="I465" s="19"/>
      <c r="J465" s="19"/>
      <c r="K465" s="19"/>
      <c r="L465" s="19"/>
      <c r="M465" s="19"/>
      <c r="N465" s="19"/>
      <c r="O465" s="19"/>
      <c r="P465" s="19"/>
      <c r="Q465" s="19"/>
      <c r="R465" s="19"/>
      <c r="S465" s="19"/>
      <c r="T465" s="19"/>
      <c r="U465" s="19"/>
      <c r="V465" s="19"/>
      <c r="W465" s="19"/>
      <c r="X465" s="19"/>
    </row>
    <row r="466" spans="1:24" ht="12" customHeight="1">
      <c r="A466" s="19"/>
      <c r="B466" s="19"/>
      <c r="C466" s="19"/>
      <c r="D466" s="19"/>
      <c r="E466" s="19"/>
      <c r="F466" s="19"/>
      <c r="G466" s="19"/>
      <c r="H466" s="19"/>
      <c r="I466" s="19"/>
      <c r="J466" s="19"/>
      <c r="K466" s="19"/>
      <c r="L466" s="19"/>
      <c r="M466" s="19"/>
      <c r="N466" s="19"/>
      <c r="O466" s="19"/>
      <c r="P466" s="19"/>
      <c r="Q466" s="19"/>
      <c r="R466" s="19"/>
      <c r="S466" s="19"/>
      <c r="T466" s="19"/>
      <c r="U466" s="19"/>
      <c r="V466" s="19"/>
      <c r="W466" s="19"/>
      <c r="X466" s="19"/>
    </row>
    <row r="467" spans="1:24" ht="12" customHeight="1">
      <c r="A467" s="19"/>
      <c r="B467" s="19"/>
      <c r="C467" s="19"/>
      <c r="D467" s="19"/>
      <c r="E467" s="19"/>
      <c r="F467" s="19"/>
      <c r="G467" s="19"/>
      <c r="H467" s="19"/>
      <c r="I467" s="19"/>
      <c r="J467" s="19"/>
      <c r="K467" s="19"/>
      <c r="L467" s="19"/>
      <c r="M467" s="19"/>
      <c r="N467" s="19"/>
      <c r="O467" s="19"/>
      <c r="P467" s="19"/>
      <c r="Q467" s="19"/>
      <c r="R467" s="19"/>
      <c r="S467" s="19"/>
      <c r="T467" s="19"/>
      <c r="U467" s="19"/>
      <c r="V467" s="19"/>
      <c r="W467" s="19"/>
      <c r="X467" s="19"/>
    </row>
    <row r="468" spans="1:24" ht="12" customHeight="1">
      <c r="A468" s="19"/>
      <c r="B468" s="19"/>
      <c r="C468" s="19"/>
      <c r="D468" s="19"/>
      <c r="E468" s="19"/>
      <c r="F468" s="19"/>
      <c r="G468" s="19"/>
      <c r="H468" s="19"/>
      <c r="I468" s="19"/>
      <c r="J468" s="19"/>
      <c r="K468" s="19"/>
      <c r="L468" s="19"/>
      <c r="M468" s="19"/>
      <c r="N468" s="19"/>
      <c r="O468" s="19"/>
      <c r="P468" s="19"/>
      <c r="Q468" s="19"/>
      <c r="R468" s="19"/>
      <c r="S468" s="19"/>
      <c r="T468" s="19"/>
      <c r="U468" s="19"/>
      <c r="V468" s="19"/>
      <c r="W468" s="19"/>
      <c r="X468" s="19"/>
    </row>
    <row r="469" spans="1:24" ht="12" customHeight="1">
      <c r="A469" s="19"/>
      <c r="B469" s="19"/>
      <c r="C469" s="19"/>
      <c r="D469" s="19"/>
      <c r="E469" s="19"/>
      <c r="F469" s="19"/>
      <c r="G469" s="19"/>
      <c r="H469" s="19"/>
      <c r="I469" s="19"/>
      <c r="J469" s="19"/>
      <c r="K469" s="19"/>
      <c r="L469" s="19"/>
      <c r="M469" s="19"/>
      <c r="N469" s="19"/>
      <c r="O469" s="19"/>
      <c r="P469" s="19"/>
      <c r="Q469" s="19"/>
      <c r="R469" s="19"/>
      <c r="S469" s="19"/>
      <c r="T469" s="19"/>
      <c r="U469" s="19"/>
      <c r="V469" s="19"/>
      <c r="W469" s="19"/>
      <c r="X469" s="19"/>
    </row>
    <row r="470" spans="1:24" ht="12" customHeight="1">
      <c r="A470" s="19"/>
      <c r="B470" s="19"/>
      <c r="C470" s="19"/>
      <c r="D470" s="19"/>
      <c r="E470" s="19"/>
      <c r="F470" s="19"/>
      <c r="G470" s="19"/>
      <c r="H470" s="19"/>
      <c r="I470" s="19"/>
      <c r="J470" s="19"/>
      <c r="K470" s="19"/>
      <c r="L470" s="19"/>
      <c r="M470" s="19"/>
      <c r="N470" s="19"/>
      <c r="O470" s="19"/>
      <c r="P470" s="19"/>
      <c r="Q470" s="19"/>
      <c r="R470" s="19"/>
      <c r="S470" s="19"/>
      <c r="T470" s="19"/>
      <c r="U470" s="19"/>
      <c r="V470" s="19"/>
      <c r="W470" s="19"/>
      <c r="X470" s="19"/>
    </row>
    <row r="471" spans="1:24" ht="12" customHeight="1">
      <c r="A471" s="19"/>
      <c r="B471" s="19"/>
      <c r="C471" s="19"/>
      <c r="D471" s="19"/>
      <c r="E471" s="19"/>
      <c r="F471" s="19"/>
      <c r="G471" s="19"/>
      <c r="H471" s="19"/>
      <c r="I471" s="19"/>
      <c r="J471" s="19"/>
      <c r="K471" s="19"/>
      <c r="L471" s="19"/>
      <c r="M471" s="19"/>
      <c r="N471" s="19"/>
      <c r="O471" s="19"/>
      <c r="P471" s="19"/>
      <c r="Q471" s="19"/>
      <c r="R471" s="19"/>
      <c r="S471" s="19"/>
      <c r="T471" s="19"/>
      <c r="U471" s="19"/>
      <c r="V471" s="19"/>
      <c r="W471" s="19"/>
      <c r="X471" s="19"/>
    </row>
    <row r="472" spans="1:24" ht="12" customHeight="1">
      <c r="A472" s="19"/>
      <c r="B472" s="19"/>
      <c r="C472" s="19"/>
      <c r="D472" s="19"/>
      <c r="E472" s="19"/>
      <c r="F472" s="19"/>
      <c r="G472" s="19"/>
      <c r="H472" s="19"/>
      <c r="I472" s="19"/>
      <c r="J472" s="19"/>
      <c r="K472" s="19"/>
      <c r="L472" s="19"/>
      <c r="M472" s="19"/>
      <c r="N472" s="19"/>
      <c r="O472" s="19"/>
      <c r="P472" s="19"/>
      <c r="Q472" s="19"/>
      <c r="R472" s="19"/>
      <c r="S472" s="19"/>
      <c r="T472" s="19"/>
      <c r="U472" s="19"/>
      <c r="V472" s="19"/>
      <c r="W472" s="19"/>
      <c r="X472" s="19"/>
    </row>
    <row r="473" spans="1:24" ht="12" customHeight="1">
      <c r="A473" s="19"/>
      <c r="B473" s="19"/>
      <c r="C473" s="19"/>
      <c r="D473" s="19"/>
      <c r="E473" s="19"/>
      <c r="F473" s="19"/>
      <c r="G473" s="19"/>
      <c r="H473" s="19"/>
      <c r="I473" s="19"/>
      <c r="J473" s="19"/>
      <c r="K473" s="19"/>
      <c r="L473" s="19"/>
      <c r="M473" s="19"/>
      <c r="N473" s="19"/>
      <c r="O473" s="19"/>
      <c r="P473" s="19"/>
      <c r="Q473" s="19"/>
      <c r="R473" s="19"/>
      <c r="S473" s="19"/>
      <c r="T473" s="19"/>
      <c r="U473" s="19"/>
      <c r="V473" s="19"/>
      <c r="W473" s="19"/>
      <c r="X473" s="19"/>
    </row>
    <row r="474" spans="1:24" ht="12" customHeight="1">
      <c r="A474" s="19"/>
      <c r="B474" s="19"/>
      <c r="C474" s="19"/>
      <c r="D474" s="19"/>
      <c r="E474" s="19"/>
      <c r="F474" s="19"/>
      <c r="G474" s="19"/>
      <c r="H474" s="19"/>
      <c r="I474" s="19"/>
      <c r="J474" s="19"/>
      <c r="K474" s="19"/>
      <c r="L474" s="19"/>
      <c r="M474" s="19"/>
      <c r="N474" s="19"/>
      <c r="O474" s="19"/>
      <c r="P474" s="19"/>
      <c r="Q474" s="19"/>
      <c r="R474" s="19"/>
      <c r="S474" s="19"/>
      <c r="T474" s="19"/>
      <c r="U474" s="19"/>
      <c r="V474" s="19"/>
      <c r="W474" s="19"/>
      <c r="X474" s="19"/>
    </row>
    <row r="475" spans="1:24" ht="12" customHeight="1">
      <c r="A475" s="19"/>
      <c r="B475" s="19"/>
      <c r="C475" s="19"/>
      <c r="D475" s="19"/>
      <c r="E475" s="19"/>
      <c r="F475" s="19"/>
      <c r="G475" s="19"/>
      <c r="H475" s="19"/>
      <c r="I475" s="19"/>
      <c r="J475" s="19"/>
      <c r="K475" s="19"/>
      <c r="L475" s="19"/>
      <c r="M475" s="19"/>
      <c r="N475" s="19"/>
      <c r="O475" s="19"/>
      <c r="P475" s="19"/>
      <c r="Q475" s="19"/>
      <c r="R475" s="19"/>
      <c r="S475" s="19"/>
      <c r="T475" s="19"/>
      <c r="U475" s="19"/>
      <c r="V475" s="19"/>
      <c r="W475" s="19"/>
      <c r="X475" s="19"/>
    </row>
    <row r="476" spans="1:24" ht="12" customHeight="1">
      <c r="A476" s="19"/>
      <c r="B476" s="19"/>
      <c r="C476" s="19"/>
      <c r="D476" s="19"/>
      <c r="E476" s="19"/>
      <c r="F476" s="19"/>
      <c r="G476" s="19"/>
      <c r="H476" s="19"/>
      <c r="I476" s="19"/>
      <c r="J476" s="19"/>
      <c r="K476" s="19"/>
      <c r="L476" s="19"/>
      <c r="M476" s="19"/>
      <c r="N476" s="19"/>
      <c r="O476" s="19"/>
      <c r="P476" s="19"/>
      <c r="Q476" s="19"/>
      <c r="R476" s="19"/>
      <c r="S476" s="19"/>
      <c r="T476" s="19"/>
      <c r="U476" s="19"/>
      <c r="V476" s="19"/>
      <c r="W476" s="19"/>
      <c r="X476" s="19"/>
    </row>
    <row r="477" spans="1:24" ht="12" customHeight="1">
      <c r="A477" s="19"/>
      <c r="B477" s="19"/>
      <c r="C477" s="19"/>
      <c r="D477" s="19"/>
      <c r="E477" s="19"/>
      <c r="F477" s="19"/>
      <c r="G477" s="19"/>
      <c r="H477" s="19"/>
      <c r="I477" s="19"/>
      <c r="J477" s="19"/>
      <c r="K477" s="19"/>
      <c r="L477" s="19"/>
      <c r="M477" s="19"/>
      <c r="N477" s="19"/>
      <c r="O477" s="19"/>
      <c r="P477" s="19"/>
      <c r="Q477" s="19"/>
      <c r="R477" s="19"/>
      <c r="S477" s="19"/>
      <c r="T477" s="19"/>
      <c r="U477" s="19"/>
      <c r="V477" s="19"/>
      <c r="W477" s="19"/>
      <c r="X477" s="19"/>
    </row>
    <row r="478" spans="1:24" ht="12" customHeight="1">
      <c r="A478" s="19"/>
      <c r="B478" s="19"/>
      <c r="C478" s="19"/>
      <c r="D478" s="19"/>
      <c r="E478" s="19"/>
      <c r="F478" s="19"/>
      <c r="G478" s="19"/>
      <c r="H478" s="19"/>
      <c r="I478" s="19"/>
      <c r="J478" s="19"/>
      <c r="K478" s="19"/>
      <c r="L478" s="19"/>
      <c r="M478" s="19"/>
      <c r="N478" s="19"/>
      <c r="O478" s="19"/>
      <c r="P478" s="19"/>
      <c r="Q478" s="19"/>
      <c r="R478" s="19"/>
      <c r="S478" s="19"/>
      <c r="T478" s="19"/>
      <c r="U478" s="19"/>
      <c r="V478" s="19"/>
      <c r="W478" s="19"/>
      <c r="X478" s="19"/>
    </row>
    <row r="479" spans="1:24" ht="12" customHeight="1">
      <c r="A479" s="19"/>
      <c r="B479" s="19"/>
      <c r="C479" s="19"/>
      <c r="D479" s="19"/>
      <c r="E479" s="19"/>
      <c r="F479" s="19"/>
      <c r="G479" s="19"/>
      <c r="H479" s="19"/>
      <c r="I479" s="19"/>
      <c r="J479" s="19"/>
      <c r="K479" s="19"/>
      <c r="L479" s="19"/>
      <c r="M479" s="19"/>
      <c r="N479" s="19"/>
      <c r="O479" s="19"/>
      <c r="P479" s="19"/>
      <c r="Q479" s="19"/>
      <c r="R479" s="19"/>
      <c r="S479" s="19"/>
      <c r="T479" s="19"/>
      <c r="U479" s="19"/>
      <c r="V479" s="19"/>
      <c r="W479" s="19"/>
      <c r="X479" s="19"/>
    </row>
    <row r="480" spans="1:24" ht="12" customHeight="1">
      <c r="A480" s="19"/>
      <c r="B480" s="19"/>
      <c r="C480" s="19"/>
      <c r="D480" s="19"/>
      <c r="E480" s="19"/>
      <c r="F480" s="19"/>
      <c r="G480" s="19"/>
      <c r="H480" s="19"/>
      <c r="I480" s="19"/>
      <c r="J480" s="19"/>
      <c r="K480" s="19"/>
      <c r="L480" s="19"/>
      <c r="M480" s="19"/>
      <c r="N480" s="19"/>
      <c r="O480" s="19"/>
      <c r="P480" s="19"/>
      <c r="Q480" s="19"/>
      <c r="R480" s="19"/>
      <c r="S480" s="19"/>
      <c r="T480" s="19"/>
      <c r="U480" s="19"/>
      <c r="V480" s="19"/>
      <c r="W480" s="19"/>
      <c r="X480" s="19"/>
    </row>
    <row r="481" spans="1:24" ht="12" customHeight="1">
      <c r="A481" s="19"/>
      <c r="B481" s="19"/>
      <c r="C481" s="19"/>
      <c r="D481" s="19"/>
      <c r="E481" s="19"/>
      <c r="F481" s="19"/>
      <c r="G481" s="19"/>
      <c r="H481" s="19"/>
      <c r="I481" s="19"/>
      <c r="J481" s="19"/>
      <c r="K481" s="19"/>
      <c r="L481" s="19"/>
      <c r="M481" s="19"/>
      <c r="N481" s="19"/>
      <c r="O481" s="19"/>
      <c r="P481" s="19"/>
      <c r="Q481" s="19"/>
      <c r="R481" s="19"/>
      <c r="S481" s="19"/>
      <c r="T481" s="19"/>
      <c r="U481" s="19"/>
      <c r="V481" s="19"/>
      <c r="W481" s="19"/>
      <c r="X481" s="19"/>
    </row>
    <row r="482" spans="1:24" ht="12" customHeight="1">
      <c r="A482" s="19"/>
      <c r="B482" s="19"/>
      <c r="C482" s="19"/>
      <c r="D482" s="19"/>
      <c r="E482" s="19"/>
      <c r="F482" s="19"/>
      <c r="G482" s="19"/>
      <c r="H482" s="19"/>
      <c r="I482" s="19"/>
      <c r="J482" s="19"/>
      <c r="K482" s="19"/>
      <c r="L482" s="19"/>
      <c r="M482" s="19"/>
      <c r="N482" s="19"/>
      <c r="O482" s="19"/>
      <c r="P482" s="19"/>
      <c r="Q482" s="19"/>
      <c r="R482" s="19"/>
      <c r="S482" s="19"/>
      <c r="T482" s="19"/>
      <c r="U482" s="19"/>
      <c r="V482" s="19"/>
      <c r="W482" s="19"/>
      <c r="X482" s="19"/>
    </row>
    <row r="483" spans="1:24" ht="12" customHeight="1">
      <c r="A483" s="19"/>
      <c r="B483" s="19"/>
      <c r="C483" s="19"/>
      <c r="D483" s="19"/>
      <c r="E483" s="19"/>
      <c r="F483" s="19"/>
      <c r="G483" s="19"/>
      <c r="H483" s="19"/>
      <c r="I483" s="19"/>
      <c r="J483" s="19"/>
      <c r="K483" s="19"/>
      <c r="L483" s="19"/>
      <c r="M483" s="19"/>
      <c r="N483" s="19"/>
      <c r="O483" s="19"/>
      <c r="P483" s="19"/>
      <c r="Q483" s="19"/>
      <c r="R483" s="19"/>
      <c r="S483" s="19"/>
      <c r="T483" s="19"/>
      <c r="U483" s="19"/>
      <c r="V483" s="19"/>
      <c r="W483" s="19"/>
      <c r="X483" s="19"/>
    </row>
    <row r="484" spans="1:24" ht="12" customHeight="1">
      <c r="A484" s="19"/>
      <c r="B484" s="19"/>
      <c r="C484" s="19"/>
      <c r="D484" s="19"/>
      <c r="E484" s="19"/>
      <c r="F484" s="19"/>
      <c r="G484" s="19"/>
      <c r="H484" s="19"/>
      <c r="I484" s="19"/>
      <c r="J484" s="19"/>
      <c r="K484" s="19"/>
      <c r="L484" s="19"/>
      <c r="M484" s="19"/>
      <c r="N484" s="19"/>
      <c r="O484" s="19"/>
      <c r="P484" s="19"/>
      <c r="Q484" s="19"/>
      <c r="R484" s="19"/>
      <c r="S484" s="19"/>
      <c r="T484" s="19"/>
      <c r="U484" s="19"/>
      <c r="V484" s="19"/>
      <c r="W484" s="19"/>
      <c r="X484" s="19"/>
    </row>
    <row r="485" spans="1:24" ht="12" customHeight="1">
      <c r="A485" s="19"/>
      <c r="B485" s="19"/>
      <c r="C485" s="19"/>
      <c r="D485" s="19"/>
      <c r="E485" s="19"/>
      <c r="F485" s="19"/>
      <c r="G485" s="19"/>
      <c r="H485" s="19"/>
      <c r="I485" s="19"/>
      <c r="J485" s="19"/>
      <c r="K485" s="19"/>
      <c r="L485" s="19"/>
      <c r="M485" s="19"/>
      <c r="N485" s="19"/>
      <c r="O485" s="19"/>
      <c r="P485" s="19"/>
      <c r="Q485" s="19"/>
      <c r="R485" s="19"/>
      <c r="S485" s="19"/>
      <c r="T485" s="19"/>
      <c r="U485" s="19"/>
      <c r="V485" s="19"/>
      <c r="W485" s="19"/>
      <c r="X485" s="19"/>
    </row>
    <row r="486" spans="1:24" ht="12" customHeight="1">
      <c r="A486" s="19"/>
      <c r="B486" s="19"/>
      <c r="C486" s="19"/>
      <c r="D486" s="19"/>
      <c r="E486" s="19"/>
      <c r="F486" s="19"/>
      <c r="G486" s="19"/>
      <c r="H486" s="19"/>
      <c r="I486" s="19"/>
      <c r="J486" s="19"/>
      <c r="K486" s="19"/>
      <c r="L486" s="19"/>
      <c r="M486" s="19"/>
      <c r="N486" s="19"/>
      <c r="O486" s="19"/>
      <c r="P486" s="19"/>
      <c r="Q486" s="19"/>
      <c r="R486" s="19"/>
      <c r="S486" s="19"/>
      <c r="T486" s="19"/>
      <c r="U486" s="19"/>
      <c r="V486" s="19"/>
      <c r="W486" s="19"/>
      <c r="X486" s="19"/>
    </row>
    <row r="487" spans="1:24" ht="12" customHeight="1">
      <c r="A487" s="19"/>
      <c r="B487" s="19"/>
      <c r="C487" s="19"/>
      <c r="D487" s="19"/>
      <c r="E487" s="19"/>
      <c r="F487" s="19"/>
      <c r="G487" s="19"/>
      <c r="H487" s="19"/>
      <c r="I487" s="19"/>
      <c r="J487" s="19"/>
      <c r="K487" s="19"/>
      <c r="L487" s="19"/>
      <c r="M487" s="19"/>
      <c r="N487" s="19"/>
      <c r="O487" s="19"/>
      <c r="P487" s="19"/>
      <c r="Q487" s="19"/>
      <c r="R487" s="19"/>
      <c r="S487" s="19"/>
      <c r="T487" s="19"/>
      <c r="U487" s="19"/>
      <c r="V487" s="19"/>
      <c r="W487" s="19"/>
      <c r="X487" s="19"/>
    </row>
    <row r="488" spans="1:24" ht="12" customHeight="1">
      <c r="A488" s="19"/>
      <c r="B488" s="19"/>
      <c r="C488" s="19"/>
      <c r="D488" s="19"/>
      <c r="E488" s="19"/>
      <c r="F488" s="19"/>
      <c r="G488" s="19"/>
      <c r="H488" s="19"/>
      <c r="I488" s="19"/>
      <c r="J488" s="19"/>
      <c r="K488" s="19"/>
      <c r="L488" s="19"/>
      <c r="M488" s="19"/>
      <c r="N488" s="19"/>
      <c r="O488" s="19"/>
      <c r="P488" s="19"/>
      <c r="Q488" s="19"/>
      <c r="R488" s="19"/>
      <c r="S488" s="19"/>
      <c r="T488" s="19"/>
      <c r="U488" s="19"/>
      <c r="V488" s="19"/>
      <c r="W488" s="19"/>
      <c r="X488" s="19"/>
    </row>
    <row r="489" spans="1:24" ht="12" customHeight="1">
      <c r="A489" s="19"/>
      <c r="B489" s="19"/>
      <c r="C489" s="19"/>
      <c r="D489" s="19"/>
      <c r="E489" s="19"/>
      <c r="F489" s="19"/>
      <c r="G489" s="19"/>
      <c r="H489" s="19"/>
      <c r="I489" s="19"/>
      <c r="J489" s="19"/>
      <c r="K489" s="19"/>
      <c r="L489" s="19"/>
      <c r="M489" s="19"/>
      <c r="N489" s="19"/>
      <c r="O489" s="19"/>
      <c r="P489" s="19"/>
      <c r="Q489" s="19"/>
      <c r="R489" s="19"/>
      <c r="S489" s="19"/>
      <c r="T489" s="19"/>
      <c r="U489" s="19"/>
      <c r="V489" s="19"/>
      <c r="W489" s="19"/>
      <c r="X489" s="19"/>
    </row>
    <row r="490" spans="1:24" ht="12" customHeight="1">
      <c r="A490" s="19"/>
      <c r="B490" s="19"/>
      <c r="C490" s="19"/>
      <c r="D490" s="19"/>
      <c r="E490" s="19"/>
      <c r="F490" s="19"/>
      <c r="G490" s="19"/>
      <c r="H490" s="19"/>
      <c r="I490" s="19"/>
      <c r="J490" s="19"/>
      <c r="K490" s="19"/>
      <c r="L490" s="19"/>
      <c r="M490" s="19"/>
      <c r="N490" s="19"/>
      <c r="O490" s="19"/>
      <c r="P490" s="19"/>
      <c r="Q490" s="19"/>
      <c r="R490" s="19"/>
      <c r="S490" s="19"/>
      <c r="T490" s="19"/>
      <c r="U490" s="19"/>
      <c r="V490" s="19"/>
      <c r="W490" s="19"/>
      <c r="X490" s="19"/>
    </row>
    <row r="491" spans="1:24" ht="12" customHeight="1">
      <c r="A491" s="19"/>
      <c r="B491" s="19"/>
      <c r="C491" s="19"/>
      <c r="D491" s="19"/>
      <c r="E491" s="19"/>
      <c r="F491" s="19"/>
      <c r="G491" s="19"/>
      <c r="H491" s="19"/>
      <c r="I491" s="19"/>
      <c r="J491" s="19"/>
      <c r="K491" s="19"/>
      <c r="L491" s="19"/>
      <c r="M491" s="19"/>
      <c r="N491" s="19"/>
      <c r="O491" s="19"/>
      <c r="P491" s="19"/>
      <c r="Q491" s="19"/>
      <c r="R491" s="19"/>
      <c r="S491" s="19"/>
      <c r="T491" s="19"/>
      <c r="U491" s="19"/>
      <c r="V491" s="19"/>
      <c r="W491" s="19"/>
      <c r="X491" s="19"/>
    </row>
    <row r="492" spans="1:24" ht="12" customHeight="1">
      <c r="A492" s="19"/>
      <c r="B492" s="19"/>
      <c r="C492" s="19"/>
      <c r="D492" s="19"/>
      <c r="E492" s="19"/>
      <c r="F492" s="19"/>
      <c r="G492" s="19"/>
      <c r="H492" s="19"/>
      <c r="I492" s="19"/>
      <c r="J492" s="19"/>
      <c r="K492" s="19"/>
      <c r="L492" s="19"/>
      <c r="M492" s="19"/>
      <c r="N492" s="19"/>
      <c r="O492" s="19"/>
      <c r="P492" s="19"/>
      <c r="Q492" s="19"/>
      <c r="R492" s="19"/>
      <c r="S492" s="19"/>
      <c r="T492" s="19"/>
      <c r="U492" s="19"/>
      <c r="V492" s="19"/>
      <c r="W492" s="19"/>
      <c r="X492" s="19"/>
    </row>
    <row r="493" spans="1:24" ht="12" customHeight="1">
      <c r="A493" s="19"/>
      <c r="B493" s="19"/>
      <c r="C493" s="19"/>
      <c r="D493" s="19"/>
      <c r="E493" s="19"/>
      <c r="F493" s="19"/>
      <c r="G493" s="19"/>
      <c r="H493" s="19"/>
      <c r="I493" s="19"/>
      <c r="J493" s="19"/>
      <c r="K493" s="19"/>
      <c r="L493" s="19"/>
      <c r="M493" s="19"/>
      <c r="N493" s="19"/>
      <c r="O493" s="19"/>
      <c r="P493" s="19"/>
      <c r="Q493" s="19"/>
      <c r="R493" s="19"/>
      <c r="S493" s="19"/>
      <c r="T493" s="19"/>
      <c r="U493" s="19"/>
      <c r="V493" s="19"/>
      <c r="W493" s="19"/>
      <c r="X493" s="19"/>
    </row>
    <row r="494" spans="1:24" ht="12" customHeight="1">
      <c r="A494" s="19"/>
      <c r="B494" s="19"/>
      <c r="C494" s="19"/>
      <c r="D494" s="19"/>
      <c r="E494" s="19"/>
      <c r="F494" s="19"/>
      <c r="G494" s="19"/>
      <c r="H494" s="19"/>
      <c r="I494" s="19"/>
      <c r="J494" s="19"/>
      <c r="K494" s="19"/>
      <c r="L494" s="19"/>
      <c r="M494" s="19"/>
      <c r="N494" s="19"/>
      <c r="O494" s="19"/>
      <c r="P494" s="19"/>
      <c r="Q494" s="19"/>
      <c r="R494" s="19"/>
      <c r="S494" s="19"/>
      <c r="T494" s="19"/>
      <c r="U494" s="19"/>
      <c r="V494" s="19"/>
      <c r="W494" s="19"/>
      <c r="X494" s="19"/>
    </row>
    <row r="495" spans="1:24" ht="12" customHeight="1">
      <c r="A495" s="19"/>
      <c r="B495" s="19"/>
      <c r="C495" s="19"/>
      <c r="D495" s="19"/>
      <c r="E495" s="19"/>
      <c r="F495" s="19"/>
      <c r="G495" s="19"/>
      <c r="H495" s="19"/>
      <c r="I495" s="19"/>
      <c r="J495" s="19"/>
      <c r="K495" s="19"/>
      <c r="L495" s="19"/>
      <c r="M495" s="19"/>
      <c r="N495" s="19"/>
      <c r="O495" s="19"/>
      <c r="P495" s="19"/>
      <c r="Q495" s="19"/>
      <c r="R495" s="19"/>
      <c r="S495" s="19"/>
      <c r="T495" s="19"/>
      <c r="U495" s="19"/>
      <c r="V495" s="19"/>
      <c r="W495" s="19"/>
      <c r="X495" s="19"/>
    </row>
    <row r="496" spans="1:24" ht="12" customHeight="1">
      <c r="A496" s="19"/>
      <c r="B496" s="19"/>
      <c r="C496" s="19"/>
      <c r="D496" s="19"/>
      <c r="E496" s="19"/>
      <c r="F496" s="19"/>
      <c r="G496" s="19"/>
      <c r="H496" s="19"/>
      <c r="I496" s="19"/>
      <c r="J496" s="19"/>
      <c r="K496" s="19"/>
      <c r="L496" s="19"/>
      <c r="M496" s="19"/>
      <c r="N496" s="19"/>
      <c r="O496" s="19"/>
      <c r="P496" s="19"/>
      <c r="Q496" s="19"/>
      <c r="R496" s="19"/>
      <c r="S496" s="19"/>
      <c r="T496" s="19"/>
      <c r="U496" s="19"/>
      <c r="V496" s="19"/>
      <c r="W496" s="19"/>
      <c r="X496" s="19"/>
    </row>
    <row r="497" spans="1:24" ht="12" customHeight="1">
      <c r="A497" s="19"/>
      <c r="B497" s="19"/>
      <c r="C497" s="19"/>
      <c r="D497" s="19"/>
      <c r="E497" s="19"/>
      <c r="F497" s="19"/>
      <c r="G497" s="19"/>
      <c r="H497" s="19"/>
      <c r="I497" s="19"/>
      <c r="J497" s="19"/>
      <c r="K497" s="19"/>
      <c r="L497" s="19"/>
      <c r="M497" s="19"/>
      <c r="N497" s="19"/>
      <c r="O497" s="19"/>
      <c r="P497" s="19"/>
      <c r="Q497" s="19"/>
      <c r="R497" s="19"/>
      <c r="S497" s="19"/>
      <c r="T497" s="19"/>
      <c r="U497" s="19"/>
      <c r="V497" s="19"/>
      <c r="W497" s="19"/>
      <c r="X497" s="19"/>
    </row>
    <row r="498" spans="1:24" ht="12" customHeight="1">
      <c r="A498" s="19"/>
      <c r="B498" s="19"/>
      <c r="C498" s="19"/>
      <c r="D498" s="19"/>
      <c r="E498" s="19"/>
      <c r="F498" s="19"/>
      <c r="G498" s="19"/>
      <c r="H498" s="19"/>
      <c r="I498" s="19"/>
      <c r="J498" s="19"/>
      <c r="K498" s="19"/>
      <c r="L498" s="19"/>
      <c r="M498" s="19"/>
      <c r="N498" s="19"/>
      <c r="O498" s="19"/>
      <c r="P498" s="19"/>
      <c r="Q498" s="19"/>
      <c r="R498" s="19"/>
      <c r="S498" s="19"/>
      <c r="T498" s="19"/>
      <c r="U498" s="19"/>
      <c r="V498" s="19"/>
      <c r="W498" s="19"/>
      <c r="X498" s="19"/>
    </row>
    <row r="499" spans="1:24" ht="12" customHeight="1">
      <c r="A499" s="19"/>
      <c r="B499" s="19"/>
      <c r="C499" s="19"/>
      <c r="D499" s="19"/>
      <c r="E499" s="19"/>
      <c r="F499" s="19"/>
      <c r="G499" s="19"/>
      <c r="H499" s="19"/>
      <c r="I499" s="19"/>
      <c r="J499" s="19"/>
      <c r="K499" s="19"/>
      <c r="L499" s="19"/>
      <c r="M499" s="19"/>
      <c r="N499" s="19"/>
      <c r="O499" s="19"/>
      <c r="P499" s="19"/>
      <c r="Q499" s="19"/>
      <c r="R499" s="19"/>
      <c r="S499" s="19"/>
      <c r="T499" s="19"/>
      <c r="U499" s="19"/>
      <c r="V499" s="19"/>
      <c r="W499" s="19"/>
      <c r="X499" s="19"/>
    </row>
    <row r="500" spans="1:24" ht="12" customHeight="1">
      <c r="A500" s="19"/>
      <c r="B500" s="19"/>
      <c r="C500" s="19"/>
      <c r="D500" s="19"/>
      <c r="E500" s="19"/>
      <c r="F500" s="19"/>
      <c r="G500" s="19"/>
      <c r="H500" s="19"/>
      <c r="I500" s="19"/>
      <c r="J500" s="19"/>
      <c r="K500" s="19"/>
      <c r="L500" s="19"/>
      <c r="M500" s="19"/>
      <c r="N500" s="19"/>
      <c r="O500" s="19"/>
      <c r="P500" s="19"/>
      <c r="Q500" s="19"/>
      <c r="R500" s="19"/>
      <c r="S500" s="19"/>
      <c r="T500" s="19"/>
      <c r="U500" s="19"/>
      <c r="V500" s="19"/>
      <c r="W500" s="19"/>
      <c r="X500" s="19"/>
    </row>
    <row r="501" spans="1:24" ht="12" customHeight="1">
      <c r="A501" s="19"/>
      <c r="B501" s="19"/>
      <c r="C501" s="19"/>
      <c r="D501" s="19"/>
      <c r="E501" s="19"/>
      <c r="F501" s="19"/>
      <c r="G501" s="19"/>
      <c r="H501" s="19"/>
      <c r="I501" s="19"/>
      <c r="J501" s="19"/>
      <c r="K501" s="19"/>
      <c r="L501" s="19"/>
      <c r="M501" s="19"/>
      <c r="N501" s="19"/>
      <c r="O501" s="19"/>
      <c r="P501" s="19"/>
      <c r="Q501" s="19"/>
      <c r="R501" s="19"/>
      <c r="S501" s="19"/>
      <c r="T501" s="19"/>
      <c r="U501" s="19"/>
      <c r="V501" s="19"/>
      <c r="W501" s="19"/>
      <c r="X501" s="19"/>
    </row>
    <row r="502" spans="1:24" ht="12" customHeight="1">
      <c r="A502" s="19"/>
      <c r="B502" s="19"/>
      <c r="C502" s="19"/>
      <c r="D502" s="19"/>
      <c r="E502" s="19"/>
      <c r="F502" s="19"/>
      <c r="G502" s="19"/>
      <c r="H502" s="19"/>
      <c r="I502" s="19"/>
      <c r="J502" s="19"/>
      <c r="K502" s="19"/>
      <c r="L502" s="19"/>
      <c r="M502" s="19"/>
      <c r="N502" s="19"/>
      <c r="O502" s="19"/>
      <c r="P502" s="19"/>
      <c r="Q502" s="19"/>
      <c r="R502" s="19"/>
      <c r="S502" s="19"/>
      <c r="T502" s="19"/>
      <c r="U502" s="19"/>
      <c r="V502" s="19"/>
      <c r="W502" s="19"/>
      <c r="X502" s="19"/>
    </row>
    <row r="503" spans="1:24" ht="12" customHeight="1">
      <c r="A503" s="19"/>
      <c r="B503" s="19"/>
      <c r="C503" s="19"/>
      <c r="D503" s="19"/>
      <c r="E503" s="19"/>
      <c r="F503" s="19"/>
      <c r="G503" s="19"/>
      <c r="H503" s="19"/>
      <c r="I503" s="19"/>
      <c r="J503" s="19"/>
      <c r="K503" s="19"/>
      <c r="L503" s="19"/>
      <c r="M503" s="19"/>
      <c r="N503" s="19"/>
      <c r="O503" s="19"/>
      <c r="P503" s="19"/>
      <c r="Q503" s="19"/>
      <c r="R503" s="19"/>
      <c r="S503" s="19"/>
      <c r="T503" s="19"/>
      <c r="U503" s="19"/>
      <c r="V503" s="19"/>
      <c r="W503" s="19"/>
      <c r="X503" s="19"/>
    </row>
    <row r="504" spans="1:24" ht="12" customHeight="1">
      <c r="A504" s="19"/>
      <c r="B504" s="19"/>
      <c r="C504" s="19"/>
      <c r="D504" s="19"/>
      <c r="E504" s="19"/>
      <c r="F504" s="19"/>
      <c r="G504" s="19"/>
      <c r="H504" s="19"/>
      <c r="I504" s="19"/>
      <c r="J504" s="19"/>
      <c r="K504" s="19"/>
      <c r="L504" s="19"/>
      <c r="M504" s="19"/>
      <c r="N504" s="19"/>
      <c r="O504" s="19"/>
      <c r="P504" s="19"/>
      <c r="Q504" s="19"/>
      <c r="R504" s="19"/>
      <c r="S504" s="19"/>
      <c r="T504" s="19"/>
      <c r="U504" s="19"/>
      <c r="V504" s="19"/>
      <c r="W504" s="19"/>
      <c r="X504" s="19"/>
    </row>
    <row r="505" spans="1:24" ht="12" customHeight="1">
      <c r="A505" s="19"/>
      <c r="B505" s="19"/>
      <c r="C505" s="19"/>
      <c r="D505" s="19"/>
      <c r="E505" s="19"/>
      <c r="F505" s="19"/>
      <c r="G505" s="19"/>
      <c r="H505" s="19"/>
      <c r="I505" s="19"/>
      <c r="J505" s="19"/>
      <c r="K505" s="19"/>
      <c r="L505" s="19"/>
      <c r="M505" s="19"/>
      <c r="N505" s="19"/>
      <c r="O505" s="19"/>
      <c r="P505" s="19"/>
      <c r="Q505" s="19"/>
      <c r="R505" s="19"/>
      <c r="S505" s="19"/>
      <c r="T505" s="19"/>
      <c r="U505" s="19"/>
      <c r="V505" s="19"/>
      <c r="W505" s="19"/>
      <c r="X505" s="19"/>
    </row>
    <row r="506" spans="1:24" ht="12" customHeight="1">
      <c r="A506" s="19"/>
      <c r="B506" s="19"/>
      <c r="C506" s="19"/>
      <c r="D506" s="19"/>
      <c r="E506" s="19"/>
      <c r="F506" s="19"/>
      <c r="G506" s="19"/>
      <c r="H506" s="19"/>
      <c r="I506" s="19"/>
      <c r="J506" s="19"/>
      <c r="K506" s="19"/>
      <c r="L506" s="19"/>
      <c r="M506" s="19"/>
      <c r="N506" s="19"/>
      <c r="O506" s="19"/>
      <c r="P506" s="19"/>
      <c r="Q506" s="19"/>
      <c r="R506" s="19"/>
      <c r="S506" s="19"/>
      <c r="T506" s="19"/>
      <c r="U506" s="19"/>
      <c r="V506" s="19"/>
      <c r="W506" s="19"/>
      <c r="X506" s="19"/>
    </row>
    <row r="507" spans="1:24" ht="12" customHeight="1">
      <c r="A507" s="19"/>
      <c r="B507" s="19"/>
      <c r="C507" s="19"/>
      <c r="D507" s="19"/>
      <c r="E507" s="19"/>
      <c r="F507" s="19"/>
      <c r="G507" s="19"/>
      <c r="H507" s="19"/>
      <c r="I507" s="19"/>
      <c r="J507" s="19"/>
      <c r="K507" s="19"/>
      <c r="L507" s="19"/>
      <c r="M507" s="19"/>
      <c r="N507" s="19"/>
      <c r="O507" s="19"/>
      <c r="P507" s="19"/>
      <c r="Q507" s="19"/>
      <c r="R507" s="19"/>
      <c r="S507" s="19"/>
      <c r="T507" s="19"/>
      <c r="U507" s="19"/>
      <c r="V507" s="19"/>
      <c r="W507" s="19"/>
      <c r="X507" s="19"/>
    </row>
    <row r="508" spans="1:24" ht="12" customHeight="1">
      <c r="A508" s="19"/>
      <c r="B508" s="19"/>
      <c r="C508" s="19"/>
      <c r="D508" s="19"/>
      <c r="E508" s="19"/>
      <c r="F508" s="19"/>
      <c r="G508" s="19"/>
      <c r="H508" s="19"/>
      <c r="I508" s="19"/>
      <c r="J508" s="19"/>
      <c r="K508" s="19"/>
      <c r="L508" s="19"/>
      <c r="M508" s="19"/>
      <c r="N508" s="19"/>
      <c r="O508" s="19"/>
      <c r="P508" s="19"/>
      <c r="Q508" s="19"/>
      <c r="R508" s="19"/>
      <c r="S508" s="19"/>
      <c r="T508" s="19"/>
      <c r="U508" s="19"/>
      <c r="V508" s="19"/>
      <c r="W508" s="19"/>
      <c r="X508" s="19"/>
    </row>
    <row r="509" spans="1:24" ht="12" customHeight="1">
      <c r="A509" s="19"/>
      <c r="B509" s="19"/>
      <c r="C509" s="19"/>
      <c r="D509" s="19"/>
      <c r="E509" s="19"/>
      <c r="F509" s="19"/>
      <c r="G509" s="19"/>
      <c r="H509" s="19"/>
      <c r="I509" s="19"/>
      <c r="J509" s="19"/>
      <c r="K509" s="19"/>
      <c r="L509" s="19"/>
      <c r="M509" s="19"/>
      <c r="N509" s="19"/>
      <c r="O509" s="19"/>
      <c r="P509" s="19"/>
      <c r="Q509" s="19"/>
      <c r="R509" s="19"/>
      <c r="S509" s="19"/>
      <c r="T509" s="19"/>
      <c r="U509" s="19"/>
      <c r="V509" s="19"/>
      <c r="W509" s="19"/>
      <c r="X509" s="19"/>
    </row>
    <row r="510" spans="1:24" ht="12" customHeight="1">
      <c r="A510" s="19"/>
      <c r="B510" s="19"/>
      <c r="C510" s="19"/>
      <c r="D510" s="19"/>
      <c r="E510" s="19"/>
      <c r="F510" s="19"/>
      <c r="G510" s="19"/>
      <c r="H510" s="19"/>
      <c r="I510" s="19"/>
      <c r="J510" s="19"/>
      <c r="K510" s="19"/>
      <c r="L510" s="19"/>
      <c r="M510" s="19"/>
      <c r="N510" s="19"/>
      <c r="O510" s="19"/>
      <c r="P510" s="19"/>
      <c r="Q510" s="19"/>
      <c r="R510" s="19"/>
      <c r="S510" s="19"/>
      <c r="T510" s="19"/>
      <c r="U510" s="19"/>
      <c r="V510" s="19"/>
      <c r="W510" s="19"/>
      <c r="X510" s="19"/>
    </row>
    <row r="511" spans="1:24" ht="12" customHeight="1">
      <c r="A511" s="19"/>
      <c r="B511" s="19"/>
      <c r="C511" s="19"/>
      <c r="D511" s="19"/>
      <c r="E511" s="19"/>
      <c r="F511" s="19"/>
      <c r="G511" s="19"/>
      <c r="H511" s="19"/>
      <c r="I511" s="19"/>
      <c r="J511" s="19"/>
      <c r="K511" s="19"/>
      <c r="L511" s="19"/>
      <c r="M511" s="19"/>
      <c r="N511" s="19"/>
      <c r="O511" s="19"/>
      <c r="P511" s="19"/>
      <c r="Q511" s="19"/>
      <c r="R511" s="19"/>
      <c r="S511" s="19"/>
      <c r="T511" s="19"/>
      <c r="U511" s="19"/>
      <c r="V511" s="19"/>
      <c r="W511" s="19"/>
      <c r="X511" s="19"/>
    </row>
    <row r="512" spans="1:24" ht="12" customHeight="1">
      <c r="A512" s="19"/>
      <c r="B512" s="19"/>
      <c r="C512" s="19"/>
      <c r="D512" s="19"/>
      <c r="E512" s="19"/>
      <c r="F512" s="19"/>
      <c r="G512" s="19"/>
      <c r="H512" s="19"/>
      <c r="I512" s="19"/>
      <c r="J512" s="19"/>
      <c r="K512" s="19"/>
      <c r="L512" s="19"/>
      <c r="M512" s="19"/>
      <c r="N512" s="19"/>
      <c r="O512" s="19"/>
      <c r="P512" s="19"/>
      <c r="Q512" s="19"/>
      <c r="R512" s="19"/>
      <c r="S512" s="19"/>
      <c r="T512" s="19"/>
      <c r="U512" s="19"/>
      <c r="V512" s="19"/>
      <c r="W512" s="19"/>
      <c r="X512" s="19"/>
    </row>
    <row r="513" spans="1:24" ht="12" customHeight="1">
      <c r="A513" s="19"/>
      <c r="B513" s="19"/>
      <c r="C513" s="19"/>
      <c r="D513" s="19"/>
      <c r="E513" s="19"/>
      <c r="F513" s="19"/>
      <c r="G513" s="19"/>
      <c r="H513" s="19"/>
      <c r="I513" s="19"/>
      <c r="J513" s="19"/>
      <c r="K513" s="19"/>
      <c r="L513" s="19"/>
      <c r="M513" s="19"/>
      <c r="N513" s="19"/>
      <c r="O513" s="19"/>
      <c r="P513" s="19"/>
      <c r="Q513" s="19"/>
      <c r="R513" s="19"/>
      <c r="S513" s="19"/>
      <c r="T513" s="19"/>
      <c r="U513" s="19"/>
      <c r="V513" s="19"/>
      <c r="W513" s="19"/>
      <c r="X513" s="19"/>
    </row>
    <row r="514" spans="1:24" ht="12" customHeight="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row>
    <row r="515" spans="1:24" ht="12" customHeight="1">
      <c r="A515" s="19"/>
      <c r="B515" s="19"/>
      <c r="C515" s="19"/>
      <c r="D515" s="19"/>
      <c r="E515" s="19"/>
      <c r="F515" s="19"/>
      <c r="G515" s="19"/>
      <c r="H515" s="19"/>
      <c r="I515" s="19"/>
      <c r="J515" s="19"/>
      <c r="K515" s="19"/>
      <c r="L515" s="19"/>
      <c r="M515" s="19"/>
      <c r="N515" s="19"/>
      <c r="O515" s="19"/>
      <c r="P515" s="19"/>
      <c r="Q515" s="19"/>
      <c r="R515" s="19"/>
      <c r="S515" s="19"/>
      <c r="T515" s="19"/>
      <c r="U515" s="19"/>
      <c r="V515" s="19"/>
      <c r="W515" s="19"/>
      <c r="X515" s="19"/>
    </row>
    <row r="516" spans="1:24" ht="12" customHeight="1">
      <c r="A516" s="19"/>
      <c r="B516" s="19"/>
      <c r="C516" s="19"/>
      <c r="D516" s="19"/>
      <c r="E516" s="19"/>
      <c r="F516" s="19"/>
      <c r="G516" s="19"/>
      <c r="H516" s="19"/>
      <c r="I516" s="19"/>
      <c r="J516" s="19"/>
      <c r="K516" s="19"/>
      <c r="L516" s="19"/>
      <c r="M516" s="19"/>
      <c r="N516" s="19"/>
      <c r="O516" s="19"/>
      <c r="P516" s="19"/>
      <c r="Q516" s="19"/>
      <c r="R516" s="19"/>
      <c r="S516" s="19"/>
      <c r="T516" s="19"/>
      <c r="U516" s="19"/>
      <c r="V516" s="19"/>
      <c r="W516" s="19"/>
      <c r="X516" s="19"/>
    </row>
    <row r="517" spans="1:24" ht="12" customHeight="1">
      <c r="A517" s="19"/>
      <c r="B517" s="19"/>
      <c r="C517" s="19"/>
      <c r="D517" s="19"/>
      <c r="E517" s="19"/>
      <c r="F517" s="19"/>
      <c r="G517" s="19"/>
      <c r="H517" s="19"/>
      <c r="I517" s="19"/>
      <c r="J517" s="19"/>
      <c r="K517" s="19"/>
      <c r="L517" s="19"/>
      <c r="M517" s="19"/>
      <c r="N517" s="19"/>
      <c r="O517" s="19"/>
      <c r="P517" s="19"/>
      <c r="Q517" s="19"/>
      <c r="R517" s="19"/>
      <c r="S517" s="19"/>
      <c r="T517" s="19"/>
      <c r="U517" s="19"/>
      <c r="V517" s="19"/>
      <c r="W517" s="19"/>
      <c r="X517" s="19"/>
    </row>
    <row r="518" spans="1:24" ht="12" customHeight="1">
      <c r="A518" s="19"/>
      <c r="B518" s="19"/>
      <c r="C518" s="19"/>
      <c r="D518" s="19"/>
      <c r="E518" s="19"/>
      <c r="F518" s="19"/>
      <c r="G518" s="19"/>
      <c r="H518" s="19"/>
      <c r="I518" s="19"/>
      <c r="J518" s="19"/>
      <c r="K518" s="19"/>
      <c r="L518" s="19"/>
      <c r="M518" s="19"/>
      <c r="N518" s="19"/>
      <c r="O518" s="19"/>
      <c r="P518" s="19"/>
      <c r="Q518" s="19"/>
      <c r="R518" s="19"/>
      <c r="S518" s="19"/>
      <c r="T518" s="19"/>
      <c r="U518" s="19"/>
      <c r="V518" s="19"/>
      <c r="W518" s="19"/>
      <c r="X518" s="19"/>
    </row>
    <row r="519" spans="1:24" ht="12" customHeight="1">
      <c r="A519" s="19"/>
      <c r="B519" s="19"/>
      <c r="C519" s="19"/>
      <c r="D519" s="19"/>
      <c r="E519" s="19"/>
      <c r="F519" s="19"/>
      <c r="G519" s="19"/>
      <c r="H519" s="19"/>
      <c r="I519" s="19"/>
      <c r="J519" s="19"/>
      <c r="K519" s="19"/>
      <c r="L519" s="19"/>
      <c r="M519" s="19"/>
      <c r="N519" s="19"/>
      <c r="O519" s="19"/>
      <c r="P519" s="19"/>
      <c r="Q519" s="19"/>
      <c r="R519" s="19"/>
      <c r="S519" s="19"/>
      <c r="T519" s="19"/>
      <c r="U519" s="19"/>
      <c r="V519" s="19"/>
      <c r="W519" s="19"/>
      <c r="X519" s="19"/>
    </row>
    <row r="520" spans="1:24" ht="12" customHeight="1">
      <c r="A520" s="19"/>
      <c r="B520" s="19"/>
      <c r="C520" s="19"/>
      <c r="D520" s="19"/>
      <c r="E520" s="19"/>
      <c r="F520" s="19"/>
      <c r="G520" s="19"/>
      <c r="H520" s="19"/>
      <c r="I520" s="19"/>
      <c r="J520" s="19"/>
      <c r="K520" s="19"/>
      <c r="L520" s="19"/>
      <c r="M520" s="19"/>
      <c r="N520" s="19"/>
      <c r="O520" s="19"/>
      <c r="P520" s="19"/>
      <c r="Q520" s="19"/>
      <c r="R520" s="19"/>
      <c r="S520" s="19"/>
      <c r="T520" s="19"/>
      <c r="U520" s="19"/>
      <c r="V520" s="19"/>
      <c r="W520" s="19"/>
      <c r="X520" s="19"/>
    </row>
    <row r="521" spans="1:24" ht="12" customHeight="1">
      <c r="A521" s="19"/>
      <c r="B521" s="19"/>
      <c r="C521" s="19"/>
      <c r="D521" s="19"/>
      <c r="E521" s="19"/>
      <c r="F521" s="19"/>
      <c r="G521" s="19"/>
      <c r="H521" s="19"/>
      <c r="I521" s="19"/>
      <c r="J521" s="19"/>
      <c r="K521" s="19"/>
      <c r="L521" s="19"/>
      <c r="M521" s="19"/>
      <c r="N521" s="19"/>
      <c r="O521" s="19"/>
      <c r="P521" s="19"/>
      <c r="Q521" s="19"/>
      <c r="R521" s="19"/>
      <c r="S521" s="19"/>
      <c r="T521" s="19"/>
      <c r="U521" s="19"/>
      <c r="V521" s="19"/>
      <c r="W521" s="19"/>
      <c r="X521" s="19"/>
    </row>
    <row r="522" spans="1:24" ht="12" customHeight="1">
      <c r="A522" s="19"/>
      <c r="B522" s="19"/>
      <c r="C522" s="19"/>
      <c r="D522" s="19"/>
      <c r="E522" s="19"/>
      <c r="F522" s="19"/>
      <c r="G522" s="19"/>
      <c r="H522" s="19"/>
      <c r="I522" s="19"/>
      <c r="J522" s="19"/>
      <c r="K522" s="19"/>
      <c r="L522" s="19"/>
      <c r="M522" s="19"/>
      <c r="N522" s="19"/>
      <c r="O522" s="19"/>
      <c r="P522" s="19"/>
      <c r="Q522" s="19"/>
      <c r="R522" s="19"/>
      <c r="S522" s="19"/>
      <c r="T522" s="19"/>
      <c r="U522" s="19"/>
      <c r="V522" s="19"/>
      <c r="W522" s="19"/>
      <c r="X522" s="19"/>
    </row>
    <row r="523" spans="1:24" ht="12" customHeight="1">
      <c r="A523" s="19"/>
      <c r="B523" s="19"/>
      <c r="C523" s="19"/>
      <c r="D523" s="19"/>
      <c r="E523" s="19"/>
      <c r="F523" s="19"/>
      <c r="G523" s="19"/>
      <c r="H523" s="19"/>
      <c r="I523" s="19"/>
      <c r="J523" s="19"/>
      <c r="K523" s="19"/>
      <c r="L523" s="19"/>
      <c r="M523" s="19"/>
      <c r="N523" s="19"/>
      <c r="O523" s="19"/>
      <c r="P523" s="19"/>
      <c r="Q523" s="19"/>
      <c r="R523" s="19"/>
      <c r="S523" s="19"/>
      <c r="T523" s="19"/>
      <c r="U523" s="19"/>
      <c r="V523" s="19"/>
      <c r="W523" s="19"/>
      <c r="X523" s="19"/>
    </row>
    <row r="524" spans="1:24" ht="12" customHeight="1">
      <c r="A524" s="19"/>
      <c r="B524" s="19"/>
      <c r="C524" s="19"/>
      <c r="D524" s="19"/>
      <c r="E524" s="19"/>
      <c r="F524" s="19"/>
      <c r="G524" s="19"/>
      <c r="H524" s="19"/>
      <c r="I524" s="19"/>
      <c r="J524" s="19"/>
      <c r="K524" s="19"/>
      <c r="L524" s="19"/>
      <c r="M524" s="19"/>
      <c r="N524" s="19"/>
      <c r="O524" s="19"/>
      <c r="P524" s="19"/>
      <c r="Q524" s="19"/>
      <c r="R524" s="19"/>
      <c r="S524" s="19"/>
      <c r="T524" s="19"/>
      <c r="U524" s="19"/>
      <c r="V524" s="19"/>
      <c r="W524" s="19"/>
      <c r="X524" s="19"/>
    </row>
    <row r="525" spans="1:24" ht="12" customHeight="1">
      <c r="A525" s="19"/>
      <c r="B525" s="19"/>
      <c r="C525" s="19"/>
      <c r="D525" s="19"/>
      <c r="E525" s="19"/>
      <c r="F525" s="19"/>
      <c r="G525" s="19"/>
      <c r="H525" s="19"/>
      <c r="I525" s="19"/>
      <c r="J525" s="19"/>
      <c r="K525" s="19"/>
      <c r="L525" s="19"/>
      <c r="M525" s="19"/>
      <c r="N525" s="19"/>
      <c r="O525" s="19"/>
      <c r="P525" s="19"/>
      <c r="Q525" s="19"/>
      <c r="R525" s="19"/>
      <c r="S525" s="19"/>
      <c r="T525" s="19"/>
      <c r="U525" s="19"/>
      <c r="V525" s="19"/>
      <c r="W525" s="19"/>
      <c r="X525" s="19"/>
    </row>
    <row r="526" spans="1:24" ht="12" customHeight="1">
      <c r="A526" s="19"/>
      <c r="B526" s="19"/>
      <c r="C526" s="19"/>
      <c r="D526" s="19"/>
      <c r="E526" s="19"/>
      <c r="F526" s="19"/>
      <c r="G526" s="19"/>
      <c r="H526" s="19"/>
      <c r="I526" s="19"/>
      <c r="J526" s="19"/>
      <c r="K526" s="19"/>
      <c r="L526" s="19"/>
      <c r="M526" s="19"/>
      <c r="N526" s="19"/>
      <c r="O526" s="19"/>
      <c r="P526" s="19"/>
      <c r="Q526" s="19"/>
      <c r="R526" s="19"/>
      <c r="S526" s="19"/>
      <c r="T526" s="19"/>
      <c r="U526" s="19"/>
      <c r="V526" s="19"/>
      <c r="W526" s="19"/>
      <c r="X526" s="19"/>
    </row>
    <row r="527" spans="1:24" ht="12" customHeight="1">
      <c r="A527" s="19"/>
      <c r="B527" s="19"/>
      <c r="C527" s="19"/>
      <c r="D527" s="19"/>
      <c r="E527" s="19"/>
      <c r="F527" s="19"/>
      <c r="G527" s="19"/>
      <c r="H527" s="19"/>
      <c r="I527" s="19"/>
      <c r="J527" s="19"/>
      <c r="K527" s="19"/>
      <c r="L527" s="19"/>
      <c r="M527" s="19"/>
      <c r="N527" s="19"/>
      <c r="O527" s="19"/>
      <c r="P527" s="19"/>
      <c r="Q527" s="19"/>
      <c r="R527" s="19"/>
      <c r="S527" s="19"/>
      <c r="T527" s="19"/>
      <c r="U527" s="19"/>
      <c r="V527" s="19"/>
      <c r="W527" s="19"/>
      <c r="X527" s="19"/>
    </row>
    <row r="528" spans="1:24" ht="12" customHeight="1">
      <c r="A528" s="19"/>
      <c r="B528" s="19"/>
      <c r="C528" s="19"/>
      <c r="D528" s="19"/>
      <c r="E528" s="19"/>
      <c r="F528" s="19"/>
      <c r="G528" s="19"/>
      <c r="H528" s="19"/>
      <c r="I528" s="19"/>
      <c r="J528" s="19"/>
      <c r="K528" s="19"/>
      <c r="L528" s="19"/>
      <c r="M528" s="19"/>
      <c r="N528" s="19"/>
      <c r="O528" s="19"/>
      <c r="P528" s="19"/>
      <c r="Q528" s="19"/>
      <c r="R528" s="19"/>
      <c r="S528" s="19"/>
      <c r="T528" s="19"/>
      <c r="U528" s="19"/>
      <c r="V528" s="19"/>
      <c r="W528" s="19"/>
      <c r="X528" s="19"/>
    </row>
    <row r="529" spans="1:24" ht="12" customHeight="1">
      <c r="A529" s="19"/>
      <c r="B529" s="19"/>
      <c r="C529" s="19"/>
      <c r="D529" s="19"/>
      <c r="E529" s="19"/>
      <c r="F529" s="19"/>
      <c r="G529" s="19"/>
      <c r="H529" s="19"/>
      <c r="I529" s="19"/>
      <c r="J529" s="19"/>
      <c r="K529" s="19"/>
      <c r="L529" s="19"/>
      <c r="M529" s="19"/>
      <c r="N529" s="19"/>
      <c r="O529" s="19"/>
      <c r="P529" s="19"/>
      <c r="Q529" s="19"/>
      <c r="R529" s="19"/>
      <c r="S529" s="19"/>
      <c r="T529" s="19"/>
      <c r="U529" s="19"/>
      <c r="V529" s="19"/>
      <c r="W529" s="19"/>
      <c r="X529" s="19"/>
    </row>
    <row r="530" spans="1:24" ht="12" customHeight="1">
      <c r="A530" s="19"/>
      <c r="B530" s="19"/>
      <c r="C530" s="19"/>
      <c r="D530" s="19"/>
      <c r="E530" s="19"/>
      <c r="F530" s="19"/>
      <c r="G530" s="19"/>
      <c r="H530" s="19"/>
      <c r="I530" s="19"/>
      <c r="J530" s="19"/>
      <c r="K530" s="19"/>
      <c r="L530" s="19"/>
      <c r="M530" s="19"/>
      <c r="N530" s="19"/>
      <c r="O530" s="19"/>
      <c r="P530" s="19"/>
      <c r="Q530" s="19"/>
      <c r="R530" s="19"/>
      <c r="S530" s="19"/>
      <c r="T530" s="19"/>
      <c r="U530" s="19"/>
      <c r="V530" s="19"/>
      <c r="W530" s="19"/>
      <c r="X530" s="19"/>
    </row>
    <row r="531" spans="1:24" ht="12" customHeight="1">
      <c r="A531" s="19"/>
      <c r="B531" s="19"/>
      <c r="C531" s="19"/>
      <c r="D531" s="19"/>
      <c r="E531" s="19"/>
      <c r="F531" s="19"/>
      <c r="G531" s="19"/>
      <c r="H531" s="19"/>
      <c r="I531" s="19"/>
      <c r="J531" s="19"/>
      <c r="K531" s="19"/>
      <c r="L531" s="19"/>
      <c r="M531" s="19"/>
      <c r="N531" s="19"/>
      <c r="O531" s="19"/>
      <c r="P531" s="19"/>
      <c r="Q531" s="19"/>
      <c r="R531" s="19"/>
      <c r="S531" s="19"/>
      <c r="T531" s="19"/>
      <c r="U531" s="19"/>
      <c r="V531" s="19"/>
      <c r="W531" s="19"/>
      <c r="X531" s="19"/>
    </row>
    <row r="532" spans="1:24" ht="12" customHeight="1">
      <c r="A532" s="19"/>
      <c r="B532" s="19"/>
      <c r="C532" s="19"/>
      <c r="D532" s="19"/>
      <c r="E532" s="19"/>
      <c r="F532" s="19"/>
      <c r="G532" s="19"/>
      <c r="H532" s="19"/>
      <c r="I532" s="19"/>
      <c r="J532" s="19"/>
      <c r="K532" s="19"/>
      <c r="L532" s="19"/>
      <c r="M532" s="19"/>
      <c r="N532" s="19"/>
      <c r="O532" s="19"/>
      <c r="P532" s="19"/>
      <c r="Q532" s="19"/>
      <c r="R532" s="19"/>
      <c r="S532" s="19"/>
      <c r="T532" s="19"/>
      <c r="U532" s="19"/>
      <c r="V532" s="19"/>
      <c r="W532" s="19"/>
      <c r="X532" s="19"/>
    </row>
    <row r="533" spans="1:24" ht="12" customHeight="1">
      <c r="A533" s="19"/>
      <c r="B533" s="19"/>
      <c r="C533" s="19"/>
      <c r="D533" s="19"/>
      <c r="E533" s="19"/>
      <c r="F533" s="19"/>
      <c r="G533" s="19"/>
      <c r="H533" s="19"/>
      <c r="I533" s="19"/>
      <c r="J533" s="19"/>
      <c r="K533" s="19"/>
      <c r="L533" s="19"/>
      <c r="M533" s="19"/>
      <c r="N533" s="19"/>
      <c r="O533" s="19"/>
      <c r="P533" s="19"/>
      <c r="Q533" s="19"/>
      <c r="R533" s="19"/>
      <c r="S533" s="19"/>
      <c r="T533" s="19"/>
      <c r="U533" s="19"/>
      <c r="V533" s="19"/>
      <c r="W533" s="19"/>
      <c r="X533" s="19"/>
    </row>
    <row r="534" spans="1:24" ht="12" customHeight="1">
      <c r="A534" s="19"/>
      <c r="B534" s="19"/>
      <c r="C534" s="19"/>
      <c r="D534" s="19"/>
      <c r="E534" s="19"/>
      <c r="F534" s="19"/>
      <c r="G534" s="19"/>
      <c r="H534" s="19"/>
      <c r="I534" s="19"/>
      <c r="J534" s="19"/>
      <c r="K534" s="19"/>
      <c r="L534" s="19"/>
      <c r="M534" s="19"/>
      <c r="N534" s="19"/>
      <c r="O534" s="19"/>
      <c r="P534" s="19"/>
      <c r="Q534" s="19"/>
      <c r="R534" s="19"/>
      <c r="S534" s="19"/>
      <c r="T534" s="19"/>
      <c r="U534" s="19"/>
      <c r="V534" s="19"/>
      <c r="W534" s="19"/>
      <c r="X534" s="19"/>
    </row>
    <row r="535" spans="1:24" ht="12" customHeight="1">
      <c r="A535" s="19"/>
      <c r="B535" s="19"/>
      <c r="C535" s="19"/>
      <c r="D535" s="19"/>
      <c r="E535" s="19"/>
      <c r="F535" s="19"/>
      <c r="G535" s="19"/>
      <c r="H535" s="19"/>
      <c r="I535" s="19"/>
      <c r="J535" s="19"/>
      <c r="K535" s="19"/>
      <c r="L535" s="19"/>
      <c r="M535" s="19"/>
      <c r="N535" s="19"/>
      <c r="O535" s="19"/>
      <c r="P535" s="19"/>
      <c r="Q535" s="19"/>
      <c r="R535" s="19"/>
      <c r="S535" s="19"/>
      <c r="T535" s="19"/>
      <c r="U535" s="19"/>
      <c r="V535" s="19"/>
      <c r="W535" s="19"/>
      <c r="X535" s="19"/>
    </row>
    <row r="536" spans="1:24" ht="12" customHeight="1">
      <c r="A536" s="19"/>
      <c r="B536" s="19"/>
      <c r="C536" s="19"/>
      <c r="D536" s="19"/>
      <c r="E536" s="19"/>
      <c r="F536" s="19"/>
      <c r="G536" s="19"/>
      <c r="H536" s="19"/>
      <c r="I536" s="19"/>
      <c r="J536" s="19"/>
      <c r="K536" s="19"/>
      <c r="L536" s="19"/>
      <c r="M536" s="19"/>
      <c r="N536" s="19"/>
      <c r="O536" s="19"/>
      <c r="P536" s="19"/>
      <c r="Q536" s="19"/>
      <c r="R536" s="19"/>
      <c r="S536" s="19"/>
      <c r="T536" s="19"/>
      <c r="U536" s="19"/>
      <c r="V536" s="19"/>
      <c r="W536" s="19"/>
      <c r="X536" s="19"/>
    </row>
    <row r="537" spans="1:24" ht="12" customHeight="1">
      <c r="A537" s="19"/>
      <c r="B537" s="19"/>
      <c r="C537" s="19"/>
      <c r="D537" s="19"/>
      <c r="E537" s="19"/>
      <c r="F537" s="19"/>
      <c r="G537" s="19"/>
      <c r="H537" s="19"/>
      <c r="I537" s="19"/>
      <c r="J537" s="19"/>
      <c r="K537" s="19"/>
      <c r="L537" s="19"/>
      <c r="M537" s="19"/>
      <c r="N537" s="19"/>
      <c r="O537" s="19"/>
      <c r="P537" s="19"/>
      <c r="Q537" s="19"/>
      <c r="R537" s="19"/>
      <c r="S537" s="19"/>
      <c r="T537" s="19"/>
      <c r="U537" s="19"/>
      <c r="V537" s="19"/>
      <c r="W537" s="19"/>
      <c r="X537" s="19"/>
    </row>
    <row r="538" spans="1:24" ht="12" customHeight="1">
      <c r="A538" s="19"/>
      <c r="B538" s="19"/>
      <c r="C538" s="19"/>
      <c r="D538" s="19"/>
      <c r="E538" s="19"/>
      <c r="F538" s="19"/>
      <c r="G538" s="19"/>
      <c r="H538" s="19"/>
      <c r="I538" s="19"/>
      <c r="J538" s="19"/>
      <c r="K538" s="19"/>
      <c r="L538" s="19"/>
      <c r="M538" s="19"/>
      <c r="N538" s="19"/>
      <c r="O538" s="19"/>
      <c r="P538" s="19"/>
      <c r="Q538" s="19"/>
      <c r="R538" s="19"/>
      <c r="S538" s="19"/>
      <c r="T538" s="19"/>
      <c r="U538" s="19"/>
      <c r="V538" s="19"/>
      <c r="W538" s="19"/>
      <c r="X538" s="19"/>
    </row>
    <row r="539" spans="1:24" ht="12" customHeight="1">
      <c r="A539" s="19"/>
      <c r="B539" s="19"/>
      <c r="C539" s="19"/>
      <c r="D539" s="19"/>
      <c r="E539" s="19"/>
      <c r="F539" s="19"/>
      <c r="G539" s="19"/>
      <c r="H539" s="19"/>
      <c r="I539" s="19"/>
      <c r="J539" s="19"/>
      <c r="K539" s="19"/>
      <c r="L539" s="19"/>
      <c r="M539" s="19"/>
      <c r="N539" s="19"/>
      <c r="O539" s="19"/>
      <c r="P539" s="19"/>
      <c r="Q539" s="19"/>
      <c r="R539" s="19"/>
      <c r="S539" s="19"/>
      <c r="T539" s="19"/>
      <c r="U539" s="19"/>
      <c r="V539" s="19"/>
      <c r="W539" s="19"/>
      <c r="X539" s="19"/>
    </row>
    <row r="540" spans="1:24" ht="12" customHeight="1">
      <c r="A540" s="19"/>
      <c r="B540" s="19"/>
      <c r="C540" s="19"/>
      <c r="D540" s="19"/>
      <c r="E540" s="19"/>
      <c r="F540" s="19"/>
      <c r="G540" s="19"/>
      <c r="H540" s="19"/>
      <c r="I540" s="19"/>
      <c r="J540" s="19"/>
      <c r="K540" s="19"/>
      <c r="L540" s="19"/>
      <c r="M540" s="19"/>
      <c r="N540" s="19"/>
      <c r="O540" s="19"/>
      <c r="P540" s="19"/>
      <c r="Q540" s="19"/>
      <c r="R540" s="19"/>
      <c r="S540" s="19"/>
      <c r="T540" s="19"/>
      <c r="U540" s="19"/>
      <c r="V540" s="19"/>
      <c r="W540" s="19"/>
      <c r="X540" s="19"/>
    </row>
    <row r="541" spans="1:24" ht="12" customHeight="1">
      <c r="A541" s="19"/>
      <c r="B541" s="19"/>
      <c r="C541" s="19"/>
      <c r="D541" s="19"/>
      <c r="E541" s="19"/>
      <c r="F541" s="19"/>
      <c r="G541" s="19"/>
      <c r="H541" s="19"/>
      <c r="I541" s="19"/>
      <c r="J541" s="19"/>
      <c r="K541" s="19"/>
      <c r="L541" s="19"/>
      <c r="M541" s="19"/>
      <c r="N541" s="19"/>
      <c r="O541" s="19"/>
      <c r="P541" s="19"/>
      <c r="Q541" s="19"/>
      <c r="R541" s="19"/>
      <c r="S541" s="19"/>
      <c r="T541" s="19"/>
      <c r="U541" s="19"/>
      <c r="V541" s="19"/>
      <c r="W541" s="19"/>
      <c r="X541" s="19"/>
    </row>
    <row r="542" spans="1:24" ht="12" customHeight="1">
      <c r="A542" s="19"/>
      <c r="B542" s="19"/>
      <c r="C542" s="19"/>
      <c r="D542" s="19"/>
      <c r="E542" s="19"/>
      <c r="F542" s="19"/>
      <c r="G542" s="19"/>
      <c r="H542" s="19"/>
      <c r="I542" s="19"/>
      <c r="J542" s="19"/>
      <c r="K542" s="19"/>
      <c r="L542" s="19"/>
      <c r="M542" s="19"/>
      <c r="N542" s="19"/>
      <c r="O542" s="19"/>
      <c r="P542" s="19"/>
      <c r="Q542" s="19"/>
      <c r="R542" s="19"/>
      <c r="S542" s="19"/>
      <c r="T542" s="19"/>
      <c r="U542" s="19"/>
      <c r="V542" s="19"/>
      <c r="W542" s="19"/>
      <c r="X542" s="19"/>
    </row>
    <row r="543" spans="1:24" ht="12" customHeight="1">
      <c r="A543" s="19"/>
      <c r="B543" s="19"/>
      <c r="C543" s="19"/>
      <c r="D543" s="19"/>
      <c r="E543" s="19"/>
      <c r="F543" s="19"/>
      <c r="G543" s="19"/>
      <c r="H543" s="19"/>
      <c r="I543" s="19"/>
      <c r="J543" s="19"/>
      <c r="K543" s="19"/>
      <c r="L543" s="19"/>
      <c r="M543" s="19"/>
      <c r="N543" s="19"/>
      <c r="O543" s="19"/>
      <c r="P543" s="19"/>
      <c r="Q543" s="19"/>
      <c r="R543" s="19"/>
      <c r="S543" s="19"/>
      <c r="T543" s="19"/>
      <c r="U543" s="19"/>
      <c r="V543" s="19"/>
      <c r="W543" s="19"/>
      <c r="X543" s="19"/>
    </row>
    <row r="544" spans="1:24" ht="12" customHeight="1">
      <c r="A544" s="19"/>
      <c r="B544" s="19"/>
      <c r="C544" s="19"/>
      <c r="D544" s="19"/>
      <c r="E544" s="19"/>
      <c r="F544" s="19"/>
      <c r="G544" s="19"/>
      <c r="H544" s="19"/>
      <c r="I544" s="19"/>
      <c r="J544" s="19"/>
      <c r="K544" s="19"/>
      <c r="L544" s="19"/>
      <c r="M544" s="19"/>
      <c r="N544" s="19"/>
      <c r="O544" s="19"/>
      <c r="P544" s="19"/>
      <c r="Q544" s="19"/>
      <c r="R544" s="19"/>
      <c r="S544" s="19"/>
      <c r="T544" s="19"/>
      <c r="U544" s="19"/>
      <c r="V544" s="19"/>
      <c r="W544" s="19"/>
      <c r="X544" s="19"/>
    </row>
    <row r="545" spans="1:24" ht="12" customHeight="1">
      <c r="A545" s="19"/>
      <c r="B545" s="19"/>
      <c r="C545" s="19"/>
      <c r="D545" s="19"/>
      <c r="E545" s="19"/>
      <c r="F545" s="19"/>
      <c r="G545" s="19"/>
      <c r="H545" s="19"/>
      <c r="I545" s="19"/>
      <c r="J545" s="19"/>
      <c r="K545" s="19"/>
      <c r="L545" s="19"/>
      <c r="M545" s="19"/>
      <c r="N545" s="19"/>
      <c r="O545" s="19"/>
      <c r="P545" s="19"/>
      <c r="Q545" s="19"/>
      <c r="R545" s="19"/>
      <c r="S545" s="19"/>
      <c r="T545" s="19"/>
      <c r="U545" s="19"/>
      <c r="V545" s="19"/>
      <c r="W545" s="19"/>
      <c r="X545" s="19"/>
    </row>
    <row r="546" spans="1:24" ht="12" customHeight="1">
      <c r="A546" s="19"/>
      <c r="B546" s="19"/>
      <c r="C546" s="19"/>
      <c r="D546" s="19"/>
      <c r="E546" s="19"/>
      <c r="F546" s="19"/>
      <c r="G546" s="19"/>
      <c r="H546" s="19"/>
      <c r="I546" s="19"/>
      <c r="J546" s="19"/>
      <c r="K546" s="19"/>
      <c r="L546" s="19"/>
      <c r="M546" s="19"/>
      <c r="N546" s="19"/>
      <c r="O546" s="19"/>
      <c r="P546" s="19"/>
      <c r="Q546" s="19"/>
      <c r="R546" s="19"/>
      <c r="S546" s="19"/>
      <c r="T546" s="19"/>
      <c r="U546" s="19"/>
      <c r="V546" s="19"/>
      <c r="W546" s="19"/>
      <c r="X546" s="19"/>
    </row>
    <row r="547" spans="1:24" ht="12" customHeight="1">
      <c r="A547" s="19"/>
      <c r="B547" s="19"/>
      <c r="C547" s="19"/>
      <c r="D547" s="19"/>
      <c r="E547" s="19"/>
      <c r="F547" s="19"/>
      <c r="G547" s="19"/>
      <c r="H547" s="19"/>
      <c r="I547" s="19"/>
      <c r="J547" s="19"/>
      <c r="K547" s="19"/>
      <c r="L547" s="19"/>
      <c r="M547" s="19"/>
      <c r="N547" s="19"/>
      <c r="O547" s="19"/>
      <c r="P547" s="19"/>
      <c r="Q547" s="19"/>
      <c r="R547" s="19"/>
      <c r="S547" s="19"/>
      <c r="T547" s="19"/>
      <c r="U547" s="19"/>
      <c r="V547" s="19"/>
      <c r="W547" s="19"/>
      <c r="X547" s="19"/>
    </row>
    <row r="548" spans="1:24" ht="12" customHeight="1">
      <c r="A548" s="19"/>
      <c r="B548" s="19"/>
      <c r="C548" s="19"/>
      <c r="D548" s="19"/>
      <c r="E548" s="19"/>
      <c r="F548" s="19"/>
      <c r="G548" s="19"/>
      <c r="H548" s="19"/>
      <c r="I548" s="19"/>
      <c r="J548" s="19"/>
      <c r="K548" s="19"/>
      <c r="L548" s="19"/>
      <c r="M548" s="19"/>
      <c r="N548" s="19"/>
      <c r="O548" s="19"/>
      <c r="P548" s="19"/>
      <c r="Q548" s="19"/>
      <c r="R548" s="19"/>
      <c r="S548" s="19"/>
      <c r="T548" s="19"/>
      <c r="U548" s="19"/>
      <c r="V548" s="19"/>
      <c r="W548" s="19"/>
      <c r="X548" s="19"/>
    </row>
    <row r="549" spans="1:24" ht="12" customHeight="1">
      <c r="A549" s="19"/>
      <c r="B549" s="19"/>
      <c r="C549" s="19"/>
      <c r="D549" s="19"/>
      <c r="E549" s="19"/>
      <c r="F549" s="19"/>
      <c r="G549" s="19"/>
      <c r="H549" s="19"/>
      <c r="I549" s="19"/>
      <c r="J549" s="19"/>
      <c r="K549" s="19"/>
      <c r="L549" s="19"/>
      <c r="M549" s="19"/>
      <c r="N549" s="19"/>
      <c r="O549" s="19"/>
      <c r="P549" s="19"/>
      <c r="Q549" s="19"/>
      <c r="R549" s="19"/>
      <c r="S549" s="19"/>
      <c r="T549" s="19"/>
      <c r="U549" s="19"/>
      <c r="V549" s="19"/>
      <c r="W549" s="19"/>
      <c r="X549" s="19"/>
    </row>
    <row r="550" spans="1:24" ht="12" customHeight="1">
      <c r="A550" s="19"/>
      <c r="B550" s="19"/>
      <c r="C550" s="19"/>
      <c r="D550" s="19"/>
      <c r="E550" s="19"/>
      <c r="F550" s="19"/>
      <c r="G550" s="19"/>
      <c r="H550" s="19"/>
      <c r="I550" s="19"/>
      <c r="J550" s="19"/>
      <c r="K550" s="19"/>
      <c r="L550" s="19"/>
      <c r="M550" s="19"/>
      <c r="N550" s="19"/>
      <c r="O550" s="19"/>
      <c r="P550" s="19"/>
      <c r="Q550" s="19"/>
      <c r="R550" s="19"/>
      <c r="S550" s="19"/>
      <c r="T550" s="19"/>
      <c r="U550" s="19"/>
      <c r="V550" s="19"/>
      <c r="W550" s="19"/>
      <c r="X550" s="19"/>
    </row>
    <row r="551" spans="1:24" ht="12" customHeight="1">
      <c r="A551" s="19"/>
      <c r="B551" s="19"/>
      <c r="C551" s="19"/>
      <c r="D551" s="19"/>
      <c r="E551" s="19"/>
      <c r="F551" s="19"/>
      <c r="G551" s="19"/>
      <c r="H551" s="19"/>
      <c r="I551" s="19"/>
      <c r="J551" s="19"/>
      <c r="K551" s="19"/>
      <c r="L551" s="19"/>
      <c r="M551" s="19"/>
      <c r="N551" s="19"/>
      <c r="O551" s="19"/>
      <c r="P551" s="19"/>
      <c r="Q551" s="19"/>
      <c r="R551" s="19"/>
      <c r="S551" s="19"/>
      <c r="T551" s="19"/>
      <c r="U551" s="19"/>
      <c r="V551" s="19"/>
      <c r="W551" s="19"/>
      <c r="X551" s="19"/>
    </row>
    <row r="552" spans="1:24" ht="12" customHeight="1">
      <c r="A552" s="19"/>
      <c r="B552" s="19"/>
      <c r="C552" s="19"/>
      <c r="D552" s="19"/>
      <c r="E552" s="19"/>
      <c r="F552" s="19"/>
      <c r="G552" s="19"/>
      <c r="H552" s="19"/>
      <c r="I552" s="19"/>
      <c r="J552" s="19"/>
      <c r="K552" s="19"/>
      <c r="L552" s="19"/>
      <c r="M552" s="19"/>
      <c r="N552" s="19"/>
      <c r="O552" s="19"/>
      <c r="P552" s="19"/>
      <c r="Q552" s="19"/>
      <c r="R552" s="19"/>
      <c r="S552" s="19"/>
      <c r="T552" s="19"/>
      <c r="U552" s="19"/>
      <c r="V552" s="19"/>
      <c r="W552" s="19"/>
      <c r="X552" s="19"/>
    </row>
    <row r="553" spans="1:24" ht="12" customHeight="1">
      <c r="A553" s="19"/>
      <c r="B553" s="19"/>
      <c r="C553" s="19"/>
      <c r="D553" s="19"/>
      <c r="E553" s="19"/>
      <c r="F553" s="19"/>
      <c r="G553" s="19"/>
      <c r="H553" s="19"/>
      <c r="I553" s="19"/>
      <c r="J553" s="19"/>
      <c r="K553" s="19"/>
      <c r="L553" s="19"/>
      <c r="M553" s="19"/>
      <c r="N553" s="19"/>
      <c r="O553" s="19"/>
      <c r="P553" s="19"/>
      <c r="Q553" s="19"/>
      <c r="R553" s="19"/>
      <c r="S553" s="19"/>
      <c r="T553" s="19"/>
      <c r="U553" s="19"/>
      <c r="V553" s="19"/>
      <c r="W553" s="19"/>
      <c r="X553" s="19"/>
    </row>
    <row r="554" spans="1:24" ht="12" customHeight="1">
      <c r="A554" s="19"/>
      <c r="B554" s="19"/>
      <c r="C554" s="19"/>
      <c r="D554" s="19"/>
      <c r="E554" s="19"/>
      <c r="F554" s="19"/>
      <c r="G554" s="19"/>
      <c r="H554" s="19"/>
      <c r="I554" s="19"/>
      <c r="J554" s="19"/>
      <c r="K554" s="19"/>
      <c r="L554" s="19"/>
      <c r="M554" s="19"/>
      <c r="N554" s="19"/>
      <c r="O554" s="19"/>
      <c r="P554" s="19"/>
      <c r="Q554" s="19"/>
      <c r="R554" s="19"/>
      <c r="S554" s="19"/>
      <c r="T554" s="19"/>
      <c r="U554" s="19"/>
      <c r="V554" s="19"/>
      <c r="W554" s="19"/>
      <c r="X554" s="19"/>
    </row>
    <row r="555" spans="1:24" ht="12" customHeight="1">
      <c r="A555" s="19"/>
      <c r="B555" s="19"/>
      <c r="C555" s="19"/>
      <c r="D555" s="19"/>
      <c r="E555" s="19"/>
      <c r="F555" s="19"/>
      <c r="G555" s="19"/>
      <c r="H555" s="19"/>
      <c r="I555" s="19"/>
      <c r="J555" s="19"/>
      <c r="K555" s="19"/>
      <c r="L555" s="19"/>
      <c r="M555" s="19"/>
      <c r="N555" s="19"/>
      <c r="O555" s="19"/>
      <c r="P555" s="19"/>
      <c r="Q555" s="19"/>
      <c r="R555" s="19"/>
      <c r="S555" s="19"/>
      <c r="T555" s="19"/>
      <c r="U555" s="19"/>
      <c r="V555" s="19"/>
      <c r="W555" s="19"/>
      <c r="X555" s="19"/>
    </row>
    <row r="556" spans="1:24" ht="12" customHeight="1">
      <c r="A556" s="19"/>
      <c r="B556" s="19"/>
      <c r="C556" s="19"/>
      <c r="D556" s="19"/>
      <c r="E556" s="19"/>
      <c r="F556" s="19"/>
      <c r="G556" s="19"/>
      <c r="H556" s="19"/>
      <c r="I556" s="19"/>
      <c r="J556" s="19"/>
      <c r="K556" s="19"/>
      <c r="L556" s="19"/>
      <c r="M556" s="19"/>
      <c r="N556" s="19"/>
      <c r="O556" s="19"/>
      <c r="P556" s="19"/>
      <c r="Q556" s="19"/>
      <c r="R556" s="19"/>
      <c r="S556" s="19"/>
      <c r="T556" s="19"/>
      <c r="U556" s="19"/>
      <c r="V556" s="19"/>
      <c r="W556" s="19"/>
      <c r="X556" s="19"/>
    </row>
    <row r="557" spans="1:24" ht="12" customHeight="1">
      <c r="A557" s="19"/>
      <c r="B557" s="19"/>
      <c r="C557" s="19"/>
      <c r="D557" s="19"/>
      <c r="E557" s="19"/>
      <c r="F557" s="19"/>
      <c r="G557" s="19"/>
      <c r="H557" s="19"/>
      <c r="I557" s="19"/>
      <c r="J557" s="19"/>
      <c r="K557" s="19"/>
      <c r="L557" s="19"/>
      <c r="M557" s="19"/>
      <c r="N557" s="19"/>
      <c r="O557" s="19"/>
      <c r="P557" s="19"/>
      <c r="Q557" s="19"/>
      <c r="R557" s="19"/>
      <c r="S557" s="19"/>
      <c r="T557" s="19"/>
      <c r="U557" s="19"/>
      <c r="V557" s="19"/>
      <c r="W557" s="19"/>
      <c r="X557" s="19"/>
    </row>
    <row r="558" spans="1:24" ht="12" customHeight="1">
      <c r="A558" s="19"/>
      <c r="B558" s="19"/>
      <c r="C558" s="19"/>
      <c r="D558" s="19"/>
      <c r="E558" s="19"/>
      <c r="F558" s="19"/>
      <c r="G558" s="19"/>
      <c r="H558" s="19"/>
      <c r="I558" s="19"/>
      <c r="J558" s="19"/>
      <c r="K558" s="19"/>
      <c r="L558" s="19"/>
      <c r="M558" s="19"/>
      <c r="N558" s="19"/>
      <c r="O558" s="19"/>
      <c r="P558" s="19"/>
      <c r="Q558" s="19"/>
      <c r="R558" s="19"/>
      <c r="S558" s="19"/>
      <c r="T558" s="19"/>
      <c r="U558" s="19"/>
      <c r="V558" s="19"/>
      <c r="W558" s="19"/>
      <c r="X558" s="19"/>
    </row>
    <row r="559" spans="1:24" ht="12" customHeight="1">
      <c r="A559" s="19"/>
      <c r="B559" s="19"/>
      <c r="C559" s="19"/>
      <c r="D559" s="19"/>
      <c r="E559" s="19"/>
      <c r="F559" s="19"/>
      <c r="G559" s="19"/>
      <c r="H559" s="19"/>
      <c r="I559" s="19"/>
      <c r="J559" s="19"/>
      <c r="K559" s="19"/>
      <c r="L559" s="19"/>
      <c r="M559" s="19"/>
      <c r="N559" s="19"/>
      <c r="O559" s="19"/>
      <c r="P559" s="19"/>
      <c r="Q559" s="19"/>
      <c r="R559" s="19"/>
      <c r="S559" s="19"/>
      <c r="T559" s="19"/>
      <c r="U559" s="19"/>
      <c r="V559" s="19"/>
      <c r="W559" s="19"/>
      <c r="X559" s="19"/>
    </row>
    <row r="560" spans="1:24" ht="12" customHeight="1">
      <c r="A560" s="19"/>
      <c r="B560" s="19"/>
      <c r="C560" s="19"/>
      <c r="D560" s="19"/>
      <c r="E560" s="19"/>
      <c r="F560" s="19"/>
      <c r="G560" s="19"/>
      <c r="H560" s="19"/>
      <c r="I560" s="19"/>
      <c r="J560" s="19"/>
      <c r="K560" s="19"/>
      <c r="L560" s="19"/>
      <c r="M560" s="19"/>
      <c r="N560" s="19"/>
      <c r="O560" s="19"/>
      <c r="P560" s="19"/>
      <c r="Q560" s="19"/>
      <c r="R560" s="19"/>
      <c r="S560" s="19"/>
      <c r="T560" s="19"/>
      <c r="U560" s="19"/>
      <c r="V560" s="19"/>
      <c r="W560" s="19"/>
      <c r="X560" s="19"/>
    </row>
    <row r="561" spans="1:24" ht="12" customHeight="1">
      <c r="A561" s="19"/>
      <c r="B561" s="19"/>
      <c r="C561" s="19"/>
      <c r="D561" s="19"/>
      <c r="E561" s="19"/>
      <c r="F561" s="19"/>
      <c r="G561" s="19"/>
      <c r="H561" s="19"/>
      <c r="I561" s="19"/>
      <c r="J561" s="19"/>
      <c r="K561" s="19"/>
      <c r="L561" s="19"/>
      <c r="M561" s="19"/>
      <c r="N561" s="19"/>
      <c r="O561" s="19"/>
      <c r="P561" s="19"/>
      <c r="Q561" s="19"/>
      <c r="R561" s="19"/>
      <c r="S561" s="19"/>
      <c r="T561" s="19"/>
      <c r="U561" s="19"/>
      <c r="V561" s="19"/>
      <c r="W561" s="19"/>
      <c r="X561" s="19"/>
    </row>
    <row r="562" spans="1:24" ht="12" customHeight="1">
      <c r="A562" s="19"/>
      <c r="B562" s="19"/>
      <c r="C562" s="19"/>
      <c r="D562" s="19"/>
      <c r="E562" s="19"/>
      <c r="F562" s="19"/>
      <c r="G562" s="19"/>
      <c r="H562" s="19"/>
      <c r="I562" s="19"/>
      <c r="J562" s="19"/>
      <c r="K562" s="19"/>
      <c r="L562" s="19"/>
      <c r="M562" s="19"/>
      <c r="N562" s="19"/>
      <c r="O562" s="19"/>
      <c r="P562" s="19"/>
      <c r="Q562" s="19"/>
      <c r="R562" s="19"/>
      <c r="S562" s="19"/>
      <c r="T562" s="19"/>
      <c r="U562" s="19"/>
      <c r="V562" s="19"/>
      <c r="W562" s="19"/>
      <c r="X562" s="19"/>
    </row>
    <row r="563" spans="1:24" ht="12" customHeight="1">
      <c r="A563" s="19"/>
      <c r="B563" s="19"/>
      <c r="C563" s="19"/>
      <c r="D563" s="19"/>
      <c r="E563" s="19"/>
      <c r="F563" s="19"/>
      <c r="G563" s="19"/>
      <c r="H563" s="19"/>
      <c r="I563" s="19"/>
      <c r="J563" s="19"/>
      <c r="K563" s="19"/>
      <c r="L563" s="19"/>
      <c r="M563" s="19"/>
      <c r="N563" s="19"/>
      <c r="O563" s="19"/>
      <c r="P563" s="19"/>
      <c r="Q563" s="19"/>
      <c r="R563" s="19"/>
      <c r="S563" s="19"/>
      <c r="T563" s="19"/>
      <c r="U563" s="19"/>
      <c r="V563" s="19"/>
      <c r="W563" s="19"/>
      <c r="X563" s="19"/>
    </row>
    <row r="564" spans="1:24" ht="12" customHeight="1">
      <c r="A564" s="19"/>
      <c r="B564" s="19"/>
      <c r="C564" s="19"/>
      <c r="D564" s="19"/>
      <c r="E564" s="19"/>
      <c r="F564" s="19"/>
      <c r="G564" s="19"/>
      <c r="H564" s="19"/>
      <c r="I564" s="19"/>
      <c r="J564" s="19"/>
      <c r="K564" s="19"/>
      <c r="L564" s="19"/>
      <c r="M564" s="19"/>
      <c r="N564" s="19"/>
      <c r="O564" s="19"/>
      <c r="P564" s="19"/>
      <c r="Q564" s="19"/>
      <c r="R564" s="19"/>
      <c r="S564" s="19"/>
      <c r="T564" s="19"/>
      <c r="U564" s="19"/>
      <c r="V564" s="19"/>
      <c r="W564" s="19"/>
      <c r="X564" s="19"/>
    </row>
    <row r="565" spans="1:24" ht="12" customHeight="1">
      <c r="A565" s="19"/>
      <c r="B565" s="19"/>
      <c r="C565" s="19"/>
      <c r="D565" s="19"/>
      <c r="E565" s="19"/>
      <c r="F565" s="19"/>
      <c r="G565" s="19"/>
      <c r="H565" s="19"/>
      <c r="I565" s="19"/>
      <c r="J565" s="19"/>
      <c r="K565" s="19"/>
      <c r="L565" s="19"/>
      <c r="M565" s="19"/>
      <c r="N565" s="19"/>
      <c r="O565" s="19"/>
      <c r="P565" s="19"/>
      <c r="Q565" s="19"/>
      <c r="R565" s="19"/>
      <c r="S565" s="19"/>
      <c r="T565" s="19"/>
      <c r="U565" s="19"/>
      <c r="V565" s="19"/>
      <c r="W565" s="19"/>
      <c r="X565" s="19"/>
    </row>
    <row r="566" spans="1:24" ht="12" customHeight="1">
      <c r="A566" s="19"/>
      <c r="B566" s="19"/>
      <c r="C566" s="19"/>
      <c r="D566" s="19"/>
      <c r="E566" s="19"/>
      <c r="F566" s="19"/>
      <c r="G566" s="19"/>
      <c r="H566" s="19"/>
      <c r="I566" s="19"/>
      <c r="J566" s="19"/>
      <c r="K566" s="19"/>
      <c r="L566" s="19"/>
      <c r="M566" s="19"/>
      <c r="N566" s="19"/>
      <c r="O566" s="19"/>
      <c r="P566" s="19"/>
      <c r="Q566" s="19"/>
      <c r="R566" s="19"/>
      <c r="S566" s="19"/>
      <c r="T566" s="19"/>
      <c r="U566" s="19"/>
      <c r="V566" s="19"/>
      <c r="W566" s="19"/>
      <c r="X566" s="19"/>
    </row>
    <row r="567" spans="1:24" ht="12" customHeight="1">
      <c r="A567" s="19"/>
      <c r="B567" s="19"/>
      <c r="C567" s="19"/>
      <c r="D567" s="19"/>
      <c r="E567" s="19"/>
      <c r="F567" s="19"/>
      <c r="G567" s="19"/>
      <c r="H567" s="19"/>
      <c r="I567" s="19"/>
      <c r="J567" s="19"/>
      <c r="K567" s="19"/>
      <c r="L567" s="19"/>
      <c r="M567" s="19"/>
      <c r="N567" s="19"/>
      <c r="O567" s="19"/>
      <c r="P567" s="19"/>
      <c r="Q567" s="19"/>
      <c r="R567" s="19"/>
      <c r="S567" s="19"/>
      <c r="T567" s="19"/>
      <c r="U567" s="19"/>
      <c r="V567" s="19"/>
      <c r="W567" s="19"/>
      <c r="X567" s="19"/>
    </row>
    <row r="568" spans="1:24" ht="12" customHeight="1">
      <c r="A568" s="19"/>
      <c r="B568" s="19"/>
      <c r="C568" s="19"/>
      <c r="D568" s="19"/>
      <c r="E568" s="19"/>
      <c r="F568" s="19"/>
      <c r="G568" s="19"/>
      <c r="H568" s="19"/>
      <c r="I568" s="19"/>
      <c r="J568" s="19"/>
      <c r="K568" s="19"/>
      <c r="L568" s="19"/>
      <c r="M568" s="19"/>
      <c r="N568" s="19"/>
      <c r="O568" s="19"/>
      <c r="P568" s="19"/>
      <c r="Q568" s="19"/>
      <c r="R568" s="19"/>
      <c r="S568" s="19"/>
      <c r="T568" s="19"/>
      <c r="U568" s="19"/>
      <c r="V568" s="19"/>
      <c r="W568" s="19"/>
      <c r="X568" s="19"/>
    </row>
    <row r="569" spans="1:24" ht="12" customHeight="1">
      <c r="A569" s="19"/>
      <c r="B569" s="19"/>
      <c r="C569" s="19"/>
      <c r="D569" s="19"/>
      <c r="E569" s="19"/>
      <c r="F569" s="19"/>
      <c r="G569" s="19"/>
      <c r="H569" s="19"/>
      <c r="I569" s="19"/>
      <c r="J569" s="19"/>
      <c r="K569" s="19"/>
      <c r="L569" s="19"/>
      <c r="M569" s="19"/>
      <c r="N569" s="19"/>
      <c r="O569" s="19"/>
      <c r="P569" s="19"/>
      <c r="Q569" s="19"/>
      <c r="R569" s="19"/>
      <c r="S569" s="19"/>
      <c r="T569" s="19"/>
      <c r="U569" s="19"/>
      <c r="V569" s="19"/>
      <c r="W569" s="19"/>
      <c r="X569" s="19"/>
    </row>
    <row r="570" spans="1:24" ht="12" customHeight="1">
      <c r="A570" s="19"/>
      <c r="B570" s="19"/>
      <c r="C570" s="19"/>
      <c r="D570" s="19"/>
      <c r="E570" s="19"/>
      <c r="F570" s="19"/>
      <c r="G570" s="19"/>
      <c r="H570" s="19"/>
      <c r="I570" s="19"/>
      <c r="J570" s="19"/>
      <c r="K570" s="19"/>
      <c r="L570" s="19"/>
      <c r="M570" s="19"/>
      <c r="N570" s="19"/>
      <c r="O570" s="19"/>
      <c r="P570" s="19"/>
      <c r="Q570" s="19"/>
      <c r="R570" s="19"/>
      <c r="S570" s="19"/>
      <c r="T570" s="19"/>
      <c r="U570" s="19"/>
      <c r="V570" s="19"/>
      <c r="W570" s="19"/>
      <c r="X570" s="19"/>
    </row>
    <row r="571" spans="1:24" ht="12" customHeight="1">
      <c r="A571" s="19"/>
      <c r="B571" s="19"/>
      <c r="C571" s="19"/>
      <c r="D571" s="19"/>
      <c r="E571" s="19"/>
      <c r="F571" s="19"/>
      <c r="G571" s="19"/>
      <c r="H571" s="19"/>
      <c r="I571" s="19"/>
      <c r="J571" s="19"/>
      <c r="K571" s="19"/>
      <c r="L571" s="19"/>
      <c r="M571" s="19"/>
      <c r="N571" s="19"/>
      <c r="O571" s="19"/>
      <c r="P571" s="19"/>
      <c r="Q571" s="19"/>
      <c r="R571" s="19"/>
      <c r="S571" s="19"/>
      <c r="T571" s="19"/>
      <c r="U571" s="19"/>
      <c r="V571" s="19"/>
      <c r="W571" s="19"/>
      <c r="X571" s="19"/>
    </row>
    <row r="572" spans="1:24" ht="12" customHeight="1">
      <c r="A572" s="19"/>
      <c r="B572" s="19"/>
      <c r="C572" s="19"/>
      <c r="D572" s="19"/>
      <c r="E572" s="19"/>
      <c r="F572" s="19"/>
      <c r="G572" s="19"/>
      <c r="H572" s="19"/>
      <c r="I572" s="19"/>
      <c r="J572" s="19"/>
      <c r="K572" s="19"/>
      <c r="L572" s="19"/>
      <c r="M572" s="19"/>
      <c r="N572" s="19"/>
      <c r="O572" s="19"/>
      <c r="P572" s="19"/>
      <c r="Q572" s="19"/>
      <c r="R572" s="19"/>
      <c r="S572" s="19"/>
      <c r="T572" s="19"/>
      <c r="U572" s="19"/>
      <c r="V572" s="19"/>
      <c r="W572" s="19"/>
      <c r="X572" s="19"/>
    </row>
    <row r="573" spans="1:24" ht="12" customHeight="1">
      <c r="A573" s="19"/>
      <c r="B573" s="19"/>
      <c r="C573" s="19"/>
      <c r="D573" s="19"/>
      <c r="E573" s="19"/>
      <c r="F573" s="19"/>
      <c r="G573" s="19"/>
      <c r="H573" s="19"/>
      <c r="I573" s="19"/>
      <c r="J573" s="19"/>
      <c r="K573" s="19"/>
      <c r="L573" s="19"/>
      <c r="M573" s="19"/>
      <c r="N573" s="19"/>
      <c r="O573" s="19"/>
      <c r="P573" s="19"/>
      <c r="Q573" s="19"/>
      <c r="R573" s="19"/>
      <c r="S573" s="19"/>
      <c r="T573" s="19"/>
      <c r="U573" s="19"/>
      <c r="V573" s="19"/>
      <c r="W573" s="19"/>
      <c r="X573" s="19"/>
    </row>
    <row r="574" spans="1:24" ht="12" customHeight="1">
      <c r="A574" s="19"/>
      <c r="B574" s="19"/>
      <c r="C574" s="19"/>
      <c r="D574" s="19"/>
      <c r="E574" s="19"/>
      <c r="F574" s="19"/>
      <c r="G574" s="19"/>
      <c r="H574" s="19"/>
      <c r="I574" s="19"/>
      <c r="J574" s="19"/>
      <c r="K574" s="19"/>
      <c r="L574" s="19"/>
      <c r="M574" s="19"/>
      <c r="N574" s="19"/>
      <c r="O574" s="19"/>
      <c r="P574" s="19"/>
      <c r="Q574" s="19"/>
      <c r="R574" s="19"/>
      <c r="S574" s="19"/>
      <c r="T574" s="19"/>
      <c r="U574" s="19"/>
      <c r="V574" s="19"/>
      <c r="W574" s="19"/>
      <c r="X574" s="19"/>
    </row>
    <row r="575" spans="1:24" ht="12" customHeight="1">
      <c r="A575" s="19"/>
      <c r="B575" s="19"/>
      <c r="C575" s="19"/>
      <c r="D575" s="19"/>
      <c r="E575" s="19"/>
      <c r="F575" s="19"/>
      <c r="G575" s="19"/>
      <c r="H575" s="19"/>
      <c r="I575" s="19"/>
      <c r="J575" s="19"/>
      <c r="K575" s="19"/>
      <c r="L575" s="19"/>
      <c r="M575" s="19"/>
      <c r="N575" s="19"/>
      <c r="O575" s="19"/>
      <c r="P575" s="19"/>
      <c r="Q575" s="19"/>
      <c r="R575" s="19"/>
      <c r="S575" s="19"/>
      <c r="T575" s="19"/>
      <c r="U575" s="19"/>
      <c r="V575" s="19"/>
      <c r="W575" s="19"/>
      <c r="X575" s="19"/>
    </row>
    <row r="576" spans="1:24" ht="12" customHeight="1">
      <c r="A576" s="19"/>
      <c r="B576" s="19"/>
      <c r="C576" s="19"/>
      <c r="D576" s="19"/>
      <c r="E576" s="19"/>
      <c r="F576" s="19"/>
      <c r="G576" s="19"/>
      <c r="H576" s="19"/>
      <c r="I576" s="19"/>
      <c r="J576" s="19"/>
      <c r="K576" s="19"/>
      <c r="L576" s="19"/>
      <c r="M576" s="19"/>
      <c r="N576" s="19"/>
      <c r="O576" s="19"/>
      <c r="P576" s="19"/>
      <c r="Q576" s="19"/>
      <c r="R576" s="19"/>
      <c r="S576" s="19"/>
      <c r="T576" s="19"/>
      <c r="U576" s="19"/>
      <c r="V576" s="19"/>
      <c r="W576" s="19"/>
      <c r="X576" s="19"/>
    </row>
    <row r="577" spans="1:24" ht="12" customHeight="1">
      <c r="A577" s="19"/>
      <c r="B577" s="19"/>
      <c r="C577" s="19"/>
      <c r="D577" s="19"/>
      <c r="E577" s="19"/>
      <c r="F577" s="19"/>
      <c r="G577" s="19"/>
      <c r="H577" s="19"/>
      <c r="I577" s="19"/>
      <c r="J577" s="19"/>
      <c r="K577" s="19"/>
      <c r="L577" s="19"/>
      <c r="M577" s="19"/>
      <c r="N577" s="19"/>
      <c r="O577" s="19"/>
      <c r="P577" s="19"/>
      <c r="Q577" s="19"/>
      <c r="R577" s="19"/>
      <c r="S577" s="19"/>
      <c r="T577" s="19"/>
      <c r="U577" s="19"/>
      <c r="V577" s="19"/>
      <c r="W577" s="19"/>
      <c r="X577" s="19"/>
    </row>
    <row r="578" spans="1:24" ht="12" customHeight="1">
      <c r="A578" s="19"/>
      <c r="B578" s="19"/>
      <c r="C578" s="19"/>
      <c r="D578" s="19"/>
      <c r="E578" s="19"/>
      <c r="F578" s="19"/>
      <c r="G578" s="19"/>
      <c r="H578" s="19"/>
      <c r="I578" s="19"/>
      <c r="J578" s="19"/>
      <c r="K578" s="19"/>
      <c r="L578" s="19"/>
      <c r="M578" s="19"/>
      <c r="N578" s="19"/>
      <c r="O578" s="19"/>
      <c r="P578" s="19"/>
      <c r="Q578" s="19"/>
      <c r="R578" s="19"/>
      <c r="S578" s="19"/>
      <c r="T578" s="19"/>
      <c r="U578" s="19"/>
      <c r="V578" s="19"/>
      <c r="W578" s="19"/>
      <c r="X578" s="19"/>
    </row>
    <row r="579" spans="1:24" ht="12" customHeight="1">
      <c r="A579" s="19"/>
      <c r="B579" s="19"/>
      <c r="C579" s="19"/>
      <c r="D579" s="19"/>
      <c r="E579" s="19"/>
      <c r="F579" s="19"/>
      <c r="G579" s="19"/>
      <c r="H579" s="19"/>
      <c r="I579" s="19"/>
      <c r="J579" s="19"/>
      <c r="K579" s="19"/>
      <c r="L579" s="19"/>
      <c r="M579" s="19"/>
      <c r="N579" s="19"/>
      <c r="O579" s="19"/>
      <c r="P579" s="19"/>
      <c r="Q579" s="19"/>
      <c r="R579" s="19"/>
      <c r="S579" s="19"/>
      <c r="T579" s="19"/>
      <c r="U579" s="19"/>
      <c r="V579" s="19"/>
      <c r="W579" s="19"/>
      <c r="X579" s="19"/>
    </row>
    <row r="580" spans="1:24" ht="12" customHeight="1">
      <c r="A580" s="19"/>
      <c r="B580" s="19"/>
      <c r="C580" s="19"/>
      <c r="D580" s="19"/>
      <c r="E580" s="19"/>
      <c r="F580" s="19"/>
      <c r="G580" s="19"/>
      <c r="H580" s="19"/>
      <c r="I580" s="19"/>
      <c r="J580" s="19"/>
      <c r="K580" s="19"/>
      <c r="L580" s="19"/>
      <c r="M580" s="19"/>
      <c r="N580" s="19"/>
      <c r="O580" s="19"/>
      <c r="P580" s="19"/>
      <c r="Q580" s="19"/>
      <c r="R580" s="19"/>
      <c r="S580" s="19"/>
      <c r="T580" s="19"/>
      <c r="U580" s="19"/>
      <c r="V580" s="19"/>
      <c r="W580" s="19"/>
      <c r="X580" s="19"/>
    </row>
    <row r="581" spans="1:24" ht="12" customHeight="1">
      <c r="A581" s="19"/>
      <c r="B581" s="19"/>
      <c r="C581" s="19"/>
      <c r="D581" s="19"/>
      <c r="E581" s="19"/>
      <c r="F581" s="19"/>
      <c r="G581" s="19"/>
      <c r="H581" s="19"/>
      <c r="I581" s="19"/>
      <c r="J581" s="19"/>
      <c r="K581" s="19"/>
      <c r="L581" s="19"/>
      <c r="M581" s="19"/>
      <c r="N581" s="19"/>
      <c r="O581" s="19"/>
      <c r="P581" s="19"/>
      <c r="Q581" s="19"/>
      <c r="R581" s="19"/>
      <c r="S581" s="19"/>
      <c r="T581" s="19"/>
      <c r="U581" s="19"/>
      <c r="V581" s="19"/>
      <c r="W581" s="19"/>
      <c r="X581" s="19"/>
    </row>
    <row r="582" spans="1:24" ht="12" customHeight="1">
      <c r="A582" s="19"/>
      <c r="B582" s="19"/>
      <c r="C582" s="19"/>
      <c r="D582" s="19"/>
      <c r="E582" s="19"/>
      <c r="F582" s="19"/>
      <c r="G582" s="19"/>
      <c r="H582" s="19"/>
      <c r="I582" s="19"/>
      <c r="J582" s="19"/>
      <c r="K582" s="19"/>
      <c r="L582" s="19"/>
      <c r="M582" s="19"/>
      <c r="N582" s="19"/>
      <c r="O582" s="19"/>
      <c r="P582" s="19"/>
      <c r="Q582" s="19"/>
      <c r="R582" s="19"/>
      <c r="S582" s="19"/>
      <c r="T582" s="19"/>
      <c r="U582" s="19"/>
      <c r="V582" s="19"/>
      <c r="W582" s="19"/>
      <c r="X582" s="19"/>
    </row>
    <row r="583" spans="1:24" ht="12" customHeight="1">
      <c r="A583" s="19"/>
      <c r="B583" s="19"/>
      <c r="C583" s="19"/>
      <c r="D583" s="19"/>
      <c r="E583" s="19"/>
      <c r="F583" s="19"/>
      <c r="G583" s="19"/>
      <c r="H583" s="19"/>
      <c r="I583" s="19"/>
      <c r="J583" s="19"/>
      <c r="K583" s="19"/>
      <c r="L583" s="19"/>
      <c r="M583" s="19"/>
      <c r="N583" s="19"/>
      <c r="O583" s="19"/>
      <c r="P583" s="19"/>
      <c r="Q583" s="19"/>
      <c r="R583" s="19"/>
      <c r="S583" s="19"/>
      <c r="T583" s="19"/>
      <c r="U583" s="19"/>
      <c r="V583" s="19"/>
      <c r="W583" s="19"/>
      <c r="X583" s="19"/>
    </row>
    <row r="584" spans="1:24" ht="12" customHeight="1">
      <c r="A584" s="19"/>
      <c r="B584" s="19"/>
      <c r="C584" s="19"/>
      <c r="D584" s="19"/>
      <c r="E584" s="19"/>
      <c r="F584" s="19"/>
      <c r="G584" s="19"/>
      <c r="H584" s="19"/>
      <c r="I584" s="19"/>
      <c r="J584" s="19"/>
      <c r="K584" s="19"/>
      <c r="L584" s="19"/>
      <c r="M584" s="19"/>
      <c r="N584" s="19"/>
      <c r="O584" s="19"/>
      <c r="P584" s="19"/>
      <c r="Q584" s="19"/>
      <c r="R584" s="19"/>
      <c r="S584" s="19"/>
      <c r="T584" s="19"/>
      <c r="U584" s="19"/>
      <c r="V584" s="19"/>
      <c r="W584" s="19"/>
      <c r="X584" s="19"/>
    </row>
    <row r="585" spans="1:24" ht="12" customHeight="1">
      <c r="A585" s="19"/>
      <c r="B585" s="19"/>
      <c r="C585" s="19"/>
      <c r="D585" s="19"/>
      <c r="E585" s="19"/>
      <c r="F585" s="19"/>
      <c r="G585" s="19"/>
      <c r="H585" s="19"/>
      <c r="I585" s="19"/>
      <c r="J585" s="19"/>
      <c r="K585" s="19"/>
      <c r="L585" s="19"/>
      <c r="M585" s="19"/>
      <c r="N585" s="19"/>
      <c r="O585" s="19"/>
      <c r="P585" s="19"/>
      <c r="Q585" s="19"/>
      <c r="R585" s="19"/>
      <c r="S585" s="19"/>
      <c r="T585" s="19"/>
      <c r="U585" s="19"/>
      <c r="V585" s="19"/>
      <c r="W585" s="19"/>
      <c r="X585" s="19"/>
    </row>
    <row r="586" spans="1:24" ht="12" customHeight="1">
      <c r="A586" s="19"/>
      <c r="B586" s="19"/>
      <c r="C586" s="19"/>
      <c r="D586" s="19"/>
      <c r="E586" s="19"/>
      <c r="F586" s="19"/>
      <c r="G586" s="19"/>
      <c r="H586" s="19"/>
      <c r="I586" s="19"/>
      <c r="J586" s="19"/>
      <c r="K586" s="19"/>
      <c r="L586" s="19"/>
      <c r="M586" s="19"/>
      <c r="N586" s="19"/>
      <c r="O586" s="19"/>
      <c r="P586" s="19"/>
      <c r="Q586" s="19"/>
      <c r="R586" s="19"/>
      <c r="S586" s="19"/>
      <c r="T586" s="19"/>
      <c r="U586" s="19"/>
      <c r="V586" s="19"/>
      <c r="W586" s="19"/>
      <c r="X586" s="19"/>
    </row>
    <row r="587" spans="1:24" ht="12" customHeight="1">
      <c r="A587" s="19"/>
      <c r="B587" s="19"/>
      <c r="C587" s="19"/>
      <c r="D587" s="19"/>
      <c r="E587" s="19"/>
      <c r="F587" s="19"/>
      <c r="G587" s="19"/>
      <c r="H587" s="19"/>
      <c r="I587" s="19"/>
      <c r="J587" s="19"/>
      <c r="K587" s="19"/>
      <c r="L587" s="19"/>
      <c r="M587" s="19"/>
      <c r="N587" s="19"/>
      <c r="O587" s="19"/>
      <c r="P587" s="19"/>
      <c r="Q587" s="19"/>
      <c r="R587" s="19"/>
      <c r="S587" s="19"/>
      <c r="T587" s="19"/>
      <c r="U587" s="19"/>
      <c r="V587" s="19"/>
      <c r="W587" s="19"/>
      <c r="X587" s="19"/>
    </row>
    <row r="588" spans="1:24" ht="12" customHeight="1">
      <c r="A588" s="19"/>
      <c r="B588" s="19"/>
      <c r="C588" s="19"/>
      <c r="D588" s="19"/>
      <c r="E588" s="19"/>
      <c r="F588" s="19"/>
      <c r="G588" s="19"/>
      <c r="H588" s="19"/>
      <c r="I588" s="19"/>
      <c r="J588" s="19"/>
      <c r="K588" s="19"/>
      <c r="L588" s="19"/>
      <c r="M588" s="19"/>
      <c r="N588" s="19"/>
      <c r="O588" s="19"/>
      <c r="P588" s="19"/>
      <c r="Q588" s="19"/>
      <c r="R588" s="19"/>
      <c r="S588" s="19"/>
      <c r="T588" s="19"/>
      <c r="U588" s="19"/>
      <c r="V588" s="19"/>
      <c r="W588" s="19"/>
      <c r="X588" s="19"/>
    </row>
    <row r="589" spans="1:24" ht="12" customHeight="1">
      <c r="A589" s="19"/>
      <c r="B589" s="19"/>
      <c r="C589" s="19"/>
      <c r="D589" s="19"/>
      <c r="E589" s="19"/>
      <c r="F589" s="19"/>
      <c r="G589" s="19"/>
      <c r="H589" s="19"/>
      <c r="I589" s="19"/>
      <c r="J589" s="19"/>
      <c r="K589" s="19"/>
      <c r="L589" s="19"/>
      <c r="M589" s="19"/>
      <c r="N589" s="19"/>
      <c r="O589" s="19"/>
      <c r="P589" s="19"/>
      <c r="Q589" s="19"/>
      <c r="R589" s="19"/>
      <c r="S589" s="19"/>
      <c r="T589" s="19"/>
      <c r="U589" s="19"/>
      <c r="V589" s="19"/>
      <c r="W589" s="19"/>
      <c r="X589" s="19"/>
    </row>
    <row r="590" spans="1:24" ht="12" customHeight="1">
      <c r="A590" s="19"/>
      <c r="B590" s="19"/>
      <c r="C590" s="19"/>
      <c r="D590" s="19"/>
      <c r="E590" s="19"/>
      <c r="F590" s="19"/>
      <c r="G590" s="19"/>
      <c r="H590" s="19"/>
      <c r="I590" s="19"/>
      <c r="J590" s="19"/>
      <c r="K590" s="19"/>
      <c r="L590" s="19"/>
      <c r="M590" s="19"/>
      <c r="N590" s="19"/>
      <c r="O590" s="19"/>
      <c r="P590" s="19"/>
      <c r="Q590" s="19"/>
      <c r="R590" s="19"/>
      <c r="S590" s="19"/>
      <c r="T590" s="19"/>
      <c r="U590" s="19"/>
      <c r="V590" s="19"/>
      <c r="W590" s="19"/>
      <c r="X590" s="19"/>
    </row>
    <row r="591" spans="1:24" ht="12" customHeight="1">
      <c r="A591" s="19"/>
      <c r="B591" s="19"/>
      <c r="C591" s="19"/>
      <c r="D591" s="19"/>
      <c r="E591" s="19"/>
      <c r="F591" s="19"/>
      <c r="G591" s="19"/>
      <c r="H591" s="19"/>
      <c r="I591" s="19"/>
      <c r="J591" s="19"/>
      <c r="K591" s="19"/>
      <c r="L591" s="19"/>
      <c r="M591" s="19"/>
      <c r="N591" s="19"/>
      <c r="O591" s="19"/>
      <c r="P591" s="19"/>
      <c r="Q591" s="19"/>
      <c r="R591" s="19"/>
      <c r="S591" s="19"/>
      <c r="T591" s="19"/>
      <c r="U591" s="19"/>
      <c r="V591" s="19"/>
      <c r="W591" s="19"/>
      <c r="X591" s="19"/>
    </row>
    <row r="592" spans="1:24" ht="12" customHeight="1">
      <c r="A592" s="19"/>
      <c r="B592" s="19"/>
      <c r="C592" s="19"/>
      <c r="D592" s="19"/>
      <c r="E592" s="19"/>
      <c r="F592" s="19"/>
      <c r="G592" s="19"/>
      <c r="H592" s="19"/>
      <c r="I592" s="19"/>
      <c r="J592" s="19"/>
      <c r="K592" s="19"/>
      <c r="L592" s="19"/>
      <c r="M592" s="19"/>
      <c r="N592" s="19"/>
      <c r="O592" s="19"/>
      <c r="P592" s="19"/>
      <c r="Q592" s="19"/>
      <c r="R592" s="19"/>
      <c r="S592" s="19"/>
      <c r="T592" s="19"/>
      <c r="U592" s="19"/>
      <c r="V592" s="19"/>
      <c r="W592" s="19"/>
      <c r="X592" s="19"/>
    </row>
    <row r="593" spans="1:24" ht="12" customHeight="1">
      <c r="A593" s="19"/>
      <c r="B593" s="19"/>
      <c r="C593" s="19"/>
      <c r="D593" s="19"/>
      <c r="E593" s="19"/>
      <c r="F593" s="19"/>
      <c r="G593" s="19"/>
      <c r="H593" s="19"/>
      <c r="I593" s="19"/>
      <c r="J593" s="19"/>
      <c r="K593" s="19"/>
      <c r="L593" s="19"/>
      <c r="M593" s="19"/>
      <c r="N593" s="19"/>
      <c r="O593" s="19"/>
      <c r="P593" s="19"/>
      <c r="Q593" s="19"/>
      <c r="R593" s="19"/>
      <c r="S593" s="19"/>
      <c r="T593" s="19"/>
      <c r="U593" s="19"/>
      <c r="V593" s="19"/>
      <c r="W593" s="19"/>
      <c r="X593" s="19"/>
    </row>
    <row r="594" spans="1:24" ht="12" customHeight="1">
      <c r="A594" s="19"/>
      <c r="B594" s="19"/>
      <c r="C594" s="19"/>
      <c r="D594" s="19"/>
      <c r="E594" s="19"/>
      <c r="F594" s="19"/>
      <c r="G594" s="19"/>
      <c r="H594" s="19"/>
      <c r="I594" s="19"/>
      <c r="J594" s="19"/>
      <c r="K594" s="19"/>
      <c r="L594" s="19"/>
      <c r="M594" s="19"/>
      <c r="N594" s="19"/>
      <c r="O594" s="19"/>
      <c r="P594" s="19"/>
      <c r="Q594" s="19"/>
      <c r="R594" s="19"/>
      <c r="S594" s="19"/>
      <c r="T594" s="19"/>
      <c r="U594" s="19"/>
      <c r="V594" s="19"/>
      <c r="W594" s="19"/>
      <c r="X594" s="19"/>
    </row>
    <row r="595" spans="1:24" ht="12" customHeight="1">
      <c r="A595" s="19"/>
      <c r="B595" s="19"/>
      <c r="C595" s="19"/>
      <c r="D595" s="19"/>
      <c r="E595" s="19"/>
      <c r="F595" s="19"/>
      <c r="G595" s="19"/>
      <c r="H595" s="19"/>
      <c r="I595" s="19"/>
      <c r="J595" s="19"/>
      <c r="K595" s="19"/>
      <c r="L595" s="19"/>
      <c r="M595" s="19"/>
      <c r="N595" s="19"/>
      <c r="O595" s="19"/>
      <c r="P595" s="19"/>
      <c r="Q595" s="19"/>
      <c r="R595" s="19"/>
      <c r="S595" s="19"/>
      <c r="T595" s="19"/>
      <c r="U595" s="19"/>
      <c r="V595" s="19"/>
      <c r="W595" s="19"/>
      <c r="X595" s="19"/>
    </row>
    <row r="596" spans="1:24" ht="12" customHeight="1">
      <c r="A596" s="19"/>
      <c r="B596" s="19"/>
      <c r="C596" s="19"/>
      <c r="D596" s="19"/>
      <c r="E596" s="19"/>
      <c r="F596" s="19"/>
      <c r="G596" s="19"/>
      <c r="H596" s="19"/>
      <c r="I596" s="19"/>
      <c r="J596" s="19"/>
      <c r="K596" s="19"/>
      <c r="L596" s="19"/>
      <c r="M596" s="19"/>
      <c r="N596" s="19"/>
      <c r="O596" s="19"/>
      <c r="P596" s="19"/>
      <c r="Q596" s="19"/>
      <c r="R596" s="19"/>
      <c r="S596" s="19"/>
      <c r="T596" s="19"/>
      <c r="U596" s="19"/>
      <c r="V596" s="19"/>
      <c r="W596" s="19"/>
      <c r="X596" s="19"/>
    </row>
    <row r="597" spans="1:24" ht="12" customHeight="1">
      <c r="A597" s="19"/>
      <c r="B597" s="19"/>
      <c r="C597" s="19"/>
      <c r="D597" s="19"/>
      <c r="E597" s="19"/>
      <c r="F597" s="19"/>
      <c r="G597" s="19"/>
      <c r="H597" s="19"/>
      <c r="I597" s="19"/>
      <c r="J597" s="19"/>
      <c r="K597" s="19"/>
      <c r="L597" s="19"/>
      <c r="M597" s="19"/>
      <c r="N597" s="19"/>
      <c r="O597" s="19"/>
      <c r="P597" s="19"/>
      <c r="Q597" s="19"/>
      <c r="R597" s="19"/>
      <c r="S597" s="19"/>
      <c r="T597" s="19"/>
      <c r="U597" s="19"/>
      <c r="V597" s="19"/>
      <c r="W597" s="19"/>
      <c r="X597" s="19"/>
    </row>
    <row r="598" spans="1:24" ht="12" customHeight="1">
      <c r="A598" s="19"/>
      <c r="B598" s="19"/>
      <c r="C598" s="19"/>
      <c r="D598" s="19"/>
      <c r="E598" s="19"/>
      <c r="F598" s="19"/>
      <c r="G598" s="19"/>
      <c r="H598" s="19"/>
      <c r="I598" s="19"/>
      <c r="J598" s="19"/>
      <c r="K598" s="19"/>
      <c r="L598" s="19"/>
      <c r="M598" s="19"/>
      <c r="N598" s="19"/>
      <c r="O598" s="19"/>
      <c r="P598" s="19"/>
      <c r="Q598" s="19"/>
      <c r="R598" s="19"/>
      <c r="S598" s="19"/>
      <c r="T598" s="19"/>
      <c r="U598" s="19"/>
      <c r="V598" s="19"/>
      <c r="W598" s="19"/>
      <c r="X598" s="19"/>
    </row>
    <row r="599" spans="1:24" ht="12" customHeight="1">
      <c r="A599" s="19"/>
      <c r="B599" s="19"/>
      <c r="C599" s="19"/>
      <c r="D599" s="19"/>
      <c r="E599" s="19"/>
      <c r="F599" s="19"/>
      <c r="G599" s="19"/>
      <c r="H599" s="19"/>
      <c r="I599" s="19"/>
      <c r="J599" s="19"/>
      <c r="K599" s="19"/>
      <c r="L599" s="19"/>
      <c r="M599" s="19"/>
      <c r="N599" s="19"/>
      <c r="O599" s="19"/>
      <c r="P599" s="19"/>
      <c r="Q599" s="19"/>
      <c r="R599" s="19"/>
      <c r="S599" s="19"/>
      <c r="T599" s="19"/>
      <c r="U599" s="19"/>
      <c r="V599" s="19"/>
      <c r="W599" s="19"/>
      <c r="X599" s="19"/>
    </row>
    <row r="600" spans="1:24" ht="12" customHeight="1">
      <c r="A600" s="19"/>
      <c r="B600" s="19"/>
      <c r="C600" s="19"/>
      <c r="D600" s="19"/>
      <c r="E600" s="19"/>
      <c r="F600" s="19"/>
      <c r="G600" s="19"/>
      <c r="H600" s="19"/>
      <c r="I600" s="19"/>
      <c r="J600" s="19"/>
      <c r="K600" s="19"/>
      <c r="L600" s="19"/>
      <c r="M600" s="19"/>
      <c r="N600" s="19"/>
      <c r="O600" s="19"/>
      <c r="P600" s="19"/>
      <c r="Q600" s="19"/>
      <c r="R600" s="19"/>
      <c r="S600" s="19"/>
      <c r="T600" s="19"/>
      <c r="U600" s="19"/>
      <c r="V600" s="19"/>
      <c r="W600" s="19"/>
      <c r="X600" s="19"/>
    </row>
    <row r="601" spans="1:24" ht="12" customHeight="1">
      <c r="A601" s="19"/>
      <c r="B601" s="19"/>
      <c r="C601" s="19"/>
      <c r="D601" s="19"/>
      <c r="E601" s="19"/>
      <c r="F601" s="19"/>
      <c r="G601" s="19"/>
      <c r="H601" s="19"/>
      <c r="I601" s="19"/>
      <c r="J601" s="19"/>
      <c r="K601" s="19"/>
      <c r="L601" s="19"/>
      <c r="M601" s="19"/>
      <c r="N601" s="19"/>
      <c r="O601" s="19"/>
      <c r="P601" s="19"/>
      <c r="Q601" s="19"/>
      <c r="R601" s="19"/>
      <c r="S601" s="19"/>
      <c r="T601" s="19"/>
      <c r="U601" s="19"/>
      <c r="V601" s="19"/>
      <c r="W601" s="19"/>
      <c r="X601" s="19"/>
    </row>
    <row r="602" spans="1:24" ht="12" customHeight="1">
      <c r="A602" s="19"/>
      <c r="B602" s="19"/>
      <c r="C602" s="19"/>
      <c r="D602" s="19"/>
      <c r="E602" s="19"/>
      <c r="F602" s="19"/>
      <c r="G602" s="19"/>
      <c r="H602" s="19"/>
      <c r="I602" s="19"/>
      <c r="J602" s="19"/>
      <c r="K602" s="19"/>
      <c r="L602" s="19"/>
      <c r="M602" s="19"/>
      <c r="N602" s="19"/>
      <c r="O602" s="19"/>
      <c r="P602" s="19"/>
      <c r="Q602" s="19"/>
      <c r="R602" s="19"/>
      <c r="S602" s="19"/>
      <c r="T602" s="19"/>
      <c r="U602" s="19"/>
      <c r="V602" s="19"/>
      <c r="W602" s="19"/>
      <c r="X602" s="19"/>
    </row>
    <row r="603" spans="1:24" ht="12" customHeight="1">
      <c r="A603" s="19"/>
      <c r="B603" s="19"/>
      <c r="C603" s="19"/>
      <c r="D603" s="19"/>
      <c r="E603" s="19"/>
      <c r="F603" s="19"/>
      <c r="G603" s="19"/>
      <c r="H603" s="19"/>
      <c r="I603" s="19"/>
      <c r="J603" s="19"/>
      <c r="K603" s="19"/>
      <c r="L603" s="19"/>
      <c r="M603" s="19"/>
      <c r="N603" s="19"/>
      <c r="O603" s="19"/>
      <c r="P603" s="19"/>
      <c r="Q603" s="19"/>
      <c r="R603" s="19"/>
      <c r="S603" s="19"/>
      <c r="T603" s="19"/>
      <c r="U603" s="19"/>
      <c r="V603" s="19"/>
      <c r="W603" s="19"/>
      <c r="X603" s="19"/>
    </row>
    <row r="604" spans="1:24" ht="12" customHeight="1">
      <c r="A604" s="19"/>
      <c r="B604" s="19"/>
      <c r="C604" s="19"/>
      <c r="D604" s="19"/>
      <c r="E604" s="19"/>
      <c r="F604" s="19"/>
      <c r="G604" s="19"/>
      <c r="H604" s="19"/>
      <c r="I604" s="19"/>
      <c r="J604" s="19"/>
      <c r="K604" s="19"/>
      <c r="L604" s="19"/>
      <c r="M604" s="19"/>
      <c r="N604" s="19"/>
      <c r="O604" s="19"/>
      <c r="P604" s="19"/>
      <c r="Q604" s="19"/>
      <c r="R604" s="19"/>
      <c r="S604" s="19"/>
      <c r="T604" s="19"/>
      <c r="U604" s="19"/>
      <c r="V604" s="19"/>
      <c r="W604" s="19"/>
      <c r="X604" s="19"/>
    </row>
    <row r="605" spans="1:24" ht="12" customHeight="1">
      <c r="A605" s="19"/>
      <c r="B605" s="19"/>
      <c r="C605" s="19"/>
      <c r="D605" s="19"/>
      <c r="E605" s="19"/>
      <c r="F605" s="19"/>
      <c r="G605" s="19"/>
      <c r="H605" s="19"/>
      <c r="I605" s="19"/>
      <c r="J605" s="19"/>
      <c r="K605" s="19"/>
      <c r="L605" s="19"/>
      <c r="M605" s="19"/>
      <c r="N605" s="19"/>
      <c r="O605" s="19"/>
      <c r="P605" s="19"/>
      <c r="Q605" s="19"/>
      <c r="R605" s="19"/>
      <c r="S605" s="19"/>
      <c r="T605" s="19"/>
      <c r="U605" s="19"/>
      <c r="V605" s="19"/>
      <c r="W605" s="19"/>
      <c r="X605" s="19"/>
    </row>
    <row r="606" spans="1:24" ht="12" customHeight="1">
      <c r="A606" s="19"/>
      <c r="B606" s="19"/>
      <c r="C606" s="19"/>
      <c r="D606" s="19"/>
      <c r="E606" s="19"/>
      <c r="F606" s="19"/>
      <c r="G606" s="19"/>
      <c r="H606" s="19"/>
      <c r="I606" s="19"/>
      <c r="J606" s="19"/>
      <c r="K606" s="19"/>
      <c r="L606" s="19"/>
      <c r="M606" s="19"/>
      <c r="N606" s="19"/>
      <c r="O606" s="19"/>
      <c r="P606" s="19"/>
      <c r="Q606" s="19"/>
      <c r="R606" s="19"/>
      <c r="S606" s="19"/>
      <c r="T606" s="19"/>
      <c r="U606" s="19"/>
      <c r="V606" s="19"/>
      <c r="W606" s="19"/>
      <c r="X606" s="19"/>
    </row>
    <row r="607" spans="1:24" ht="12" customHeight="1">
      <c r="A607" s="19"/>
      <c r="B607" s="19"/>
      <c r="C607" s="19"/>
      <c r="D607" s="19"/>
      <c r="E607" s="19"/>
      <c r="F607" s="19"/>
      <c r="G607" s="19"/>
      <c r="H607" s="19"/>
      <c r="I607" s="19"/>
      <c r="J607" s="19"/>
      <c r="K607" s="19"/>
      <c r="L607" s="19"/>
      <c r="M607" s="19"/>
      <c r="N607" s="19"/>
      <c r="O607" s="19"/>
      <c r="P607" s="19"/>
      <c r="Q607" s="19"/>
      <c r="R607" s="19"/>
      <c r="S607" s="19"/>
      <c r="T607" s="19"/>
      <c r="U607" s="19"/>
      <c r="V607" s="19"/>
      <c r="W607" s="19"/>
      <c r="X607" s="19"/>
    </row>
    <row r="608" spans="1:24" ht="12" customHeight="1">
      <c r="A608" s="19"/>
      <c r="B608" s="19"/>
      <c r="C608" s="19"/>
      <c r="D608" s="19"/>
      <c r="E608" s="19"/>
      <c r="F608" s="19"/>
      <c r="G608" s="19"/>
      <c r="H608" s="19"/>
      <c r="I608" s="19"/>
      <c r="J608" s="19"/>
      <c r="K608" s="19"/>
      <c r="L608" s="19"/>
      <c r="M608" s="19"/>
      <c r="N608" s="19"/>
      <c r="O608" s="19"/>
      <c r="P608" s="19"/>
      <c r="Q608" s="19"/>
      <c r="R608" s="19"/>
      <c r="S608" s="19"/>
      <c r="T608" s="19"/>
      <c r="U608" s="19"/>
      <c r="V608" s="19"/>
      <c r="W608" s="19"/>
      <c r="X608" s="19"/>
    </row>
    <row r="609" spans="1:24" ht="12" customHeight="1">
      <c r="A609" s="19"/>
      <c r="B609" s="19"/>
      <c r="C609" s="19"/>
      <c r="D609" s="19"/>
      <c r="E609" s="19"/>
      <c r="F609" s="19"/>
      <c r="G609" s="19"/>
      <c r="H609" s="19"/>
      <c r="I609" s="19"/>
      <c r="J609" s="19"/>
      <c r="K609" s="19"/>
      <c r="L609" s="19"/>
      <c r="M609" s="19"/>
      <c r="N609" s="19"/>
      <c r="O609" s="19"/>
      <c r="P609" s="19"/>
      <c r="Q609" s="19"/>
      <c r="R609" s="19"/>
      <c r="S609" s="19"/>
      <c r="T609" s="19"/>
      <c r="U609" s="19"/>
      <c r="V609" s="19"/>
      <c r="W609" s="19"/>
      <c r="X609" s="19"/>
    </row>
    <row r="610" spans="1:24" ht="12" customHeight="1">
      <c r="A610" s="19"/>
      <c r="B610" s="19"/>
      <c r="C610" s="19"/>
      <c r="D610" s="19"/>
      <c r="E610" s="19"/>
      <c r="F610" s="19"/>
      <c r="G610" s="19"/>
      <c r="H610" s="19"/>
      <c r="I610" s="19"/>
      <c r="J610" s="19"/>
      <c r="K610" s="19"/>
      <c r="L610" s="19"/>
      <c r="M610" s="19"/>
      <c r="N610" s="19"/>
      <c r="O610" s="19"/>
      <c r="P610" s="19"/>
      <c r="Q610" s="19"/>
      <c r="R610" s="19"/>
      <c r="S610" s="19"/>
      <c r="T610" s="19"/>
      <c r="U610" s="19"/>
      <c r="V610" s="19"/>
      <c r="W610" s="19"/>
      <c r="X610" s="19"/>
    </row>
    <row r="611" spans="1:24" ht="12" customHeight="1">
      <c r="A611" s="19"/>
      <c r="B611" s="19"/>
      <c r="C611" s="19"/>
      <c r="D611" s="19"/>
      <c r="E611" s="19"/>
      <c r="F611" s="19"/>
      <c r="G611" s="19"/>
      <c r="H611" s="19"/>
      <c r="I611" s="19"/>
      <c r="J611" s="19"/>
      <c r="K611" s="19"/>
      <c r="L611" s="19"/>
      <c r="M611" s="19"/>
      <c r="N611" s="19"/>
      <c r="O611" s="19"/>
      <c r="P611" s="19"/>
      <c r="Q611" s="19"/>
      <c r="R611" s="19"/>
      <c r="S611" s="19"/>
      <c r="T611" s="19"/>
      <c r="U611" s="19"/>
      <c r="V611" s="19"/>
      <c r="W611" s="19"/>
      <c r="X611" s="19"/>
    </row>
    <row r="612" spans="1:24" ht="12" customHeight="1">
      <c r="A612" s="19"/>
      <c r="B612" s="19"/>
      <c r="C612" s="19"/>
      <c r="D612" s="19"/>
      <c r="E612" s="19"/>
      <c r="F612" s="19"/>
      <c r="G612" s="19"/>
      <c r="H612" s="19"/>
      <c r="I612" s="19"/>
      <c r="J612" s="19"/>
      <c r="K612" s="19"/>
      <c r="L612" s="19"/>
      <c r="M612" s="19"/>
      <c r="N612" s="19"/>
      <c r="O612" s="19"/>
      <c r="P612" s="19"/>
      <c r="Q612" s="19"/>
      <c r="R612" s="19"/>
      <c r="S612" s="19"/>
      <c r="T612" s="19"/>
      <c r="U612" s="19"/>
      <c r="V612" s="19"/>
      <c r="W612" s="19"/>
      <c r="X612" s="19"/>
    </row>
    <row r="613" spans="1:24" ht="12" customHeight="1">
      <c r="A613" s="19"/>
      <c r="B613" s="19"/>
      <c r="C613" s="19"/>
      <c r="D613" s="19"/>
      <c r="E613" s="19"/>
      <c r="F613" s="19"/>
      <c r="G613" s="19"/>
      <c r="H613" s="19"/>
      <c r="I613" s="19"/>
      <c r="J613" s="19"/>
      <c r="K613" s="19"/>
      <c r="L613" s="19"/>
      <c r="M613" s="19"/>
      <c r="N613" s="19"/>
      <c r="O613" s="19"/>
      <c r="P613" s="19"/>
      <c r="Q613" s="19"/>
      <c r="R613" s="19"/>
      <c r="S613" s="19"/>
      <c r="T613" s="19"/>
      <c r="U613" s="19"/>
      <c r="V613" s="19"/>
      <c r="W613" s="19"/>
      <c r="X613" s="19"/>
    </row>
    <row r="614" spans="1:24" ht="12" customHeight="1">
      <c r="A614" s="19"/>
      <c r="B614" s="19"/>
      <c r="C614" s="19"/>
      <c r="D614" s="19"/>
      <c r="E614" s="19"/>
      <c r="F614" s="19"/>
      <c r="G614" s="19"/>
      <c r="H614" s="19"/>
      <c r="I614" s="19"/>
      <c r="J614" s="19"/>
      <c r="K614" s="19"/>
      <c r="L614" s="19"/>
      <c r="M614" s="19"/>
      <c r="N614" s="19"/>
      <c r="O614" s="19"/>
      <c r="P614" s="19"/>
      <c r="Q614" s="19"/>
      <c r="R614" s="19"/>
      <c r="S614" s="19"/>
      <c r="T614" s="19"/>
      <c r="U614" s="19"/>
      <c r="V614" s="19"/>
      <c r="W614" s="19"/>
      <c r="X614" s="19"/>
    </row>
    <row r="615" spans="1:24" ht="12" customHeight="1">
      <c r="A615" s="19"/>
      <c r="B615" s="19"/>
      <c r="C615" s="19"/>
      <c r="D615" s="19"/>
      <c r="E615" s="19"/>
      <c r="F615" s="19"/>
      <c r="G615" s="19"/>
      <c r="H615" s="19"/>
      <c r="I615" s="19"/>
      <c r="J615" s="19"/>
      <c r="K615" s="19"/>
      <c r="L615" s="19"/>
      <c r="M615" s="19"/>
      <c r="N615" s="19"/>
      <c r="O615" s="19"/>
      <c r="P615" s="19"/>
      <c r="Q615" s="19"/>
      <c r="R615" s="19"/>
      <c r="S615" s="19"/>
      <c r="T615" s="19"/>
      <c r="U615" s="19"/>
      <c r="V615" s="19"/>
      <c r="W615" s="19"/>
      <c r="X615" s="19"/>
    </row>
    <row r="616" spans="1:24" ht="12" customHeight="1">
      <c r="A616" s="19"/>
      <c r="B616" s="19"/>
      <c r="C616" s="19"/>
      <c r="D616" s="19"/>
      <c r="E616" s="19"/>
      <c r="F616" s="19"/>
      <c r="G616" s="19"/>
      <c r="H616" s="19"/>
      <c r="I616" s="19"/>
      <c r="J616" s="19"/>
      <c r="K616" s="19"/>
      <c r="L616" s="19"/>
      <c r="M616" s="19"/>
      <c r="N616" s="19"/>
      <c r="O616" s="19"/>
      <c r="P616" s="19"/>
      <c r="Q616" s="19"/>
      <c r="R616" s="19"/>
      <c r="S616" s="19"/>
      <c r="T616" s="19"/>
      <c r="U616" s="19"/>
      <c r="V616" s="19"/>
      <c r="W616" s="19"/>
      <c r="X616" s="19"/>
    </row>
    <row r="617" spans="1:24" ht="12" customHeight="1">
      <c r="A617" s="19"/>
      <c r="B617" s="19"/>
      <c r="C617" s="19"/>
      <c r="D617" s="19"/>
      <c r="E617" s="19"/>
      <c r="F617" s="19"/>
      <c r="G617" s="19"/>
      <c r="H617" s="19"/>
      <c r="I617" s="19"/>
      <c r="J617" s="19"/>
      <c r="K617" s="19"/>
      <c r="L617" s="19"/>
      <c r="M617" s="19"/>
      <c r="N617" s="19"/>
      <c r="O617" s="19"/>
      <c r="P617" s="19"/>
      <c r="Q617" s="19"/>
      <c r="R617" s="19"/>
      <c r="S617" s="19"/>
      <c r="T617" s="19"/>
      <c r="U617" s="19"/>
      <c r="V617" s="19"/>
      <c r="W617" s="19"/>
      <c r="X617" s="19"/>
    </row>
    <row r="618" spans="1:24" ht="12" customHeight="1">
      <c r="A618" s="19"/>
      <c r="B618" s="19"/>
      <c r="C618" s="19"/>
      <c r="D618" s="19"/>
      <c r="E618" s="19"/>
      <c r="F618" s="19"/>
      <c r="G618" s="19"/>
      <c r="H618" s="19"/>
      <c r="I618" s="19"/>
      <c r="J618" s="19"/>
      <c r="K618" s="19"/>
      <c r="L618" s="19"/>
      <c r="M618" s="19"/>
      <c r="N618" s="19"/>
      <c r="O618" s="19"/>
      <c r="P618" s="19"/>
      <c r="Q618" s="19"/>
      <c r="R618" s="19"/>
      <c r="S618" s="19"/>
      <c r="T618" s="19"/>
      <c r="U618" s="19"/>
      <c r="V618" s="19"/>
      <c r="W618" s="19"/>
      <c r="X618" s="19"/>
    </row>
    <row r="619" spans="1:24" ht="12" customHeight="1">
      <c r="A619" s="19"/>
      <c r="B619" s="19"/>
      <c r="C619" s="19"/>
      <c r="D619" s="19"/>
      <c r="E619" s="19"/>
      <c r="F619" s="19"/>
      <c r="G619" s="19"/>
      <c r="H619" s="19"/>
      <c r="I619" s="19"/>
      <c r="J619" s="19"/>
      <c r="K619" s="19"/>
      <c r="L619" s="19"/>
      <c r="M619" s="19"/>
      <c r="N619" s="19"/>
      <c r="O619" s="19"/>
      <c r="P619" s="19"/>
      <c r="Q619" s="19"/>
      <c r="R619" s="19"/>
      <c r="S619" s="19"/>
      <c r="T619" s="19"/>
      <c r="U619" s="19"/>
      <c r="V619" s="19"/>
      <c r="W619" s="19"/>
      <c r="X619" s="19"/>
    </row>
    <row r="620" spans="1:24" ht="12" customHeight="1">
      <c r="A620" s="19"/>
      <c r="B620" s="19"/>
      <c r="C620" s="19"/>
      <c r="D620" s="19"/>
      <c r="E620" s="19"/>
      <c r="F620" s="19"/>
      <c r="G620" s="19"/>
      <c r="H620" s="19"/>
      <c r="I620" s="19"/>
      <c r="J620" s="19"/>
      <c r="K620" s="19"/>
      <c r="L620" s="19"/>
      <c r="M620" s="19"/>
      <c r="N620" s="19"/>
      <c r="O620" s="19"/>
      <c r="P620" s="19"/>
      <c r="Q620" s="19"/>
      <c r="R620" s="19"/>
      <c r="S620" s="19"/>
      <c r="T620" s="19"/>
      <c r="U620" s="19"/>
      <c r="V620" s="19"/>
      <c r="W620" s="19"/>
      <c r="X620" s="19"/>
    </row>
    <row r="621" spans="1:24" ht="12" customHeight="1">
      <c r="A621" s="19"/>
      <c r="B621" s="19"/>
      <c r="C621" s="19"/>
      <c r="D621" s="19"/>
      <c r="E621" s="19"/>
      <c r="F621" s="19"/>
      <c r="G621" s="19"/>
      <c r="H621" s="19"/>
      <c r="I621" s="19"/>
      <c r="J621" s="19"/>
      <c r="K621" s="19"/>
      <c r="L621" s="19"/>
      <c r="M621" s="19"/>
      <c r="N621" s="19"/>
      <c r="O621" s="19"/>
      <c r="P621" s="19"/>
      <c r="Q621" s="19"/>
      <c r="R621" s="19"/>
      <c r="S621" s="19"/>
      <c r="T621" s="19"/>
      <c r="U621" s="19"/>
      <c r="V621" s="19"/>
      <c r="W621" s="19"/>
      <c r="X621" s="19"/>
    </row>
    <row r="622" spans="1:24" ht="12" customHeight="1">
      <c r="A622" s="19"/>
      <c r="B622" s="19"/>
      <c r="C622" s="19"/>
      <c r="D622" s="19"/>
      <c r="E622" s="19"/>
      <c r="F622" s="19"/>
      <c r="G622" s="19"/>
      <c r="H622" s="19"/>
      <c r="I622" s="19"/>
      <c r="J622" s="19"/>
      <c r="K622" s="19"/>
      <c r="L622" s="19"/>
      <c r="M622" s="19"/>
      <c r="N622" s="19"/>
      <c r="O622" s="19"/>
      <c r="P622" s="19"/>
      <c r="Q622" s="19"/>
      <c r="R622" s="19"/>
      <c r="S622" s="19"/>
      <c r="T622" s="19"/>
      <c r="U622" s="19"/>
      <c r="V622" s="19"/>
      <c r="W622" s="19"/>
      <c r="X622" s="19"/>
    </row>
    <row r="623" spans="1:24" ht="12" customHeight="1">
      <c r="A623" s="19"/>
      <c r="B623" s="19"/>
      <c r="C623" s="19"/>
      <c r="D623" s="19"/>
      <c r="E623" s="19"/>
      <c r="F623" s="19"/>
      <c r="G623" s="19"/>
      <c r="H623" s="19"/>
      <c r="I623" s="19"/>
      <c r="J623" s="19"/>
      <c r="K623" s="19"/>
      <c r="L623" s="19"/>
      <c r="M623" s="19"/>
      <c r="N623" s="19"/>
      <c r="O623" s="19"/>
      <c r="P623" s="19"/>
      <c r="Q623" s="19"/>
      <c r="R623" s="19"/>
      <c r="S623" s="19"/>
      <c r="T623" s="19"/>
      <c r="U623" s="19"/>
      <c r="V623" s="19"/>
      <c r="W623" s="19"/>
      <c r="X623" s="19"/>
    </row>
    <row r="624" spans="1:24" ht="12" customHeight="1">
      <c r="A624" s="19"/>
      <c r="B624" s="19"/>
      <c r="C624" s="19"/>
      <c r="D624" s="19"/>
      <c r="E624" s="19"/>
      <c r="F624" s="19"/>
      <c r="G624" s="19"/>
      <c r="H624" s="19"/>
      <c r="I624" s="19"/>
      <c r="J624" s="19"/>
      <c r="K624" s="19"/>
      <c r="L624" s="19"/>
      <c r="M624" s="19"/>
      <c r="N624" s="19"/>
      <c r="O624" s="19"/>
      <c r="P624" s="19"/>
      <c r="Q624" s="19"/>
      <c r="R624" s="19"/>
      <c r="S624" s="19"/>
      <c r="T624" s="19"/>
      <c r="U624" s="19"/>
      <c r="V624" s="19"/>
      <c r="W624" s="19"/>
      <c r="X624" s="19"/>
    </row>
    <row r="625" spans="1:24" ht="12" customHeight="1">
      <c r="A625" s="19"/>
      <c r="B625" s="19"/>
      <c r="C625" s="19"/>
      <c r="D625" s="19"/>
      <c r="E625" s="19"/>
      <c r="F625" s="19"/>
      <c r="G625" s="19"/>
      <c r="H625" s="19"/>
      <c r="I625" s="19"/>
      <c r="J625" s="19"/>
      <c r="K625" s="19"/>
      <c r="L625" s="19"/>
      <c r="M625" s="19"/>
      <c r="N625" s="19"/>
      <c r="O625" s="19"/>
      <c r="P625" s="19"/>
      <c r="Q625" s="19"/>
      <c r="R625" s="19"/>
      <c r="S625" s="19"/>
      <c r="T625" s="19"/>
      <c r="U625" s="19"/>
      <c r="V625" s="19"/>
      <c r="W625" s="19"/>
      <c r="X625" s="19"/>
    </row>
    <row r="626" spans="1:24" ht="12" customHeight="1">
      <c r="A626" s="19"/>
      <c r="B626" s="19"/>
      <c r="C626" s="19"/>
      <c r="D626" s="19"/>
      <c r="E626" s="19"/>
      <c r="F626" s="19"/>
      <c r="G626" s="19"/>
      <c r="H626" s="19"/>
      <c r="I626" s="19"/>
      <c r="J626" s="19"/>
      <c r="K626" s="19"/>
      <c r="L626" s="19"/>
      <c r="M626" s="19"/>
      <c r="N626" s="19"/>
      <c r="O626" s="19"/>
      <c r="P626" s="19"/>
      <c r="Q626" s="19"/>
      <c r="R626" s="19"/>
      <c r="S626" s="19"/>
      <c r="T626" s="19"/>
      <c r="U626" s="19"/>
      <c r="V626" s="19"/>
      <c r="W626" s="19"/>
      <c r="X626" s="19"/>
    </row>
    <row r="627" spans="1:24" ht="12" customHeight="1">
      <c r="A627" s="19"/>
      <c r="B627" s="19"/>
      <c r="C627" s="19"/>
      <c r="D627" s="19"/>
      <c r="E627" s="19"/>
      <c r="F627" s="19"/>
      <c r="G627" s="19"/>
      <c r="H627" s="19"/>
      <c r="I627" s="19"/>
      <c r="J627" s="19"/>
      <c r="K627" s="19"/>
      <c r="L627" s="19"/>
      <c r="M627" s="19"/>
      <c r="N627" s="19"/>
      <c r="O627" s="19"/>
      <c r="P627" s="19"/>
      <c r="Q627" s="19"/>
      <c r="R627" s="19"/>
      <c r="S627" s="19"/>
      <c r="T627" s="19"/>
      <c r="U627" s="19"/>
      <c r="V627" s="19"/>
      <c r="W627" s="19"/>
      <c r="X627" s="19"/>
    </row>
    <row r="628" spans="1:24" ht="12" customHeight="1">
      <c r="A628" s="19"/>
      <c r="B628" s="19"/>
      <c r="C628" s="19"/>
      <c r="D628" s="19"/>
      <c r="E628" s="19"/>
      <c r="F628" s="19"/>
      <c r="G628" s="19"/>
      <c r="H628" s="19"/>
      <c r="I628" s="19"/>
      <c r="J628" s="19"/>
      <c r="K628" s="19"/>
      <c r="L628" s="19"/>
      <c r="M628" s="19"/>
      <c r="N628" s="19"/>
      <c r="O628" s="19"/>
      <c r="P628" s="19"/>
      <c r="Q628" s="19"/>
      <c r="R628" s="19"/>
      <c r="S628" s="19"/>
      <c r="T628" s="19"/>
      <c r="U628" s="19"/>
      <c r="V628" s="19"/>
      <c r="W628" s="19"/>
      <c r="X628" s="19"/>
    </row>
    <row r="629" spans="1:24" ht="12" customHeight="1">
      <c r="A629" s="19"/>
      <c r="B629" s="19"/>
      <c r="C629" s="19"/>
      <c r="D629" s="19"/>
      <c r="E629" s="19"/>
      <c r="F629" s="19"/>
      <c r="G629" s="19"/>
      <c r="H629" s="19"/>
      <c r="I629" s="19"/>
      <c r="J629" s="19"/>
      <c r="K629" s="19"/>
      <c r="L629" s="19"/>
      <c r="M629" s="19"/>
      <c r="N629" s="19"/>
      <c r="O629" s="19"/>
      <c r="P629" s="19"/>
      <c r="Q629" s="19"/>
      <c r="R629" s="19"/>
      <c r="S629" s="19"/>
      <c r="T629" s="19"/>
      <c r="U629" s="19"/>
      <c r="V629" s="19"/>
      <c r="W629" s="19"/>
      <c r="X629" s="19"/>
    </row>
    <row r="630" spans="1:24" ht="12" customHeight="1">
      <c r="A630" s="19"/>
      <c r="B630" s="19"/>
      <c r="C630" s="19"/>
      <c r="D630" s="19"/>
      <c r="E630" s="19"/>
      <c r="F630" s="19"/>
      <c r="G630" s="19"/>
      <c r="H630" s="19"/>
      <c r="I630" s="19"/>
      <c r="J630" s="19"/>
      <c r="K630" s="19"/>
      <c r="L630" s="19"/>
      <c r="M630" s="19"/>
      <c r="N630" s="19"/>
      <c r="O630" s="19"/>
      <c r="P630" s="19"/>
      <c r="Q630" s="19"/>
      <c r="R630" s="19"/>
      <c r="S630" s="19"/>
      <c r="T630" s="19"/>
      <c r="U630" s="19"/>
      <c r="V630" s="19"/>
      <c r="W630" s="19"/>
      <c r="X630" s="19"/>
    </row>
    <row r="631" spans="1:24" ht="12" customHeight="1">
      <c r="A631" s="19"/>
      <c r="B631" s="19"/>
      <c r="C631" s="19"/>
      <c r="D631" s="19"/>
      <c r="E631" s="19"/>
      <c r="F631" s="19"/>
      <c r="G631" s="19"/>
      <c r="H631" s="19"/>
      <c r="I631" s="19"/>
      <c r="J631" s="19"/>
      <c r="K631" s="19"/>
      <c r="L631" s="19"/>
      <c r="M631" s="19"/>
      <c r="N631" s="19"/>
      <c r="O631" s="19"/>
      <c r="P631" s="19"/>
      <c r="Q631" s="19"/>
      <c r="R631" s="19"/>
      <c r="S631" s="19"/>
      <c r="T631" s="19"/>
      <c r="U631" s="19"/>
      <c r="V631" s="19"/>
      <c r="W631" s="19"/>
      <c r="X631" s="19"/>
    </row>
    <row r="632" spans="1:24" ht="12" customHeight="1">
      <c r="A632" s="19"/>
      <c r="B632" s="19"/>
      <c r="C632" s="19"/>
      <c r="D632" s="19"/>
      <c r="E632" s="19"/>
      <c r="F632" s="19"/>
      <c r="G632" s="19"/>
      <c r="H632" s="19"/>
      <c r="I632" s="19"/>
      <c r="J632" s="19"/>
      <c r="K632" s="19"/>
      <c r="L632" s="19"/>
      <c r="M632" s="19"/>
      <c r="N632" s="19"/>
      <c r="O632" s="19"/>
      <c r="P632" s="19"/>
      <c r="Q632" s="19"/>
      <c r="R632" s="19"/>
      <c r="S632" s="19"/>
      <c r="T632" s="19"/>
      <c r="U632" s="19"/>
      <c r="V632" s="19"/>
      <c r="W632" s="19"/>
      <c r="X632" s="19"/>
    </row>
    <row r="633" spans="1:24" ht="12" customHeight="1">
      <c r="A633" s="19"/>
      <c r="B633" s="19"/>
      <c r="C633" s="19"/>
      <c r="D633" s="19"/>
      <c r="E633" s="19"/>
      <c r="F633" s="19"/>
      <c r="G633" s="19"/>
      <c r="H633" s="19"/>
      <c r="I633" s="19"/>
      <c r="J633" s="19"/>
      <c r="K633" s="19"/>
      <c r="L633" s="19"/>
      <c r="M633" s="19"/>
      <c r="N633" s="19"/>
      <c r="O633" s="19"/>
      <c r="P633" s="19"/>
      <c r="Q633" s="19"/>
      <c r="R633" s="19"/>
      <c r="S633" s="19"/>
      <c r="T633" s="19"/>
      <c r="U633" s="19"/>
      <c r="V633" s="19"/>
      <c r="W633" s="19"/>
      <c r="X633" s="19"/>
    </row>
    <row r="634" spans="1:24" ht="12" customHeight="1">
      <c r="A634" s="19"/>
      <c r="B634" s="19"/>
      <c r="C634" s="19"/>
      <c r="D634" s="19"/>
      <c r="E634" s="19"/>
      <c r="F634" s="19"/>
      <c r="G634" s="19"/>
      <c r="H634" s="19"/>
      <c r="I634" s="19"/>
      <c r="J634" s="19"/>
      <c r="K634" s="19"/>
      <c r="L634" s="19"/>
      <c r="M634" s="19"/>
      <c r="N634" s="19"/>
      <c r="O634" s="19"/>
      <c r="P634" s="19"/>
      <c r="Q634" s="19"/>
      <c r="R634" s="19"/>
      <c r="S634" s="19"/>
      <c r="T634" s="19"/>
      <c r="U634" s="19"/>
      <c r="V634" s="19"/>
      <c r="W634" s="19"/>
      <c r="X634" s="19"/>
    </row>
    <row r="635" spans="1:24" ht="12" customHeight="1">
      <c r="A635" s="19"/>
      <c r="B635" s="19"/>
      <c r="C635" s="19"/>
      <c r="D635" s="19"/>
      <c r="E635" s="19"/>
      <c r="F635" s="19"/>
      <c r="G635" s="19"/>
      <c r="H635" s="19"/>
      <c r="I635" s="19"/>
      <c r="J635" s="19"/>
      <c r="K635" s="19"/>
      <c r="L635" s="19"/>
      <c r="M635" s="19"/>
      <c r="N635" s="19"/>
      <c r="O635" s="19"/>
      <c r="P635" s="19"/>
      <c r="Q635" s="19"/>
      <c r="R635" s="19"/>
      <c r="S635" s="19"/>
      <c r="T635" s="19"/>
      <c r="U635" s="19"/>
      <c r="V635" s="19"/>
      <c r="W635" s="19"/>
      <c r="X635" s="19"/>
    </row>
    <row r="636" spans="1:24" ht="12" customHeight="1">
      <c r="A636" s="19"/>
      <c r="B636" s="19"/>
      <c r="C636" s="19"/>
      <c r="D636" s="19"/>
      <c r="E636" s="19"/>
      <c r="F636" s="19"/>
      <c r="G636" s="19"/>
      <c r="H636" s="19"/>
      <c r="I636" s="19"/>
      <c r="J636" s="19"/>
      <c r="K636" s="19"/>
      <c r="L636" s="19"/>
      <c r="M636" s="19"/>
      <c r="N636" s="19"/>
      <c r="O636" s="19"/>
      <c r="P636" s="19"/>
      <c r="Q636" s="19"/>
      <c r="R636" s="19"/>
      <c r="S636" s="19"/>
      <c r="T636" s="19"/>
      <c r="U636" s="19"/>
      <c r="V636" s="19"/>
      <c r="W636" s="19"/>
      <c r="X636" s="19"/>
    </row>
    <row r="637" spans="1:24" ht="12" customHeight="1">
      <c r="A637" s="19"/>
      <c r="B637" s="19"/>
      <c r="C637" s="19"/>
      <c r="D637" s="19"/>
      <c r="E637" s="19"/>
      <c r="F637" s="19"/>
      <c r="G637" s="19"/>
      <c r="H637" s="19"/>
      <c r="I637" s="19"/>
      <c r="J637" s="19"/>
      <c r="K637" s="19"/>
      <c r="L637" s="19"/>
      <c r="M637" s="19"/>
      <c r="N637" s="19"/>
      <c r="O637" s="19"/>
      <c r="P637" s="19"/>
      <c r="Q637" s="19"/>
      <c r="R637" s="19"/>
      <c r="S637" s="19"/>
      <c r="T637" s="19"/>
      <c r="U637" s="19"/>
      <c r="V637" s="19"/>
      <c r="W637" s="19"/>
      <c r="X637" s="19"/>
    </row>
    <row r="638" spans="1:24" ht="12" customHeight="1">
      <c r="A638" s="19"/>
      <c r="B638" s="19"/>
      <c r="C638" s="19"/>
      <c r="D638" s="19"/>
      <c r="E638" s="19"/>
      <c r="F638" s="19"/>
      <c r="G638" s="19"/>
      <c r="H638" s="19"/>
      <c r="I638" s="19"/>
      <c r="J638" s="19"/>
      <c r="K638" s="19"/>
      <c r="L638" s="19"/>
      <c r="M638" s="19"/>
      <c r="N638" s="19"/>
      <c r="O638" s="19"/>
      <c r="P638" s="19"/>
      <c r="Q638" s="19"/>
      <c r="R638" s="19"/>
      <c r="S638" s="19"/>
      <c r="T638" s="19"/>
      <c r="U638" s="19"/>
      <c r="V638" s="19"/>
      <c r="W638" s="19"/>
      <c r="X638" s="19"/>
    </row>
    <row r="639" spans="1:24" ht="12" customHeight="1">
      <c r="A639" s="19"/>
      <c r="B639" s="19"/>
      <c r="C639" s="19"/>
      <c r="D639" s="19"/>
      <c r="E639" s="19"/>
      <c r="F639" s="19"/>
      <c r="G639" s="19"/>
      <c r="H639" s="19"/>
      <c r="I639" s="19"/>
      <c r="J639" s="19"/>
      <c r="K639" s="19"/>
      <c r="L639" s="19"/>
      <c r="M639" s="19"/>
      <c r="N639" s="19"/>
      <c r="O639" s="19"/>
      <c r="P639" s="19"/>
      <c r="Q639" s="19"/>
      <c r="R639" s="19"/>
      <c r="S639" s="19"/>
      <c r="T639" s="19"/>
      <c r="U639" s="19"/>
      <c r="V639" s="19"/>
      <c r="W639" s="19"/>
      <c r="X639" s="19"/>
    </row>
    <row r="640" spans="1:24" ht="12" customHeight="1">
      <c r="A640" s="19"/>
      <c r="B640" s="19"/>
      <c r="C640" s="19"/>
      <c r="D640" s="19"/>
      <c r="E640" s="19"/>
      <c r="F640" s="19"/>
      <c r="G640" s="19"/>
      <c r="H640" s="19"/>
      <c r="I640" s="19"/>
      <c r="J640" s="19"/>
      <c r="K640" s="19"/>
      <c r="L640" s="19"/>
      <c r="M640" s="19"/>
      <c r="N640" s="19"/>
      <c r="O640" s="19"/>
      <c r="P640" s="19"/>
      <c r="Q640" s="19"/>
      <c r="R640" s="19"/>
      <c r="S640" s="19"/>
      <c r="T640" s="19"/>
      <c r="U640" s="19"/>
      <c r="V640" s="19"/>
      <c r="W640" s="19"/>
      <c r="X640" s="19"/>
    </row>
    <row r="641" spans="1:24" ht="12" customHeight="1">
      <c r="A641" s="19"/>
      <c r="B641" s="19"/>
      <c r="C641" s="19"/>
      <c r="D641" s="19"/>
      <c r="E641" s="19"/>
      <c r="F641" s="19"/>
      <c r="G641" s="19"/>
      <c r="H641" s="19"/>
      <c r="I641" s="19"/>
      <c r="J641" s="19"/>
      <c r="K641" s="19"/>
      <c r="L641" s="19"/>
      <c r="M641" s="19"/>
      <c r="N641" s="19"/>
      <c r="O641" s="19"/>
      <c r="P641" s="19"/>
      <c r="Q641" s="19"/>
      <c r="R641" s="19"/>
      <c r="S641" s="19"/>
      <c r="T641" s="19"/>
      <c r="U641" s="19"/>
      <c r="V641" s="19"/>
      <c r="W641" s="19"/>
      <c r="X641" s="19"/>
    </row>
    <row r="642" spans="1:24" ht="12" customHeight="1">
      <c r="A642" s="19"/>
      <c r="B642" s="19"/>
      <c r="C642" s="19"/>
      <c r="D642" s="19"/>
      <c r="E642" s="19"/>
      <c r="F642" s="19"/>
      <c r="G642" s="19"/>
      <c r="H642" s="19"/>
      <c r="I642" s="19"/>
      <c r="J642" s="19"/>
      <c r="K642" s="19"/>
      <c r="L642" s="19"/>
      <c r="M642" s="19"/>
      <c r="N642" s="19"/>
      <c r="O642" s="19"/>
      <c r="P642" s="19"/>
      <c r="Q642" s="19"/>
      <c r="R642" s="19"/>
      <c r="S642" s="19"/>
      <c r="T642" s="19"/>
      <c r="U642" s="19"/>
      <c r="V642" s="19"/>
      <c r="W642" s="19"/>
      <c r="X642" s="19"/>
    </row>
    <row r="643" spans="1:24" ht="12" customHeight="1">
      <c r="A643" s="19"/>
      <c r="B643" s="19"/>
      <c r="C643" s="19"/>
      <c r="D643" s="19"/>
      <c r="E643" s="19"/>
      <c r="F643" s="19"/>
      <c r="G643" s="19"/>
      <c r="H643" s="19"/>
      <c r="I643" s="19"/>
      <c r="J643" s="19"/>
      <c r="K643" s="19"/>
      <c r="L643" s="19"/>
      <c r="M643" s="19"/>
      <c r="N643" s="19"/>
      <c r="O643" s="19"/>
      <c r="P643" s="19"/>
      <c r="Q643" s="19"/>
      <c r="R643" s="19"/>
      <c r="S643" s="19"/>
      <c r="T643" s="19"/>
      <c r="U643" s="19"/>
      <c r="V643" s="19"/>
      <c r="W643" s="19"/>
      <c r="X643" s="19"/>
    </row>
    <row r="644" spans="1:24" ht="12" customHeight="1">
      <c r="A644" s="19"/>
      <c r="B644" s="19"/>
      <c r="C644" s="19"/>
      <c r="D644" s="19"/>
      <c r="E644" s="19"/>
      <c r="F644" s="19"/>
      <c r="G644" s="19"/>
      <c r="H644" s="19"/>
      <c r="I644" s="19"/>
      <c r="J644" s="19"/>
      <c r="K644" s="19"/>
      <c r="L644" s="19"/>
      <c r="M644" s="19"/>
      <c r="N644" s="19"/>
      <c r="O644" s="19"/>
      <c r="P644" s="19"/>
      <c r="Q644" s="19"/>
      <c r="R644" s="19"/>
      <c r="S644" s="19"/>
      <c r="T644" s="19"/>
      <c r="U644" s="19"/>
      <c r="V644" s="19"/>
      <c r="W644" s="19"/>
      <c r="X644" s="19"/>
    </row>
    <row r="645" spans="1:24" ht="12" customHeight="1">
      <c r="A645" s="19"/>
      <c r="B645" s="19"/>
      <c r="C645" s="19"/>
      <c r="D645" s="19"/>
      <c r="E645" s="19"/>
      <c r="F645" s="19"/>
      <c r="G645" s="19"/>
      <c r="H645" s="19"/>
      <c r="I645" s="19"/>
      <c r="J645" s="19"/>
      <c r="K645" s="19"/>
      <c r="L645" s="19"/>
      <c r="M645" s="19"/>
      <c r="N645" s="19"/>
      <c r="O645" s="19"/>
      <c r="P645" s="19"/>
      <c r="Q645" s="19"/>
      <c r="R645" s="19"/>
      <c r="S645" s="19"/>
      <c r="T645" s="19"/>
      <c r="U645" s="19"/>
      <c r="V645" s="19"/>
      <c r="W645" s="19"/>
      <c r="X645" s="19"/>
    </row>
    <row r="646" spans="1:24" ht="12" customHeight="1">
      <c r="A646" s="19"/>
      <c r="B646" s="19"/>
      <c r="C646" s="19"/>
      <c r="D646" s="19"/>
      <c r="E646" s="19"/>
      <c r="F646" s="19"/>
      <c r="G646" s="19"/>
      <c r="H646" s="19"/>
      <c r="I646" s="19"/>
      <c r="J646" s="19"/>
      <c r="K646" s="19"/>
      <c r="L646" s="19"/>
      <c r="M646" s="19"/>
      <c r="N646" s="19"/>
      <c r="O646" s="19"/>
      <c r="P646" s="19"/>
      <c r="Q646" s="19"/>
      <c r="R646" s="19"/>
      <c r="S646" s="19"/>
      <c r="T646" s="19"/>
      <c r="U646" s="19"/>
      <c r="V646" s="19"/>
      <c r="W646" s="19"/>
      <c r="X646" s="19"/>
    </row>
    <row r="647" spans="1:24" ht="12" customHeight="1">
      <c r="A647" s="19"/>
      <c r="B647" s="19"/>
      <c r="C647" s="19"/>
      <c r="D647" s="19"/>
      <c r="E647" s="19"/>
      <c r="F647" s="19"/>
      <c r="G647" s="19"/>
      <c r="H647" s="19"/>
      <c r="I647" s="19"/>
      <c r="J647" s="19"/>
      <c r="K647" s="19"/>
      <c r="L647" s="19"/>
      <c r="M647" s="19"/>
      <c r="N647" s="19"/>
      <c r="O647" s="19"/>
      <c r="P647" s="19"/>
      <c r="Q647" s="19"/>
      <c r="R647" s="19"/>
      <c r="S647" s="19"/>
      <c r="T647" s="19"/>
      <c r="U647" s="19"/>
      <c r="V647" s="19"/>
      <c r="W647" s="19"/>
      <c r="X647" s="19"/>
    </row>
    <row r="648" spans="1:24" ht="12" customHeight="1">
      <c r="A648" s="19"/>
      <c r="B648" s="19"/>
      <c r="C648" s="19"/>
      <c r="D648" s="19"/>
      <c r="E648" s="19"/>
      <c r="F648" s="19"/>
      <c r="G648" s="19"/>
      <c r="H648" s="19"/>
      <c r="I648" s="19"/>
      <c r="J648" s="19"/>
      <c r="K648" s="19"/>
      <c r="L648" s="19"/>
      <c r="M648" s="19"/>
      <c r="N648" s="19"/>
      <c r="O648" s="19"/>
      <c r="P648" s="19"/>
      <c r="Q648" s="19"/>
      <c r="R648" s="19"/>
      <c r="S648" s="19"/>
      <c r="T648" s="19"/>
      <c r="U648" s="19"/>
      <c r="V648" s="19"/>
      <c r="W648" s="19"/>
      <c r="X648" s="19"/>
    </row>
    <row r="649" spans="1:24" ht="12" customHeight="1">
      <c r="A649" s="19"/>
      <c r="B649" s="19"/>
      <c r="C649" s="19"/>
      <c r="D649" s="19"/>
      <c r="E649" s="19"/>
      <c r="F649" s="19"/>
      <c r="G649" s="19"/>
      <c r="H649" s="19"/>
      <c r="I649" s="19"/>
      <c r="J649" s="19"/>
      <c r="K649" s="19"/>
      <c r="L649" s="19"/>
      <c r="M649" s="19"/>
      <c r="N649" s="19"/>
      <c r="O649" s="19"/>
      <c r="P649" s="19"/>
      <c r="Q649" s="19"/>
      <c r="R649" s="19"/>
      <c r="S649" s="19"/>
      <c r="T649" s="19"/>
      <c r="U649" s="19"/>
      <c r="V649" s="19"/>
      <c r="W649" s="19"/>
      <c r="X649" s="19"/>
    </row>
    <row r="650" spans="1:24" ht="12" customHeight="1">
      <c r="A650" s="19"/>
      <c r="B650" s="19"/>
      <c r="C650" s="19"/>
      <c r="D650" s="19"/>
      <c r="E650" s="19"/>
      <c r="F650" s="19"/>
      <c r="G650" s="19"/>
      <c r="H650" s="19"/>
      <c r="I650" s="19"/>
      <c r="J650" s="19"/>
      <c r="K650" s="19"/>
      <c r="L650" s="19"/>
      <c r="M650" s="19"/>
      <c r="N650" s="19"/>
      <c r="O650" s="19"/>
      <c r="P650" s="19"/>
      <c r="Q650" s="19"/>
      <c r="R650" s="19"/>
      <c r="S650" s="19"/>
      <c r="T650" s="19"/>
      <c r="U650" s="19"/>
      <c r="V650" s="19"/>
      <c r="W650" s="19"/>
      <c r="X650" s="19"/>
    </row>
    <row r="651" spans="1:24" ht="12" customHeight="1">
      <c r="A651" s="19"/>
      <c r="B651" s="19"/>
      <c r="C651" s="19"/>
      <c r="D651" s="19"/>
      <c r="E651" s="19"/>
      <c r="F651" s="19"/>
      <c r="G651" s="19"/>
      <c r="H651" s="19"/>
      <c r="I651" s="19"/>
      <c r="J651" s="19"/>
      <c r="K651" s="19"/>
      <c r="L651" s="19"/>
      <c r="M651" s="19"/>
      <c r="N651" s="19"/>
      <c r="O651" s="19"/>
      <c r="P651" s="19"/>
      <c r="Q651" s="19"/>
      <c r="R651" s="19"/>
      <c r="S651" s="19"/>
      <c r="T651" s="19"/>
      <c r="U651" s="19"/>
      <c r="V651" s="19"/>
      <c r="W651" s="19"/>
      <c r="X651" s="19"/>
    </row>
    <row r="652" spans="1:24" ht="12" customHeight="1">
      <c r="A652" s="19"/>
      <c r="B652" s="19"/>
      <c r="C652" s="19"/>
      <c r="D652" s="19"/>
      <c r="E652" s="19"/>
      <c r="F652" s="19"/>
      <c r="G652" s="19"/>
      <c r="H652" s="19"/>
      <c r="I652" s="19"/>
      <c r="J652" s="19"/>
      <c r="K652" s="19"/>
      <c r="L652" s="19"/>
      <c r="M652" s="19"/>
      <c r="N652" s="19"/>
      <c r="O652" s="19"/>
      <c r="P652" s="19"/>
      <c r="Q652" s="19"/>
      <c r="R652" s="19"/>
      <c r="S652" s="19"/>
      <c r="T652" s="19"/>
      <c r="U652" s="19"/>
      <c r="V652" s="19"/>
      <c r="W652" s="19"/>
      <c r="X652" s="19"/>
    </row>
    <row r="653" spans="1:24" ht="12" customHeight="1">
      <c r="A653" s="19"/>
      <c r="B653" s="19"/>
      <c r="C653" s="19"/>
      <c r="D653" s="19"/>
      <c r="E653" s="19"/>
      <c r="F653" s="19"/>
      <c r="G653" s="19"/>
      <c r="H653" s="19"/>
      <c r="I653" s="19"/>
      <c r="J653" s="19"/>
      <c r="K653" s="19"/>
      <c r="L653" s="19"/>
      <c r="M653" s="19"/>
      <c r="N653" s="19"/>
      <c r="O653" s="19"/>
      <c r="P653" s="19"/>
      <c r="Q653" s="19"/>
      <c r="R653" s="19"/>
      <c r="S653" s="19"/>
      <c r="T653" s="19"/>
      <c r="U653" s="19"/>
      <c r="V653" s="19"/>
      <c r="W653" s="19"/>
      <c r="X653" s="19"/>
    </row>
    <row r="654" spans="1:24" ht="12" customHeight="1">
      <c r="A654" s="19"/>
      <c r="B654" s="19"/>
      <c r="C654" s="19"/>
      <c r="D654" s="19"/>
      <c r="E654" s="19"/>
      <c r="F654" s="19"/>
      <c r="G654" s="19"/>
      <c r="H654" s="19"/>
      <c r="I654" s="19"/>
      <c r="J654" s="19"/>
      <c r="K654" s="19"/>
      <c r="L654" s="19"/>
      <c r="M654" s="19"/>
      <c r="N654" s="19"/>
      <c r="O654" s="19"/>
      <c r="P654" s="19"/>
      <c r="Q654" s="19"/>
      <c r="R654" s="19"/>
      <c r="S654" s="19"/>
      <c r="T654" s="19"/>
      <c r="U654" s="19"/>
      <c r="V654" s="19"/>
      <c r="W654" s="19"/>
      <c r="X654" s="19"/>
    </row>
    <row r="655" spans="1:24" ht="12" customHeight="1">
      <c r="A655" s="19"/>
      <c r="B655" s="19"/>
      <c r="C655" s="19"/>
      <c r="D655" s="19"/>
      <c r="E655" s="19"/>
      <c r="F655" s="19"/>
      <c r="G655" s="19"/>
      <c r="H655" s="19"/>
      <c r="I655" s="19"/>
      <c r="J655" s="19"/>
      <c r="K655" s="19"/>
      <c r="L655" s="19"/>
      <c r="M655" s="19"/>
      <c r="N655" s="19"/>
      <c r="O655" s="19"/>
      <c r="P655" s="19"/>
      <c r="Q655" s="19"/>
      <c r="R655" s="19"/>
      <c r="S655" s="19"/>
      <c r="T655" s="19"/>
      <c r="U655" s="19"/>
      <c r="V655" s="19"/>
      <c r="W655" s="19"/>
      <c r="X655" s="19"/>
    </row>
    <row r="656" spans="1:24" ht="12" customHeight="1">
      <c r="A656" s="19"/>
      <c r="B656" s="19"/>
      <c r="C656" s="19"/>
      <c r="D656" s="19"/>
      <c r="E656" s="19"/>
      <c r="F656" s="19"/>
      <c r="G656" s="19"/>
      <c r="H656" s="19"/>
      <c r="I656" s="19"/>
      <c r="J656" s="19"/>
      <c r="K656" s="19"/>
      <c r="L656" s="19"/>
      <c r="M656" s="19"/>
      <c r="N656" s="19"/>
      <c r="O656" s="19"/>
      <c r="P656" s="19"/>
      <c r="Q656" s="19"/>
      <c r="R656" s="19"/>
      <c r="S656" s="19"/>
      <c r="T656" s="19"/>
      <c r="U656" s="19"/>
      <c r="V656" s="19"/>
      <c r="W656" s="19"/>
      <c r="X656" s="19"/>
    </row>
    <row r="657" spans="1:24" ht="12" customHeight="1">
      <c r="A657" s="19"/>
      <c r="B657" s="19"/>
      <c r="C657" s="19"/>
      <c r="D657" s="19"/>
      <c r="E657" s="19"/>
      <c r="F657" s="19"/>
      <c r="G657" s="19"/>
      <c r="H657" s="19"/>
      <c r="I657" s="19"/>
      <c r="J657" s="19"/>
      <c r="K657" s="19"/>
      <c r="L657" s="19"/>
      <c r="M657" s="19"/>
      <c r="N657" s="19"/>
      <c r="O657" s="19"/>
      <c r="P657" s="19"/>
      <c r="Q657" s="19"/>
      <c r="R657" s="19"/>
      <c r="S657" s="19"/>
      <c r="T657" s="19"/>
      <c r="U657" s="19"/>
      <c r="V657" s="19"/>
      <c r="W657" s="19"/>
      <c r="X657" s="19"/>
    </row>
    <row r="658" spans="1:24" ht="12" customHeight="1">
      <c r="A658" s="19"/>
      <c r="B658" s="19"/>
      <c r="C658" s="19"/>
      <c r="D658" s="19"/>
      <c r="E658" s="19"/>
      <c r="F658" s="19"/>
      <c r="G658" s="19"/>
      <c r="H658" s="19"/>
      <c r="I658" s="19"/>
      <c r="J658" s="19"/>
      <c r="K658" s="19"/>
      <c r="L658" s="19"/>
      <c r="M658" s="19"/>
      <c r="N658" s="19"/>
      <c r="O658" s="19"/>
      <c r="P658" s="19"/>
      <c r="Q658" s="19"/>
      <c r="R658" s="19"/>
      <c r="S658" s="19"/>
      <c r="T658" s="19"/>
      <c r="U658" s="19"/>
      <c r="V658" s="19"/>
      <c r="W658" s="19"/>
      <c r="X658" s="19"/>
    </row>
    <row r="659" spans="1:24" ht="12" customHeight="1">
      <c r="A659" s="19"/>
      <c r="B659" s="19"/>
      <c r="C659" s="19"/>
      <c r="D659" s="19"/>
      <c r="E659" s="19"/>
      <c r="F659" s="19"/>
      <c r="G659" s="19"/>
      <c r="H659" s="19"/>
      <c r="I659" s="19"/>
      <c r="J659" s="19"/>
      <c r="K659" s="19"/>
      <c r="L659" s="19"/>
      <c r="M659" s="19"/>
      <c r="N659" s="19"/>
      <c r="O659" s="19"/>
      <c r="P659" s="19"/>
      <c r="Q659" s="19"/>
      <c r="R659" s="19"/>
      <c r="S659" s="19"/>
      <c r="T659" s="19"/>
      <c r="U659" s="19"/>
      <c r="V659" s="19"/>
      <c r="W659" s="19"/>
      <c r="X659" s="19"/>
    </row>
    <row r="660" spans="1:24" ht="12" customHeight="1">
      <c r="A660" s="19"/>
      <c r="B660" s="19"/>
      <c r="C660" s="19"/>
      <c r="D660" s="19"/>
      <c r="E660" s="19"/>
      <c r="F660" s="19"/>
      <c r="G660" s="19"/>
      <c r="H660" s="19"/>
      <c r="I660" s="19"/>
      <c r="J660" s="19"/>
      <c r="K660" s="19"/>
      <c r="L660" s="19"/>
      <c r="M660" s="19"/>
      <c r="N660" s="19"/>
      <c r="O660" s="19"/>
      <c r="P660" s="19"/>
      <c r="Q660" s="19"/>
      <c r="R660" s="19"/>
      <c r="S660" s="19"/>
      <c r="T660" s="19"/>
      <c r="U660" s="19"/>
      <c r="V660" s="19"/>
      <c r="W660" s="19"/>
      <c r="X660" s="19"/>
    </row>
    <row r="661" spans="1:24" ht="12" customHeight="1">
      <c r="A661" s="19"/>
      <c r="B661" s="19"/>
      <c r="C661" s="19"/>
      <c r="D661" s="19"/>
      <c r="E661" s="19"/>
      <c r="F661" s="19"/>
      <c r="G661" s="19"/>
      <c r="H661" s="19"/>
      <c r="I661" s="19"/>
      <c r="J661" s="19"/>
      <c r="K661" s="19"/>
      <c r="L661" s="19"/>
      <c r="M661" s="19"/>
      <c r="N661" s="19"/>
      <c r="O661" s="19"/>
      <c r="P661" s="19"/>
      <c r="Q661" s="19"/>
      <c r="R661" s="19"/>
      <c r="S661" s="19"/>
      <c r="T661" s="19"/>
      <c r="U661" s="19"/>
      <c r="V661" s="19"/>
      <c r="W661" s="19"/>
      <c r="X661" s="19"/>
    </row>
    <row r="662" spans="1:24" ht="12" customHeight="1">
      <c r="A662" s="19"/>
      <c r="B662" s="19"/>
      <c r="C662" s="19"/>
      <c r="D662" s="19"/>
      <c r="E662" s="19"/>
      <c r="F662" s="19"/>
      <c r="G662" s="19"/>
      <c r="H662" s="19"/>
      <c r="I662" s="19"/>
      <c r="J662" s="19"/>
      <c r="K662" s="19"/>
      <c r="L662" s="19"/>
      <c r="M662" s="19"/>
      <c r="N662" s="19"/>
      <c r="O662" s="19"/>
      <c r="P662" s="19"/>
      <c r="Q662" s="19"/>
      <c r="R662" s="19"/>
      <c r="S662" s="19"/>
      <c r="T662" s="19"/>
      <c r="U662" s="19"/>
      <c r="V662" s="19"/>
      <c r="W662" s="19"/>
      <c r="X662" s="19"/>
    </row>
    <row r="663" spans="1:24" ht="12" customHeight="1">
      <c r="A663" s="19"/>
      <c r="B663" s="19"/>
      <c r="C663" s="19"/>
      <c r="D663" s="19"/>
      <c r="E663" s="19"/>
      <c r="F663" s="19"/>
      <c r="G663" s="19"/>
      <c r="H663" s="19"/>
      <c r="I663" s="19"/>
      <c r="J663" s="19"/>
      <c r="K663" s="19"/>
      <c r="L663" s="19"/>
      <c r="M663" s="19"/>
      <c r="N663" s="19"/>
      <c r="O663" s="19"/>
      <c r="P663" s="19"/>
      <c r="Q663" s="19"/>
      <c r="R663" s="19"/>
      <c r="S663" s="19"/>
      <c r="T663" s="19"/>
      <c r="U663" s="19"/>
      <c r="V663" s="19"/>
      <c r="W663" s="19"/>
      <c r="X663" s="19"/>
    </row>
    <row r="664" spans="1:24" ht="12" customHeight="1">
      <c r="A664" s="19"/>
      <c r="B664" s="19"/>
      <c r="C664" s="19"/>
      <c r="D664" s="19"/>
      <c r="E664" s="19"/>
      <c r="F664" s="19"/>
      <c r="G664" s="19"/>
      <c r="H664" s="19"/>
      <c r="I664" s="19"/>
      <c r="J664" s="19"/>
      <c r="K664" s="19"/>
      <c r="L664" s="19"/>
      <c r="M664" s="19"/>
      <c r="N664" s="19"/>
      <c r="O664" s="19"/>
      <c r="P664" s="19"/>
      <c r="Q664" s="19"/>
      <c r="R664" s="19"/>
      <c r="S664" s="19"/>
      <c r="T664" s="19"/>
      <c r="U664" s="19"/>
      <c r="V664" s="19"/>
      <c r="W664" s="19"/>
      <c r="X664" s="19"/>
    </row>
    <row r="665" spans="1:24" ht="12" customHeight="1">
      <c r="A665" s="19"/>
      <c r="B665" s="19"/>
      <c r="C665" s="19"/>
      <c r="D665" s="19"/>
      <c r="E665" s="19"/>
      <c r="F665" s="19"/>
      <c r="G665" s="19"/>
      <c r="H665" s="19"/>
      <c r="I665" s="19"/>
      <c r="J665" s="19"/>
      <c r="K665" s="19"/>
      <c r="L665" s="19"/>
      <c r="M665" s="19"/>
      <c r="N665" s="19"/>
      <c r="O665" s="19"/>
      <c r="P665" s="19"/>
      <c r="Q665" s="19"/>
      <c r="R665" s="19"/>
      <c r="S665" s="19"/>
      <c r="T665" s="19"/>
      <c r="U665" s="19"/>
      <c r="V665" s="19"/>
      <c r="W665" s="19"/>
      <c r="X665" s="19"/>
    </row>
    <row r="666" spans="1:24" ht="12" customHeight="1">
      <c r="A666" s="19"/>
      <c r="B666" s="19"/>
      <c r="C666" s="19"/>
      <c r="D666" s="19"/>
      <c r="E666" s="19"/>
      <c r="F666" s="19"/>
      <c r="G666" s="19"/>
      <c r="H666" s="19"/>
      <c r="I666" s="19"/>
      <c r="J666" s="19"/>
      <c r="K666" s="19"/>
      <c r="L666" s="19"/>
      <c r="M666" s="19"/>
      <c r="N666" s="19"/>
      <c r="O666" s="19"/>
      <c r="P666" s="19"/>
      <c r="Q666" s="19"/>
      <c r="R666" s="19"/>
      <c r="S666" s="19"/>
      <c r="T666" s="19"/>
      <c r="U666" s="19"/>
      <c r="V666" s="19"/>
      <c r="W666" s="19"/>
      <c r="X666" s="19"/>
    </row>
    <row r="667" spans="1:24" ht="12" customHeight="1">
      <c r="A667" s="19"/>
      <c r="B667" s="19"/>
      <c r="C667" s="19"/>
      <c r="D667" s="19"/>
      <c r="E667" s="19"/>
      <c r="F667" s="19"/>
      <c r="G667" s="19"/>
      <c r="H667" s="19"/>
      <c r="I667" s="19"/>
      <c r="J667" s="19"/>
      <c r="K667" s="19"/>
      <c r="L667" s="19"/>
      <c r="M667" s="19"/>
      <c r="N667" s="19"/>
      <c r="O667" s="19"/>
      <c r="P667" s="19"/>
      <c r="Q667" s="19"/>
      <c r="R667" s="19"/>
      <c r="S667" s="19"/>
      <c r="T667" s="19"/>
      <c r="U667" s="19"/>
      <c r="V667" s="19"/>
      <c r="W667" s="19"/>
      <c r="X667" s="19"/>
    </row>
    <row r="668" spans="1:24" ht="12" customHeight="1">
      <c r="A668" s="19"/>
      <c r="B668" s="19"/>
      <c r="C668" s="19"/>
      <c r="D668" s="19"/>
      <c r="E668" s="19"/>
      <c r="F668" s="19"/>
      <c r="G668" s="19"/>
      <c r="H668" s="19"/>
      <c r="I668" s="19"/>
      <c r="J668" s="19"/>
      <c r="K668" s="19"/>
      <c r="L668" s="19"/>
      <c r="M668" s="19"/>
      <c r="N668" s="19"/>
      <c r="O668" s="19"/>
      <c r="P668" s="19"/>
      <c r="Q668" s="19"/>
      <c r="R668" s="19"/>
      <c r="S668" s="19"/>
      <c r="T668" s="19"/>
      <c r="U668" s="19"/>
      <c r="V668" s="19"/>
      <c r="W668" s="19"/>
      <c r="X668" s="19"/>
    </row>
    <row r="669" spans="1:24" ht="12" customHeight="1">
      <c r="A669" s="19"/>
      <c r="B669" s="19"/>
      <c r="C669" s="19"/>
      <c r="D669" s="19"/>
      <c r="E669" s="19"/>
      <c r="F669" s="19"/>
      <c r="G669" s="19"/>
      <c r="H669" s="19"/>
      <c r="I669" s="19"/>
      <c r="J669" s="19"/>
      <c r="K669" s="19"/>
      <c r="L669" s="19"/>
      <c r="M669" s="19"/>
      <c r="N669" s="19"/>
      <c r="O669" s="19"/>
      <c r="P669" s="19"/>
      <c r="Q669" s="19"/>
      <c r="R669" s="19"/>
      <c r="S669" s="19"/>
      <c r="T669" s="19"/>
      <c r="U669" s="19"/>
      <c r="V669" s="19"/>
      <c r="W669" s="19"/>
      <c r="X669" s="19"/>
    </row>
    <row r="670" spans="1:24" ht="12" customHeight="1">
      <c r="A670" s="19"/>
      <c r="B670" s="19"/>
      <c r="C670" s="19"/>
      <c r="D670" s="19"/>
      <c r="E670" s="19"/>
      <c r="F670" s="19"/>
      <c r="G670" s="19"/>
      <c r="H670" s="19"/>
      <c r="I670" s="19"/>
      <c r="J670" s="19"/>
      <c r="K670" s="19"/>
      <c r="L670" s="19"/>
      <c r="M670" s="19"/>
      <c r="N670" s="19"/>
      <c r="O670" s="19"/>
      <c r="P670" s="19"/>
      <c r="Q670" s="19"/>
      <c r="R670" s="19"/>
      <c r="S670" s="19"/>
      <c r="T670" s="19"/>
      <c r="U670" s="19"/>
      <c r="V670" s="19"/>
      <c r="W670" s="19"/>
      <c r="X670" s="19"/>
    </row>
    <row r="671" spans="1:24" ht="12" customHeight="1">
      <c r="A671" s="19"/>
      <c r="B671" s="19"/>
      <c r="C671" s="19"/>
      <c r="D671" s="19"/>
      <c r="E671" s="19"/>
      <c r="F671" s="19"/>
      <c r="G671" s="19"/>
      <c r="H671" s="19"/>
      <c r="I671" s="19"/>
      <c r="J671" s="19"/>
      <c r="K671" s="19"/>
      <c r="L671" s="19"/>
      <c r="M671" s="19"/>
      <c r="N671" s="19"/>
      <c r="O671" s="19"/>
      <c r="P671" s="19"/>
      <c r="Q671" s="19"/>
      <c r="R671" s="19"/>
      <c r="S671" s="19"/>
      <c r="T671" s="19"/>
      <c r="U671" s="19"/>
      <c r="V671" s="19"/>
      <c r="W671" s="19"/>
      <c r="X671" s="19"/>
    </row>
    <row r="672" spans="1:24" ht="12" customHeight="1">
      <c r="A672" s="19"/>
      <c r="B672" s="19"/>
      <c r="C672" s="19"/>
      <c r="D672" s="19"/>
      <c r="E672" s="19"/>
      <c r="F672" s="19"/>
      <c r="G672" s="19"/>
      <c r="H672" s="19"/>
      <c r="I672" s="19"/>
      <c r="J672" s="19"/>
      <c r="K672" s="19"/>
      <c r="L672" s="19"/>
      <c r="M672" s="19"/>
      <c r="N672" s="19"/>
      <c r="O672" s="19"/>
      <c r="P672" s="19"/>
      <c r="Q672" s="19"/>
      <c r="R672" s="19"/>
      <c r="S672" s="19"/>
      <c r="T672" s="19"/>
      <c r="U672" s="19"/>
      <c r="V672" s="19"/>
      <c r="W672" s="19"/>
      <c r="X672" s="19"/>
    </row>
    <row r="673" spans="1:24" ht="12" customHeight="1">
      <c r="A673" s="19"/>
      <c r="B673" s="19"/>
      <c r="C673" s="19"/>
      <c r="D673" s="19"/>
      <c r="E673" s="19"/>
      <c r="F673" s="19"/>
      <c r="G673" s="19"/>
      <c r="H673" s="19"/>
      <c r="I673" s="19"/>
      <c r="J673" s="19"/>
      <c r="K673" s="19"/>
      <c r="L673" s="19"/>
      <c r="M673" s="19"/>
      <c r="N673" s="19"/>
      <c r="O673" s="19"/>
      <c r="P673" s="19"/>
      <c r="Q673" s="19"/>
      <c r="R673" s="19"/>
      <c r="S673" s="19"/>
      <c r="T673" s="19"/>
      <c r="U673" s="19"/>
      <c r="V673" s="19"/>
      <c r="W673" s="19"/>
      <c r="X673" s="19"/>
    </row>
    <row r="674" spans="1:24" ht="12" customHeight="1">
      <c r="A674" s="19"/>
      <c r="B674" s="19"/>
      <c r="C674" s="19"/>
      <c r="D674" s="19"/>
      <c r="E674" s="19"/>
      <c r="F674" s="19"/>
      <c r="G674" s="19"/>
      <c r="H674" s="19"/>
      <c r="I674" s="19"/>
      <c r="J674" s="19"/>
      <c r="K674" s="19"/>
      <c r="L674" s="19"/>
      <c r="M674" s="19"/>
      <c r="N674" s="19"/>
      <c r="O674" s="19"/>
      <c r="P674" s="19"/>
      <c r="Q674" s="19"/>
      <c r="R674" s="19"/>
      <c r="S674" s="19"/>
      <c r="T674" s="19"/>
      <c r="U674" s="19"/>
      <c r="V674" s="19"/>
      <c r="W674" s="19"/>
      <c r="X674" s="19"/>
    </row>
    <row r="675" spans="1:24" ht="12" customHeight="1">
      <c r="A675" s="19"/>
      <c r="B675" s="19"/>
      <c r="C675" s="19"/>
      <c r="D675" s="19"/>
      <c r="E675" s="19"/>
      <c r="F675" s="19"/>
      <c r="G675" s="19"/>
      <c r="H675" s="19"/>
      <c r="I675" s="19"/>
      <c r="J675" s="19"/>
      <c r="K675" s="19"/>
      <c r="L675" s="19"/>
      <c r="M675" s="19"/>
      <c r="N675" s="19"/>
      <c r="O675" s="19"/>
      <c r="P675" s="19"/>
      <c r="Q675" s="19"/>
      <c r="R675" s="19"/>
      <c r="S675" s="19"/>
      <c r="T675" s="19"/>
      <c r="U675" s="19"/>
      <c r="V675" s="19"/>
      <c r="W675" s="19"/>
      <c r="X675" s="19"/>
    </row>
    <row r="676" spans="1:24" ht="12" customHeight="1">
      <c r="A676" s="19"/>
      <c r="B676" s="19"/>
      <c r="C676" s="19"/>
      <c r="D676" s="19"/>
      <c r="E676" s="19"/>
      <c r="F676" s="19"/>
      <c r="G676" s="19"/>
      <c r="H676" s="19"/>
      <c r="I676" s="19"/>
      <c r="J676" s="19"/>
      <c r="K676" s="19"/>
      <c r="L676" s="19"/>
      <c r="M676" s="19"/>
      <c r="N676" s="19"/>
      <c r="O676" s="19"/>
      <c r="P676" s="19"/>
      <c r="Q676" s="19"/>
      <c r="R676" s="19"/>
      <c r="S676" s="19"/>
      <c r="T676" s="19"/>
      <c r="U676" s="19"/>
      <c r="V676" s="19"/>
      <c r="W676" s="19"/>
      <c r="X676" s="19"/>
    </row>
    <row r="677" spans="1:24" ht="12" customHeight="1">
      <c r="A677" s="19"/>
      <c r="B677" s="19"/>
      <c r="C677" s="19"/>
      <c r="D677" s="19"/>
      <c r="E677" s="19"/>
      <c r="F677" s="19"/>
      <c r="G677" s="19"/>
      <c r="H677" s="19"/>
      <c r="I677" s="19"/>
      <c r="J677" s="19"/>
      <c r="K677" s="19"/>
      <c r="L677" s="19"/>
      <c r="M677" s="19"/>
      <c r="N677" s="19"/>
      <c r="O677" s="19"/>
      <c r="P677" s="19"/>
      <c r="Q677" s="19"/>
      <c r="R677" s="19"/>
      <c r="S677" s="19"/>
      <c r="T677" s="19"/>
      <c r="U677" s="19"/>
      <c r="V677" s="19"/>
      <c r="W677" s="19"/>
      <c r="X677" s="19"/>
    </row>
    <row r="678" spans="1:24" ht="12" customHeight="1">
      <c r="A678" s="19"/>
      <c r="B678" s="19"/>
      <c r="C678" s="19"/>
      <c r="D678" s="19"/>
      <c r="E678" s="19"/>
      <c r="F678" s="19"/>
      <c r="G678" s="19"/>
      <c r="H678" s="19"/>
      <c r="I678" s="19"/>
      <c r="J678" s="19"/>
      <c r="K678" s="19"/>
      <c r="L678" s="19"/>
      <c r="M678" s="19"/>
      <c r="N678" s="19"/>
      <c r="O678" s="19"/>
      <c r="P678" s="19"/>
      <c r="Q678" s="19"/>
      <c r="R678" s="19"/>
      <c r="S678" s="19"/>
      <c r="T678" s="19"/>
      <c r="U678" s="19"/>
      <c r="V678" s="19"/>
      <c r="W678" s="19"/>
      <c r="X678" s="19"/>
    </row>
    <row r="679" spans="1:24" ht="12" customHeight="1">
      <c r="A679" s="19"/>
      <c r="B679" s="19"/>
      <c r="C679" s="19"/>
      <c r="D679" s="19"/>
      <c r="E679" s="19"/>
      <c r="F679" s="19"/>
      <c r="G679" s="19"/>
      <c r="H679" s="19"/>
      <c r="I679" s="19"/>
      <c r="J679" s="19"/>
      <c r="K679" s="19"/>
      <c r="L679" s="19"/>
      <c r="M679" s="19"/>
      <c r="N679" s="19"/>
      <c r="O679" s="19"/>
      <c r="P679" s="19"/>
      <c r="Q679" s="19"/>
      <c r="R679" s="19"/>
      <c r="S679" s="19"/>
      <c r="T679" s="19"/>
      <c r="U679" s="19"/>
      <c r="V679" s="19"/>
      <c r="W679" s="19"/>
      <c r="X679" s="19"/>
    </row>
    <row r="680" spans="1:24" ht="12" customHeight="1">
      <c r="A680" s="19"/>
      <c r="B680" s="19"/>
      <c r="C680" s="19"/>
      <c r="D680" s="19"/>
      <c r="E680" s="19"/>
      <c r="F680" s="19"/>
      <c r="G680" s="19"/>
      <c r="H680" s="19"/>
      <c r="I680" s="19"/>
      <c r="J680" s="19"/>
      <c r="K680" s="19"/>
      <c r="L680" s="19"/>
      <c r="M680" s="19"/>
      <c r="N680" s="19"/>
      <c r="O680" s="19"/>
      <c r="P680" s="19"/>
      <c r="Q680" s="19"/>
      <c r="R680" s="19"/>
      <c r="S680" s="19"/>
      <c r="T680" s="19"/>
      <c r="U680" s="19"/>
      <c r="V680" s="19"/>
      <c r="W680" s="19"/>
      <c r="X680" s="19"/>
    </row>
    <row r="681" spans="1:24" ht="12" customHeight="1">
      <c r="A681" s="19"/>
      <c r="B681" s="19"/>
      <c r="C681" s="19"/>
      <c r="D681" s="19"/>
      <c r="E681" s="19"/>
      <c r="F681" s="19"/>
      <c r="G681" s="19"/>
      <c r="H681" s="19"/>
      <c r="I681" s="19"/>
      <c r="J681" s="19"/>
      <c r="K681" s="19"/>
      <c r="L681" s="19"/>
      <c r="M681" s="19"/>
      <c r="N681" s="19"/>
      <c r="O681" s="19"/>
      <c r="P681" s="19"/>
      <c r="Q681" s="19"/>
      <c r="R681" s="19"/>
      <c r="S681" s="19"/>
      <c r="T681" s="19"/>
      <c r="U681" s="19"/>
      <c r="V681" s="19"/>
      <c r="W681" s="19"/>
      <c r="X681" s="19"/>
    </row>
    <row r="682" spans="1:24" ht="12" customHeight="1">
      <c r="A682" s="19"/>
      <c r="B682" s="19"/>
      <c r="C682" s="19"/>
      <c r="D682" s="19"/>
      <c r="E682" s="19"/>
      <c r="F682" s="19"/>
      <c r="G682" s="19"/>
      <c r="H682" s="19"/>
      <c r="I682" s="19"/>
      <c r="J682" s="19"/>
      <c r="K682" s="19"/>
      <c r="L682" s="19"/>
      <c r="M682" s="19"/>
      <c r="N682" s="19"/>
      <c r="O682" s="19"/>
      <c r="P682" s="19"/>
      <c r="Q682" s="19"/>
      <c r="R682" s="19"/>
      <c r="S682" s="19"/>
      <c r="T682" s="19"/>
      <c r="U682" s="19"/>
      <c r="V682" s="19"/>
      <c r="W682" s="19"/>
      <c r="X682" s="19"/>
    </row>
    <row r="683" spans="1:24" ht="12" customHeight="1">
      <c r="A683" s="19"/>
      <c r="B683" s="19"/>
      <c r="C683" s="19"/>
      <c r="D683" s="19"/>
      <c r="E683" s="19"/>
      <c r="F683" s="19"/>
      <c r="G683" s="19"/>
      <c r="H683" s="19"/>
      <c r="I683" s="19"/>
      <c r="J683" s="19"/>
      <c r="K683" s="19"/>
      <c r="L683" s="19"/>
      <c r="M683" s="19"/>
      <c r="N683" s="19"/>
      <c r="O683" s="19"/>
      <c r="P683" s="19"/>
      <c r="Q683" s="19"/>
      <c r="R683" s="19"/>
      <c r="S683" s="19"/>
      <c r="T683" s="19"/>
      <c r="U683" s="19"/>
      <c r="V683" s="19"/>
      <c r="W683" s="19"/>
      <c r="X683" s="19"/>
    </row>
    <row r="684" spans="1:24" ht="12" customHeight="1">
      <c r="A684" s="19"/>
      <c r="B684" s="19"/>
      <c r="C684" s="19"/>
      <c r="D684" s="19"/>
      <c r="E684" s="19"/>
      <c r="F684" s="19"/>
      <c r="G684" s="19"/>
      <c r="H684" s="19"/>
      <c r="I684" s="19"/>
      <c r="J684" s="19"/>
      <c r="K684" s="19"/>
      <c r="L684" s="19"/>
      <c r="M684" s="19"/>
      <c r="N684" s="19"/>
      <c r="O684" s="19"/>
      <c r="P684" s="19"/>
      <c r="Q684" s="19"/>
      <c r="R684" s="19"/>
      <c r="S684" s="19"/>
      <c r="T684" s="19"/>
      <c r="U684" s="19"/>
      <c r="V684" s="19"/>
      <c r="W684" s="19"/>
      <c r="X684" s="19"/>
    </row>
    <row r="685" spans="1:24" ht="12" customHeight="1">
      <c r="A685" s="19"/>
      <c r="B685" s="19"/>
      <c r="C685" s="19"/>
      <c r="D685" s="19"/>
      <c r="E685" s="19"/>
      <c r="F685" s="19"/>
      <c r="G685" s="19"/>
      <c r="H685" s="19"/>
      <c r="I685" s="19"/>
      <c r="J685" s="19"/>
      <c r="K685" s="19"/>
      <c r="L685" s="19"/>
      <c r="M685" s="19"/>
      <c r="N685" s="19"/>
      <c r="O685" s="19"/>
      <c r="P685" s="19"/>
      <c r="Q685" s="19"/>
      <c r="R685" s="19"/>
      <c r="S685" s="19"/>
      <c r="T685" s="19"/>
      <c r="U685" s="19"/>
      <c r="V685" s="19"/>
      <c r="W685" s="19"/>
      <c r="X685" s="19"/>
    </row>
    <row r="686" spans="1:24" ht="12" customHeight="1">
      <c r="A686" s="19"/>
      <c r="B686" s="19"/>
      <c r="C686" s="19"/>
      <c r="D686" s="19"/>
      <c r="E686" s="19"/>
      <c r="F686" s="19"/>
      <c r="G686" s="19"/>
      <c r="H686" s="19"/>
      <c r="I686" s="19"/>
      <c r="J686" s="19"/>
      <c r="K686" s="19"/>
      <c r="L686" s="19"/>
      <c r="M686" s="19"/>
      <c r="N686" s="19"/>
      <c r="O686" s="19"/>
      <c r="P686" s="19"/>
      <c r="Q686" s="19"/>
      <c r="R686" s="19"/>
      <c r="S686" s="19"/>
      <c r="T686" s="19"/>
      <c r="U686" s="19"/>
      <c r="V686" s="19"/>
      <c r="W686" s="19"/>
      <c r="X686" s="19"/>
    </row>
    <row r="687" spans="1:24" ht="12" customHeight="1">
      <c r="A687" s="19"/>
      <c r="B687" s="19"/>
      <c r="C687" s="19"/>
      <c r="D687" s="19"/>
      <c r="E687" s="19"/>
      <c r="F687" s="19"/>
      <c r="G687" s="19"/>
      <c r="H687" s="19"/>
      <c r="I687" s="19"/>
      <c r="J687" s="19"/>
      <c r="K687" s="19"/>
      <c r="L687" s="19"/>
      <c r="M687" s="19"/>
      <c r="N687" s="19"/>
      <c r="O687" s="19"/>
      <c r="P687" s="19"/>
      <c r="Q687" s="19"/>
      <c r="R687" s="19"/>
      <c r="S687" s="19"/>
      <c r="T687" s="19"/>
      <c r="U687" s="19"/>
      <c r="V687" s="19"/>
      <c r="W687" s="19"/>
      <c r="X687" s="19"/>
    </row>
    <row r="688" spans="1:24" ht="12" customHeight="1">
      <c r="A688" s="19"/>
      <c r="B688" s="19"/>
      <c r="C688" s="19"/>
      <c r="D688" s="19"/>
      <c r="E688" s="19"/>
      <c r="F688" s="19"/>
      <c r="G688" s="19"/>
      <c r="H688" s="19"/>
      <c r="I688" s="19"/>
      <c r="J688" s="19"/>
      <c r="K688" s="19"/>
      <c r="L688" s="19"/>
      <c r="M688" s="19"/>
      <c r="N688" s="19"/>
      <c r="O688" s="19"/>
      <c r="P688" s="19"/>
      <c r="Q688" s="19"/>
      <c r="R688" s="19"/>
      <c r="S688" s="19"/>
      <c r="T688" s="19"/>
      <c r="U688" s="19"/>
      <c r="V688" s="19"/>
      <c r="W688" s="19"/>
      <c r="X688" s="19"/>
    </row>
    <row r="689" spans="1:24" ht="12" customHeight="1">
      <c r="A689" s="19"/>
      <c r="B689" s="19"/>
      <c r="C689" s="19"/>
      <c r="D689" s="19"/>
      <c r="E689" s="19"/>
      <c r="F689" s="19"/>
      <c r="G689" s="19"/>
      <c r="H689" s="19"/>
      <c r="I689" s="19"/>
      <c r="J689" s="19"/>
      <c r="K689" s="19"/>
      <c r="L689" s="19"/>
      <c r="M689" s="19"/>
      <c r="N689" s="19"/>
      <c r="O689" s="19"/>
      <c r="P689" s="19"/>
      <c r="Q689" s="19"/>
      <c r="R689" s="19"/>
      <c r="S689" s="19"/>
      <c r="T689" s="19"/>
      <c r="U689" s="19"/>
      <c r="V689" s="19"/>
      <c r="W689" s="19"/>
      <c r="X689" s="19"/>
    </row>
    <row r="690" spans="1:24" ht="12" customHeight="1">
      <c r="A690" s="19"/>
      <c r="B690" s="19"/>
      <c r="C690" s="19"/>
      <c r="D690" s="19"/>
      <c r="E690" s="19"/>
      <c r="F690" s="19"/>
      <c r="G690" s="19"/>
      <c r="H690" s="19"/>
      <c r="I690" s="19"/>
      <c r="J690" s="19"/>
      <c r="K690" s="19"/>
      <c r="L690" s="19"/>
      <c r="M690" s="19"/>
      <c r="N690" s="19"/>
      <c r="O690" s="19"/>
      <c r="P690" s="19"/>
      <c r="Q690" s="19"/>
      <c r="R690" s="19"/>
      <c r="S690" s="19"/>
      <c r="T690" s="19"/>
      <c r="U690" s="19"/>
      <c r="V690" s="19"/>
      <c r="W690" s="19"/>
      <c r="X690" s="19"/>
    </row>
    <row r="691" spans="1:24" ht="12" customHeight="1">
      <c r="A691" s="19"/>
      <c r="B691" s="19"/>
      <c r="C691" s="19"/>
      <c r="D691" s="19"/>
      <c r="E691" s="19"/>
      <c r="F691" s="19"/>
      <c r="G691" s="19"/>
      <c r="H691" s="19"/>
      <c r="I691" s="19"/>
      <c r="J691" s="19"/>
      <c r="K691" s="19"/>
      <c r="L691" s="19"/>
      <c r="M691" s="19"/>
      <c r="N691" s="19"/>
      <c r="O691" s="19"/>
      <c r="P691" s="19"/>
      <c r="Q691" s="19"/>
      <c r="R691" s="19"/>
      <c r="S691" s="19"/>
      <c r="T691" s="19"/>
      <c r="U691" s="19"/>
      <c r="V691" s="19"/>
      <c r="W691" s="19"/>
      <c r="X691" s="19"/>
    </row>
    <row r="692" spans="1:24" ht="12" customHeight="1">
      <c r="A692" s="19"/>
      <c r="B692" s="19"/>
      <c r="C692" s="19"/>
      <c r="D692" s="19"/>
      <c r="E692" s="19"/>
      <c r="F692" s="19"/>
      <c r="G692" s="19"/>
      <c r="H692" s="19"/>
      <c r="I692" s="19"/>
      <c r="J692" s="19"/>
      <c r="K692" s="19"/>
      <c r="L692" s="19"/>
      <c r="M692" s="19"/>
      <c r="N692" s="19"/>
      <c r="O692" s="19"/>
      <c r="P692" s="19"/>
      <c r="Q692" s="19"/>
      <c r="R692" s="19"/>
      <c r="S692" s="19"/>
      <c r="T692" s="19"/>
      <c r="U692" s="19"/>
      <c r="V692" s="19"/>
      <c r="W692" s="19"/>
      <c r="X692" s="19"/>
    </row>
    <row r="693" spans="1:24" ht="12" customHeight="1">
      <c r="A693" s="19"/>
      <c r="B693" s="19"/>
      <c r="C693" s="19"/>
      <c r="D693" s="19"/>
      <c r="E693" s="19"/>
      <c r="F693" s="19"/>
      <c r="G693" s="19"/>
      <c r="H693" s="19"/>
      <c r="I693" s="19"/>
      <c r="J693" s="19"/>
      <c r="K693" s="19"/>
      <c r="L693" s="19"/>
      <c r="M693" s="19"/>
      <c r="N693" s="19"/>
      <c r="O693" s="19"/>
      <c r="P693" s="19"/>
      <c r="Q693" s="19"/>
      <c r="R693" s="19"/>
      <c r="S693" s="19"/>
      <c r="T693" s="19"/>
      <c r="U693" s="19"/>
      <c r="V693" s="19"/>
      <c r="W693" s="19"/>
      <c r="X693" s="19"/>
    </row>
    <row r="694" spans="1:24" ht="12" customHeight="1">
      <c r="A694" s="19"/>
      <c r="B694" s="19"/>
      <c r="C694" s="19"/>
      <c r="D694" s="19"/>
      <c r="E694" s="19"/>
      <c r="F694" s="19"/>
      <c r="G694" s="19"/>
      <c r="H694" s="19"/>
      <c r="I694" s="19"/>
      <c r="J694" s="19"/>
      <c r="K694" s="19"/>
      <c r="L694" s="19"/>
      <c r="M694" s="19"/>
      <c r="N694" s="19"/>
      <c r="O694" s="19"/>
      <c r="P694" s="19"/>
      <c r="Q694" s="19"/>
      <c r="R694" s="19"/>
      <c r="S694" s="19"/>
      <c r="T694" s="19"/>
      <c r="U694" s="19"/>
      <c r="V694" s="19"/>
      <c r="W694" s="19"/>
      <c r="X694" s="19"/>
    </row>
    <row r="695" spans="1:24" ht="12" customHeight="1">
      <c r="A695" s="19"/>
      <c r="B695" s="19"/>
      <c r="C695" s="19"/>
      <c r="D695" s="19"/>
      <c r="E695" s="19"/>
      <c r="F695" s="19"/>
      <c r="G695" s="19"/>
      <c r="H695" s="19"/>
      <c r="I695" s="19"/>
      <c r="J695" s="19"/>
      <c r="K695" s="19"/>
      <c r="L695" s="19"/>
      <c r="M695" s="19"/>
      <c r="N695" s="19"/>
      <c r="O695" s="19"/>
      <c r="P695" s="19"/>
      <c r="Q695" s="19"/>
      <c r="R695" s="19"/>
      <c r="S695" s="19"/>
      <c r="T695" s="19"/>
      <c r="U695" s="19"/>
      <c r="V695" s="19"/>
      <c r="W695" s="19"/>
      <c r="X695" s="19"/>
    </row>
    <row r="696" spans="1:24" ht="12" customHeight="1">
      <c r="A696" s="19"/>
      <c r="B696" s="19"/>
      <c r="C696" s="19"/>
      <c r="D696" s="19"/>
      <c r="E696" s="19"/>
      <c r="F696" s="19"/>
      <c r="G696" s="19"/>
      <c r="H696" s="19"/>
      <c r="I696" s="19"/>
      <c r="J696" s="19"/>
      <c r="K696" s="19"/>
      <c r="L696" s="19"/>
      <c r="M696" s="19"/>
      <c r="N696" s="19"/>
      <c r="O696" s="19"/>
      <c r="P696" s="19"/>
      <c r="Q696" s="19"/>
      <c r="R696" s="19"/>
      <c r="S696" s="19"/>
      <c r="T696" s="19"/>
      <c r="U696" s="19"/>
      <c r="V696" s="19"/>
      <c r="W696" s="19"/>
      <c r="X696" s="19"/>
    </row>
    <row r="697" spans="1:24" ht="12" customHeight="1">
      <c r="A697" s="19"/>
      <c r="B697" s="19"/>
      <c r="C697" s="19"/>
      <c r="D697" s="19"/>
      <c r="E697" s="19"/>
      <c r="F697" s="19"/>
      <c r="G697" s="19"/>
      <c r="H697" s="19"/>
      <c r="I697" s="19"/>
      <c r="J697" s="19"/>
      <c r="K697" s="19"/>
      <c r="L697" s="19"/>
      <c r="M697" s="19"/>
      <c r="N697" s="19"/>
      <c r="O697" s="19"/>
      <c r="P697" s="19"/>
      <c r="Q697" s="19"/>
      <c r="R697" s="19"/>
      <c r="S697" s="19"/>
      <c r="T697" s="19"/>
      <c r="U697" s="19"/>
      <c r="V697" s="19"/>
      <c r="W697" s="19"/>
      <c r="X697" s="19"/>
    </row>
    <row r="698" spans="1:24" ht="12" customHeight="1">
      <c r="A698" s="19"/>
      <c r="B698" s="19"/>
      <c r="C698" s="19"/>
      <c r="D698" s="19"/>
      <c r="E698" s="19"/>
      <c r="F698" s="19"/>
      <c r="G698" s="19"/>
      <c r="H698" s="19"/>
      <c r="I698" s="19"/>
      <c r="J698" s="19"/>
      <c r="K698" s="19"/>
      <c r="L698" s="19"/>
      <c r="M698" s="19"/>
      <c r="N698" s="19"/>
      <c r="O698" s="19"/>
      <c r="P698" s="19"/>
      <c r="Q698" s="19"/>
      <c r="R698" s="19"/>
      <c r="S698" s="19"/>
      <c r="T698" s="19"/>
      <c r="U698" s="19"/>
      <c r="V698" s="19"/>
      <c r="W698" s="19"/>
      <c r="X698" s="19"/>
    </row>
    <row r="699" spans="1:24" ht="12" customHeight="1">
      <c r="A699" s="19"/>
      <c r="B699" s="19"/>
      <c r="C699" s="19"/>
      <c r="D699" s="19"/>
      <c r="E699" s="19"/>
      <c r="F699" s="19"/>
      <c r="G699" s="19"/>
      <c r="H699" s="19"/>
      <c r="I699" s="19"/>
      <c r="J699" s="19"/>
      <c r="K699" s="19"/>
      <c r="L699" s="19"/>
      <c r="M699" s="19"/>
      <c r="N699" s="19"/>
      <c r="O699" s="19"/>
      <c r="P699" s="19"/>
      <c r="Q699" s="19"/>
      <c r="R699" s="19"/>
      <c r="S699" s="19"/>
      <c r="T699" s="19"/>
      <c r="U699" s="19"/>
      <c r="V699" s="19"/>
      <c r="W699" s="19"/>
      <c r="X699" s="19"/>
    </row>
    <row r="700" spans="1:24" ht="12" customHeight="1">
      <c r="A700" s="19"/>
      <c r="B700" s="19"/>
      <c r="C700" s="19"/>
      <c r="D700" s="19"/>
      <c r="E700" s="19"/>
      <c r="F700" s="19"/>
      <c r="G700" s="19"/>
      <c r="H700" s="19"/>
      <c r="I700" s="19"/>
      <c r="J700" s="19"/>
      <c r="K700" s="19"/>
      <c r="L700" s="19"/>
      <c r="M700" s="19"/>
      <c r="N700" s="19"/>
      <c r="O700" s="19"/>
      <c r="P700" s="19"/>
      <c r="Q700" s="19"/>
      <c r="R700" s="19"/>
      <c r="S700" s="19"/>
      <c r="T700" s="19"/>
      <c r="U700" s="19"/>
      <c r="V700" s="19"/>
      <c r="W700" s="19"/>
      <c r="X700" s="19"/>
    </row>
    <row r="701" spans="1:24" ht="12" customHeight="1">
      <c r="A701" s="19"/>
      <c r="B701" s="19"/>
      <c r="C701" s="19"/>
      <c r="D701" s="19"/>
      <c r="E701" s="19"/>
      <c r="F701" s="19"/>
      <c r="G701" s="19"/>
      <c r="H701" s="19"/>
      <c r="I701" s="19"/>
      <c r="J701" s="19"/>
      <c r="K701" s="19"/>
      <c r="L701" s="19"/>
      <c r="M701" s="19"/>
      <c r="N701" s="19"/>
      <c r="O701" s="19"/>
      <c r="P701" s="19"/>
      <c r="Q701" s="19"/>
      <c r="R701" s="19"/>
      <c r="S701" s="19"/>
      <c r="T701" s="19"/>
      <c r="U701" s="19"/>
      <c r="V701" s="19"/>
      <c r="W701" s="19"/>
      <c r="X701" s="19"/>
    </row>
    <row r="702" spans="1:24" ht="12" customHeight="1">
      <c r="A702" s="19"/>
      <c r="B702" s="19"/>
      <c r="C702" s="19"/>
      <c r="D702" s="19"/>
      <c r="E702" s="19"/>
      <c r="F702" s="19"/>
      <c r="G702" s="19"/>
      <c r="H702" s="19"/>
      <c r="I702" s="19"/>
      <c r="J702" s="19"/>
      <c r="K702" s="19"/>
      <c r="L702" s="19"/>
      <c r="M702" s="19"/>
      <c r="N702" s="19"/>
      <c r="O702" s="19"/>
      <c r="P702" s="19"/>
      <c r="Q702" s="19"/>
      <c r="R702" s="19"/>
      <c r="S702" s="19"/>
      <c r="T702" s="19"/>
      <c r="U702" s="19"/>
      <c r="V702" s="19"/>
      <c r="W702" s="19"/>
      <c r="X702" s="19"/>
    </row>
    <row r="703" spans="1:24" ht="12" customHeight="1">
      <c r="A703" s="19"/>
      <c r="B703" s="19"/>
      <c r="C703" s="19"/>
      <c r="D703" s="19"/>
      <c r="E703" s="19"/>
      <c r="F703" s="19"/>
      <c r="G703" s="19"/>
      <c r="H703" s="19"/>
      <c r="I703" s="19"/>
      <c r="J703" s="19"/>
      <c r="K703" s="19"/>
      <c r="L703" s="19"/>
      <c r="M703" s="19"/>
      <c r="N703" s="19"/>
      <c r="O703" s="19"/>
      <c r="P703" s="19"/>
      <c r="Q703" s="19"/>
      <c r="R703" s="19"/>
      <c r="S703" s="19"/>
      <c r="T703" s="19"/>
      <c r="U703" s="19"/>
      <c r="V703" s="19"/>
      <c r="W703" s="19"/>
      <c r="X703" s="19"/>
    </row>
    <row r="704" spans="1:24" ht="12" customHeight="1">
      <c r="A704" s="19"/>
      <c r="B704" s="19"/>
      <c r="C704" s="19"/>
      <c r="D704" s="19"/>
      <c r="E704" s="19"/>
      <c r="F704" s="19"/>
      <c r="G704" s="19"/>
      <c r="H704" s="19"/>
      <c r="I704" s="19"/>
      <c r="J704" s="19"/>
      <c r="K704" s="19"/>
      <c r="L704" s="19"/>
      <c r="M704" s="19"/>
      <c r="N704" s="19"/>
      <c r="O704" s="19"/>
      <c r="P704" s="19"/>
      <c r="Q704" s="19"/>
      <c r="R704" s="19"/>
      <c r="S704" s="19"/>
      <c r="T704" s="19"/>
      <c r="U704" s="19"/>
      <c r="V704" s="19"/>
      <c r="W704" s="19"/>
      <c r="X704" s="19"/>
    </row>
    <row r="705" spans="1:24" ht="12" customHeight="1">
      <c r="A705" s="19"/>
      <c r="B705" s="19"/>
      <c r="C705" s="19"/>
      <c r="D705" s="19"/>
      <c r="E705" s="19"/>
      <c r="F705" s="19"/>
      <c r="G705" s="19"/>
      <c r="H705" s="19"/>
      <c r="I705" s="19"/>
      <c r="J705" s="19"/>
      <c r="K705" s="19"/>
      <c r="L705" s="19"/>
      <c r="M705" s="19"/>
      <c r="N705" s="19"/>
      <c r="O705" s="19"/>
      <c r="P705" s="19"/>
      <c r="Q705" s="19"/>
      <c r="R705" s="19"/>
      <c r="S705" s="19"/>
      <c r="T705" s="19"/>
      <c r="U705" s="19"/>
      <c r="V705" s="19"/>
      <c r="W705" s="19"/>
      <c r="X705" s="19"/>
    </row>
    <row r="706" spans="1:24" ht="12" customHeight="1">
      <c r="A706" s="19"/>
      <c r="B706" s="19"/>
      <c r="C706" s="19"/>
      <c r="D706" s="19"/>
      <c r="E706" s="19"/>
      <c r="F706" s="19"/>
      <c r="G706" s="19"/>
      <c r="H706" s="19"/>
      <c r="I706" s="19"/>
      <c r="J706" s="19"/>
      <c r="K706" s="19"/>
      <c r="L706" s="19"/>
      <c r="M706" s="19"/>
      <c r="N706" s="19"/>
      <c r="O706" s="19"/>
      <c r="P706" s="19"/>
      <c r="Q706" s="19"/>
      <c r="R706" s="19"/>
      <c r="S706" s="19"/>
      <c r="T706" s="19"/>
      <c r="U706" s="19"/>
      <c r="V706" s="19"/>
      <c r="W706" s="19"/>
      <c r="X706" s="19"/>
    </row>
    <row r="707" spans="1:24" ht="12" customHeight="1">
      <c r="A707" s="19"/>
      <c r="B707" s="19"/>
      <c r="C707" s="19"/>
      <c r="D707" s="19"/>
      <c r="E707" s="19"/>
      <c r="F707" s="19"/>
      <c r="G707" s="19"/>
      <c r="H707" s="19"/>
      <c r="I707" s="19"/>
      <c r="J707" s="19"/>
      <c r="K707" s="19"/>
      <c r="L707" s="19"/>
      <c r="M707" s="19"/>
      <c r="N707" s="19"/>
      <c r="O707" s="19"/>
      <c r="P707" s="19"/>
      <c r="Q707" s="19"/>
      <c r="R707" s="19"/>
      <c r="S707" s="19"/>
      <c r="T707" s="19"/>
      <c r="U707" s="19"/>
      <c r="V707" s="19"/>
      <c r="W707" s="19"/>
      <c r="X707" s="19"/>
    </row>
    <row r="708" spans="1:24" ht="12" customHeight="1">
      <c r="A708" s="19"/>
      <c r="B708" s="19"/>
      <c r="C708" s="19"/>
      <c r="D708" s="19"/>
      <c r="E708" s="19"/>
      <c r="F708" s="19"/>
      <c r="G708" s="19"/>
      <c r="H708" s="19"/>
      <c r="I708" s="19"/>
      <c r="J708" s="19"/>
      <c r="K708" s="19"/>
      <c r="L708" s="19"/>
      <c r="M708" s="19"/>
      <c r="N708" s="19"/>
      <c r="O708" s="19"/>
      <c r="P708" s="19"/>
      <c r="Q708" s="19"/>
      <c r="R708" s="19"/>
      <c r="S708" s="19"/>
      <c r="T708" s="19"/>
      <c r="U708" s="19"/>
      <c r="V708" s="19"/>
      <c r="W708" s="19"/>
      <c r="X708" s="19"/>
    </row>
    <row r="709" spans="1:24" ht="12" customHeight="1">
      <c r="A709" s="19"/>
      <c r="B709" s="19"/>
      <c r="C709" s="19"/>
      <c r="D709" s="19"/>
      <c r="E709" s="19"/>
      <c r="F709" s="19"/>
      <c r="G709" s="19"/>
      <c r="H709" s="19"/>
      <c r="I709" s="19"/>
      <c r="J709" s="19"/>
      <c r="K709" s="19"/>
      <c r="L709" s="19"/>
      <c r="M709" s="19"/>
      <c r="N709" s="19"/>
      <c r="O709" s="19"/>
      <c r="P709" s="19"/>
      <c r="Q709" s="19"/>
      <c r="R709" s="19"/>
      <c r="S709" s="19"/>
      <c r="T709" s="19"/>
      <c r="U709" s="19"/>
      <c r="V709" s="19"/>
      <c r="W709" s="19"/>
      <c r="X709" s="19"/>
    </row>
    <row r="710" spans="1:24" ht="12" customHeight="1">
      <c r="A710" s="19"/>
      <c r="B710" s="19"/>
      <c r="C710" s="19"/>
      <c r="D710" s="19"/>
      <c r="E710" s="19"/>
      <c r="F710" s="19"/>
      <c r="G710" s="19"/>
      <c r="H710" s="19"/>
      <c r="I710" s="19"/>
      <c r="J710" s="19"/>
      <c r="K710" s="19"/>
      <c r="L710" s="19"/>
      <c r="M710" s="19"/>
      <c r="N710" s="19"/>
      <c r="O710" s="19"/>
      <c r="P710" s="19"/>
      <c r="Q710" s="19"/>
      <c r="R710" s="19"/>
      <c r="S710" s="19"/>
      <c r="T710" s="19"/>
      <c r="U710" s="19"/>
      <c r="V710" s="19"/>
      <c r="W710" s="19"/>
      <c r="X710" s="19"/>
    </row>
    <row r="711" spans="1:24" ht="12" customHeight="1">
      <c r="A711" s="19"/>
      <c r="B711" s="19"/>
      <c r="C711" s="19"/>
      <c r="D711" s="19"/>
      <c r="E711" s="19"/>
      <c r="F711" s="19"/>
      <c r="G711" s="19"/>
      <c r="H711" s="19"/>
      <c r="I711" s="19"/>
      <c r="J711" s="19"/>
      <c r="K711" s="19"/>
      <c r="L711" s="19"/>
      <c r="M711" s="19"/>
      <c r="N711" s="19"/>
      <c r="O711" s="19"/>
      <c r="P711" s="19"/>
      <c r="Q711" s="19"/>
      <c r="R711" s="19"/>
      <c r="S711" s="19"/>
      <c r="T711" s="19"/>
      <c r="U711" s="19"/>
      <c r="V711" s="19"/>
      <c r="W711" s="19"/>
      <c r="X711" s="19"/>
    </row>
    <row r="712" spans="1:24" ht="12" customHeight="1">
      <c r="A712" s="19"/>
      <c r="B712" s="19"/>
      <c r="C712" s="19"/>
      <c r="D712" s="19"/>
      <c r="E712" s="19"/>
      <c r="F712" s="19"/>
      <c r="G712" s="19"/>
      <c r="H712" s="19"/>
      <c r="I712" s="19"/>
      <c r="J712" s="19"/>
      <c r="K712" s="19"/>
      <c r="L712" s="19"/>
      <c r="M712" s="19"/>
      <c r="N712" s="19"/>
      <c r="O712" s="19"/>
      <c r="P712" s="19"/>
      <c r="Q712" s="19"/>
      <c r="R712" s="19"/>
      <c r="S712" s="19"/>
      <c r="T712" s="19"/>
      <c r="U712" s="19"/>
      <c r="V712" s="19"/>
      <c r="W712" s="19"/>
      <c r="X712" s="19"/>
    </row>
    <row r="713" spans="1:24" ht="12" customHeight="1">
      <c r="A713" s="19"/>
      <c r="B713" s="19"/>
      <c r="C713" s="19"/>
      <c r="D713" s="19"/>
      <c r="E713" s="19"/>
      <c r="F713" s="19"/>
      <c r="G713" s="19"/>
      <c r="H713" s="19"/>
      <c r="I713" s="19"/>
      <c r="J713" s="19"/>
      <c r="K713" s="19"/>
      <c r="L713" s="19"/>
      <c r="M713" s="19"/>
      <c r="N713" s="19"/>
      <c r="O713" s="19"/>
      <c r="P713" s="19"/>
      <c r="Q713" s="19"/>
      <c r="R713" s="19"/>
      <c r="S713" s="19"/>
      <c r="T713" s="19"/>
      <c r="U713" s="19"/>
      <c r="V713" s="19"/>
      <c r="W713" s="19"/>
      <c r="X713" s="19"/>
    </row>
    <row r="714" spans="1:24" ht="12" customHeight="1">
      <c r="A714" s="19"/>
      <c r="B714" s="19"/>
      <c r="C714" s="19"/>
      <c r="D714" s="19"/>
      <c r="E714" s="19"/>
      <c r="F714" s="19"/>
      <c r="G714" s="19"/>
      <c r="H714" s="19"/>
      <c r="I714" s="19"/>
      <c r="J714" s="19"/>
      <c r="K714" s="19"/>
      <c r="L714" s="19"/>
      <c r="M714" s="19"/>
      <c r="N714" s="19"/>
      <c r="O714" s="19"/>
      <c r="P714" s="19"/>
      <c r="Q714" s="19"/>
      <c r="R714" s="19"/>
      <c r="S714" s="19"/>
      <c r="T714" s="19"/>
      <c r="U714" s="19"/>
      <c r="V714" s="19"/>
      <c r="W714" s="19"/>
      <c r="X714" s="19"/>
    </row>
    <row r="715" spans="1:24" ht="12" customHeight="1">
      <c r="A715" s="19"/>
      <c r="B715" s="19"/>
      <c r="C715" s="19"/>
      <c r="D715" s="19"/>
      <c r="E715" s="19"/>
      <c r="F715" s="19"/>
      <c r="G715" s="19"/>
      <c r="H715" s="19"/>
      <c r="I715" s="19"/>
      <c r="J715" s="19"/>
      <c r="K715" s="19"/>
      <c r="L715" s="19"/>
      <c r="M715" s="19"/>
      <c r="N715" s="19"/>
      <c r="O715" s="19"/>
      <c r="P715" s="19"/>
      <c r="Q715" s="19"/>
      <c r="R715" s="19"/>
      <c r="S715" s="19"/>
      <c r="T715" s="19"/>
      <c r="U715" s="19"/>
      <c r="V715" s="19"/>
      <c r="W715" s="19"/>
      <c r="X715" s="19"/>
    </row>
    <row r="716" spans="1:24" ht="12" customHeight="1">
      <c r="A716" s="19"/>
      <c r="B716" s="19"/>
      <c r="C716" s="19"/>
      <c r="D716" s="19"/>
      <c r="E716" s="19"/>
      <c r="F716" s="19"/>
      <c r="G716" s="19"/>
      <c r="H716" s="19"/>
      <c r="I716" s="19"/>
      <c r="J716" s="19"/>
      <c r="K716" s="19"/>
      <c r="L716" s="19"/>
      <c r="M716" s="19"/>
      <c r="N716" s="19"/>
      <c r="O716" s="19"/>
      <c r="P716" s="19"/>
      <c r="Q716" s="19"/>
      <c r="R716" s="19"/>
      <c r="S716" s="19"/>
      <c r="T716" s="19"/>
      <c r="U716" s="19"/>
      <c r="V716" s="19"/>
      <c r="W716" s="19"/>
      <c r="X716" s="19"/>
    </row>
    <row r="717" spans="1:24" ht="12" customHeight="1">
      <c r="A717" s="19"/>
      <c r="B717" s="19"/>
      <c r="C717" s="19"/>
      <c r="D717" s="19"/>
      <c r="E717" s="19"/>
      <c r="F717" s="19"/>
      <c r="G717" s="19"/>
      <c r="H717" s="19"/>
      <c r="I717" s="19"/>
      <c r="J717" s="19"/>
      <c r="K717" s="19"/>
      <c r="L717" s="19"/>
      <c r="M717" s="19"/>
      <c r="N717" s="19"/>
      <c r="O717" s="19"/>
      <c r="P717" s="19"/>
      <c r="Q717" s="19"/>
      <c r="R717" s="19"/>
      <c r="S717" s="19"/>
      <c r="T717" s="19"/>
      <c r="U717" s="19"/>
      <c r="V717" s="19"/>
      <c r="W717" s="19"/>
      <c r="X717" s="19"/>
    </row>
    <row r="718" spans="1:24" ht="12" customHeight="1">
      <c r="A718" s="19"/>
      <c r="B718" s="19"/>
      <c r="C718" s="19"/>
      <c r="D718" s="19"/>
      <c r="E718" s="19"/>
      <c r="F718" s="19"/>
      <c r="G718" s="19"/>
      <c r="H718" s="19"/>
      <c r="I718" s="19"/>
      <c r="J718" s="19"/>
      <c r="K718" s="19"/>
      <c r="L718" s="19"/>
      <c r="M718" s="19"/>
      <c r="N718" s="19"/>
      <c r="O718" s="19"/>
      <c r="P718" s="19"/>
      <c r="Q718" s="19"/>
      <c r="R718" s="19"/>
      <c r="S718" s="19"/>
      <c r="T718" s="19"/>
      <c r="U718" s="19"/>
      <c r="V718" s="19"/>
      <c r="W718" s="19"/>
      <c r="X718" s="19"/>
    </row>
    <row r="719" spans="1:24" ht="12" customHeight="1">
      <c r="A719" s="19"/>
      <c r="B719" s="19"/>
      <c r="C719" s="19"/>
      <c r="D719" s="19"/>
      <c r="E719" s="19"/>
      <c r="F719" s="19"/>
      <c r="G719" s="19"/>
      <c r="H719" s="19"/>
      <c r="I719" s="19"/>
      <c r="J719" s="19"/>
      <c r="K719" s="19"/>
      <c r="L719" s="19"/>
      <c r="M719" s="19"/>
      <c r="N719" s="19"/>
      <c r="O719" s="19"/>
      <c r="P719" s="19"/>
      <c r="Q719" s="19"/>
      <c r="R719" s="19"/>
      <c r="S719" s="19"/>
      <c r="T719" s="19"/>
      <c r="U719" s="19"/>
      <c r="V719" s="19"/>
      <c r="W719" s="19"/>
      <c r="X719" s="19"/>
    </row>
    <row r="720" spans="1:24" ht="12" customHeight="1">
      <c r="A720" s="19"/>
      <c r="B720" s="19"/>
      <c r="C720" s="19"/>
      <c r="D720" s="19"/>
      <c r="E720" s="19"/>
      <c r="F720" s="19"/>
      <c r="G720" s="19"/>
      <c r="H720" s="19"/>
      <c r="I720" s="19"/>
      <c r="J720" s="19"/>
      <c r="K720" s="19"/>
      <c r="L720" s="19"/>
      <c r="M720" s="19"/>
      <c r="N720" s="19"/>
      <c r="O720" s="19"/>
      <c r="P720" s="19"/>
      <c r="Q720" s="19"/>
      <c r="R720" s="19"/>
      <c r="S720" s="19"/>
      <c r="T720" s="19"/>
      <c r="U720" s="19"/>
      <c r="V720" s="19"/>
      <c r="W720" s="19"/>
      <c r="X720" s="19"/>
    </row>
    <row r="721" spans="1:24" ht="12" customHeight="1">
      <c r="A721" s="19"/>
      <c r="B721" s="19"/>
      <c r="C721" s="19"/>
      <c r="D721" s="19"/>
      <c r="E721" s="19"/>
      <c r="F721" s="19"/>
      <c r="G721" s="19"/>
      <c r="H721" s="19"/>
      <c r="I721" s="19"/>
      <c r="J721" s="19"/>
      <c r="K721" s="19"/>
      <c r="L721" s="19"/>
      <c r="M721" s="19"/>
      <c r="N721" s="19"/>
      <c r="O721" s="19"/>
      <c r="P721" s="19"/>
      <c r="Q721" s="19"/>
      <c r="R721" s="19"/>
      <c r="S721" s="19"/>
      <c r="T721" s="19"/>
      <c r="U721" s="19"/>
      <c r="V721" s="19"/>
      <c r="W721" s="19"/>
      <c r="X721" s="19"/>
    </row>
    <row r="722" spans="1:24" ht="12" customHeight="1">
      <c r="A722" s="19"/>
      <c r="B722" s="19"/>
      <c r="C722" s="19"/>
      <c r="D722" s="19"/>
      <c r="E722" s="19"/>
      <c r="F722" s="19"/>
      <c r="G722" s="19"/>
      <c r="H722" s="19"/>
      <c r="I722" s="19"/>
      <c r="J722" s="19"/>
      <c r="K722" s="19"/>
      <c r="L722" s="19"/>
      <c r="M722" s="19"/>
      <c r="N722" s="19"/>
      <c r="O722" s="19"/>
      <c r="P722" s="19"/>
      <c r="Q722" s="19"/>
      <c r="R722" s="19"/>
      <c r="S722" s="19"/>
      <c r="T722" s="19"/>
      <c r="U722" s="19"/>
      <c r="V722" s="19"/>
      <c r="W722" s="19"/>
      <c r="X722" s="19"/>
    </row>
    <row r="723" spans="1:24" ht="12" customHeight="1">
      <c r="A723" s="19"/>
      <c r="B723" s="19"/>
      <c r="C723" s="19"/>
      <c r="D723" s="19"/>
      <c r="E723" s="19"/>
      <c r="F723" s="19"/>
      <c r="G723" s="19"/>
      <c r="H723" s="19"/>
      <c r="I723" s="19"/>
      <c r="J723" s="19"/>
      <c r="K723" s="19"/>
      <c r="L723" s="19"/>
      <c r="M723" s="19"/>
      <c r="N723" s="19"/>
      <c r="O723" s="19"/>
      <c r="P723" s="19"/>
      <c r="Q723" s="19"/>
      <c r="R723" s="19"/>
      <c r="S723" s="19"/>
      <c r="T723" s="19"/>
      <c r="U723" s="19"/>
      <c r="V723" s="19"/>
      <c r="W723" s="19"/>
      <c r="X723" s="19"/>
    </row>
    <row r="724" spans="1:24" ht="12" customHeight="1">
      <c r="A724" s="19"/>
      <c r="B724" s="19"/>
      <c r="C724" s="19"/>
      <c r="D724" s="19"/>
      <c r="E724" s="19"/>
      <c r="F724" s="19"/>
      <c r="G724" s="19"/>
      <c r="H724" s="19"/>
      <c r="I724" s="19"/>
      <c r="J724" s="19"/>
      <c r="K724" s="19"/>
      <c r="L724" s="19"/>
      <c r="M724" s="19"/>
      <c r="N724" s="19"/>
      <c r="O724" s="19"/>
      <c r="P724" s="19"/>
      <c r="Q724" s="19"/>
      <c r="R724" s="19"/>
      <c r="S724" s="19"/>
      <c r="T724" s="19"/>
      <c r="U724" s="19"/>
      <c r="V724" s="19"/>
      <c r="W724" s="19"/>
      <c r="X724" s="19"/>
    </row>
    <row r="725" spans="1:24" ht="12" customHeight="1">
      <c r="A725" s="19"/>
      <c r="B725" s="19"/>
      <c r="C725" s="19"/>
      <c r="D725" s="19"/>
      <c r="E725" s="19"/>
      <c r="F725" s="19"/>
      <c r="G725" s="19"/>
      <c r="H725" s="19"/>
      <c r="I725" s="19"/>
      <c r="J725" s="19"/>
      <c r="K725" s="19"/>
      <c r="L725" s="19"/>
      <c r="M725" s="19"/>
      <c r="N725" s="19"/>
      <c r="O725" s="19"/>
      <c r="P725" s="19"/>
      <c r="Q725" s="19"/>
      <c r="R725" s="19"/>
      <c r="S725" s="19"/>
      <c r="T725" s="19"/>
      <c r="U725" s="19"/>
      <c r="V725" s="19"/>
      <c r="W725" s="19"/>
      <c r="X725" s="19"/>
    </row>
    <row r="726" spans="1:24" ht="12" customHeight="1">
      <c r="A726" s="19"/>
      <c r="B726" s="19"/>
      <c r="C726" s="19"/>
      <c r="D726" s="19"/>
      <c r="E726" s="19"/>
      <c r="F726" s="19"/>
      <c r="G726" s="19"/>
      <c r="H726" s="19"/>
      <c r="I726" s="19"/>
      <c r="J726" s="19"/>
      <c r="K726" s="19"/>
      <c r="L726" s="19"/>
      <c r="M726" s="19"/>
      <c r="N726" s="19"/>
      <c r="O726" s="19"/>
      <c r="P726" s="19"/>
      <c r="Q726" s="19"/>
      <c r="R726" s="19"/>
      <c r="S726" s="19"/>
      <c r="T726" s="19"/>
      <c r="U726" s="19"/>
      <c r="V726" s="19"/>
      <c r="W726" s="19"/>
      <c r="X726" s="19"/>
    </row>
    <row r="727" spans="1:24" ht="12" customHeight="1">
      <c r="A727" s="19"/>
      <c r="B727" s="19"/>
      <c r="C727" s="19"/>
      <c r="D727" s="19"/>
      <c r="E727" s="19"/>
      <c r="F727" s="19"/>
      <c r="G727" s="19"/>
      <c r="H727" s="19"/>
      <c r="I727" s="19"/>
      <c r="J727" s="19"/>
      <c r="K727" s="19"/>
      <c r="L727" s="19"/>
      <c r="M727" s="19"/>
      <c r="N727" s="19"/>
      <c r="O727" s="19"/>
      <c r="P727" s="19"/>
      <c r="Q727" s="19"/>
      <c r="R727" s="19"/>
      <c r="S727" s="19"/>
      <c r="T727" s="19"/>
      <c r="U727" s="19"/>
      <c r="V727" s="19"/>
      <c r="W727" s="19"/>
      <c r="X727" s="19"/>
    </row>
    <row r="728" spans="1:24" ht="12" customHeight="1">
      <c r="A728" s="19"/>
      <c r="B728" s="19"/>
      <c r="C728" s="19"/>
      <c r="D728" s="19"/>
      <c r="E728" s="19"/>
      <c r="F728" s="19"/>
      <c r="G728" s="19"/>
      <c r="H728" s="19"/>
      <c r="I728" s="19"/>
      <c r="J728" s="19"/>
      <c r="K728" s="19"/>
      <c r="L728" s="19"/>
      <c r="M728" s="19"/>
      <c r="N728" s="19"/>
      <c r="O728" s="19"/>
      <c r="P728" s="19"/>
      <c r="Q728" s="19"/>
      <c r="R728" s="19"/>
      <c r="S728" s="19"/>
      <c r="T728" s="19"/>
      <c r="U728" s="19"/>
      <c r="V728" s="19"/>
      <c r="W728" s="19"/>
      <c r="X728" s="19"/>
    </row>
    <row r="729" spans="1:24" ht="12" customHeight="1">
      <c r="A729" s="19"/>
      <c r="B729" s="19"/>
      <c r="C729" s="19"/>
      <c r="D729" s="19"/>
      <c r="E729" s="19"/>
      <c r="F729" s="19"/>
      <c r="G729" s="19"/>
      <c r="H729" s="19"/>
      <c r="I729" s="19"/>
      <c r="J729" s="19"/>
      <c r="K729" s="19"/>
      <c r="L729" s="19"/>
      <c r="M729" s="19"/>
      <c r="N729" s="19"/>
      <c r="O729" s="19"/>
      <c r="P729" s="19"/>
      <c r="Q729" s="19"/>
      <c r="R729" s="19"/>
      <c r="S729" s="19"/>
      <c r="T729" s="19"/>
      <c r="U729" s="19"/>
      <c r="V729" s="19"/>
      <c r="W729" s="19"/>
      <c r="X729" s="19"/>
    </row>
    <row r="730" spans="1:24" ht="12" customHeight="1">
      <c r="A730" s="19"/>
      <c r="B730" s="19"/>
      <c r="C730" s="19"/>
      <c r="D730" s="19"/>
      <c r="E730" s="19"/>
      <c r="F730" s="19"/>
      <c r="G730" s="19"/>
      <c r="H730" s="19"/>
      <c r="I730" s="19"/>
      <c r="J730" s="19"/>
      <c r="K730" s="19"/>
      <c r="L730" s="19"/>
      <c r="M730" s="19"/>
      <c r="N730" s="19"/>
      <c r="O730" s="19"/>
      <c r="P730" s="19"/>
      <c r="Q730" s="19"/>
      <c r="R730" s="19"/>
      <c r="S730" s="19"/>
      <c r="T730" s="19"/>
      <c r="U730" s="19"/>
      <c r="V730" s="19"/>
      <c r="W730" s="19"/>
      <c r="X730" s="19"/>
    </row>
    <row r="731" spans="1:24" ht="12" customHeight="1">
      <c r="A731" s="19"/>
      <c r="B731" s="19"/>
      <c r="C731" s="19"/>
      <c r="D731" s="19"/>
      <c r="E731" s="19"/>
      <c r="F731" s="19"/>
      <c r="G731" s="19"/>
      <c r="H731" s="19"/>
      <c r="I731" s="19"/>
      <c r="J731" s="19"/>
      <c r="K731" s="19"/>
      <c r="L731" s="19"/>
      <c r="M731" s="19"/>
      <c r="N731" s="19"/>
      <c r="O731" s="19"/>
      <c r="P731" s="19"/>
      <c r="Q731" s="19"/>
      <c r="R731" s="19"/>
      <c r="S731" s="19"/>
      <c r="T731" s="19"/>
      <c r="U731" s="19"/>
      <c r="V731" s="19"/>
      <c r="W731" s="19"/>
      <c r="X731" s="19"/>
    </row>
    <row r="732" spans="1:24" ht="12" customHeight="1">
      <c r="A732" s="19"/>
      <c r="B732" s="19"/>
      <c r="C732" s="19"/>
      <c r="D732" s="19"/>
      <c r="E732" s="19"/>
      <c r="F732" s="19"/>
      <c r="G732" s="19"/>
      <c r="H732" s="19"/>
      <c r="I732" s="19"/>
      <c r="J732" s="19"/>
      <c r="K732" s="19"/>
      <c r="L732" s="19"/>
      <c r="M732" s="19"/>
      <c r="N732" s="19"/>
      <c r="O732" s="19"/>
      <c r="P732" s="19"/>
      <c r="Q732" s="19"/>
      <c r="R732" s="19"/>
      <c r="S732" s="19"/>
      <c r="T732" s="19"/>
      <c r="U732" s="19"/>
      <c r="V732" s="19"/>
      <c r="W732" s="19"/>
      <c r="X732" s="19"/>
    </row>
    <row r="733" spans="1:24" ht="12" customHeight="1">
      <c r="A733" s="19"/>
      <c r="B733" s="19"/>
      <c r="C733" s="19"/>
      <c r="D733" s="19"/>
      <c r="E733" s="19"/>
      <c r="F733" s="19"/>
      <c r="G733" s="19"/>
      <c r="H733" s="19"/>
      <c r="I733" s="19"/>
      <c r="J733" s="19"/>
      <c r="K733" s="19"/>
      <c r="L733" s="19"/>
      <c r="M733" s="19"/>
      <c r="N733" s="19"/>
      <c r="O733" s="19"/>
      <c r="P733" s="19"/>
      <c r="Q733" s="19"/>
      <c r="R733" s="19"/>
      <c r="S733" s="19"/>
      <c r="T733" s="19"/>
      <c r="U733" s="19"/>
      <c r="V733" s="19"/>
      <c r="W733" s="19"/>
      <c r="X733" s="19"/>
    </row>
    <row r="734" spans="1:24" ht="12" customHeight="1">
      <c r="A734" s="19"/>
      <c r="B734" s="19"/>
      <c r="C734" s="19"/>
      <c r="D734" s="19"/>
      <c r="E734" s="19"/>
      <c r="F734" s="19"/>
      <c r="G734" s="19"/>
      <c r="H734" s="19"/>
      <c r="I734" s="19"/>
      <c r="J734" s="19"/>
      <c r="K734" s="19"/>
      <c r="L734" s="19"/>
      <c r="M734" s="19"/>
      <c r="N734" s="19"/>
      <c r="O734" s="19"/>
      <c r="P734" s="19"/>
      <c r="Q734" s="19"/>
      <c r="R734" s="19"/>
      <c r="S734" s="19"/>
      <c r="T734" s="19"/>
      <c r="U734" s="19"/>
      <c r="V734" s="19"/>
      <c r="W734" s="19"/>
      <c r="X734" s="19"/>
    </row>
    <row r="735" spans="1:24" ht="12" customHeight="1">
      <c r="A735" s="19"/>
      <c r="B735" s="19"/>
      <c r="C735" s="19"/>
      <c r="D735" s="19"/>
      <c r="E735" s="19"/>
      <c r="F735" s="19"/>
      <c r="G735" s="19"/>
      <c r="H735" s="19"/>
      <c r="I735" s="19"/>
      <c r="J735" s="19"/>
      <c r="K735" s="19"/>
      <c r="L735" s="19"/>
      <c r="M735" s="19"/>
      <c r="N735" s="19"/>
      <c r="O735" s="19"/>
      <c r="P735" s="19"/>
      <c r="Q735" s="19"/>
      <c r="R735" s="19"/>
      <c r="S735" s="19"/>
      <c r="T735" s="19"/>
      <c r="U735" s="19"/>
      <c r="V735" s="19"/>
      <c r="W735" s="19"/>
      <c r="X735" s="19"/>
    </row>
    <row r="736" spans="1:24" ht="12" customHeight="1">
      <c r="A736" s="19"/>
      <c r="B736" s="19"/>
      <c r="C736" s="19"/>
      <c r="D736" s="19"/>
      <c r="E736" s="19"/>
      <c r="F736" s="19"/>
      <c r="G736" s="19"/>
      <c r="H736" s="19"/>
      <c r="I736" s="19"/>
      <c r="J736" s="19"/>
      <c r="K736" s="19"/>
      <c r="L736" s="19"/>
      <c r="M736" s="19"/>
      <c r="N736" s="19"/>
      <c r="O736" s="19"/>
      <c r="P736" s="19"/>
      <c r="Q736" s="19"/>
      <c r="R736" s="19"/>
      <c r="S736" s="19"/>
      <c r="T736" s="19"/>
      <c r="U736" s="19"/>
      <c r="V736" s="19"/>
      <c r="W736" s="19"/>
      <c r="X736" s="19"/>
    </row>
    <row r="737" spans="1:24" ht="12" customHeight="1">
      <c r="A737" s="19"/>
      <c r="B737" s="19"/>
      <c r="C737" s="19"/>
      <c r="D737" s="19"/>
      <c r="E737" s="19"/>
      <c r="F737" s="19"/>
      <c r="G737" s="19"/>
      <c r="H737" s="19"/>
      <c r="I737" s="19"/>
      <c r="J737" s="19"/>
      <c r="K737" s="19"/>
      <c r="L737" s="19"/>
      <c r="M737" s="19"/>
      <c r="N737" s="19"/>
      <c r="O737" s="19"/>
      <c r="P737" s="19"/>
      <c r="Q737" s="19"/>
      <c r="R737" s="19"/>
      <c r="S737" s="19"/>
      <c r="T737" s="19"/>
      <c r="U737" s="19"/>
      <c r="V737" s="19"/>
      <c r="W737" s="19"/>
      <c r="X737" s="19"/>
    </row>
    <row r="738" spans="1:24" ht="12" customHeight="1">
      <c r="A738" s="19"/>
      <c r="B738" s="19"/>
      <c r="C738" s="19"/>
      <c r="D738" s="19"/>
      <c r="E738" s="19"/>
      <c r="F738" s="19"/>
      <c r="G738" s="19"/>
      <c r="H738" s="19"/>
      <c r="I738" s="19"/>
      <c r="J738" s="19"/>
      <c r="K738" s="19"/>
      <c r="L738" s="19"/>
      <c r="M738" s="19"/>
      <c r="N738" s="19"/>
      <c r="O738" s="19"/>
      <c r="P738" s="19"/>
      <c r="Q738" s="19"/>
      <c r="R738" s="19"/>
      <c r="S738" s="19"/>
      <c r="T738" s="19"/>
      <c r="U738" s="19"/>
      <c r="V738" s="19"/>
      <c r="W738" s="19"/>
      <c r="X738" s="19"/>
    </row>
    <row r="739" spans="1:24" ht="12" customHeight="1">
      <c r="A739" s="19"/>
      <c r="B739" s="19"/>
      <c r="C739" s="19"/>
      <c r="D739" s="19"/>
      <c r="E739" s="19"/>
      <c r="F739" s="19"/>
      <c r="G739" s="19"/>
      <c r="H739" s="19"/>
      <c r="I739" s="19"/>
      <c r="J739" s="19"/>
      <c r="K739" s="19"/>
      <c r="L739" s="19"/>
      <c r="M739" s="19"/>
      <c r="N739" s="19"/>
      <c r="O739" s="19"/>
      <c r="P739" s="19"/>
      <c r="Q739" s="19"/>
      <c r="R739" s="19"/>
      <c r="S739" s="19"/>
      <c r="T739" s="19"/>
      <c r="U739" s="19"/>
      <c r="V739" s="19"/>
      <c r="W739" s="19"/>
      <c r="X739" s="19"/>
    </row>
    <row r="740" spans="1:24" ht="12" customHeight="1">
      <c r="A740" s="19"/>
      <c r="B740" s="19"/>
      <c r="C740" s="19"/>
      <c r="D740" s="19"/>
      <c r="E740" s="19"/>
      <c r="F740" s="19"/>
      <c r="G740" s="19"/>
      <c r="H740" s="19"/>
      <c r="I740" s="19"/>
      <c r="J740" s="19"/>
      <c r="K740" s="19"/>
      <c r="L740" s="19"/>
      <c r="M740" s="19"/>
      <c r="N740" s="19"/>
      <c r="O740" s="19"/>
      <c r="P740" s="19"/>
      <c r="Q740" s="19"/>
      <c r="R740" s="19"/>
      <c r="S740" s="19"/>
      <c r="T740" s="19"/>
      <c r="U740" s="19"/>
      <c r="V740" s="19"/>
      <c r="W740" s="19"/>
      <c r="X740" s="19"/>
    </row>
    <row r="741" spans="1:24" ht="12" customHeight="1">
      <c r="A741" s="19"/>
      <c r="B741" s="19"/>
      <c r="C741" s="19"/>
      <c r="D741" s="19"/>
      <c r="E741" s="19"/>
      <c r="F741" s="19"/>
      <c r="G741" s="19"/>
      <c r="H741" s="19"/>
      <c r="I741" s="19"/>
      <c r="J741" s="19"/>
      <c r="K741" s="19"/>
      <c r="L741" s="19"/>
      <c r="M741" s="19"/>
      <c r="N741" s="19"/>
      <c r="O741" s="19"/>
      <c r="P741" s="19"/>
      <c r="Q741" s="19"/>
      <c r="R741" s="19"/>
      <c r="S741" s="19"/>
      <c r="T741" s="19"/>
      <c r="U741" s="19"/>
      <c r="V741" s="19"/>
      <c r="W741" s="19"/>
      <c r="X741" s="19"/>
    </row>
    <row r="742" spans="1:24" ht="12" customHeight="1">
      <c r="A742" s="19"/>
      <c r="B742" s="19"/>
      <c r="C742" s="19"/>
      <c r="D742" s="19"/>
      <c r="E742" s="19"/>
      <c r="F742" s="19"/>
      <c r="G742" s="19"/>
      <c r="H742" s="19"/>
      <c r="I742" s="19"/>
      <c r="J742" s="19"/>
      <c r="K742" s="19"/>
      <c r="L742" s="19"/>
      <c r="M742" s="19"/>
      <c r="N742" s="19"/>
      <c r="O742" s="19"/>
      <c r="P742" s="19"/>
      <c r="Q742" s="19"/>
      <c r="R742" s="19"/>
      <c r="S742" s="19"/>
      <c r="T742" s="19"/>
      <c r="U742" s="19"/>
      <c r="V742" s="19"/>
      <c r="W742" s="19"/>
      <c r="X742" s="19"/>
    </row>
    <row r="743" spans="1:24" ht="12" customHeight="1">
      <c r="A743" s="19"/>
      <c r="B743" s="19"/>
      <c r="C743" s="19"/>
      <c r="D743" s="19"/>
      <c r="E743" s="19"/>
      <c r="F743" s="19"/>
      <c r="G743" s="19"/>
      <c r="H743" s="19"/>
      <c r="I743" s="19"/>
      <c r="J743" s="19"/>
      <c r="K743" s="19"/>
      <c r="L743" s="19"/>
      <c r="M743" s="19"/>
      <c r="N743" s="19"/>
      <c r="O743" s="19"/>
      <c r="P743" s="19"/>
      <c r="Q743" s="19"/>
      <c r="R743" s="19"/>
      <c r="S743" s="19"/>
      <c r="T743" s="19"/>
      <c r="U743" s="19"/>
      <c r="V743" s="19"/>
      <c r="W743" s="19"/>
      <c r="X743" s="19"/>
    </row>
    <row r="744" spans="1:24" ht="12" customHeight="1">
      <c r="A744" s="19"/>
      <c r="B744" s="19"/>
      <c r="C744" s="19"/>
      <c r="D744" s="19"/>
      <c r="E744" s="19"/>
      <c r="F744" s="19"/>
      <c r="G744" s="19"/>
      <c r="H744" s="19"/>
      <c r="I744" s="19"/>
      <c r="J744" s="19"/>
      <c r="K744" s="19"/>
      <c r="L744" s="19"/>
      <c r="M744" s="19"/>
      <c r="N744" s="19"/>
      <c r="O744" s="19"/>
      <c r="P744" s="19"/>
      <c r="Q744" s="19"/>
      <c r="R744" s="19"/>
      <c r="S744" s="19"/>
      <c r="T744" s="19"/>
      <c r="U744" s="19"/>
      <c r="V744" s="19"/>
      <c r="W744" s="19"/>
      <c r="X744" s="19"/>
    </row>
    <row r="745" spans="1:24" ht="12" customHeight="1">
      <c r="A745" s="19"/>
      <c r="B745" s="19"/>
      <c r="C745" s="19"/>
      <c r="D745" s="19"/>
      <c r="E745" s="19"/>
      <c r="F745" s="19"/>
      <c r="G745" s="19"/>
      <c r="H745" s="19"/>
      <c r="I745" s="19"/>
      <c r="J745" s="19"/>
      <c r="K745" s="19"/>
      <c r="L745" s="19"/>
      <c r="M745" s="19"/>
      <c r="N745" s="19"/>
      <c r="O745" s="19"/>
      <c r="P745" s="19"/>
      <c r="Q745" s="19"/>
      <c r="R745" s="19"/>
      <c r="S745" s="19"/>
      <c r="T745" s="19"/>
      <c r="U745" s="19"/>
      <c r="V745" s="19"/>
      <c r="W745" s="19"/>
      <c r="X745" s="19"/>
    </row>
    <row r="746" spans="1:24" ht="12" customHeight="1">
      <c r="A746" s="19"/>
      <c r="B746" s="19"/>
      <c r="C746" s="19"/>
      <c r="D746" s="19"/>
      <c r="E746" s="19"/>
      <c r="F746" s="19"/>
      <c r="G746" s="19"/>
      <c r="H746" s="19"/>
      <c r="I746" s="19"/>
      <c r="J746" s="19"/>
      <c r="K746" s="19"/>
      <c r="L746" s="19"/>
      <c r="M746" s="19"/>
      <c r="N746" s="19"/>
      <c r="O746" s="19"/>
      <c r="P746" s="19"/>
      <c r="Q746" s="19"/>
      <c r="R746" s="19"/>
      <c r="S746" s="19"/>
      <c r="T746" s="19"/>
      <c r="U746" s="19"/>
      <c r="V746" s="19"/>
      <c r="W746" s="19"/>
      <c r="X746" s="19"/>
    </row>
    <row r="747" spans="1:24" ht="12" customHeight="1">
      <c r="A747" s="19"/>
      <c r="B747" s="19"/>
      <c r="C747" s="19"/>
      <c r="D747" s="19"/>
      <c r="E747" s="19"/>
      <c r="F747" s="19"/>
      <c r="G747" s="19"/>
      <c r="H747" s="19"/>
      <c r="I747" s="19"/>
      <c r="J747" s="19"/>
      <c r="K747" s="19"/>
      <c r="L747" s="19"/>
      <c r="M747" s="19"/>
      <c r="N747" s="19"/>
      <c r="O747" s="19"/>
      <c r="P747" s="19"/>
      <c r="Q747" s="19"/>
      <c r="R747" s="19"/>
      <c r="S747" s="19"/>
      <c r="T747" s="19"/>
      <c r="U747" s="19"/>
      <c r="V747" s="19"/>
      <c r="W747" s="19"/>
      <c r="X747" s="19"/>
    </row>
    <row r="748" spans="1:24" ht="12" customHeight="1">
      <c r="A748" s="19"/>
      <c r="B748" s="19"/>
      <c r="C748" s="19"/>
      <c r="D748" s="19"/>
      <c r="E748" s="19"/>
      <c r="F748" s="19"/>
      <c r="G748" s="19"/>
      <c r="H748" s="19"/>
      <c r="I748" s="19"/>
      <c r="J748" s="19"/>
      <c r="K748" s="19"/>
      <c r="L748" s="19"/>
      <c r="M748" s="19"/>
      <c r="N748" s="19"/>
      <c r="O748" s="19"/>
      <c r="P748" s="19"/>
      <c r="Q748" s="19"/>
      <c r="R748" s="19"/>
      <c r="S748" s="19"/>
      <c r="T748" s="19"/>
      <c r="U748" s="19"/>
      <c r="V748" s="19"/>
      <c r="W748" s="19"/>
      <c r="X748" s="19"/>
    </row>
    <row r="749" spans="1:24" ht="12" customHeight="1">
      <c r="A749" s="19"/>
      <c r="B749" s="19"/>
      <c r="C749" s="19"/>
      <c r="D749" s="19"/>
      <c r="E749" s="19"/>
      <c r="F749" s="19"/>
      <c r="G749" s="19"/>
      <c r="H749" s="19"/>
      <c r="I749" s="19"/>
      <c r="J749" s="19"/>
      <c r="K749" s="19"/>
      <c r="L749" s="19"/>
      <c r="M749" s="19"/>
      <c r="N749" s="19"/>
      <c r="O749" s="19"/>
      <c r="P749" s="19"/>
      <c r="Q749" s="19"/>
      <c r="R749" s="19"/>
      <c r="S749" s="19"/>
      <c r="T749" s="19"/>
      <c r="U749" s="19"/>
      <c r="V749" s="19"/>
      <c r="W749" s="19"/>
      <c r="X749" s="19"/>
    </row>
    <row r="750" spans="1:24" ht="12" customHeight="1">
      <c r="A750" s="19"/>
      <c r="B750" s="19"/>
      <c r="C750" s="19"/>
      <c r="D750" s="19"/>
      <c r="E750" s="19"/>
      <c r="F750" s="19"/>
      <c r="G750" s="19"/>
      <c r="H750" s="19"/>
      <c r="I750" s="19"/>
      <c r="J750" s="19"/>
      <c r="K750" s="19"/>
      <c r="L750" s="19"/>
      <c r="M750" s="19"/>
      <c r="N750" s="19"/>
      <c r="O750" s="19"/>
      <c r="P750" s="19"/>
      <c r="Q750" s="19"/>
      <c r="R750" s="19"/>
      <c r="S750" s="19"/>
      <c r="T750" s="19"/>
      <c r="U750" s="19"/>
      <c r="V750" s="19"/>
      <c r="W750" s="19"/>
      <c r="X750" s="19"/>
    </row>
    <row r="751" spans="1:24" ht="12" customHeight="1">
      <c r="A751" s="19"/>
      <c r="B751" s="19"/>
      <c r="C751" s="19"/>
      <c r="D751" s="19"/>
      <c r="E751" s="19"/>
      <c r="F751" s="19"/>
      <c r="G751" s="19"/>
      <c r="H751" s="19"/>
      <c r="I751" s="19"/>
      <c r="J751" s="19"/>
      <c r="K751" s="19"/>
      <c r="L751" s="19"/>
      <c r="M751" s="19"/>
      <c r="N751" s="19"/>
      <c r="O751" s="19"/>
      <c r="P751" s="19"/>
      <c r="Q751" s="19"/>
      <c r="R751" s="19"/>
      <c r="S751" s="19"/>
      <c r="T751" s="19"/>
      <c r="U751" s="19"/>
      <c r="V751" s="19"/>
      <c r="W751" s="19"/>
      <c r="X751" s="19"/>
    </row>
    <row r="752" spans="1:24" ht="12" customHeight="1">
      <c r="A752" s="19"/>
      <c r="B752" s="19"/>
      <c r="C752" s="19"/>
      <c r="D752" s="19"/>
      <c r="E752" s="19"/>
      <c r="F752" s="19"/>
      <c r="G752" s="19"/>
      <c r="H752" s="19"/>
      <c r="I752" s="19"/>
      <c r="J752" s="19"/>
      <c r="K752" s="19"/>
      <c r="L752" s="19"/>
      <c r="M752" s="19"/>
      <c r="N752" s="19"/>
      <c r="O752" s="19"/>
      <c r="P752" s="19"/>
      <c r="Q752" s="19"/>
      <c r="R752" s="19"/>
      <c r="S752" s="19"/>
      <c r="T752" s="19"/>
      <c r="U752" s="19"/>
      <c r="V752" s="19"/>
      <c r="W752" s="19"/>
      <c r="X752" s="19"/>
    </row>
    <row r="753" spans="1:24" ht="12" customHeight="1">
      <c r="A753" s="19"/>
      <c r="B753" s="19"/>
      <c r="C753" s="19"/>
      <c r="D753" s="19"/>
      <c r="E753" s="19"/>
      <c r="F753" s="19"/>
      <c r="G753" s="19"/>
      <c r="H753" s="19"/>
      <c r="I753" s="19"/>
      <c r="J753" s="19"/>
      <c r="K753" s="19"/>
      <c r="L753" s="19"/>
      <c r="M753" s="19"/>
      <c r="N753" s="19"/>
      <c r="O753" s="19"/>
      <c r="P753" s="19"/>
      <c r="Q753" s="19"/>
      <c r="R753" s="19"/>
      <c r="S753" s="19"/>
      <c r="T753" s="19"/>
      <c r="U753" s="19"/>
      <c r="V753" s="19"/>
      <c r="W753" s="19"/>
      <c r="X753" s="19"/>
    </row>
    <row r="754" spans="1:24" ht="12" customHeight="1">
      <c r="A754" s="19"/>
      <c r="B754" s="19"/>
      <c r="C754" s="19"/>
      <c r="D754" s="19"/>
      <c r="E754" s="19"/>
      <c r="F754" s="19"/>
      <c r="G754" s="19"/>
      <c r="H754" s="19"/>
      <c r="I754" s="19"/>
      <c r="J754" s="19"/>
      <c r="K754" s="19"/>
      <c r="L754" s="19"/>
      <c r="M754" s="19"/>
      <c r="N754" s="19"/>
      <c r="O754" s="19"/>
      <c r="P754" s="19"/>
      <c r="Q754" s="19"/>
      <c r="R754" s="19"/>
      <c r="S754" s="19"/>
      <c r="T754" s="19"/>
      <c r="U754" s="19"/>
      <c r="V754" s="19"/>
      <c r="W754" s="19"/>
      <c r="X754" s="19"/>
    </row>
    <row r="755" spans="1:24" ht="12" customHeight="1">
      <c r="A755" s="19"/>
      <c r="B755" s="19"/>
      <c r="C755" s="19"/>
      <c r="D755" s="19"/>
      <c r="E755" s="19"/>
      <c r="F755" s="19"/>
      <c r="G755" s="19"/>
      <c r="H755" s="19"/>
      <c r="I755" s="19"/>
      <c r="J755" s="19"/>
      <c r="K755" s="19"/>
      <c r="L755" s="19"/>
      <c r="M755" s="19"/>
      <c r="N755" s="19"/>
      <c r="O755" s="19"/>
      <c r="P755" s="19"/>
      <c r="Q755" s="19"/>
      <c r="R755" s="19"/>
      <c r="S755" s="19"/>
      <c r="T755" s="19"/>
      <c r="U755" s="19"/>
      <c r="V755" s="19"/>
      <c r="W755" s="19"/>
      <c r="X755" s="19"/>
    </row>
    <row r="756" spans="1:24" ht="12" customHeight="1">
      <c r="A756" s="19"/>
      <c r="B756" s="19"/>
      <c r="C756" s="19"/>
      <c r="D756" s="19"/>
      <c r="E756" s="19"/>
      <c r="F756" s="19"/>
      <c r="G756" s="19"/>
      <c r="H756" s="19"/>
      <c r="I756" s="19"/>
      <c r="J756" s="19"/>
      <c r="K756" s="19"/>
      <c r="L756" s="19"/>
      <c r="M756" s="19"/>
      <c r="N756" s="19"/>
      <c r="O756" s="19"/>
      <c r="P756" s="19"/>
      <c r="Q756" s="19"/>
      <c r="R756" s="19"/>
      <c r="S756" s="19"/>
      <c r="T756" s="19"/>
      <c r="U756" s="19"/>
      <c r="V756" s="19"/>
      <c r="W756" s="19"/>
      <c r="X756" s="19"/>
    </row>
    <row r="757" spans="1:24" ht="12" customHeight="1">
      <c r="A757" s="19"/>
      <c r="B757" s="19"/>
      <c r="C757" s="19"/>
      <c r="D757" s="19"/>
      <c r="E757" s="19"/>
      <c r="F757" s="19"/>
      <c r="G757" s="19"/>
      <c r="H757" s="19"/>
      <c r="I757" s="19"/>
      <c r="J757" s="19"/>
      <c r="K757" s="19"/>
      <c r="L757" s="19"/>
      <c r="M757" s="19"/>
      <c r="N757" s="19"/>
      <c r="O757" s="19"/>
      <c r="P757" s="19"/>
      <c r="Q757" s="19"/>
      <c r="R757" s="19"/>
      <c r="S757" s="19"/>
      <c r="T757" s="19"/>
      <c r="U757" s="19"/>
      <c r="V757" s="19"/>
      <c r="W757" s="19"/>
      <c r="X757" s="19"/>
    </row>
    <row r="758" spans="1:24" ht="12" customHeight="1">
      <c r="A758" s="19"/>
      <c r="B758" s="19"/>
      <c r="C758" s="19"/>
      <c r="D758" s="19"/>
      <c r="E758" s="19"/>
      <c r="F758" s="19"/>
      <c r="G758" s="19"/>
      <c r="H758" s="19"/>
      <c r="I758" s="19"/>
      <c r="J758" s="19"/>
      <c r="K758" s="19"/>
      <c r="L758" s="19"/>
      <c r="M758" s="19"/>
      <c r="N758" s="19"/>
      <c r="O758" s="19"/>
      <c r="P758" s="19"/>
      <c r="Q758" s="19"/>
      <c r="R758" s="19"/>
      <c r="S758" s="19"/>
      <c r="T758" s="19"/>
      <c r="U758" s="19"/>
      <c r="V758" s="19"/>
      <c r="W758" s="19"/>
      <c r="X758" s="19"/>
    </row>
    <row r="759" spans="1:24" ht="12" customHeight="1">
      <c r="A759" s="19"/>
      <c r="B759" s="19"/>
      <c r="C759" s="19"/>
      <c r="D759" s="19"/>
      <c r="E759" s="19"/>
      <c r="F759" s="19"/>
      <c r="G759" s="19"/>
      <c r="H759" s="19"/>
      <c r="I759" s="19"/>
      <c r="J759" s="19"/>
      <c r="K759" s="19"/>
      <c r="L759" s="19"/>
      <c r="M759" s="19"/>
      <c r="N759" s="19"/>
      <c r="O759" s="19"/>
      <c r="P759" s="19"/>
      <c r="Q759" s="19"/>
      <c r="R759" s="19"/>
      <c r="S759" s="19"/>
      <c r="T759" s="19"/>
      <c r="U759" s="19"/>
      <c r="V759" s="19"/>
      <c r="W759" s="19"/>
      <c r="X759" s="19"/>
    </row>
    <row r="760" spans="1:24" ht="12" customHeight="1">
      <c r="A760" s="19"/>
      <c r="B760" s="19"/>
      <c r="C760" s="19"/>
      <c r="D760" s="19"/>
      <c r="E760" s="19"/>
      <c r="F760" s="19"/>
      <c r="G760" s="19"/>
      <c r="H760" s="19"/>
      <c r="I760" s="19"/>
      <c r="J760" s="19"/>
      <c r="K760" s="19"/>
      <c r="L760" s="19"/>
      <c r="M760" s="19"/>
      <c r="N760" s="19"/>
      <c r="O760" s="19"/>
      <c r="P760" s="19"/>
      <c r="Q760" s="19"/>
      <c r="R760" s="19"/>
      <c r="S760" s="19"/>
      <c r="T760" s="19"/>
      <c r="U760" s="19"/>
      <c r="V760" s="19"/>
      <c r="W760" s="19"/>
      <c r="X760" s="19"/>
    </row>
    <row r="761" spans="1:24" ht="12" customHeight="1">
      <c r="A761" s="19"/>
      <c r="B761" s="19"/>
      <c r="C761" s="19"/>
      <c r="D761" s="19"/>
      <c r="E761" s="19"/>
      <c r="F761" s="19"/>
      <c r="G761" s="19"/>
      <c r="H761" s="19"/>
      <c r="I761" s="19"/>
      <c r="J761" s="19"/>
      <c r="K761" s="19"/>
      <c r="L761" s="19"/>
      <c r="M761" s="19"/>
      <c r="N761" s="19"/>
      <c r="O761" s="19"/>
      <c r="P761" s="19"/>
      <c r="Q761" s="19"/>
      <c r="R761" s="19"/>
      <c r="S761" s="19"/>
      <c r="T761" s="19"/>
      <c r="U761" s="19"/>
      <c r="V761" s="19"/>
      <c r="W761" s="19"/>
      <c r="X761" s="19"/>
    </row>
    <row r="762" spans="1:24" ht="12" customHeight="1">
      <c r="A762" s="19"/>
      <c r="B762" s="19"/>
      <c r="C762" s="19"/>
      <c r="D762" s="19"/>
      <c r="E762" s="19"/>
      <c r="F762" s="19"/>
      <c r="G762" s="19"/>
      <c r="H762" s="19"/>
      <c r="I762" s="19"/>
      <c r="J762" s="19"/>
      <c r="K762" s="19"/>
      <c r="L762" s="19"/>
      <c r="M762" s="19"/>
      <c r="N762" s="19"/>
      <c r="O762" s="19"/>
      <c r="P762" s="19"/>
      <c r="Q762" s="19"/>
      <c r="R762" s="19"/>
      <c r="S762" s="19"/>
      <c r="T762" s="19"/>
      <c r="U762" s="19"/>
      <c r="V762" s="19"/>
      <c r="W762" s="19"/>
      <c r="X762" s="19"/>
    </row>
    <row r="763" spans="1:24" ht="12" customHeight="1">
      <c r="A763" s="19"/>
      <c r="B763" s="19"/>
      <c r="C763" s="19"/>
      <c r="D763" s="19"/>
      <c r="E763" s="19"/>
      <c r="F763" s="19"/>
      <c r="G763" s="19"/>
      <c r="H763" s="19"/>
      <c r="I763" s="19"/>
      <c r="J763" s="19"/>
      <c r="K763" s="19"/>
      <c r="L763" s="19"/>
      <c r="M763" s="19"/>
      <c r="N763" s="19"/>
      <c r="O763" s="19"/>
      <c r="P763" s="19"/>
      <c r="Q763" s="19"/>
      <c r="R763" s="19"/>
      <c r="S763" s="19"/>
      <c r="T763" s="19"/>
      <c r="U763" s="19"/>
      <c r="V763" s="19"/>
      <c r="W763" s="19"/>
      <c r="X763" s="19"/>
    </row>
    <row r="764" spans="1:24" ht="12" customHeight="1">
      <c r="A764" s="19"/>
      <c r="B764" s="19"/>
      <c r="C764" s="19"/>
      <c r="D764" s="19"/>
      <c r="E764" s="19"/>
      <c r="F764" s="19"/>
      <c r="G764" s="19"/>
      <c r="H764" s="19"/>
      <c r="I764" s="19"/>
      <c r="J764" s="19"/>
      <c r="K764" s="19"/>
      <c r="L764" s="19"/>
      <c r="M764" s="19"/>
      <c r="N764" s="19"/>
      <c r="O764" s="19"/>
      <c r="P764" s="19"/>
      <c r="Q764" s="19"/>
      <c r="R764" s="19"/>
      <c r="S764" s="19"/>
      <c r="T764" s="19"/>
      <c r="U764" s="19"/>
      <c r="V764" s="19"/>
      <c r="W764" s="19"/>
      <c r="X764" s="19"/>
    </row>
    <row r="765" spans="1:24" ht="12" customHeight="1">
      <c r="A765" s="19"/>
      <c r="B765" s="19"/>
      <c r="C765" s="19"/>
      <c r="D765" s="19"/>
      <c r="E765" s="19"/>
      <c r="F765" s="19"/>
      <c r="G765" s="19"/>
      <c r="H765" s="19"/>
      <c r="I765" s="19"/>
      <c r="J765" s="19"/>
      <c r="K765" s="19"/>
      <c r="L765" s="19"/>
      <c r="M765" s="19"/>
      <c r="N765" s="19"/>
      <c r="O765" s="19"/>
      <c r="P765" s="19"/>
      <c r="Q765" s="19"/>
      <c r="R765" s="19"/>
      <c r="S765" s="19"/>
      <c r="T765" s="19"/>
      <c r="U765" s="19"/>
      <c r="V765" s="19"/>
      <c r="W765" s="19"/>
      <c r="X765" s="19"/>
    </row>
    <row r="766" spans="1:24" ht="12" customHeight="1">
      <c r="A766" s="19"/>
      <c r="B766" s="19"/>
      <c r="C766" s="19"/>
      <c r="D766" s="19"/>
      <c r="E766" s="19"/>
      <c r="F766" s="19"/>
      <c r="G766" s="19"/>
      <c r="H766" s="19"/>
      <c r="I766" s="19"/>
      <c r="J766" s="19"/>
      <c r="K766" s="19"/>
      <c r="L766" s="19"/>
      <c r="M766" s="19"/>
      <c r="N766" s="19"/>
      <c r="O766" s="19"/>
      <c r="P766" s="19"/>
      <c r="Q766" s="19"/>
      <c r="R766" s="19"/>
      <c r="S766" s="19"/>
      <c r="T766" s="19"/>
      <c r="U766" s="19"/>
      <c r="V766" s="19"/>
      <c r="W766" s="19"/>
      <c r="X766" s="19"/>
    </row>
    <row r="767" spans="1:24" ht="12" customHeight="1">
      <c r="A767" s="19"/>
      <c r="B767" s="19"/>
      <c r="C767" s="19"/>
      <c r="D767" s="19"/>
      <c r="E767" s="19"/>
      <c r="F767" s="19"/>
      <c r="G767" s="19"/>
      <c r="H767" s="19"/>
      <c r="I767" s="19"/>
      <c r="J767" s="19"/>
      <c r="K767" s="19"/>
      <c r="L767" s="19"/>
      <c r="M767" s="19"/>
      <c r="N767" s="19"/>
      <c r="O767" s="19"/>
      <c r="P767" s="19"/>
      <c r="Q767" s="19"/>
      <c r="R767" s="19"/>
      <c r="S767" s="19"/>
      <c r="T767" s="19"/>
      <c r="U767" s="19"/>
      <c r="V767" s="19"/>
      <c r="W767" s="19"/>
      <c r="X767" s="19"/>
    </row>
    <row r="768" spans="1:24" ht="12" customHeight="1">
      <c r="A768" s="19"/>
      <c r="B768" s="19"/>
      <c r="C768" s="19"/>
      <c r="D768" s="19"/>
      <c r="E768" s="19"/>
      <c r="F768" s="19"/>
      <c r="G768" s="19"/>
      <c r="H768" s="19"/>
      <c r="I768" s="19"/>
      <c r="J768" s="19"/>
      <c r="K768" s="19"/>
      <c r="L768" s="19"/>
      <c r="M768" s="19"/>
      <c r="N768" s="19"/>
      <c r="O768" s="19"/>
      <c r="P768" s="19"/>
      <c r="Q768" s="19"/>
      <c r="R768" s="19"/>
      <c r="S768" s="19"/>
      <c r="T768" s="19"/>
      <c r="U768" s="19"/>
      <c r="V768" s="19"/>
      <c r="W768" s="19"/>
      <c r="X768" s="19"/>
    </row>
    <row r="769" spans="1:24" ht="12" customHeight="1">
      <c r="A769" s="19"/>
      <c r="B769" s="19"/>
      <c r="C769" s="19"/>
      <c r="D769" s="19"/>
      <c r="E769" s="19"/>
      <c r="F769" s="19"/>
      <c r="G769" s="19"/>
      <c r="H769" s="19"/>
      <c r="I769" s="19"/>
      <c r="J769" s="19"/>
      <c r="K769" s="19"/>
      <c r="L769" s="19"/>
      <c r="M769" s="19"/>
      <c r="N769" s="19"/>
      <c r="O769" s="19"/>
      <c r="P769" s="19"/>
      <c r="Q769" s="19"/>
      <c r="R769" s="19"/>
      <c r="S769" s="19"/>
      <c r="T769" s="19"/>
      <c r="U769" s="19"/>
      <c r="V769" s="19"/>
      <c r="W769" s="19"/>
      <c r="X769" s="19"/>
    </row>
    <row r="770" spans="1:24" ht="12" customHeight="1">
      <c r="A770" s="19"/>
      <c r="B770" s="19"/>
      <c r="C770" s="19"/>
      <c r="D770" s="19"/>
      <c r="E770" s="19"/>
      <c r="F770" s="19"/>
      <c r="G770" s="19"/>
      <c r="H770" s="19"/>
      <c r="I770" s="19"/>
      <c r="J770" s="19"/>
      <c r="K770" s="19"/>
      <c r="L770" s="19"/>
      <c r="M770" s="19"/>
      <c r="N770" s="19"/>
      <c r="O770" s="19"/>
      <c r="P770" s="19"/>
      <c r="Q770" s="19"/>
      <c r="R770" s="19"/>
      <c r="S770" s="19"/>
      <c r="T770" s="19"/>
      <c r="U770" s="19"/>
      <c r="V770" s="19"/>
      <c r="W770" s="19"/>
      <c r="X770" s="19"/>
    </row>
    <row r="771" spans="1:24" ht="12" customHeight="1">
      <c r="A771" s="19"/>
      <c r="B771" s="19"/>
      <c r="C771" s="19"/>
      <c r="D771" s="19"/>
      <c r="E771" s="19"/>
      <c r="F771" s="19"/>
      <c r="G771" s="19"/>
      <c r="H771" s="19"/>
      <c r="I771" s="19"/>
      <c r="J771" s="19"/>
      <c r="K771" s="19"/>
      <c r="L771" s="19"/>
      <c r="M771" s="19"/>
      <c r="N771" s="19"/>
      <c r="O771" s="19"/>
      <c r="P771" s="19"/>
      <c r="Q771" s="19"/>
      <c r="R771" s="19"/>
      <c r="S771" s="19"/>
      <c r="T771" s="19"/>
      <c r="U771" s="19"/>
      <c r="V771" s="19"/>
      <c r="W771" s="19"/>
      <c r="X771" s="19"/>
    </row>
    <row r="772" spans="1:24" ht="12" customHeight="1">
      <c r="A772" s="19"/>
      <c r="B772" s="19"/>
      <c r="C772" s="19"/>
      <c r="D772" s="19"/>
      <c r="E772" s="19"/>
      <c r="F772" s="19"/>
      <c r="G772" s="19"/>
      <c r="H772" s="19"/>
      <c r="I772" s="19"/>
      <c r="J772" s="19"/>
      <c r="K772" s="19"/>
      <c r="L772" s="19"/>
      <c r="M772" s="19"/>
      <c r="N772" s="19"/>
      <c r="O772" s="19"/>
      <c r="P772" s="19"/>
      <c r="Q772" s="19"/>
      <c r="R772" s="19"/>
      <c r="S772" s="19"/>
      <c r="T772" s="19"/>
      <c r="U772" s="19"/>
      <c r="V772" s="19"/>
      <c r="W772" s="19"/>
      <c r="X772" s="19"/>
    </row>
    <row r="773" spans="1:24" ht="12" customHeight="1">
      <c r="A773" s="19"/>
      <c r="B773" s="19"/>
      <c r="C773" s="19"/>
      <c r="D773" s="19"/>
      <c r="E773" s="19"/>
      <c r="F773" s="19"/>
      <c r="G773" s="19"/>
      <c r="H773" s="19"/>
      <c r="I773" s="19"/>
      <c r="J773" s="19"/>
      <c r="K773" s="19"/>
      <c r="L773" s="19"/>
      <c r="M773" s="19"/>
      <c r="N773" s="19"/>
      <c r="O773" s="19"/>
      <c r="P773" s="19"/>
      <c r="Q773" s="19"/>
      <c r="R773" s="19"/>
      <c r="S773" s="19"/>
      <c r="T773" s="19"/>
      <c r="U773" s="19"/>
      <c r="V773" s="19"/>
      <c r="W773" s="19"/>
      <c r="X773" s="19"/>
    </row>
    <row r="774" spans="1:24" ht="12" customHeight="1">
      <c r="A774" s="19"/>
      <c r="B774" s="19"/>
      <c r="C774" s="19"/>
      <c r="D774" s="19"/>
      <c r="E774" s="19"/>
      <c r="F774" s="19"/>
      <c r="G774" s="19"/>
      <c r="H774" s="19"/>
      <c r="I774" s="19"/>
      <c r="J774" s="19"/>
      <c r="K774" s="19"/>
      <c r="L774" s="19"/>
      <c r="M774" s="19"/>
      <c r="N774" s="19"/>
      <c r="O774" s="19"/>
      <c r="P774" s="19"/>
      <c r="Q774" s="19"/>
      <c r="R774" s="19"/>
      <c r="S774" s="19"/>
      <c r="T774" s="19"/>
      <c r="U774" s="19"/>
      <c r="V774" s="19"/>
      <c r="W774" s="19"/>
      <c r="X774" s="19"/>
    </row>
    <row r="775" spans="1:24" ht="12" customHeight="1">
      <c r="A775" s="19"/>
      <c r="B775" s="19"/>
      <c r="C775" s="19"/>
      <c r="D775" s="19"/>
      <c r="E775" s="19"/>
      <c r="F775" s="19"/>
      <c r="G775" s="19"/>
      <c r="H775" s="19"/>
      <c r="I775" s="19"/>
      <c r="J775" s="19"/>
      <c r="K775" s="19"/>
      <c r="L775" s="19"/>
      <c r="M775" s="19"/>
      <c r="N775" s="19"/>
      <c r="O775" s="19"/>
      <c r="P775" s="19"/>
      <c r="Q775" s="19"/>
      <c r="R775" s="19"/>
      <c r="S775" s="19"/>
      <c r="T775" s="19"/>
      <c r="U775" s="19"/>
      <c r="V775" s="19"/>
      <c r="W775" s="19"/>
      <c r="X775" s="19"/>
    </row>
    <row r="776" spans="1:24" ht="12" customHeight="1">
      <c r="A776" s="19"/>
      <c r="B776" s="19"/>
      <c r="C776" s="19"/>
      <c r="D776" s="19"/>
      <c r="E776" s="19"/>
      <c r="F776" s="19"/>
      <c r="G776" s="19"/>
      <c r="H776" s="19"/>
      <c r="I776" s="19"/>
      <c r="J776" s="19"/>
      <c r="K776" s="19"/>
      <c r="L776" s="19"/>
      <c r="M776" s="19"/>
      <c r="N776" s="19"/>
      <c r="O776" s="19"/>
      <c r="P776" s="19"/>
      <c r="Q776" s="19"/>
      <c r="R776" s="19"/>
      <c r="S776" s="19"/>
      <c r="T776" s="19"/>
      <c r="U776" s="19"/>
      <c r="V776" s="19"/>
      <c r="W776" s="19"/>
      <c r="X776" s="19"/>
    </row>
    <row r="777" spans="1:24" ht="12" customHeight="1">
      <c r="A777" s="19"/>
      <c r="B777" s="19"/>
      <c r="C777" s="19"/>
      <c r="D777" s="19"/>
      <c r="E777" s="19"/>
      <c r="F777" s="19"/>
      <c r="G777" s="19"/>
      <c r="H777" s="19"/>
      <c r="I777" s="19"/>
      <c r="J777" s="19"/>
      <c r="K777" s="19"/>
      <c r="L777" s="19"/>
      <c r="M777" s="19"/>
      <c r="N777" s="19"/>
      <c r="O777" s="19"/>
      <c r="P777" s="19"/>
      <c r="Q777" s="19"/>
      <c r="R777" s="19"/>
      <c r="S777" s="19"/>
      <c r="T777" s="19"/>
      <c r="U777" s="19"/>
      <c r="V777" s="19"/>
      <c r="W777" s="19"/>
      <c r="X777" s="19"/>
    </row>
    <row r="778" spans="1:24" ht="12" customHeight="1">
      <c r="A778" s="19"/>
      <c r="B778" s="19"/>
      <c r="C778" s="19"/>
      <c r="D778" s="19"/>
      <c r="E778" s="19"/>
      <c r="F778" s="19"/>
      <c r="G778" s="19"/>
      <c r="H778" s="19"/>
      <c r="I778" s="19"/>
      <c r="J778" s="19"/>
      <c r="K778" s="19"/>
      <c r="L778" s="19"/>
      <c r="M778" s="19"/>
      <c r="N778" s="19"/>
      <c r="O778" s="19"/>
      <c r="P778" s="19"/>
      <c r="Q778" s="19"/>
      <c r="R778" s="19"/>
      <c r="S778" s="19"/>
      <c r="T778" s="19"/>
      <c r="U778" s="19"/>
      <c r="V778" s="19"/>
      <c r="W778" s="19"/>
      <c r="X778" s="19"/>
    </row>
    <row r="779" spans="1:24" ht="12" customHeight="1">
      <c r="A779" s="19"/>
      <c r="B779" s="19"/>
      <c r="C779" s="19"/>
      <c r="D779" s="19"/>
      <c r="E779" s="19"/>
      <c r="F779" s="19"/>
      <c r="G779" s="19"/>
      <c r="H779" s="19"/>
      <c r="I779" s="19"/>
      <c r="J779" s="19"/>
      <c r="K779" s="19"/>
      <c r="L779" s="19"/>
      <c r="M779" s="19"/>
      <c r="N779" s="19"/>
      <c r="O779" s="19"/>
      <c r="P779" s="19"/>
      <c r="Q779" s="19"/>
      <c r="R779" s="19"/>
      <c r="S779" s="19"/>
      <c r="T779" s="19"/>
      <c r="U779" s="19"/>
      <c r="V779" s="19"/>
      <c r="W779" s="19"/>
      <c r="X779" s="19"/>
    </row>
    <row r="780" spans="1:24" ht="12" customHeight="1">
      <c r="A780" s="19"/>
      <c r="B780" s="19"/>
      <c r="C780" s="19"/>
      <c r="D780" s="19"/>
      <c r="E780" s="19"/>
      <c r="F780" s="19"/>
      <c r="G780" s="19"/>
      <c r="H780" s="19"/>
      <c r="I780" s="19"/>
      <c r="J780" s="19"/>
      <c r="K780" s="19"/>
      <c r="L780" s="19"/>
      <c r="M780" s="19"/>
      <c r="N780" s="19"/>
      <c r="O780" s="19"/>
      <c r="P780" s="19"/>
      <c r="Q780" s="19"/>
      <c r="R780" s="19"/>
      <c r="S780" s="19"/>
      <c r="T780" s="19"/>
      <c r="U780" s="19"/>
      <c r="V780" s="19"/>
      <c r="W780" s="19"/>
      <c r="X780" s="19"/>
    </row>
    <row r="781" spans="1:24" ht="12" customHeight="1">
      <c r="A781" s="19"/>
      <c r="B781" s="19"/>
      <c r="C781" s="19"/>
      <c r="D781" s="19"/>
      <c r="E781" s="19"/>
      <c r="F781" s="19"/>
      <c r="G781" s="19"/>
      <c r="H781" s="19"/>
      <c r="I781" s="19"/>
      <c r="J781" s="19"/>
      <c r="K781" s="19"/>
      <c r="L781" s="19"/>
      <c r="M781" s="19"/>
      <c r="N781" s="19"/>
      <c r="O781" s="19"/>
      <c r="P781" s="19"/>
      <c r="Q781" s="19"/>
      <c r="R781" s="19"/>
      <c r="S781" s="19"/>
      <c r="T781" s="19"/>
      <c r="U781" s="19"/>
      <c r="V781" s="19"/>
      <c r="W781" s="19"/>
      <c r="X781" s="19"/>
    </row>
    <row r="782" spans="1:24" ht="12" customHeight="1">
      <c r="A782" s="19"/>
      <c r="B782" s="19"/>
      <c r="C782" s="19"/>
      <c r="D782" s="19"/>
      <c r="E782" s="19"/>
      <c r="F782" s="19"/>
      <c r="G782" s="19"/>
      <c r="H782" s="19"/>
      <c r="I782" s="19"/>
      <c r="J782" s="19"/>
      <c r="K782" s="19"/>
      <c r="L782" s="19"/>
      <c r="M782" s="19"/>
      <c r="N782" s="19"/>
      <c r="O782" s="19"/>
      <c r="P782" s="19"/>
      <c r="Q782" s="19"/>
      <c r="R782" s="19"/>
      <c r="S782" s="19"/>
      <c r="T782" s="19"/>
      <c r="U782" s="19"/>
      <c r="V782" s="19"/>
      <c r="W782" s="19"/>
      <c r="X782" s="19"/>
    </row>
    <row r="783" spans="1:24" ht="12" customHeight="1">
      <c r="A783" s="19"/>
      <c r="B783" s="19"/>
      <c r="C783" s="19"/>
      <c r="D783" s="19"/>
      <c r="E783" s="19"/>
      <c r="F783" s="19"/>
      <c r="G783" s="19"/>
      <c r="H783" s="19"/>
      <c r="I783" s="19"/>
      <c r="J783" s="19"/>
      <c r="K783" s="19"/>
      <c r="L783" s="19"/>
      <c r="M783" s="19"/>
      <c r="N783" s="19"/>
      <c r="O783" s="19"/>
      <c r="P783" s="19"/>
      <c r="Q783" s="19"/>
      <c r="R783" s="19"/>
      <c r="S783" s="19"/>
      <c r="T783" s="19"/>
      <c r="U783" s="19"/>
      <c r="V783" s="19"/>
      <c r="W783" s="19"/>
      <c r="X783" s="19"/>
    </row>
    <row r="784" spans="1:24" ht="12" customHeight="1">
      <c r="A784" s="19"/>
      <c r="B784" s="19"/>
      <c r="C784" s="19"/>
      <c r="D784" s="19"/>
      <c r="E784" s="19"/>
      <c r="F784" s="19"/>
      <c r="G784" s="19"/>
      <c r="H784" s="19"/>
      <c r="I784" s="19"/>
      <c r="J784" s="19"/>
      <c r="K784" s="19"/>
      <c r="L784" s="19"/>
      <c r="M784" s="19"/>
      <c r="N784" s="19"/>
      <c r="O784" s="19"/>
      <c r="P784" s="19"/>
      <c r="Q784" s="19"/>
      <c r="R784" s="19"/>
      <c r="S784" s="19"/>
      <c r="T784" s="19"/>
      <c r="U784" s="19"/>
      <c r="V784" s="19"/>
      <c r="W784" s="19"/>
      <c r="X784" s="19"/>
    </row>
    <row r="785" spans="1:24" ht="12" customHeight="1">
      <c r="A785" s="19"/>
      <c r="B785" s="19"/>
      <c r="C785" s="19"/>
      <c r="D785" s="19"/>
      <c r="E785" s="19"/>
      <c r="F785" s="19"/>
      <c r="G785" s="19"/>
      <c r="H785" s="19"/>
      <c r="I785" s="19"/>
      <c r="J785" s="19"/>
      <c r="K785" s="19"/>
      <c r="L785" s="19"/>
      <c r="M785" s="19"/>
      <c r="N785" s="19"/>
      <c r="O785" s="19"/>
      <c r="P785" s="19"/>
      <c r="Q785" s="19"/>
      <c r="R785" s="19"/>
      <c r="S785" s="19"/>
      <c r="T785" s="19"/>
      <c r="U785" s="19"/>
      <c r="V785" s="19"/>
      <c r="W785" s="19"/>
      <c r="X785" s="19"/>
    </row>
    <row r="786" spans="1:24" ht="12" customHeight="1">
      <c r="A786" s="19"/>
      <c r="B786" s="19"/>
      <c r="C786" s="19"/>
      <c r="D786" s="19"/>
      <c r="E786" s="19"/>
      <c r="F786" s="19"/>
      <c r="G786" s="19"/>
      <c r="H786" s="19"/>
      <c r="I786" s="19"/>
      <c r="J786" s="19"/>
      <c r="K786" s="19"/>
      <c r="L786" s="19"/>
      <c r="M786" s="19"/>
      <c r="N786" s="19"/>
      <c r="O786" s="19"/>
      <c r="P786" s="19"/>
      <c r="Q786" s="19"/>
      <c r="R786" s="19"/>
      <c r="S786" s="19"/>
      <c r="T786" s="19"/>
      <c r="U786" s="19"/>
      <c r="V786" s="19"/>
      <c r="W786" s="19"/>
      <c r="X786" s="19"/>
    </row>
    <row r="787" spans="1:24" ht="12" customHeight="1">
      <c r="A787" s="19"/>
      <c r="B787" s="19"/>
      <c r="C787" s="19"/>
      <c r="D787" s="19"/>
      <c r="E787" s="19"/>
      <c r="F787" s="19"/>
      <c r="G787" s="19"/>
      <c r="H787" s="19"/>
      <c r="I787" s="19"/>
      <c r="J787" s="19"/>
      <c r="K787" s="19"/>
      <c r="L787" s="19"/>
      <c r="M787" s="19"/>
      <c r="N787" s="19"/>
      <c r="O787" s="19"/>
      <c r="P787" s="19"/>
      <c r="Q787" s="19"/>
      <c r="R787" s="19"/>
      <c r="S787" s="19"/>
      <c r="T787" s="19"/>
      <c r="U787" s="19"/>
      <c r="V787" s="19"/>
      <c r="W787" s="19"/>
      <c r="X787" s="19"/>
    </row>
    <row r="788" spans="1:24" ht="12" customHeight="1">
      <c r="A788" s="19"/>
      <c r="B788" s="19"/>
      <c r="C788" s="19"/>
      <c r="D788" s="19"/>
      <c r="E788" s="19"/>
      <c r="F788" s="19"/>
      <c r="G788" s="19"/>
      <c r="H788" s="19"/>
      <c r="I788" s="19"/>
      <c r="J788" s="19"/>
      <c r="K788" s="19"/>
      <c r="L788" s="19"/>
      <c r="M788" s="19"/>
      <c r="N788" s="19"/>
      <c r="O788" s="19"/>
      <c r="P788" s="19"/>
      <c r="Q788" s="19"/>
      <c r="R788" s="19"/>
      <c r="S788" s="19"/>
      <c r="T788" s="19"/>
      <c r="U788" s="19"/>
      <c r="V788" s="19"/>
      <c r="W788" s="19"/>
      <c r="X788" s="19"/>
    </row>
    <row r="789" spans="1:24" ht="12" customHeight="1">
      <c r="A789" s="19"/>
      <c r="B789" s="19"/>
      <c r="C789" s="19"/>
      <c r="D789" s="19"/>
      <c r="E789" s="19"/>
      <c r="F789" s="19"/>
      <c r="G789" s="19"/>
      <c r="H789" s="19"/>
      <c r="I789" s="19"/>
      <c r="J789" s="19"/>
      <c r="K789" s="19"/>
      <c r="L789" s="19"/>
      <c r="M789" s="19"/>
      <c r="N789" s="19"/>
      <c r="O789" s="19"/>
      <c r="P789" s="19"/>
      <c r="Q789" s="19"/>
      <c r="R789" s="19"/>
      <c r="S789" s="19"/>
      <c r="T789" s="19"/>
      <c r="U789" s="19"/>
      <c r="V789" s="19"/>
      <c r="W789" s="19"/>
      <c r="X789" s="19"/>
    </row>
    <row r="790" spans="1:24" ht="12" customHeight="1">
      <c r="A790" s="19"/>
      <c r="B790" s="19"/>
      <c r="C790" s="19"/>
      <c r="D790" s="19"/>
      <c r="E790" s="19"/>
      <c r="F790" s="19"/>
      <c r="G790" s="19"/>
      <c r="H790" s="19"/>
      <c r="I790" s="19"/>
      <c r="J790" s="19"/>
      <c r="K790" s="19"/>
      <c r="L790" s="19"/>
      <c r="M790" s="19"/>
      <c r="N790" s="19"/>
      <c r="O790" s="19"/>
      <c r="P790" s="19"/>
      <c r="Q790" s="19"/>
      <c r="R790" s="19"/>
      <c r="S790" s="19"/>
      <c r="T790" s="19"/>
      <c r="U790" s="19"/>
      <c r="V790" s="19"/>
      <c r="W790" s="19"/>
      <c r="X790" s="19"/>
    </row>
    <row r="791" spans="1:24" ht="12" customHeight="1">
      <c r="A791" s="19"/>
      <c r="B791" s="19"/>
      <c r="C791" s="19"/>
      <c r="D791" s="19"/>
      <c r="E791" s="19"/>
      <c r="F791" s="19"/>
      <c r="G791" s="19"/>
      <c r="H791" s="19"/>
      <c r="I791" s="19"/>
      <c r="J791" s="19"/>
      <c r="K791" s="19"/>
      <c r="L791" s="19"/>
      <c r="M791" s="19"/>
      <c r="N791" s="19"/>
      <c r="O791" s="19"/>
      <c r="P791" s="19"/>
      <c r="Q791" s="19"/>
      <c r="R791" s="19"/>
      <c r="S791" s="19"/>
      <c r="T791" s="19"/>
      <c r="U791" s="19"/>
      <c r="V791" s="19"/>
      <c r="W791" s="19"/>
      <c r="X791" s="19"/>
    </row>
    <row r="792" spans="1:24" ht="12" customHeight="1">
      <c r="A792" s="19"/>
      <c r="B792" s="19"/>
      <c r="C792" s="19"/>
      <c r="D792" s="19"/>
      <c r="E792" s="19"/>
      <c r="F792" s="19"/>
      <c r="G792" s="19"/>
      <c r="H792" s="19"/>
      <c r="I792" s="19"/>
      <c r="J792" s="19"/>
      <c r="K792" s="19"/>
      <c r="L792" s="19"/>
      <c r="M792" s="19"/>
      <c r="N792" s="19"/>
      <c r="O792" s="19"/>
      <c r="P792" s="19"/>
      <c r="Q792" s="19"/>
      <c r="R792" s="19"/>
      <c r="S792" s="19"/>
      <c r="T792" s="19"/>
      <c r="U792" s="19"/>
      <c r="V792" s="19"/>
      <c r="W792" s="19"/>
      <c r="X792" s="19"/>
    </row>
    <row r="793" spans="1:24" ht="12" customHeight="1">
      <c r="A793" s="19"/>
      <c r="B793" s="19"/>
      <c r="C793" s="19"/>
      <c r="D793" s="19"/>
      <c r="E793" s="19"/>
      <c r="F793" s="19"/>
      <c r="G793" s="19"/>
      <c r="H793" s="19"/>
      <c r="I793" s="19"/>
      <c r="J793" s="19"/>
      <c r="K793" s="19"/>
      <c r="L793" s="19"/>
      <c r="M793" s="19"/>
      <c r="N793" s="19"/>
      <c r="O793" s="19"/>
      <c r="P793" s="19"/>
      <c r="Q793" s="19"/>
      <c r="R793" s="19"/>
      <c r="S793" s="19"/>
      <c r="T793" s="19"/>
      <c r="U793" s="19"/>
      <c r="V793" s="19"/>
      <c r="W793" s="19"/>
      <c r="X793" s="19"/>
    </row>
    <row r="794" spans="1:24" ht="12" customHeight="1">
      <c r="A794" s="19"/>
      <c r="B794" s="19"/>
      <c r="C794" s="19"/>
      <c r="D794" s="19"/>
      <c r="E794" s="19"/>
      <c r="F794" s="19"/>
      <c r="G794" s="19"/>
      <c r="H794" s="19"/>
      <c r="I794" s="19"/>
      <c r="J794" s="19"/>
      <c r="K794" s="19"/>
      <c r="L794" s="19"/>
      <c r="M794" s="19"/>
      <c r="N794" s="19"/>
      <c r="O794" s="19"/>
      <c r="P794" s="19"/>
      <c r="Q794" s="19"/>
      <c r="R794" s="19"/>
      <c r="S794" s="19"/>
      <c r="T794" s="19"/>
      <c r="U794" s="19"/>
      <c r="V794" s="19"/>
      <c r="W794" s="19"/>
      <c r="X794" s="19"/>
    </row>
    <row r="795" spans="1:24" ht="12" customHeight="1">
      <c r="A795" s="19"/>
      <c r="B795" s="19"/>
      <c r="C795" s="19"/>
      <c r="D795" s="19"/>
      <c r="E795" s="19"/>
      <c r="F795" s="19"/>
      <c r="G795" s="19"/>
      <c r="H795" s="19"/>
      <c r="I795" s="19"/>
      <c r="J795" s="19"/>
      <c r="K795" s="19"/>
      <c r="L795" s="19"/>
      <c r="M795" s="19"/>
      <c r="N795" s="19"/>
      <c r="O795" s="19"/>
      <c r="P795" s="19"/>
      <c r="Q795" s="19"/>
      <c r="R795" s="19"/>
      <c r="S795" s="19"/>
      <c r="T795" s="19"/>
      <c r="U795" s="19"/>
      <c r="V795" s="19"/>
      <c r="W795" s="19"/>
      <c r="X795" s="19"/>
    </row>
    <row r="796" spans="1:24" ht="12" customHeight="1">
      <c r="A796" s="19"/>
      <c r="B796" s="19"/>
      <c r="C796" s="19"/>
      <c r="D796" s="19"/>
      <c r="E796" s="19"/>
      <c r="F796" s="19"/>
      <c r="G796" s="19"/>
      <c r="H796" s="19"/>
      <c r="I796" s="19"/>
      <c r="J796" s="19"/>
      <c r="K796" s="19"/>
      <c r="L796" s="19"/>
      <c r="M796" s="19"/>
      <c r="N796" s="19"/>
      <c r="O796" s="19"/>
      <c r="P796" s="19"/>
      <c r="Q796" s="19"/>
      <c r="R796" s="19"/>
      <c r="S796" s="19"/>
      <c r="T796" s="19"/>
      <c r="U796" s="19"/>
      <c r="V796" s="19"/>
      <c r="W796" s="19"/>
      <c r="X796" s="19"/>
    </row>
    <row r="797" spans="1:24" ht="12" customHeight="1">
      <c r="A797" s="19"/>
      <c r="B797" s="19"/>
      <c r="C797" s="19"/>
      <c r="D797" s="19"/>
      <c r="E797" s="19"/>
      <c r="F797" s="19"/>
      <c r="G797" s="19"/>
      <c r="H797" s="19"/>
      <c r="I797" s="19"/>
      <c r="J797" s="19"/>
      <c r="K797" s="19"/>
      <c r="L797" s="19"/>
      <c r="M797" s="19"/>
      <c r="N797" s="19"/>
      <c r="O797" s="19"/>
      <c r="P797" s="19"/>
      <c r="Q797" s="19"/>
      <c r="R797" s="19"/>
      <c r="S797" s="19"/>
      <c r="T797" s="19"/>
      <c r="U797" s="19"/>
      <c r="V797" s="19"/>
      <c r="W797" s="19"/>
      <c r="X797" s="19"/>
    </row>
    <row r="798" spans="1:24" ht="12" customHeight="1">
      <c r="A798" s="19"/>
      <c r="B798" s="19"/>
      <c r="C798" s="19"/>
      <c r="D798" s="19"/>
      <c r="E798" s="19"/>
      <c r="F798" s="19"/>
      <c r="G798" s="19"/>
      <c r="H798" s="19"/>
      <c r="I798" s="19"/>
      <c r="J798" s="19"/>
      <c r="K798" s="19"/>
      <c r="L798" s="19"/>
      <c r="M798" s="19"/>
      <c r="N798" s="19"/>
      <c r="O798" s="19"/>
      <c r="P798" s="19"/>
      <c r="Q798" s="19"/>
      <c r="R798" s="19"/>
      <c r="S798" s="19"/>
      <c r="T798" s="19"/>
      <c r="U798" s="19"/>
      <c r="V798" s="19"/>
      <c r="W798" s="19"/>
      <c r="X798" s="19"/>
    </row>
    <row r="799" spans="1:24" ht="12" customHeight="1">
      <c r="A799" s="19"/>
      <c r="B799" s="19"/>
      <c r="C799" s="19"/>
      <c r="D799" s="19"/>
      <c r="E799" s="19"/>
      <c r="F799" s="19"/>
      <c r="G799" s="19"/>
      <c r="H799" s="19"/>
      <c r="I799" s="19"/>
      <c r="J799" s="19"/>
      <c r="K799" s="19"/>
      <c r="L799" s="19"/>
      <c r="M799" s="19"/>
      <c r="N799" s="19"/>
      <c r="O799" s="19"/>
      <c r="P799" s="19"/>
      <c r="Q799" s="19"/>
      <c r="R799" s="19"/>
      <c r="S799" s="19"/>
      <c r="T799" s="19"/>
      <c r="U799" s="19"/>
      <c r="V799" s="19"/>
      <c r="W799" s="19"/>
      <c r="X799" s="19"/>
    </row>
    <row r="800" spans="1:24" ht="12" customHeight="1">
      <c r="A800" s="19"/>
      <c r="B800" s="19"/>
      <c r="C800" s="19"/>
      <c r="D800" s="19"/>
      <c r="E800" s="19"/>
      <c r="F800" s="19"/>
      <c r="G800" s="19"/>
      <c r="H800" s="19"/>
      <c r="I800" s="19"/>
      <c r="J800" s="19"/>
      <c r="K800" s="19"/>
      <c r="L800" s="19"/>
      <c r="M800" s="19"/>
      <c r="N800" s="19"/>
      <c r="O800" s="19"/>
      <c r="P800" s="19"/>
      <c r="Q800" s="19"/>
      <c r="R800" s="19"/>
      <c r="S800" s="19"/>
      <c r="T800" s="19"/>
      <c r="U800" s="19"/>
      <c r="V800" s="19"/>
      <c r="W800" s="19"/>
      <c r="X800" s="19"/>
    </row>
    <row r="801" spans="1:24" ht="12" customHeight="1">
      <c r="A801" s="19"/>
      <c r="B801" s="19"/>
      <c r="C801" s="19"/>
      <c r="D801" s="19"/>
      <c r="E801" s="19"/>
      <c r="F801" s="19"/>
      <c r="G801" s="19"/>
      <c r="H801" s="19"/>
      <c r="I801" s="19"/>
      <c r="J801" s="19"/>
      <c r="K801" s="19"/>
      <c r="L801" s="19"/>
      <c r="M801" s="19"/>
      <c r="N801" s="19"/>
      <c r="O801" s="19"/>
      <c r="P801" s="19"/>
      <c r="Q801" s="19"/>
      <c r="R801" s="19"/>
      <c r="S801" s="19"/>
      <c r="T801" s="19"/>
      <c r="U801" s="19"/>
      <c r="V801" s="19"/>
      <c r="W801" s="19"/>
      <c r="X801" s="19"/>
    </row>
    <row r="802" spans="1:24" ht="12" customHeight="1">
      <c r="A802" s="19"/>
      <c r="B802" s="19"/>
      <c r="C802" s="19"/>
      <c r="D802" s="19"/>
      <c r="E802" s="19"/>
      <c r="F802" s="19"/>
      <c r="G802" s="19"/>
      <c r="H802" s="19"/>
      <c r="I802" s="19"/>
      <c r="J802" s="19"/>
      <c r="K802" s="19"/>
      <c r="L802" s="19"/>
      <c r="M802" s="19"/>
      <c r="N802" s="19"/>
      <c r="O802" s="19"/>
      <c r="P802" s="19"/>
      <c r="Q802" s="19"/>
      <c r="R802" s="19"/>
      <c r="S802" s="19"/>
      <c r="T802" s="19"/>
      <c r="U802" s="19"/>
      <c r="V802" s="19"/>
      <c r="W802" s="19"/>
      <c r="X802" s="19"/>
    </row>
    <row r="803" spans="1:24" ht="12" customHeight="1">
      <c r="A803" s="19"/>
      <c r="B803" s="19"/>
      <c r="C803" s="19"/>
      <c r="D803" s="19"/>
      <c r="E803" s="19"/>
      <c r="F803" s="19"/>
      <c r="G803" s="19"/>
      <c r="H803" s="19"/>
      <c r="I803" s="19"/>
      <c r="J803" s="19"/>
      <c r="K803" s="19"/>
      <c r="L803" s="19"/>
      <c r="M803" s="19"/>
      <c r="N803" s="19"/>
      <c r="O803" s="19"/>
      <c r="P803" s="19"/>
      <c r="Q803" s="19"/>
      <c r="R803" s="19"/>
      <c r="S803" s="19"/>
      <c r="T803" s="19"/>
      <c r="U803" s="19"/>
      <c r="V803" s="19"/>
      <c r="W803" s="19"/>
      <c r="X803" s="19"/>
    </row>
    <row r="804" spans="1:24" ht="12" customHeight="1">
      <c r="A804" s="19"/>
      <c r="B804" s="19"/>
      <c r="C804" s="19"/>
      <c r="D804" s="19"/>
      <c r="E804" s="19"/>
      <c r="F804" s="19"/>
      <c r="G804" s="19"/>
      <c r="H804" s="19"/>
      <c r="I804" s="19"/>
      <c r="J804" s="19"/>
      <c r="K804" s="19"/>
      <c r="L804" s="19"/>
      <c r="M804" s="19"/>
      <c r="N804" s="19"/>
      <c r="O804" s="19"/>
      <c r="P804" s="19"/>
      <c r="Q804" s="19"/>
      <c r="R804" s="19"/>
      <c r="S804" s="19"/>
      <c r="T804" s="19"/>
      <c r="U804" s="19"/>
      <c r="V804" s="19"/>
      <c r="W804" s="19"/>
      <c r="X804" s="19"/>
    </row>
    <row r="805" spans="1:24" ht="12" customHeight="1">
      <c r="A805" s="19"/>
      <c r="B805" s="19"/>
      <c r="C805" s="19"/>
      <c r="D805" s="19"/>
      <c r="E805" s="19"/>
      <c r="F805" s="19"/>
      <c r="G805" s="19"/>
      <c r="H805" s="19"/>
      <c r="I805" s="19"/>
      <c r="J805" s="19"/>
      <c r="K805" s="19"/>
      <c r="L805" s="19"/>
      <c r="M805" s="19"/>
      <c r="N805" s="19"/>
      <c r="O805" s="19"/>
      <c r="P805" s="19"/>
      <c r="Q805" s="19"/>
      <c r="R805" s="19"/>
      <c r="S805" s="19"/>
      <c r="T805" s="19"/>
      <c r="U805" s="19"/>
      <c r="V805" s="19"/>
      <c r="W805" s="19"/>
      <c r="X805" s="19"/>
    </row>
    <row r="806" spans="1:24" ht="12" customHeight="1">
      <c r="A806" s="19"/>
      <c r="B806" s="19"/>
      <c r="C806" s="19"/>
      <c r="D806" s="19"/>
      <c r="E806" s="19"/>
      <c r="F806" s="19"/>
      <c r="G806" s="19"/>
      <c r="H806" s="19"/>
      <c r="I806" s="19"/>
      <c r="J806" s="19"/>
      <c r="K806" s="19"/>
      <c r="L806" s="19"/>
      <c r="M806" s="19"/>
      <c r="N806" s="19"/>
      <c r="O806" s="19"/>
      <c r="P806" s="19"/>
      <c r="Q806" s="19"/>
      <c r="R806" s="19"/>
      <c r="S806" s="19"/>
      <c r="T806" s="19"/>
      <c r="U806" s="19"/>
      <c r="V806" s="19"/>
      <c r="W806" s="19"/>
      <c r="X806" s="19"/>
    </row>
    <row r="807" spans="1:24" ht="12" customHeight="1">
      <c r="A807" s="19"/>
      <c r="B807" s="19"/>
      <c r="C807" s="19"/>
      <c r="D807" s="19"/>
      <c r="E807" s="19"/>
      <c r="F807" s="19"/>
      <c r="G807" s="19"/>
      <c r="H807" s="19"/>
      <c r="I807" s="19"/>
      <c r="J807" s="19"/>
      <c r="K807" s="19"/>
      <c r="L807" s="19"/>
      <c r="M807" s="19"/>
      <c r="N807" s="19"/>
      <c r="O807" s="19"/>
      <c r="P807" s="19"/>
      <c r="Q807" s="19"/>
      <c r="R807" s="19"/>
      <c r="S807" s="19"/>
      <c r="T807" s="19"/>
      <c r="U807" s="19"/>
      <c r="V807" s="19"/>
      <c r="W807" s="19"/>
      <c r="X807" s="19"/>
    </row>
    <row r="808" spans="1:24" ht="12" customHeight="1">
      <c r="A808" s="19"/>
      <c r="B808" s="19"/>
      <c r="C808" s="19"/>
      <c r="D808" s="19"/>
      <c r="E808" s="19"/>
      <c r="F808" s="19"/>
      <c r="G808" s="19"/>
      <c r="H808" s="19"/>
      <c r="I808" s="19"/>
      <c r="J808" s="19"/>
      <c r="K808" s="19"/>
      <c r="L808" s="19"/>
      <c r="M808" s="19"/>
      <c r="N808" s="19"/>
      <c r="O808" s="19"/>
      <c r="P808" s="19"/>
      <c r="Q808" s="19"/>
      <c r="R808" s="19"/>
      <c r="S808" s="19"/>
      <c r="T808" s="19"/>
      <c r="U808" s="19"/>
      <c r="V808" s="19"/>
      <c r="W808" s="19"/>
      <c r="X808" s="19"/>
    </row>
    <row r="809" spans="1:24" ht="12" customHeight="1">
      <c r="A809" s="19"/>
      <c r="B809" s="19"/>
      <c r="C809" s="19"/>
      <c r="D809" s="19"/>
      <c r="E809" s="19"/>
      <c r="F809" s="19"/>
      <c r="G809" s="19"/>
      <c r="H809" s="19"/>
      <c r="I809" s="19"/>
      <c r="J809" s="19"/>
      <c r="K809" s="19"/>
      <c r="L809" s="19"/>
      <c r="M809" s="19"/>
      <c r="N809" s="19"/>
      <c r="O809" s="19"/>
      <c r="P809" s="19"/>
      <c r="Q809" s="19"/>
      <c r="R809" s="19"/>
      <c r="S809" s="19"/>
      <c r="T809" s="19"/>
      <c r="U809" s="19"/>
      <c r="V809" s="19"/>
      <c r="W809" s="19"/>
      <c r="X809" s="19"/>
    </row>
    <row r="810" spans="1:24" ht="12" customHeight="1">
      <c r="A810" s="19"/>
      <c r="B810" s="19"/>
      <c r="C810" s="19"/>
      <c r="D810" s="19"/>
      <c r="E810" s="19"/>
      <c r="F810" s="19"/>
      <c r="G810" s="19"/>
      <c r="H810" s="19"/>
      <c r="I810" s="19"/>
      <c r="J810" s="19"/>
      <c r="K810" s="19"/>
      <c r="L810" s="19"/>
      <c r="M810" s="19"/>
      <c r="N810" s="19"/>
      <c r="O810" s="19"/>
      <c r="P810" s="19"/>
      <c r="Q810" s="19"/>
      <c r="R810" s="19"/>
      <c r="S810" s="19"/>
      <c r="T810" s="19"/>
      <c r="U810" s="19"/>
      <c r="V810" s="19"/>
      <c r="W810" s="19"/>
      <c r="X810" s="19"/>
    </row>
    <row r="811" spans="1:24" ht="12" customHeight="1">
      <c r="A811" s="19"/>
      <c r="B811" s="19"/>
      <c r="C811" s="19"/>
      <c r="D811" s="19"/>
      <c r="E811" s="19"/>
      <c r="F811" s="19"/>
      <c r="G811" s="19"/>
      <c r="H811" s="19"/>
      <c r="I811" s="19"/>
      <c r="J811" s="19"/>
      <c r="K811" s="19"/>
      <c r="L811" s="19"/>
      <c r="M811" s="19"/>
      <c r="N811" s="19"/>
      <c r="O811" s="19"/>
      <c r="P811" s="19"/>
      <c r="Q811" s="19"/>
      <c r="R811" s="19"/>
      <c r="S811" s="19"/>
      <c r="T811" s="19"/>
      <c r="U811" s="19"/>
      <c r="V811" s="19"/>
      <c r="W811" s="19"/>
      <c r="X811" s="19"/>
    </row>
    <row r="812" spans="1:24" ht="12" customHeight="1">
      <c r="A812" s="19"/>
      <c r="B812" s="19"/>
      <c r="C812" s="19"/>
      <c r="D812" s="19"/>
      <c r="E812" s="19"/>
      <c r="F812" s="19"/>
      <c r="G812" s="19"/>
      <c r="H812" s="19"/>
      <c r="I812" s="19"/>
      <c r="J812" s="19"/>
      <c r="K812" s="19"/>
      <c r="L812" s="19"/>
      <c r="M812" s="19"/>
      <c r="N812" s="19"/>
      <c r="O812" s="19"/>
      <c r="P812" s="19"/>
      <c r="Q812" s="19"/>
      <c r="R812" s="19"/>
      <c r="S812" s="19"/>
      <c r="T812" s="19"/>
      <c r="U812" s="19"/>
      <c r="V812" s="19"/>
      <c r="W812" s="19"/>
      <c r="X812" s="19"/>
    </row>
    <row r="813" spans="1:24" ht="12" customHeight="1">
      <c r="A813" s="19"/>
      <c r="B813" s="19"/>
      <c r="C813" s="19"/>
      <c r="D813" s="19"/>
      <c r="E813" s="19"/>
      <c r="F813" s="19"/>
      <c r="G813" s="19"/>
      <c r="H813" s="19"/>
      <c r="I813" s="19"/>
      <c r="J813" s="19"/>
      <c r="K813" s="19"/>
      <c r="L813" s="19"/>
      <c r="M813" s="19"/>
      <c r="N813" s="19"/>
      <c r="O813" s="19"/>
      <c r="P813" s="19"/>
      <c r="Q813" s="19"/>
      <c r="R813" s="19"/>
      <c r="S813" s="19"/>
      <c r="T813" s="19"/>
      <c r="U813" s="19"/>
      <c r="V813" s="19"/>
      <c r="W813" s="19"/>
      <c r="X813" s="19"/>
    </row>
    <row r="814" spans="1:24" ht="12" customHeight="1">
      <c r="A814" s="19"/>
      <c r="B814" s="19"/>
      <c r="C814" s="19"/>
      <c r="D814" s="19"/>
      <c r="E814" s="19"/>
      <c r="F814" s="19"/>
      <c r="G814" s="19"/>
      <c r="H814" s="19"/>
      <c r="I814" s="19"/>
      <c r="J814" s="19"/>
      <c r="K814" s="19"/>
      <c r="L814" s="19"/>
      <c r="M814" s="19"/>
      <c r="N814" s="19"/>
      <c r="O814" s="19"/>
      <c r="P814" s="19"/>
      <c r="Q814" s="19"/>
      <c r="R814" s="19"/>
      <c r="S814" s="19"/>
      <c r="T814" s="19"/>
      <c r="U814" s="19"/>
      <c r="V814" s="19"/>
      <c r="W814" s="19"/>
      <c r="X814" s="19"/>
    </row>
    <row r="815" spans="1:24" ht="12" customHeight="1">
      <c r="A815" s="19"/>
      <c r="B815" s="19"/>
      <c r="C815" s="19"/>
      <c r="D815" s="19"/>
      <c r="E815" s="19"/>
      <c r="F815" s="19"/>
      <c r="G815" s="19"/>
      <c r="H815" s="19"/>
      <c r="I815" s="19"/>
      <c r="J815" s="19"/>
      <c r="K815" s="19"/>
      <c r="L815" s="19"/>
      <c r="M815" s="19"/>
      <c r="N815" s="19"/>
      <c r="O815" s="19"/>
      <c r="P815" s="19"/>
      <c r="Q815" s="19"/>
      <c r="R815" s="19"/>
      <c r="S815" s="19"/>
      <c r="T815" s="19"/>
      <c r="U815" s="19"/>
      <c r="V815" s="19"/>
      <c r="W815" s="19"/>
      <c r="X815" s="19"/>
    </row>
    <row r="816" spans="1:24" ht="12" customHeight="1">
      <c r="A816" s="19"/>
      <c r="B816" s="19"/>
      <c r="C816" s="19"/>
      <c r="D816" s="19"/>
      <c r="E816" s="19"/>
      <c r="F816" s="19"/>
      <c r="G816" s="19"/>
      <c r="H816" s="19"/>
      <c r="I816" s="19"/>
      <c r="J816" s="19"/>
      <c r="K816" s="19"/>
      <c r="L816" s="19"/>
      <c r="M816" s="19"/>
      <c r="N816" s="19"/>
      <c r="O816" s="19"/>
      <c r="P816" s="19"/>
      <c r="Q816" s="19"/>
      <c r="R816" s="19"/>
      <c r="S816" s="19"/>
      <c r="T816" s="19"/>
      <c r="U816" s="19"/>
      <c r="V816" s="19"/>
      <c r="W816" s="19"/>
      <c r="X816" s="19"/>
    </row>
    <row r="817" spans="1:24" ht="12" customHeight="1">
      <c r="A817" s="19"/>
      <c r="B817" s="19"/>
      <c r="C817" s="19"/>
      <c r="D817" s="19"/>
      <c r="E817" s="19"/>
      <c r="F817" s="19"/>
      <c r="G817" s="19"/>
      <c r="H817" s="19"/>
      <c r="I817" s="19"/>
      <c r="J817" s="19"/>
      <c r="K817" s="19"/>
      <c r="L817" s="19"/>
      <c r="M817" s="19"/>
      <c r="N817" s="19"/>
      <c r="O817" s="19"/>
      <c r="P817" s="19"/>
      <c r="Q817" s="19"/>
      <c r="R817" s="19"/>
      <c r="S817" s="19"/>
      <c r="T817" s="19"/>
      <c r="U817" s="19"/>
      <c r="V817" s="19"/>
      <c r="W817" s="19"/>
      <c r="X817" s="19"/>
    </row>
    <row r="818" spans="1:24" ht="12" customHeight="1">
      <c r="A818" s="19"/>
      <c r="B818" s="19"/>
      <c r="C818" s="19"/>
      <c r="D818" s="19"/>
      <c r="E818" s="19"/>
      <c r="F818" s="19"/>
      <c r="G818" s="19"/>
      <c r="H818" s="19"/>
      <c r="I818" s="19"/>
      <c r="J818" s="19"/>
      <c r="K818" s="19"/>
      <c r="L818" s="19"/>
      <c r="M818" s="19"/>
      <c r="N818" s="19"/>
      <c r="O818" s="19"/>
      <c r="P818" s="19"/>
      <c r="Q818" s="19"/>
      <c r="R818" s="19"/>
      <c r="S818" s="19"/>
      <c r="T818" s="19"/>
      <c r="U818" s="19"/>
      <c r="V818" s="19"/>
      <c r="W818" s="19"/>
      <c r="X818" s="19"/>
    </row>
    <row r="819" spans="1:24" ht="12" customHeight="1">
      <c r="A819" s="19"/>
      <c r="B819" s="19"/>
      <c r="C819" s="19"/>
      <c r="D819" s="19"/>
      <c r="E819" s="19"/>
      <c r="F819" s="19"/>
      <c r="G819" s="19"/>
      <c r="H819" s="19"/>
      <c r="I819" s="19"/>
      <c r="J819" s="19"/>
      <c r="K819" s="19"/>
      <c r="L819" s="19"/>
      <c r="M819" s="19"/>
      <c r="N819" s="19"/>
      <c r="O819" s="19"/>
      <c r="P819" s="19"/>
      <c r="Q819" s="19"/>
      <c r="R819" s="19"/>
      <c r="S819" s="19"/>
      <c r="T819" s="19"/>
      <c r="U819" s="19"/>
      <c r="V819" s="19"/>
      <c r="W819" s="19"/>
      <c r="X819" s="19"/>
    </row>
    <row r="820" spans="1:24" ht="12" customHeight="1">
      <c r="A820" s="19"/>
      <c r="B820" s="19"/>
      <c r="C820" s="19"/>
      <c r="D820" s="19"/>
      <c r="E820" s="19"/>
      <c r="F820" s="19"/>
      <c r="G820" s="19"/>
      <c r="H820" s="19"/>
      <c r="I820" s="19"/>
      <c r="J820" s="19"/>
      <c r="K820" s="19"/>
      <c r="L820" s="19"/>
      <c r="M820" s="19"/>
      <c r="N820" s="19"/>
      <c r="O820" s="19"/>
      <c r="P820" s="19"/>
      <c r="Q820" s="19"/>
      <c r="R820" s="19"/>
      <c r="S820" s="19"/>
      <c r="T820" s="19"/>
      <c r="U820" s="19"/>
      <c r="V820" s="19"/>
      <c r="W820" s="19"/>
      <c r="X820" s="19"/>
    </row>
    <row r="821" spans="1:24" ht="12" customHeight="1">
      <c r="A821" s="19"/>
      <c r="B821" s="19"/>
      <c r="C821" s="19"/>
      <c r="D821" s="19"/>
      <c r="E821" s="19"/>
      <c r="F821" s="19"/>
      <c r="G821" s="19"/>
      <c r="H821" s="19"/>
      <c r="I821" s="19"/>
      <c r="J821" s="19"/>
      <c r="K821" s="19"/>
      <c r="L821" s="19"/>
      <c r="M821" s="19"/>
      <c r="N821" s="19"/>
      <c r="O821" s="19"/>
      <c r="P821" s="19"/>
      <c r="Q821" s="19"/>
      <c r="R821" s="19"/>
      <c r="S821" s="19"/>
      <c r="T821" s="19"/>
      <c r="U821" s="19"/>
      <c r="V821" s="19"/>
      <c r="W821" s="19"/>
      <c r="X821" s="19"/>
    </row>
    <row r="822" spans="1:24" ht="12" customHeight="1">
      <c r="A822" s="19"/>
      <c r="B822" s="19"/>
      <c r="C822" s="19"/>
      <c r="D822" s="19"/>
      <c r="E822" s="19"/>
      <c r="F822" s="19"/>
      <c r="G822" s="19"/>
      <c r="H822" s="19"/>
      <c r="I822" s="19"/>
      <c r="J822" s="19"/>
      <c r="K822" s="19"/>
      <c r="L822" s="19"/>
      <c r="M822" s="19"/>
      <c r="N822" s="19"/>
      <c r="O822" s="19"/>
      <c r="P822" s="19"/>
      <c r="Q822" s="19"/>
      <c r="R822" s="19"/>
      <c r="S822" s="19"/>
      <c r="T822" s="19"/>
      <c r="U822" s="19"/>
      <c r="V822" s="19"/>
      <c r="W822" s="19"/>
      <c r="X822" s="19"/>
    </row>
    <row r="823" spans="1:24" ht="12" customHeight="1">
      <c r="A823" s="19"/>
      <c r="B823" s="19"/>
      <c r="C823" s="19"/>
      <c r="D823" s="19"/>
      <c r="E823" s="19"/>
      <c r="F823" s="19"/>
      <c r="G823" s="19"/>
      <c r="H823" s="19"/>
      <c r="I823" s="19"/>
      <c r="J823" s="19"/>
      <c r="K823" s="19"/>
      <c r="L823" s="19"/>
      <c r="M823" s="19"/>
      <c r="N823" s="19"/>
      <c r="O823" s="19"/>
      <c r="P823" s="19"/>
      <c r="Q823" s="19"/>
      <c r="R823" s="19"/>
      <c r="S823" s="19"/>
      <c r="T823" s="19"/>
      <c r="U823" s="19"/>
      <c r="V823" s="19"/>
      <c r="W823" s="19"/>
      <c r="X823" s="19"/>
    </row>
    <row r="824" spans="1:24" ht="12" customHeight="1">
      <c r="A824" s="19"/>
      <c r="B824" s="19"/>
      <c r="C824" s="19"/>
      <c r="D824" s="19"/>
      <c r="E824" s="19"/>
      <c r="F824" s="19"/>
      <c r="G824" s="19"/>
      <c r="H824" s="19"/>
      <c r="I824" s="19"/>
      <c r="J824" s="19"/>
      <c r="K824" s="19"/>
      <c r="L824" s="19"/>
      <c r="M824" s="19"/>
      <c r="N824" s="19"/>
      <c r="O824" s="19"/>
      <c r="P824" s="19"/>
      <c r="Q824" s="19"/>
      <c r="R824" s="19"/>
      <c r="S824" s="19"/>
      <c r="T824" s="19"/>
      <c r="U824" s="19"/>
      <c r="V824" s="19"/>
      <c r="W824" s="19"/>
      <c r="X824" s="19"/>
    </row>
    <row r="825" spans="1:24" ht="12" customHeight="1">
      <c r="A825" s="19"/>
      <c r="B825" s="19"/>
      <c r="C825" s="19"/>
      <c r="D825" s="19"/>
      <c r="E825" s="19"/>
      <c r="F825" s="19"/>
      <c r="G825" s="19"/>
      <c r="H825" s="19"/>
      <c r="I825" s="19"/>
      <c r="J825" s="19"/>
      <c r="K825" s="19"/>
      <c r="L825" s="19"/>
      <c r="M825" s="19"/>
      <c r="N825" s="19"/>
      <c r="O825" s="19"/>
      <c r="P825" s="19"/>
      <c r="Q825" s="19"/>
      <c r="R825" s="19"/>
      <c r="S825" s="19"/>
      <c r="T825" s="19"/>
      <c r="U825" s="19"/>
      <c r="V825" s="19"/>
      <c r="W825" s="19"/>
      <c r="X825" s="19"/>
    </row>
    <row r="826" spans="1:24" ht="12" customHeight="1">
      <c r="A826" s="19"/>
      <c r="B826" s="19"/>
      <c r="C826" s="19"/>
      <c r="D826" s="19"/>
      <c r="E826" s="19"/>
      <c r="F826" s="19"/>
      <c r="G826" s="19"/>
      <c r="H826" s="19"/>
      <c r="I826" s="19"/>
      <c r="J826" s="19"/>
      <c r="K826" s="19"/>
      <c r="L826" s="19"/>
      <c r="M826" s="19"/>
      <c r="N826" s="19"/>
      <c r="O826" s="19"/>
      <c r="P826" s="19"/>
      <c r="Q826" s="19"/>
      <c r="R826" s="19"/>
      <c r="S826" s="19"/>
      <c r="T826" s="19"/>
      <c r="U826" s="19"/>
      <c r="V826" s="19"/>
      <c r="W826" s="19"/>
      <c r="X826" s="19"/>
    </row>
    <row r="827" spans="1:24" ht="12" customHeight="1">
      <c r="A827" s="19"/>
      <c r="B827" s="19"/>
      <c r="C827" s="19"/>
      <c r="D827" s="19"/>
      <c r="E827" s="19"/>
      <c r="F827" s="19"/>
      <c r="G827" s="19"/>
      <c r="H827" s="19"/>
      <c r="I827" s="19"/>
      <c r="J827" s="19"/>
      <c r="K827" s="19"/>
      <c r="L827" s="19"/>
      <c r="M827" s="19"/>
      <c r="N827" s="19"/>
      <c r="O827" s="19"/>
      <c r="P827" s="19"/>
      <c r="Q827" s="19"/>
      <c r="R827" s="19"/>
      <c r="S827" s="19"/>
      <c r="T827" s="19"/>
      <c r="U827" s="19"/>
      <c r="V827" s="19"/>
      <c r="W827" s="19"/>
      <c r="X827" s="19"/>
    </row>
    <row r="828" spans="1:24" ht="12" customHeight="1">
      <c r="A828" s="19"/>
      <c r="B828" s="19"/>
      <c r="C828" s="19"/>
      <c r="D828" s="19"/>
      <c r="E828" s="19"/>
      <c r="F828" s="19"/>
      <c r="G828" s="19"/>
      <c r="H828" s="19"/>
      <c r="I828" s="19"/>
      <c r="J828" s="19"/>
      <c r="K828" s="19"/>
      <c r="L828" s="19"/>
      <c r="M828" s="19"/>
      <c r="N828" s="19"/>
      <c r="O828" s="19"/>
      <c r="P828" s="19"/>
      <c r="Q828" s="19"/>
      <c r="R828" s="19"/>
      <c r="S828" s="19"/>
      <c r="T828" s="19"/>
      <c r="U828" s="19"/>
      <c r="V828" s="19"/>
      <c r="W828" s="19"/>
      <c r="X828" s="19"/>
    </row>
    <row r="829" spans="1:24" ht="12" customHeight="1">
      <c r="A829" s="19"/>
      <c r="B829" s="19"/>
      <c r="C829" s="19"/>
      <c r="D829" s="19"/>
      <c r="E829" s="19"/>
      <c r="F829" s="19"/>
      <c r="G829" s="19"/>
      <c r="H829" s="19"/>
      <c r="I829" s="19"/>
      <c r="J829" s="19"/>
      <c r="K829" s="19"/>
      <c r="L829" s="19"/>
      <c r="M829" s="19"/>
      <c r="N829" s="19"/>
      <c r="O829" s="19"/>
      <c r="P829" s="19"/>
      <c r="Q829" s="19"/>
      <c r="R829" s="19"/>
      <c r="S829" s="19"/>
      <c r="T829" s="19"/>
      <c r="U829" s="19"/>
      <c r="V829" s="19"/>
      <c r="W829" s="19"/>
      <c r="X829" s="19"/>
    </row>
    <row r="830" spans="1:24" ht="12" customHeight="1">
      <c r="A830" s="19"/>
      <c r="B830" s="19"/>
      <c r="C830" s="19"/>
      <c r="D830" s="19"/>
      <c r="E830" s="19"/>
      <c r="F830" s="19"/>
      <c r="G830" s="19"/>
      <c r="H830" s="19"/>
      <c r="I830" s="19"/>
      <c r="J830" s="19"/>
      <c r="K830" s="19"/>
      <c r="L830" s="19"/>
      <c r="M830" s="19"/>
      <c r="N830" s="19"/>
      <c r="O830" s="19"/>
      <c r="P830" s="19"/>
      <c r="Q830" s="19"/>
      <c r="R830" s="19"/>
      <c r="S830" s="19"/>
      <c r="T830" s="19"/>
      <c r="U830" s="19"/>
      <c r="V830" s="19"/>
      <c r="W830" s="19"/>
      <c r="X830" s="19"/>
    </row>
    <row r="831" spans="1:24" ht="12" customHeight="1">
      <c r="A831" s="19"/>
      <c r="B831" s="19"/>
      <c r="C831" s="19"/>
      <c r="D831" s="19"/>
      <c r="E831" s="19"/>
      <c r="F831" s="19"/>
      <c r="G831" s="19"/>
      <c r="H831" s="19"/>
      <c r="I831" s="19"/>
      <c r="J831" s="19"/>
      <c r="K831" s="19"/>
      <c r="L831" s="19"/>
      <c r="M831" s="19"/>
      <c r="N831" s="19"/>
      <c r="O831" s="19"/>
      <c r="P831" s="19"/>
      <c r="Q831" s="19"/>
      <c r="R831" s="19"/>
      <c r="S831" s="19"/>
      <c r="T831" s="19"/>
      <c r="U831" s="19"/>
      <c r="V831" s="19"/>
      <c r="W831" s="19"/>
      <c r="X831" s="19"/>
    </row>
    <row r="832" spans="1:24" ht="12" customHeight="1">
      <c r="A832" s="19"/>
      <c r="B832" s="19"/>
      <c r="C832" s="19"/>
      <c r="D832" s="19"/>
      <c r="E832" s="19"/>
      <c r="F832" s="19"/>
      <c r="G832" s="19"/>
      <c r="H832" s="19"/>
      <c r="I832" s="19"/>
      <c r="J832" s="19"/>
      <c r="K832" s="19"/>
      <c r="L832" s="19"/>
      <c r="M832" s="19"/>
      <c r="N832" s="19"/>
      <c r="O832" s="19"/>
      <c r="P832" s="19"/>
      <c r="Q832" s="19"/>
      <c r="R832" s="19"/>
      <c r="S832" s="19"/>
      <c r="T832" s="19"/>
      <c r="U832" s="19"/>
      <c r="V832" s="19"/>
      <c r="W832" s="19"/>
      <c r="X832" s="19"/>
    </row>
    <row r="833" spans="1:24" ht="12" customHeight="1">
      <c r="A833" s="19"/>
      <c r="B833" s="19"/>
      <c r="C833" s="19"/>
      <c r="D833" s="19"/>
      <c r="E833" s="19"/>
      <c r="F833" s="19"/>
      <c r="G833" s="19"/>
      <c r="H833" s="19"/>
      <c r="I833" s="19"/>
      <c r="J833" s="19"/>
      <c r="K833" s="19"/>
      <c r="L833" s="19"/>
      <c r="M833" s="19"/>
      <c r="N833" s="19"/>
      <c r="O833" s="19"/>
      <c r="P833" s="19"/>
      <c r="Q833" s="19"/>
      <c r="R833" s="19"/>
      <c r="S833" s="19"/>
      <c r="T833" s="19"/>
      <c r="U833" s="19"/>
      <c r="V833" s="19"/>
      <c r="W833" s="19"/>
      <c r="X833" s="19"/>
    </row>
    <row r="834" spans="1:24" ht="12" customHeight="1">
      <c r="A834" s="19"/>
      <c r="B834" s="19"/>
      <c r="C834" s="19"/>
      <c r="D834" s="19"/>
      <c r="E834" s="19"/>
      <c r="F834" s="19"/>
      <c r="G834" s="19"/>
      <c r="H834" s="19"/>
      <c r="I834" s="19"/>
      <c r="J834" s="19"/>
      <c r="K834" s="19"/>
      <c r="L834" s="19"/>
      <c r="M834" s="19"/>
      <c r="N834" s="19"/>
      <c r="O834" s="19"/>
      <c r="P834" s="19"/>
      <c r="Q834" s="19"/>
      <c r="R834" s="19"/>
      <c r="S834" s="19"/>
      <c r="T834" s="19"/>
      <c r="U834" s="19"/>
      <c r="V834" s="19"/>
      <c r="W834" s="19"/>
      <c r="X834" s="19"/>
    </row>
    <row r="835" spans="1:24" ht="12" customHeight="1">
      <c r="A835" s="19"/>
      <c r="B835" s="19"/>
      <c r="C835" s="19"/>
      <c r="D835" s="19"/>
      <c r="E835" s="19"/>
      <c r="F835" s="19"/>
      <c r="G835" s="19"/>
      <c r="H835" s="19"/>
      <c r="I835" s="19"/>
      <c r="J835" s="19"/>
      <c r="K835" s="19"/>
      <c r="L835" s="19"/>
      <c r="M835" s="19"/>
      <c r="N835" s="19"/>
      <c r="O835" s="19"/>
      <c r="P835" s="19"/>
      <c r="Q835" s="19"/>
      <c r="R835" s="19"/>
      <c r="S835" s="19"/>
      <c r="T835" s="19"/>
      <c r="U835" s="19"/>
      <c r="V835" s="19"/>
      <c r="W835" s="19"/>
      <c r="X835" s="19"/>
    </row>
    <row r="836" spans="1:24" ht="12" customHeight="1">
      <c r="A836" s="19"/>
      <c r="B836" s="19"/>
      <c r="C836" s="19"/>
      <c r="D836" s="19"/>
      <c r="E836" s="19"/>
      <c r="F836" s="19"/>
      <c r="G836" s="19"/>
      <c r="H836" s="19"/>
      <c r="I836" s="19"/>
      <c r="J836" s="19"/>
      <c r="K836" s="19"/>
      <c r="L836" s="19"/>
      <c r="M836" s="19"/>
      <c r="N836" s="19"/>
      <c r="O836" s="19"/>
      <c r="P836" s="19"/>
      <c r="Q836" s="19"/>
      <c r="R836" s="19"/>
      <c r="S836" s="19"/>
      <c r="T836" s="19"/>
      <c r="U836" s="19"/>
      <c r="V836" s="19"/>
      <c r="W836" s="19"/>
      <c r="X836" s="19"/>
    </row>
    <row r="837" spans="1:24" ht="12" customHeight="1">
      <c r="A837" s="19"/>
      <c r="B837" s="19"/>
      <c r="C837" s="19"/>
      <c r="D837" s="19"/>
      <c r="E837" s="19"/>
      <c r="F837" s="19"/>
      <c r="G837" s="19"/>
      <c r="H837" s="19"/>
      <c r="I837" s="19"/>
      <c r="J837" s="19"/>
      <c r="K837" s="19"/>
      <c r="L837" s="19"/>
      <c r="M837" s="19"/>
      <c r="N837" s="19"/>
      <c r="O837" s="19"/>
      <c r="P837" s="19"/>
      <c r="Q837" s="19"/>
      <c r="R837" s="19"/>
      <c r="S837" s="19"/>
      <c r="T837" s="19"/>
      <c r="U837" s="19"/>
      <c r="V837" s="19"/>
      <c r="W837" s="19"/>
      <c r="X837" s="19"/>
    </row>
    <row r="838" spans="1:24" ht="12" customHeight="1">
      <c r="A838" s="19"/>
      <c r="B838" s="19"/>
      <c r="C838" s="19"/>
      <c r="D838" s="19"/>
      <c r="E838" s="19"/>
      <c r="F838" s="19"/>
      <c r="G838" s="19"/>
      <c r="H838" s="19"/>
      <c r="I838" s="19"/>
      <c r="J838" s="19"/>
      <c r="K838" s="19"/>
      <c r="L838" s="19"/>
      <c r="M838" s="19"/>
      <c r="N838" s="19"/>
      <c r="O838" s="19"/>
      <c r="P838" s="19"/>
      <c r="Q838" s="19"/>
      <c r="R838" s="19"/>
      <c r="S838" s="19"/>
      <c r="T838" s="19"/>
      <c r="U838" s="19"/>
      <c r="V838" s="19"/>
      <c r="W838" s="19"/>
      <c r="X838" s="19"/>
    </row>
    <row r="839" spans="1:24" ht="12" customHeight="1">
      <c r="A839" s="19"/>
      <c r="B839" s="19"/>
      <c r="C839" s="19"/>
      <c r="D839" s="19"/>
      <c r="E839" s="19"/>
      <c r="F839" s="19"/>
      <c r="G839" s="19"/>
      <c r="H839" s="19"/>
      <c r="I839" s="19"/>
      <c r="J839" s="19"/>
      <c r="K839" s="19"/>
      <c r="L839" s="19"/>
      <c r="M839" s="19"/>
      <c r="N839" s="19"/>
      <c r="O839" s="19"/>
      <c r="P839" s="19"/>
      <c r="Q839" s="19"/>
      <c r="R839" s="19"/>
      <c r="S839" s="19"/>
      <c r="T839" s="19"/>
      <c r="U839" s="19"/>
      <c r="V839" s="19"/>
      <c r="W839" s="19"/>
      <c r="X839" s="19"/>
    </row>
    <row r="840" spans="1:24" ht="12" customHeight="1">
      <c r="A840" s="19"/>
      <c r="B840" s="19"/>
      <c r="C840" s="19"/>
      <c r="D840" s="19"/>
      <c r="E840" s="19"/>
      <c r="F840" s="19"/>
      <c r="G840" s="19"/>
      <c r="H840" s="19"/>
      <c r="I840" s="19"/>
      <c r="J840" s="19"/>
      <c r="K840" s="19"/>
      <c r="L840" s="19"/>
      <c r="M840" s="19"/>
      <c r="N840" s="19"/>
      <c r="O840" s="19"/>
      <c r="P840" s="19"/>
      <c r="Q840" s="19"/>
      <c r="R840" s="19"/>
      <c r="S840" s="19"/>
      <c r="T840" s="19"/>
      <c r="U840" s="19"/>
      <c r="V840" s="19"/>
      <c r="W840" s="19"/>
      <c r="X840" s="19"/>
    </row>
    <row r="841" spans="1:24" ht="12" customHeight="1">
      <c r="A841" s="19"/>
      <c r="B841" s="19"/>
      <c r="C841" s="19"/>
      <c r="D841" s="19"/>
      <c r="E841" s="19"/>
      <c r="F841" s="19"/>
      <c r="G841" s="19"/>
      <c r="H841" s="19"/>
      <c r="I841" s="19"/>
      <c r="J841" s="19"/>
      <c r="K841" s="19"/>
      <c r="L841" s="19"/>
      <c r="M841" s="19"/>
      <c r="N841" s="19"/>
      <c r="O841" s="19"/>
      <c r="P841" s="19"/>
      <c r="Q841" s="19"/>
      <c r="R841" s="19"/>
      <c r="S841" s="19"/>
      <c r="T841" s="19"/>
      <c r="U841" s="19"/>
      <c r="V841" s="19"/>
      <c r="W841" s="19"/>
      <c r="X841" s="19"/>
    </row>
    <row r="842" spans="1:24" ht="12" customHeight="1">
      <c r="A842" s="19"/>
      <c r="B842" s="19"/>
      <c r="C842" s="19"/>
      <c r="D842" s="19"/>
      <c r="E842" s="19"/>
      <c r="F842" s="19"/>
      <c r="G842" s="19"/>
      <c r="H842" s="19"/>
      <c r="I842" s="19"/>
      <c r="J842" s="19"/>
      <c r="K842" s="19"/>
      <c r="L842" s="19"/>
      <c r="M842" s="19"/>
      <c r="N842" s="19"/>
      <c r="O842" s="19"/>
      <c r="P842" s="19"/>
      <c r="Q842" s="19"/>
      <c r="R842" s="19"/>
      <c r="S842" s="19"/>
      <c r="T842" s="19"/>
      <c r="U842" s="19"/>
      <c r="V842" s="19"/>
      <c r="W842" s="19"/>
      <c r="X842" s="19"/>
    </row>
    <row r="843" spans="1:24" ht="12" customHeight="1">
      <c r="A843" s="19"/>
      <c r="B843" s="19"/>
      <c r="C843" s="19"/>
      <c r="D843" s="19"/>
      <c r="E843" s="19"/>
      <c r="F843" s="19"/>
      <c r="G843" s="19"/>
      <c r="H843" s="19"/>
      <c r="I843" s="19"/>
      <c r="J843" s="19"/>
      <c r="K843" s="19"/>
      <c r="L843" s="19"/>
      <c r="M843" s="19"/>
      <c r="N843" s="19"/>
      <c r="O843" s="19"/>
      <c r="P843" s="19"/>
      <c r="Q843" s="19"/>
      <c r="R843" s="19"/>
      <c r="S843" s="19"/>
      <c r="T843" s="19"/>
      <c r="U843" s="19"/>
      <c r="V843" s="19"/>
      <c r="W843" s="19"/>
      <c r="X843" s="19"/>
    </row>
    <row r="844" spans="1:24" ht="12" customHeight="1">
      <c r="A844" s="19"/>
      <c r="B844" s="19"/>
      <c r="C844" s="19"/>
      <c r="D844" s="19"/>
      <c r="E844" s="19"/>
      <c r="F844" s="19"/>
      <c r="G844" s="19"/>
      <c r="H844" s="19"/>
      <c r="I844" s="19"/>
      <c r="J844" s="19"/>
      <c r="K844" s="19"/>
      <c r="L844" s="19"/>
      <c r="M844" s="19"/>
      <c r="N844" s="19"/>
      <c r="O844" s="19"/>
      <c r="P844" s="19"/>
      <c r="Q844" s="19"/>
      <c r="R844" s="19"/>
      <c r="S844" s="19"/>
      <c r="T844" s="19"/>
      <c r="U844" s="19"/>
      <c r="V844" s="19"/>
      <c r="W844" s="19"/>
      <c r="X844" s="19"/>
    </row>
    <row r="845" spans="1:24" ht="12" customHeight="1">
      <c r="A845" s="19"/>
      <c r="B845" s="19"/>
      <c r="C845" s="19"/>
      <c r="D845" s="19"/>
      <c r="E845" s="19"/>
      <c r="F845" s="19"/>
      <c r="G845" s="19"/>
      <c r="H845" s="19"/>
      <c r="I845" s="19"/>
      <c r="J845" s="19"/>
      <c r="K845" s="19"/>
      <c r="L845" s="19"/>
      <c r="M845" s="19"/>
      <c r="N845" s="19"/>
      <c r="O845" s="19"/>
      <c r="P845" s="19"/>
      <c r="Q845" s="19"/>
      <c r="R845" s="19"/>
      <c r="S845" s="19"/>
      <c r="T845" s="19"/>
      <c r="U845" s="19"/>
      <c r="V845" s="19"/>
      <c r="W845" s="19"/>
      <c r="X845" s="19"/>
    </row>
    <row r="846" spans="1:24" ht="12" customHeight="1">
      <c r="A846" s="19"/>
      <c r="B846" s="19"/>
      <c r="C846" s="19"/>
      <c r="D846" s="19"/>
      <c r="E846" s="19"/>
      <c r="F846" s="19"/>
      <c r="G846" s="19"/>
      <c r="H846" s="19"/>
      <c r="I846" s="19"/>
      <c r="J846" s="19"/>
      <c r="K846" s="19"/>
      <c r="L846" s="19"/>
      <c r="M846" s="19"/>
      <c r="N846" s="19"/>
      <c r="O846" s="19"/>
      <c r="P846" s="19"/>
      <c r="Q846" s="19"/>
      <c r="R846" s="19"/>
      <c r="S846" s="19"/>
      <c r="T846" s="19"/>
      <c r="U846" s="19"/>
      <c r="V846" s="19"/>
      <c r="W846" s="19"/>
      <c r="X846" s="19"/>
    </row>
    <row r="847" spans="1:24" ht="12" customHeight="1">
      <c r="A847" s="19"/>
      <c r="B847" s="19"/>
      <c r="C847" s="19"/>
      <c r="D847" s="19"/>
      <c r="E847" s="19"/>
      <c r="F847" s="19"/>
      <c r="G847" s="19"/>
      <c r="H847" s="19"/>
      <c r="I847" s="19"/>
      <c r="J847" s="19"/>
      <c r="K847" s="19"/>
      <c r="L847" s="19"/>
      <c r="M847" s="19"/>
      <c r="N847" s="19"/>
      <c r="O847" s="19"/>
      <c r="P847" s="19"/>
      <c r="Q847" s="19"/>
      <c r="R847" s="19"/>
      <c r="S847" s="19"/>
      <c r="T847" s="19"/>
      <c r="U847" s="19"/>
      <c r="V847" s="19"/>
      <c r="W847" s="19"/>
      <c r="X847" s="19"/>
    </row>
    <row r="848" spans="1:24" ht="12" customHeight="1">
      <c r="A848" s="19"/>
      <c r="B848" s="19"/>
      <c r="C848" s="19"/>
      <c r="D848" s="19"/>
      <c r="E848" s="19"/>
      <c r="F848" s="19"/>
      <c r="G848" s="19"/>
      <c r="H848" s="19"/>
      <c r="I848" s="19"/>
      <c r="J848" s="19"/>
      <c r="K848" s="19"/>
      <c r="L848" s="19"/>
      <c r="M848" s="19"/>
      <c r="N848" s="19"/>
      <c r="O848" s="19"/>
      <c r="P848" s="19"/>
      <c r="Q848" s="19"/>
      <c r="R848" s="19"/>
      <c r="S848" s="19"/>
      <c r="T848" s="19"/>
      <c r="U848" s="19"/>
      <c r="V848" s="19"/>
      <c r="W848" s="19"/>
      <c r="X848" s="19"/>
    </row>
    <row r="849" spans="1:24" ht="12" customHeight="1">
      <c r="A849" s="19"/>
      <c r="B849" s="19"/>
      <c r="C849" s="19"/>
      <c r="D849" s="19"/>
      <c r="E849" s="19"/>
      <c r="F849" s="19"/>
      <c r="G849" s="19"/>
      <c r="H849" s="19"/>
      <c r="I849" s="19"/>
      <c r="J849" s="19"/>
      <c r="K849" s="19"/>
      <c r="L849" s="19"/>
      <c r="M849" s="19"/>
      <c r="N849" s="19"/>
      <c r="O849" s="19"/>
      <c r="P849" s="19"/>
      <c r="Q849" s="19"/>
      <c r="R849" s="19"/>
      <c r="S849" s="19"/>
      <c r="T849" s="19"/>
      <c r="U849" s="19"/>
      <c r="V849" s="19"/>
      <c r="W849" s="19"/>
      <c r="X849" s="19"/>
    </row>
    <row r="850" spans="1:24" ht="12" customHeight="1">
      <c r="A850" s="19"/>
      <c r="B850" s="19"/>
      <c r="C850" s="19"/>
      <c r="D850" s="19"/>
      <c r="E850" s="19"/>
      <c r="F850" s="19"/>
      <c r="G850" s="19"/>
      <c r="H850" s="19"/>
      <c r="I850" s="19"/>
      <c r="J850" s="19"/>
      <c r="K850" s="19"/>
      <c r="L850" s="19"/>
      <c r="M850" s="19"/>
      <c r="N850" s="19"/>
      <c r="O850" s="19"/>
      <c r="P850" s="19"/>
      <c r="Q850" s="19"/>
      <c r="R850" s="19"/>
      <c r="S850" s="19"/>
      <c r="T850" s="19"/>
      <c r="U850" s="19"/>
      <c r="V850" s="19"/>
      <c r="W850" s="19"/>
      <c r="X850" s="19"/>
    </row>
    <row r="851" spans="1:24" ht="12" customHeight="1">
      <c r="A851" s="19"/>
      <c r="B851" s="19"/>
      <c r="C851" s="19"/>
      <c r="D851" s="19"/>
      <c r="E851" s="19"/>
      <c r="F851" s="19"/>
      <c r="G851" s="19"/>
      <c r="H851" s="19"/>
      <c r="I851" s="19"/>
      <c r="J851" s="19"/>
      <c r="K851" s="19"/>
      <c r="L851" s="19"/>
      <c r="M851" s="19"/>
      <c r="N851" s="19"/>
      <c r="O851" s="19"/>
      <c r="P851" s="19"/>
      <c r="Q851" s="19"/>
      <c r="R851" s="19"/>
      <c r="S851" s="19"/>
      <c r="T851" s="19"/>
      <c r="U851" s="19"/>
      <c r="V851" s="19"/>
      <c r="W851" s="19"/>
      <c r="X851" s="19"/>
    </row>
    <row r="852" spans="1:24" ht="12" customHeight="1">
      <c r="A852" s="19"/>
      <c r="B852" s="19"/>
      <c r="C852" s="19"/>
      <c r="D852" s="19"/>
      <c r="E852" s="19"/>
      <c r="F852" s="19"/>
      <c r="G852" s="19"/>
      <c r="H852" s="19"/>
      <c r="I852" s="19"/>
      <c r="J852" s="19"/>
      <c r="K852" s="19"/>
      <c r="L852" s="19"/>
      <c r="M852" s="19"/>
      <c r="N852" s="19"/>
      <c r="O852" s="19"/>
      <c r="P852" s="19"/>
      <c r="Q852" s="19"/>
      <c r="R852" s="19"/>
      <c r="S852" s="19"/>
      <c r="T852" s="19"/>
      <c r="U852" s="19"/>
      <c r="V852" s="19"/>
      <c r="W852" s="19"/>
      <c r="X852" s="19"/>
    </row>
    <row r="853" spans="1:24" ht="12" customHeight="1">
      <c r="A853" s="19"/>
      <c r="B853" s="19"/>
      <c r="C853" s="19"/>
      <c r="D853" s="19"/>
      <c r="E853" s="19"/>
      <c r="F853" s="19"/>
      <c r="G853" s="19"/>
      <c r="H853" s="19"/>
      <c r="I853" s="19"/>
      <c r="J853" s="19"/>
      <c r="K853" s="19"/>
      <c r="L853" s="19"/>
      <c r="M853" s="19"/>
      <c r="N853" s="19"/>
      <c r="O853" s="19"/>
      <c r="P853" s="19"/>
      <c r="Q853" s="19"/>
      <c r="R853" s="19"/>
      <c r="S853" s="19"/>
      <c r="T853" s="19"/>
      <c r="U853" s="19"/>
      <c r="V853" s="19"/>
      <c r="W853" s="19"/>
      <c r="X853" s="19"/>
    </row>
    <row r="854" spans="1:24" ht="12" customHeight="1">
      <c r="A854" s="19"/>
      <c r="B854" s="19"/>
      <c r="C854" s="19"/>
      <c r="D854" s="19"/>
      <c r="E854" s="19"/>
      <c r="F854" s="19"/>
      <c r="G854" s="19"/>
      <c r="H854" s="19"/>
      <c r="I854" s="19"/>
      <c r="J854" s="19"/>
      <c r="K854" s="19"/>
      <c r="L854" s="19"/>
      <c r="M854" s="19"/>
      <c r="N854" s="19"/>
      <c r="O854" s="19"/>
      <c r="P854" s="19"/>
      <c r="Q854" s="19"/>
      <c r="R854" s="19"/>
      <c r="S854" s="19"/>
      <c r="T854" s="19"/>
      <c r="U854" s="19"/>
      <c r="V854" s="19"/>
      <c r="W854" s="19"/>
      <c r="X854" s="19"/>
    </row>
    <row r="855" spans="1:24" ht="12" customHeight="1">
      <c r="A855" s="19"/>
      <c r="B855" s="19"/>
      <c r="C855" s="19"/>
      <c r="D855" s="19"/>
      <c r="E855" s="19"/>
      <c r="F855" s="19"/>
      <c r="G855" s="19"/>
      <c r="H855" s="19"/>
      <c r="I855" s="19"/>
      <c r="J855" s="19"/>
      <c r="K855" s="19"/>
      <c r="L855" s="19"/>
      <c r="M855" s="19"/>
      <c r="N855" s="19"/>
      <c r="O855" s="19"/>
      <c r="P855" s="19"/>
      <c r="Q855" s="19"/>
      <c r="R855" s="19"/>
      <c r="S855" s="19"/>
      <c r="T855" s="19"/>
      <c r="U855" s="19"/>
      <c r="V855" s="19"/>
      <c r="W855" s="19"/>
      <c r="X855" s="19"/>
    </row>
    <row r="856" spans="1:24" ht="12" customHeight="1">
      <c r="A856" s="19"/>
      <c r="B856" s="19"/>
      <c r="C856" s="19"/>
      <c r="D856" s="19"/>
      <c r="E856" s="19"/>
      <c r="F856" s="19"/>
      <c r="G856" s="19"/>
      <c r="H856" s="19"/>
      <c r="I856" s="19"/>
      <c r="J856" s="19"/>
      <c r="K856" s="19"/>
      <c r="L856" s="19"/>
      <c r="M856" s="19"/>
      <c r="N856" s="19"/>
      <c r="O856" s="19"/>
      <c r="P856" s="19"/>
      <c r="Q856" s="19"/>
      <c r="R856" s="19"/>
      <c r="S856" s="19"/>
      <c r="T856" s="19"/>
      <c r="U856" s="19"/>
      <c r="V856" s="19"/>
      <c r="W856" s="19"/>
      <c r="X856" s="19"/>
    </row>
    <row r="857" spans="1:24" ht="12" customHeight="1">
      <c r="A857" s="19"/>
      <c r="B857" s="19"/>
      <c r="C857" s="19"/>
      <c r="D857" s="19"/>
      <c r="E857" s="19"/>
      <c r="F857" s="19"/>
      <c r="G857" s="19"/>
      <c r="H857" s="19"/>
      <c r="I857" s="19"/>
      <c r="J857" s="19"/>
      <c r="K857" s="19"/>
      <c r="L857" s="19"/>
      <c r="M857" s="19"/>
      <c r="N857" s="19"/>
      <c r="O857" s="19"/>
      <c r="P857" s="19"/>
      <c r="Q857" s="19"/>
      <c r="R857" s="19"/>
      <c r="S857" s="19"/>
      <c r="T857" s="19"/>
      <c r="U857" s="19"/>
      <c r="V857" s="19"/>
      <c r="W857" s="19"/>
      <c r="X857" s="19"/>
    </row>
    <row r="858" spans="1:24" ht="12" customHeight="1">
      <c r="A858" s="19"/>
      <c r="B858" s="19"/>
      <c r="C858" s="19"/>
      <c r="D858" s="19"/>
      <c r="E858" s="19"/>
      <c r="F858" s="19"/>
      <c r="G858" s="19"/>
      <c r="H858" s="19"/>
      <c r="I858" s="19"/>
      <c r="J858" s="19"/>
      <c r="K858" s="19"/>
      <c r="L858" s="19"/>
      <c r="M858" s="19"/>
      <c r="N858" s="19"/>
      <c r="O858" s="19"/>
      <c r="P858" s="19"/>
      <c r="Q858" s="19"/>
      <c r="R858" s="19"/>
      <c r="S858" s="19"/>
      <c r="T858" s="19"/>
      <c r="U858" s="19"/>
      <c r="V858" s="19"/>
      <c r="W858" s="19"/>
      <c r="X858" s="19"/>
    </row>
    <row r="859" spans="1:24" ht="12" customHeight="1">
      <c r="A859" s="19"/>
      <c r="B859" s="19"/>
      <c r="C859" s="19"/>
      <c r="D859" s="19"/>
      <c r="E859" s="19"/>
      <c r="F859" s="19"/>
      <c r="G859" s="19"/>
      <c r="H859" s="19"/>
      <c r="I859" s="19"/>
      <c r="J859" s="19"/>
      <c r="K859" s="19"/>
      <c r="L859" s="19"/>
      <c r="M859" s="19"/>
      <c r="N859" s="19"/>
      <c r="O859" s="19"/>
      <c r="P859" s="19"/>
      <c r="Q859" s="19"/>
      <c r="R859" s="19"/>
      <c r="S859" s="19"/>
      <c r="T859" s="19"/>
      <c r="U859" s="19"/>
      <c r="V859" s="19"/>
      <c r="W859" s="19"/>
      <c r="X859" s="19"/>
    </row>
    <row r="860" spans="1:24" ht="12" customHeight="1">
      <c r="A860" s="19"/>
      <c r="B860" s="19"/>
      <c r="C860" s="19"/>
      <c r="D860" s="19"/>
      <c r="E860" s="19"/>
      <c r="F860" s="19"/>
      <c r="G860" s="19"/>
      <c r="H860" s="19"/>
      <c r="I860" s="19"/>
      <c r="J860" s="19"/>
      <c r="K860" s="19"/>
      <c r="L860" s="19"/>
      <c r="M860" s="19"/>
      <c r="N860" s="19"/>
      <c r="O860" s="19"/>
      <c r="P860" s="19"/>
      <c r="Q860" s="19"/>
      <c r="R860" s="19"/>
      <c r="S860" s="19"/>
      <c r="T860" s="19"/>
      <c r="U860" s="19"/>
      <c r="V860" s="19"/>
      <c r="W860" s="19"/>
      <c r="X860" s="19"/>
    </row>
    <row r="861" spans="1:24" ht="12" customHeight="1">
      <c r="A861" s="19"/>
      <c r="B861" s="19"/>
      <c r="C861" s="19"/>
      <c r="D861" s="19"/>
      <c r="E861" s="19"/>
      <c r="F861" s="19"/>
      <c r="G861" s="19"/>
      <c r="H861" s="19"/>
      <c r="I861" s="19"/>
      <c r="J861" s="19"/>
      <c r="K861" s="19"/>
      <c r="L861" s="19"/>
      <c r="M861" s="19"/>
      <c r="N861" s="19"/>
      <c r="O861" s="19"/>
      <c r="P861" s="19"/>
      <c r="Q861" s="19"/>
      <c r="R861" s="19"/>
      <c r="S861" s="19"/>
      <c r="T861" s="19"/>
      <c r="U861" s="19"/>
      <c r="V861" s="19"/>
      <c r="W861" s="19"/>
      <c r="X861" s="19"/>
    </row>
    <row r="862" spans="1:24" ht="12" customHeight="1">
      <c r="A862" s="19"/>
      <c r="B862" s="19"/>
      <c r="C862" s="19"/>
      <c r="D862" s="19"/>
      <c r="E862" s="19"/>
      <c r="F862" s="19"/>
      <c r="G862" s="19"/>
      <c r="H862" s="19"/>
      <c r="I862" s="19"/>
      <c r="J862" s="19"/>
      <c r="K862" s="19"/>
      <c r="L862" s="19"/>
      <c r="M862" s="19"/>
      <c r="N862" s="19"/>
      <c r="O862" s="19"/>
      <c r="P862" s="19"/>
      <c r="Q862" s="19"/>
      <c r="R862" s="19"/>
      <c r="S862" s="19"/>
      <c r="T862" s="19"/>
      <c r="U862" s="19"/>
      <c r="V862" s="19"/>
      <c r="W862" s="19"/>
      <c r="X862" s="19"/>
    </row>
    <row r="863" spans="1:24" ht="12" customHeight="1">
      <c r="A863" s="19"/>
      <c r="B863" s="19"/>
      <c r="C863" s="19"/>
      <c r="D863" s="19"/>
      <c r="E863" s="19"/>
      <c r="F863" s="19"/>
      <c r="G863" s="19"/>
      <c r="H863" s="19"/>
      <c r="I863" s="19"/>
      <c r="J863" s="19"/>
      <c r="K863" s="19"/>
      <c r="L863" s="19"/>
      <c r="M863" s="19"/>
      <c r="N863" s="19"/>
      <c r="O863" s="19"/>
      <c r="P863" s="19"/>
      <c r="Q863" s="19"/>
      <c r="R863" s="19"/>
      <c r="S863" s="19"/>
      <c r="T863" s="19"/>
      <c r="U863" s="19"/>
      <c r="V863" s="19"/>
      <c r="W863" s="19"/>
      <c r="X863" s="19"/>
    </row>
    <row r="864" spans="1:24" ht="12" customHeight="1">
      <c r="A864" s="19"/>
      <c r="B864" s="19"/>
      <c r="C864" s="19"/>
      <c r="D864" s="19"/>
      <c r="E864" s="19"/>
      <c r="F864" s="19"/>
      <c r="G864" s="19"/>
      <c r="H864" s="19"/>
      <c r="I864" s="19"/>
      <c r="J864" s="19"/>
      <c r="K864" s="19"/>
      <c r="L864" s="19"/>
      <c r="M864" s="19"/>
      <c r="N864" s="19"/>
      <c r="O864" s="19"/>
      <c r="P864" s="19"/>
      <c r="Q864" s="19"/>
      <c r="R864" s="19"/>
      <c r="S864" s="19"/>
      <c r="T864" s="19"/>
      <c r="U864" s="19"/>
      <c r="V864" s="19"/>
      <c r="W864" s="19"/>
      <c r="X864" s="19"/>
    </row>
    <row r="865" spans="1:24" ht="12" customHeight="1">
      <c r="A865" s="19"/>
      <c r="B865" s="19"/>
      <c r="C865" s="19"/>
      <c r="D865" s="19"/>
      <c r="E865" s="19"/>
      <c r="F865" s="19"/>
      <c r="G865" s="19"/>
      <c r="H865" s="19"/>
      <c r="I865" s="19"/>
      <c r="J865" s="19"/>
      <c r="K865" s="19"/>
      <c r="L865" s="19"/>
      <c r="M865" s="19"/>
      <c r="N865" s="19"/>
      <c r="O865" s="19"/>
      <c r="P865" s="19"/>
      <c r="Q865" s="19"/>
      <c r="R865" s="19"/>
      <c r="S865" s="19"/>
      <c r="T865" s="19"/>
      <c r="U865" s="19"/>
      <c r="V865" s="19"/>
      <c r="W865" s="19"/>
      <c r="X865" s="19"/>
    </row>
    <row r="866" spans="1:24" ht="12" customHeight="1">
      <c r="A866" s="19"/>
      <c r="B866" s="19"/>
      <c r="C866" s="19"/>
      <c r="D866" s="19"/>
      <c r="E866" s="19"/>
      <c r="F866" s="19"/>
      <c r="G866" s="19"/>
      <c r="H866" s="19"/>
      <c r="I866" s="19"/>
      <c r="J866" s="19"/>
      <c r="K866" s="19"/>
      <c r="L866" s="19"/>
      <c r="M866" s="19"/>
      <c r="N866" s="19"/>
      <c r="O866" s="19"/>
      <c r="P866" s="19"/>
      <c r="Q866" s="19"/>
      <c r="R866" s="19"/>
      <c r="S866" s="19"/>
      <c r="T866" s="19"/>
      <c r="U866" s="19"/>
      <c r="V866" s="19"/>
      <c r="W866" s="19"/>
      <c r="X866" s="19"/>
    </row>
    <row r="867" spans="1:24" ht="12" customHeight="1">
      <c r="A867" s="19"/>
      <c r="B867" s="19"/>
      <c r="C867" s="19"/>
      <c r="D867" s="19"/>
      <c r="E867" s="19"/>
      <c r="F867" s="19"/>
      <c r="G867" s="19"/>
      <c r="H867" s="19"/>
      <c r="I867" s="19"/>
      <c r="J867" s="19"/>
      <c r="K867" s="19"/>
      <c r="L867" s="19"/>
      <c r="M867" s="19"/>
      <c r="N867" s="19"/>
      <c r="O867" s="19"/>
      <c r="P867" s="19"/>
      <c r="Q867" s="19"/>
      <c r="R867" s="19"/>
      <c r="S867" s="19"/>
      <c r="T867" s="19"/>
      <c r="U867" s="19"/>
      <c r="V867" s="19"/>
      <c r="W867" s="19"/>
      <c r="X867" s="19"/>
    </row>
    <row r="868" spans="1:24" ht="12" customHeight="1">
      <c r="A868" s="19"/>
      <c r="B868" s="19"/>
      <c r="C868" s="19"/>
      <c r="D868" s="19"/>
      <c r="E868" s="19"/>
      <c r="F868" s="19"/>
      <c r="G868" s="19"/>
      <c r="H868" s="19"/>
      <c r="I868" s="19"/>
      <c r="J868" s="19"/>
      <c r="K868" s="19"/>
      <c r="L868" s="19"/>
      <c r="M868" s="19"/>
      <c r="N868" s="19"/>
      <c r="O868" s="19"/>
      <c r="P868" s="19"/>
      <c r="Q868" s="19"/>
      <c r="R868" s="19"/>
      <c r="S868" s="19"/>
      <c r="T868" s="19"/>
      <c r="U868" s="19"/>
      <c r="V868" s="19"/>
      <c r="W868" s="19"/>
      <c r="X868" s="19"/>
    </row>
    <row r="869" spans="1:24" ht="12" customHeight="1">
      <c r="A869" s="19"/>
      <c r="B869" s="19"/>
      <c r="C869" s="19"/>
      <c r="D869" s="19"/>
      <c r="E869" s="19"/>
      <c r="F869" s="19"/>
      <c r="G869" s="19"/>
      <c r="H869" s="19"/>
      <c r="I869" s="19"/>
      <c r="J869" s="19"/>
      <c r="K869" s="19"/>
      <c r="L869" s="19"/>
      <c r="M869" s="19"/>
      <c r="N869" s="19"/>
      <c r="O869" s="19"/>
      <c r="P869" s="19"/>
      <c r="Q869" s="19"/>
      <c r="R869" s="19"/>
      <c r="S869" s="19"/>
      <c r="T869" s="19"/>
      <c r="U869" s="19"/>
      <c r="V869" s="19"/>
      <c r="W869" s="19"/>
      <c r="X869" s="19"/>
    </row>
    <row r="870" spans="1:24" ht="12" customHeight="1">
      <c r="A870" s="19"/>
      <c r="B870" s="19"/>
      <c r="C870" s="19"/>
      <c r="D870" s="19"/>
      <c r="E870" s="19"/>
      <c r="F870" s="19"/>
      <c r="G870" s="19"/>
      <c r="H870" s="19"/>
      <c r="I870" s="19"/>
      <c r="J870" s="19"/>
      <c r="K870" s="19"/>
      <c r="L870" s="19"/>
      <c r="M870" s="19"/>
      <c r="N870" s="19"/>
      <c r="O870" s="19"/>
      <c r="P870" s="19"/>
      <c r="Q870" s="19"/>
      <c r="R870" s="19"/>
      <c r="S870" s="19"/>
      <c r="T870" s="19"/>
      <c r="U870" s="19"/>
      <c r="V870" s="19"/>
      <c r="W870" s="19"/>
      <c r="X870" s="19"/>
    </row>
    <row r="871" spans="1:24" ht="12" customHeight="1">
      <c r="A871" s="19"/>
      <c r="B871" s="19"/>
      <c r="C871" s="19"/>
      <c r="D871" s="19"/>
      <c r="E871" s="19"/>
      <c r="F871" s="19"/>
      <c r="G871" s="19"/>
      <c r="H871" s="19"/>
      <c r="I871" s="19"/>
      <c r="J871" s="19"/>
      <c r="K871" s="19"/>
      <c r="L871" s="19"/>
      <c r="M871" s="19"/>
      <c r="N871" s="19"/>
      <c r="O871" s="19"/>
      <c r="P871" s="19"/>
      <c r="Q871" s="19"/>
      <c r="R871" s="19"/>
      <c r="S871" s="19"/>
      <c r="T871" s="19"/>
      <c r="U871" s="19"/>
      <c r="V871" s="19"/>
      <c r="W871" s="19"/>
      <c r="X871" s="19"/>
    </row>
    <row r="872" spans="1:24" ht="12" customHeight="1">
      <c r="A872" s="19"/>
      <c r="B872" s="19"/>
      <c r="C872" s="19"/>
      <c r="D872" s="19"/>
      <c r="E872" s="19"/>
      <c r="F872" s="19"/>
      <c r="G872" s="19"/>
      <c r="H872" s="19"/>
      <c r="I872" s="19"/>
      <c r="J872" s="19"/>
      <c r="K872" s="19"/>
      <c r="L872" s="19"/>
      <c r="M872" s="19"/>
      <c r="N872" s="19"/>
      <c r="O872" s="19"/>
      <c r="P872" s="19"/>
      <c r="Q872" s="19"/>
      <c r="R872" s="19"/>
      <c r="S872" s="19"/>
      <c r="T872" s="19"/>
      <c r="U872" s="19"/>
      <c r="V872" s="19"/>
      <c r="W872" s="19"/>
      <c r="X872" s="19"/>
    </row>
    <row r="873" spans="1:24" ht="12" customHeight="1">
      <c r="A873" s="19"/>
      <c r="B873" s="19"/>
      <c r="C873" s="19"/>
      <c r="D873" s="19"/>
      <c r="E873" s="19"/>
      <c r="F873" s="19"/>
      <c r="G873" s="19"/>
      <c r="H873" s="19"/>
      <c r="I873" s="19"/>
      <c r="J873" s="19"/>
      <c r="K873" s="19"/>
      <c r="L873" s="19"/>
      <c r="M873" s="19"/>
      <c r="N873" s="19"/>
      <c r="O873" s="19"/>
      <c r="P873" s="19"/>
      <c r="Q873" s="19"/>
      <c r="R873" s="19"/>
      <c r="S873" s="19"/>
      <c r="T873" s="19"/>
      <c r="U873" s="19"/>
      <c r="V873" s="19"/>
      <c r="W873" s="19"/>
      <c r="X873" s="19"/>
    </row>
    <row r="874" spans="1:24" ht="12" customHeight="1">
      <c r="A874" s="19"/>
      <c r="B874" s="19"/>
      <c r="C874" s="19"/>
      <c r="D874" s="19"/>
      <c r="E874" s="19"/>
      <c r="F874" s="19"/>
      <c r="G874" s="19"/>
      <c r="H874" s="19"/>
      <c r="I874" s="19"/>
      <c r="J874" s="19"/>
      <c r="K874" s="19"/>
      <c r="L874" s="19"/>
      <c r="M874" s="19"/>
      <c r="N874" s="19"/>
      <c r="O874" s="19"/>
      <c r="P874" s="19"/>
      <c r="Q874" s="19"/>
      <c r="R874" s="19"/>
      <c r="S874" s="19"/>
      <c r="T874" s="19"/>
      <c r="U874" s="19"/>
      <c r="V874" s="19"/>
      <c r="W874" s="19"/>
      <c r="X874" s="19"/>
    </row>
    <row r="875" spans="1:24" ht="12" customHeight="1">
      <c r="A875" s="19"/>
      <c r="B875" s="19"/>
      <c r="C875" s="19"/>
      <c r="D875" s="19"/>
      <c r="E875" s="19"/>
      <c r="F875" s="19"/>
      <c r="G875" s="19"/>
      <c r="H875" s="19"/>
      <c r="I875" s="19"/>
      <c r="J875" s="19"/>
      <c r="K875" s="19"/>
      <c r="L875" s="19"/>
      <c r="M875" s="19"/>
      <c r="N875" s="19"/>
      <c r="O875" s="19"/>
      <c r="P875" s="19"/>
      <c r="Q875" s="19"/>
      <c r="R875" s="19"/>
      <c r="S875" s="19"/>
      <c r="T875" s="19"/>
      <c r="U875" s="19"/>
      <c r="V875" s="19"/>
      <c r="W875" s="19"/>
      <c r="X875" s="19"/>
    </row>
    <row r="876" spans="1:24" ht="12" customHeight="1">
      <c r="A876" s="19"/>
      <c r="B876" s="19"/>
      <c r="C876" s="19"/>
      <c r="D876" s="19"/>
      <c r="E876" s="19"/>
      <c r="F876" s="19"/>
      <c r="G876" s="19"/>
      <c r="H876" s="19"/>
      <c r="I876" s="19"/>
      <c r="J876" s="19"/>
      <c r="K876" s="19"/>
      <c r="L876" s="19"/>
      <c r="M876" s="19"/>
      <c r="N876" s="19"/>
      <c r="O876" s="19"/>
      <c r="P876" s="19"/>
      <c r="Q876" s="19"/>
      <c r="R876" s="19"/>
      <c r="S876" s="19"/>
      <c r="T876" s="19"/>
      <c r="U876" s="19"/>
      <c r="V876" s="19"/>
      <c r="W876" s="19"/>
      <c r="X876" s="19"/>
    </row>
    <row r="877" spans="1:24" ht="12" customHeight="1">
      <c r="A877" s="19"/>
      <c r="B877" s="19"/>
      <c r="C877" s="19"/>
      <c r="D877" s="19"/>
      <c r="E877" s="19"/>
      <c r="F877" s="19"/>
      <c r="G877" s="19"/>
      <c r="H877" s="19"/>
      <c r="I877" s="19"/>
      <c r="J877" s="19"/>
      <c r="K877" s="19"/>
      <c r="L877" s="19"/>
      <c r="M877" s="19"/>
      <c r="N877" s="19"/>
      <c r="O877" s="19"/>
      <c r="P877" s="19"/>
      <c r="Q877" s="19"/>
      <c r="R877" s="19"/>
      <c r="S877" s="19"/>
      <c r="T877" s="19"/>
      <c r="U877" s="19"/>
      <c r="V877" s="19"/>
      <c r="W877" s="19"/>
      <c r="X877" s="19"/>
    </row>
    <row r="878" spans="1:24" ht="12" customHeight="1">
      <c r="A878" s="19"/>
      <c r="B878" s="19"/>
      <c r="C878" s="19"/>
      <c r="D878" s="19"/>
      <c r="E878" s="19"/>
      <c r="F878" s="19"/>
      <c r="G878" s="19"/>
      <c r="H878" s="19"/>
      <c r="I878" s="19"/>
      <c r="J878" s="19"/>
      <c r="K878" s="19"/>
      <c r="L878" s="19"/>
      <c r="M878" s="19"/>
      <c r="N878" s="19"/>
      <c r="O878" s="19"/>
      <c r="P878" s="19"/>
      <c r="Q878" s="19"/>
      <c r="R878" s="19"/>
      <c r="S878" s="19"/>
      <c r="T878" s="19"/>
      <c r="U878" s="19"/>
      <c r="V878" s="19"/>
      <c r="W878" s="19"/>
      <c r="X878" s="19"/>
    </row>
    <row r="879" spans="1:24" ht="12" customHeight="1">
      <c r="A879" s="19"/>
      <c r="B879" s="19"/>
      <c r="C879" s="19"/>
      <c r="D879" s="19"/>
      <c r="E879" s="19"/>
      <c r="F879" s="19"/>
      <c r="G879" s="19"/>
      <c r="H879" s="19"/>
      <c r="I879" s="19"/>
      <c r="J879" s="19"/>
      <c r="K879" s="19"/>
      <c r="L879" s="19"/>
      <c r="M879" s="19"/>
      <c r="N879" s="19"/>
      <c r="O879" s="19"/>
      <c r="P879" s="19"/>
      <c r="Q879" s="19"/>
      <c r="R879" s="19"/>
      <c r="S879" s="19"/>
      <c r="T879" s="19"/>
      <c r="U879" s="19"/>
      <c r="V879" s="19"/>
      <c r="W879" s="19"/>
      <c r="X879" s="19"/>
    </row>
    <row r="880" spans="1:24" ht="12" customHeight="1">
      <c r="A880" s="19"/>
      <c r="B880" s="19"/>
      <c r="C880" s="19"/>
      <c r="D880" s="19"/>
      <c r="E880" s="19"/>
      <c r="F880" s="19"/>
      <c r="G880" s="19"/>
      <c r="H880" s="19"/>
      <c r="I880" s="19"/>
      <c r="J880" s="19"/>
      <c r="K880" s="19"/>
      <c r="L880" s="19"/>
      <c r="M880" s="19"/>
      <c r="N880" s="19"/>
      <c r="O880" s="19"/>
      <c r="P880" s="19"/>
      <c r="Q880" s="19"/>
      <c r="R880" s="19"/>
      <c r="S880" s="19"/>
      <c r="T880" s="19"/>
      <c r="U880" s="19"/>
      <c r="V880" s="19"/>
      <c r="W880" s="19"/>
      <c r="X880" s="19"/>
    </row>
    <row r="881" spans="1:24" ht="12" customHeight="1">
      <c r="A881" s="19"/>
      <c r="B881" s="19"/>
      <c r="C881" s="19"/>
      <c r="D881" s="19"/>
      <c r="E881" s="19"/>
      <c r="F881" s="19"/>
      <c r="G881" s="19"/>
      <c r="H881" s="19"/>
      <c r="I881" s="19"/>
      <c r="J881" s="19"/>
      <c r="K881" s="19"/>
      <c r="L881" s="19"/>
      <c r="M881" s="19"/>
      <c r="N881" s="19"/>
      <c r="O881" s="19"/>
      <c r="P881" s="19"/>
      <c r="Q881" s="19"/>
      <c r="R881" s="19"/>
      <c r="S881" s="19"/>
      <c r="T881" s="19"/>
      <c r="U881" s="19"/>
      <c r="V881" s="19"/>
      <c r="W881" s="19"/>
      <c r="X881" s="19"/>
    </row>
    <row r="882" spans="1:24" ht="12" customHeight="1">
      <c r="A882" s="19"/>
      <c r="B882" s="19"/>
      <c r="C882" s="19"/>
      <c r="D882" s="19"/>
      <c r="E882" s="19"/>
      <c r="F882" s="19"/>
      <c r="G882" s="19"/>
      <c r="H882" s="19"/>
      <c r="I882" s="19"/>
      <c r="J882" s="19"/>
      <c r="K882" s="19"/>
      <c r="L882" s="19"/>
      <c r="M882" s="19"/>
      <c r="N882" s="19"/>
      <c r="O882" s="19"/>
      <c r="P882" s="19"/>
      <c r="Q882" s="19"/>
      <c r="R882" s="19"/>
      <c r="S882" s="19"/>
      <c r="T882" s="19"/>
      <c r="U882" s="19"/>
      <c r="V882" s="19"/>
      <c r="W882" s="19"/>
      <c r="X882" s="19"/>
    </row>
    <row r="883" spans="1:24" ht="12" customHeight="1">
      <c r="A883" s="19"/>
      <c r="B883" s="19"/>
      <c r="C883" s="19"/>
      <c r="D883" s="19"/>
      <c r="E883" s="19"/>
      <c r="F883" s="19"/>
      <c r="G883" s="19"/>
      <c r="H883" s="19"/>
      <c r="I883" s="19"/>
      <c r="J883" s="19"/>
      <c r="K883" s="19"/>
      <c r="L883" s="19"/>
      <c r="M883" s="19"/>
      <c r="N883" s="19"/>
      <c r="O883" s="19"/>
      <c r="P883" s="19"/>
      <c r="Q883" s="19"/>
      <c r="R883" s="19"/>
      <c r="S883" s="19"/>
      <c r="T883" s="19"/>
      <c r="U883" s="19"/>
      <c r="V883" s="19"/>
      <c r="W883" s="19"/>
      <c r="X883" s="19"/>
    </row>
    <row r="884" spans="1:24" ht="12" customHeight="1">
      <c r="A884" s="19"/>
      <c r="B884" s="19"/>
      <c r="C884" s="19"/>
      <c r="D884" s="19"/>
      <c r="E884" s="19"/>
      <c r="F884" s="19"/>
      <c r="G884" s="19"/>
      <c r="H884" s="19"/>
      <c r="I884" s="19"/>
      <c r="J884" s="19"/>
      <c r="K884" s="19"/>
      <c r="L884" s="19"/>
      <c r="M884" s="19"/>
      <c r="N884" s="19"/>
      <c r="O884" s="19"/>
      <c r="P884" s="19"/>
      <c r="Q884" s="19"/>
      <c r="R884" s="19"/>
      <c r="S884" s="19"/>
      <c r="T884" s="19"/>
      <c r="U884" s="19"/>
      <c r="V884" s="19"/>
      <c r="W884" s="19"/>
      <c r="X884" s="19"/>
    </row>
    <row r="885" spans="1:24" ht="12" customHeight="1">
      <c r="A885" s="19"/>
      <c r="B885" s="19"/>
      <c r="C885" s="19"/>
      <c r="D885" s="19"/>
      <c r="E885" s="19"/>
      <c r="F885" s="19"/>
      <c r="G885" s="19"/>
      <c r="H885" s="19"/>
      <c r="I885" s="19"/>
      <c r="J885" s="19"/>
      <c r="K885" s="19"/>
      <c r="L885" s="19"/>
      <c r="M885" s="19"/>
      <c r="N885" s="19"/>
      <c r="O885" s="19"/>
      <c r="P885" s="19"/>
      <c r="Q885" s="19"/>
      <c r="R885" s="19"/>
      <c r="S885" s="19"/>
      <c r="T885" s="19"/>
      <c r="U885" s="19"/>
      <c r="V885" s="19"/>
      <c r="W885" s="19"/>
      <c r="X885" s="19"/>
    </row>
    <row r="886" spans="1:24" ht="12" customHeight="1">
      <c r="A886" s="19"/>
      <c r="B886" s="19"/>
      <c r="C886" s="19"/>
      <c r="D886" s="19"/>
      <c r="E886" s="19"/>
      <c r="F886" s="19"/>
      <c r="G886" s="19"/>
      <c r="H886" s="19"/>
      <c r="I886" s="19"/>
      <c r="J886" s="19"/>
      <c r="K886" s="19"/>
      <c r="L886" s="19"/>
      <c r="M886" s="19"/>
      <c r="N886" s="19"/>
      <c r="O886" s="19"/>
      <c r="P886" s="19"/>
      <c r="Q886" s="19"/>
      <c r="R886" s="19"/>
      <c r="S886" s="19"/>
      <c r="T886" s="19"/>
      <c r="U886" s="19"/>
      <c r="V886" s="19"/>
      <c r="W886" s="19"/>
      <c r="X886" s="19"/>
    </row>
    <row r="887" spans="1:24" ht="12" customHeight="1">
      <c r="A887" s="19"/>
      <c r="B887" s="19"/>
      <c r="C887" s="19"/>
      <c r="D887" s="19"/>
      <c r="E887" s="19"/>
      <c r="F887" s="19"/>
      <c r="G887" s="19"/>
      <c r="H887" s="19"/>
      <c r="I887" s="19"/>
      <c r="J887" s="19"/>
      <c r="K887" s="19"/>
      <c r="L887" s="19"/>
      <c r="M887" s="19"/>
      <c r="N887" s="19"/>
      <c r="O887" s="19"/>
      <c r="P887" s="19"/>
      <c r="Q887" s="19"/>
      <c r="R887" s="19"/>
      <c r="S887" s="19"/>
      <c r="T887" s="19"/>
      <c r="U887" s="19"/>
      <c r="V887" s="19"/>
      <c r="W887" s="19"/>
      <c r="X887" s="19"/>
    </row>
    <row r="888" spans="1:24" ht="12" customHeight="1">
      <c r="A888" s="19"/>
      <c r="B888" s="19"/>
      <c r="C888" s="19"/>
      <c r="D888" s="19"/>
      <c r="E888" s="19"/>
      <c r="F888" s="19"/>
      <c r="G888" s="19"/>
      <c r="H888" s="19"/>
      <c r="I888" s="19"/>
      <c r="J888" s="19"/>
      <c r="K888" s="19"/>
      <c r="L888" s="19"/>
      <c r="M888" s="19"/>
      <c r="N888" s="19"/>
      <c r="O888" s="19"/>
      <c r="P888" s="19"/>
      <c r="Q888" s="19"/>
      <c r="R888" s="19"/>
      <c r="S888" s="19"/>
      <c r="T888" s="19"/>
      <c r="U888" s="19"/>
      <c r="V888" s="19"/>
      <c r="W888" s="19"/>
      <c r="X888" s="19"/>
    </row>
    <row r="889" spans="1:24" ht="12" customHeight="1">
      <c r="A889" s="19"/>
      <c r="B889" s="19"/>
      <c r="C889" s="19"/>
      <c r="D889" s="19"/>
      <c r="E889" s="19"/>
      <c r="F889" s="19"/>
      <c r="G889" s="19"/>
      <c r="H889" s="19"/>
      <c r="I889" s="19"/>
      <c r="J889" s="19"/>
      <c r="K889" s="19"/>
      <c r="L889" s="19"/>
      <c r="M889" s="19"/>
      <c r="N889" s="19"/>
      <c r="O889" s="19"/>
      <c r="P889" s="19"/>
      <c r="Q889" s="19"/>
      <c r="R889" s="19"/>
      <c r="S889" s="19"/>
      <c r="T889" s="19"/>
      <c r="U889" s="19"/>
      <c r="V889" s="19"/>
      <c r="W889" s="19"/>
      <c r="X889" s="19"/>
    </row>
    <row r="890" spans="1:24" ht="12" customHeight="1">
      <c r="A890" s="19"/>
      <c r="B890" s="19"/>
      <c r="C890" s="19"/>
      <c r="D890" s="19"/>
      <c r="E890" s="19"/>
      <c r="F890" s="19"/>
      <c r="G890" s="19"/>
      <c r="H890" s="19"/>
      <c r="I890" s="19"/>
      <c r="J890" s="19"/>
      <c r="K890" s="19"/>
      <c r="L890" s="19"/>
      <c r="M890" s="19"/>
      <c r="N890" s="19"/>
      <c r="O890" s="19"/>
      <c r="P890" s="19"/>
      <c r="Q890" s="19"/>
      <c r="R890" s="19"/>
      <c r="S890" s="19"/>
      <c r="T890" s="19"/>
      <c r="U890" s="19"/>
      <c r="V890" s="19"/>
      <c r="W890" s="19"/>
      <c r="X890" s="19"/>
    </row>
    <row r="891" spans="1:24" ht="12" customHeight="1">
      <c r="A891" s="19"/>
      <c r="B891" s="19"/>
      <c r="C891" s="19"/>
      <c r="D891" s="19"/>
      <c r="E891" s="19"/>
      <c r="F891" s="19"/>
      <c r="G891" s="19"/>
      <c r="H891" s="19"/>
      <c r="I891" s="19"/>
      <c r="J891" s="19"/>
      <c r="K891" s="19"/>
      <c r="L891" s="19"/>
      <c r="M891" s="19"/>
      <c r="N891" s="19"/>
      <c r="O891" s="19"/>
      <c r="P891" s="19"/>
      <c r="Q891" s="19"/>
      <c r="R891" s="19"/>
      <c r="S891" s="19"/>
      <c r="T891" s="19"/>
      <c r="U891" s="19"/>
      <c r="V891" s="19"/>
      <c r="W891" s="19"/>
      <c r="X891" s="19"/>
    </row>
    <row r="892" spans="1:24" ht="12" customHeight="1">
      <c r="A892" s="19"/>
      <c r="B892" s="19"/>
      <c r="C892" s="19"/>
      <c r="D892" s="19"/>
      <c r="E892" s="19"/>
      <c r="F892" s="19"/>
      <c r="G892" s="19"/>
      <c r="H892" s="19"/>
      <c r="I892" s="19"/>
      <c r="J892" s="19"/>
      <c r="K892" s="19"/>
      <c r="L892" s="19"/>
      <c r="M892" s="19"/>
      <c r="N892" s="19"/>
      <c r="O892" s="19"/>
      <c r="P892" s="19"/>
      <c r="Q892" s="19"/>
      <c r="R892" s="19"/>
      <c r="S892" s="19"/>
      <c r="T892" s="19"/>
      <c r="U892" s="19"/>
      <c r="V892" s="19"/>
      <c r="W892" s="19"/>
      <c r="X892" s="19"/>
    </row>
    <row r="893" spans="1:24" ht="12" customHeight="1">
      <c r="A893" s="19"/>
      <c r="B893" s="19"/>
      <c r="C893" s="19"/>
      <c r="D893" s="19"/>
      <c r="E893" s="19"/>
      <c r="F893" s="19"/>
      <c r="G893" s="19"/>
      <c r="H893" s="19"/>
      <c r="I893" s="19"/>
      <c r="J893" s="19"/>
      <c r="K893" s="19"/>
      <c r="L893" s="19"/>
      <c r="M893" s="19"/>
      <c r="N893" s="19"/>
      <c r="O893" s="19"/>
      <c r="P893" s="19"/>
      <c r="Q893" s="19"/>
      <c r="R893" s="19"/>
      <c r="S893" s="19"/>
      <c r="T893" s="19"/>
      <c r="U893" s="19"/>
      <c r="V893" s="19"/>
      <c r="W893" s="19"/>
      <c r="X893" s="19"/>
    </row>
    <row r="894" spans="1:24" ht="12" customHeight="1">
      <c r="A894" s="19"/>
      <c r="B894" s="19"/>
      <c r="C894" s="19"/>
      <c r="D894" s="19"/>
      <c r="E894" s="19"/>
      <c r="F894" s="19"/>
      <c r="G894" s="19"/>
      <c r="H894" s="19"/>
      <c r="I894" s="19"/>
      <c r="J894" s="19"/>
      <c r="K894" s="19"/>
      <c r="L894" s="19"/>
      <c r="M894" s="19"/>
      <c r="N894" s="19"/>
      <c r="O894" s="19"/>
      <c r="P894" s="19"/>
      <c r="Q894" s="19"/>
      <c r="R894" s="19"/>
      <c r="S894" s="19"/>
      <c r="T894" s="19"/>
      <c r="U894" s="19"/>
      <c r="V894" s="19"/>
      <c r="W894" s="19"/>
      <c r="X894" s="19"/>
    </row>
    <row r="895" spans="1:24" ht="12" customHeight="1">
      <c r="A895" s="19"/>
      <c r="B895" s="19"/>
      <c r="C895" s="19"/>
      <c r="D895" s="19"/>
      <c r="E895" s="19"/>
      <c r="F895" s="19"/>
      <c r="G895" s="19"/>
      <c r="H895" s="19"/>
      <c r="I895" s="19"/>
      <c r="J895" s="19"/>
      <c r="K895" s="19"/>
      <c r="L895" s="19"/>
      <c r="M895" s="19"/>
      <c r="N895" s="19"/>
      <c r="O895" s="19"/>
      <c r="P895" s="19"/>
      <c r="Q895" s="19"/>
      <c r="R895" s="19"/>
      <c r="S895" s="19"/>
      <c r="T895" s="19"/>
      <c r="U895" s="19"/>
      <c r="V895" s="19"/>
      <c r="W895" s="19"/>
      <c r="X895" s="19"/>
    </row>
    <row r="896" spans="1:24" ht="12" customHeight="1">
      <c r="A896" s="19"/>
      <c r="B896" s="19"/>
      <c r="C896" s="19"/>
      <c r="D896" s="19"/>
      <c r="E896" s="19"/>
      <c r="F896" s="19"/>
      <c r="G896" s="19"/>
      <c r="H896" s="19"/>
      <c r="I896" s="19"/>
      <c r="J896" s="19"/>
      <c r="K896" s="19"/>
      <c r="L896" s="19"/>
      <c r="M896" s="19"/>
      <c r="N896" s="19"/>
      <c r="O896" s="19"/>
      <c r="P896" s="19"/>
      <c r="Q896" s="19"/>
      <c r="R896" s="19"/>
      <c r="S896" s="19"/>
      <c r="T896" s="19"/>
      <c r="U896" s="19"/>
      <c r="V896" s="19"/>
      <c r="W896" s="19"/>
      <c r="X896" s="19"/>
    </row>
    <row r="897" spans="1:24" ht="12" customHeight="1">
      <c r="A897" s="19"/>
      <c r="B897" s="19"/>
      <c r="C897" s="19"/>
      <c r="D897" s="19"/>
      <c r="E897" s="19"/>
      <c r="F897" s="19"/>
      <c r="G897" s="19"/>
      <c r="H897" s="19"/>
      <c r="I897" s="19"/>
      <c r="J897" s="19"/>
      <c r="K897" s="19"/>
      <c r="L897" s="19"/>
      <c r="M897" s="19"/>
      <c r="N897" s="19"/>
      <c r="O897" s="19"/>
      <c r="P897" s="19"/>
      <c r="Q897" s="19"/>
      <c r="R897" s="19"/>
      <c r="S897" s="19"/>
      <c r="T897" s="19"/>
      <c r="U897" s="19"/>
      <c r="V897" s="19"/>
      <c r="W897" s="19"/>
      <c r="X897" s="19"/>
    </row>
    <row r="898" spans="1:24" ht="12" customHeight="1">
      <c r="A898" s="19"/>
      <c r="B898" s="19"/>
      <c r="C898" s="19"/>
      <c r="D898" s="19"/>
      <c r="E898" s="19"/>
      <c r="F898" s="19"/>
      <c r="G898" s="19"/>
      <c r="H898" s="19"/>
      <c r="I898" s="19"/>
      <c r="J898" s="19"/>
      <c r="K898" s="19"/>
      <c r="L898" s="19"/>
      <c r="M898" s="19"/>
      <c r="N898" s="19"/>
      <c r="O898" s="19"/>
      <c r="P898" s="19"/>
      <c r="Q898" s="19"/>
      <c r="R898" s="19"/>
      <c r="S898" s="19"/>
      <c r="T898" s="19"/>
      <c r="U898" s="19"/>
      <c r="V898" s="19"/>
      <c r="W898" s="19"/>
      <c r="X898" s="19"/>
    </row>
    <row r="899" spans="1:24" ht="12" customHeight="1">
      <c r="A899" s="19"/>
      <c r="B899" s="19"/>
      <c r="C899" s="19"/>
      <c r="D899" s="19"/>
      <c r="E899" s="19"/>
      <c r="F899" s="19"/>
      <c r="G899" s="19"/>
      <c r="H899" s="19"/>
      <c r="I899" s="19"/>
      <c r="J899" s="19"/>
      <c r="K899" s="19"/>
      <c r="L899" s="19"/>
      <c r="M899" s="19"/>
      <c r="N899" s="19"/>
      <c r="O899" s="19"/>
      <c r="P899" s="19"/>
      <c r="Q899" s="19"/>
      <c r="R899" s="19"/>
      <c r="S899" s="19"/>
      <c r="T899" s="19"/>
      <c r="U899" s="19"/>
      <c r="V899" s="19"/>
      <c r="W899" s="19"/>
      <c r="X899" s="19"/>
    </row>
    <row r="900" spans="1:24" ht="12" customHeight="1">
      <c r="A900" s="19"/>
      <c r="B900" s="19"/>
      <c r="C900" s="19"/>
      <c r="D900" s="19"/>
      <c r="E900" s="19"/>
      <c r="F900" s="19"/>
      <c r="G900" s="19"/>
      <c r="H900" s="19"/>
      <c r="I900" s="19"/>
      <c r="J900" s="19"/>
      <c r="K900" s="19"/>
      <c r="L900" s="19"/>
      <c r="M900" s="19"/>
      <c r="N900" s="19"/>
      <c r="O900" s="19"/>
      <c r="P900" s="19"/>
      <c r="Q900" s="19"/>
      <c r="R900" s="19"/>
      <c r="S900" s="19"/>
      <c r="T900" s="19"/>
      <c r="U900" s="19"/>
      <c r="V900" s="19"/>
      <c r="W900" s="19"/>
      <c r="X900" s="19"/>
    </row>
    <row r="901" spans="1:24" ht="12" customHeight="1">
      <c r="A901" s="19"/>
      <c r="B901" s="19"/>
      <c r="C901" s="19"/>
      <c r="D901" s="19"/>
      <c r="E901" s="19"/>
      <c r="F901" s="19"/>
      <c r="G901" s="19"/>
      <c r="H901" s="19"/>
      <c r="I901" s="19"/>
      <c r="J901" s="19"/>
      <c r="K901" s="19"/>
      <c r="L901" s="19"/>
      <c r="M901" s="19"/>
      <c r="N901" s="19"/>
      <c r="O901" s="19"/>
      <c r="P901" s="19"/>
      <c r="Q901" s="19"/>
      <c r="R901" s="19"/>
      <c r="S901" s="19"/>
      <c r="T901" s="19"/>
      <c r="U901" s="19"/>
      <c r="V901" s="19"/>
      <c r="W901" s="19"/>
      <c r="X901" s="19"/>
    </row>
    <row r="902" spans="1:24" ht="12" customHeight="1">
      <c r="A902" s="19"/>
      <c r="B902" s="19"/>
      <c r="C902" s="19"/>
      <c r="D902" s="19"/>
      <c r="E902" s="19"/>
      <c r="F902" s="19"/>
      <c r="G902" s="19"/>
      <c r="H902" s="19"/>
      <c r="I902" s="19"/>
      <c r="J902" s="19"/>
      <c r="K902" s="19"/>
      <c r="L902" s="19"/>
      <c r="M902" s="19"/>
      <c r="N902" s="19"/>
      <c r="O902" s="19"/>
      <c r="P902" s="19"/>
      <c r="Q902" s="19"/>
      <c r="R902" s="19"/>
      <c r="S902" s="19"/>
      <c r="T902" s="19"/>
      <c r="U902" s="19"/>
      <c r="V902" s="19"/>
      <c r="W902" s="19"/>
      <c r="X902" s="19"/>
    </row>
    <row r="903" spans="1:24" ht="12" customHeight="1">
      <c r="A903" s="19"/>
      <c r="B903" s="19"/>
      <c r="C903" s="19"/>
      <c r="D903" s="19"/>
      <c r="E903" s="19"/>
      <c r="F903" s="19"/>
      <c r="G903" s="19"/>
      <c r="H903" s="19"/>
      <c r="I903" s="19"/>
      <c r="J903" s="19"/>
      <c r="K903" s="19"/>
      <c r="L903" s="19"/>
      <c r="M903" s="19"/>
      <c r="N903" s="19"/>
      <c r="O903" s="19"/>
      <c r="P903" s="19"/>
      <c r="Q903" s="19"/>
      <c r="R903" s="19"/>
      <c r="S903" s="19"/>
      <c r="T903" s="19"/>
      <c r="U903" s="19"/>
      <c r="V903" s="19"/>
      <c r="W903" s="19"/>
      <c r="X903" s="19"/>
    </row>
    <row r="904" spans="1:24" ht="12" customHeight="1">
      <c r="A904" s="19"/>
      <c r="B904" s="19"/>
      <c r="C904" s="19"/>
      <c r="D904" s="19"/>
      <c r="E904" s="19"/>
      <c r="F904" s="19"/>
      <c r="G904" s="19"/>
      <c r="H904" s="19"/>
      <c r="I904" s="19"/>
      <c r="J904" s="19"/>
      <c r="K904" s="19"/>
      <c r="L904" s="19"/>
      <c r="M904" s="19"/>
      <c r="N904" s="19"/>
      <c r="O904" s="19"/>
      <c r="P904" s="19"/>
      <c r="Q904" s="19"/>
      <c r="R904" s="19"/>
      <c r="S904" s="19"/>
      <c r="T904" s="19"/>
      <c r="U904" s="19"/>
      <c r="V904" s="19"/>
      <c r="W904" s="19"/>
      <c r="X904" s="19"/>
    </row>
    <row r="905" spans="1:24" ht="12" customHeight="1">
      <c r="A905" s="19"/>
      <c r="B905" s="19"/>
      <c r="C905" s="19"/>
      <c r="D905" s="19"/>
      <c r="E905" s="19"/>
      <c r="F905" s="19"/>
      <c r="G905" s="19"/>
      <c r="H905" s="19"/>
      <c r="I905" s="19"/>
      <c r="J905" s="19"/>
      <c r="K905" s="19"/>
      <c r="L905" s="19"/>
      <c r="M905" s="19"/>
      <c r="N905" s="19"/>
      <c r="O905" s="19"/>
      <c r="P905" s="19"/>
      <c r="Q905" s="19"/>
      <c r="R905" s="19"/>
      <c r="S905" s="19"/>
      <c r="T905" s="19"/>
      <c r="U905" s="19"/>
      <c r="V905" s="19"/>
      <c r="W905" s="19"/>
      <c r="X905" s="19"/>
    </row>
    <row r="906" spans="1:24" ht="12" customHeight="1">
      <c r="A906" s="19"/>
      <c r="B906" s="19"/>
      <c r="C906" s="19"/>
      <c r="D906" s="19"/>
      <c r="E906" s="19"/>
      <c r="F906" s="19"/>
      <c r="G906" s="19"/>
      <c r="H906" s="19"/>
      <c r="I906" s="19"/>
      <c r="J906" s="19"/>
      <c r="K906" s="19"/>
      <c r="L906" s="19"/>
      <c r="M906" s="19"/>
      <c r="N906" s="19"/>
      <c r="O906" s="19"/>
      <c r="P906" s="19"/>
      <c r="Q906" s="19"/>
      <c r="R906" s="19"/>
      <c r="S906" s="19"/>
      <c r="T906" s="19"/>
      <c r="U906" s="19"/>
      <c r="V906" s="19"/>
      <c r="W906" s="19"/>
      <c r="X906" s="19"/>
    </row>
    <row r="907" spans="1:24" ht="12" customHeight="1">
      <c r="A907" s="19"/>
      <c r="B907" s="19"/>
      <c r="C907" s="19"/>
      <c r="D907" s="19"/>
      <c r="E907" s="19"/>
      <c r="F907" s="19"/>
      <c r="G907" s="19"/>
      <c r="H907" s="19"/>
      <c r="I907" s="19"/>
      <c r="J907" s="19"/>
      <c r="K907" s="19"/>
      <c r="L907" s="19"/>
      <c r="M907" s="19"/>
      <c r="N907" s="19"/>
      <c r="O907" s="19"/>
      <c r="P907" s="19"/>
      <c r="Q907" s="19"/>
      <c r="R907" s="19"/>
      <c r="S907" s="19"/>
      <c r="T907" s="19"/>
      <c r="U907" s="19"/>
      <c r="V907" s="19"/>
      <c r="W907" s="19"/>
      <c r="X907" s="19"/>
    </row>
    <row r="908" spans="1:24" ht="12" customHeight="1">
      <c r="A908" s="19"/>
      <c r="B908" s="19"/>
      <c r="C908" s="19"/>
      <c r="D908" s="19"/>
      <c r="E908" s="19"/>
      <c r="F908" s="19"/>
      <c r="G908" s="19"/>
      <c r="H908" s="19"/>
      <c r="I908" s="19"/>
      <c r="J908" s="19"/>
      <c r="K908" s="19"/>
      <c r="L908" s="19"/>
      <c r="M908" s="19"/>
      <c r="N908" s="19"/>
      <c r="O908" s="19"/>
      <c r="P908" s="19"/>
      <c r="Q908" s="19"/>
      <c r="R908" s="19"/>
      <c r="S908" s="19"/>
      <c r="T908" s="19"/>
      <c r="U908" s="19"/>
      <c r="V908" s="19"/>
      <c r="W908" s="19"/>
      <c r="X908" s="19"/>
    </row>
    <row r="909" spans="1:24" ht="12" customHeight="1">
      <c r="A909" s="19"/>
      <c r="B909" s="19"/>
      <c r="C909" s="19"/>
      <c r="D909" s="19"/>
      <c r="E909" s="19"/>
      <c r="F909" s="19"/>
      <c r="G909" s="19"/>
      <c r="H909" s="19"/>
      <c r="I909" s="19"/>
      <c r="J909" s="19"/>
      <c r="K909" s="19"/>
      <c r="L909" s="19"/>
      <c r="M909" s="19"/>
      <c r="N909" s="19"/>
      <c r="O909" s="19"/>
      <c r="P909" s="19"/>
      <c r="Q909" s="19"/>
      <c r="R909" s="19"/>
      <c r="S909" s="19"/>
      <c r="T909" s="19"/>
      <c r="U909" s="19"/>
      <c r="V909" s="19"/>
      <c r="W909" s="19"/>
      <c r="X909" s="19"/>
    </row>
    <row r="910" spans="1:24" ht="12" customHeight="1">
      <c r="A910" s="19"/>
      <c r="B910" s="19"/>
      <c r="C910" s="19"/>
      <c r="D910" s="19"/>
      <c r="E910" s="19"/>
      <c r="F910" s="19"/>
      <c r="G910" s="19"/>
      <c r="H910" s="19"/>
      <c r="I910" s="19"/>
      <c r="J910" s="19"/>
      <c r="K910" s="19"/>
      <c r="L910" s="19"/>
      <c r="M910" s="19"/>
      <c r="N910" s="19"/>
      <c r="O910" s="19"/>
      <c r="P910" s="19"/>
      <c r="Q910" s="19"/>
      <c r="R910" s="19"/>
      <c r="S910" s="19"/>
      <c r="T910" s="19"/>
      <c r="U910" s="19"/>
      <c r="V910" s="19"/>
      <c r="W910" s="19"/>
      <c r="X910" s="19"/>
    </row>
    <row r="911" spans="1:24" ht="12" customHeight="1">
      <c r="A911" s="19"/>
      <c r="B911" s="19"/>
      <c r="C911" s="19"/>
      <c r="D911" s="19"/>
      <c r="E911" s="19"/>
      <c r="F911" s="19"/>
      <c r="G911" s="19"/>
      <c r="H911" s="19"/>
      <c r="I911" s="19"/>
      <c r="J911" s="19"/>
      <c r="K911" s="19"/>
      <c r="L911" s="19"/>
      <c r="M911" s="19"/>
      <c r="N911" s="19"/>
      <c r="O911" s="19"/>
      <c r="P911" s="19"/>
      <c r="Q911" s="19"/>
      <c r="R911" s="19"/>
      <c r="S911" s="19"/>
      <c r="T911" s="19"/>
      <c r="U911" s="19"/>
      <c r="V911" s="19"/>
      <c r="W911" s="19"/>
      <c r="X911" s="19"/>
    </row>
    <row r="912" spans="1:24" ht="12" customHeight="1">
      <c r="A912" s="19"/>
      <c r="B912" s="19"/>
      <c r="C912" s="19"/>
      <c r="D912" s="19"/>
      <c r="E912" s="19"/>
      <c r="F912" s="19"/>
      <c r="G912" s="19"/>
      <c r="H912" s="19"/>
      <c r="I912" s="19"/>
      <c r="J912" s="19"/>
      <c r="K912" s="19"/>
      <c r="L912" s="19"/>
      <c r="M912" s="19"/>
      <c r="N912" s="19"/>
      <c r="O912" s="19"/>
      <c r="P912" s="19"/>
      <c r="Q912" s="19"/>
      <c r="R912" s="19"/>
      <c r="S912" s="19"/>
      <c r="T912" s="19"/>
      <c r="U912" s="19"/>
      <c r="V912" s="19"/>
      <c r="W912" s="19"/>
      <c r="X912" s="19"/>
    </row>
    <row r="913" spans="1:24" ht="12" customHeight="1">
      <c r="A913" s="19"/>
      <c r="B913" s="19"/>
      <c r="C913" s="19"/>
      <c r="D913" s="19"/>
      <c r="E913" s="19"/>
      <c r="F913" s="19"/>
      <c r="G913" s="19"/>
      <c r="H913" s="19"/>
      <c r="I913" s="19"/>
      <c r="J913" s="19"/>
      <c r="K913" s="19"/>
      <c r="L913" s="19"/>
      <c r="M913" s="19"/>
      <c r="N913" s="19"/>
      <c r="O913" s="19"/>
      <c r="P913" s="19"/>
      <c r="Q913" s="19"/>
      <c r="R913" s="19"/>
      <c r="S913" s="19"/>
      <c r="T913" s="19"/>
      <c r="U913" s="19"/>
      <c r="V913" s="19"/>
      <c r="W913" s="19"/>
      <c r="X913" s="19"/>
    </row>
    <row r="914" spans="1:24" ht="12" customHeight="1">
      <c r="A914" s="19"/>
      <c r="B914" s="19"/>
      <c r="C914" s="19"/>
      <c r="D914" s="19"/>
      <c r="E914" s="19"/>
      <c r="F914" s="19"/>
      <c r="G914" s="19"/>
      <c r="H914" s="19"/>
      <c r="I914" s="19"/>
      <c r="J914" s="19"/>
      <c r="K914" s="19"/>
      <c r="L914" s="19"/>
      <c r="M914" s="19"/>
      <c r="N914" s="19"/>
      <c r="O914" s="19"/>
      <c r="P914" s="19"/>
      <c r="Q914" s="19"/>
      <c r="R914" s="19"/>
      <c r="S914" s="19"/>
      <c r="T914" s="19"/>
      <c r="U914" s="19"/>
      <c r="V914" s="19"/>
      <c r="W914" s="19"/>
      <c r="X914" s="19"/>
    </row>
    <row r="915" spans="1:24" ht="12" customHeight="1">
      <c r="A915" s="19"/>
      <c r="B915" s="19"/>
      <c r="C915" s="19"/>
      <c r="D915" s="19"/>
      <c r="E915" s="19"/>
      <c r="F915" s="19"/>
      <c r="G915" s="19"/>
      <c r="H915" s="19"/>
      <c r="I915" s="19"/>
      <c r="J915" s="19"/>
      <c r="K915" s="19"/>
      <c r="L915" s="19"/>
      <c r="M915" s="19"/>
      <c r="N915" s="19"/>
      <c r="O915" s="19"/>
      <c r="P915" s="19"/>
      <c r="Q915" s="19"/>
      <c r="R915" s="19"/>
      <c r="S915" s="19"/>
      <c r="T915" s="19"/>
      <c r="U915" s="19"/>
      <c r="V915" s="19"/>
      <c r="W915" s="19"/>
      <c r="X915" s="19"/>
    </row>
    <row r="916" spans="1:24" ht="12" customHeight="1">
      <c r="A916" s="19"/>
      <c r="B916" s="19"/>
      <c r="C916" s="19"/>
      <c r="D916" s="19"/>
      <c r="E916" s="19"/>
      <c r="F916" s="19"/>
      <c r="G916" s="19"/>
      <c r="H916" s="19"/>
      <c r="I916" s="19"/>
      <c r="J916" s="19"/>
      <c r="K916" s="19"/>
      <c r="L916" s="19"/>
      <c r="M916" s="19"/>
      <c r="N916" s="19"/>
      <c r="O916" s="19"/>
      <c r="P916" s="19"/>
      <c r="Q916" s="19"/>
      <c r="R916" s="19"/>
      <c r="S916" s="19"/>
      <c r="T916" s="19"/>
      <c r="U916" s="19"/>
      <c r="V916" s="19"/>
      <c r="W916" s="19"/>
      <c r="X916" s="19"/>
    </row>
    <row r="917" spans="1:24" ht="12" customHeight="1">
      <c r="A917" s="19"/>
      <c r="B917" s="19"/>
      <c r="C917" s="19"/>
      <c r="D917" s="19"/>
      <c r="E917" s="19"/>
      <c r="F917" s="19"/>
      <c r="G917" s="19"/>
      <c r="H917" s="19"/>
      <c r="I917" s="19"/>
      <c r="J917" s="19"/>
      <c r="K917" s="19"/>
      <c r="L917" s="19"/>
      <c r="M917" s="19"/>
      <c r="N917" s="19"/>
      <c r="O917" s="19"/>
      <c r="P917" s="19"/>
      <c r="Q917" s="19"/>
      <c r="R917" s="19"/>
      <c r="S917" s="19"/>
      <c r="T917" s="19"/>
      <c r="U917" s="19"/>
      <c r="V917" s="19"/>
      <c r="W917" s="19"/>
      <c r="X917" s="19"/>
    </row>
    <row r="918" spans="1:24" ht="12" customHeight="1">
      <c r="A918" s="19"/>
      <c r="B918" s="19"/>
      <c r="C918" s="19"/>
      <c r="D918" s="19"/>
      <c r="E918" s="19"/>
      <c r="F918" s="19"/>
      <c r="G918" s="19"/>
      <c r="H918" s="19"/>
      <c r="I918" s="19"/>
      <c r="J918" s="19"/>
      <c r="K918" s="19"/>
      <c r="L918" s="19"/>
      <c r="M918" s="19"/>
      <c r="N918" s="19"/>
      <c r="O918" s="19"/>
      <c r="P918" s="19"/>
      <c r="Q918" s="19"/>
      <c r="R918" s="19"/>
      <c r="S918" s="19"/>
      <c r="T918" s="19"/>
      <c r="U918" s="19"/>
      <c r="V918" s="19"/>
      <c r="W918" s="19"/>
      <c r="X918" s="19"/>
    </row>
    <row r="919" spans="1:24" ht="12" customHeight="1">
      <c r="A919" s="19"/>
      <c r="B919" s="19"/>
      <c r="C919" s="19"/>
      <c r="D919" s="19"/>
      <c r="E919" s="19"/>
      <c r="F919" s="19"/>
      <c r="G919" s="19"/>
      <c r="H919" s="19"/>
      <c r="I919" s="19"/>
      <c r="J919" s="19"/>
      <c r="K919" s="19"/>
      <c r="L919" s="19"/>
      <c r="M919" s="19"/>
      <c r="N919" s="19"/>
      <c r="O919" s="19"/>
      <c r="P919" s="19"/>
      <c r="Q919" s="19"/>
      <c r="R919" s="19"/>
      <c r="S919" s="19"/>
      <c r="T919" s="19"/>
      <c r="U919" s="19"/>
      <c r="V919" s="19"/>
      <c r="W919" s="19"/>
      <c r="X919" s="19"/>
    </row>
    <row r="920" spans="1:24" ht="12" customHeight="1">
      <c r="A920" s="19"/>
      <c r="B920" s="19"/>
      <c r="C920" s="19"/>
      <c r="D920" s="19"/>
      <c r="E920" s="19"/>
      <c r="F920" s="19"/>
      <c r="G920" s="19"/>
      <c r="H920" s="19"/>
      <c r="I920" s="19"/>
      <c r="J920" s="19"/>
      <c r="K920" s="19"/>
      <c r="L920" s="19"/>
      <c r="M920" s="19"/>
      <c r="N920" s="19"/>
      <c r="O920" s="19"/>
      <c r="P920" s="19"/>
      <c r="Q920" s="19"/>
      <c r="R920" s="19"/>
      <c r="S920" s="19"/>
      <c r="T920" s="19"/>
      <c r="U920" s="19"/>
      <c r="V920" s="19"/>
      <c r="W920" s="19"/>
      <c r="X920" s="19"/>
    </row>
    <row r="921" spans="1:24" ht="12" customHeight="1">
      <c r="A921" s="19"/>
      <c r="B921" s="19"/>
      <c r="C921" s="19"/>
      <c r="D921" s="19"/>
      <c r="E921" s="19"/>
      <c r="F921" s="19"/>
      <c r="G921" s="19"/>
      <c r="H921" s="19"/>
      <c r="I921" s="19"/>
      <c r="J921" s="19"/>
      <c r="K921" s="19"/>
      <c r="L921" s="19"/>
      <c r="M921" s="19"/>
      <c r="N921" s="19"/>
      <c r="O921" s="19"/>
      <c r="P921" s="19"/>
      <c r="Q921" s="19"/>
      <c r="R921" s="19"/>
      <c r="S921" s="19"/>
      <c r="T921" s="19"/>
      <c r="U921" s="19"/>
      <c r="V921" s="19"/>
      <c r="W921" s="19"/>
      <c r="X921" s="19"/>
    </row>
    <row r="922" spans="1:24" ht="12" customHeight="1">
      <c r="A922" s="19"/>
      <c r="B922" s="19"/>
      <c r="C922" s="19"/>
      <c r="D922" s="19"/>
      <c r="E922" s="19"/>
      <c r="F922" s="19"/>
      <c r="G922" s="19"/>
      <c r="H922" s="19"/>
      <c r="I922" s="19"/>
      <c r="J922" s="19"/>
      <c r="K922" s="19"/>
      <c r="L922" s="19"/>
      <c r="M922" s="19"/>
      <c r="N922" s="19"/>
      <c r="O922" s="19"/>
      <c r="P922" s="19"/>
      <c r="Q922" s="19"/>
      <c r="R922" s="19"/>
      <c r="S922" s="19"/>
      <c r="T922" s="19"/>
      <c r="U922" s="19"/>
      <c r="V922" s="19"/>
      <c r="W922" s="19"/>
      <c r="X922" s="19"/>
    </row>
    <row r="923" spans="1:24" ht="12" customHeight="1">
      <c r="A923" s="19"/>
      <c r="B923" s="19"/>
      <c r="C923" s="19"/>
      <c r="D923" s="19"/>
      <c r="E923" s="19"/>
      <c r="F923" s="19"/>
      <c r="G923" s="19"/>
      <c r="H923" s="19"/>
      <c r="I923" s="19"/>
      <c r="J923" s="19"/>
      <c r="K923" s="19"/>
      <c r="L923" s="19"/>
      <c r="M923" s="19"/>
      <c r="N923" s="19"/>
      <c r="O923" s="19"/>
      <c r="P923" s="19"/>
      <c r="Q923" s="19"/>
      <c r="R923" s="19"/>
      <c r="S923" s="19"/>
      <c r="T923" s="19"/>
      <c r="U923" s="19"/>
      <c r="V923" s="19"/>
      <c r="W923" s="19"/>
      <c r="X923" s="19"/>
    </row>
    <row r="924" spans="1:24" ht="12" customHeight="1">
      <c r="A924" s="19"/>
      <c r="B924" s="19"/>
      <c r="C924" s="19"/>
      <c r="D924" s="19"/>
      <c r="E924" s="19"/>
      <c r="F924" s="19"/>
      <c r="G924" s="19"/>
      <c r="H924" s="19"/>
      <c r="I924" s="19"/>
      <c r="J924" s="19"/>
      <c r="K924" s="19"/>
      <c r="L924" s="19"/>
      <c r="M924" s="19"/>
      <c r="N924" s="19"/>
      <c r="O924" s="19"/>
      <c r="P924" s="19"/>
      <c r="Q924" s="19"/>
      <c r="R924" s="19"/>
      <c r="S924" s="19"/>
      <c r="T924" s="19"/>
      <c r="U924" s="19"/>
      <c r="V924" s="19"/>
      <c r="W924" s="19"/>
      <c r="X924" s="19"/>
    </row>
    <row r="925" spans="1:24" ht="12" customHeight="1">
      <c r="A925" s="19"/>
      <c r="B925" s="19"/>
      <c r="C925" s="19"/>
      <c r="D925" s="19"/>
      <c r="E925" s="19"/>
      <c r="F925" s="19"/>
      <c r="G925" s="19"/>
      <c r="H925" s="19"/>
      <c r="I925" s="19"/>
      <c r="J925" s="19"/>
      <c r="K925" s="19"/>
      <c r="L925" s="19"/>
      <c r="M925" s="19"/>
      <c r="N925" s="19"/>
      <c r="O925" s="19"/>
      <c r="P925" s="19"/>
      <c r="Q925" s="19"/>
      <c r="R925" s="19"/>
      <c r="S925" s="19"/>
      <c r="T925" s="19"/>
      <c r="U925" s="19"/>
      <c r="V925" s="19"/>
      <c r="W925" s="19"/>
      <c r="X925" s="19"/>
    </row>
    <row r="926" spans="1:24" ht="12" customHeight="1">
      <c r="A926" s="19"/>
      <c r="B926" s="19"/>
      <c r="C926" s="19"/>
      <c r="D926" s="19"/>
      <c r="E926" s="19"/>
      <c r="F926" s="19"/>
      <c r="G926" s="19"/>
      <c r="H926" s="19"/>
      <c r="I926" s="19"/>
      <c r="J926" s="19"/>
      <c r="K926" s="19"/>
      <c r="L926" s="19"/>
      <c r="M926" s="19"/>
      <c r="N926" s="19"/>
      <c r="O926" s="19"/>
      <c r="P926" s="19"/>
      <c r="Q926" s="19"/>
      <c r="R926" s="19"/>
      <c r="S926" s="19"/>
      <c r="T926" s="19"/>
      <c r="U926" s="19"/>
      <c r="V926" s="19"/>
      <c r="W926" s="19"/>
      <c r="X926" s="19"/>
    </row>
    <row r="927" spans="1:24" ht="12" customHeight="1">
      <c r="A927" s="19"/>
      <c r="B927" s="19"/>
      <c r="C927" s="19"/>
      <c r="D927" s="19"/>
      <c r="E927" s="19"/>
      <c r="F927" s="19"/>
      <c r="G927" s="19"/>
      <c r="H927" s="19"/>
      <c r="I927" s="19"/>
      <c r="J927" s="19"/>
      <c r="K927" s="19"/>
      <c r="L927" s="19"/>
      <c r="M927" s="19"/>
      <c r="N927" s="19"/>
      <c r="O927" s="19"/>
      <c r="P927" s="19"/>
      <c r="Q927" s="19"/>
      <c r="R927" s="19"/>
      <c r="S927" s="19"/>
      <c r="T927" s="19"/>
      <c r="U927" s="19"/>
      <c r="V927" s="19"/>
      <c r="W927" s="19"/>
      <c r="X927" s="19"/>
    </row>
    <row r="928" spans="1:24" ht="12" customHeight="1">
      <c r="A928" s="19"/>
      <c r="B928" s="19"/>
      <c r="C928" s="19"/>
      <c r="D928" s="19"/>
      <c r="E928" s="19"/>
      <c r="F928" s="19"/>
      <c r="G928" s="19"/>
      <c r="H928" s="19"/>
      <c r="I928" s="19"/>
      <c r="J928" s="19"/>
      <c r="K928" s="19"/>
      <c r="L928" s="19"/>
      <c r="M928" s="19"/>
      <c r="N928" s="19"/>
      <c r="O928" s="19"/>
      <c r="P928" s="19"/>
      <c r="Q928" s="19"/>
      <c r="R928" s="19"/>
      <c r="S928" s="19"/>
      <c r="T928" s="19"/>
      <c r="U928" s="19"/>
      <c r="V928" s="19"/>
      <c r="W928" s="19"/>
      <c r="X928" s="19"/>
    </row>
    <row r="929" spans="1:24" ht="12" customHeight="1">
      <c r="A929" s="19"/>
      <c r="B929" s="19"/>
      <c r="C929" s="19"/>
      <c r="D929" s="19"/>
      <c r="E929" s="19"/>
      <c r="F929" s="19"/>
      <c r="G929" s="19"/>
      <c r="H929" s="19"/>
      <c r="I929" s="19"/>
      <c r="J929" s="19"/>
      <c r="K929" s="19"/>
      <c r="L929" s="19"/>
      <c r="M929" s="19"/>
      <c r="N929" s="19"/>
      <c r="O929" s="19"/>
      <c r="P929" s="19"/>
      <c r="Q929" s="19"/>
      <c r="R929" s="19"/>
      <c r="S929" s="19"/>
      <c r="T929" s="19"/>
      <c r="U929" s="19"/>
      <c r="V929" s="19"/>
      <c r="W929" s="19"/>
      <c r="X929" s="19"/>
    </row>
    <row r="930" spans="1:24" ht="12" customHeight="1">
      <c r="A930" s="19"/>
      <c r="B930" s="19"/>
      <c r="C930" s="19"/>
      <c r="D930" s="19"/>
      <c r="E930" s="19"/>
      <c r="F930" s="19"/>
      <c r="G930" s="19"/>
      <c r="H930" s="19"/>
      <c r="I930" s="19"/>
      <c r="J930" s="19"/>
      <c r="K930" s="19"/>
      <c r="L930" s="19"/>
      <c r="M930" s="19"/>
      <c r="N930" s="19"/>
      <c r="O930" s="19"/>
      <c r="P930" s="19"/>
      <c r="Q930" s="19"/>
      <c r="R930" s="19"/>
      <c r="S930" s="19"/>
      <c r="T930" s="19"/>
      <c r="U930" s="19"/>
      <c r="V930" s="19"/>
      <c r="W930" s="19"/>
      <c r="X930" s="19"/>
    </row>
    <row r="931" spans="1:24" ht="12" customHeight="1">
      <c r="A931" s="19"/>
      <c r="B931" s="19"/>
      <c r="C931" s="19"/>
      <c r="D931" s="19"/>
      <c r="E931" s="19"/>
      <c r="F931" s="19"/>
      <c r="G931" s="19"/>
      <c r="H931" s="19"/>
      <c r="I931" s="19"/>
      <c r="J931" s="19"/>
      <c r="K931" s="19"/>
      <c r="L931" s="19"/>
      <c r="M931" s="19"/>
      <c r="N931" s="19"/>
      <c r="O931" s="19"/>
      <c r="P931" s="19"/>
      <c r="Q931" s="19"/>
      <c r="R931" s="19"/>
      <c r="S931" s="19"/>
      <c r="T931" s="19"/>
      <c r="U931" s="19"/>
      <c r="V931" s="19"/>
      <c r="W931" s="19"/>
      <c r="X931" s="19"/>
    </row>
    <row r="932" spans="1:24" ht="12" customHeight="1">
      <c r="A932" s="19"/>
      <c r="B932" s="19"/>
      <c r="C932" s="19"/>
      <c r="D932" s="19"/>
      <c r="E932" s="19"/>
      <c r="F932" s="19"/>
      <c r="G932" s="19"/>
      <c r="H932" s="19"/>
      <c r="I932" s="19"/>
      <c r="J932" s="19"/>
      <c r="K932" s="19"/>
      <c r="L932" s="19"/>
      <c r="M932" s="19"/>
      <c r="N932" s="19"/>
      <c r="O932" s="19"/>
      <c r="P932" s="19"/>
      <c r="Q932" s="19"/>
      <c r="R932" s="19"/>
      <c r="S932" s="19"/>
      <c r="T932" s="19"/>
      <c r="U932" s="19"/>
      <c r="V932" s="19"/>
      <c r="W932" s="19"/>
      <c r="X932" s="19"/>
    </row>
    <row r="933" spans="1:24" ht="12" customHeight="1">
      <c r="A933" s="19"/>
      <c r="B933" s="19"/>
      <c r="C933" s="19"/>
      <c r="D933" s="19"/>
      <c r="E933" s="19"/>
      <c r="F933" s="19"/>
      <c r="G933" s="19"/>
      <c r="H933" s="19"/>
      <c r="I933" s="19"/>
      <c r="J933" s="19"/>
      <c r="K933" s="19"/>
      <c r="L933" s="19"/>
      <c r="M933" s="19"/>
      <c r="N933" s="19"/>
      <c r="O933" s="19"/>
      <c r="P933" s="19"/>
      <c r="Q933" s="19"/>
      <c r="R933" s="19"/>
      <c r="S933" s="19"/>
      <c r="T933" s="19"/>
      <c r="U933" s="19"/>
      <c r="V933" s="19"/>
      <c r="W933" s="19"/>
      <c r="X933" s="19"/>
    </row>
    <row r="934" spans="1:24" ht="12" customHeight="1">
      <c r="A934" s="19"/>
      <c r="B934" s="19"/>
      <c r="C934" s="19"/>
      <c r="D934" s="19"/>
      <c r="E934" s="19"/>
      <c r="F934" s="19"/>
      <c r="G934" s="19"/>
      <c r="H934" s="19"/>
      <c r="I934" s="19"/>
      <c r="J934" s="19"/>
      <c r="K934" s="19"/>
      <c r="L934" s="19"/>
      <c r="M934" s="19"/>
      <c r="N934" s="19"/>
      <c r="O934" s="19"/>
      <c r="P934" s="19"/>
      <c r="Q934" s="19"/>
      <c r="R934" s="19"/>
      <c r="S934" s="19"/>
      <c r="T934" s="19"/>
      <c r="U934" s="19"/>
      <c r="V934" s="19"/>
      <c r="W934" s="19"/>
      <c r="X934" s="19"/>
    </row>
    <row r="935" spans="1:24" ht="12" customHeight="1">
      <c r="A935" s="19"/>
      <c r="B935" s="19"/>
      <c r="C935" s="19"/>
      <c r="D935" s="19"/>
      <c r="E935" s="19"/>
      <c r="F935" s="19"/>
      <c r="G935" s="19"/>
      <c r="H935" s="19"/>
      <c r="I935" s="19"/>
      <c r="J935" s="19"/>
      <c r="K935" s="19"/>
      <c r="L935" s="19"/>
      <c r="M935" s="19"/>
      <c r="N935" s="19"/>
      <c r="O935" s="19"/>
      <c r="P935" s="19"/>
      <c r="Q935" s="19"/>
      <c r="R935" s="19"/>
      <c r="S935" s="19"/>
      <c r="T935" s="19"/>
      <c r="U935" s="19"/>
      <c r="V935" s="19"/>
      <c r="W935" s="19"/>
      <c r="X935" s="19"/>
    </row>
    <row r="936" spans="1:24" ht="12" customHeight="1">
      <c r="A936" s="19"/>
      <c r="B936" s="19"/>
      <c r="C936" s="19"/>
      <c r="D936" s="19"/>
      <c r="E936" s="19"/>
      <c r="F936" s="19"/>
      <c r="G936" s="19"/>
      <c r="H936" s="19"/>
      <c r="I936" s="19"/>
      <c r="J936" s="19"/>
      <c r="K936" s="19"/>
      <c r="L936" s="19"/>
      <c r="M936" s="19"/>
      <c r="N936" s="19"/>
      <c r="O936" s="19"/>
      <c r="P936" s="19"/>
      <c r="Q936" s="19"/>
      <c r="R936" s="19"/>
      <c r="S936" s="19"/>
      <c r="T936" s="19"/>
      <c r="U936" s="19"/>
      <c r="V936" s="19"/>
      <c r="W936" s="19"/>
      <c r="X936" s="19"/>
    </row>
    <row r="937" spans="1:24" ht="12" customHeight="1">
      <c r="A937" s="19"/>
      <c r="B937" s="19"/>
      <c r="C937" s="19"/>
      <c r="D937" s="19"/>
      <c r="E937" s="19"/>
      <c r="F937" s="19"/>
      <c r="G937" s="19"/>
      <c r="H937" s="19"/>
      <c r="I937" s="19"/>
      <c r="J937" s="19"/>
      <c r="K937" s="19"/>
      <c r="L937" s="19"/>
      <c r="M937" s="19"/>
      <c r="N937" s="19"/>
      <c r="O937" s="19"/>
      <c r="P937" s="19"/>
      <c r="Q937" s="19"/>
      <c r="R937" s="19"/>
      <c r="S937" s="19"/>
      <c r="T937" s="19"/>
      <c r="U937" s="19"/>
      <c r="V937" s="19"/>
      <c r="W937" s="19"/>
      <c r="X937" s="19"/>
    </row>
    <row r="938" spans="1:24" ht="12" customHeight="1">
      <c r="A938" s="19"/>
      <c r="B938" s="19"/>
      <c r="C938" s="19"/>
      <c r="D938" s="19"/>
      <c r="E938" s="19"/>
      <c r="F938" s="19"/>
      <c r="G938" s="19"/>
      <c r="H938" s="19"/>
      <c r="I938" s="19"/>
      <c r="J938" s="19"/>
      <c r="K938" s="19"/>
      <c r="L938" s="19"/>
      <c r="M938" s="19"/>
      <c r="N938" s="19"/>
      <c r="O938" s="19"/>
      <c r="P938" s="19"/>
      <c r="Q938" s="19"/>
      <c r="R938" s="19"/>
      <c r="S938" s="19"/>
      <c r="T938" s="19"/>
      <c r="U938" s="19"/>
      <c r="V938" s="19"/>
      <c r="W938" s="19"/>
      <c r="X938" s="19"/>
    </row>
    <row r="939" spans="1:24" ht="12" customHeight="1">
      <c r="A939" s="19"/>
      <c r="B939" s="19"/>
      <c r="C939" s="19"/>
      <c r="D939" s="19"/>
      <c r="E939" s="19"/>
      <c r="F939" s="19"/>
      <c r="G939" s="19"/>
      <c r="H939" s="19"/>
      <c r="I939" s="19"/>
      <c r="J939" s="19"/>
      <c r="K939" s="19"/>
      <c r="L939" s="19"/>
      <c r="M939" s="19"/>
      <c r="N939" s="19"/>
      <c r="O939" s="19"/>
      <c r="P939" s="19"/>
      <c r="Q939" s="19"/>
      <c r="R939" s="19"/>
      <c r="S939" s="19"/>
      <c r="T939" s="19"/>
      <c r="U939" s="19"/>
      <c r="V939" s="19"/>
      <c r="W939" s="19"/>
      <c r="X939" s="19"/>
    </row>
    <row r="940" spans="1:24" ht="12" customHeight="1">
      <c r="A940" s="19"/>
      <c r="B940" s="19"/>
      <c r="C940" s="19"/>
      <c r="D940" s="19"/>
      <c r="E940" s="19"/>
      <c r="F940" s="19"/>
      <c r="G940" s="19"/>
      <c r="H940" s="19"/>
      <c r="I940" s="19"/>
      <c r="J940" s="19"/>
      <c r="K940" s="19"/>
      <c r="L940" s="19"/>
      <c r="M940" s="19"/>
      <c r="N940" s="19"/>
      <c r="O940" s="19"/>
      <c r="P940" s="19"/>
      <c r="Q940" s="19"/>
      <c r="R940" s="19"/>
      <c r="S940" s="19"/>
      <c r="T940" s="19"/>
      <c r="U940" s="19"/>
      <c r="V940" s="19"/>
      <c r="W940" s="19"/>
      <c r="X940" s="19"/>
    </row>
    <row r="941" spans="1:24" ht="12" customHeight="1">
      <c r="A941" s="19"/>
      <c r="B941" s="19"/>
      <c r="C941" s="19"/>
      <c r="D941" s="19"/>
      <c r="E941" s="19"/>
      <c r="F941" s="19"/>
      <c r="G941" s="19"/>
      <c r="H941" s="19"/>
      <c r="I941" s="19"/>
      <c r="J941" s="19"/>
      <c r="K941" s="19"/>
      <c r="L941" s="19"/>
      <c r="M941" s="19"/>
      <c r="N941" s="19"/>
      <c r="O941" s="19"/>
      <c r="P941" s="19"/>
      <c r="Q941" s="19"/>
      <c r="R941" s="19"/>
      <c r="S941" s="19"/>
      <c r="T941" s="19"/>
      <c r="U941" s="19"/>
      <c r="V941" s="19"/>
      <c r="W941" s="19"/>
      <c r="X941" s="19"/>
    </row>
    <row r="942" spans="1:24" ht="12" customHeight="1">
      <c r="A942" s="19"/>
      <c r="B942" s="19"/>
      <c r="C942" s="19"/>
      <c r="D942" s="19"/>
      <c r="E942" s="19"/>
      <c r="F942" s="19"/>
      <c r="G942" s="19"/>
      <c r="H942" s="19"/>
      <c r="I942" s="19"/>
      <c r="J942" s="19"/>
      <c r="K942" s="19"/>
      <c r="L942" s="19"/>
      <c r="M942" s="19"/>
      <c r="N942" s="19"/>
      <c r="O942" s="19"/>
      <c r="P942" s="19"/>
      <c r="Q942" s="19"/>
      <c r="R942" s="19"/>
      <c r="S942" s="19"/>
      <c r="T942" s="19"/>
      <c r="U942" s="19"/>
      <c r="V942" s="19"/>
      <c r="W942" s="19"/>
      <c r="X942" s="19"/>
    </row>
    <row r="943" spans="1:24" ht="12" customHeight="1">
      <c r="A943" s="19"/>
      <c r="B943" s="19"/>
      <c r="C943" s="19"/>
      <c r="D943" s="19"/>
      <c r="E943" s="19"/>
      <c r="F943" s="19"/>
      <c r="G943" s="19"/>
      <c r="H943" s="19"/>
      <c r="I943" s="19"/>
      <c r="J943" s="19"/>
      <c r="K943" s="19"/>
      <c r="L943" s="19"/>
      <c r="M943" s="19"/>
      <c r="N943" s="19"/>
      <c r="O943" s="19"/>
      <c r="P943" s="19"/>
      <c r="Q943" s="19"/>
      <c r="R943" s="19"/>
      <c r="S943" s="19"/>
      <c r="T943" s="19"/>
      <c r="U943" s="19"/>
      <c r="V943" s="19"/>
      <c r="W943" s="19"/>
      <c r="X943" s="19"/>
    </row>
    <row r="944" spans="1:24" ht="12" customHeight="1">
      <c r="A944" s="19"/>
      <c r="B944" s="19"/>
      <c r="C944" s="19"/>
      <c r="D944" s="19"/>
      <c r="E944" s="19"/>
      <c r="F944" s="19"/>
      <c r="G944" s="19"/>
      <c r="H944" s="19"/>
      <c r="I944" s="19"/>
      <c r="J944" s="19"/>
      <c r="K944" s="19"/>
      <c r="L944" s="19"/>
      <c r="M944" s="19"/>
      <c r="N944" s="19"/>
      <c r="O944" s="19"/>
      <c r="P944" s="19"/>
      <c r="Q944" s="19"/>
      <c r="R944" s="19"/>
      <c r="S944" s="19"/>
      <c r="T944" s="19"/>
      <c r="U944" s="19"/>
      <c r="V944" s="19"/>
      <c r="W944" s="19"/>
      <c r="X944" s="19"/>
    </row>
    <row r="945" spans="1:24" ht="12" customHeight="1">
      <c r="A945" s="19"/>
      <c r="B945" s="19"/>
      <c r="C945" s="19"/>
      <c r="D945" s="19"/>
      <c r="E945" s="19"/>
      <c r="F945" s="19"/>
      <c r="G945" s="19"/>
      <c r="H945" s="19"/>
      <c r="I945" s="19"/>
      <c r="J945" s="19"/>
      <c r="K945" s="19"/>
      <c r="L945" s="19"/>
      <c r="M945" s="19"/>
      <c r="N945" s="19"/>
      <c r="O945" s="19"/>
      <c r="P945" s="19"/>
      <c r="Q945" s="19"/>
      <c r="R945" s="19"/>
      <c r="S945" s="19"/>
      <c r="T945" s="19"/>
      <c r="U945" s="19"/>
      <c r="V945" s="19"/>
      <c r="W945" s="19"/>
      <c r="X945" s="19"/>
    </row>
    <row r="946" spans="1:24" ht="12" customHeight="1">
      <c r="A946" s="19"/>
      <c r="B946" s="19"/>
      <c r="C946" s="19"/>
      <c r="D946" s="19"/>
      <c r="E946" s="19"/>
      <c r="F946" s="19"/>
      <c r="G946" s="19"/>
      <c r="H946" s="19"/>
      <c r="I946" s="19"/>
      <c r="J946" s="19"/>
      <c r="K946" s="19"/>
      <c r="L946" s="19"/>
      <c r="M946" s="19"/>
      <c r="N946" s="19"/>
      <c r="O946" s="19"/>
      <c r="P946" s="19"/>
      <c r="Q946" s="19"/>
      <c r="R946" s="19"/>
      <c r="S946" s="19"/>
      <c r="T946" s="19"/>
      <c r="U946" s="19"/>
      <c r="V946" s="19"/>
      <c r="W946" s="19"/>
      <c r="X946" s="19"/>
    </row>
    <row r="947" spans="1:24" ht="12" customHeight="1">
      <c r="A947" s="19"/>
      <c r="B947" s="19"/>
      <c r="C947" s="19"/>
      <c r="D947" s="19"/>
      <c r="E947" s="19"/>
      <c r="F947" s="19"/>
      <c r="G947" s="19"/>
      <c r="H947" s="19"/>
      <c r="I947" s="19"/>
      <c r="J947" s="19"/>
      <c r="K947" s="19"/>
      <c r="L947" s="19"/>
      <c r="M947" s="19"/>
      <c r="N947" s="19"/>
      <c r="O947" s="19"/>
      <c r="P947" s="19"/>
      <c r="Q947" s="19"/>
      <c r="R947" s="19"/>
      <c r="S947" s="19"/>
      <c r="T947" s="19"/>
      <c r="U947" s="19"/>
      <c r="V947" s="19"/>
      <c r="W947" s="19"/>
      <c r="X947" s="19"/>
    </row>
    <row r="948" spans="1:24" ht="12" customHeight="1">
      <c r="A948" s="19"/>
      <c r="B948" s="19"/>
      <c r="C948" s="19"/>
      <c r="D948" s="19"/>
      <c r="E948" s="19"/>
      <c r="F948" s="19"/>
      <c r="G948" s="19"/>
      <c r="H948" s="19"/>
      <c r="I948" s="19"/>
      <c r="J948" s="19"/>
      <c r="K948" s="19"/>
      <c r="L948" s="19"/>
      <c r="M948" s="19"/>
      <c r="N948" s="19"/>
      <c r="O948" s="19"/>
      <c r="P948" s="19"/>
      <c r="Q948" s="19"/>
      <c r="R948" s="19"/>
      <c r="S948" s="19"/>
      <c r="T948" s="19"/>
      <c r="U948" s="19"/>
      <c r="V948" s="19"/>
      <c r="W948" s="19"/>
      <c r="X948" s="19"/>
    </row>
    <row r="949" spans="1:24" ht="12" customHeight="1">
      <c r="A949" s="19"/>
      <c r="B949" s="19"/>
      <c r="C949" s="19"/>
      <c r="D949" s="19"/>
      <c r="E949" s="19"/>
      <c r="F949" s="19"/>
      <c r="G949" s="19"/>
      <c r="H949" s="19"/>
      <c r="I949" s="19"/>
      <c r="J949" s="19"/>
      <c r="K949" s="19"/>
      <c r="L949" s="19"/>
      <c r="M949" s="19"/>
      <c r="N949" s="19"/>
      <c r="O949" s="19"/>
      <c r="P949" s="19"/>
      <c r="Q949" s="19"/>
      <c r="R949" s="19"/>
      <c r="S949" s="19"/>
      <c r="T949" s="19"/>
      <c r="U949" s="19"/>
      <c r="V949" s="19"/>
      <c r="W949" s="19"/>
      <c r="X949" s="19"/>
    </row>
    <row r="950" spans="1:24" ht="12" customHeight="1">
      <c r="A950" s="19"/>
      <c r="B950" s="19"/>
      <c r="C950" s="19"/>
      <c r="D950" s="19"/>
      <c r="E950" s="19"/>
      <c r="F950" s="19"/>
      <c r="G950" s="19"/>
      <c r="H950" s="19"/>
      <c r="I950" s="19"/>
      <c r="J950" s="19"/>
      <c r="K950" s="19"/>
      <c r="L950" s="19"/>
      <c r="M950" s="19"/>
      <c r="N950" s="19"/>
      <c r="O950" s="19"/>
      <c r="P950" s="19"/>
      <c r="Q950" s="19"/>
      <c r="R950" s="19"/>
      <c r="S950" s="19"/>
      <c r="T950" s="19"/>
      <c r="U950" s="19"/>
      <c r="V950" s="19"/>
      <c r="W950" s="19"/>
      <c r="X950" s="19"/>
    </row>
    <row r="951" spans="1:24" ht="12" customHeight="1">
      <c r="A951" s="19"/>
      <c r="B951" s="19"/>
      <c r="C951" s="19"/>
      <c r="D951" s="19"/>
      <c r="E951" s="19"/>
      <c r="F951" s="19"/>
      <c r="G951" s="19"/>
      <c r="H951" s="19"/>
      <c r="I951" s="19"/>
      <c r="J951" s="19"/>
      <c r="K951" s="19"/>
      <c r="L951" s="19"/>
      <c r="M951" s="19"/>
      <c r="N951" s="19"/>
      <c r="O951" s="19"/>
      <c r="P951" s="19"/>
      <c r="Q951" s="19"/>
      <c r="R951" s="19"/>
      <c r="S951" s="19"/>
      <c r="T951" s="19"/>
      <c r="U951" s="19"/>
      <c r="V951" s="19"/>
      <c r="W951" s="19"/>
      <c r="X951" s="19"/>
    </row>
    <row r="952" spans="1:24" ht="12" customHeight="1">
      <c r="A952" s="19"/>
      <c r="B952" s="19"/>
      <c r="C952" s="19"/>
      <c r="D952" s="19"/>
      <c r="E952" s="19"/>
      <c r="F952" s="19"/>
      <c r="G952" s="19"/>
      <c r="H952" s="19"/>
      <c r="I952" s="19"/>
      <c r="J952" s="19"/>
      <c r="K952" s="19"/>
      <c r="L952" s="19"/>
      <c r="M952" s="19"/>
      <c r="N952" s="19"/>
      <c r="O952" s="19"/>
      <c r="P952" s="19"/>
      <c r="Q952" s="19"/>
      <c r="R952" s="19"/>
      <c r="S952" s="19"/>
      <c r="T952" s="19"/>
      <c r="U952" s="19"/>
      <c r="V952" s="19"/>
      <c r="W952" s="19"/>
      <c r="X952" s="19"/>
    </row>
    <row r="953" spans="1:24" ht="12" customHeight="1">
      <c r="A953" s="19"/>
      <c r="B953" s="19"/>
      <c r="C953" s="19"/>
      <c r="D953" s="19"/>
      <c r="E953" s="19"/>
      <c r="F953" s="19"/>
      <c r="G953" s="19"/>
      <c r="H953" s="19"/>
      <c r="I953" s="19"/>
      <c r="J953" s="19"/>
      <c r="K953" s="19"/>
      <c r="L953" s="19"/>
      <c r="M953" s="19"/>
      <c r="N953" s="19"/>
      <c r="O953" s="19"/>
      <c r="P953" s="19"/>
      <c r="Q953" s="19"/>
      <c r="R953" s="19"/>
      <c r="S953" s="19"/>
      <c r="T953" s="19"/>
      <c r="U953" s="19"/>
      <c r="V953" s="19"/>
      <c r="W953" s="19"/>
      <c r="X953" s="19"/>
    </row>
    <row r="954" spans="1:24" ht="12" customHeight="1">
      <c r="A954" s="19"/>
      <c r="B954" s="19"/>
      <c r="C954" s="19"/>
      <c r="D954" s="19"/>
      <c r="E954" s="19"/>
      <c r="F954" s="19"/>
      <c r="G954" s="19"/>
      <c r="H954" s="19"/>
      <c r="I954" s="19"/>
      <c r="J954" s="19"/>
      <c r="K954" s="19"/>
      <c r="L954" s="19"/>
      <c r="M954" s="19"/>
      <c r="N954" s="19"/>
      <c r="O954" s="19"/>
      <c r="P954" s="19"/>
      <c r="Q954" s="19"/>
      <c r="R954" s="19"/>
      <c r="S954" s="19"/>
      <c r="T954" s="19"/>
      <c r="U954" s="19"/>
      <c r="V954" s="19"/>
      <c r="W954" s="19"/>
      <c r="X954" s="19"/>
    </row>
    <row r="955" spans="1:24" ht="12" customHeight="1">
      <c r="A955" s="19"/>
      <c r="B955" s="19"/>
      <c r="C955" s="19"/>
      <c r="D955" s="19"/>
      <c r="E955" s="19"/>
      <c r="F955" s="19"/>
      <c r="G955" s="19"/>
      <c r="H955" s="19"/>
      <c r="I955" s="19"/>
      <c r="J955" s="19"/>
      <c r="K955" s="19"/>
      <c r="L955" s="19"/>
      <c r="M955" s="19"/>
      <c r="N955" s="19"/>
      <c r="O955" s="19"/>
      <c r="P955" s="19"/>
      <c r="Q955" s="19"/>
      <c r="R955" s="19"/>
      <c r="S955" s="19"/>
      <c r="T955" s="19"/>
      <c r="U955" s="19"/>
      <c r="V955" s="19"/>
      <c r="W955" s="19"/>
      <c r="X955" s="19"/>
    </row>
    <row r="956" spans="1:24" ht="12" customHeight="1">
      <c r="A956" s="19"/>
      <c r="B956" s="19"/>
      <c r="C956" s="19"/>
      <c r="D956" s="19"/>
      <c r="E956" s="19"/>
      <c r="F956" s="19"/>
      <c r="G956" s="19"/>
      <c r="H956" s="19"/>
      <c r="I956" s="19"/>
      <c r="J956" s="19"/>
      <c r="K956" s="19"/>
      <c r="L956" s="19"/>
      <c r="M956" s="19"/>
      <c r="N956" s="19"/>
      <c r="O956" s="19"/>
      <c r="P956" s="19"/>
      <c r="Q956" s="19"/>
      <c r="R956" s="19"/>
      <c r="S956" s="19"/>
      <c r="T956" s="19"/>
      <c r="U956" s="19"/>
      <c r="V956" s="19"/>
      <c r="W956" s="19"/>
      <c r="X956" s="19"/>
    </row>
    <row r="957" spans="1:24" ht="12" customHeight="1">
      <c r="A957" s="19"/>
      <c r="B957" s="19"/>
      <c r="C957" s="19"/>
      <c r="D957" s="19"/>
      <c r="E957" s="19"/>
      <c r="F957" s="19"/>
      <c r="G957" s="19"/>
      <c r="H957" s="19"/>
      <c r="I957" s="19"/>
      <c r="J957" s="19"/>
      <c r="K957" s="19"/>
      <c r="L957" s="19"/>
      <c r="M957" s="19"/>
      <c r="N957" s="19"/>
      <c r="O957" s="19"/>
      <c r="P957" s="19"/>
      <c r="Q957" s="19"/>
      <c r="R957" s="19"/>
      <c r="S957" s="19"/>
      <c r="T957" s="19"/>
      <c r="U957" s="19"/>
      <c r="V957" s="19"/>
      <c r="W957" s="19"/>
      <c r="X957" s="19"/>
    </row>
    <row r="958" spans="1:24" ht="12" customHeight="1">
      <c r="A958" s="19"/>
      <c r="B958" s="19"/>
      <c r="C958" s="19"/>
      <c r="D958" s="19"/>
      <c r="E958" s="19"/>
      <c r="F958" s="19"/>
      <c r="G958" s="19"/>
      <c r="H958" s="19"/>
      <c r="I958" s="19"/>
      <c r="J958" s="19"/>
      <c r="K958" s="19"/>
      <c r="L958" s="19"/>
      <c r="M958" s="19"/>
      <c r="N958" s="19"/>
      <c r="O958" s="19"/>
      <c r="P958" s="19"/>
      <c r="Q958" s="19"/>
      <c r="R958" s="19"/>
      <c r="S958" s="19"/>
      <c r="T958" s="19"/>
      <c r="U958" s="19"/>
      <c r="V958" s="19"/>
      <c r="W958" s="19"/>
      <c r="X958" s="19"/>
    </row>
    <row r="959" spans="1:24" ht="12" customHeight="1">
      <c r="A959" s="19"/>
      <c r="B959" s="19"/>
      <c r="C959" s="19"/>
      <c r="D959" s="19"/>
      <c r="E959" s="19"/>
      <c r="F959" s="19"/>
      <c r="G959" s="19"/>
      <c r="H959" s="19"/>
      <c r="I959" s="19"/>
      <c r="J959" s="19"/>
      <c r="K959" s="19"/>
      <c r="L959" s="19"/>
      <c r="M959" s="19"/>
      <c r="N959" s="19"/>
      <c r="O959" s="19"/>
      <c r="P959" s="19"/>
      <c r="Q959" s="19"/>
      <c r="R959" s="19"/>
      <c r="S959" s="19"/>
      <c r="T959" s="19"/>
      <c r="U959" s="19"/>
      <c r="V959" s="19"/>
      <c r="W959" s="19"/>
      <c r="X959" s="19"/>
    </row>
    <row r="960" spans="1:24" ht="12" customHeight="1">
      <c r="A960" s="19"/>
      <c r="B960" s="19"/>
      <c r="C960" s="19"/>
      <c r="D960" s="19"/>
      <c r="E960" s="19"/>
      <c r="F960" s="19"/>
      <c r="G960" s="19"/>
      <c r="H960" s="19"/>
      <c r="I960" s="19"/>
      <c r="J960" s="19"/>
      <c r="K960" s="19"/>
      <c r="L960" s="19"/>
      <c r="M960" s="19"/>
      <c r="N960" s="19"/>
      <c r="O960" s="19"/>
      <c r="P960" s="19"/>
      <c r="Q960" s="19"/>
      <c r="R960" s="19"/>
      <c r="S960" s="19"/>
      <c r="T960" s="19"/>
      <c r="U960" s="19"/>
      <c r="V960" s="19"/>
      <c r="W960" s="19"/>
      <c r="X960" s="19"/>
    </row>
    <row r="961" spans="1:24" ht="12" customHeight="1">
      <c r="A961" s="19"/>
      <c r="B961" s="19"/>
      <c r="C961" s="19"/>
      <c r="D961" s="19"/>
      <c r="E961" s="19"/>
      <c r="F961" s="19"/>
      <c r="G961" s="19"/>
      <c r="H961" s="19"/>
      <c r="I961" s="19"/>
      <c r="J961" s="19"/>
      <c r="K961" s="19"/>
      <c r="L961" s="19"/>
      <c r="M961" s="19"/>
      <c r="N961" s="19"/>
      <c r="O961" s="19"/>
      <c r="P961" s="19"/>
      <c r="Q961" s="19"/>
      <c r="R961" s="19"/>
      <c r="S961" s="19"/>
      <c r="T961" s="19"/>
      <c r="U961" s="19"/>
      <c r="V961" s="19"/>
      <c r="W961" s="19"/>
      <c r="X961" s="19"/>
    </row>
    <row r="962" spans="1:24" ht="12" customHeight="1">
      <c r="A962" s="19"/>
      <c r="B962" s="19"/>
      <c r="C962" s="19"/>
      <c r="D962" s="19"/>
      <c r="E962" s="19"/>
      <c r="F962" s="19"/>
      <c r="G962" s="19"/>
      <c r="H962" s="19"/>
      <c r="I962" s="19"/>
      <c r="J962" s="19"/>
      <c r="K962" s="19"/>
      <c r="L962" s="19"/>
      <c r="M962" s="19"/>
      <c r="N962" s="19"/>
      <c r="O962" s="19"/>
      <c r="P962" s="19"/>
      <c r="Q962" s="19"/>
      <c r="R962" s="19"/>
      <c r="S962" s="19"/>
      <c r="T962" s="19"/>
      <c r="U962" s="19"/>
      <c r="V962" s="19"/>
      <c r="W962" s="19"/>
      <c r="X962" s="19"/>
    </row>
    <row r="963" spans="1:24" ht="12" customHeight="1">
      <c r="A963" s="19"/>
      <c r="B963" s="19"/>
      <c r="C963" s="19"/>
      <c r="D963" s="19"/>
      <c r="E963" s="19"/>
      <c r="F963" s="19"/>
      <c r="G963" s="19"/>
      <c r="H963" s="19"/>
      <c r="I963" s="19"/>
      <c r="J963" s="19"/>
      <c r="K963" s="19"/>
      <c r="L963" s="19"/>
      <c r="M963" s="19"/>
      <c r="N963" s="19"/>
      <c r="O963" s="19"/>
      <c r="P963" s="19"/>
      <c r="Q963" s="19"/>
      <c r="R963" s="19"/>
      <c r="S963" s="19"/>
      <c r="T963" s="19"/>
      <c r="U963" s="19"/>
      <c r="V963" s="19"/>
      <c r="W963" s="19"/>
      <c r="X963" s="19"/>
    </row>
    <row r="964" spans="1:24" ht="12" customHeight="1">
      <c r="A964" s="19"/>
      <c r="B964" s="19"/>
      <c r="C964" s="19"/>
      <c r="D964" s="19"/>
      <c r="E964" s="19"/>
      <c r="F964" s="19"/>
      <c r="G964" s="19"/>
      <c r="H964" s="19"/>
      <c r="I964" s="19"/>
      <c r="J964" s="19"/>
      <c r="K964" s="19"/>
      <c r="L964" s="19"/>
      <c r="M964" s="19"/>
      <c r="N964" s="19"/>
      <c r="O964" s="19"/>
      <c r="P964" s="19"/>
      <c r="Q964" s="19"/>
      <c r="R964" s="19"/>
      <c r="S964" s="19"/>
      <c r="T964" s="19"/>
      <c r="U964" s="19"/>
      <c r="V964" s="19"/>
      <c r="W964" s="19"/>
      <c r="X964" s="19"/>
    </row>
    <row r="965" spans="1:24" ht="12" customHeight="1">
      <c r="A965" s="19"/>
      <c r="B965" s="19"/>
      <c r="C965" s="19"/>
      <c r="D965" s="19"/>
      <c r="E965" s="19"/>
      <c r="F965" s="19"/>
      <c r="G965" s="19"/>
      <c r="H965" s="19"/>
      <c r="I965" s="19"/>
      <c r="J965" s="19"/>
      <c r="K965" s="19"/>
      <c r="L965" s="19"/>
      <c r="M965" s="19"/>
      <c r="N965" s="19"/>
      <c r="O965" s="19"/>
      <c r="P965" s="19"/>
      <c r="Q965" s="19"/>
      <c r="R965" s="19"/>
      <c r="S965" s="19"/>
      <c r="T965" s="19"/>
      <c r="U965" s="19"/>
      <c r="V965" s="19"/>
      <c r="W965" s="19"/>
      <c r="X965" s="19"/>
    </row>
    <row r="966" spans="1:24" ht="12" customHeight="1">
      <c r="A966" s="19"/>
      <c r="B966" s="19"/>
      <c r="C966" s="19"/>
      <c r="D966" s="19"/>
      <c r="E966" s="19"/>
      <c r="F966" s="19"/>
      <c r="G966" s="19"/>
      <c r="H966" s="19"/>
      <c r="I966" s="19"/>
      <c r="J966" s="19"/>
      <c r="K966" s="19"/>
      <c r="L966" s="19"/>
      <c r="M966" s="19"/>
      <c r="N966" s="19"/>
      <c r="O966" s="19"/>
      <c r="P966" s="19"/>
      <c r="Q966" s="19"/>
      <c r="R966" s="19"/>
      <c r="S966" s="19"/>
      <c r="T966" s="19"/>
      <c r="U966" s="19"/>
      <c r="V966" s="19"/>
      <c r="W966" s="19"/>
      <c r="X966" s="19"/>
    </row>
    <row r="967" spans="1:24" ht="12" customHeight="1">
      <c r="A967" s="19"/>
      <c r="B967" s="19"/>
      <c r="C967" s="19"/>
      <c r="D967" s="19"/>
      <c r="E967" s="19"/>
      <c r="F967" s="19"/>
      <c r="G967" s="19"/>
      <c r="H967" s="19"/>
      <c r="I967" s="19"/>
      <c r="J967" s="19"/>
      <c r="K967" s="19"/>
      <c r="L967" s="19"/>
      <c r="M967" s="19"/>
      <c r="N967" s="19"/>
      <c r="O967" s="19"/>
      <c r="P967" s="19"/>
      <c r="Q967" s="19"/>
      <c r="R967" s="19"/>
      <c r="S967" s="19"/>
      <c r="T967" s="19"/>
      <c r="U967" s="19"/>
      <c r="V967" s="19"/>
      <c r="W967" s="19"/>
      <c r="X967" s="19"/>
    </row>
    <row r="968" spans="1:24" ht="12" customHeight="1">
      <c r="A968" s="19"/>
      <c r="B968" s="19"/>
      <c r="C968" s="19"/>
      <c r="D968" s="19"/>
      <c r="E968" s="19"/>
      <c r="F968" s="19"/>
      <c r="G968" s="19"/>
      <c r="H968" s="19"/>
      <c r="I968" s="19"/>
      <c r="J968" s="19"/>
      <c r="K968" s="19"/>
      <c r="L968" s="19"/>
      <c r="M968" s="19"/>
      <c r="N968" s="19"/>
      <c r="O968" s="19"/>
      <c r="P968" s="19"/>
      <c r="Q968" s="19"/>
      <c r="R968" s="19"/>
      <c r="S968" s="19"/>
      <c r="T968" s="19"/>
      <c r="U968" s="19"/>
      <c r="V968" s="19"/>
      <c r="W968" s="19"/>
      <c r="X968" s="19"/>
    </row>
    <row r="969" spans="1:24" ht="12" customHeight="1">
      <c r="A969" s="19"/>
      <c r="B969" s="19"/>
      <c r="C969" s="19"/>
      <c r="D969" s="19"/>
      <c r="E969" s="19"/>
      <c r="F969" s="19"/>
      <c r="G969" s="19"/>
      <c r="H969" s="19"/>
      <c r="I969" s="19"/>
      <c r="J969" s="19"/>
      <c r="K969" s="19"/>
      <c r="L969" s="19"/>
      <c r="M969" s="19"/>
      <c r="N969" s="19"/>
      <c r="O969" s="19"/>
      <c r="P969" s="19"/>
      <c r="Q969" s="19"/>
      <c r="R969" s="19"/>
      <c r="S969" s="19"/>
      <c r="T969" s="19"/>
      <c r="U969" s="19"/>
      <c r="V969" s="19"/>
      <c r="W969" s="19"/>
      <c r="X969" s="19"/>
    </row>
    <row r="970" spans="1:24" ht="12" customHeight="1">
      <c r="A970" s="19"/>
      <c r="B970" s="19"/>
      <c r="C970" s="19"/>
      <c r="D970" s="19"/>
      <c r="E970" s="19"/>
      <c r="F970" s="19"/>
      <c r="G970" s="19"/>
      <c r="H970" s="19"/>
      <c r="I970" s="19"/>
      <c r="J970" s="19"/>
      <c r="K970" s="19"/>
      <c r="L970" s="19"/>
      <c r="M970" s="19"/>
      <c r="N970" s="19"/>
      <c r="O970" s="19"/>
      <c r="P970" s="19"/>
      <c r="Q970" s="19"/>
      <c r="R970" s="19"/>
      <c r="S970" s="19"/>
      <c r="T970" s="19"/>
      <c r="U970" s="19"/>
      <c r="V970" s="19"/>
      <c r="W970" s="19"/>
      <c r="X970" s="19"/>
    </row>
    <row r="971" spans="1:24" ht="12" customHeight="1">
      <c r="A971" s="19"/>
      <c r="B971" s="19"/>
      <c r="C971" s="19"/>
      <c r="D971" s="19"/>
      <c r="E971" s="19"/>
      <c r="F971" s="19"/>
      <c r="G971" s="19"/>
      <c r="H971" s="19"/>
      <c r="I971" s="19"/>
      <c r="J971" s="19"/>
      <c r="K971" s="19"/>
      <c r="L971" s="19"/>
      <c r="M971" s="19"/>
      <c r="N971" s="19"/>
      <c r="O971" s="19"/>
      <c r="P971" s="19"/>
      <c r="Q971" s="19"/>
      <c r="R971" s="19"/>
      <c r="S971" s="19"/>
      <c r="T971" s="19"/>
      <c r="U971" s="19"/>
      <c r="V971" s="19"/>
      <c r="W971" s="19"/>
      <c r="X971" s="19"/>
    </row>
    <row r="972" spans="1:24" ht="12" customHeight="1">
      <c r="A972" s="19"/>
      <c r="B972" s="19"/>
      <c r="C972" s="19"/>
      <c r="D972" s="19"/>
      <c r="E972" s="19"/>
      <c r="F972" s="19"/>
      <c r="G972" s="19"/>
      <c r="H972" s="19"/>
      <c r="I972" s="19"/>
      <c r="J972" s="19"/>
      <c r="K972" s="19"/>
      <c r="L972" s="19"/>
      <c r="M972" s="19"/>
      <c r="N972" s="19"/>
      <c r="O972" s="19"/>
      <c r="P972" s="19"/>
      <c r="Q972" s="19"/>
      <c r="R972" s="19"/>
      <c r="S972" s="19"/>
      <c r="T972" s="19"/>
      <c r="U972" s="19"/>
      <c r="V972" s="19"/>
      <c r="W972" s="19"/>
      <c r="X972" s="19"/>
    </row>
    <row r="973" spans="1:24" ht="12" customHeight="1">
      <c r="A973" s="19"/>
      <c r="B973" s="19"/>
      <c r="C973" s="19"/>
      <c r="D973" s="19"/>
      <c r="E973" s="19"/>
      <c r="F973" s="19"/>
      <c r="G973" s="19"/>
      <c r="H973" s="19"/>
      <c r="I973" s="19"/>
      <c r="J973" s="19"/>
      <c r="K973" s="19"/>
      <c r="L973" s="19"/>
      <c r="M973" s="19"/>
      <c r="N973" s="19"/>
      <c r="O973" s="19"/>
      <c r="P973" s="19"/>
      <c r="Q973" s="19"/>
      <c r="R973" s="19"/>
      <c r="S973" s="19"/>
      <c r="T973" s="19"/>
      <c r="U973" s="19"/>
      <c r="V973" s="19"/>
      <c r="W973" s="19"/>
      <c r="X973" s="19"/>
    </row>
    <row r="974" spans="1:24" ht="12" customHeight="1">
      <c r="A974" s="19"/>
      <c r="B974" s="19"/>
      <c r="C974" s="19"/>
      <c r="D974" s="19"/>
      <c r="E974" s="19"/>
      <c r="F974" s="19"/>
      <c r="G974" s="19"/>
      <c r="H974" s="19"/>
      <c r="I974" s="19"/>
      <c r="J974" s="19"/>
      <c r="K974" s="19"/>
      <c r="L974" s="19"/>
      <c r="M974" s="19"/>
      <c r="N974" s="19"/>
      <c r="O974" s="19"/>
      <c r="P974" s="19"/>
      <c r="Q974" s="19"/>
      <c r="R974" s="19"/>
      <c r="S974" s="19"/>
      <c r="T974" s="19"/>
      <c r="U974" s="19"/>
      <c r="V974" s="19"/>
      <c r="W974" s="19"/>
      <c r="X974" s="19"/>
    </row>
    <row r="975" spans="1:24" ht="12" customHeight="1">
      <c r="A975" s="19"/>
      <c r="B975" s="19"/>
      <c r="C975" s="19"/>
      <c r="D975" s="19"/>
      <c r="E975" s="19"/>
      <c r="F975" s="19"/>
      <c r="G975" s="19"/>
      <c r="H975" s="19"/>
      <c r="I975" s="19"/>
      <c r="J975" s="19"/>
      <c r="K975" s="19"/>
      <c r="L975" s="19"/>
      <c r="M975" s="19"/>
      <c r="N975" s="19"/>
      <c r="O975" s="19"/>
      <c r="P975" s="19"/>
      <c r="Q975" s="19"/>
      <c r="R975" s="19"/>
      <c r="S975" s="19"/>
      <c r="T975" s="19"/>
      <c r="U975" s="19"/>
      <c r="V975" s="19"/>
      <c r="W975" s="19"/>
      <c r="X975" s="19"/>
    </row>
    <row r="976" spans="1:24" ht="12" customHeight="1">
      <c r="A976" s="19"/>
      <c r="B976" s="19"/>
      <c r="C976" s="19"/>
      <c r="D976" s="19"/>
      <c r="E976" s="19"/>
      <c r="F976" s="19"/>
      <c r="G976" s="19"/>
      <c r="H976" s="19"/>
      <c r="I976" s="19"/>
      <c r="J976" s="19"/>
      <c r="K976" s="19"/>
      <c r="L976" s="19"/>
      <c r="M976" s="19"/>
      <c r="N976" s="19"/>
      <c r="O976" s="19"/>
      <c r="P976" s="19"/>
      <c r="Q976" s="19"/>
      <c r="R976" s="19"/>
      <c r="S976" s="19"/>
      <c r="T976" s="19"/>
      <c r="U976" s="19"/>
      <c r="V976" s="19"/>
      <c r="W976" s="19"/>
      <c r="X976" s="19"/>
    </row>
    <row r="977" spans="1:24" ht="12" customHeight="1">
      <c r="A977" s="19"/>
      <c r="B977" s="19"/>
      <c r="C977" s="19"/>
      <c r="D977" s="19"/>
      <c r="E977" s="19"/>
      <c r="F977" s="19"/>
      <c r="G977" s="19"/>
      <c r="H977" s="19"/>
      <c r="I977" s="19"/>
      <c r="J977" s="19"/>
      <c r="K977" s="19"/>
      <c r="L977" s="19"/>
      <c r="M977" s="19"/>
      <c r="N977" s="19"/>
      <c r="O977" s="19"/>
      <c r="P977" s="19"/>
      <c r="Q977" s="19"/>
      <c r="R977" s="19"/>
      <c r="S977" s="19"/>
      <c r="T977" s="19"/>
      <c r="U977" s="19"/>
      <c r="V977" s="19"/>
      <c r="W977" s="19"/>
      <c r="X977" s="19"/>
    </row>
    <row r="978" spans="1:24" ht="12" customHeight="1">
      <c r="A978" s="19"/>
      <c r="B978" s="19"/>
      <c r="C978" s="19"/>
      <c r="D978" s="19"/>
      <c r="E978" s="19"/>
      <c r="F978" s="19"/>
      <c r="G978" s="19"/>
      <c r="H978" s="19"/>
      <c r="I978" s="19"/>
      <c r="J978" s="19"/>
      <c r="K978" s="19"/>
      <c r="L978" s="19"/>
      <c r="M978" s="19"/>
      <c r="N978" s="19"/>
      <c r="O978" s="19"/>
      <c r="P978" s="19"/>
      <c r="Q978" s="19"/>
      <c r="R978" s="19"/>
      <c r="S978" s="19"/>
      <c r="T978" s="19"/>
      <c r="U978" s="19"/>
      <c r="V978" s="19"/>
      <c r="W978" s="19"/>
      <c r="X978" s="19"/>
    </row>
    <row r="979" spans="1:24" ht="12" customHeight="1">
      <c r="A979" s="19"/>
      <c r="B979" s="19"/>
      <c r="C979" s="19"/>
      <c r="D979" s="19"/>
      <c r="E979" s="19"/>
      <c r="F979" s="19"/>
      <c r="G979" s="19"/>
      <c r="H979" s="19"/>
      <c r="I979" s="19"/>
      <c r="J979" s="19"/>
      <c r="K979" s="19"/>
      <c r="L979" s="19"/>
      <c r="M979" s="19"/>
      <c r="N979" s="19"/>
      <c r="O979" s="19"/>
      <c r="P979" s="19"/>
      <c r="Q979" s="19"/>
      <c r="R979" s="19"/>
      <c r="S979" s="19"/>
      <c r="T979" s="19"/>
      <c r="U979" s="19"/>
      <c r="V979" s="19"/>
      <c r="W979" s="19"/>
      <c r="X979" s="19"/>
    </row>
    <row r="980" spans="1:24" ht="12" customHeight="1">
      <c r="A980" s="19"/>
      <c r="B980" s="19"/>
      <c r="C980" s="19"/>
      <c r="D980" s="19"/>
      <c r="E980" s="19"/>
      <c r="F980" s="19"/>
      <c r="G980" s="19"/>
      <c r="H980" s="19"/>
      <c r="I980" s="19"/>
      <c r="J980" s="19"/>
      <c r="K980" s="19"/>
      <c r="L980" s="19"/>
      <c r="M980" s="19"/>
      <c r="N980" s="19"/>
      <c r="O980" s="19"/>
      <c r="P980" s="19"/>
      <c r="Q980" s="19"/>
      <c r="R980" s="19"/>
      <c r="S980" s="19"/>
      <c r="T980" s="19"/>
      <c r="U980" s="19"/>
      <c r="V980" s="19"/>
      <c r="W980" s="19"/>
      <c r="X980" s="19"/>
    </row>
    <row r="981" spans="1:24" ht="12" customHeight="1">
      <c r="A981" s="19"/>
      <c r="B981" s="19"/>
      <c r="C981" s="19"/>
      <c r="D981" s="19"/>
      <c r="E981" s="19"/>
      <c r="F981" s="19"/>
      <c r="G981" s="19"/>
      <c r="H981" s="19"/>
      <c r="I981" s="19"/>
      <c r="J981" s="19"/>
      <c r="K981" s="19"/>
      <c r="L981" s="19"/>
      <c r="M981" s="19"/>
      <c r="N981" s="19"/>
      <c r="O981" s="19"/>
      <c r="P981" s="19"/>
      <c r="Q981" s="19"/>
      <c r="R981" s="19"/>
      <c r="S981" s="19"/>
      <c r="T981" s="19"/>
      <c r="U981" s="19"/>
      <c r="V981" s="19"/>
      <c r="W981" s="19"/>
      <c r="X981" s="19"/>
    </row>
  </sheetData>
  <sheetCalcPr fullCalcOnLoad="true"/>
  <sheetProtection password="DC4E" sheet="true" scenarios="true" objects="true"/>
  <mergeCells count="1">
    <mergeCell ref="B5:G5"/>
  </mergeCells>
  <conditionalFormatting sqref="E44">
    <cfRule type="expression" dxfId="1190" priority="2">
      <formula>LEN(TRIM(F44))&gt;0</formula>
    </cfRule>
  </conditionalFormatting>
  <conditionalFormatting sqref="D52">
    <cfRule type="cellIs" dxfId="1189" priority="3" operator="equal">
      <formula>"SI"</formula>
    </cfRule>
    <cfRule type="cellIs" dxfId="1188" priority="4" operator="equal">
      <formula>"NO"</formula>
    </cfRule>
  </conditionalFormatting>
  <dataValidations count="1">
    <dataValidation type="list" operator="equal" allowBlank="1" showErrorMessage="1" errorTitle="Error" error="Debe seleccionar un tipo dentro del desplegable." sqref="D8:D42">
      <formula1>"--,Página Web,Documento no web"</formula1>
    </dataValidation>
  </dataValidations>
  <pageMargins left="0.7" right="0.7" top="0.75" bottom="0.75" header="0.51180555555555496" footer="0.51180555555555496"/>
  <pageSetup firstPageNumber="0" orientation="portrait" horizontalDpi="300" verticalDpi="300" r:id="rId1"/>
  <drawing r:id="rId2"/>
  <legacyDrawing r:id="rId3"/>
  <extLst>
    <ext uri="{CCE6A557-97BC-4b89-ADB6-D9C93CAAB3DF}">
      <x14:dataValidations xmlns:xm="http://schemas.microsoft.com/office/excel/2006/main" count="1">
        <x14:dataValidation type="list" operator="equal" allowBlank="1" showErrorMessage="1" errorTitle="Error" error="Debe seleccionar un tipo dentro del desplegable.">
          <x14:formula1>
            <xm:f>'DATA - Oculta'!$O$8:$O$23</xm:f>
          </x14:formula1>
          <x14:formula2>
            <xm:f>0</xm:f>
          </x14:formula2>
          <xm:sqref>E8:E42</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8"/>
  <dimension ref="A1:BL138"/>
  <sheetViews>
    <sheetView topLeftCell="C47" zoomScale="68" zoomScaleNormal="68" workbookViewId="0">
      <selection activeCell="D19" sqref="D19"/>
    </sheetView>
  </sheetViews>
  <sheetFormatPr baseColWidth="10" defaultColWidth="11.5703125" defaultRowHeight="12.75"/>
  <cols>
    <col min="1" max="1" customWidth="true" style="113" width="6.28515625" collapsed="false"/>
    <col min="2" max="2" customWidth="true" style="14" width="16.140625" collapsed="false"/>
    <col min="3" max="3" customWidth="true" style="14" width="64.140625" collapsed="false"/>
    <col min="4" max="4" customWidth="true" style="113" width="18.28515625" collapsed="false"/>
    <col min="5" max="5" customWidth="true" style="113" width="6.28515625" collapsed="false"/>
    <col min="6" max="6" bestFit="true" customWidth="true" style="14" width="16.42578125" collapsed="false"/>
    <col min="7" max="7" customWidth="true" style="14" width="14.7109375" collapsed="false"/>
    <col min="8" max="8" customWidth="true" style="14" width="12.5703125" collapsed="false"/>
    <col min="9" max="9" customWidth="true" style="14" width="11.7109375" collapsed="false"/>
    <col min="10" max="10" bestFit="true" customWidth="true" style="14" width="17.28515625" collapsed="false"/>
    <col min="11" max="11" customWidth="true" style="14" width="14.5703125" collapsed="false"/>
    <col min="12" max="12" customWidth="true" style="14" width="12.5703125" collapsed="false"/>
    <col min="13" max="13" customWidth="true" style="14" width="15.42578125" collapsed="false"/>
    <col min="14" max="14" customWidth="true" style="14" width="12.28515625" collapsed="false"/>
    <col min="15" max="15" customWidth="true" style="14" width="12.5703125" collapsed="false"/>
    <col min="16" max="16" customWidth="true" style="14" width="19.5703125" collapsed="false"/>
    <col min="17" max="17" customWidth="true" style="14" width="6.85546875" collapsed="false"/>
    <col min="18" max="18" customWidth="true" style="14" width="4.7109375" collapsed="false"/>
    <col min="19" max="19" customWidth="true" style="14" width="12.85546875" collapsed="false"/>
    <col min="20" max="20" customWidth="true" style="14" width="12.140625" collapsed="false"/>
    <col min="21" max="21" customWidth="true" style="14" width="6.7109375" collapsed="false"/>
    <col min="22" max="22" customWidth="true" style="14" width="5.5703125" collapsed="false"/>
    <col min="23" max="23" customWidth="true" style="14" width="12.0" collapsed="false"/>
    <col min="24" max="24" customWidth="true" style="14" width="11.85546875" collapsed="false"/>
    <col min="25" max="25" customWidth="true" style="14" width="7.28515625" collapsed="false"/>
    <col min="26" max="64" customWidth="true" style="14" width="14.42578125" collapsed="false"/>
    <col min="65" max="16384" style="14" width="11.5703125" collapsed="false"/>
  </cols>
  <sheetData>
    <row r="1" spans="1:64" ht="14.1" customHeight="1">
      <c r="A1" s="23"/>
      <c r="B1" s="21"/>
      <c r="C1" s="21"/>
      <c r="D1" s="106"/>
      <c r="E1" s="107"/>
      <c r="F1" s="19"/>
      <c r="G1" s="19"/>
      <c r="H1" s="19"/>
      <c r="I1" s="19"/>
      <c r="J1" s="19"/>
      <c r="K1" s="19"/>
      <c r="L1" s="19"/>
      <c r="M1" s="19"/>
      <c r="N1" s="19"/>
      <c r="O1" s="19"/>
      <c r="P1" s="19"/>
      <c r="Q1" s="19"/>
      <c r="R1" s="19"/>
      <c r="S1" s="19"/>
      <c r="T1" s="19"/>
      <c r="U1" s="19"/>
      <c r="V1" s="19"/>
      <c r="W1" s="19"/>
      <c r="X1" s="19"/>
      <c r="Y1" s="19"/>
      <c r="Z1" s="19"/>
    </row>
    <row r="2" spans="1:64" ht="27" customHeight="1">
      <c r="A2" s="23"/>
      <c r="B2" s="64" t="s">
        <v>0</v>
      </c>
      <c r="C2" s="28"/>
      <c r="D2" s="106"/>
      <c r="E2" s="107"/>
      <c r="P2" s="19"/>
      <c r="Q2" s="19"/>
      <c r="R2" s="19"/>
      <c r="S2" s="19"/>
      <c r="T2" s="19"/>
      <c r="U2" s="19"/>
      <c r="V2" s="19"/>
      <c r="W2" s="19"/>
      <c r="X2" s="19"/>
      <c r="Y2" s="19"/>
      <c r="Z2" s="19"/>
    </row>
    <row r="3" spans="1:64" ht="26.1" customHeight="1">
      <c r="A3" s="23"/>
      <c r="B3" s="65" t="s">
        <v>278</v>
      </c>
      <c r="C3" s="28"/>
      <c r="D3" s="106"/>
      <c r="E3" s="107"/>
    </row>
    <row r="4" spans="1:64" ht="26.1" customHeight="1">
      <c r="B4" s="27"/>
      <c r="C4" s="66"/>
      <c r="D4" s="14"/>
      <c r="E4" s="14"/>
      <c r="K4" s="19"/>
      <c r="N4" s="19"/>
      <c r="O4" s="19"/>
    </row>
    <row r="5" spans="1:64" ht="27.95" customHeight="1">
      <c r="B5" s="137" t="s">
        <v>22</v>
      </c>
      <c r="C5" s="137"/>
      <c r="D5" s="78"/>
      <c r="E5" s="108"/>
      <c r="F5" s="78"/>
      <c r="G5" s="78"/>
      <c r="H5" s="78"/>
      <c r="I5" s="78"/>
      <c r="J5" s="78"/>
      <c r="K5" s="78"/>
      <c r="L5" s="78"/>
      <c r="M5" s="78"/>
      <c r="N5" s="67"/>
      <c r="O5" s="67"/>
      <c r="AA5" s="68"/>
      <c r="AB5" s="68"/>
      <c r="AC5" s="68"/>
      <c r="AD5" s="68"/>
      <c r="AE5" s="68"/>
      <c r="AF5" s="68"/>
      <c r="AG5" s="68"/>
      <c r="AH5" s="68"/>
      <c r="AI5" s="68"/>
      <c r="AJ5" s="68"/>
      <c r="AK5" s="68"/>
      <c r="AL5" s="68"/>
      <c r="AM5" s="68"/>
      <c r="AN5" s="68"/>
      <c r="AO5" s="68"/>
      <c r="AP5" s="68"/>
      <c r="AQ5" s="68"/>
      <c r="AR5" s="68"/>
      <c r="AS5" s="68"/>
      <c r="AT5" s="68"/>
      <c r="AU5" s="68"/>
      <c r="AV5" s="68"/>
      <c r="AW5" s="68"/>
      <c r="AX5" s="68"/>
      <c r="AY5" s="68"/>
      <c r="AZ5" s="68"/>
      <c r="BA5" s="68"/>
      <c r="BB5" s="68"/>
      <c r="BC5" s="68"/>
      <c r="BD5" s="68"/>
      <c r="BE5" s="68"/>
      <c r="BF5" s="68"/>
      <c r="BG5" s="68"/>
      <c r="BH5" s="68"/>
      <c r="BI5" s="68"/>
      <c r="BJ5" s="68"/>
      <c r="BK5" s="68"/>
      <c r="BL5" s="68"/>
    </row>
    <row r="6" spans="1:64" ht="11.65" customHeight="1">
      <c r="B6" s="165"/>
      <c r="C6" s="165"/>
      <c r="D6" s="165"/>
      <c r="E6" s="166"/>
      <c r="F6" s="165"/>
      <c r="G6" s="165"/>
      <c r="H6" s="165"/>
      <c r="I6" s="165"/>
      <c r="J6" s="165"/>
      <c r="K6" s="165"/>
      <c r="L6" s="165"/>
      <c r="M6" s="165"/>
      <c r="N6" s="19"/>
      <c r="O6" s="19"/>
    </row>
    <row r="7" spans="1:64" ht="12.6" customHeight="1">
      <c r="B7" s="19"/>
      <c r="C7" s="19"/>
      <c r="D7" s="19"/>
      <c r="E7" s="107"/>
      <c r="F7" s="19"/>
      <c r="G7" s="19"/>
      <c r="H7" s="19"/>
      <c r="I7" s="19"/>
      <c r="J7" s="19"/>
      <c r="K7" s="19"/>
      <c r="L7" s="19"/>
      <c r="M7" s="19"/>
      <c r="N7" s="19"/>
      <c r="O7" s="19"/>
    </row>
    <row r="8" spans="1:64" ht="18.95" customHeight="1">
      <c r="B8" s="111" t="s">
        <v>372</v>
      </c>
      <c r="C8" s="19"/>
      <c r="D8" s="107"/>
      <c r="E8" s="107"/>
      <c r="F8" s="19"/>
      <c r="G8" s="19"/>
      <c r="H8" s="19"/>
      <c r="I8" s="19"/>
      <c r="J8" s="19"/>
      <c r="K8" s="19"/>
      <c r="L8" s="19"/>
      <c r="M8" s="19"/>
      <c r="N8" s="19"/>
      <c r="O8" s="19"/>
    </row>
    <row r="9" spans="1:64" ht="30" customHeight="1">
      <c r="B9" s="264" t="s">
        <v>471</v>
      </c>
      <c r="C9" s="264"/>
      <c r="D9" s="264"/>
      <c r="E9" s="264"/>
      <c r="F9" s="264"/>
      <c r="G9" s="264"/>
      <c r="H9" s="264"/>
      <c r="I9" s="264"/>
      <c r="J9" s="264"/>
      <c r="K9" s="264"/>
      <c r="L9" s="264"/>
      <c r="M9" s="264"/>
      <c r="N9" s="19"/>
      <c r="O9" s="19"/>
    </row>
    <row r="10" spans="1:64" ht="17.100000000000001" customHeight="1" thickBot="1">
      <c r="B10" s="19"/>
      <c r="C10" s="19"/>
      <c r="D10" s="107"/>
      <c r="E10" s="107"/>
      <c r="K10" s="19"/>
      <c r="L10" s="19"/>
      <c r="M10" s="19"/>
      <c r="N10" s="19"/>
      <c r="O10" s="19"/>
      <c r="P10" s="19"/>
      <c r="Q10" s="19"/>
      <c r="R10" s="19"/>
      <c r="U10" s="19"/>
      <c r="V10" s="19"/>
      <c r="W10" s="19"/>
      <c r="X10" s="19"/>
      <c r="Y10" s="19"/>
    </row>
    <row r="11" spans="1:64" ht="25.35" customHeight="1">
      <c r="B11" s="262" t="s">
        <v>152</v>
      </c>
      <c r="C11" s="263"/>
      <c r="D11" s="28"/>
      <c r="E11" s="14"/>
      <c r="F11" s="138" t="s">
        <v>23</v>
      </c>
      <c r="G11" s="136" t="s">
        <v>359</v>
      </c>
      <c r="H11" s="139" t="s">
        <v>24</v>
      </c>
      <c r="I11" s="23"/>
      <c r="J11" s="138" t="s">
        <v>25</v>
      </c>
      <c r="K11" s="136" t="s">
        <v>359</v>
      </c>
      <c r="L11" s="139" t="s">
        <v>24</v>
      </c>
      <c r="M11" s="19"/>
      <c r="N11" s="19"/>
      <c r="O11" s="186"/>
      <c r="P11" s="19"/>
      <c r="Q11" s="19"/>
      <c r="R11" s="19"/>
      <c r="U11" s="19"/>
      <c r="V11" s="19"/>
      <c r="W11" s="19"/>
      <c r="X11" s="19"/>
      <c r="Y11" s="19"/>
    </row>
    <row r="12" spans="1:64" ht="12" customHeight="1">
      <c r="B12" s="143" t="s">
        <v>90</v>
      </c>
      <c r="C12" s="57" t="n">
        <f>COUNTIF($B$18:$B$3773,B12)</f>
        <v>3.0</v>
      </c>
      <c r="D12" s="28"/>
      <c r="E12" s="14"/>
      <c r="F12" s="62" t="s">
        <v>26</v>
      </c>
      <c r="G12" s="61" t="n">
        <f ca="1">J20+J58+J96</f>
        <v>0.0</v>
      </c>
      <c r="H12" s="53" t="n">
        <f ca="1">IF(($G$15+$K$15)=0,0,G12/($G$15+$K$15))</f>
        <v>0.0</v>
      </c>
      <c r="I12" s="28"/>
      <c r="J12" s="60" t="s">
        <v>27</v>
      </c>
      <c r="K12" s="61" t="n">
        <f ca="1">G20+G58+G96</f>
        <v>0.0</v>
      </c>
      <c r="L12" s="53" t="n">
        <f ca="1">IF(($G$15+$K$15)=0,0,K12/($G$15+$K$15))</f>
        <v>0.0</v>
      </c>
      <c r="M12" s="19"/>
      <c r="N12" s="19"/>
      <c r="O12" s="19"/>
      <c r="P12" s="19"/>
      <c r="Q12" s="19"/>
      <c r="R12" s="19"/>
      <c r="U12" s="19"/>
      <c r="V12" s="19"/>
      <c r="W12" s="19"/>
      <c r="X12" s="19"/>
      <c r="Y12" s="19"/>
    </row>
    <row r="13" spans="1:64" ht="12" customHeight="1">
      <c r="B13" s="56"/>
      <c r="C13" s="57"/>
      <c r="D13" s="28"/>
      <c r="E13" s="14"/>
      <c r="F13" s="62" t="s">
        <v>28</v>
      </c>
      <c r="G13" s="61" t="n">
        <f ca="1">I20+I58+I96</f>
        <v>0.0</v>
      </c>
      <c r="H13" s="53" t="n">
        <f ca="1">IF(($G$15+$K$15)=0,0,G13/($G$15+$K$15))</f>
        <v>0.0</v>
      </c>
      <c r="I13" s="28"/>
      <c r="J13" s="60" t="s">
        <v>29</v>
      </c>
      <c r="K13" s="61" t="n">
        <f ca="1">F20+F58+F96</f>
        <v>99.0</v>
      </c>
      <c r="L13" s="53" t="n">
        <f ca="1">IF(($G$15+$K$15)=0,0,K13/($G$15+$K$15))</f>
        <v>1.0</v>
      </c>
      <c r="M13" s="19"/>
      <c r="N13" s="19"/>
      <c r="O13" s="19"/>
      <c r="P13" s="19"/>
      <c r="Q13" s="19"/>
      <c r="R13" s="19"/>
      <c r="U13" s="19"/>
      <c r="V13" s="19"/>
      <c r="W13" s="19"/>
      <c r="X13" s="19"/>
      <c r="Y13" s="19"/>
    </row>
    <row r="14" spans="1:64" ht="12" customHeight="1" thickBot="1">
      <c r="B14" s="58" t="s">
        <v>30</v>
      </c>
      <c r="C14" s="59" t="n">
        <f>C12+C13</f>
        <v>3.0</v>
      </c>
      <c r="D14" s="28"/>
      <c r="E14" s="14"/>
      <c r="F14" s="62" t="s">
        <v>31</v>
      </c>
      <c r="G14" s="61" t="n">
        <f ca="1">H20+H58+H96</f>
        <v>0.0</v>
      </c>
      <c r="H14" s="53" t="n">
        <f ca="1">IF(($G$15+$K$15)=0,0,G14/($G$15+$K$15))</f>
        <v>0.0</v>
      </c>
      <c r="I14" s="28"/>
      <c r="J14" s="224" t="s">
        <v>474</v>
      </c>
      <c r="K14" s="223" t="n">
        <f ca="1">K20+K58+K96</f>
        <v>0.0</v>
      </c>
      <c r="L14" s="53" t="n">
        <f ca="1">IF(($G$15+$K$15)=0,0,K14/($G$15+$K$15))</f>
        <v>0.0</v>
      </c>
      <c r="M14" s="19"/>
      <c r="N14" s="19"/>
      <c r="O14" s="19"/>
      <c r="P14" s="19"/>
      <c r="Q14" s="19"/>
      <c r="R14" s="19"/>
      <c r="U14" s="19"/>
      <c r="V14" s="19"/>
      <c r="W14" s="19"/>
      <c r="X14" s="19"/>
      <c r="Y14" s="19"/>
    </row>
    <row r="15" spans="1:64" ht="12" customHeight="1" thickBot="1">
      <c r="B15" s="23"/>
      <c r="C15" s="28"/>
      <c r="D15" s="28"/>
      <c r="E15" s="14"/>
      <c r="F15" s="58" t="s">
        <v>30</v>
      </c>
      <c r="G15" s="49" t="n">
        <f ca="1">SUM(G12:G14)</f>
        <v>0.0</v>
      </c>
      <c r="H15" s="55" t="n">
        <f ca="1">SUM(H12:H14)</f>
        <v>0.0</v>
      </c>
      <c r="I15" s="28"/>
      <c r="J15" s="58" t="s">
        <v>30</v>
      </c>
      <c r="K15" s="49" t="n">
        <f ca="1">SUM(K12:K13)</f>
        <v>99.0</v>
      </c>
      <c r="L15" s="55" t="n">
        <f ca="1">SUM(L12:L13)</f>
        <v>1.0</v>
      </c>
      <c r="M15" s="19"/>
      <c r="N15" s="19"/>
      <c r="O15" s="19"/>
      <c r="P15" s="19"/>
      <c r="Q15" s="19"/>
      <c r="R15" s="19"/>
      <c r="U15" s="19"/>
      <c r="V15" s="19"/>
      <c r="W15" s="19"/>
      <c r="X15" s="19"/>
      <c r="Y15" s="19"/>
    </row>
    <row r="16" spans="1:64" ht="12" customHeight="1">
      <c r="B16" s="19"/>
      <c r="C16" s="19"/>
      <c r="D16" s="28"/>
      <c r="E16" s="28"/>
      <c r="F16" s="28"/>
      <c r="G16" s="28"/>
      <c r="H16" s="28"/>
      <c r="I16" s="28"/>
      <c r="J16" s="28"/>
      <c r="K16" s="28"/>
      <c r="L16" s="19"/>
      <c r="M16" s="19"/>
      <c r="N16" s="19"/>
      <c r="O16" s="19"/>
      <c r="P16" s="19"/>
      <c r="Q16" s="19"/>
      <c r="R16" s="19"/>
      <c r="U16" s="19"/>
      <c r="V16" s="19"/>
      <c r="W16" s="19"/>
      <c r="X16" s="19"/>
      <c r="Y16" s="19"/>
    </row>
    <row r="17" spans="1:30" ht="12" customHeight="1">
      <c r="B17" s="19"/>
      <c r="C17" s="19"/>
      <c r="D17" s="107"/>
      <c r="E17" s="112"/>
      <c r="K17" s="19"/>
      <c r="L17" s="19"/>
      <c r="M17" s="19"/>
    </row>
    <row r="18" spans="1:30" ht="29.85" customHeight="1">
      <c r="A18" s="218" t="s">
        <v>268</v>
      </c>
      <c r="B18" s="24" t="s">
        <v>90</v>
      </c>
      <c r="C18" s="25" t="s">
        <v>251</v>
      </c>
      <c r="D18" s="26" t="s">
        <v>32</v>
      </c>
      <c r="K18" s="19"/>
      <c r="L18" s="19"/>
    </row>
    <row r="19" spans="1:30" ht="12" customHeight="1">
      <c r="A19" s="219" t="n" cm="1">
        <f t="array" ref="A19">IFERROR(INDEX('03.Muestra'!$B$8:$B$42,SMALL(IF("Página Web"='03.Muestra'!$D$8:$D$42,ROW('03.Muestra'!$B$8:$B$42)-MIN(ROW('03.Muestra'!$D$8:$D$42))+1,""),ROW()-18)),"")</f>
        <v>1.0</v>
      </c>
      <c r="B19" s="220" t="str" cm="1">
        <f t="array" ref="B19">IFERROR(INDEX('03.Muestra'!$C$8:$C$42,SMALL(IF("Página Web"='03.Muestra'!$D$8:$D$42,ROW('03.Muestra'!$C$8:$C$42)-MIN(ROW('03.Muestra'!$D$8:$D$42))+1,""),ROW()-18)),"")</f>
        <v>Home - PortCastelló</v>
      </c>
      <c r="C19" s="220" t="str" cm="1">
        <f t="array" ref="C19">IFERROR(INDEX('03.Muestra'!$F$8:$F$42,SMALL(IF("Página Web"='03.Muestra'!$D$8:$D$42,ROW('03.Muestra'!$F$8:$F$42)-MIN(ROW('03.Muestra'!$D$8:$D$42))+1,""),ROW()-18)),"")</f>
        <v>https://www.portcastello.com/</v>
      </c>
      <c r="D19" s="130" t="str">
        <f>IF(AND(B19&lt;&gt;"",C19&lt;&gt;""),"N/T","")</f>
        <v>N/T</v>
      </c>
      <c r="E19" s="107" t="str">
        <f t="shared" ref="E19:E53" si="0">IF(D19&lt;&gt;"",IF(AND(B19&lt;&gt;"",C19&lt;&gt;""),"","ERR"),"")</f>
        <v/>
      </c>
      <c r="F19" s="115" t="s">
        <v>33</v>
      </c>
      <c r="G19" s="116" t="s">
        <v>37</v>
      </c>
      <c r="H19" s="117" t="s">
        <v>35</v>
      </c>
      <c r="I19" s="118" t="s">
        <v>28</v>
      </c>
      <c r="J19" s="119" t="s">
        <v>26</v>
      </c>
      <c r="K19" s="19"/>
      <c r="L19" s="19"/>
    </row>
    <row r="20" spans="1:30" ht="12" customHeight="1">
      <c r="A20" s="219" t="n" cm="1">
        <f t="array" ref="A20">IFERROR(INDEX('03.Muestra'!$B$8:$B$42,SMALL(IF("Página Web"='03.Muestra'!$D$8:$D$42,ROW('03.Muestra'!$B$8:$B$42)-MIN(ROW('03.Muestra'!$D$8:$D$42))+1,""),ROW()-18)),"")</f>
        <v>1.0</v>
      </c>
      <c r="B20" s="220" t="str" cm="1">
        <f t="array" ref="B20">IFERROR(INDEX('03.Muestra'!$C$8:$C$42,SMALL(IF("Página Web"='03.Muestra'!$D$8:$D$42,ROW('03.Muestra'!$C$8:$C$42)-MIN(ROW('03.Muestra'!$D$8:$D$42))+1,""),ROW()-18)),"")</f>
        <v>Home - PortCastelló</v>
      </c>
      <c r="C20" s="220" t="str" cm="1">
        <f t="array" ref="C20">IFERROR(INDEX('03.Muestra'!$F$8:$F$42,SMALL(IF("Página Web"='03.Muestra'!$D$8:$D$42,ROW('03.Muestra'!$F$8:$F$42)-MIN(ROW('03.Muestra'!$D$8:$D$42))+1,""),ROW()-18)),"")</f>
        <v>https://www.portcastello.com/</v>
      </c>
      <c r="D20" s="130" t="str">
        <f t="shared" ref="D20:D53" si="1">IF(AND(B20&lt;&gt;"",C20&lt;&gt;""),"N/T","")</f>
        <v>N/T</v>
      </c>
      <c r="E20" s="107" t="str">
        <f t="shared" si="0"/>
        <v/>
      </c>
      <c r="F20" s="120" t="n">
        <f ca="1">COUNTIF($D19:INDIRECT("$D" &amp;  SUM(ROW()-1,'03.Muestra'!$D$45)-1),F19)</f>
        <v>33.0</v>
      </c>
      <c r="G20" s="120" t="n">
        <f ca="1">COUNTIF($D19:INDIRECT("$D" &amp;  SUM(ROW()-1,'03.Muestra'!$D$45)-1),G19)</f>
        <v>0.0</v>
      </c>
      <c r="H20" s="120" t="n">
        <f ca="1">COUNTIF($D19:INDIRECT("$D" &amp;  SUM(ROW()-1,'03.Muestra'!$D$45)-1),H19)</f>
        <v>0.0</v>
      </c>
      <c r="I20" s="120" t="n">
        <f ca="1">COUNTIF($D19:INDIRECT("$D" &amp;  SUM(ROW()-1,'03.Muestra'!$D$45)-1),I19)</f>
        <v>0.0</v>
      </c>
      <c r="J20" s="120" t="n">
        <f ca="1">COUNTIF($D19:INDIRECT("$D" &amp;  SUM(ROW()-1,'03.Muestra'!$D$45)-1),J19)</f>
        <v>0.0</v>
      </c>
      <c r="K20" s="225" t="n">
        <f ca="1">IF(COUNTIF('03.Muestra'!$D$8:$D$42,"Página Web")=0,0,COUNTBLANK($D19:INDIRECT("$D" &amp;  SUM(ROW()-1,COUNTIF('03.Muestra'!$D$8:$D$42,"Página Web"))-1)))</f>
        <v>0.0</v>
      </c>
      <c r="L20" s="19"/>
    </row>
    <row r="21" spans="1:30" ht="12" customHeight="1">
      <c r="A21" s="219" t="n" cm="1">
        <f t="array" ref="A21">IFERROR(INDEX('03.Muestra'!$B$8:$B$42,SMALL(IF("Página Web"='03.Muestra'!$D$8:$D$42,ROW('03.Muestra'!$B$8:$B$42)-MIN(ROW('03.Muestra'!$D$8:$D$42))+1,""),ROW()-18)),"")</f>
        <v>1.0</v>
      </c>
      <c r="B21" s="220" t="str" cm="1">
        <f t="array" ref="B21">IFERROR(INDEX('03.Muestra'!$C$8:$C$42,SMALL(IF("Página Web"='03.Muestra'!$D$8:$D$42,ROW('03.Muestra'!$C$8:$C$42)-MIN(ROW('03.Muestra'!$D$8:$D$42))+1,""),ROW()-18)),"")</f>
        <v>Home - PortCastelló</v>
      </c>
      <c r="C21" s="220" t="str" cm="1">
        <f t="array" ref="C21">IFERROR(INDEX('03.Muestra'!$F$8:$F$42,SMALL(IF("Página Web"='03.Muestra'!$D$8:$D$42,ROW('03.Muestra'!$F$8:$F$42)-MIN(ROW('03.Muestra'!$D$8:$D$42))+1,""),ROW()-18)),"")</f>
        <v>https://www.portcastello.com/</v>
      </c>
      <c r="D21" s="130" t="str">
        <f t="shared" si="1"/>
        <v>N/T</v>
      </c>
      <c r="E21" s="107" t="str">
        <f t="shared" si="0"/>
        <v/>
      </c>
      <c r="F21" s="19"/>
      <c r="G21" s="19"/>
      <c r="H21" s="19"/>
      <c r="I21" s="19"/>
      <c r="J21" s="19"/>
      <c r="K21" s="19"/>
    </row>
    <row r="22" spans="1:30" ht="12" customHeight="1">
      <c r="A22" s="219" t="n" cm="1">
        <f t="array" ref="A22">IFERROR(INDEX('03.Muestra'!$B$8:$B$42,SMALL(IF("Página Web"='03.Muestra'!$D$8:$D$42,ROW('03.Muestra'!$B$8:$B$42)-MIN(ROW('03.Muestra'!$D$8:$D$42))+1,""),ROW()-18)),"")</f>
        <v>1.0</v>
      </c>
      <c r="B22" s="220" t="str" cm="1">
        <f t="array" ref="B22">IFERROR(INDEX('03.Muestra'!$C$8:$C$42,SMALL(IF("Página Web"='03.Muestra'!$D$8:$D$42,ROW('03.Muestra'!$C$8:$C$42)-MIN(ROW('03.Muestra'!$D$8:$D$42))+1,""),ROW()-18)),"")</f>
        <v>Home - PortCastelló</v>
      </c>
      <c r="C22" s="220" t="str" cm="1">
        <f t="array" ref="C22">IFERROR(INDEX('03.Muestra'!$F$8:$F$42,SMALL(IF("Página Web"='03.Muestra'!$D$8:$D$42,ROW('03.Muestra'!$F$8:$F$42)-MIN(ROW('03.Muestra'!$D$8:$D$42))+1,""),ROW()-18)),"")</f>
        <v>https://www.portcastello.com/</v>
      </c>
      <c r="D22" s="130" t="str">
        <f t="shared" si="1"/>
        <v>N/T</v>
      </c>
      <c r="E22" s="107" t="str">
        <f t="shared" si="0"/>
        <v/>
      </c>
      <c r="F22" s="19"/>
      <c r="G22" s="19"/>
      <c r="H22" s="19"/>
      <c r="I22" s="19"/>
      <c r="K22" s="214" t="s">
        <v>33</v>
      </c>
      <c r="L22" s="121" t="s">
        <v>34</v>
      </c>
    </row>
    <row r="23" spans="1:30" ht="12" customHeight="1">
      <c r="A23" s="219" t="n" cm="1">
        <f t="array" ref="A23">IFERROR(INDEX('03.Muestra'!$B$8:$B$42,SMALL(IF("Página Web"='03.Muestra'!$D$8:$D$42,ROW('03.Muestra'!$B$8:$B$42)-MIN(ROW('03.Muestra'!$D$8:$D$42))+1,""),ROW()-18)),"")</f>
        <v>1.0</v>
      </c>
      <c r="B23" s="220" t="str" cm="1">
        <f t="array" ref="B23">IFERROR(INDEX('03.Muestra'!$C$8:$C$42,SMALL(IF("Página Web"='03.Muestra'!$D$8:$D$42,ROW('03.Muestra'!$C$8:$C$42)-MIN(ROW('03.Muestra'!$D$8:$D$42))+1,""),ROW()-18)),"")</f>
        <v>Home - PortCastelló</v>
      </c>
      <c r="C23" s="220" t="str" cm="1">
        <f t="array" ref="C23">IFERROR(INDEX('03.Muestra'!$F$8:$F$42,SMALL(IF("Página Web"='03.Muestra'!$D$8:$D$42,ROW('03.Muestra'!$F$8:$F$42)-MIN(ROW('03.Muestra'!$D$8:$D$42))+1,""),ROW()-18)),"")</f>
        <v>https://www.portcastello.com/</v>
      </c>
      <c r="D23" s="130" t="str">
        <f t="shared" si="1"/>
        <v>N/T</v>
      </c>
      <c r="E23" s="107" t="str">
        <f t="shared" si="0"/>
        <v/>
      </c>
      <c r="F23" s="122"/>
      <c r="G23" s="19"/>
      <c r="H23" s="19"/>
      <c r="I23" s="19"/>
      <c r="K23" s="117" t="s">
        <v>35</v>
      </c>
      <c r="L23" s="121" t="s">
        <v>36</v>
      </c>
    </row>
    <row r="24" spans="1:30" ht="12" customHeight="1">
      <c r="A24" s="219" t="n" cm="1">
        <f t="array" ref="A24">IFERROR(INDEX('03.Muestra'!$B$8:$B$42,SMALL(IF("Página Web"='03.Muestra'!$D$8:$D$42,ROW('03.Muestra'!$B$8:$B$42)-MIN(ROW('03.Muestra'!$D$8:$D$42))+1,""),ROW()-18)),"")</f>
        <v>1.0</v>
      </c>
      <c r="B24" s="220" t="str" cm="1">
        <f t="array" ref="B24">IFERROR(INDEX('03.Muestra'!$C$8:$C$42,SMALL(IF("Página Web"='03.Muestra'!$D$8:$D$42,ROW('03.Muestra'!$C$8:$C$42)-MIN(ROW('03.Muestra'!$D$8:$D$42))+1,""),ROW()-18)),"")</f>
        <v>Home - PortCastelló</v>
      </c>
      <c r="C24" s="220" t="str" cm="1">
        <f t="array" ref="C24">IFERROR(INDEX('03.Muestra'!$F$8:$F$42,SMALL(IF("Página Web"='03.Muestra'!$D$8:$D$42,ROW('03.Muestra'!$F$8:$F$42)-MIN(ROW('03.Muestra'!$D$8:$D$42))+1,""),ROW()-18)),"")</f>
        <v>https://www.portcastello.com/</v>
      </c>
      <c r="D24" s="130" t="str">
        <f t="shared" si="1"/>
        <v>N/T</v>
      </c>
      <c r="E24" s="107" t="str">
        <f t="shared" si="0"/>
        <v/>
      </c>
      <c r="F24" s="19"/>
      <c r="G24" s="19"/>
      <c r="H24" s="19"/>
      <c r="I24" s="19"/>
      <c r="K24" s="116" t="s">
        <v>37</v>
      </c>
      <c r="L24" s="121" t="s">
        <v>38</v>
      </c>
      <c r="AD24" s="19"/>
    </row>
    <row r="25" spans="1:30" ht="12" customHeight="1">
      <c r="A25" s="219" t="n" cm="1">
        <f t="array" ref="A25">IFERROR(INDEX('03.Muestra'!$B$8:$B$42,SMALL(IF("Página Web"='03.Muestra'!$D$8:$D$42,ROW('03.Muestra'!$B$8:$B$42)-MIN(ROW('03.Muestra'!$D$8:$D$42))+1,""),ROW()-18)),"")</f>
        <v>1.0</v>
      </c>
      <c r="B25" s="220" t="str" cm="1">
        <f t="array" ref="B25">IFERROR(INDEX('03.Muestra'!$C$8:$C$42,SMALL(IF("Página Web"='03.Muestra'!$D$8:$D$42,ROW('03.Muestra'!$C$8:$C$42)-MIN(ROW('03.Muestra'!$D$8:$D$42))+1,""),ROW()-18)),"")</f>
        <v>Home - PortCastelló</v>
      </c>
      <c r="C25" s="220" t="str" cm="1">
        <f t="array" ref="C25">IFERROR(INDEX('03.Muestra'!$F$8:$F$42,SMALL(IF("Página Web"='03.Muestra'!$D$8:$D$42,ROW('03.Muestra'!$F$8:$F$42)-MIN(ROW('03.Muestra'!$D$8:$D$42))+1,""),ROW()-18)),"")</f>
        <v>https://www.portcastello.com/</v>
      </c>
      <c r="D25" s="130" t="str">
        <f t="shared" si="1"/>
        <v>N/T</v>
      </c>
      <c r="E25" s="107" t="str">
        <f t="shared" si="0"/>
        <v/>
      </c>
      <c r="F25" s="19"/>
      <c r="G25" s="19"/>
      <c r="H25" s="19"/>
      <c r="I25" s="19"/>
      <c r="J25" s="19"/>
      <c r="L25" s="121"/>
      <c r="AD25" s="19"/>
    </row>
    <row r="26" spans="1:30" ht="12" customHeight="1">
      <c r="A26" s="219" t="n" cm="1">
        <f t="array" ref="A26">IFERROR(INDEX('03.Muestra'!$B$8:$B$42,SMALL(IF("Página Web"='03.Muestra'!$D$8:$D$42,ROW('03.Muestra'!$B$8:$B$42)-MIN(ROW('03.Muestra'!$D$8:$D$42))+1,""),ROW()-18)),"")</f>
        <v>1.0</v>
      </c>
      <c r="B26" s="220" t="str" cm="1">
        <f t="array" ref="B26">IFERROR(INDEX('03.Muestra'!$C$8:$C$42,SMALL(IF("Página Web"='03.Muestra'!$D$8:$D$42,ROW('03.Muestra'!$C$8:$C$42)-MIN(ROW('03.Muestra'!$D$8:$D$42))+1,""),ROW()-18)),"")</f>
        <v>Home - PortCastelló</v>
      </c>
      <c r="C26" s="220" t="str" cm="1">
        <f t="array" ref="C26">IFERROR(INDEX('03.Muestra'!$F$8:$F$42,SMALL(IF("Página Web"='03.Muestra'!$D$8:$D$42,ROW('03.Muestra'!$F$8:$F$42)-MIN(ROW('03.Muestra'!$D$8:$D$42))+1,""),ROW()-18)),"")</f>
        <v>https://www.portcastello.com/</v>
      </c>
      <c r="D26" s="130" t="str">
        <f t="shared" si="1"/>
        <v>N/T</v>
      </c>
      <c r="E26" s="107" t="str">
        <f t="shared" si="0"/>
        <v/>
      </c>
      <c r="F26" s="19"/>
      <c r="G26" s="19"/>
      <c r="H26" s="19"/>
      <c r="I26" s="19"/>
      <c r="J26" s="19"/>
      <c r="K26" s="19"/>
      <c r="L26" s="19"/>
      <c r="AD26" s="19"/>
    </row>
    <row r="27" spans="1:30" ht="12" customHeight="1">
      <c r="A27" s="219" t="n" cm="1">
        <f t="array" ref="A27">IFERROR(INDEX('03.Muestra'!$B$8:$B$42,SMALL(IF("Página Web"='03.Muestra'!$D$8:$D$42,ROW('03.Muestra'!$B$8:$B$42)-MIN(ROW('03.Muestra'!$D$8:$D$42))+1,""),ROW()-18)),"")</f>
        <v>1.0</v>
      </c>
      <c r="B27" s="220" t="str" cm="1">
        <f t="array" ref="B27">IFERROR(INDEX('03.Muestra'!$C$8:$C$42,SMALL(IF("Página Web"='03.Muestra'!$D$8:$D$42,ROW('03.Muestra'!$C$8:$C$42)-MIN(ROW('03.Muestra'!$D$8:$D$42))+1,""),ROW()-18)),"")</f>
        <v>Home - PortCastelló</v>
      </c>
      <c r="C27" s="220" t="str" cm="1">
        <f t="array" ref="C27">IFERROR(INDEX('03.Muestra'!$F$8:$F$42,SMALL(IF("Página Web"='03.Muestra'!$D$8:$D$42,ROW('03.Muestra'!$F$8:$F$42)-MIN(ROW('03.Muestra'!$D$8:$D$42))+1,""),ROW()-18)),"")</f>
        <v>https://www.portcastello.com/</v>
      </c>
      <c r="D27" s="130" t="str">
        <f t="shared" si="1"/>
        <v>N/T</v>
      </c>
      <c r="E27" s="107" t="str">
        <f t="shared" si="0"/>
        <v/>
      </c>
      <c r="F27" s="19"/>
      <c r="G27" s="19"/>
      <c r="H27" s="19"/>
      <c r="I27" s="19"/>
      <c r="J27" s="19"/>
      <c r="Q27" s="19"/>
      <c r="R27" s="19"/>
      <c r="S27" s="19"/>
      <c r="T27" s="19"/>
      <c r="U27" s="19"/>
      <c r="AD27" s="19"/>
    </row>
    <row r="28" spans="1:30" ht="12" customHeight="1">
      <c r="A28" s="219" t="n" cm="1">
        <f t="array" ref="A28">IFERROR(INDEX('03.Muestra'!$B$8:$B$42,SMALL(IF("Página Web"='03.Muestra'!$D$8:$D$42,ROW('03.Muestra'!$B$8:$B$42)-MIN(ROW('03.Muestra'!$D$8:$D$42))+1,""),ROW()-18)),"")</f>
        <v>1.0</v>
      </c>
      <c r="B28" s="220" t="str" cm="1">
        <f t="array" ref="B28">IFERROR(INDEX('03.Muestra'!$C$8:$C$42,SMALL(IF("Página Web"='03.Muestra'!$D$8:$D$42,ROW('03.Muestra'!$C$8:$C$42)-MIN(ROW('03.Muestra'!$D$8:$D$42))+1,""),ROW()-18)),"")</f>
        <v>Home - PortCastelló</v>
      </c>
      <c r="C28" s="220" t="str" cm="1">
        <f t="array" ref="C28">IFERROR(INDEX('03.Muestra'!$F$8:$F$42,SMALL(IF("Página Web"='03.Muestra'!$D$8:$D$42,ROW('03.Muestra'!$F$8:$F$42)-MIN(ROW('03.Muestra'!$D$8:$D$42))+1,""),ROW()-18)),"")</f>
        <v>https://www.portcastello.com/</v>
      </c>
      <c r="D28" s="130" t="str">
        <f t="shared" si="1"/>
        <v>N/T</v>
      </c>
      <c r="E28" s="107" t="str">
        <f t="shared" si="0"/>
        <v/>
      </c>
      <c r="F28" s="19"/>
      <c r="G28" s="19"/>
      <c r="H28" s="19"/>
      <c r="I28" s="19"/>
      <c r="J28" s="19"/>
      <c r="N28" s="19"/>
      <c r="O28" s="19"/>
      <c r="P28" s="19"/>
      <c r="Q28" s="19"/>
      <c r="R28" s="19"/>
      <c r="S28" s="19"/>
      <c r="T28" s="19"/>
      <c r="U28" s="19"/>
      <c r="AD28" s="19"/>
    </row>
    <row r="29" spans="1:30" ht="12" customHeight="1">
      <c r="A29" s="219" t="n" cm="1">
        <f t="array" ref="A29">IFERROR(INDEX('03.Muestra'!$B$8:$B$42,SMALL(IF("Página Web"='03.Muestra'!$D$8:$D$42,ROW('03.Muestra'!$B$8:$B$42)-MIN(ROW('03.Muestra'!$D$8:$D$42))+1,""),ROW()-18)),"")</f>
        <v>1.0</v>
      </c>
      <c r="B29" s="220" t="str" cm="1">
        <f t="array" ref="B29">IFERROR(INDEX('03.Muestra'!$C$8:$C$42,SMALL(IF("Página Web"='03.Muestra'!$D$8:$D$42,ROW('03.Muestra'!$C$8:$C$42)-MIN(ROW('03.Muestra'!$D$8:$D$42))+1,""),ROW()-18)),"")</f>
        <v>Home - PortCastelló</v>
      </c>
      <c r="C29" s="220" t="str" cm="1">
        <f t="array" ref="C29">IFERROR(INDEX('03.Muestra'!$F$8:$F$42,SMALL(IF("Página Web"='03.Muestra'!$D$8:$D$42,ROW('03.Muestra'!$F$8:$F$42)-MIN(ROW('03.Muestra'!$D$8:$D$42))+1,""),ROW()-18)),"")</f>
        <v>https://www.portcastello.com/</v>
      </c>
      <c r="D29" s="130" t="str">
        <f t="shared" si="1"/>
        <v>N/T</v>
      </c>
      <c r="E29" s="107" t="str">
        <f t="shared" si="0"/>
        <v/>
      </c>
      <c r="F29" s="19"/>
      <c r="G29" s="19"/>
      <c r="H29" s="19"/>
      <c r="I29" s="19"/>
      <c r="J29" s="19"/>
      <c r="P29" s="19"/>
      <c r="Q29" s="121"/>
      <c r="R29" s="121"/>
      <c r="S29" s="19"/>
      <c r="T29" s="19"/>
      <c r="U29" s="19"/>
      <c r="V29" s="19"/>
      <c r="W29" s="19"/>
      <c r="X29" s="19"/>
      <c r="Y29" s="19"/>
    </row>
    <row r="30" spans="1:30" ht="12" customHeight="1">
      <c r="A30" s="219" t="n" cm="1">
        <f t="array" ref="A30">IFERROR(INDEX('03.Muestra'!$B$8:$B$42,SMALL(IF("Página Web"='03.Muestra'!$D$8:$D$42,ROW('03.Muestra'!$B$8:$B$42)-MIN(ROW('03.Muestra'!$D$8:$D$42))+1,""),ROW()-18)),"")</f>
        <v>1.0</v>
      </c>
      <c r="B30" s="220" t="str" cm="1">
        <f t="array" ref="B30">IFERROR(INDEX('03.Muestra'!$C$8:$C$42,SMALL(IF("Página Web"='03.Muestra'!$D$8:$D$42,ROW('03.Muestra'!$C$8:$C$42)-MIN(ROW('03.Muestra'!$D$8:$D$42))+1,""),ROW()-18)),"")</f>
        <v>Home - PortCastelló</v>
      </c>
      <c r="C30" s="220" t="str" cm="1">
        <f t="array" ref="C30">IFERROR(INDEX('03.Muestra'!$F$8:$F$42,SMALL(IF("Página Web"='03.Muestra'!$D$8:$D$42,ROW('03.Muestra'!$F$8:$F$42)-MIN(ROW('03.Muestra'!$D$8:$D$42))+1,""),ROW()-18)),"")</f>
        <v>https://www.portcastello.com/</v>
      </c>
      <c r="D30" s="130" t="str">
        <f t="shared" si="1"/>
        <v>N/T</v>
      </c>
      <c r="E30" s="107" t="str">
        <f t="shared" si="0"/>
        <v/>
      </c>
      <c r="F30" s="19"/>
      <c r="G30" s="19"/>
      <c r="H30" s="19"/>
      <c r="I30" s="19"/>
      <c r="J30" s="19"/>
      <c r="K30" s="19"/>
      <c r="L30" s="19"/>
      <c r="O30" s="19"/>
      <c r="P30" s="19"/>
      <c r="Q30" s="19"/>
      <c r="R30" s="19"/>
      <c r="S30" s="19"/>
      <c r="T30" s="19"/>
      <c r="U30" s="19"/>
      <c r="V30" s="19"/>
      <c r="W30" s="19"/>
      <c r="X30" s="19"/>
      <c r="Y30" s="19"/>
    </row>
    <row r="31" spans="1:30" ht="12" customHeight="1">
      <c r="A31" s="219" t="n" cm="1">
        <f t="array" ref="A31">IFERROR(INDEX('03.Muestra'!$B$8:$B$42,SMALL(IF("Página Web"='03.Muestra'!$D$8:$D$42,ROW('03.Muestra'!$B$8:$B$42)-MIN(ROW('03.Muestra'!$D$8:$D$42))+1,""),ROW()-18)),"")</f>
        <v>1.0</v>
      </c>
      <c r="B31" s="220" t="str" cm="1">
        <f t="array" ref="B31">IFERROR(INDEX('03.Muestra'!$C$8:$C$42,SMALL(IF("Página Web"='03.Muestra'!$D$8:$D$42,ROW('03.Muestra'!$C$8:$C$42)-MIN(ROW('03.Muestra'!$D$8:$D$42))+1,""),ROW()-18)),"")</f>
        <v>Home - PortCastelló</v>
      </c>
      <c r="C31" s="220" t="str" cm="1">
        <f t="array" ref="C31">IFERROR(INDEX('03.Muestra'!$F$8:$F$42,SMALL(IF("Página Web"='03.Muestra'!$D$8:$D$42,ROW('03.Muestra'!$F$8:$F$42)-MIN(ROW('03.Muestra'!$D$8:$D$42))+1,""),ROW()-18)),"")</f>
        <v>https://www.portcastello.com/</v>
      </c>
      <c r="D31" s="130" t="str">
        <f t="shared" si="1"/>
        <v>N/T</v>
      </c>
      <c r="E31" s="107" t="str">
        <f t="shared" si="0"/>
        <v/>
      </c>
      <c r="F31" s="19"/>
      <c r="G31" s="19"/>
      <c r="H31" s="19"/>
      <c r="I31" s="19"/>
      <c r="J31" s="19"/>
      <c r="K31" s="19"/>
      <c r="L31" s="19"/>
      <c r="O31" s="19"/>
      <c r="P31" s="19"/>
      <c r="Q31" s="19"/>
      <c r="R31" s="19"/>
      <c r="S31" s="19"/>
      <c r="T31" s="19"/>
      <c r="U31" s="19"/>
      <c r="V31" s="19"/>
      <c r="W31" s="19"/>
      <c r="X31" s="19"/>
      <c r="Y31" s="19"/>
    </row>
    <row r="32" spans="1:30" ht="12" customHeight="1">
      <c r="A32" s="219" t="n" cm="1">
        <f t="array" ref="A32">IFERROR(INDEX('03.Muestra'!$B$8:$B$42,SMALL(IF("Página Web"='03.Muestra'!$D$8:$D$42,ROW('03.Muestra'!$B$8:$B$42)-MIN(ROW('03.Muestra'!$D$8:$D$42))+1,""),ROW()-18)),"")</f>
        <v>1.0</v>
      </c>
      <c r="B32" s="220" t="str" cm="1">
        <f t="array" ref="B32">IFERROR(INDEX('03.Muestra'!$C$8:$C$42,SMALL(IF("Página Web"='03.Muestra'!$D$8:$D$42,ROW('03.Muestra'!$C$8:$C$42)-MIN(ROW('03.Muestra'!$D$8:$D$42))+1,""),ROW()-18)),"")</f>
        <v>Home - PortCastelló</v>
      </c>
      <c r="C32" s="220" t="str" cm="1">
        <f t="array" ref="C32">IFERROR(INDEX('03.Muestra'!$F$8:$F$42,SMALL(IF("Página Web"='03.Muestra'!$D$8:$D$42,ROW('03.Muestra'!$F$8:$F$42)-MIN(ROW('03.Muestra'!$D$8:$D$42))+1,""),ROW()-18)),"")</f>
        <v>https://www.portcastello.com/</v>
      </c>
      <c r="D32" s="130" t="str">
        <f t="shared" si="1"/>
        <v>N/T</v>
      </c>
      <c r="E32" s="107" t="str">
        <f t="shared" si="0"/>
        <v/>
      </c>
      <c r="F32" s="19"/>
      <c r="G32" s="19"/>
      <c r="H32" s="19"/>
      <c r="I32" s="19"/>
      <c r="J32" s="19"/>
      <c r="K32" s="19"/>
      <c r="L32" s="19"/>
      <c r="O32" s="19"/>
      <c r="P32" s="19"/>
      <c r="Q32" s="19"/>
      <c r="R32" s="19"/>
      <c r="S32" s="19"/>
      <c r="T32" s="19"/>
      <c r="U32" s="19"/>
      <c r="V32" s="19"/>
      <c r="W32" s="19"/>
      <c r="X32" s="19"/>
      <c r="Y32" s="19"/>
    </row>
    <row r="33" spans="1:25" ht="12" customHeight="1">
      <c r="A33" s="219" t="n" cm="1">
        <f t="array" ref="A33">IFERROR(INDEX('03.Muestra'!$B$8:$B$42,SMALL(IF("Página Web"='03.Muestra'!$D$8:$D$42,ROW('03.Muestra'!$B$8:$B$42)-MIN(ROW('03.Muestra'!$D$8:$D$42))+1,""),ROW()-18)),"")</f>
        <v>1.0</v>
      </c>
      <c r="B33" s="220" t="str" cm="1">
        <f t="array" ref="B33">IFERROR(INDEX('03.Muestra'!$C$8:$C$42,SMALL(IF("Página Web"='03.Muestra'!$D$8:$D$42,ROW('03.Muestra'!$C$8:$C$42)-MIN(ROW('03.Muestra'!$D$8:$D$42))+1,""),ROW()-18)),"")</f>
        <v>Home - PortCastelló</v>
      </c>
      <c r="C33" s="220" t="str" cm="1">
        <f t="array" ref="C33">IFERROR(INDEX('03.Muestra'!$F$8:$F$42,SMALL(IF("Página Web"='03.Muestra'!$D$8:$D$42,ROW('03.Muestra'!$F$8:$F$42)-MIN(ROW('03.Muestra'!$D$8:$D$42))+1,""),ROW()-18)),"")</f>
        <v>https://www.portcastello.com/</v>
      </c>
      <c r="D33" s="130" t="str">
        <f t="shared" si="1"/>
        <v>N/T</v>
      </c>
      <c r="E33" s="107" t="str">
        <f t="shared" si="0"/>
        <v/>
      </c>
      <c r="F33" s="19"/>
      <c r="G33" s="19"/>
      <c r="H33" s="19"/>
      <c r="I33" s="19"/>
      <c r="J33" s="19"/>
      <c r="K33" s="19"/>
      <c r="L33" s="19"/>
      <c r="N33" s="19"/>
      <c r="O33" s="19"/>
      <c r="P33" s="19"/>
      <c r="Q33" s="19"/>
      <c r="R33" s="19"/>
      <c r="S33" s="19"/>
      <c r="T33" s="19"/>
      <c r="U33" s="19"/>
      <c r="V33" s="19"/>
      <c r="W33" s="19"/>
      <c r="X33" s="19"/>
      <c r="Y33" s="19"/>
    </row>
    <row r="34" spans="1:25" ht="12" customHeight="1">
      <c r="A34" s="219" t="n" cm="1">
        <f t="array" ref="A34">IFERROR(INDEX('03.Muestra'!$B$8:$B$42,SMALL(IF("Página Web"='03.Muestra'!$D$8:$D$42,ROW('03.Muestra'!$B$8:$B$42)-MIN(ROW('03.Muestra'!$D$8:$D$42))+1,""),ROW()-18)),"")</f>
        <v>1.0</v>
      </c>
      <c r="B34" s="220" t="str" cm="1">
        <f t="array" ref="B34">IFERROR(INDEX('03.Muestra'!$C$8:$C$42,SMALL(IF("Página Web"='03.Muestra'!$D$8:$D$42,ROW('03.Muestra'!$C$8:$C$42)-MIN(ROW('03.Muestra'!$D$8:$D$42))+1,""),ROW()-18)),"")</f>
        <v>Home - PortCastelló</v>
      </c>
      <c r="C34" s="220" t="str" cm="1">
        <f t="array" ref="C34">IFERROR(INDEX('03.Muestra'!$F$8:$F$42,SMALL(IF("Página Web"='03.Muestra'!$D$8:$D$42,ROW('03.Muestra'!$F$8:$F$42)-MIN(ROW('03.Muestra'!$D$8:$D$42))+1,""),ROW()-18)),"")</f>
        <v>https://www.portcastello.com/</v>
      </c>
      <c r="D34" s="130" t="str">
        <f t="shared" si="1"/>
        <v>N/T</v>
      </c>
      <c r="E34" s="107" t="str">
        <f t="shared" si="0"/>
        <v/>
      </c>
      <c r="F34" s="19"/>
      <c r="G34" s="19"/>
      <c r="H34" s="19"/>
      <c r="I34" s="19"/>
      <c r="J34" s="19"/>
      <c r="K34" s="19"/>
      <c r="W34" s="19"/>
      <c r="X34" s="19"/>
      <c r="Y34" s="19"/>
    </row>
    <row r="35" spans="1:25" ht="12" customHeight="1">
      <c r="A35" s="219" t="n" cm="1">
        <f t="array" ref="A35">IFERROR(INDEX('03.Muestra'!$B$8:$B$42,SMALL(IF("Página Web"='03.Muestra'!$D$8:$D$42,ROW('03.Muestra'!$B$8:$B$42)-MIN(ROW('03.Muestra'!$D$8:$D$42))+1,""),ROW()-18)),"")</f>
        <v>1.0</v>
      </c>
      <c r="B35" s="220" t="str" cm="1">
        <f t="array" ref="B35">IFERROR(INDEX('03.Muestra'!$C$8:$C$42,SMALL(IF("Página Web"='03.Muestra'!$D$8:$D$42,ROW('03.Muestra'!$C$8:$C$42)-MIN(ROW('03.Muestra'!$D$8:$D$42))+1,""),ROW()-18)),"")</f>
        <v>Home - PortCastelló</v>
      </c>
      <c r="C35" s="220" t="str" cm="1">
        <f t="array" ref="C35">IFERROR(INDEX('03.Muestra'!$F$8:$F$42,SMALL(IF("Página Web"='03.Muestra'!$D$8:$D$42,ROW('03.Muestra'!$F$8:$F$42)-MIN(ROW('03.Muestra'!$D$8:$D$42))+1,""),ROW()-18)),"")</f>
        <v>https://www.portcastello.com/</v>
      </c>
      <c r="D35" s="130" t="str">
        <f t="shared" si="1"/>
        <v>N/T</v>
      </c>
      <c r="E35" s="107" t="str">
        <f t="shared" si="0"/>
        <v/>
      </c>
      <c r="F35" s="19"/>
      <c r="G35" s="19"/>
      <c r="H35" s="19"/>
      <c r="I35" s="19"/>
      <c r="J35" s="19"/>
      <c r="K35" s="19"/>
      <c r="W35" s="19"/>
      <c r="X35" s="19"/>
      <c r="Y35" s="19"/>
    </row>
    <row r="36" spans="1:25" ht="12" customHeight="1">
      <c r="A36" s="219" t="n" cm="1">
        <f t="array" ref="A36">IFERROR(INDEX('03.Muestra'!$B$8:$B$42,SMALL(IF("Página Web"='03.Muestra'!$D$8:$D$42,ROW('03.Muestra'!$B$8:$B$42)-MIN(ROW('03.Muestra'!$D$8:$D$42))+1,""),ROW()-18)),"")</f>
        <v>1.0</v>
      </c>
      <c r="B36" s="220" t="str" cm="1">
        <f t="array" ref="B36">IFERROR(INDEX('03.Muestra'!$C$8:$C$42,SMALL(IF("Página Web"='03.Muestra'!$D$8:$D$42,ROW('03.Muestra'!$C$8:$C$42)-MIN(ROW('03.Muestra'!$D$8:$D$42))+1,""),ROW()-18)),"")</f>
        <v>Home - PortCastelló</v>
      </c>
      <c r="C36" s="220" t="str" cm="1">
        <f t="array" ref="C36">IFERROR(INDEX('03.Muestra'!$F$8:$F$42,SMALL(IF("Página Web"='03.Muestra'!$D$8:$D$42,ROW('03.Muestra'!$F$8:$F$42)-MIN(ROW('03.Muestra'!$D$8:$D$42))+1,""),ROW()-18)),"")</f>
        <v>https://www.portcastello.com/</v>
      </c>
      <c r="D36" s="130" t="str">
        <f t="shared" si="1"/>
        <v>N/T</v>
      </c>
      <c r="E36" s="107" t="str">
        <f t="shared" si="0"/>
        <v/>
      </c>
      <c r="F36" s="19"/>
      <c r="G36" s="19"/>
      <c r="H36" s="19"/>
      <c r="I36" s="19"/>
      <c r="J36" s="19"/>
      <c r="K36" s="19"/>
      <c r="W36" s="19"/>
      <c r="X36" s="19"/>
      <c r="Y36" s="19"/>
    </row>
    <row r="37" spans="1:25" ht="12" customHeight="1">
      <c r="A37" s="219" t="n" cm="1">
        <f t="array" ref="A37">IFERROR(INDEX('03.Muestra'!$B$8:$B$42,SMALL(IF("Página Web"='03.Muestra'!$D$8:$D$42,ROW('03.Muestra'!$B$8:$B$42)-MIN(ROW('03.Muestra'!$D$8:$D$42))+1,""),ROW()-18)),"")</f>
        <v>1.0</v>
      </c>
      <c r="B37" s="220" t="str" cm="1">
        <f t="array" ref="B37">IFERROR(INDEX('03.Muestra'!$C$8:$C$42,SMALL(IF("Página Web"='03.Muestra'!$D$8:$D$42,ROW('03.Muestra'!$C$8:$C$42)-MIN(ROW('03.Muestra'!$D$8:$D$42))+1,""),ROW()-18)),"")</f>
        <v>Home - PortCastelló</v>
      </c>
      <c r="C37" s="220" t="str" cm="1">
        <f t="array" ref="C37">IFERROR(INDEX('03.Muestra'!$F$8:$F$42,SMALL(IF("Página Web"='03.Muestra'!$D$8:$D$42,ROW('03.Muestra'!$F$8:$F$42)-MIN(ROW('03.Muestra'!$D$8:$D$42))+1,""),ROW()-18)),"")</f>
        <v>https://www.portcastello.com/</v>
      </c>
      <c r="D37" s="130" t="str">
        <f t="shared" si="1"/>
        <v>N/T</v>
      </c>
      <c r="E37" s="107" t="str">
        <f t="shared" si="0"/>
        <v/>
      </c>
      <c r="F37" s="19"/>
      <c r="G37" s="19"/>
      <c r="H37" s="19"/>
      <c r="I37" s="19"/>
      <c r="J37" s="19"/>
      <c r="K37" s="19"/>
      <c r="L37" s="19"/>
      <c r="Q37" s="19"/>
      <c r="W37" s="19"/>
      <c r="X37" s="19"/>
      <c r="Y37" s="19"/>
    </row>
    <row r="38" spans="1:25" ht="12" customHeight="1">
      <c r="A38" s="219" t="n" cm="1">
        <f t="array" ref="A38">IFERROR(INDEX('03.Muestra'!$B$8:$B$42,SMALL(IF("Página Web"='03.Muestra'!$D$8:$D$42,ROW('03.Muestra'!$B$8:$B$42)-MIN(ROW('03.Muestra'!$D$8:$D$42))+1,""),ROW()-18)),"")</f>
        <v>1.0</v>
      </c>
      <c r="B38" s="220" t="str" cm="1">
        <f t="array" ref="B38">IFERROR(INDEX('03.Muestra'!$C$8:$C$42,SMALL(IF("Página Web"='03.Muestra'!$D$8:$D$42,ROW('03.Muestra'!$C$8:$C$42)-MIN(ROW('03.Muestra'!$D$8:$D$42))+1,""),ROW()-18)),"")</f>
        <v>Home - PortCastelló</v>
      </c>
      <c r="C38" s="220" t="str" cm="1">
        <f t="array" ref="C38">IFERROR(INDEX('03.Muestra'!$F$8:$F$42,SMALL(IF("Página Web"='03.Muestra'!$D$8:$D$42,ROW('03.Muestra'!$F$8:$F$42)-MIN(ROW('03.Muestra'!$D$8:$D$42))+1,""),ROW()-18)),"")</f>
        <v>https://www.portcastello.com/</v>
      </c>
      <c r="D38" s="130" t="str">
        <f t="shared" si="1"/>
        <v>N/T</v>
      </c>
      <c r="E38" s="107" t="str">
        <f t="shared" si="0"/>
        <v/>
      </c>
      <c r="F38" s="19"/>
      <c r="G38" s="19"/>
      <c r="H38" s="19"/>
      <c r="I38" s="19"/>
      <c r="J38" s="19"/>
      <c r="K38" s="19"/>
      <c r="L38" s="19"/>
      <c r="Q38" s="19"/>
      <c r="W38" s="19"/>
      <c r="X38" s="19"/>
      <c r="Y38" s="19"/>
    </row>
    <row r="39" spans="1:25" ht="12" customHeight="1">
      <c r="A39" s="219" t="n" cm="1">
        <f t="array" ref="A39">IFERROR(INDEX('03.Muestra'!$B$8:$B$42,SMALL(IF("Página Web"='03.Muestra'!$D$8:$D$42,ROW('03.Muestra'!$B$8:$B$42)-MIN(ROW('03.Muestra'!$D$8:$D$42))+1,""),ROW()-18)),"")</f>
        <v>1.0</v>
      </c>
      <c r="B39" s="220" t="str" cm="1">
        <f t="array" ref="B39">IFERROR(INDEX('03.Muestra'!$C$8:$C$42,SMALL(IF("Página Web"='03.Muestra'!$D$8:$D$42,ROW('03.Muestra'!$C$8:$C$42)-MIN(ROW('03.Muestra'!$D$8:$D$42))+1,""),ROW()-18)),"")</f>
        <v>Home - PortCastelló</v>
      </c>
      <c r="C39" s="220" t="str" cm="1">
        <f t="array" ref="C39">IFERROR(INDEX('03.Muestra'!$F$8:$F$42,SMALL(IF("Página Web"='03.Muestra'!$D$8:$D$42,ROW('03.Muestra'!$F$8:$F$42)-MIN(ROW('03.Muestra'!$D$8:$D$42))+1,""),ROW()-18)),"")</f>
        <v>https://www.portcastello.com/</v>
      </c>
      <c r="D39" s="130" t="str">
        <f t="shared" si="1"/>
        <v>N/T</v>
      </c>
      <c r="E39" s="107" t="str">
        <f t="shared" si="0"/>
        <v/>
      </c>
      <c r="F39" s="19"/>
      <c r="G39" s="19"/>
      <c r="H39" s="19"/>
      <c r="I39" s="19"/>
      <c r="J39" s="19"/>
      <c r="K39" s="19"/>
      <c r="L39" s="19"/>
      <c r="Q39" s="19"/>
      <c r="W39" s="19"/>
      <c r="X39" s="19"/>
      <c r="Y39" s="19"/>
    </row>
    <row r="40" spans="1:25" ht="12" customHeight="1">
      <c r="A40" s="219" t="n" cm="1">
        <f t="array" ref="A40">IFERROR(INDEX('03.Muestra'!$B$8:$B$42,SMALL(IF("Página Web"='03.Muestra'!$D$8:$D$42,ROW('03.Muestra'!$B$8:$B$42)-MIN(ROW('03.Muestra'!$D$8:$D$42))+1,""),ROW()-18)),"")</f>
        <v>1.0</v>
      </c>
      <c r="B40" s="220" t="str" cm="1">
        <f t="array" ref="B40">IFERROR(INDEX('03.Muestra'!$C$8:$C$42,SMALL(IF("Página Web"='03.Muestra'!$D$8:$D$42,ROW('03.Muestra'!$C$8:$C$42)-MIN(ROW('03.Muestra'!$D$8:$D$42))+1,""),ROW()-18)),"")</f>
        <v>Home - PortCastelló</v>
      </c>
      <c r="C40" s="220" t="str" cm="1">
        <f t="array" ref="C40">IFERROR(INDEX('03.Muestra'!$F$8:$F$42,SMALL(IF("Página Web"='03.Muestra'!$D$8:$D$42,ROW('03.Muestra'!$F$8:$F$42)-MIN(ROW('03.Muestra'!$D$8:$D$42))+1,""),ROW()-18)),"")</f>
        <v>https://www.portcastello.com/</v>
      </c>
      <c r="D40" s="130" t="str">
        <f t="shared" si="1"/>
        <v>N/T</v>
      </c>
      <c r="E40" s="107" t="str">
        <f t="shared" si="0"/>
        <v/>
      </c>
      <c r="F40" s="19"/>
      <c r="G40" s="19"/>
      <c r="H40" s="19"/>
      <c r="I40" s="19"/>
      <c r="J40" s="19"/>
      <c r="K40" s="19"/>
      <c r="L40" s="19"/>
      <c r="Q40" s="19"/>
      <c r="R40" s="19"/>
      <c r="T40" s="19"/>
      <c r="U40" s="19"/>
      <c r="V40" s="19"/>
      <c r="W40" s="19"/>
      <c r="X40" s="19"/>
      <c r="Y40" s="19"/>
    </row>
    <row r="41" spans="1:25" ht="12" customHeight="1">
      <c r="A41" s="219" t="n" cm="1">
        <f t="array" ref="A41">IFERROR(INDEX('03.Muestra'!$B$8:$B$42,SMALL(IF("Página Web"='03.Muestra'!$D$8:$D$42,ROW('03.Muestra'!$B$8:$B$42)-MIN(ROW('03.Muestra'!$D$8:$D$42))+1,""),ROW()-18)),"")</f>
        <v>1.0</v>
      </c>
      <c r="B41" s="220" t="str" cm="1">
        <f t="array" ref="B41">IFERROR(INDEX('03.Muestra'!$C$8:$C$42,SMALL(IF("Página Web"='03.Muestra'!$D$8:$D$42,ROW('03.Muestra'!$C$8:$C$42)-MIN(ROW('03.Muestra'!$D$8:$D$42))+1,""),ROW()-18)),"")</f>
        <v>Home - PortCastelló</v>
      </c>
      <c r="C41" s="220" t="str" cm="1">
        <f t="array" ref="C41">IFERROR(INDEX('03.Muestra'!$F$8:$F$42,SMALL(IF("Página Web"='03.Muestra'!$D$8:$D$42,ROW('03.Muestra'!$F$8:$F$42)-MIN(ROW('03.Muestra'!$D$8:$D$42))+1,""),ROW()-18)),"")</f>
        <v>https://www.portcastello.com/</v>
      </c>
      <c r="D41" s="130" t="str">
        <f t="shared" si="1"/>
        <v>N/T</v>
      </c>
      <c r="E41" s="107" t="str">
        <f t="shared" si="0"/>
        <v/>
      </c>
      <c r="F41" s="19"/>
      <c r="G41" s="19"/>
      <c r="H41" s="19"/>
      <c r="I41" s="19"/>
      <c r="J41" s="19"/>
      <c r="K41" s="19"/>
      <c r="L41" s="19"/>
      <c r="Y41" s="19"/>
    </row>
    <row r="42" spans="1:25" ht="12" customHeight="1">
      <c r="A42" s="219" t="n" cm="1">
        <f t="array" ref="A42">IFERROR(INDEX('03.Muestra'!$B$8:$B$42,SMALL(IF("Página Web"='03.Muestra'!$D$8:$D$42,ROW('03.Muestra'!$B$8:$B$42)-MIN(ROW('03.Muestra'!$D$8:$D$42))+1,""),ROW()-18)),"")</f>
        <v>1.0</v>
      </c>
      <c r="B42" s="220" t="str" cm="1">
        <f t="array" ref="B42">IFERROR(INDEX('03.Muestra'!$C$8:$C$42,SMALL(IF("Página Web"='03.Muestra'!$D$8:$D$42,ROW('03.Muestra'!$C$8:$C$42)-MIN(ROW('03.Muestra'!$D$8:$D$42))+1,""),ROW()-18)),"")</f>
        <v>Home - PortCastelló</v>
      </c>
      <c r="C42" s="220" t="str" cm="1">
        <f t="array" ref="C42">IFERROR(INDEX('03.Muestra'!$F$8:$F$42,SMALL(IF("Página Web"='03.Muestra'!$D$8:$D$42,ROW('03.Muestra'!$F$8:$F$42)-MIN(ROW('03.Muestra'!$D$8:$D$42))+1,""),ROW()-18)),"")</f>
        <v>https://www.portcastello.com/</v>
      </c>
      <c r="D42" s="130" t="str">
        <f t="shared" si="1"/>
        <v>N/T</v>
      </c>
      <c r="E42" s="107" t="str">
        <f t="shared" si="0"/>
        <v/>
      </c>
      <c r="F42" s="19"/>
      <c r="G42" s="19"/>
      <c r="H42" s="19"/>
      <c r="I42" s="19"/>
      <c r="J42" s="19"/>
      <c r="K42" s="19"/>
      <c r="L42" s="19"/>
      <c r="Y42" s="19"/>
    </row>
    <row r="43" spans="1:25" ht="12" customHeight="1">
      <c r="A43" s="219" t="n" cm="1">
        <f t="array" ref="A43">IFERROR(INDEX('03.Muestra'!$B$8:$B$42,SMALL(IF("Página Web"='03.Muestra'!$D$8:$D$42,ROW('03.Muestra'!$B$8:$B$42)-MIN(ROW('03.Muestra'!$D$8:$D$42))+1,""),ROW()-18)),"")</f>
        <v>1.0</v>
      </c>
      <c r="B43" s="220" t="str" cm="1">
        <f t="array" ref="B43">IFERROR(INDEX('03.Muestra'!$C$8:$C$42,SMALL(IF("Página Web"='03.Muestra'!$D$8:$D$42,ROW('03.Muestra'!$C$8:$C$42)-MIN(ROW('03.Muestra'!$D$8:$D$42))+1,""),ROW()-18)),"")</f>
        <v>Home - PortCastelló</v>
      </c>
      <c r="C43" s="220" t="str" cm="1">
        <f t="array" ref="C43">IFERROR(INDEX('03.Muestra'!$F$8:$F$42,SMALL(IF("Página Web"='03.Muestra'!$D$8:$D$42,ROW('03.Muestra'!$F$8:$F$42)-MIN(ROW('03.Muestra'!$D$8:$D$42))+1,""),ROW()-18)),"")</f>
        <v>https://www.portcastello.com/</v>
      </c>
      <c r="D43" s="130" t="str">
        <f t="shared" si="1"/>
        <v>N/T</v>
      </c>
      <c r="E43" s="107" t="str">
        <f t="shared" si="0"/>
        <v/>
      </c>
      <c r="F43" s="19"/>
      <c r="G43" s="19"/>
      <c r="H43" s="19"/>
      <c r="I43" s="19"/>
      <c r="J43" s="19"/>
      <c r="K43" s="19"/>
      <c r="L43" s="19"/>
      <c r="Y43" s="19"/>
    </row>
    <row r="44" spans="1:25" ht="12" customHeight="1">
      <c r="A44" s="219" t="n" cm="1">
        <f t="array" ref="A44">IFERROR(INDEX('03.Muestra'!$B$8:$B$42,SMALL(IF("Página Web"='03.Muestra'!$D$8:$D$42,ROW('03.Muestra'!$B$8:$B$42)-MIN(ROW('03.Muestra'!$D$8:$D$42))+1,""),ROW()-18)),"")</f>
        <v>1.0</v>
      </c>
      <c r="B44" s="220" t="str" cm="1">
        <f t="array" ref="B44">IFERROR(INDEX('03.Muestra'!$C$8:$C$42,SMALL(IF("Página Web"='03.Muestra'!$D$8:$D$42,ROW('03.Muestra'!$C$8:$C$42)-MIN(ROW('03.Muestra'!$D$8:$D$42))+1,""),ROW()-18)),"")</f>
        <v>Home - PortCastelló</v>
      </c>
      <c r="C44" s="220" t="str" cm="1">
        <f t="array" ref="C44">IFERROR(INDEX('03.Muestra'!$F$8:$F$42,SMALL(IF("Página Web"='03.Muestra'!$D$8:$D$42,ROW('03.Muestra'!$F$8:$F$42)-MIN(ROW('03.Muestra'!$D$8:$D$42))+1,""),ROW()-18)),"")</f>
        <v>https://www.portcastello.com/</v>
      </c>
      <c r="D44" s="130" t="str">
        <f t="shared" si="1"/>
        <v>N/T</v>
      </c>
      <c r="E44" s="107" t="str">
        <f t="shared" si="0"/>
        <v/>
      </c>
      <c r="F44" s="19"/>
      <c r="G44" s="19"/>
      <c r="H44" s="19"/>
      <c r="I44" s="19"/>
      <c r="J44" s="19"/>
      <c r="K44" s="19"/>
      <c r="L44" s="19"/>
      <c r="Q44" s="19"/>
      <c r="R44" s="19"/>
      <c r="T44" s="19"/>
      <c r="U44" s="19"/>
      <c r="V44" s="19"/>
      <c r="W44" s="19"/>
      <c r="X44" s="19"/>
      <c r="Y44" s="19"/>
    </row>
    <row r="45" spans="1:25" ht="12" customHeight="1">
      <c r="A45" s="219" t="n" cm="1">
        <f t="array" ref="A45">IFERROR(INDEX('03.Muestra'!$B$8:$B$42,SMALL(IF("Página Web"='03.Muestra'!$D$8:$D$42,ROW('03.Muestra'!$B$8:$B$42)-MIN(ROW('03.Muestra'!$D$8:$D$42))+1,""),ROW()-18)),"")</f>
        <v>1.0</v>
      </c>
      <c r="B45" s="220" t="str" cm="1">
        <f t="array" ref="B45">IFERROR(INDEX('03.Muestra'!$C$8:$C$42,SMALL(IF("Página Web"='03.Muestra'!$D$8:$D$42,ROW('03.Muestra'!$C$8:$C$42)-MIN(ROW('03.Muestra'!$D$8:$D$42))+1,""),ROW()-18)),"")</f>
        <v>Home - PortCastelló</v>
      </c>
      <c r="C45" s="220" t="str" cm="1">
        <f t="array" ref="C45">IFERROR(INDEX('03.Muestra'!$F$8:$F$42,SMALL(IF("Página Web"='03.Muestra'!$D$8:$D$42,ROW('03.Muestra'!$F$8:$F$42)-MIN(ROW('03.Muestra'!$D$8:$D$42))+1,""),ROW()-18)),"")</f>
        <v>https://www.portcastello.com/</v>
      </c>
      <c r="D45" s="130" t="str">
        <f t="shared" si="1"/>
        <v>N/T</v>
      </c>
      <c r="E45" s="107" t="str">
        <f t="shared" si="0"/>
        <v/>
      </c>
      <c r="F45" s="19"/>
      <c r="G45" s="19"/>
      <c r="H45" s="19"/>
      <c r="I45" s="19"/>
      <c r="J45" s="19"/>
      <c r="K45" s="19"/>
      <c r="L45" s="19"/>
      <c r="Q45" s="19"/>
      <c r="R45" s="19"/>
      <c r="T45" s="19"/>
      <c r="U45" s="19"/>
      <c r="V45" s="19"/>
      <c r="W45" s="19"/>
      <c r="X45" s="19"/>
      <c r="Y45" s="19"/>
    </row>
    <row r="46" spans="1:25" ht="12" customHeight="1">
      <c r="A46" s="219" t="n" cm="1">
        <f t="array" ref="A46">IFERROR(INDEX('03.Muestra'!$B$8:$B$42,SMALL(IF("Página Web"='03.Muestra'!$D$8:$D$42,ROW('03.Muestra'!$B$8:$B$42)-MIN(ROW('03.Muestra'!$D$8:$D$42))+1,""),ROW()-18)),"")</f>
        <v>1.0</v>
      </c>
      <c r="B46" s="220" t="str" cm="1">
        <f t="array" ref="B46">IFERROR(INDEX('03.Muestra'!$C$8:$C$42,SMALL(IF("Página Web"='03.Muestra'!$D$8:$D$42,ROW('03.Muestra'!$C$8:$C$42)-MIN(ROW('03.Muestra'!$D$8:$D$42))+1,""),ROW()-18)),"")</f>
        <v>Home - PortCastelló</v>
      </c>
      <c r="C46" s="220" t="str" cm="1">
        <f t="array" ref="C46">IFERROR(INDEX('03.Muestra'!$F$8:$F$42,SMALL(IF("Página Web"='03.Muestra'!$D$8:$D$42,ROW('03.Muestra'!$F$8:$F$42)-MIN(ROW('03.Muestra'!$D$8:$D$42))+1,""),ROW()-18)),"")</f>
        <v>https://www.portcastello.com/</v>
      </c>
      <c r="D46" s="130" t="str">
        <f t="shared" si="1"/>
        <v>N/T</v>
      </c>
      <c r="E46" s="107" t="str">
        <f t="shared" si="0"/>
        <v/>
      </c>
      <c r="I46" s="19"/>
      <c r="J46" s="19"/>
      <c r="K46" s="19"/>
      <c r="L46" s="19"/>
      <c r="Q46" s="19"/>
      <c r="R46" s="19"/>
      <c r="T46" s="19"/>
      <c r="U46" s="19"/>
      <c r="V46" s="19"/>
      <c r="W46" s="19"/>
      <c r="X46" s="19"/>
      <c r="Y46" s="19"/>
    </row>
    <row r="47" spans="1:25" ht="12" customHeight="1">
      <c r="A47" s="219" t="n" cm="1">
        <f t="array" ref="A47">IFERROR(INDEX('03.Muestra'!$B$8:$B$42,SMALL(IF("Página Web"='03.Muestra'!$D$8:$D$42,ROW('03.Muestra'!$B$8:$B$42)-MIN(ROW('03.Muestra'!$D$8:$D$42))+1,""),ROW()-18)),"")</f>
        <v>1.0</v>
      </c>
      <c r="B47" s="220" t="str" cm="1">
        <f t="array" ref="B47">IFERROR(INDEX('03.Muestra'!$C$8:$C$42,SMALL(IF("Página Web"='03.Muestra'!$D$8:$D$42,ROW('03.Muestra'!$C$8:$C$42)-MIN(ROW('03.Muestra'!$D$8:$D$42))+1,""),ROW()-18)),"")</f>
        <v>Home - PortCastelló</v>
      </c>
      <c r="C47" s="220" t="str" cm="1">
        <f t="array" ref="C47">IFERROR(INDEX('03.Muestra'!$F$8:$F$42,SMALL(IF("Página Web"='03.Muestra'!$D$8:$D$42,ROW('03.Muestra'!$F$8:$F$42)-MIN(ROW('03.Muestra'!$D$8:$D$42))+1,""),ROW()-18)),"")</f>
        <v>https://www.portcastello.com/</v>
      </c>
      <c r="D47" s="130" t="str">
        <f t="shared" si="1"/>
        <v>N/T</v>
      </c>
      <c r="E47" s="107" t="str">
        <f t="shared" si="0"/>
        <v/>
      </c>
      <c r="I47" s="19"/>
      <c r="J47" s="19"/>
      <c r="K47" s="19"/>
      <c r="L47" s="19"/>
      <c r="Q47" s="19"/>
      <c r="R47" s="19"/>
      <c r="T47" s="19"/>
      <c r="U47" s="19"/>
      <c r="V47" s="19"/>
      <c r="W47" s="19"/>
      <c r="X47" s="19"/>
      <c r="Y47" s="19"/>
    </row>
    <row r="48" spans="1:25" ht="12" customHeight="1">
      <c r="A48" s="219" t="n" cm="1">
        <f t="array" ref="A48">IFERROR(INDEX('03.Muestra'!$B$8:$B$42,SMALL(IF("Página Web"='03.Muestra'!$D$8:$D$42,ROW('03.Muestra'!$B$8:$B$42)-MIN(ROW('03.Muestra'!$D$8:$D$42))+1,""),ROW()-18)),"")</f>
        <v>1.0</v>
      </c>
      <c r="B48" s="220" t="str" cm="1">
        <f t="array" ref="B48">IFERROR(INDEX('03.Muestra'!$C$8:$C$42,SMALL(IF("Página Web"='03.Muestra'!$D$8:$D$42,ROW('03.Muestra'!$C$8:$C$42)-MIN(ROW('03.Muestra'!$D$8:$D$42))+1,""),ROW()-18)),"")</f>
        <v>Home - PortCastelló</v>
      </c>
      <c r="C48" s="220" t="str" cm="1">
        <f t="array" ref="C48">IFERROR(INDEX('03.Muestra'!$F$8:$F$42,SMALL(IF("Página Web"='03.Muestra'!$D$8:$D$42,ROW('03.Muestra'!$F$8:$F$42)-MIN(ROW('03.Muestra'!$D$8:$D$42))+1,""),ROW()-18)),"")</f>
        <v>https://www.portcastello.com/</v>
      </c>
      <c r="D48" s="130" t="str">
        <f t="shared" si="1"/>
        <v>N/T</v>
      </c>
      <c r="E48" s="107" t="str">
        <f t="shared" si="0"/>
        <v/>
      </c>
      <c r="I48" s="19"/>
      <c r="J48" s="19"/>
      <c r="K48" s="19"/>
      <c r="L48" s="19"/>
      <c r="Q48" s="19"/>
      <c r="R48" s="19"/>
      <c r="T48" s="19"/>
      <c r="U48" s="19"/>
      <c r="V48" s="19"/>
      <c r="W48" s="19"/>
      <c r="X48" s="19"/>
      <c r="Y48" s="19"/>
    </row>
    <row r="49" spans="1:25" ht="12" customHeight="1">
      <c r="A49" s="219" t="n" cm="1">
        <f t="array" ref="A49">IFERROR(INDEX('03.Muestra'!$B$8:$B$42,SMALL(IF("Página Web"='03.Muestra'!$D$8:$D$42,ROW('03.Muestra'!$B$8:$B$42)-MIN(ROW('03.Muestra'!$D$8:$D$42))+1,""),ROW()-18)),"")</f>
        <v>1.0</v>
      </c>
      <c r="B49" s="220" t="str" cm="1">
        <f t="array" ref="B49">IFERROR(INDEX('03.Muestra'!$C$8:$C$42,SMALL(IF("Página Web"='03.Muestra'!$D$8:$D$42,ROW('03.Muestra'!$C$8:$C$42)-MIN(ROW('03.Muestra'!$D$8:$D$42))+1,""),ROW()-18)),"")</f>
        <v>Home - PortCastelló</v>
      </c>
      <c r="C49" s="220" t="str" cm="1">
        <f t="array" ref="C49">IFERROR(INDEX('03.Muestra'!$F$8:$F$42,SMALL(IF("Página Web"='03.Muestra'!$D$8:$D$42,ROW('03.Muestra'!$F$8:$F$42)-MIN(ROW('03.Muestra'!$D$8:$D$42))+1,""),ROW()-18)),"")</f>
        <v>https://www.portcastello.com/</v>
      </c>
      <c r="D49" s="130" t="str">
        <f t="shared" si="1"/>
        <v>N/T</v>
      </c>
      <c r="E49" s="107" t="str">
        <f t="shared" si="0"/>
        <v/>
      </c>
      <c r="I49" s="19"/>
      <c r="J49" s="19"/>
      <c r="K49" s="19"/>
      <c r="L49" s="19"/>
      <c r="Q49" s="19"/>
      <c r="R49" s="19"/>
      <c r="T49" s="19"/>
      <c r="U49" s="19"/>
      <c r="V49" s="19"/>
      <c r="W49" s="19"/>
      <c r="X49" s="19"/>
      <c r="Y49" s="19"/>
    </row>
    <row r="50" spans="1:25" ht="12" customHeight="1">
      <c r="A50" s="219" t="n" cm="1">
        <f t="array" ref="A50">IFERROR(INDEX('03.Muestra'!$B$8:$B$42,SMALL(IF("Página Web"='03.Muestra'!$D$8:$D$42,ROW('03.Muestra'!$B$8:$B$42)-MIN(ROW('03.Muestra'!$D$8:$D$42))+1,""),ROW()-18)),"")</f>
        <v>1.0</v>
      </c>
      <c r="B50" s="220" t="str" cm="1">
        <f t="array" ref="B50">IFERROR(INDEX('03.Muestra'!$C$8:$C$42,SMALL(IF("Página Web"='03.Muestra'!$D$8:$D$42,ROW('03.Muestra'!$C$8:$C$42)-MIN(ROW('03.Muestra'!$D$8:$D$42))+1,""),ROW()-18)),"")</f>
        <v>Home - PortCastelló</v>
      </c>
      <c r="C50" s="220" t="str" cm="1">
        <f t="array" ref="C50">IFERROR(INDEX('03.Muestra'!$F$8:$F$42,SMALL(IF("Página Web"='03.Muestra'!$D$8:$D$42,ROW('03.Muestra'!$F$8:$F$42)-MIN(ROW('03.Muestra'!$D$8:$D$42))+1,""),ROW()-18)),"")</f>
        <v>https://www.portcastello.com/</v>
      </c>
      <c r="D50" s="130" t="str">
        <f t="shared" si="1"/>
        <v>N/T</v>
      </c>
      <c r="E50" s="107" t="str">
        <f t="shared" si="0"/>
        <v/>
      </c>
      <c r="I50" s="19"/>
      <c r="J50" s="19"/>
      <c r="K50" s="19"/>
      <c r="L50" s="19"/>
      <c r="Q50" s="19"/>
      <c r="R50" s="19"/>
      <c r="T50" s="19"/>
      <c r="U50" s="19"/>
      <c r="V50" s="19"/>
      <c r="W50" s="19"/>
      <c r="X50" s="19"/>
      <c r="Y50" s="19"/>
    </row>
    <row r="51" spans="1:25" ht="12" customHeight="1">
      <c r="A51" s="219" t="n" cm="1">
        <f t="array" ref="A51">IFERROR(INDEX('03.Muestra'!$B$8:$B$42,SMALL(IF("Página Web"='03.Muestra'!$D$8:$D$42,ROW('03.Muestra'!$B$8:$B$42)-MIN(ROW('03.Muestra'!$D$8:$D$42))+1,""),ROW()-18)),"")</f>
        <v>1.0</v>
      </c>
      <c r="B51" s="220" t="str" cm="1">
        <f t="array" ref="B51">IFERROR(INDEX('03.Muestra'!$C$8:$C$42,SMALL(IF("Página Web"='03.Muestra'!$D$8:$D$42,ROW('03.Muestra'!$C$8:$C$42)-MIN(ROW('03.Muestra'!$D$8:$D$42))+1,""),ROW()-18)),"")</f>
        <v>Home - PortCastelló</v>
      </c>
      <c r="C51" s="220" t="str" cm="1">
        <f t="array" ref="C51">IFERROR(INDEX('03.Muestra'!$F$8:$F$42,SMALL(IF("Página Web"='03.Muestra'!$D$8:$D$42,ROW('03.Muestra'!$F$8:$F$42)-MIN(ROW('03.Muestra'!$D$8:$D$42))+1,""),ROW()-18)),"")</f>
        <v>https://www.portcastello.com/</v>
      </c>
      <c r="D51" s="130" t="str">
        <f t="shared" si="1"/>
        <v>N/T</v>
      </c>
      <c r="E51" s="107" t="str">
        <f t="shared" si="0"/>
        <v/>
      </c>
      <c r="I51" s="19"/>
      <c r="J51" s="19"/>
      <c r="K51" s="19"/>
      <c r="L51" s="19"/>
      <c r="Q51" s="19"/>
      <c r="R51" s="19"/>
      <c r="T51" s="19"/>
      <c r="U51" s="19"/>
      <c r="V51" s="19"/>
      <c r="W51" s="19"/>
      <c r="X51" s="19"/>
      <c r="Y51" s="19"/>
    </row>
    <row r="52" spans="1:25" ht="12" customHeight="1">
      <c r="A52" s="219" t="str" cm="1">
        <f t="array" ref="A52">IFERROR(INDEX('03.Muestra'!$B$8:$B$42,SMALL(IF("Página Web"='03.Muestra'!$D$8:$D$42,ROW('03.Muestra'!$B$8:$B$42)-MIN(ROW('03.Muestra'!$D$8:$D$42))+1,""),ROW()-18)),"")</f>
        <v/>
      </c>
      <c r="B52" s="220" t="str" cm="1">
        <f t="array" ref="B52">IFERROR(INDEX('03.Muestra'!$C$8:$C$42,SMALL(IF("Página Web"='03.Muestra'!$D$8:$D$42,ROW('03.Muestra'!$C$8:$C$42)-MIN(ROW('03.Muestra'!$D$8:$D$42))+1,""),ROW()-18)),"")</f>
        <v/>
      </c>
      <c r="C52" s="220" t="str" cm="1">
        <f t="array" ref="C52">IFERROR(INDEX('03.Muestra'!$F$8:$F$42,SMALL(IF("Página Web"='03.Muestra'!$D$8:$D$42,ROW('03.Muestra'!$F$8:$F$42)-MIN(ROW('03.Muestra'!$D$8:$D$42))+1,""),ROW()-18)),"")</f>
        <v/>
      </c>
      <c r="D52" s="130" t="str">
        <f t="shared" si="1"/>
        <v/>
      </c>
      <c r="E52" s="107" t="str">
        <f t="shared" si="0"/>
        <v/>
      </c>
      <c r="I52" s="19"/>
      <c r="J52" s="19"/>
      <c r="K52" s="19"/>
      <c r="L52" s="19"/>
      <c r="Q52" s="19"/>
      <c r="R52" s="19"/>
      <c r="T52" s="19"/>
      <c r="U52" s="19"/>
      <c r="V52" s="19"/>
      <c r="W52" s="19"/>
      <c r="X52" s="19"/>
      <c r="Y52" s="19"/>
    </row>
    <row r="53" spans="1:25" ht="12" customHeight="1">
      <c r="A53" s="219" t="str" cm="1">
        <f t="array" ref="A53">IFERROR(INDEX('03.Muestra'!$B$8:$B$42,SMALL(IF("Página Web"='03.Muestra'!$D$8:$D$42,ROW('03.Muestra'!$B$8:$B$42)-MIN(ROW('03.Muestra'!$D$8:$D$42))+1,""),ROW()-18)),"")</f>
        <v/>
      </c>
      <c r="B53" s="220" t="str" cm="1">
        <f t="array" ref="B53">IFERROR(INDEX('03.Muestra'!$C$8:$C$42,SMALL(IF("Página Web"='03.Muestra'!$D$8:$D$42,ROW('03.Muestra'!$C$8:$C$42)-MIN(ROW('03.Muestra'!$D$8:$D$42))+1,""),ROW()-18)),"")</f>
        <v/>
      </c>
      <c r="C53" s="220" t="str" cm="1">
        <f t="array" ref="C53">IFERROR(INDEX('03.Muestra'!$F$8:$F$42,SMALL(IF("Página Web"='03.Muestra'!$D$8:$D$42,ROW('03.Muestra'!$F$8:$F$42)-MIN(ROW('03.Muestra'!$D$8:$D$42))+1,""),ROW()-18)),"")</f>
        <v/>
      </c>
      <c r="D53" s="130" t="str">
        <f t="shared" si="1"/>
        <v/>
      </c>
      <c r="E53" s="107" t="str">
        <f t="shared" si="0"/>
        <v/>
      </c>
      <c r="I53" s="19"/>
      <c r="J53" s="19"/>
      <c r="K53" s="19"/>
      <c r="L53" s="19"/>
      <c r="Q53" s="19"/>
      <c r="R53" s="19"/>
      <c r="T53" s="19"/>
      <c r="U53" s="19"/>
      <c r="V53" s="19"/>
      <c r="W53" s="19"/>
      <c r="X53" s="19"/>
      <c r="Y53" s="19"/>
    </row>
    <row r="54" spans="1:25" ht="12" customHeight="1">
      <c r="B54" s="19"/>
      <c r="C54" s="19"/>
      <c r="D54" s="107"/>
      <c r="E54" s="107"/>
      <c r="F54" s="19"/>
      <c r="G54" s="19"/>
      <c r="H54" s="19"/>
      <c r="I54" s="19"/>
      <c r="J54" s="19"/>
      <c r="K54" s="19"/>
      <c r="L54" s="19"/>
      <c r="Q54" s="19"/>
      <c r="R54" s="19"/>
      <c r="T54" s="19"/>
      <c r="U54" s="19"/>
      <c r="V54" s="19"/>
      <c r="W54" s="19"/>
      <c r="X54" s="19"/>
      <c r="Y54" s="19"/>
    </row>
    <row r="55" spans="1:25" ht="12" customHeight="1">
      <c r="B55" s="19"/>
      <c r="C55" s="19"/>
      <c r="D55" s="107"/>
      <c r="E55" s="112"/>
      <c r="F55" s="19"/>
      <c r="G55" s="19"/>
      <c r="H55" s="19"/>
      <c r="I55" s="19"/>
      <c r="J55" s="19"/>
      <c r="K55" s="19"/>
      <c r="L55" s="19"/>
      <c r="M55" s="19"/>
      <c r="N55" s="19"/>
      <c r="O55" s="19"/>
      <c r="P55" s="19"/>
      <c r="Q55" s="19"/>
      <c r="R55" s="19"/>
      <c r="T55" s="19"/>
      <c r="U55" s="19"/>
      <c r="V55" s="19"/>
      <c r="W55" s="19"/>
      <c r="X55" s="19"/>
      <c r="Y55" s="19"/>
    </row>
    <row r="56" spans="1:25" ht="32.25" customHeight="1">
      <c r="A56" s="218" t="s">
        <v>268</v>
      </c>
      <c r="B56" s="24" t="s">
        <v>90</v>
      </c>
      <c r="C56" s="25" t="s">
        <v>252</v>
      </c>
      <c r="D56" s="26" t="s">
        <v>32</v>
      </c>
      <c r="E56" s="123"/>
      <c r="K56" s="19"/>
      <c r="L56" s="19"/>
      <c r="M56" s="19"/>
      <c r="N56" s="19"/>
      <c r="O56" s="19"/>
      <c r="P56" s="19"/>
      <c r="Q56" s="19"/>
      <c r="R56" s="19"/>
      <c r="T56" s="19"/>
      <c r="U56" s="19"/>
      <c r="V56" s="19"/>
      <c r="W56" s="19"/>
      <c r="X56" s="19"/>
      <c r="Y56" s="19"/>
    </row>
    <row r="57" spans="1:25" ht="12" customHeight="1">
      <c r="A57" s="222" t="n" cm="1">
        <f t="array" ref="A57">IFERROR(INDEX('03.Muestra'!$B$8:$B$42,SMALL(IF("Página Web"='03.Muestra'!$D$8:$D$42,ROW('03.Muestra'!$B$8:$B$42)-MIN(ROW('03.Muestra'!$D$8:$D$42))+1,""),ROW()-56)),"")</f>
        <v>1.0</v>
      </c>
      <c r="B57" s="221" t="str" cm="1">
        <f t="array" ref="B57">IFERROR(INDEX('03.Muestra'!$C$8:$C$42,SMALL(IF("Página Web"='03.Muestra'!$D$8:$D$42,ROW('03.Muestra'!$C$8:$C$42)-MIN(ROW('03.Muestra'!$D$8:$D$42))+1,""),ROW()-56)),"")</f>
        <v>Home - PortCastelló</v>
      </c>
      <c r="C57" s="221" t="str" cm="1">
        <f t="array" ref="C57">IFERROR(INDEX('03.Muestra'!$F$8:$F$42,SMALL(IF("Página Web"='03.Muestra'!$D$8:$D$42,ROW('03.Muestra'!$F$8:$F$42)-MIN(ROW('03.Muestra'!$D$8:$D$42))+1,""),ROW()-56)),"")</f>
        <v>https://www.portcastello.com/</v>
      </c>
      <c r="D57" s="130" t="str">
        <f>IF(AND(B57&lt;&gt;"",C57&lt;&gt;""),"N/T","")</f>
        <v>N/T</v>
      </c>
      <c r="E57" s="107" t="str">
        <f t="shared" ref="E57:E91" si="2">IF(D57&lt;&gt;"",IF(AND(B57&lt;&gt;"",C57&lt;&gt;""),"","ERR"),"")</f>
        <v/>
      </c>
      <c r="F57" s="115" t="s">
        <v>33</v>
      </c>
      <c r="G57" s="116" t="s">
        <v>37</v>
      </c>
      <c r="H57" s="117" t="s">
        <v>35</v>
      </c>
      <c r="I57" s="118" t="s">
        <v>28</v>
      </c>
      <c r="J57" s="119" t="s">
        <v>26</v>
      </c>
      <c r="K57" s="19"/>
      <c r="L57" s="19"/>
      <c r="M57" s="19"/>
      <c r="N57" s="19"/>
      <c r="O57" s="19"/>
      <c r="P57" s="19"/>
      <c r="Q57" s="19"/>
      <c r="R57" s="19"/>
      <c r="S57" s="19"/>
      <c r="T57" s="19"/>
      <c r="U57" s="19"/>
      <c r="V57" s="19"/>
      <c r="W57" s="19"/>
      <c r="X57" s="19"/>
      <c r="Y57" s="19"/>
    </row>
    <row r="58" spans="1:25" ht="12" customHeight="1">
      <c r="A58" s="222" t="n" cm="1">
        <f t="array" ref="A58">IFERROR(INDEX('03.Muestra'!$B$8:$B$42,SMALL(IF("Página Web"='03.Muestra'!$D$8:$D$42,ROW('03.Muestra'!$B$8:$B$42)-MIN(ROW('03.Muestra'!$D$8:$D$42))+1,""),ROW()-56)),"")</f>
        <v>1.0</v>
      </c>
      <c r="B58" s="221" t="str" cm="1">
        <f t="array" ref="B58">IFERROR(INDEX('03.Muestra'!$C$8:$C$42,SMALL(IF("Página Web"='03.Muestra'!$D$8:$D$42,ROW('03.Muestra'!$C$8:$C$42)-MIN(ROW('03.Muestra'!$D$8:$D$42))+1,""),ROW()-56)),"")</f>
        <v>Home - PortCastelló</v>
      </c>
      <c r="C58" s="221" t="str" cm="1">
        <f t="array" ref="C58">IFERROR(INDEX('03.Muestra'!$F$8:$F$42,SMALL(IF("Página Web"='03.Muestra'!$D$8:$D$42,ROW('03.Muestra'!$F$8:$F$42)-MIN(ROW('03.Muestra'!$D$8:$D$42))+1,""),ROW()-56)),"")</f>
        <v>https://www.portcastello.com/</v>
      </c>
      <c r="D58" s="130" t="str">
        <f t="shared" ref="D58:D91" si="3">IF(AND(B58&lt;&gt;"",C58&lt;&gt;""),"N/T","")</f>
        <v>N/T</v>
      </c>
      <c r="E58" s="107" t="str">
        <f t="shared" si="2"/>
        <v/>
      </c>
      <c r="F58" s="120" t="n">
        <f ca="1">COUNTIF($D57:INDIRECT("$D" &amp;  SUM(ROW()-1,'03.Muestra'!$D$45)-1),F57)</f>
        <v>33.0</v>
      </c>
      <c r="G58" s="120" t="n">
        <f ca="1">COUNTIF($D57:INDIRECT("$D" &amp;  SUM(ROW()-1,'03.Muestra'!$D$45)-1),G57)</f>
        <v>0.0</v>
      </c>
      <c r="H58" s="120" t="n">
        <f ca="1">COUNTIF($D57:INDIRECT("$D" &amp;  SUM(ROW()-1,'03.Muestra'!$D$45)-1),H57)</f>
        <v>0.0</v>
      </c>
      <c r="I58" s="120" t="n">
        <f ca="1">COUNTIF($D57:INDIRECT("$D" &amp;  SUM(ROW()-1,'03.Muestra'!$D$45)-1),I57)</f>
        <v>0.0</v>
      </c>
      <c r="J58" s="120" t="n">
        <f ca="1">COUNTIF($D57:INDIRECT("$D" &amp;  SUM(ROW()-1,'03.Muestra'!$D$45)-1),J57)</f>
        <v>0.0</v>
      </c>
      <c r="K58" s="225" t="n">
        <f ca="1">IF(COUNTIF('03.Muestra'!$D$8:$D$42,"Página Web")=0,0,COUNTBLANK($D57:INDIRECT("$D" &amp;  SUM(ROW()-1,COUNTIF('03.Muestra'!$D$8:$D$42,"Página Web"))-1)))</f>
        <v>0.0</v>
      </c>
      <c r="L58" s="19"/>
      <c r="M58" s="19"/>
      <c r="N58" s="19"/>
      <c r="O58" s="19"/>
      <c r="P58" s="19"/>
      <c r="Q58" s="19"/>
      <c r="R58" s="19"/>
      <c r="S58" s="19"/>
      <c r="T58" s="19"/>
      <c r="U58" s="19"/>
      <c r="V58" s="19"/>
      <c r="W58" s="19"/>
      <c r="X58" s="19"/>
      <c r="Y58" s="19"/>
    </row>
    <row r="59" spans="1:25" ht="12" customHeight="1">
      <c r="A59" s="222" t="n" cm="1">
        <f t="array" ref="A59">IFERROR(INDEX('03.Muestra'!$B$8:$B$42,SMALL(IF("Página Web"='03.Muestra'!$D$8:$D$42,ROW('03.Muestra'!$B$8:$B$42)-MIN(ROW('03.Muestra'!$D$8:$D$42))+1,""),ROW()-56)),"")</f>
        <v>1.0</v>
      </c>
      <c r="B59" s="221" t="str" cm="1">
        <f t="array" ref="B59">IFERROR(INDEX('03.Muestra'!$C$8:$C$42,SMALL(IF("Página Web"='03.Muestra'!$D$8:$D$42,ROW('03.Muestra'!$C$8:$C$42)-MIN(ROW('03.Muestra'!$D$8:$D$42))+1,""),ROW()-56)),"")</f>
        <v>Home - PortCastelló</v>
      </c>
      <c r="C59" s="221" t="str" cm="1">
        <f t="array" ref="C59">IFERROR(INDEX('03.Muestra'!$F$8:$F$42,SMALL(IF("Página Web"='03.Muestra'!$D$8:$D$42,ROW('03.Muestra'!$F$8:$F$42)-MIN(ROW('03.Muestra'!$D$8:$D$42))+1,""),ROW()-56)),"")</f>
        <v>https://www.portcastello.com/</v>
      </c>
      <c r="D59" s="130" t="str">
        <f t="shared" si="3"/>
        <v>N/T</v>
      </c>
      <c r="E59" s="107" t="str">
        <f t="shared" si="2"/>
        <v/>
      </c>
      <c r="G59" s="19"/>
      <c r="H59" s="19"/>
      <c r="I59" s="19"/>
      <c r="J59" s="19"/>
      <c r="K59" s="19"/>
      <c r="L59" s="19"/>
      <c r="M59" s="19"/>
      <c r="N59" s="19"/>
      <c r="O59" s="19"/>
      <c r="P59" s="19"/>
      <c r="Q59" s="19"/>
      <c r="R59" s="19"/>
      <c r="S59" s="19"/>
      <c r="T59" s="19"/>
      <c r="U59" s="19"/>
      <c r="V59" s="19"/>
      <c r="W59" s="19"/>
      <c r="X59" s="19"/>
      <c r="Y59" s="19"/>
    </row>
    <row r="60" spans="1:25" ht="12" customHeight="1">
      <c r="A60" s="222" t="n" cm="1">
        <f t="array" ref="A60">IFERROR(INDEX('03.Muestra'!$B$8:$B$42,SMALL(IF("Página Web"='03.Muestra'!$D$8:$D$42,ROW('03.Muestra'!$B$8:$B$42)-MIN(ROW('03.Muestra'!$D$8:$D$42))+1,""),ROW()-56)),"")</f>
        <v>1.0</v>
      </c>
      <c r="B60" s="221" t="str" cm="1">
        <f t="array" ref="B60">IFERROR(INDEX('03.Muestra'!$C$8:$C$42,SMALL(IF("Página Web"='03.Muestra'!$D$8:$D$42,ROW('03.Muestra'!$C$8:$C$42)-MIN(ROW('03.Muestra'!$D$8:$D$42))+1,""),ROW()-56)),"")</f>
        <v>Home - PortCastelló</v>
      </c>
      <c r="C60" s="221" t="str" cm="1">
        <f t="array" ref="C60">IFERROR(INDEX('03.Muestra'!$F$8:$F$42,SMALL(IF("Página Web"='03.Muestra'!$D$8:$D$42,ROW('03.Muestra'!$F$8:$F$42)-MIN(ROW('03.Muestra'!$D$8:$D$42))+1,""),ROW()-56)),"")</f>
        <v>https://www.portcastello.com/</v>
      </c>
      <c r="D60" s="130" t="str">
        <f t="shared" si="3"/>
        <v>N/T</v>
      </c>
      <c r="E60" s="107" t="str">
        <f t="shared" si="2"/>
        <v/>
      </c>
      <c r="G60" s="19"/>
      <c r="H60" s="19"/>
      <c r="I60" s="19"/>
      <c r="J60" s="19"/>
      <c r="K60" s="19"/>
      <c r="L60" s="19"/>
      <c r="M60" s="19"/>
      <c r="N60" s="19"/>
      <c r="O60" s="19"/>
      <c r="P60" s="19"/>
      <c r="Q60" s="19"/>
      <c r="R60" s="19"/>
      <c r="S60" s="19"/>
      <c r="T60" s="19"/>
      <c r="U60" s="19"/>
      <c r="V60" s="19"/>
      <c r="W60" s="19"/>
      <c r="X60" s="19"/>
      <c r="Y60" s="19"/>
    </row>
    <row r="61" spans="1:25" ht="12" customHeight="1">
      <c r="A61" s="222" t="n" cm="1">
        <f t="array" ref="A61">IFERROR(INDEX('03.Muestra'!$B$8:$B$42,SMALL(IF("Página Web"='03.Muestra'!$D$8:$D$42,ROW('03.Muestra'!$B$8:$B$42)-MIN(ROW('03.Muestra'!$D$8:$D$42))+1,""),ROW()-56)),"")</f>
        <v>1.0</v>
      </c>
      <c r="B61" s="221" t="str" cm="1">
        <f t="array" ref="B61">IFERROR(INDEX('03.Muestra'!$C$8:$C$42,SMALL(IF("Página Web"='03.Muestra'!$D$8:$D$42,ROW('03.Muestra'!$C$8:$C$42)-MIN(ROW('03.Muestra'!$D$8:$D$42))+1,""),ROW()-56)),"")</f>
        <v>Home - PortCastelló</v>
      </c>
      <c r="C61" s="221" t="str" cm="1">
        <f t="array" ref="C61">IFERROR(INDEX('03.Muestra'!$F$8:$F$42,SMALL(IF("Página Web"='03.Muestra'!$D$8:$D$42,ROW('03.Muestra'!$F$8:$F$42)-MIN(ROW('03.Muestra'!$D$8:$D$42))+1,""),ROW()-56)),"")</f>
        <v>https://www.portcastello.com/</v>
      </c>
      <c r="D61" s="130" t="str">
        <f t="shared" si="3"/>
        <v>N/T</v>
      </c>
      <c r="E61" s="107" t="str">
        <f t="shared" si="2"/>
        <v/>
      </c>
      <c r="G61" s="19"/>
      <c r="H61" s="19"/>
      <c r="I61" s="19"/>
      <c r="J61" s="19"/>
      <c r="K61" s="19"/>
      <c r="L61" s="19"/>
      <c r="M61" s="19"/>
      <c r="N61" s="19"/>
      <c r="O61" s="19"/>
      <c r="P61" s="19"/>
      <c r="Q61" s="19"/>
      <c r="R61" s="19"/>
      <c r="S61" s="19"/>
      <c r="T61" s="19"/>
      <c r="U61" s="19"/>
      <c r="V61" s="19"/>
      <c r="W61" s="19"/>
      <c r="X61" s="19"/>
      <c r="Y61" s="19"/>
    </row>
    <row r="62" spans="1:25" ht="12" customHeight="1">
      <c r="A62" s="222" t="n" cm="1">
        <f t="array" ref="A62">IFERROR(INDEX('03.Muestra'!$B$8:$B$42,SMALL(IF("Página Web"='03.Muestra'!$D$8:$D$42,ROW('03.Muestra'!$B$8:$B$42)-MIN(ROW('03.Muestra'!$D$8:$D$42))+1,""),ROW()-56)),"")</f>
        <v>1.0</v>
      </c>
      <c r="B62" s="221" t="str" cm="1">
        <f t="array" ref="B62">IFERROR(INDEX('03.Muestra'!$C$8:$C$42,SMALL(IF("Página Web"='03.Muestra'!$D$8:$D$42,ROW('03.Muestra'!$C$8:$C$42)-MIN(ROW('03.Muestra'!$D$8:$D$42))+1,""),ROW()-56)),"")</f>
        <v>Home - PortCastelló</v>
      </c>
      <c r="C62" s="221" t="str" cm="1">
        <f t="array" ref="C62">IFERROR(INDEX('03.Muestra'!$F$8:$F$42,SMALL(IF("Página Web"='03.Muestra'!$D$8:$D$42,ROW('03.Muestra'!$F$8:$F$42)-MIN(ROW('03.Muestra'!$D$8:$D$42))+1,""),ROW()-56)),"")</f>
        <v>https://www.portcastello.com/</v>
      </c>
      <c r="D62" s="130" t="str">
        <f t="shared" si="3"/>
        <v>N/T</v>
      </c>
      <c r="E62" s="107" t="str">
        <f t="shared" si="2"/>
        <v/>
      </c>
      <c r="G62" s="19"/>
      <c r="H62" s="19"/>
      <c r="I62" s="19"/>
      <c r="J62" s="19"/>
      <c r="K62" s="19"/>
      <c r="L62" s="19"/>
      <c r="M62" s="19"/>
      <c r="N62" s="19"/>
      <c r="O62" s="19"/>
      <c r="P62" s="19"/>
      <c r="Q62" s="19"/>
      <c r="R62" s="19"/>
      <c r="S62" s="19"/>
      <c r="T62" s="19"/>
      <c r="U62" s="19"/>
      <c r="V62" s="19"/>
      <c r="W62" s="19"/>
      <c r="X62" s="19"/>
      <c r="Y62" s="19"/>
    </row>
    <row r="63" spans="1:25" ht="12" customHeight="1">
      <c r="A63" s="222" t="n" cm="1">
        <f t="array" ref="A63">IFERROR(INDEX('03.Muestra'!$B$8:$B$42,SMALL(IF("Página Web"='03.Muestra'!$D$8:$D$42,ROW('03.Muestra'!$B$8:$B$42)-MIN(ROW('03.Muestra'!$D$8:$D$42))+1,""),ROW()-56)),"")</f>
        <v>1.0</v>
      </c>
      <c r="B63" s="221" t="str" cm="1">
        <f t="array" ref="B63">IFERROR(INDEX('03.Muestra'!$C$8:$C$42,SMALL(IF("Página Web"='03.Muestra'!$D$8:$D$42,ROW('03.Muestra'!$C$8:$C$42)-MIN(ROW('03.Muestra'!$D$8:$D$42))+1,""),ROW()-56)),"")</f>
        <v>Home - PortCastelló</v>
      </c>
      <c r="C63" s="221" t="str" cm="1">
        <f t="array" ref="C63">IFERROR(INDEX('03.Muestra'!$F$8:$F$42,SMALL(IF("Página Web"='03.Muestra'!$D$8:$D$42,ROW('03.Muestra'!$F$8:$F$42)-MIN(ROW('03.Muestra'!$D$8:$D$42))+1,""),ROW()-56)),"")</f>
        <v>https://www.portcastello.com/</v>
      </c>
      <c r="D63" s="130" t="str">
        <f t="shared" si="3"/>
        <v>N/T</v>
      </c>
      <c r="E63" s="107" t="str">
        <f t="shared" si="2"/>
        <v/>
      </c>
      <c r="F63" s="19"/>
      <c r="G63" s="19"/>
      <c r="H63" s="19"/>
      <c r="I63" s="19"/>
      <c r="J63" s="19"/>
      <c r="K63" s="19"/>
      <c r="L63" s="19"/>
      <c r="M63" s="19"/>
      <c r="N63" s="19"/>
      <c r="O63" s="19"/>
      <c r="P63" s="19"/>
      <c r="Q63" s="19"/>
      <c r="R63" s="19"/>
      <c r="S63" s="19"/>
      <c r="T63" s="19"/>
      <c r="U63" s="19"/>
      <c r="V63" s="19"/>
      <c r="W63" s="19"/>
      <c r="X63" s="19"/>
      <c r="Y63" s="19"/>
    </row>
    <row r="64" spans="1:25" ht="12" customHeight="1">
      <c r="A64" s="222" t="n" cm="1">
        <f t="array" ref="A64">IFERROR(INDEX('03.Muestra'!$B$8:$B$42,SMALL(IF("Página Web"='03.Muestra'!$D$8:$D$42,ROW('03.Muestra'!$B$8:$B$42)-MIN(ROW('03.Muestra'!$D$8:$D$42))+1,""),ROW()-56)),"")</f>
        <v>1.0</v>
      </c>
      <c r="B64" s="221" t="str" cm="1">
        <f t="array" ref="B64">IFERROR(INDEX('03.Muestra'!$C$8:$C$42,SMALL(IF("Página Web"='03.Muestra'!$D$8:$D$42,ROW('03.Muestra'!$C$8:$C$42)-MIN(ROW('03.Muestra'!$D$8:$D$42))+1,""),ROW()-56)),"")</f>
        <v>Home - PortCastelló</v>
      </c>
      <c r="C64" s="221" t="str" cm="1">
        <f t="array" ref="C64">IFERROR(INDEX('03.Muestra'!$F$8:$F$42,SMALL(IF("Página Web"='03.Muestra'!$D$8:$D$42,ROW('03.Muestra'!$F$8:$F$42)-MIN(ROW('03.Muestra'!$D$8:$D$42))+1,""),ROW()-56)),"")</f>
        <v>https://www.portcastello.com/</v>
      </c>
      <c r="D64" s="130" t="str">
        <f t="shared" si="3"/>
        <v>N/T</v>
      </c>
      <c r="E64" s="107" t="str">
        <f t="shared" si="2"/>
        <v/>
      </c>
      <c r="F64" s="19"/>
      <c r="G64" s="19"/>
      <c r="H64" s="19"/>
      <c r="I64" s="19"/>
      <c r="J64" s="19"/>
      <c r="K64" s="19"/>
      <c r="L64" s="19"/>
      <c r="M64" s="19"/>
      <c r="N64" s="19"/>
      <c r="O64" s="19"/>
      <c r="P64" s="19"/>
      <c r="Q64" s="19"/>
      <c r="R64" s="19"/>
      <c r="S64" s="19"/>
      <c r="T64" s="19"/>
      <c r="U64" s="19"/>
      <c r="V64" s="19"/>
      <c r="W64" s="19"/>
      <c r="X64" s="19"/>
      <c r="Y64" s="19"/>
    </row>
    <row r="65" spans="1:25" ht="12" customHeight="1">
      <c r="A65" s="222" t="n" cm="1">
        <f t="array" ref="A65">IFERROR(INDEX('03.Muestra'!$B$8:$B$42,SMALL(IF("Página Web"='03.Muestra'!$D$8:$D$42,ROW('03.Muestra'!$B$8:$B$42)-MIN(ROW('03.Muestra'!$D$8:$D$42))+1,""),ROW()-56)),"")</f>
        <v>1.0</v>
      </c>
      <c r="B65" s="221" t="str" cm="1">
        <f t="array" ref="B65">IFERROR(INDEX('03.Muestra'!$C$8:$C$42,SMALL(IF("Página Web"='03.Muestra'!$D$8:$D$42,ROW('03.Muestra'!$C$8:$C$42)-MIN(ROW('03.Muestra'!$D$8:$D$42))+1,""),ROW()-56)),"")</f>
        <v>Home - PortCastelló</v>
      </c>
      <c r="C65" s="221" t="str" cm="1">
        <f t="array" ref="C65">IFERROR(INDEX('03.Muestra'!$F$8:$F$42,SMALL(IF("Página Web"='03.Muestra'!$D$8:$D$42,ROW('03.Muestra'!$F$8:$F$42)-MIN(ROW('03.Muestra'!$D$8:$D$42))+1,""),ROW()-56)),"")</f>
        <v>https://www.portcastello.com/</v>
      </c>
      <c r="D65" s="130" t="str">
        <f t="shared" si="3"/>
        <v>N/T</v>
      </c>
      <c r="E65" s="107" t="str">
        <f t="shared" si="2"/>
        <v/>
      </c>
      <c r="F65" s="19"/>
      <c r="G65" s="19"/>
      <c r="H65" s="19"/>
      <c r="I65" s="19"/>
      <c r="J65" s="19"/>
      <c r="K65" s="19"/>
      <c r="L65" s="19"/>
      <c r="M65" s="19"/>
      <c r="N65" s="19"/>
      <c r="O65" s="19"/>
      <c r="P65" s="19"/>
      <c r="Q65" s="19"/>
      <c r="R65" s="19"/>
      <c r="S65" s="19"/>
      <c r="T65" s="19"/>
      <c r="U65" s="19"/>
      <c r="V65" s="19"/>
      <c r="W65" s="19"/>
      <c r="X65" s="19"/>
      <c r="Y65" s="19"/>
    </row>
    <row r="66" spans="1:25" ht="12" customHeight="1">
      <c r="A66" s="222" t="n" cm="1">
        <f t="array" ref="A66">IFERROR(INDEX('03.Muestra'!$B$8:$B$42,SMALL(IF("Página Web"='03.Muestra'!$D$8:$D$42,ROW('03.Muestra'!$B$8:$B$42)-MIN(ROW('03.Muestra'!$D$8:$D$42))+1,""),ROW()-56)),"")</f>
        <v>1.0</v>
      </c>
      <c r="B66" s="221" t="str" cm="1">
        <f t="array" ref="B66">IFERROR(INDEX('03.Muestra'!$C$8:$C$42,SMALL(IF("Página Web"='03.Muestra'!$D$8:$D$42,ROW('03.Muestra'!$C$8:$C$42)-MIN(ROW('03.Muestra'!$D$8:$D$42))+1,""),ROW()-56)),"")</f>
        <v>Home - PortCastelló</v>
      </c>
      <c r="C66" s="221" t="str" cm="1">
        <f t="array" ref="C66">IFERROR(INDEX('03.Muestra'!$F$8:$F$42,SMALL(IF("Página Web"='03.Muestra'!$D$8:$D$42,ROW('03.Muestra'!$F$8:$F$42)-MIN(ROW('03.Muestra'!$D$8:$D$42))+1,""),ROW()-56)),"")</f>
        <v>https://www.portcastello.com/</v>
      </c>
      <c r="D66" s="130" t="str">
        <f t="shared" si="3"/>
        <v>N/T</v>
      </c>
      <c r="E66" s="107" t="str">
        <f t="shared" si="2"/>
        <v/>
      </c>
      <c r="F66" s="19"/>
      <c r="G66" s="19"/>
      <c r="H66" s="19"/>
      <c r="I66" s="19"/>
      <c r="J66" s="19"/>
      <c r="K66" s="19"/>
      <c r="L66" s="19"/>
      <c r="M66" s="19"/>
      <c r="N66" s="19"/>
      <c r="O66" s="19"/>
      <c r="P66" s="19"/>
      <c r="Q66" s="19"/>
      <c r="R66" s="19"/>
      <c r="S66" s="19"/>
      <c r="T66" s="19"/>
      <c r="U66" s="19"/>
      <c r="V66" s="19"/>
      <c r="W66" s="19"/>
      <c r="X66" s="19"/>
      <c r="Y66" s="19"/>
    </row>
    <row r="67" spans="1:25" ht="12" customHeight="1">
      <c r="A67" s="222" t="n" cm="1">
        <f t="array" ref="A67">IFERROR(INDEX('03.Muestra'!$B$8:$B$42,SMALL(IF("Página Web"='03.Muestra'!$D$8:$D$42,ROW('03.Muestra'!$B$8:$B$42)-MIN(ROW('03.Muestra'!$D$8:$D$42))+1,""),ROW()-56)),"")</f>
        <v>1.0</v>
      </c>
      <c r="B67" s="221" t="str" cm="1">
        <f t="array" ref="B67">IFERROR(INDEX('03.Muestra'!$C$8:$C$42,SMALL(IF("Página Web"='03.Muestra'!$D$8:$D$42,ROW('03.Muestra'!$C$8:$C$42)-MIN(ROW('03.Muestra'!$D$8:$D$42))+1,""),ROW()-56)),"")</f>
        <v>Home - PortCastelló</v>
      </c>
      <c r="C67" s="221" t="str" cm="1">
        <f t="array" ref="C67">IFERROR(INDEX('03.Muestra'!$F$8:$F$42,SMALL(IF("Página Web"='03.Muestra'!$D$8:$D$42,ROW('03.Muestra'!$F$8:$F$42)-MIN(ROW('03.Muestra'!$D$8:$D$42))+1,""),ROW()-56)),"")</f>
        <v>https://www.portcastello.com/</v>
      </c>
      <c r="D67" s="130" t="str">
        <f t="shared" si="3"/>
        <v>N/T</v>
      </c>
      <c r="E67" s="107" t="str">
        <f t="shared" si="2"/>
        <v/>
      </c>
      <c r="F67" s="19"/>
      <c r="G67" s="19"/>
      <c r="H67" s="19"/>
      <c r="I67" s="19"/>
      <c r="J67" s="19"/>
      <c r="K67" s="19"/>
      <c r="L67" s="19"/>
      <c r="M67" s="19"/>
      <c r="N67" s="19"/>
      <c r="O67" s="19"/>
      <c r="P67" s="19"/>
      <c r="Q67" s="19"/>
      <c r="R67" s="19"/>
      <c r="S67" s="19"/>
      <c r="T67" s="19"/>
      <c r="U67" s="19"/>
      <c r="V67" s="19"/>
      <c r="W67" s="19"/>
      <c r="X67" s="19"/>
      <c r="Y67" s="19"/>
    </row>
    <row r="68" spans="1:25" ht="12" customHeight="1">
      <c r="A68" s="222" t="n" cm="1">
        <f t="array" ref="A68">IFERROR(INDEX('03.Muestra'!$B$8:$B$42,SMALL(IF("Página Web"='03.Muestra'!$D$8:$D$42,ROW('03.Muestra'!$B$8:$B$42)-MIN(ROW('03.Muestra'!$D$8:$D$42))+1,""),ROW()-56)),"")</f>
        <v>1.0</v>
      </c>
      <c r="B68" s="221" t="str" cm="1">
        <f t="array" ref="B68">IFERROR(INDEX('03.Muestra'!$C$8:$C$42,SMALL(IF("Página Web"='03.Muestra'!$D$8:$D$42,ROW('03.Muestra'!$C$8:$C$42)-MIN(ROW('03.Muestra'!$D$8:$D$42))+1,""),ROW()-56)),"")</f>
        <v>Home - PortCastelló</v>
      </c>
      <c r="C68" s="221" t="str" cm="1">
        <f t="array" ref="C68">IFERROR(INDEX('03.Muestra'!$F$8:$F$42,SMALL(IF("Página Web"='03.Muestra'!$D$8:$D$42,ROW('03.Muestra'!$F$8:$F$42)-MIN(ROW('03.Muestra'!$D$8:$D$42))+1,""),ROW()-56)),"")</f>
        <v>https://www.portcastello.com/</v>
      </c>
      <c r="D68" s="130" t="str">
        <f t="shared" si="3"/>
        <v>N/T</v>
      </c>
      <c r="E68" s="107" t="str">
        <f t="shared" si="2"/>
        <v/>
      </c>
      <c r="F68" s="19"/>
      <c r="G68" s="19"/>
      <c r="H68" s="19"/>
      <c r="I68" s="19"/>
      <c r="J68" s="19"/>
      <c r="K68" s="19"/>
      <c r="L68" s="19"/>
      <c r="M68" s="19"/>
      <c r="N68" s="19"/>
      <c r="O68" s="19"/>
      <c r="P68" s="19"/>
      <c r="Q68" s="19"/>
      <c r="R68" s="19"/>
      <c r="S68" s="19"/>
      <c r="T68" s="19"/>
      <c r="U68" s="19"/>
      <c r="V68" s="19"/>
      <c r="W68" s="19"/>
      <c r="X68" s="19"/>
      <c r="Y68" s="19"/>
    </row>
    <row r="69" spans="1:25" ht="12" customHeight="1">
      <c r="A69" s="222" t="n" cm="1">
        <f t="array" ref="A69">IFERROR(INDEX('03.Muestra'!$B$8:$B$42,SMALL(IF("Página Web"='03.Muestra'!$D$8:$D$42,ROW('03.Muestra'!$B$8:$B$42)-MIN(ROW('03.Muestra'!$D$8:$D$42))+1,""),ROW()-56)),"")</f>
        <v>1.0</v>
      </c>
      <c r="B69" s="221" t="str" cm="1">
        <f t="array" ref="B69">IFERROR(INDEX('03.Muestra'!$C$8:$C$42,SMALL(IF("Página Web"='03.Muestra'!$D$8:$D$42,ROW('03.Muestra'!$C$8:$C$42)-MIN(ROW('03.Muestra'!$D$8:$D$42))+1,""),ROW()-56)),"")</f>
        <v>Home - PortCastelló</v>
      </c>
      <c r="C69" s="221" t="str" cm="1">
        <f t="array" ref="C69">IFERROR(INDEX('03.Muestra'!$F$8:$F$42,SMALL(IF("Página Web"='03.Muestra'!$D$8:$D$42,ROW('03.Muestra'!$F$8:$F$42)-MIN(ROW('03.Muestra'!$D$8:$D$42))+1,""),ROW()-56)),"")</f>
        <v>https://www.portcastello.com/</v>
      </c>
      <c r="D69" s="130" t="str">
        <f t="shared" si="3"/>
        <v>N/T</v>
      </c>
      <c r="E69" s="107" t="str">
        <f t="shared" si="2"/>
        <v/>
      </c>
      <c r="F69" s="19"/>
      <c r="G69" s="19"/>
      <c r="H69" s="19"/>
      <c r="I69" s="19"/>
      <c r="J69" s="19"/>
      <c r="K69" s="19"/>
      <c r="L69" s="19"/>
      <c r="M69" s="19"/>
      <c r="N69" s="19"/>
      <c r="O69" s="19"/>
      <c r="P69" s="19"/>
      <c r="Q69" s="19"/>
      <c r="R69" s="19"/>
      <c r="S69" s="19"/>
      <c r="T69" s="19"/>
      <c r="U69" s="19"/>
      <c r="V69" s="19"/>
      <c r="W69" s="19"/>
      <c r="X69" s="19"/>
      <c r="Y69" s="19"/>
    </row>
    <row r="70" spans="1:25" ht="12" customHeight="1">
      <c r="A70" s="222" t="n" cm="1">
        <f t="array" ref="A70">IFERROR(INDEX('03.Muestra'!$B$8:$B$42,SMALL(IF("Página Web"='03.Muestra'!$D$8:$D$42,ROW('03.Muestra'!$B$8:$B$42)-MIN(ROW('03.Muestra'!$D$8:$D$42))+1,""),ROW()-56)),"")</f>
        <v>1.0</v>
      </c>
      <c r="B70" s="221" t="str" cm="1">
        <f t="array" ref="B70">IFERROR(INDEX('03.Muestra'!$C$8:$C$42,SMALL(IF("Página Web"='03.Muestra'!$D$8:$D$42,ROW('03.Muestra'!$C$8:$C$42)-MIN(ROW('03.Muestra'!$D$8:$D$42))+1,""),ROW()-56)),"")</f>
        <v>Home - PortCastelló</v>
      </c>
      <c r="C70" s="221" t="str" cm="1">
        <f t="array" ref="C70">IFERROR(INDEX('03.Muestra'!$F$8:$F$42,SMALL(IF("Página Web"='03.Muestra'!$D$8:$D$42,ROW('03.Muestra'!$F$8:$F$42)-MIN(ROW('03.Muestra'!$D$8:$D$42))+1,""),ROW()-56)),"")</f>
        <v>https://www.portcastello.com/</v>
      </c>
      <c r="D70" s="130" t="str">
        <f t="shared" si="3"/>
        <v>N/T</v>
      </c>
      <c r="E70" s="107" t="str">
        <f t="shared" si="2"/>
        <v/>
      </c>
      <c r="F70" s="19"/>
      <c r="G70" s="19"/>
      <c r="H70" s="19"/>
      <c r="I70" s="19"/>
      <c r="J70" s="19"/>
      <c r="K70" s="19"/>
      <c r="L70" s="19"/>
      <c r="M70" s="19"/>
      <c r="N70" s="19"/>
      <c r="O70" s="19"/>
      <c r="P70" s="19"/>
      <c r="Q70" s="19"/>
      <c r="R70" s="19"/>
      <c r="S70" s="19"/>
      <c r="T70" s="19"/>
      <c r="U70" s="19"/>
      <c r="V70" s="19"/>
      <c r="W70" s="19"/>
      <c r="X70" s="19"/>
      <c r="Y70" s="19"/>
    </row>
    <row r="71" spans="1:25" ht="12" customHeight="1">
      <c r="A71" s="222" t="n" cm="1">
        <f t="array" ref="A71">IFERROR(INDEX('03.Muestra'!$B$8:$B$42,SMALL(IF("Página Web"='03.Muestra'!$D$8:$D$42,ROW('03.Muestra'!$B$8:$B$42)-MIN(ROW('03.Muestra'!$D$8:$D$42))+1,""),ROW()-56)),"")</f>
        <v>1.0</v>
      </c>
      <c r="B71" s="221" t="str" cm="1">
        <f t="array" ref="B71">IFERROR(INDEX('03.Muestra'!$C$8:$C$42,SMALL(IF("Página Web"='03.Muestra'!$D$8:$D$42,ROW('03.Muestra'!$C$8:$C$42)-MIN(ROW('03.Muestra'!$D$8:$D$42))+1,""),ROW()-56)),"")</f>
        <v>Home - PortCastelló</v>
      </c>
      <c r="C71" s="221" t="str" cm="1">
        <f t="array" ref="C71">IFERROR(INDEX('03.Muestra'!$F$8:$F$42,SMALL(IF("Página Web"='03.Muestra'!$D$8:$D$42,ROW('03.Muestra'!$F$8:$F$42)-MIN(ROW('03.Muestra'!$D$8:$D$42))+1,""),ROW()-56)),"")</f>
        <v>https://www.portcastello.com/</v>
      </c>
      <c r="D71" s="130" t="str">
        <f t="shared" si="3"/>
        <v>N/T</v>
      </c>
      <c r="E71" s="107" t="str">
        <f t="shared" si="2"/>
        <v/>
      </c>
      <c r="F71" s="19"/>
      <c r="G71" s="19"/>
      <c r="H71" s="19"/>
      <c r="I71" s="19"/>
      <c r="J71" s="19"/>
      <c r="K71" s="19"/>
      <c r="L71" s="19"/>
      <c r="M71" s="19"/>
      <c r="N71" s="19"/>
      <c r="O71" s="19"/>
      <c r="P71" s="19"/>
      <c r="Q71" s="19"/>
      <c r="R71" s="19"/>
      <c r="S71" s="19"/>
      <c r="T71" s="19"/>
      <c r="U71" s="19"/>
      <c r="V71" s="19"/>
      <c r="W71" s="19"/>
      <c r="X71" s="19"/>
      <c r="Y71" s="19"/>
    </row>
    <row r="72" spans="1:25" ht="12" customHeight="1">
      <c r="A72" s="222" t="n" cm="1">
        <f t="array" ref="A72">IFERROR(INDEX('03.Muestra'!$B$8:$B$42,SMALL(IF("Página Web"='03.Muestra'!$D$8:$D$42,ROW('03.Muestra'!$B$8:$B$42)-MIN(ROW('03.Muestra'!$D$8:$D$42))+1,""),ROW()-56)),"")</f>
        <v>1.0</v>
      </c>
      <c r="B72" s="221" t="str" cm="1">
        <f t="array" ref="B72">IFERROR(INDEX('03.Muestra'!$C$8:$C$42,SMALL(IF("Página Web"='03.Muestra'!$D$8:$D$42,ROW('03.Muestra'!$C$8:$C$42)-MIN(ROW('03.Muestra'!$D$8:$D$42))+1,""),ROW()-56)),"")</f>
        <v>Home - PortCastelló</v>
      </c>
      <c r="C72" s="221" t="str" cm="1">
        <f t="array" ref="C72">IFERROR(INDEX('03.Muestra'!$F$8:$F$42,SMALL(IF("Página Web"='03.Muestra'!$D$8:$D$42,ROW('03.Muestra'!$F$8:$F$42)-MIN(ROW('03.Muestra'!$D$8:$D$42))+1,""),ROW()-56)),"")</f>
        <v>https://www.portcastello.com/</v>
      </c>
      <c r="D72" s="130" t="str">
        <f t="shared" si="3"/>
        <v>N/T</v>
      </c>
      <c r="E72" s="107" t="str">
        <f t="shared" si="2"/>
        <v/>
      </c>
      <c r="F72" s="19"/>
      <c r="G72" s="19"/>
      <c r="H72" s="19"/>
      <c r="I72" s="19"/>
      <c r="J72" s="19"/>
      <c r="K72" s="19"/>
      <c r="L72" s="19"/>
      <c r="M72" s="19"/>
      <c r="N72" s="19"/>
      <c r="O72" s="19"/>
      <c r="P72" s="19"/>
      <c r="Q72" s="19"/>
      <c r="R72" s="19"/>
      <c r="S72" s="19"/>
      <c r="T72" s="19"/>
      <c r="U72" s="19"/>
      <c r="V72" s="19"/>
      <c r="W72" s="19"/>
      <c r="X72" s="19"/>
      <c r="Y72" s="19"/>
    </row>
    <row r="73" spans="1:25" ht="12" customHeight="1">
      <c r="A73" s="222" t="n" cm="1">
        <f t="array" ref="A73">IFERROR(INDEX('03.Muestra'!$B$8:$B$42,SMALL(IF("Página Web"='03.Muestra'!$D$8:$D$42,ROW('03.Muestra'!$B$8:$B$42)-MIN(ROW('03.Muestra'!$D$8:$D$42))+1,""),ROW()-56)),"")</f>
        <v>1.0</v>
      </c>
      <c r="B73" s="221" t="str" cm="1">
        <f t="array" ref="B73">IFERROR(INDEX('03.Muestra'!$C$8:$C$42,SMALL(IF("Página Web"='03.Muestra'!$D$8:$D$42,ROW('03.Muestra'!$C$8:$C$42)-MIN(ROW('03.Muestra'!$D$8:$D$42))+1,""),ROW()-56)),"")</f>
        <v>Home - PortCastelló</v>
      </c>
      <c r="C73" s="221" t="str" cm="1">
        <f t="array" ref="C73">IFERROR(INDEX('03.Muestra'!$F$8:$F$42,SMALL(IF("Página Web"='03.Muestra'!$D$8:$D$42,ROW('03.Muestra'!$F$8:$F$42)-MIN(ROW('03.Muestra'!$D$8:$D$42))+1,""),ROW()-56)),"")</f>
        <v>https://www.portcastello.com/</v>
      </c>
      <c r="D73" s="130" t="str">
        <f t="shared" si="3"/>
        <v>N/T</v>
      </c>
      <c r="E73" s="107" t="str">
        <f t="shared" si="2"/>
        <v/>
      </c>
      <c r="F73" s="19"/>
      <c r="G73" s="19"/>
      <c r="H73" s="19"/>
      <c r="I73" s="19"/>
      <c r="J73" s="19"/>
      <c r="K73" s="19"/>
      <c r="L73" s="19"/>
      <c r="M73" s="19"/>
      <c r="N73" s="19"/>
      <c r="O73" s="19"/>
      <c r="P73" s="19"/>
      <c r="Q73" s="19"/>
      <c r="R73" s="19"/>
      <c r="S73" s="19"/>
      <c r="T73" s="19"/>
      <c r="U73" s="19"/>
      <c r="V73" s="19"/>
      <c r="W73" s="19"/>
      <c r="X73" s="19"/>
      <c r="Y73" s="19"/>
    </row>
    <row r="74" spans="1:25" ht="12" customHeight="1">
      <c r="A74" s="222" t="n" cm="1">
        <f t="array" ref="A74">IFERROR(INDEX('03.Muestra'!$B$8:$B$42,SMALL(IF("Página Web"='03.Muestra'!$D$8:$D$42,ROW('03.Muestra'!$B$8:$B$42)-MIN(ROW('03.Muestra'!$D$8:$D$42))+1,""),ROW()-56)),"")</f>
        <v>1.0</v>
      </c>
      <c r="B74" s="221" t="str" cm="1">
        <f t="array" ref="B74">IFERROR(INDEX('03.Muestra'!$C$8:$C$42,SMALL(IF("Página Web"='03.Muestra'!$D$8:$D$42,ROW('03.Muestra'!$C$8:$C$42)-MIN(ROW('03.Muestra'!$D$8:$D$42))+1,""),ROW()-56)),"")</f>
        <v>Home - PortCastelló</v>
      </c>
      <c r="C74" s="221" t="str" cm="1">
        <f t="array" ref="C74">IFERROR(INDEX('03.Muestra'!$F$8:$F$42,SMALL(IF("Página Web"='03.Muestra'!$D$8:$D$42,ROW('03.Muestra'!$F$8:$F$42)-MIN(ROW('03.Muestra'!$D$8:$D$42))+1,""),ROW()-56)),"")</f>
        <v>https://www.portcastello.com/</v>
      </c>
      <c r="D74" s="130" t="str">
        <f t="shared" si="3"/>
        <v>N/T</v>
      </c>
      <c r="E74" s="107" t="str">
        <f t="shared" si="2"/>
        <v/>
      </c>
      <c r="F74" s="19"/>
      <c r="G74" s="19"/>
      <c r="H74" s="19"/>
      <c r="I74" s="19"/>
      <c r="J74" s="19"/>
      <c r="K74" s="19"/>
      <c r="L74" s="19"/>
      <c r="M74" s="19"/>
      <c r="N74" s="19"/>
      <c r="O74" s="19"/>
      <c r="P74" s="19"/>
      <c r="Q74" s="19"/>
      <c r="R74" s="19"/>
      <c r="S74" s="19"/>
      <c r="T74" s="19"/>
      <c r="U74" s="19"/>
      <c r="V74" s="19"/>
      <c r="W74" s="19"/>
      <c r="X74" s="19"/>
      <c r="Y74" s="19"/>
    </row>
    <row r="75" spans="1:25" ht="12" customHeight="1">
      <c r="A75" s="222" t="n" cm="1">
        <f t="array" ref="A75">IFERROR(INDEX('03.Muestra'!$B$8:$B$42,SMALL(IF("Página Web"='03.Muestra'!$D$8:$D$42,ROW('03.Muestra'!$B$8:$B$42)-MIN(ROW('03.Muestra'!$D$8:$D$42))+1,""),ROW()-56)),"")</f>
        <v>1.0</v>
      </c>
      <c r="B75" s="221" t="str" cm="1">
        <f t="array" ref="B75">IFERROR(INDEX('03.Muestra'!$C$8:$C$42,SMALL(IF("Página Web"='03.Muestra'!$D$8:$D$42,ROW('03.Muestra'!$C$8:$C$42)-MIN(ROW('03.Muestra'!$D$8:$D$42))+1,""),ROW()-56)),"")</f>
        <v>Home - PortCastelló</v>
      </c>
      <c r="C75" s="221" t="str" cm="1">
        <f t="array" ref="C75">IFERROR(INDEX('03.Muestra'!$F$8:$F$42,SMALL(IF("Página Web"='03.Muestra'!$D$8:$D$42,ROW('03.Muestra'!$F$8:$F$42)-MIN(ROW('03.Muestra'!$D$8:$D$42))+1,""),ROW()-56)),"")</f>
        <v>https://www.portcastello.com/</v>
      </c>
      <c r="D75" s="130" t="str">
        <f t="shared" si="3"/>
        <v>N/T</v>
      </c>
      <c r="E75" s="107" t="str">
        <f t="shared" si="2"/>
        <v/>
      </c>
      <c r="F75" s="19"/>
      <c r="G75" s="19"/>
      <c r="H75" s="19"/>
      <c r="I75" s="19"/>
      <c r="J75" s="19"/>
      <c r="K75" s="19"/>
      <c r="L75" s="19"/>
      <c r="M75" s="19"/>
      <c r="N75" s="19"/>
      <c r="O75" s="19"/>
      <c r="P75" s="19"/>
      <c r="Q75" s="19"/>
      <c r="R75" s="19"/>
      <c r="S75" s="19"/>
      <c r="T75" s="19"/>
      <c r="U75" s="19"/>
      <c r="V75" s="19"/>
      <c r="W75" s="19"/>
      <c r="X75" s="19"/>
      <c r="Y75" s="19"/>
    </row>
    <row r="76" spans="1:25" ht="12" customHeight="1">
      <c r="A76" s="222" t="n" cm="1">
        <f t="array" ref="A76">IFERROR(INDEX('03.Muestra'!$B$8:$B$42,SMALL(IF("Página Web"='03.Muestra'!$D$8:$D$42,ROW('03.Muestra'!$B$8:$B$42)-MIN(ROW('03.Muestra'!$D$8:$D$42))+1,""),ROW()-56)),"")</f>
        <v>1.0</v>
      </c>
      <c r="B76" s="221" t="str" cm="1">
        <f t="array" ref="B76">IFERROR(INDEX('03.Muestra'!$C$8:$C$42,SMALL(IF("Página Web"='03.Muestra'!$D$8:$D$42,ROW('03.Muestra'!$C$8:$C$42)-MIN(ROW('03.Muestra'!$D$8:$D$42))+1,""),ROW()-56)),"")</f>
        <v>Home - PortCastelló</v>
      </c>
      <c r="C76" s="221" t="str" cm="1">
        <f t="array" ref="C76">IFERROR(INDEX('03.Muestra'!$F$8:$F$42,SMALL(IF("Página Web"='03.Muestra'!$D$8:$D$42,ROW('03.Muestra'!$F$8:$F$42)-MIN(ROW('03.Muestra'!$D$8:$D$42))+1,""),ROW()-56)),"")</f>
        <v>https://www.portcastello.com/</v>
      </c>
      <c r="D76" s="130" t="str">
        <f t="shared" si="3"/>
        <v>N/T</v>
      </c>
      <c r="E76" s="107" t="str">
        <f t="shared" si="2"/>
        <v/>
      </c>
      <c r="F76" s="19"/>
      <c r="G76" s="19"/>
      <c r="H76" s="19"/>
      <c r="I76" s="19"/>
      <c r="J76" s="19"/>
      <c r="K76" s="19"/>
      <c r="L76" s="19"/>
      <c r="M76" s="19"/>
      <c r="N76" s="19"/>
      <c r="O76" s="19"/>
      <c r="P76" s="19"/>
      <c r="Q76" s="19"/>
      <c r="R76" s="19"/>
      <c r="S76" s="19"/>
      <c r="T76" s="19"/>
      <c r="U76" s="19"/>
      <c r="V76" s="19"/>
      <c r="W76" s="19"/>
      <c r="X76" s="19"/>
      <c r="Y76" s="19"/>
    </row>
    <row r="77" spans="1:25" ht="12" customHeight="1">
      <c r="A77" s="222" t="n" cm="1">
        <f t="array" ref="A77">IFERROR(INDEX('03.Muestra'!$B$8:$B$42,SMALL(IF("Página Web"='03.Muestra'!$D$8:$D$42,ROW('03.Muestra'!$B$8:$B$42)-MIN(ROW('03.Muestra'!$D$8:$D$42))+1,""),ROW()-56)),"")</f>
        <v>1.0</v>
      </c>
      <c r="B77" s="221" t="str" cm="1">
        <f t="array" ref="B77">IFERROR(INDEX('03.Muestra'!$C$8:$C$42,SMALL(IF("Página Web"='03.Muestra'!$D$8:$D$42,ROW('03.Muestra'!$C$8:$C$42)-MIN(ROW('03.Muestra'!$D$8:$D$42))+1,""),ROW()-56)),"")</f>
        <v>Home - PortCastelló</v>
      </c>
      <c r="C77" s="221" t="str" cm="1">
        <f t="array" ref="C77">IFERROR(INDEX('03.Muestra'!$F$8:$F$42,SMALL(IF("Página Web"='03.Muestra'!$D$8:$D$42,ROW('03.Muestra'!$F$8:$F$42)-MIN(ROW('03.Muestra'!$D$8:$D$42))+1,""),ROW()-56)),"")</f>
        <v>https://www.portcastello.com/</v>
      </c>
      <c r="D77" s="130" t="str">
        <f t="shared" si="3"/>
        <v>N/T</v>
      </c>
      <c r="E77" s="107" t="str">
        <f t="shared" si="2"/>
        <v/>
      </c>
      <c r="F77" s="19"/>
      <c r="G77" s="19"/>
      <c r="H77" s="19"/>
      <c r="I77" s="19"/>
      <c r="J77" s="19"/>
      <c r="K77" s="19"/>
      <c r="L77" s="19"/>
      <c r="M77" s="19"/>
      <c r="N77" s="19"/>
      <c r="O77" s="19"/>
      <c r="P77" s="19"/>
      <c r="Q77" s="19"/>
      <c r="R77" s="19"/>
      <c r="S77" s="19"/>
      <c r="T77" s="19"/>
      <c r="U77" s="19"/>
      <c r="V77" s="19"/>
      <c r="W77" s="19"/>
      <c r="X77" s="19"/>
      <c r="Y77" s="19"/>
    </row>
    <row r="78" spans="1:25" ht="12" customHeight="1">
      <c r="A78" s="222" t="n" cm="1">
        <f t="array" ref="A78">IFERROR(INDEX('03.Muestra'!$B$8:$B$42,SMALL(IF("Página Web"='03.Muestra'!$D$8:$D$42,ROW('03.Muestra'!$B$8:$B$42)-MIN(ROW('03.Muestra'!$D$8:$D$42))+1,""),ROW()-56)),"")</f>
        <v>1.0</v>
      </c>
      <c r="B78" s="221" t="str" cm="1">
        <f t="array" ref="B78">IFERROR(INDEX('03.Muestra'!$C$8:$C$42,SMALL(IF("Página Web"='03.Muestra'!$D$8:$D$42,ROW('03.Muestra'!$C$8:$C$42)-MIN(ROW('03.Muestra'!$D$8:$D$42))+1,""),ROW()-56)),"")</f>
        <v>Home - PortCastelló</v>
      </c>
      <c r="C78" s="221" t="str" cm="1">
        <f t="array" ref="C78">IFERROR(INDEX('03.Muestra'!$F$8:$F$42,SMALL(IF("Página Web"='03.Muestra'!$D$8:$D$42,ROW('03.Muestra'!$F$8:$F$42)-MIN(ROW('03.Muestra'!$D$8:$D$42))+1,""),ROW()-56)),"")</f>
        <v>https://www.portcastello.com/</v>
      </c>
      <c r="D78" s="130" t="str">
        <f t="shared" si="3"/>
        <v>N/T</v>
      </c>
      <c r="E78" s="107" t="str">
        <f t="shared" si="2"/>
        <v/>
      </c>
      <c r="F78" s="19"/>
      <c r="G78" s="19"/>
      <c r="H78" s="19"/>
      <c r="I78" s="19"/>
      <c r="J78" s="19"/>
      <c r="K78" s="19"/>
      <c r="L78" s="19"/>
      <c r="M78" s="19"/>
      <c r="N78" s="19"/>
      <c r="O78" s="19"/>
      <c r="P78" s="19"/>
      <c r="Q78" s="19"/>
      <c r="R78" s="19"/>
      <c r="S78" s="19"/>
      <c r="T78" s="19"/>
      <c r="U78" s="19"/>
      <c r="V78" s="19"/>
      <c r="W78" s="19"/>
      <c r="X78" s="19"/>
      <c r="Y78" s="19"/>
    </row>
    <row r="79" spans="1:25" ht="12" customHeight="1">
      <c r="A79" s="222" t="n" cm="1">
        <f t="array" ref="A79">IFERROR(INDEX('03.Muestra'!$B$8:$B$42,SMALL(IF("Página Web"='03.Muestra'!$D$8:$D$42,ROW('03.Muestra'!$B$8:$B$42)-MIN(ROW('03.Muestra'!$D$8:$D$42))+1,""),ROW()-56)),"")</f>
        <v>1.0</v>
      </c>
      <c r="B79" s="221" t="str" cm="1">
        <f t="array" ref="B79">IFERROR(INDEX('03.Muestra'!$C$8:$C$42,SMALL(IF("Página Web"='03.Muestra'!$D$8:$D$42,ROW('03.Muestra'!$C$8:$C$42)-MIN(ROW('03.Muestra'!$D$8:$D$42))+1,""),ROW()-56)),"")</f>
        <v>Home - PortCastelló</v>
      </c>
      <c r="C79" s="221" t="str" cm="1">
        <f t="array" ref="C79">IFERROR(INDEX('03.Muestra'!$F$8:$F$42,SMALL(IF("Página Web"='03.Muestra'!$D$8:$D$42,ROW('03.Muestra'!$F$8:$F$42)-MIN(ROW('03.Muestra'!$D$8:$D$42))+1,""),ROW()-56)),"")</f>
        <v>https://www.portcastello.com/</v>
      </c>
      <c r="D79" s="130" t="str">
        <f t="shared" si="3"/>
        <v>N/T</v>
      </c>
      <c r="E79" s="107" t="str">
        <f t="shared" si="2"/>
        <v/>
      </c>
      <c r="F79" s="19"/>
      <c r="G79" s="19"/>
      <c r="H79" s="19"/>
      <c r="I79" s="19"/>
      <c r="J79" s="19"/>
      <c r="K79" s="19"/>
      <c r="L79" s="19"/>
      <c r="M79" s="19"/>
      <c r="N79" s="19"/>
      <c r="O79" s="19"/>
      <c r="P79" s="19"/>
      <c r="Q79" s="19"/>
      <c r="R79" s="19"/>
      <c r="S79" s="19"/>
      <c r="T79" s="19"/>
      <c r="U79" s="19"/>
      <c r="V79" s="19"/>
      <c r="W79" s="19"/>
      <c r="X79" s="19"/>
      <c r="Y79" s="19"/>
    </row>
    <row r="80" spans="1:25" ht="12" customHeight="1">
      <c r="A80" s="222" t="n" cm="1">
        <f t="array" ref="A80">IFERROR(INDEX('03.Muestra'!$B$8:$B$42,SMALL(IF("Página Web"='03.Muestra'!$D$8:$D$42,ROW('03.Muestra'!$B$8:$B$42)-MIN(ROW('03.Muestra'!$D$8:$D$42))+1,""),ROW()-56)),"")</f>
        <v>1.0</v>
      </c>
      <c r="B80" s="221" t="str" cm="1">
        <f t="array" ref="B80">IFERROR(INDEX('03.Muestra'!$C$8:$C$42,SMALL(IF("Página Web"='03.Muestra'!$D$8:$D$42,ROW('03.Muestra'!$C$8:$C$42)-MIN(ROW('03.Muestra'!$D$8:$D$42))+1,""),ROW()-56)),"")</f>
        <v>Home - PortCastelló</v>
      </c>
      <c r="C80" s="221" t="str" cm="1">
        <f t="array" ref="C80">IFERROR(INDEX('03.Muestra'!$F$8:$F$42,SMALL(IF("Página Web"='03.Muestra'!$D$8:$D$42,ROW('03.Muestra'!$F$8:$F$42)-MIN(ROW('03.Muestra'!$D$8:$D$42))+1,""),ROW()-56)),"")</f>
        <v>https://www.portcastello.com/</v>
      </c>
      <c r="D80" s="130" t="str">
        <f t="shared" si="3"/>
        <v>N/T</v>
      </c>
      <c r="E80" s="107" t="str">
        <f t="shared" si="2"/>
        <v/>
      </c>
      <c r="F80" s="19"/>
      <c r="G80" s="19"/>
      <c r="H80" s="19"/>
      <c r="I80" s="19"/>
      <c r="J80" s="19"/>
      <c r="K80" s="19"/>
      <c r="L80" s="19"/>
      <c r="M80" s="19"/>
      <c r="N80" s="19"/>
      <c r="O80" s="19"/>
      <c r="P80" s="19"/>
      <c r="Q80" s="19"/>
      <c r="R80" s="19"/>
      <c r="S80" s="19"/>
      <c r="T80" s="19"/>
      <c r="U80" s="19"/>
      <c r="V80" s="19"/>
      <c r="W80" s="19"/>
      <c r="X80" s="19"/>
      <c r="Y80" s="19"/>
    </row>
    <row r="81" spans="1:25" ht="12" customHeight="1">
      <c r="A81" s="222" t="n" cm="1">
        <f t="array" ref="A81">IFERROR(INDEX('03.Muestra'!$B$8:$B$42,SMALL(IF("Página Web"='03.Muestra'!$D$8:$D$42,ROW('03.Muestra'!$B$8:$B$42)-MIN(ROW('03.Muestra'!$D$8:$D$42))+1,""),ROW()-56)),"")</f>
        <v>1.0</v>
      </c>
      <c r="B81" s="221" t="str" cm="1">
        <f t="array" ref="B81">IFERROR(INDEX('03.Muestra'!$C$8:$C$42,SMALL(IF("Página Web"='03.Muestra'!$D$8:$D$42,ROW('03.Muestra'!$C$8:$C$42)-MIN(ROW('03.Muestra'!$D$8:$D$42))+1,""),ROW()-56)),"")</f>
        <v>Home - PortCastelló</v>
      </c>
      <c r="C81" s="221" t="str" cm="1">
        <f t="array" ref="C81">IFERROR(INDEX('03.Muestra'!$F$8:$F$42,SMALL(IF("Página Web"='03.Muestra'!$D$8:$D$42,ROW('03.Muestra'!$F$8:$F$42)-MIN(ROW('03.Muestra'!$D$8:$D$42))+1,""),ROW()-56)),"")</f>
        <v>https://www.portcastello.com/</v>
      </c>
      <c r="D81" s="130" t="str">
        <f t="shared" si="3"/>
        <v>N/T</v>
      </c>
      <c r="E81" s="107" t="str">
        <f t="shared" si="2"/>
        <v/>
      </c>
      <c r="F81" s="19"/>
      <c r="G81" s="19"/>
      <c r="H81" s="19"/>
      <c r="I81" s="19"/>
      <c r="J81" s="19"/>
      <c r="K81" s="19"/>
      <c r="L81" s="19"/>
      <c r="M81" s="19"/>
      <c r="N81" s="19"/>
      <c r="O81" s="19"/>
      <c r="P81" s="19"/>
      <c r="Q81" s="19"/>
      <c r="R81" s="19"/>
      <c r="S81" s="19"/>
      <c r="T81" s="19"/>
      <c r="U81" s="19"/>
      <c r="V81" s="19"/>
      <c r="W81" s="19"/>
      <c r="X81" s="19"/>
      <c r="Y81" s="19"/>
    </row>
    <row r="82" spans="1:25" ht="12" customHeight="1">
      <c r="A82" s="222" t="n" cm="1">
        <f t="array" ref="A82">IFERROR(INDEX('03.Muestra'!$B$8:$B$42,SMALL(IF("Página Web"='03.Muestra'!$D$8:$D$42,ROW('03.Muestra'!$B$8:$B$42)-MIN(ROW('03.Muestra'!$D$8:$D$42))+1,""),ROW()-56)),"")</f>
        <v>1.0</v>
      </c>
      <c r="B82" s="221" t="str" cm="1">
        <f t="array" ref="B82">IFERROR(INDEX('03.Muestra'!$C$8:$C$42,SMALL(IF("Página Web"='03.Muestra'!$D$8:$D$42,ROW('03.Muestra'!$C$8:$C$42)-MIN(ROW('03.Muestra'!$D$8:$D$42))+1,""),ROW()-56)),"")</f>
        <v>Home - PortCastelló</v>
      </c>
      <c r="C82" s="221" t="str" cm="1">
        <f t="array" ref="C82">IFERROR(INDEX('03.Muestra'!$F$8:$F$42,SMALL(IF("Página Web"='03.Muestra'!$D$8:$D$42,ROW('03.Muestra'!$F$8:$F$42)-MIN(ROW('03.Muestra'!$D$8:$D$42))+1,""),ROW()-56)),"")</f>
        <v>https://www.portcastello.com/</v>
      </c>
      <c r="D82" s="130" t="str">
        <f t="shared" si="3"/>
        <v>N/T</v>
      </c>
      <c r="E82" s="107" t="str">
        <f t="shared" si="2"/>
        <v/>
      </c>
      <c r="F82" s="19"/>
      <c r="G82" s="19"/>
      <c r="H82" s="19"/>
      <c r="I82" s="19"/>
      <c r="J82" s="19"/>
      <c r="K82" s="19"/>
      <c r="L82" s="19"/>
      <c r="M82" s="19"/>
      <c r="N82" s="19"/>
      <c r="O82" s="19"/>
      <c r="P82" s="19"/>
      <c r="Q82" s="19"/>
      <c r="R82" s="19"/>
      <c r="S82" s="19"/>
      <c r="T82" s="19"/>
      <c r="U82" s="19"/>
      <c r="V82" s="19"/>
      <c r="W82" s="19"/>
      <c r="X82" s="19"/>
      <c r="Y82" s="19"/>
    </row>
    <row r="83" spans="1:25" ht="12" customHeight="1">
      <c r="A83" s="222" t="n" cm="1">
        <f t="array" ref="A83">IFERROR(INDEX('03.Muestra'!$B$8:$B$42,SMALL(IF("Página Web"='03.Muestra'!$D$8:$D$42,ROW('03.Muestra'!$B$8:$B$42)-MIN(ROW('03.Muestra'!$D$8:$D$42))+1,""),ROW()-56)),"")</f>
        <v>1.0</v>
      </c>
      <c r="B83" s="221" t="str" cm="1">
        <f t="array" ref="B83">IFERROR(INDEX('03.Muestra'!$C$8:$C$42,SMALL(IF("Página Web"='03.Muestra'!$D$8:$D$42,ROW('03.Muestra'!$C$8:$C$42)-MIN(ROW('03.Muestra'!$D$8:$D$42))+1,""),ROW()-56)),"")</f>
        <v>Home - PortCastelló</v>
      </c>
      <c r="C83" s="221" t="str" cm="1">
        <f t="array" ref="C83">IFERROR(INDEX('03.Muestra'!$F$8:$F$42,SMALL(IF("Página Web"='03.Muestra'!$D$8:$D$42,ROW('03.Muestra'!$F$8:$F$42)-MIN(ROW('03.Muestra'!$D$8:$D$42))+1,""),ROW()-56)),"")</f>
        <v>https://www.portcastello.com/</v>
      </c>
      <c r="D83" s="130" t="str">
        <f t="shared" si="3"/>
        <v>N/T</v>
      </c>
      <c r="E83" s="107" t="str">
        <f t="shared" si="2"/>
        <v/>
      </c>
      <c r="F83" s="19"/>
      <c r="G83" s="19"/>
      <c r="H83" s="19"/>
      <c r="I83" s="19"/>
      <c r="J83" s="19"/>
      <c r="K83" s="19"/>
      <c r="L83" s="19"/>
      <c r="M83" s="19"/>
      <c r="N83" s="19"/>
      <c r="O83" s="19"/>
      <c r="P83" s="19"/>
      <c r="Q83" s="19"/>
      <c r="R83" s="19"/>
      <c r="S83" s="19"/>
      <c r="T83" s="19"/>
      <c r="U83" s="19"/>
      <c r="V83" s="19"/>
      <c r="W83" s="19"/>
      <c r="X83" s="19"/>
      <c r="Y83" s="19"/>
    </row>
    <row r="84" spans="1:25" ht="12" customHeight="1">
      <c r="A84" s="222" t="n" cm="1">
        <f t="array" ref="A84">IFERROR(INDEX('03.Muestra'!$B$8:$B$42,SMALL(IF("Página Web"='03.Muestra'!$D$8:$D$42,ROW('03.Muestra'!$B$8:$B$42)-MIN(ROW('03.Muestra'!$D$8:$D$42))+1,""),ROW()-56)),"")</f>
        <v>1.0</v>
      </c>
      <c r="B84" s="221" t="str" cm="1">
        <f t="array" ref="B84">IFERROR(INDEX('03.Muestra'!$C$8:$C$42,SMALL(IF("Página Web"='03.Muestra'!$D$8:$D$42,ROW('03.Muestra'!$C$8:$C$42)-MIN(ROW('03.Muestra'!$D$8:$D$42))+1,""),ROW()-56)),"")</f>
        <v>Home - PortCastelló</v>
      </c>
      <c r="C84" s="221" t="str" cm="1">
        <f t="array" ref="C84">IFERROR(INDEX('03.Muestra'!$F$8:$F$42,SMALL(IF("Página Web"='03.Muestra'!$D$8:$D$42,ROW('03.Muestra'!$F$8:$F$42)-MIN(ROW('03.Muestra'!$D$8:$D$42))+1,""),ROW()-56)),"")</f>
        <v>https://www.portcastello.com/</v>
      </c>
      <c r="D84" s="130" t="str">
        <f t="shared" si="3"/>
        <v>N/T</v>
      </c>
      <c r="E84" s="107" t="str">
        <f t="shared" si="2"/>
        <v/>
      </c>
      <c r="G84" s="19"/>
      <c r="H84" s="19"/>
      <c r="I84" s="19"/>
      <c r="J84" s="19"/>
      <c r="K84" s="19"/>
      <c r="L84" s="19"/>
      <c r="M84" s="19"/>
      <c r="N84" s="19"/>
      <c r="O84" s="19"/>
      <c r="P84" s="19"/>
      <c r="Q84" s="19"/>
      <c r="R84" s="19"/>
      <c r="S84" s="19"/>
      <c r="T84" s="19"/>
      <c r="U84" s="19"/>
      <c r="V84" s="19"/>
      <c r="W84" s="19"/>
      <c r="X84" s="19"/>
      <c r="Y84" s="19"/>
    </row>
    <row r="85" spans="1:25" ht="12" customHeight="1">
      <c r="A85" s="222" t="n" cm="1">
        <f t="array" ref="A85">IFERROR(INDEX('03.Muestra'!$B$8:$B$42,SMALL(IF("Página Web"='03.Muestra'!$D$8:$D$42,ROW('03.Muestra'!$B$8:$B$42)-MIN(ROW('03.Muestra'!$D$8:$D$42))+1,""),ROW()-56)),"")</f>
        <v>1.0</v>
      </c>
      <c r="B85" s="221" t="str" cm="1">
        <f t="array" ref="B85">IFERROR(INDEX('03.Muestra'!$C$8:$C$42,SMALL(IF("Página Web"='03.Muestra'!$D$8:$D$42,ROW('03.Muestra'!$C$8:$C$42)-MIN(ROW('03.Muestra'!$D$8:$D$42))+1,""),ROW()-56)),"")</f>
        <v>Home - PortCastelló</v>
      </c>
      <c r="C85" s="221" t="str" cm="1">
        <f t="array" ref="C85">IFERROR(INDEX('03.Muestra'!$F$8:$F$42,SMALL(IF("Página Web"='03.Muestra'!$D$8:$D$42,ROW('03.Muestra'!$F$8:$F$42)-MIN(ROW('03.Muestra'!$D$8:$D$42))+1,""),ROW()-56)),"")</f>
        <v>https://www.portcastello.com/</v>
      </c>
      <c r="D85" s="130" t="str">
        <f t="shared" si="3"/>
        <v>N/T</v>
      </c>
      <c r="E85" s="107" t="str">
        <f t="shared" si="2"/>
        <v/>
      </c>
      <c r="G85" s="19"/>
      <c r="H85" s="19"/>
      <c r="I85" s="19"/>
      <c r="J85" s="19"/>
      <c r="K85" s="19"/>
      <c r="L85" s="19"/>
      <c r="M85" s="19"/>
      <c r="N85" s="19"/>
      <c r="O85" s="19"/>
      <c r="P85" s="19"/>
      <c r="Q85" s="19"/>
      <c r="R85" s="19"/>
      <c r="S85" s="19"/>
      <c r="T85" s="19"/>
      <c r="U85" s="19"/>
      <c r="V85" s="19"/>
      <c r="W85" s="19"/>
      <c r="X85" s="19"/>
      <c r="Y85" s="19"/>
    </row>
    <row r="86" spans="1:25" ht="12" customHeight="1">
      <c r="A86" s="222" t="n" cm="1">
        <f t="array" ref="A86">IFERROR(INDEX('03.Muestra'!$B$8:$B$42,SMALL(IF("Página Web"='03.Muestra'!$D$8:$D$42,ROW('03.Muestra'!$B$8:$B$42)-MIN(ROW('03.Muestra'!$D$8:$D$42))+1,""),ROW()-56)),"")</f>
        <v>1.0</v>
      </c>
      <c r="B86" s="221" t="str" cm="1">
        <f t="array" ref="B86">IFERROR(INDEX('03.Muestra'!$C$8:$C$42,SMALL(IF("Página Web"='03.Muestra'!$D$8:$D$42,ROW('03.Muestra'!$C$8:$C$42)-MIN(ROW('03.Muestra'!$D$8:$D$42))+1,""),ROW()-56)),"")</f>
        <v>Home - PortCastelló</v>
      </c>
      <c r="C86" s="221" t="str" cm="1">
        <f t="array" ref="C86">IFERROR(INDEX('03.Muestra'!$F$8:$F$42,SMALL(IF("Página Web"='03.Muestra'!$D$8:$D$42,ROW('03.Muestra'!$F$8:$F$42)-MIN(ROW('03.Muestra'!$D$8:$D$42))+1,""),ROW()-56)),"")</f>
        <v>https://www.portcastello.com/</v>
      </c>
      <c r="D86" s="130" t="str">
        <f t="shared" si="3"/>
        <v>N/T</v>
      </c>
      <c r="E86" s="107" t="str">
        <f t="shared" si="2"/>
        <v/>
      </c>
      <c r="G86" s="19"/>
      <c r="H86" s="19"/>
      <c r="I86" s="19"/>
      <c r="J86" s="19"/>
      <c r="K86" s="19"/>
      <c r="L86" s="19"/>
      <c r="M86" s="19"/>
      <c r="N86" s="19"/>
      <c r="O86" s="19"/>
      <c r="P86" s="19"/>
      <c r="Q86" s="19"/>
      <c r="R86" s="19"/>
      <c r="S86" s="19"/>
      <c r="T86" s="19"/>
      <c r="U86" s="19"/>
      <c r="V86" s="19"/>
      <c r="W86" s="19"/>
      <c r="X86" s="19"/>
      <c r="Y86" s="19"/>
    </row>
    <row r="87" spans="1:25" ht="12" customHeight="1">
      <c r="A87" s="222" t="n" cm="1">
        <f t="array" ref="A87">IFERROR(INDEX('03.Muestra'!$B$8:$B$42,SMALL(IF("Página Web"='03.Muestra'!$D$8:$D$42,ROW('03.Muestra'!$B$8:$B$42)-MIN(ROW('03.Muestra'!$D$8:$D$42))+1,""),ROW()-56)),"")</f>
        <v>1.0</v>
      </c>
      <c r="B87" s="221" t="str" cm="1">
        <f t="array" ref="B87">IFERROR(INDEX('03.Muestra'!$C$8:$C$42,SMALL(IF("Página Web"='03.Muestra'!$D$8:$D$42,ROW('03.Muestra'!$C$8:$C$42)-MIN(ROW('03.Muestra'!$D$8:$D$42))+1,""),ROW()-56)),"")</f>
        <v>Home - PortCastelló</v>
      </c>
      <c r="C87" s="221" t="str" cm="1">
        <f t="array" ref="C87">IFERROR(INDEX('03.Muestra'!$F$8:$F$42,SMALL(IF("Página Web"='03.Muestra'!$D$8:$D$42,ROW('03.Muestra'!$F$8:$F$42)-MIN(ROW('03.Muestra'!$D$8:$D$42))+1,""),ROW()-56)),"")</f>
        <v>https://www.portcastello.com/</v>
      </c>
      <c r="D87" s="130" t="str">
        <f t="shared" si="3"/>
        <v>N/T</v>
      </c>
      <c r="E87" s="107" t="str">
        <f t="shared" si="2"/>
        <v/>
      </c>
      <c r="G87" s="19"/>
      <c r="H87" s="19"/>
      <c r="I87" s="19"/>
      <c r="J87" s="19"/>
      <c r="K87" s="19"/>
      <c r="L87" s="19"/>
      <c r="M87" s="19"/>
      <c r="N87" s="19"/>
      <c r="O87" s="19"/>
      <c r="P87" s="19"/>
      <c r="Q87" s="19"/>
      <c r="R87" s="19"/>
      <c r="S87" s="19"/>
      <c r="T87" s="19"/>
      <c r="U87" s="19"/>
      <c r="V87" s="19"/>
      <c r="W87" s="19"/>
      <c r="X87" s="19"/>
      <c r="Y87" s="19"/>
    </row>
    <row r="88" spans="1:25" ht="12" customHeight="1">
      <c r="A88" s="222" t="n" cm="1">
        <f t="array" ref="A88">IFERROR(INDEX('03.Muestra'!$B$8:$B$42,SMALL(IF("Página Web"='03.Muestra'!$D$8:$D$42,ROW('03.Muestra'!$B$8:$B$42)-MIN(ROW('03.Muestra'!$D$8:$D$42))+1,""),ROW()-56)),"")</f>
        <v>1.0</v>
      </c>
      <c r="B88" s="221" t="str" cm="1">
        <f t="array" ref="B88">IFERROR(INDEX('03.Muestra'!$C$8:$C$42,SMALL(IF("Página Web"='03.Muestra'!$D$8:$D$42,ROW('03.Muestra'!$C$8:$C$42)-MIN(ROW('03.Muestra'!$D$8:$D$42))+1,""),ROW()-56)),"")</f>
        <v>Home - PortCastelló</v>
      </c>
      <c r="C88" s="221" t="str" cm="1">
        <f t="array" ref="C88">IFERROR(INDEX('03.Muestra'!$F$8:$F$42,SMALL(IF("Página Web"='03.Muestra'!$D$8:$D$42,ROW('03.Muestra'!$F$8:$F$42)-MIN(ROW('03.Muestra'!$D$8:$D$42))+1,""),ROW()-56)),"")</f>
        <v>https://www.portcastello.com/</v>
      </c>
      <c r="D88" s="130" t="str">
        <f t="shared" si="3"/>
        <v>N/T</v>
      </c>
      <c r="E88" s="107" t="str">
        <f t="shared" si="2"/>
        <v/>
      </c>
      <c r="G88" s="19"/>
      <c r="H88" s="19"/>
      <c r="I88" s="19"/>
      <c r="J88" s="19"/>
      <c r="K88" s="19"/>
      <c r="L88" s="19"/>
      <c r="M88" s="19"/>
      <c r="N88" s="19"/>
      <c r="O88" s="19"/>
      <c r="P88" s="19"/>
      <c r="Q88" s="19"/>
      <c r="R88" s="19"/>
      <c r="S88" s="19"/>
      <c r="T88" s="19"/>
      <c r="U88" s="19"/>
      <c r="V88" s="19"/>
      <c r="W88" s="19"/>
      <c r="X88" s="19"/>
      <c r="Y88" s="19"/>
    </row>
    <row r="89" spans="1:25" ht="12" customHeight="1">
      <c r="A89" s="222" t="n" cm="1">
        <f t="array" ref="A89">IFERROR(INDEX('03.Muestra'!$B$8:$B$42,SMALL(IF("Página Web"='03.Muestra'!$D$8:$D$42,ROW('03.Muestra'!$B$8:$B$42)-MIN(ROW('03.Muestra'!$D$8:$D$42))+1,""),ROW()-56)),"")</f>
        <v>1.0</v>
      </c>
      <c r="B89" s="221" t="str" cm="1">
        <f t="array" ref="B89">IFERROR(INDEX('03.Muestra'!$C$8:$C$42,SMALL(IF("Página Web"='03.Muestra'!$D$8:$D$42,ROW('03.Muestra'!$C$8:$C$42)-MIN(ROW('03.Muestra'!$D$8:$D$42))+1,""),ROW()-56)),"")</f>
        <v>Home - PortCastelló</v>
      </c>
      <c r="C89" s="221" t="str" cm="1">
        <f t="array" ref="C89">IFERROR(INDEX('03.Muestra'!$F$8:$F$42,SMALL(IF("Página Web"='03.Muestra'!$D$8:$D$42,ROW('03.Muestra'!$F$8:$F$42)-MIN(ROW('03.Muestra'!$D$8:$D$42))+1,""),ROW()-56)),"")</f>
        <v>https://www.portcastello.com/</v>
      </c>
      <c r="D89" s="130" t="str">
        <f t="shared" si="3"/>
        <v>N/T</v>
      </c>
      <c r="E89" s="107" t="str">
        <f t="shared" si="2"/>
        <v/>
      </c>
      <c r="G89" s="19"/>
      <c r="H89" s="19"/>
      <c r="I89" s="19"/>
      <c r="J89" s="19"/>
      <c r="K89" s="19"/>
      <c r="L89" s="19"/>
      <c r="M89" s="19"/>
      <c r="N89" s="19"/>
      <c r="O89" s="19"/>
      <c r="P89" s="19"/>
      <c r="Q89" s="19"/>
      <c r="R89" s="19"/>
      <c r="S89" s="19"/>
      <c r="T89" s="19"/>
      <c r="U89" s="19"/>
      <c r="V89" s="19"/>
      <c r="W89" s="19"/>
      <c r="X89" s="19"/>
      <c r="Y89" s="19"/>
    </row>
    <row r="90" spans="1:25" ht="12" customHeight="1">
      <c r="A90" s="222" t="str" cm="1">
        <f t="array" ref="A90">IFERROR(INDEX('03.Muestra'!$B$8:$B$42,SMALL(IF("Página Web"='03.Muestra'!$D$8:$D$42,ROW('03.Muestra'!$B$8:$B$42)-MIN(ROW('03.Muestra'!$D$8:$D$42))+1,""),ROW()-56)),"")</f>
        <v/>
      </c>
      <c r="B90" s="221" t="str" cm="1">
        <f t="array" ref="B90">IFERROR(INDEX('03.Muestra'!$C$8:$C$42,SMALL(IF("Página Web"='03.Muestra'!$D$8:$D$42,ROW('03.Muestra'!$C$8:$C$42)-MIN(ROW('03.Muestra'!$D$8:$D$42))+1,""),ROW()-56)),"")</f>
        <v/>
      </c>
      <c r="C90" s="221" t="str" cm="1">
        <f t="array" ref="C90">IFERROR(INDEX('03.Muestra'!$F$8:$F$42,SMALL(IF("Página Web"='03.Muestra'!$D$8:$D$42,ROW('03.Muestra'!$F$8:$F$42)-MIN(ROW('03.Muestra'!$D$8:$D$42))+1,""),ROW()-56)),"")</f>
        <v/>
      </c>
      <c r="D90" s="130" t="str">
        <f t="shared" si="3"/>
        <v/>
      </c>
      <c r="E90" s="107" t="str">
        <f t="shared" si="2"/>
        <v/>
      </c>
      <c r="F90" s="124"/>
      <c r="G90" s="19"/>
      <c r="H90" s="19"/>
      <c r="I90" s="19"/>
      <c r="J90" s="19"/>
      <c r="K90" s="19"/>
      <c r="L90" s="19"/>
      <c r="M90" s="19"/>
      <c r="N90" s="19"/>
      <c r="O90" s="19"/>
      <c r="P90" s="19"/>
      <c r="Q90" s="19"/>
      <c r="R90" s="19"/>
      <c r="S90" s="19"/>
      <c r="T90" s="19"/>
      <c r="U90" s="19"/>
      <c r="V90" s="19"/>
      <c r="W90" s="19"/>
      <c r="X90" s="19"/>
      <c r="Y90" s="19"/>
    </row>
    <row r="91" spans="1:25" ht="12" customHeight="1">
      <c r="A91" s="222" t="str" cm="1">
        <f t="array" ref="A91">IFERROR(INDEX('03.Muestra'!$B$8:$B$42,SMALL(IF("Página Web"='03.Muestra'!$D$8:$D$42,ROW('03.Muestra'!$B$8:$B$42)-MIN(ROW('03.Muestra'!$D$8:$D$42))+1,""),ROW()-56)),"")</f>
        <v/>
      </c>
      <c r="B91" s="221" t="str" cm="1">
        <f t="array" ref="B91">IFERROR(INDEX('03.Muestra'!$C$8:$C$42,SMALL(IF("Página Web"='03.Muestra'!$D$8:$D$42,ROW('03.Muestra'!$C$8:$C$42)-MIN(ROW('03.Muestra'!$D$8:$D$42))+1,""),ROW()-56)),"")</f>
        <v/>
      </c>
      <c r="C91" s="221" t="str" cm="1">
        <f t="array" ref="C91">IFERROR(INDEX('03.Muestra'!$F$8:$F$42,SMALL(IF("Página Web"='03.Muestra'!$D$8:$D$42,ROW('03.Muestra'!$F$8:$F$42)-MIN(ROW('03.Muestra'!$D$8:$D$42))+1,""),ROW()-56)),"")</f>
        <v/>
      </c>
      <c r="D91" s="130" t="str">
        <f t="shared" si="3"/>
        <v/>
      </c>
      <c r="E91" s="107" t="str">
        <f t="shared" si="2"/>
        <v/>
      </c>
      <c r="F91" s="19"/>
      <c r="G91" s="19"/>
      <c r="H91" s="19"/>
      <c r="I91" s="19"/>
      <c r="J91" s="19"/>
      <c r="K91" s="19"/>
      <c r="L91" s="19"/>
      <c r="M91" s="19"/>
      <c r="N91" s="19"/>
      <c r="O91" s="19"/>
      <c r="P91" s="19"/>
      <c r="Q91" s="19"/>
      <c r="R91" s="19"/>
      <c r="S91" s="19"/>
      <c r="T91" s="19"/>
      <c r="U91" s="19"/>
      <c r="V91" s="19"/>
      <c r="W91" s="19"/>
      <c r="X91" s="19"/>
      <c r="Y91" s="19"/>
    </row>
    <row r="92" spans="1:25" ht="12" customHeight="1">
      <c r="B92" s="19"/>
      <c r="C92" s="19"/>
      <c r="D92" s="107"/>
      <c r="E92" s="107"/>
      <c r="F92" s="19"/>
      <c r="G92" s="19"/>
      <c r="H92" s="19"/>
      <c r="I92" s="19"/>
      <c r="J92" s="19"/>
      <c r="K92" s="19"/>
      <c r="L92" s="19"/>
      <c r="M92" s="19"/>
      <c r="N92" s="19"/>
      <c r="O92" s="19"/>
      <c r="P92" s="19"/>
      <c r="Q92" s="19"/>
      <c r="R92" s="19"/>
      <c r="S92" s="19"/>
      <c r="T92" s="19"/>
      <c r="U92" s="19"/>
      <c r="V92" s="19"/>
      <c r="W92" s="19"/>
      <c r="X92" s="19"/>
      <c r="Y92" s="19"/>
    </row>
    <row r="93" spans="1:25" ht="12" customHeight="1">
      <c r="B93" s="19"/>
      <c r="C93" s="19"/>
      <c r="D93" s="107"/>
      <c r="E93" s="112"/>
      <c r="F93" s="19"/>
      <c r="G93" s="19"/>
      <c r="H93" s="19"/>
      <c r="I93" s="19"/>
      <c r="J93" s="19"/>
      <c r="K93" s="19"/>
      <c r="L93" s="19"/>
      <c r="M93" s="19"/>
      <c r="N93" s="19"/>
      <c r="O93" s="19"/>
      <c r="P93" s="19"/>
      <c r="Q93" s="19"/>
      <c r="R93" s="19"/>
      <c r="S93" s="19"/>
      <c r="T93" s="19"/>
      <c r="U93" s="19"/>
      <c r="V93" s="19"/>
      <c r="W93" s="19"/>
      <c r="X93" s="19"/>
      <c r="Y93" s="19"/>
    </row>
    <row r="94" spans="1:25" ht="32.25" customHeight="1">
      <c r="A94" s="218" t="s">
        <v>268</v>
      </c>
      <c r="B94" s="24" t="s">
        <v>90</v>
      </c>
      <c r="C94" s="25" t="s">
        <v>250</v>
      </c>
      <c r="D94" s="26" t="s">
        <v>32</v>
      </c>
      <c r="E94" s="123"/>
      <c r="K94" s="19"/>
      <c r="L94" s="19"/>
      <c r="M94" s="19"/>
      <c r="N94" s="19"/>
      <c r="O94" s="19"/>
      <c r="P94" s="19"/>
      <c r="Q94" s="19"/>
      <c r="R94" s="19"/>
      <c r="S94" s="19"/>
      <c r="T94" s="19"/>
      <c r="U94" s="19"/>
      <c r="V94" s="19"/>
      <c r="W94" s="19"/>
      <c r="X94" s="19"/>
      <c r="Y94" s="19"/>
    </row>
    <row r="95" spans="1:25" ht="12" customHeight="1">
      <c r="A95" s="222" t="n" cm="1">
        <f t="array" ref="A95">IFERROR(INDEX('03.Muestra'!$B$8:$B$42,SMALL(IF("Página Web"='03.Muestra'!$D$8:$D$42,ROW('03.Muestra'!$B$8:$B$42)-MIN(ROW('03.Muestra'!$D$8:$D$42))+1,""),ROW()-94)),"")</f>
        <v>1.0</v>
      </c>
      <c r="B95" s="221" t="str" cm="1">
        <f t="array" ref="B95">IFERROR(INDEX('03.Muestra'!$C$8:$C$42,SMALL(IF("Página Web"='03.Muestra'!$D$8:$D$42,ROW('03.Muestra'!$C$8:$C$42)-MIN(ROW('03.Muestra'!$D$8:$D$42))+1,""),ROW()-94)),"")</f>
        <v>Home - PortCastelló</v>
      </c>
      <c r="C95" s="221" t="str" cm="1">
        <f t="array" ref="C95">IFERROR(INDEX('03.Muestra'!$F$8:$F$42,SMALL(IF("Página Web"='03.Muestra'!$D$8:$D$42,ROW('03.Muestra'!$F$8:$F$42)-MIN(ROW('03.Muestra'!$D$8:$D$42))+1,""),ROW()-94)),"")</f>
        <v>https://www.portcastello.com/</v>
      </c>
      <c r="D95" s="130" t="str">
        <f>IF(AND(B95&lt;&gt;"",C95&lt;&gt;""),"N/T","")</f>
        <v>N/T</v>
      </c>
      <c r="E95" s="107" t="str">
        <f t="shared" ref="E95:E129" si="4">IF(D95&lt;&gt;"",IF(AND(B95&lt;&gt;"",C95&lt;&gt;""),"","ERR"),"")</f>
        <v/>
      </c>
      <c r="F95" s="115" t="s">
        <v>33</v>
      </c>
      <c r="G95" s="116" t="s">
        <v>37</v>
      </c>
      <c r="H95" s="117" t="s">
        <v>35</v>
      </c>
      <c r="I95" s="118" t="s">
        <v>28</v>
      </c>
      <c r="J95" s="119" t="s">
        <v>26</v>
      </c>
      <c r="K95" s="19"/>
      <c r="L95" s="19"/>
      <c r="M95" s="19"/>
      <c r="N95" s="19"/>
      <c r="O95" s="19"/>
      <c r="P95" s="19"/>
      <c r="Q95" s="19"/>
      <c r="R95" s="19"/>
      <c r="S95" s="19"/>
      <c r="T95" s="19"/>
      <c r="U95" s="19"/>
      <c r="V95" s="19"/>
      <c r="W95" s="19"/>
      <c r="X95" s="19"/>
      <c r="Y95" s="19"/>
    </row>
    <row r="96" spans="1:25" ht="12" customHeight="1">
      <c r="A96" s="222" t="n" cm="1">
        <f t="array" ref="A96">IFERROR(INDEX('03.Muestra'!$B$8:$B$42,SMALL(IF("Página Web"='03.Muestra'!$D$8:$D$42,ROW('03.Muestra'!$B$8:$B$42)-MIN(ROW('03.Muestra'!$D$8:$D$42))+1,""),ROW()-94)),"")</f>
        <v>1.0</v>
      </c>
      <c r="B96" s="221" t="str" cm="1">
        <f t="array" ref="B96">IFERROR(INDEX('03.Muestra'!$C$8:$C$42,SMALL(IF("Página Web"='03.Muestra'!$D$8:$D$42,ROW('03.Muestra'!$C$8:$C$42)-MIN(ROW('03.Muestra'!$D$8:$D$42))+1,""),ROW()-94)),"")</f>
        <v>Home - PortCastelló</v>
      </c>
      <c r="C96" s="221" t="str" cm="1">
        <f t="array" ref="C96">IFERROR(INDEX('03.Muestra'!$F$8:$F$42,SMALL(IF("Página Web"='03.Muestra'!$D$8:$D$42,ROW('03.Muestra'!$F$8:$F$42)-MIN(ROW('03.Muestra'!$D$8:$D$42))+1,""),ROW()-94)),"")</f>
        <v>https://www.portcastello.com/</v>
      </c>
      <c r="D96" s="130" t="str">
        <f t="shared" ref="D96:D129" si="5">IF(AND(B96&lt;&gt;"",C96&lt;&gt;""),"N/T","")</f>
        <v>N/T</v>
      </c>
      <c r="E96" s="107" t="str">
        <f t="shared" si="4"/>
        <v/>
      </c>
      <c r="F96" s="120" t="n">
        <f ca="1">COUNTIF($D95:INDIRECT("$D" &amp;  SUM(ROW()-1,'03.Muestra'!$D$45)-1),F95)</f>
        <v>33.0</v>
      </c>
      <c r="G96" s="120" t="n">
        <f ca="1">COUNTIF($D95:INDIRECT("$D" &amp;  SUM(ROW()-1,'03.Muestra'!$D$45)-1),G95)</f>
        <v>0.0</v>
      </c>
      <c r="H96" s="120" t="n">
        <f ca="1">COUNTIF($D95:INDIRECT("$D" &amp;  SUM(ROW()-1,'03.Muestra'!$D$45)-1),H95)</f>
        <v>0.0</v>
      </c>
      <c r="I96" s="120" t="n">
        <f ca="1">COUNTIF($D95:INDIRECT("$D" &amp;  SUM(ROW()-1,'03.Muestra'!$D$45)-1),I95)</f>
        <v>0.0</v>
      </c>
      <c r="J96" s="120" t="n">
        <f ca="1">COUNTIF($D95:INDIRECT("$D" &amp;  SUM(ROW()-1,'03.Muestra'!$D$45)-1),J95)</f>
        <v>0.0</v>
      </c>
      <c r="K96" s="225" t="n">
        <f ca="1">IF(COUNTIF('03.Muestra'!$D$8:$D$42,"Página Web")=0,0,COUNTBLANK($D95:INDIRECT("$D" &amp;  SUM(ROW()-1,COUNTIF('03.Muestra'!$D$8:$D$42,"Página Web"))-1)))</f>
        <v>0.0</v>
      </c>
      <c r="L96" s="19"/>
      <c r="M96" s="19"/>
      <c r="N96" s="19"/>
      <c r="O96" s="19"/>
      <c r="P96" s="19"/>
      <c r="Q96" s="19"/>
      <c r="R96" s="19"/>
      <c r="S96" s="19"/>
      <c r="T96" s="19"/>
      <c r="U96" s="19"/>
      <c r="V96" s="19"/>
      <c r="W96" s="19"/>
      <c r="X96" s="19"/>
      <c r="Y96" s="19"/>
    </row>
    <row r="97" spans="1:25" ht="12" customHeight="1">
      <c r="A97" s="222" t="n" cm="1">
        <f t="array" ref="A97">IFERROR(INDEX('03.Muestra'!$B$8:$B$42,SMALL(IF("Página Web"='03.Muestra'!$D$8:$D$42,ROW('03.Muestra'!$B$8:$B$42)-MIN(ROW('03.Muestra'!$D$8:$D$42))+1,""),ROW()-94)),"")</f>
        <v>1.0</v>
      </c>
      <c r="B97" s="221" t="str" cm="1">
        <f t="array" ref="B97">IFERROR(INDEX('03.Muestra'!$C$8:$C$42,SMALL(IF("Página Web"='03.Muestra'!$D$8:$D$42,ROW('03.Muestra'!$C$8:$C$42)-MIN(ROW('03.Muestra'!$D$8:$D$42))+1,""),ROW()-94)),"")</f>
        <v>Home - PortCastelló</v>
      </c>
      <c r="C97" s="221" t="str" cm="1">
        <f t="array" ref="C97">IFERROR(INDEX('03.Muestra'!$F$8:$F$42,SMALL(IF("Página Web"='03.Muestra'!$D$8:$D$42,ROW('03.Muestra'!$F$8:$F$42)-MIN(ROW('03.Muestra'!$D$8:$D$42))+1,""),ROW()-94)),"")</f>
        <v>https://www.portcastello.com/</v>
      </c>
      <c r="D97" s="130" t="str">
        <f t="shared" si="5"/>
        <v>N/T</v>
      </c>
      <c r="E97" s="107" t="str">
        <f t="shared" si="4"/>
        <v/>
      </c>
      <c r="G97" s="19"/>
      <c r="H97" s="19"/>
      <c r="I97" s="19"/>
      <c r="J97" s="19"/>
      <c r="K97" s="19"/>
      <c r="L97" s="19"/>
      <c r="M97" s="19"/>
      <c r="N97" s="19"/>
      <c r="O97" s="19"/>
      <c r="P97" s="19"/>
      <c r="Q97" s="19"/>
      <c r="R97" s="19"/>
      <c r="S97" s="19"/>
      <c r="T97" s="19"/>
      <c r="U97" s="19"/>
      <c r="V97" s="19"/>
      <c r="W97" s="19"/>
      <c r="X97" s="19"/>
      <c r="Y97" s="19"/>
    </row>
    <row r="98" spans="1:25" ht="12" customHeight="1">
      <c r="A98" s="222" t="n" cm="1">
        <f t="array" ref="A98">IFERROR(INDEX('03.Muestra'!$B$8:$B$42,SMALL(IF("Página Web"='03.Muestra'!$D$8:$D$42,ROW('03.Muestra'!$B$8:$B$42)-MIN(ROW('03.Muestra'!$D$8:$D$42))+1,""),ROW()-94)),"")</f>
        <v>1.0</v>
      </c>
      <c r="B98" s="221" t="str" cm="1">
        <f t="array" ref="B98">IFERROR(INDEX('03.Muestra'!$C$8:$C$42,SMALL(IF("Página Web"='03.Muestra'!$D$8:$D$42,ROW('03.Muestra'!$C$8:$C$42)-MIN(ROW('03.Muestra'!$D$8:$D$42))+1,""),ROW()-94)),"")</f>
        <v>Home - PortCastelló</v>
      </c>
      <c r="C98" s="221" t="str" cm="1">
        <f t="array" ref="C98">IFERROR(INDEX('03.Muestra'!$F$8:$F$42,SMALL(IF("Página Web"='03.Muestra'!$D$8:$D$42,ROW('03.Muestra'!$F$8:$F$42)-MIN(ROW('03.Muestra'!$D$8:$D$42))+1,""),ROW()-94)),"")</f>
        <v>https://www.portcastello.com/</v>
      </c>
      <c r="D98" s="130" t="str">
        <f t="shared" si="5"/>
        <v>N/T</v>
      </c>
      <c r="E98" s="107" t="str">
        <f t="shared" si="4"/>
        <v/>
      </c>
      <c r="G98" s="19"/>
      <c r="H98" s="19"/>
      <c r="I98" s="19"/>
      <c r="J98" s="19"/>
      <c r="K98" s="19"/>
      <c r="L98" s="19"/>
      <c r="M98" s="19"/>
      <c r="N98" s="19"/>
      <c r="O98" s="19"/>
      <c r="P98" s="19"/>
      <c r="Q98" s="19"/>
      <c r="R98" s="19"/>
      <c r="S98" s="19"/>
      <c r="T98" s="19"/>
      <c r="U98" s="19"/>
      <c r="V98" s="19"/>
      <c r="W98" s="19"/>
      <c r="X98" s="19"/>
      <c r="Y98" s="19"/>
    </row>
    <row r="99" spans="1:25" ht="12" customHeight="1">
      <c r="A99" s="222" t="n" cm="1">
        <f t="array" ref="A99">IFERROR(INDEX('03.Muestra'!$B$8:$B$42,SMALL(IF("Página Web"='03.Muestra'!$D$8:$D$42,ROW('03.Muestra'!$B$8:$B$42)-MIN(ROW('03.Muestra'!$D$8:$D$42))+1,""),ROW()-94)),"")</f>
        <v>1.0</v>
      </c>
      <c r="B99" s="221" t="str" cm="1">
        <f t="array" ref="B99">IFERROR(INDEX('03.Muestra'!$C$8:$C$42,SMALL(IF("Página Web"='03.Muestra'!$D$8:$D$42,ROW('03.Muestra'!$C$8:$C$42)-MIN(ROW('03.Muestra'!$D$8:$D$42))+1,""),ROW()-94)),"")</f>
        <v>Home - PortCastelló</v>
      </c>
      <c r="C99" s="221" t="str" cm="1">
        <f t="array" ref="C99">IFERROR(INDEX('03.Muestra'!$F$8:$F$42,SMALL(IF("Página Web"='03.Muestra'!$D$8:$D$42,ROW('03.Muestra'!$F$8:$F$42)-MIN(ROW('03.Muestra'!$D$8:$D$42))+1,""),ROW()-94)),"")</f>
        <v>https://www.portcastello.com/</v>
      </c>
      <c r="D99" s="130" t="str">
        <f t="shared" si="5"/>
        <v>N/T</v>
      </c>
      <c r="E99" s="107" t="str">
        <f t="shared" si="4"/>
        <v/>
      </c>
      <c r="G99" s="19"/>
      <c r="H99" s="19"/>
      <c r="I99" s="19"/>
      <c r="J99" s="19"/>
      <c r="K99" s="19"/>
      <c r="L99" s="19"/>
      <c r="M99" s="19"/>
      <c r="N99" s="19"/>
      <c r="O99" s="19"/>
      <c r="P99" s="19"/>
      <c r="Q99" s="19"/>
      <c r="R99" s="19"/>
      <c r="S99" s="19"/>
      <c r="T99" s="19"/>
      <c r="U99" s="19"/>
      <c r="V99" s="19"/>
      <c r="W99" s="19"/>
      <c r="X99" s="19"/>
      <c r="Y99" s="19"/>
    </row>
    <row r="100" spans="1:25" ht="12" customHeight="1">
      <c r="A100" s="222" t="n" cm="1">
        <f t="array" ref="A100">IFERROR(INDEX('03.Muestra'!$B$8:$B$42,SMALL(IF("Página Web"='03.Muestra'!$D$8:$D$42,ROW('03.Muestra'!$B$8:$B$42)-MIN(ROW('03.Muestra'!$D$8:$D$42))+1,""),ROW()-94)),"")</f>
        <v>1.0</v>
      </c>
      <c r="B100" s="221" t="str" cm="1">
        <f t="array" ref="B100">IFERROR(INDEX('03.Muestra'!$C$8:$C$42,SMALL(IF("Página Web"='03.Muestra'!$D$8:$D$42,ROW('03.Muestra'!$C$8:$C$42)-MIN(ROW('03.Muestra'!$D$8:$D$42))+1,""),ROW()-94)),"")</f>
        <v>Home - PortCastelló</v>
      </c>
      <c r="C100" s="221" t="str" cm="1">
        <f t="array" ref="C100">IFERROR(INDEX('03.Muestra'!$F$8:$F$42,SMALL(IF("Página Web"='03.Muestra'!$D$8:$D$42,ROW('03.Muestra'!$F$8:$F$42)-MIN(ROW('03.Muestra'!$D$8:$D$42))+1,""),ROW()-94)),"")</f>
        <v>https://www.portcastello.com/</v>
      </c>
      <c r="D100" s="130" t="str">
        <f t="shared" si="5"/>
        <v>N/T</v>
      </c>
      <c r="E100" s="107" t="str">
        <f t="shared" si="4"/>
        <v/>
      </c>
      <c r="G100" s="19"/>
      <c r="H100" s="19"/>
      <c r="I100" s="19"/>
      <c r="J100" s="19"/>
      <c r="K100" s="19"/>
      <c r="L100" s="19"/>
      <c r="M100" s="19"/>
      <c r="N100" s="19"/>
      <c r="O100" s="19"/>
      <c r="P100" s="19"/>
      <c r="Q100" s="19"/>
      <c r="R100" s="19"/>
      <c r="S100" s="19"/>
      <c r="T100" s="19"/>
      <c r="U100" s="19"/>
      <c r="V100" s="19"/>
      <c r="W100" s="19"/>
      <c r="X100" s="19"/>
      <c r="Y100" s="19"/>
    </row>
    <row r="101" spans="1:25" ht="12" customHeight="1">
      <c r="A101" s="222" t="n" cm="1">
        <f t="array" ref="A101">IFERROR(INDEX('03.Muestra'!$B$8:$B$42,SMALL(IF("Página Web"='03.Muestra'!$D$8:$D$42,ROW('03.Muestra'!$B$8:$B$42)-MIN(ROW('03.Muestra'!$D$8:$D$42))+1,""),ROW()-94)),"")</f>
        <v>1.0</v>
      </c>
      <c r="B101" s="221" t="str" cm="1">
        <f t="array" ref="B101">IFERROR(INDEX('03.Muestra'!$C$8:$C$42,SMALL(IF("Página Web"='03.Muestra'!$D$8:$D$42,ROW('03.Muestra'!$C$8:$C$42)-MIN(ROW('03.Muestra'!$D$8:$D$42))+1,""),ROW()-94)),"")</f>
        <v>Home - PortCastelló</v>
      </c>
      <c r="C101" s="221" t="str" cm="1">
        <f t="array" ref="C101">IFERROR(INDEX('03.Muestra'!$F$8:$F$42,SMALL(IF("Página Web"='03.Muestra'!$D$8:$D$42,ROW('03.Muestra'!$F$8:$F$42)-MIN(ROW('03.Muestra'!$D$8:$D$42))+1,""),ROW()-94)),"")</f>
        <v>https://www.portcastello.com/</v>
      </c>
      <c r="D101" s="130" t="str">
        <f t="shared" si="5"/>
        <v>N/T</v>
      </c>
      <c r="E101" s="107" t="str">
        <f t="shared" si="4"/>
        <v/>
      </c>
      <c r="F101" s="19"/>
      <c r="G101" s="19"/>
      <c r="H101" s="19"/>
      <c r="I101" s="19"/>
      <c r="J101" s="19"/>
      <c r="K101" s="19"/>
      <c r="L101" s="19"/>
      <c r="M101" s="19"/>
      <c r="N101" s="19"/>
      <c r="O101" s="19"/>
      <c r="P101" s="19"/>
      <c r="Q101" s="19"/>
      <c r="R101" s="19"/>
      <c r="S101" s="19"/>
      <c r="T101" s="19"/>
      <c r="U101" s="19"/>
      <c r="V101" s="19"/>
      <c r="W101" s="19"/>
      <c r="X101" s="19"/>
      <c r="Y101" s="19"/>
    </row>
    <row r="102" spans="1:25" ht="12" customHeight="1">
      <c r="A102" s="222" t="n" cm="1">
        <f t="array" ref="A102">IFERROR(INDEX('03.Muestra'!$B$8:$B$42,SMALL(IF("Página Web"='03.Muestra'!$D$8:$D$42,ROW('03.Muestra'!$B$8:$B$42)-MIN(ROW('03.Muestra'!$D$8:$D$42))+1,""),ROW()-94)),"")</f>
        <v>1.0</v>
      </c>
      <c r="B102" s="221" t="str" cm="1">
        <f t="array" ref="B102">IFERROR(INDEX('03.Muestra'!$C$8:$C$42,SMALL(IF("Página Web"='03.Muestra'!$D$8:$D$42,ROW('03.Muestra'!$C$8:$C$42)-MIN(ROW('03.Muestra'!$D$8:$D$42))+1,""),ROW()-94)),"")</f>
        <v>Home - PortCastelló</v>
      </c>
      <c r="C102" s="221" t="str" cm="1">
        <f t="array" ref="C102">IFERROR(INDEX('03.Muestra'!$F$8:$F$42,SMALL(IF("Página Web"='03.Muestra'!$D$8:$D$42,ROW('03.Muestra'!$F$8:$F$42)-MIN(ROW('03.Muestra'!$D$8:$D$42))+1,""),ROW()-94)),"")</f>
        <v>https://www.portcastello.com/</v>
      </c>
      <c r="D102" s="130" t="str">
        <f t="shared" si="5"/>
        <v>N/T</v>
      </c>
      <c r="E102" s="107" t="str">
        <f t="shared" si="4"/>
        <v/>
      </c>
      <c r="F102" s="19"/>
      <c r="G102" s="19"/>
      <c r="H102" s="19"/>
      <c r="I102" s="19"/>
      <c r="J102" s="19"/>
      <c r="K102" s="19"/>
      <c r="L102" s="19"/>
      <c r="M102" s="19"/>
      <c r="N102" s="19"/>
      <c r="O102" s="19"/>
      <c r="P102" s="19"/>
      <c r="Q102" s="19"/>
      <c r="R102" s="19"/>
      <c r="S102" s="19"/>
      <c r="T102" s="19"/>
      <c r="U102" s="19"/>
      <c r="V102" s="19"/>
      <c r="W102" s="19"/>
      <c r="X102" s="19"/>
      <c r="Y102" s="19"/>
    </row>
    <row r="103" spans="1:25" ht="12" customHeight="1">
      <c r="A103" s="222" t="n" cm="1">
        <f t="array" ref="A103">IFERROR(INDEX('03.Muestra'!$B$8:$B$42,SMALL(IF("Página Web"='03.Muestra'!$D$8:$D$42,ROW('03.Muestra'!$B$8:$B$42)-MIN(ROW('03.Muestra'!$D$8:$D$42))+1,""),ROW()-94)),"")</f>
        <v>1.0</v>
      </c>
      <c r="B103" s="221" t="str" cm="1">
        <f t="array" ref="B103">IFERROR(INDEX('03.Muestra'!$C$8:$C$42,SMALL(IF("Página Web"='03.Muestra'!$D$8:$D$42,ROW('03.Muestra'!$C$8:$C$42)-MIN(ROW('03.Muestra'!$D$8:$D$42))+1,""),ROW()-94)),"")</f>
        <v>Home - PortCastelló</v>
      </c>
      <c r="C103" s="221" t="str" cm="1">
        <f t="array" ref="C103">IFERROR(INDEX('03.Muestra'!$F$8:$F$42,SMALL(IF("Página Web"='03.Muestra'!$D$8:$D$42,ROW('03.Muestra'!$F$8:$F$42)-MIN(ROW('03.Muestra'!$D$8:$D$42))+1,""),ROW()-94)),"")</f>
        <v>https://www.portcastello.com/</v>
      </c>
      <c r="D103" s="130" t="str">
        <f t="shared" si="5"/>
        <v>N/T</v>
      </c>
      <c r="E103" s="107" t="str">
        <f t="shared" si="4"/>
        <v/>
      </c>
      <c r="F103" s="19"/>
      <c r="G103" s="19"/>
      <c r="H103" s="19"/>
      <c r="I103" s="19"/>
      <c r="J103" s="19"/>
      <c r="K103" s="19"/>
      <c r="L103" s="19"/>
      <c r="M103" s="19"/>
      <c r="N103" s="19"/>
      <c r="O103" s="19"/>
      <c r="P103" s="19"/>
      <c r="Q103" s="19"/>
      <c r="R103" s="19"/>
      <c r="S103" s="19"/>
      <c r="T103" s="19"/>
      <c r="U103" s="19"/>
      <c r="V103" s="19"/>
      <c r="W103" s="19"/>
      <c r="X103" s="19"/>
      <c r="Y103" s="19"/>
    </row>
    <row r="104" spans="1:25" ht="12" customHeight="1">
      <c r="A104" s="222" t="n" cm="1">
        <f t="array" ref="A104">IFERROR(INDEX('03.Muestra'!$B$8:$B$42,SMALL(IF("Página Web"='03.Muestra'!$D$8:$D$42,ROW('03.Muestra'!$B$8:$B$42)-MIN(ROW('03.Muestra'!$D$8:$D$42))+1,""),ROW()-94)),"")</f>
        <v>1.0</v>
      </c>
      <c r="B104" s="221" t="str" cm="1">
        <f t="array" ref="B104">IFERROR(INDEX('03.Muestra'!$C$8:$C$42,SMALL(IF("Página Web"='03.Muestra'!$D$8:$D$42,ROW('03.Muestra'!$C$8:$C$42)-MIN(ROW('03.Muestra'!$D$8:$D$42))+1,""),ROW()-94)),"")</f>
        <v>Home - PortCastelló</v>
      </c>
      <c r="C104" s="221" t="str" cm="1">
        <f t="array" ref="C104">IFERROR(INDEX('03.Muestra'!$F$8:$F$42,SMALL(IF("Página Web"='03.Muestra'!$D$8:$D$42,ROW('03.Muestra'!$F$8:$F$42)-MIN(ROW('03.Muestra'!$D$8:$D$42))+1,""),ROW()-94)),"")</f>
        <v>https://www.portcastello.com/</v>
      </c>
      <c r="D104" s="130" t="str">
        <f t="shared" si="5"/>
        <v>N/T</v>
      </c>
      <c r="E104" s="107" t="str">
        <f t="shared" si="4"/>
        <v/>
      </c>
      <c r="F104" s="19"/>
      <c r="G104" s="19"/>
      <c r="H104" s="19"/>
      <c r="I104" s="19"/>
      <c r="J104" s="19"/>
      <c r="K104" s="19"/>
      <c r="L104" s="19"/>
      <c r="M104" s="19"/>
      <c r="N104" s="19"/>
      <c r="O104" s="19"/>
      <c r="P104" s="19"/>
      <c r="Q104" s="19"/>
      <c r="R104" s="19"/>
      <c r="S104" s="19"/>
      <c r="T104" s="19"/>
      <c r="U104" s="19"/>
      <c r="V104" s="19"/>
      <c r="W104" s="19"/>
      <c r="X104" s="19"/>
      <c r="Y104" s="19"/>
    </row>
    <row r="105" spans="1:25" ht="12" customHeight="1">
      <c r="A105" s="222" t="n" cm="1">
        <f t="array" ref="A105">IFERROR(INDEX('03.Muestra'!$B$8:$B$42,SMALL(IF("Página Web"='03.Muestra'!$D$8:$D$42,ROW('03.Muestra'!$B$8:$B$42)-MIN(ROW('03.Muestra'!$D$8:$D$42))+1,""),ROW()-94)),"")</f>
        <v>1.0</v>
      </c>
      <c r="B105" s="221" t="str" cm="1">
        <f t="array" ref="B105">IFERROR(INDEX('03.Muestra'!$C$8:$C$42,SMALL(IF("Página Web"='03.Muestra'!$D$8:$D$42,ROW('03.Muestra'!$C$8:$C$42)-MIN(ROW('03.Muestra'!$D$8:$D$42))+1,""),ROW()-94)),"")</f>
        <v>Home - PortCastelló</v>
      </c>
      <c r="C105" s="221" t="str" cm="1">
        <f t="array" ref="C105">IFERROR(INDEX('03.Muestra'!$F$8:$F$42,SMALL(IF("Página Web"='03.Muestra'!$D$8:$D$42,ROW('03.Muestra'!$F$8:$F$42)-MIN(ROW('03.Muestra'!$D$8:$D$42))+1,""),ROW()-94)),"")</f>
        <v>https://www.portcastello.com/</v>
      </c>
      <c r="D105" s="130" t="str">
        <f t="shared" si="5"/>
        <v>N/T</v>
      </c>
      <c r="E105" s="107" t="str">
        <f t="shared" si="4"/>
        <v/>
      </c>
      <c r="F105" s="19"/>
      <c r="G105" s="19"/>
      <c r="H105" s="19"/>
      <c r="I105" s="19"/>
      <c r="J105" s="19"/>
      <c r="K105" s="19"/>
      <c r="L105" s="19"/>
      <c r="M105" s="19"/>
      <c r="N105" s="19"/>
      <c r="O105" s="19"/>
      <c r="P105" s="19"/>
      <c r="Q105" s="19"/>
      <c r="R105" s="19"/>
      <c r="S105" s="19"/>
      <c r="T105" s="19"/>
      <c r="U105" s="19"/>
      <c r="V105" s="19"/>
      <c r="W105" s="19"/>
      <c r="X105" s="19"/>
      <c r="Y105" s="19"/>
    </row>
    <row r="106" spans="1:25" ht="12" customHeight="1">
      <c r="A106" s="222" t="n" cm="1">
        <f t="array" ref="A106">IFERROR(INDEX('03.Muestra'!$B$8:$B$42,SMALL(IF("Página Web"='03.Muestra'!$D$8:$D$42,ROW('03.Muestra'!$B$8:$B$42)-MIN(ROW('03.Muestra'!$D$8:$D$42))+1,""),ROW()-94)),"")</f>
        <v>1.0</v>
      </c>
      <c r="B106" s="221" t="str" cm="1">
        <f t="array" ref="B106">IFERROR(INDEX('03.Muestra'!$C$8:$C$42,SMALL(IF("Página Web"='03.Muestra'!$D$8:$D$42,ROW('03.Muestra'!$C$8:$C$42)-MIN(ROW('03.Muestra'!$D$8:$D$42))+1,""),ROW()-94)),"")</f>
        <v>Home - PortCastelló</v>
      </c>
      <c r="C106" s="221" t="str" cm="1">
        <f t="array" ref="C106">IFERROR(INDEX('03.Muestra'!$F$8:$F$42,SMALL(IF("Página Web"='03.Muestra'!$D$8:$D$42,ROW('03.Muestra'!$F$8:$F$42)-MIN(ROW('03.Muestra'!$D$8:$D$42))+1,""),ROW()-94)),"")</f>
        <v>https://www.portcastello.com/</v>
      </c>
      <c r="D106" s="130" t="str">
        <f t="shared" si="5"/>
        <v>N/T</v>
      </c>
      <c r="E106" s="107" t="str">
        <f t="shared" si="4"/>
        <v/>
      </c>
      <c r="F106" s="19"/>
      <c r="G106" s="19"/>
      <c r="H106" s="19"/>
      <c r="I106" s="19"/>
      <c r="J106" s="19"/>
      <c r="K106" s="19"/>
      <c r="L106" s="19"/>
      <c r="M106" s="19"/>
      <c r="N106" s="19"/>
      <c r="O106" s="19"/>
      <c r="P106" s="19"/>
      <c r="Q106" s="19"/>
      <c r="R106" s="19"/>
      <c r="S106" s="19"/>
      <c r="T106" s="19"/>
      <c r="U106" s="19"/>
      <c r="V106" s="19"/>
      <c r="W106" s="19"/>
      <c r="X106" s="19"/>
      <c r="Y106" s="19"/>
    </row>
    <row r="107" spans="1:25" ht="14.1" customHeight="1">
      <c r="A107" s="222" t="n" cm="1">
        <f t="array" ref="A107">IFERROR(INDEX('03.Muestra'!$B$8:$B$42,SMALL(IF("Página Web"='03.Muestra'!$D$8:$D$42,ROW('03.Muestra'!$B$8:$B$42)-MIN(ROW('03.Muestra'!$D$8:$D$42))+1,""),ROW()-94)),"")</f>
        <v>1.0</v>
      </c>
      <c r="B107" s="221" t="str" cm="1">
        <f t="array" ref="B107">IFERROR(INDEX('03.Muestra'!$C$8:$C$42,SMALL(IF("Página Web"='03.Muestra'!$D$8:$D$42,ROW('03.Muestra'!$C$8:$C$42)-MIN(ROW('03.Muestra'!$D$8:$D$42))+1,""),ROW()-94)),"")</f>
        <v>Home - PortCastelló</v>
      </c>
      <c r="C107" s="221" t="str" cm="1">
        <f t="array" ref="C107">IFERROR(INDEX('03.Muestra'!$F$8:$F$42,SMALL(IF("Página Web"='03.Muestra'!$D$8:$D$42,ROW('03.Muestra'!$F$8:$F$42)-MIN(ROW('03.Muestra'!$D$8:$D$42))+1,""),ROW()-94)),"")</f>
        <v>https://www.portcastello.com/</v>
      </c>
      <c r="D107" s="130" t="str">
        <f t="shared" si="5"/>
        <v>N/T</v>
      </c>
      <c r="E107" s="107" t="str">
        <f t="shared" si="4"/>
        <v/>
      </c>
      <c r="F107" s="19"/>
      <c r="G107" s="19"/>
      <c r="H107" s="19"/>
      <c r="I107" s="19"/>
      <c r="J107" s="19"/>
      <c r="K107" s="19"/>
      <c r="L107" s="19"/>
      <c r="M107" s="19"/>
      <c r="N107" s="19"/>
      <c r="O107" s="19"/>
      <c r="P107" s="19"/>
      <c r="Q107" s="19"/>
      <c r="R107" s="19"/>
      <c r="S107" s="19"/>
      <c r="T107" s="19"/>
      <c r="U107" s="19"/>
      <c r="V107" s="19"/>
      <c r="W107" s="19"/>
      <c r="X107" s="19"/>
      <c r="Y107" s="19"/>
    </row>
    <row r="108" spans="1:25" ht="14.1" customHeight="1">
      <c r="A108" s="222" t="n" cm="1">
        <f t="array" ref="A108">IFERROR(INDEX('03.Muestra'!$B$8:$B$42,SMALL(IF("Página Web"='03.Muestra'!$D$8:$D$42,ROW('03.Muestra'!$B$8:$B$42)-MIN(ROW('03.Muestra'!$D$8:$D$42))+1,""),ROW()-94)),"")</f>
        <v>1.0</v>
      </c>
      <c r="B108" s="221" t="str" cm="1">
        <f t="array" ref="B108">IFERROR(INDEX('03.Muestra'!$C$8:$C$42,SMALL(IF("Página Web"='03.Muestra'!$D$8:$D$42,ROW('03.Muestra'!$C$8:$C$42)-MIN(ROW('03.Muestra'!$D$8:$D$42))+1,""),ROW()-94)),"")</f>
        <v>Home - PortCastelló</v>
      </c>
      <c r="C108" s="221" t="str" cm="1">
        <f t="array" ref="C108">IFERROR(INDEX('03.Muestra'!$F$8:$F$42,SMALL(IF("Página Web"='03.Muestra'!$D$8:$D$42,ROW('03.Muestra'!$F$8:$F$42)-MIN(ROW('03.Muestra'!$D$8:$D$42))+1,""),ROW()-94)),"")</f>
        <v>https://www.portcastello.com/</v>
      </c>
      <c r="D108" s="130" t="str">
        <f t="shared" si="5"/>
        <v>N/T</v>
      </c>
      <c r="E108" s="107" t="str">
        <f t="shared" si="4"/>
        <v/>
      </c>
      <c r="F108" s="19"/>
      <c r="G108" s="19"/>
      <c r="H108" s="19"/>
      <c r="I108" s="19"/>
      <c r="J108" s="19"/>
      <c r="K108" s="19"/>
      <c r="L108" s="19"/>
      <c r="M108" s="19"/>
      <c r="N108" s="19"/>
      <c r="O108" s="19"/>
      <c r="P108" s="19"/>
      <c r="Q108" s="19"/>
      <c r="R108" s="19"/>
      <c r="S108" s="19"/>
      <c r="T108" s="19"/>
      <c r="U108" s="19"/>
      <c r="V108" s="19"/>
      <c r="W108" s="19"/>
      <c r="X108" s="19"/>
      <c r="Y108" s="19"/>
    </row>
    <row r="109" spans="1:25" ht="14.1" customHeight="1">
      <c r="A109" s="222" t="n" cm="1">
        <f t="array" ref="A109">IFERROR(INDEX('03.Muestra'!$B$8:$B$42,SMALL(IF("Página Web"='03.Muestra'!$D$8:$D$42,ROW('03.Muestra'!$B$8:$B$42)-MIN(ROW('03.Muestra'!$D$8:$D$42))+1,""),ROW()-94)),"")</f>
        <v>1.0</v>
      </c>
      <c r="B109" s="221" t="str" cm="1">
        <f t="array" ref="B109">IFERROR(INDEX('03.Muestra'!$C$8:$C$42,SMALL(IF("Página Web"='03.Muestra'!$D$8:$D$42,ROW('03.Muestra'!$C$8:$C$42)-MIN(ROW('03.Muestra'!$D$8:$D$42))+1,""),ROW()-94)),"")</f>
        <v>Home - PortCastelló</v>
      </c>
      <c r="C109" s="221" t="str" cm="1">
        <f t="array" ref="C109">IFERROR(INDEX('03.Muestra'!$F$8:$F$42,SMALL(IF("Página Web"='03.Muestra'!$D$8:$D$42,ROW('03.Muestra'!$F$8:$F$42)-MIN(ROW('03.Muestra'!$D$8:$D$42))+1,""),ROW()-94)),"")</f>
        <v>https://www.portcastello.com/</v>
      </c>
      <c r="D109" s="130" t="str">
        <f t="shared" si="5"/>
        <v>N/T</v>
      </c>
      <c r="E109" s="107" t="str">
        <f t="shared" si="4"/>
        <v/>
      </c>
      <c r="F109" s="19"/>
      <c r="G109" s="19"/>
      <c r="H109" s="19"/>
      <c r="I109" s="19"/>
      <c r="J109" s="19"/>
      <c r="K109" s="19"/>
      <c r="L109" s="19"/>
      <c r="M109" s="19"/>
      <c r="N109" s="19"/>
      <c r="O109" s="19"/>
      <c r="P109" s="19"/>
      <c r="Q109" s="19"/>
      <c r="R109" s="19"/>
      <c r="S109" s="19"/>
      <c r="T109" s="19"/>
      <c r="U109" s="19"/>
      <c r="V109" s="19"/>
      <c r="W109" s="19"/>
      <c r="X109" s="19"/>
      <c r="Y109" s="19"/>
    </row>
    <row r="110" spans="1:25" ht="14.1" customHeight="1">
      <c r="A110" s="222" t="n" cm="1">
        <f t="array" ref="A110">IFERROR(INDEX('03.Muestra'!$B$8:$B$42,SMALL(IF("Página Web"='03.Muestra'!$D$8:$D$42,ROW('03.Muestra'!$B$8:$B$42)-MIN(ROW('03.Muestra'!$D$8:$D$42))+1,""),ROW()-94)),"")</f>
        <v>1.0</v>
      </c>
      <c r="B110" s="221" t="str" cm="1">
        <f t="array" ref="B110">IFERROR(INDEX('03.Muestra'!$C$8:$C$42,SMALL(IF("Página Web"='03.Muestra'!$D$8:$D$42,ROW('03.Muestra'!$C$8:$C$42)-MIN(ROW('03.Muestra'!$D$8:$D$42))+1,""),ROW()-94)),"")</f>
        <v>Home - PortCastelló</v>
      </c>
      <c r="C110" s="221" t="str" cm="1">
        <f t="array" ref="C110">IFERROR(INDEX('03.Muestra'!$F$8:$F$42,SMALL(IF("Página Web"='03.Muestra'!$D$8:$D$42,ROW('03.Muestra'!$F$8:$F$42)-MIN(ROW('03.Muestra'!$D$8:$D$42))+1,""),ROW()-94)),"")</f>
        <v>https://www.portcastello.com/</v>
      </c>
      <c r="D110" s="130" t="str">
        <f t="shared" si="5"/>
        <v>N/T</v>
      </c>
      <c r="E110" s="107" t="str">
        <f t="shared" si="4"/>
        <v/>
      </c>
      <c r="F110" s="19"/>
      <c r="G110" s="19"/>
      <c r="H110" s="19"/>
      <c r="I110" s="19"/>
      <c r="J110" s="19"/>
      <c r="K110" s="19"/>
      <c r="L110" s="19"/>
      <c r="M110" s="19"/>
      <c r="N110" s="19"/>
      <c r="O110" s="19"/>
      <c r="P110" s="19"/>
      <c r="Q110" s="19"/>
      <c r="R110" s="19"/>
      <c r="S110" s="19"/>
      <c r="T110" s="19"/>
      <c r="U110" s="19"/>
      <c r="V110" s="19"/>
      <c r="W110" s="19"/>
      <c r="X110" s="19"/>
      <c r="Y110" s="19"/>
    </row>
    <row r="111" spans="1:25" ht="14.1" customHeight="1">
      <c r="A111" s="222" t="n" cm="1">
        <f t="array" ref="A111">IFERROR(INDEX('03.Muestra'!$B$8:$B$42,SMALL(IF("Página Web"='03.Muestra'!$D$8:$D$42,ROW('03.Muestra'!$B$8:$B$42)-MIN(ROW('03.Muestra'!$D$8:$D$42))+1,""),ROW()-94)),"")</f>
        <v>1.0</v>
      </c>
      <c r="B111" s="221" t="str" cm="1">
        <f t="array" ref="B111">IFERROR(INDEX('03.Muestra'!$C$8:$C$42,SMALL(IF("Página Web"='03.Muestra'!$D$8:$D$42,ROW('03.Muestra'!$C$8:$C$42)-MIN(ROW('03.Muestra'!$D$8:$D$42))+1,""),ROW()-94)),"")</f>
        <v>Home - PortCastelló</v>
      </c>
      <c r="C111" s="221" t="str" cm="1">
        <f t="array" ref="C111">IFERROR(INDEX('03.Muestra'!$F$8:$F$42,SMALL(IF("Página Web"='03.Muestra'!$D$8:$D$42,ROW('03.Muestra'!$F$8:$F$42)-MIN(ROW('03.Muestra'!$D$8:$D$42))+1,""),ROW()-94)),"")</f>
        <v>https://www.portcastello.com/</v>
      </c>
      <c r="D111" s="130" t="str">
        <f t="shared" si="5"/>
        <v>N/T</v>
      </c>
      <c r="E111" s="107" t="str">
        <f t="shared" si="4"/>
        <v/>
      </c>
      <c r="F111" s="19"/>
      <c r="G111" s="19"/>
      <c r="H111" s="19"/>
      <c r="I111" s="19"/>
      <c r="J111" s="19"/>
      <c r="K111" s="19"/>
      <c r="L111" s="19"/>
      <c r="M111" s="19"/>
      <c r="N111" s="19"/>
      <c r="O111" s="19"/>
      <c r="P111" s="19"/>
      <c r="Q111" s="19"/>
      <c r="R111" s="19"/>
      <c r="S111" s="19"/>
      <c r="T111" s="19"/>
      <c r="U111" s="19"/>
      <c r="V111" s="19"/>
      <c r="W111" s="19"/>
      <c r="X111" s="19"/>
      <c r="Y111" s="19"/>
    </row>
    <row r="112" spans="1:25" ht="14.1" customHeight="1">
      <c r="A112" s="222" t="n" cm="1">
        <f t="array" ref="A112">IFERROR(INDEX('03.Muestra'!$B$8:$B$42,SMALL(IF("Página Web"='03.Muestra'!$D$8:$D$42,ROW('03.Muestra'!$B$8:$B$42)-MIN(ROW('03.Muestra'!$D$8:$D$42))+1,""),ROW()-94)),"")</f>
        <v>1.0</v>
      </c>
      <c r="B112" s="221" t="str" cm="1">
        <f t="array" ref="B112">IFERROR(INDEX('03.Muestra'!$C$8:$C$42,SMALL(IF("Página Web"='03.Muestra'!$D$8:$D$42,ROW('03.Muestra'!$C$8:$C$42)-MIN(ROW('03.Muestra'!$D$8:$D$42))+1,""),ROW()-94)),"")</f>
        <v>Home - PortCastelló</v>
      </c>
      <c r="C112" s="221" t="str" cm="1">
        <f t="array" ref="C112">IFERROR(INDEX('03.Muestra'!$F$8:$F$42,SMALL(IF("Página Web"='03.Muestra'!$D$8:$D$42,ROW('03.Muestra'!$F$8:$F$42)-MIN(ROW('03.Muestra'!$D$8:$D$42))+1,""),ROW()-94)),"")</f>
        <v>https://www.portcastello.com/</v>
      </c>
      <c r="D112" s="130" t="str">
        <f t="shared" si="5"/>
        <v>N/T</v>
      </c>
      <c r="E112" s="107" t="str">
        <f t="shared" si="4"/>
        <v/>
      </c>
      <c r="F112" s="19"/>
      <c r="G112" s="19"/>
      <c r="H112" s="19"/>
      <c r="I112" s="19"/>
      <c r="J112" s="19"/>
      <c r="K112" s="19"/>
      <c r="L112" s="19"/>
      <c r="M112" s="19"/>
      <c r="N112" s="19"/>
      <c r="O112" s="19"/>
      <c r="P112" s="19"/>
      <c r="Q112" s="19"/>
      <c r="R112" s="19"/>
      <c r="S112" s="19"/>
      <c r="T112" s="19"/>
      <c r="U112" s="19"/>
      <c r="V112" s="19"/>
      <c r="W112" s="19"/>
      <c r="X112" s="19"/>
      <c r="Y112" s="19"/>
    </row>
    <row r="113" spans="1:25" ht="14.1" customHeight="1">
      <c r="A113" s="222" t="n" cm="1">
        <f t="array" ref="A113">IFERROR(INDEX('03.Muestra'!$B$8:$B$42,SMALL(IF("Página Web"='03.Muestra'!$D$8:$D$42,ROW('03.Muestra'!$B$8:$B$42)-MIN(ROW('03.Muestra'!$D$8:$D$42))+1,""),ROW()-94)),"")</f>
        <v>1.0</v>
      </c>
      <c r="B113" s="221" t="str" cm="1">
        <f t="array" ref="B113">IFERROR(INDEX('03.Muestra'!$C$8:$C$42,SMALL(IF("Página Web"='03.Muestra'!$D$8:$D$42,ROW('03.Muestra'!$C$8:$C$42)-MIN(ROW('03.Muestra'!$D$8:$D$42))+1,""),ROW()-94)),"")</f>
        <v>Home - PortCastelló</v>
      </c>
      <c r="C113" s="221" t="str" cm="1">
        <f t="array" ref="C113">IFERROR(INDEX('03.Muestra'!$F$8:$F$42,SMALL(IF("Página Web"='03.Muestra'!$D$8:$D$42,ROW('03.Muestra'!$F$8:$F$42)-MIN(ROW('03.Muestra'!$D$8:$D$42))+1,""),ROW()-94)),"")</f>
        <v>https://www.portcastello.com/</v>
      </c>
      <c r="D113" s="130" t="str">
        <f t="shared" si="5"/>
        <v>N/T</v>
      </c>
      <c r="E113" s="107" t="str">
        <f t="shared" si="4"/>
        <v/>
      </c>
      <c r="F113" s="19"/>
      <c r="G113" s="19"/>
      <c r="H113" s="19"/>
      <c r="I113" s="19"/>
      <c r="J113" s="19"/>
      <c r="K113" s="19"/>
      <c r="L113" s="19"/>
      <c r="M113" s="19"/>
      <c r="N113" s="19"/>
      <c r="O113" s="19"/>
      <c r="P113" s="19"/>
      <c r="Q113" s="19"/>
      <c r="R113" s="19"/>
      <c r="S113" s="19"/>
      <c r="T113" s="19"/>
      <c r="U113" s="19"/>
      <c r="V113" s="19"/>
      <c r="W113" s="19"/>
      <c r="X113" s="19"/>
      <c r="Y113" s="19"/>
    </row>
    <row r="114" spans="1:25" ht="14.1" customHeight="1">
      <c r="A114" s="222" t="n" cm="1">
        <f t="array" ref="A114">IFERROR(INDEX('03.Muestra'!$B$8:$B$42,SMALL(IF("Página Web"='03.Muestra'!$D$8:$D$42,ROW('03.Muestra'!$B$8:$B$42)-MIN(ROW('03.Muestra'!$D$8:$D$42))+1,""),ROW()-94)),"")</f>
        <v>1.0</v>
      </c>
      <c r="B114" s="221" t="str" cm="1">
        <f t="array" ref="B114">IFERROR(INDEX('03.Muestra'!$C$8:$C$42,SMALL(IF("Página Web"='03.Muestra'!$D$8:$D$42,ROW('03.Muestra'!$C$8:$C$42)-MIN(ROW('03.Muestra'!$D$8:$D$42))+1,""),ROW()-94)),"")</f>
        <v>Home - PortCastelló</v>
      </c>
      <c r="C114" s="221" t="str" cm="1">
        <f t="array" ref="C114">IFERROR(INDEX('03.Muestra'!$F$8:$F$42,SMALL(IF("Página Web"='03.Muestra'!$D$8:$D$42,ROW('03.Muestra'!$F$8:$F$42)-MIN(ROW('03.Muestra'!$D$8:$D$42))+1,""),ROW()-94)),"")</f>
        <v>https://www.portcastello.com/</v>
      </c>
      <c r="D114" s="130" t="str">
        <f t="shared" si="5"/>
        <v>N/T</v>
      </c>
      <c r="E114" s="107" t="str">
        <f t="shared" si="4"/>
        <v/>
      </c>
      <c r="F114" s="19"/>
      <c r="G114" s="19"/>
      <c r="H114" s="19"/>
      <c r="I114" s="19"/>
      <c r="J114" s="19"/>
      <c r="K114" s="19"/>
      <c r="L114" s="19"/>
      <c r="M114" s="19"/>
      <c r="N114" s="19"/>
      <c r="O114" s="19"/>
      <c r="P114" s="19"/>
      <c r="Q114" s="19"/>
      <c r="R114" s="19"/>
      <c r="S114" s="19"/>
      <c r="T114" s="19"/>
      <c r="U114" s="19"/>
      <c r="V114" s="19"/>
      <c r="W114" s="19"/>
      <c r="X114" s="19"/>
      <c r="Y114" s="19"/>
    </row>
    <row r="115" spans="1:25" ht="14.1" customHeight="1">
      <c r="A115" s="222" t="n" cm="1">
        <f t="array" ref="A115">IFERROR(INDEX('03.Muestra'!$B$8:$B$42,SMALL(IF("Página Web"='03.Muestra'!$D$8:$D$42,ROW('03.Muestra'!$B$8:$B$42)-MIN(ROW('03.Muestra'!$D$8:$D$42))+1,""),ROW()-94)),"")</f>
        <v>1.0</v>
      </c>
      <c r="B115" s="221" t="str" cm="1">
        <f t="array" ref="B115">IFERROR(INDEX('03.Muestra'!$C$8:$C$42,SMALL(IF("Página Web"='03.Muestra'!$D$8:$D$42,ROW('03.Muestra'!$C$8:$C$42)-MIN(ROW('03.Muestra'!$D$8:$D$42))+1,""),ROW()-94)),"")</f>
        <v>Home - PortCastelló</v>
      </c>
      <c r="C115" s="221" t="str" cm="1">
        <f t="array" ref="C115">IFERROR(INDEX('03.Muestra'!$F$8:$F$42,SMALL(IF("Página Web"='03.Muestra'!$D$8:$D$42,ROW('03.Muestra'!$F$8:$F$42)-MIN(ROW('03.Muestra'!$D$8:$D$42))+1,""),ROW()-94)),"")</f>
        <v>https://www.portcastello.com/</v>
      </c>
      <c r="D115" s="130" t="str">
        <f t="shared" si="5"/>
        <v>N/T</v>
      </c>
      <c r="E115" s="107" t="str">
        <f t="shared" si="4"/>
        <v/>
      </c>
      <c r="F115" s="19"/>
      <c r="G115" s="19"/>
      <c r="H115" s="19"/>
      <c r="I115" s="19"/>
      <c r="J115" s="19"/>
      <c r="K115" s="19"/>
      <c r="L115" s="19"/>
      <c r="M115" s="19"/>
      <c r="N115" s="19"/>
      <c r="O115" s="19"/>
      <c r="P115" s="19"/>
      <c r="Q115" s="19"/>
      <c r="R115" s="19"/>
      <c r="S115" s="19"/>
      <c r="T115" s="19"/>
      <c r="U115" s="19"/>
      <c r="V115" s="19"/>
      <c r="W115" s="19"/>
      <c r="X115" s="19"/>
      <c r="Y115" s="19"/>
    </row>
    <row r="116" spans="1:25" ht="14.1" customHeight="1">
      <c r="A116" s="222" t="n" cm="1">
        <f t="array" ref="A116">IFERROR(INDEX('03.Muestra'!$B$8:$B$42,SMALL(IF("Página Web"='03.Muestra'!$D$8:$D$42,ROW('03.Muestra'!$B$8:$B$42)-MIN(ROW('03.Muestra'!$D$8:$D$42))+1,""),ROW()-94)),"")</f>
        <v>1.0</v>
      </c>
      <c r="B116" s="221" t="str" cm="1">
        <f t="array" ref="B116">IFERROR(INDEX('03.Muestra'!$C$8:$C$42,SMALL(IF("Página Web"='03.Muestra'!$D$8:$D$42,ROW('03.Muestra'!$C$8:$C$42)-MIN(ROW('03.Muestra'!$D$8:$D$42))+1,""),ROW()-94)),"")</f>
        <v>Home - PortCastelló</v>
      </c>
      <c r="C116" s="221" t="str" cm="1">
        <f t="array" ref="C116">IFERROR(INDEX('03.Muestra'!$F$8:$F$42,SMALL(IF("Página Web"='03.Muestra'!$D$8:$D$42,ROW('03.Muestra'!$F$8:$F$42)-MIN(ROW('03.Muestra'!$D$8:$D$42))+1,""),ROW()-94)),"")</f>
        <v>https://www.portcastello.com/</v>
      </c>
      <c r="D116" s="130" t="str">
        <f t="shared" si="5"/>
        <v>N/T</v>
      </c>
      <c r="E116" s="107" t="str">
        <f t="shared" si="4"/>
        <v/>
      </c>
      <c r="F116" s="19"/>
      <c r="G116" s="19"/>
      <c r="H116" s="19"/>
      <c r="I116" s="19"/>
      <c r="J116" s="19"/>
      <c r="K116" s="19"/>
      <c r="L116" s="19"/>
      <c r="M116" s="19"/>
      <c r="N116" s="19"/>
      <c r="O116" s="19"/>
      <c r="P116" s="19"/>
      <c r="Q116" s="19"/>
      <c r="R116" s="19"/>
      <c r="S116" s="19"/>
      <c r="T116" s="19"/>
      <c r="U116" s="19"/>
      <c r="V116" s="19"/>
      <c r="W116" s="19"/>
      <c r="X116" s="19"/>
      <c r="Y116" s="19"/>
    </row>
    <row r="117" spans="1:25" ht="14.1" customHeight="1">
      <c r="A117" s="222" t="n" cm="1">
        <f t="array" ref="A117">IFERROR(INDEX('03.Muestra'!$B$8:$B$42,SMALL(IF("Página Web"='03.Muestra'!$D$8:$D$42,ROW('03.Muestra'!$B$8:$B$42)-MIN(ROW('03.Muestra'!$D$8:$D$42))+1,""),ROW()-94)),"")</f>
        <v>1.0</v>
      </c>
      <c r="B117" s="221" t="str" cm="1">
        <f t="array" ref="B117">IFERROR(INDEX('03.Muestra'!$C$8:$C$42,SMALL(IF("Página Web"='03.Muestra'!$D$8:$D$42,ROW('03.Muestra'!$C$8:$C$42)-MIN(ROW('03.Muestra'!$D$8:$D$42))+1,""),ROW()-94)),"")</f>
        <v>Home - PortCastelló</v>
      </c>
      <c r="C117" s="221" t="str" cm="1">
        <f t="array" ref="C117">IFERROR(INDEX('03.Muestra'!$F$8:$F$42,SMALL(IF("Página Web"='03.Muestra'!$D$8:$D$42,ROW('03.Muestra'!$F$8:$F$42)-MIN(ROW('03.Muestra'!$D$8:$D$42))+1,""),ROW()-94)),"")</f>
        <v>https://www.portcastello.com/</v>
      </c>
      <c r="D117" s="130" t="str">
        <f t="shared" si="5"/>
        <v>N/T</v>
      </c>
      <c r="E117" s="107" t="str">
        <f t="shared" si="4"/>
        <v/>
      </c>
      <c r="F117" s="19"/>
      <c r="G117" s="19"/>
      <c r="H117" s="19"/>
      <c r="I117" s="19"/>
      <c r="J117" s="19"/>
      <c r="K117" s="19"/>
      <c r="L117" s="19"/>
      <c r="M117" s="19"/>
      <c r="N117" s="19"/>
      <c r="O117" s="19"/>
      <c r="P117" s="19"/>
      <c r="Q117" s="19"/>
      <c r="R117" s="19"/>
      <c r="S117" s="19"/>
      <c r="T117" s="19"/>
      <c r="U117" s="19"/>
      <c r="V117" s="19"/>
      <c r="W117" s="19"/>
      <c r="X117" s="19"/>
      <c r="Y117" s="19"/>
    </row>
    <row r="118" spans="1:25" ht="12" customHeight="1">
      <c r="A118" s="222" t="n" cm="1">
        <f t="array" ref="A118">IFERROR(INDEX('03.Muestra'!$B$8:$B$42,SMALL(IF("Página Web"='03.Muestra'!$D$8:$D$42,ROW('03.Muestra'!$B$8:$B$42)-MIN(ROW('03.Muestra'!$D$8:$D$42))+1,""),ROW()-94)),"")</f>
        <v>1.0</v>
      </c>
      <c r="B118" s="221" t="str" cm="1">
        <f t="array" ref="B118">IFERROR(INDEX('03.Muestra'!$C$8:$C$42,SMALL(IF("Página Web"='03.Muestra'!$D$8:$D$42,ROW('03.Muestra'!$C$8:$C$42)-MIN(ROW('03.Muestra'!$D$8:$D$42))+1,""),ROW()-94)),"")</f>
        <v>Home - PortCastelló</v>
      </c>
      <c r="C118" s="221" t="str" cm="1">
        <f t="array" ref="C118">IFERROR(INDEX('03.Muestra'!$F$8:$F$42,SMALL(IF("Página Web"='03.Muestra'!$D$8:$D$42,ROW('03.Muestra'!$F$8:$F$42)-MIN(ROW('03.Muestra'!$D$8:$D$42))+1,""),ROW()-94)),"")</f>
        <v>https://www.portcastello.com/</v>
      </c>
      <c r="D118" s="130" t="str">
        <f t="shared" si="5"/>
        <v>N/T</v>
      </c>
      <c r="E118" s="107" t="str">
        <f t="shared" si="4"/>
        <v/>
      </c>
      <c r="F118" s="19"/>
      <c r="G118" s="19"/>
      <c r="H118" s="19"/>
      <c r="I118" s="19"/>
      <c r="J118" s="19"/>
      <c r="K118" s="19"/>
      <c r="L118" s="19"/>
      <c r="M118" s="19"/>
      <c r="N118" s="19"/>
      <c r="O118" s="19"/>
      <c r="P118" s="19"/>
      <c r="Q118" s="19"/>
      <c r="R118" s="19"/>
      <c r="S118" s="19"/>
      <c r="T118" s="19"/>
      <c r="U118" s="19"/>
      <c r="V118" s="19"/>
      <c r="W118" s="19"/>
      <c r="X118" s="19"/>
      <c r="Y118" s="19"/>
    </row>
    <row r="119" spans="1:25" ht="12" customHeight="1">
      <c r="A119" s="222" t="n" cm="1">
        <f t="array" ref="A119">IFERROR(INDEX('03.Muestra'!$B$8:$B$42,SMALL(IF("Página Web"='03.Muestra'!$D$8:$D$42,ROW('03.Muestra'!$B$8:$B$42)-MIN(ROW('03.Muestra'!$D$8:$D$42))+1,""),ROW()-94)),"")</f>
        <v>1.0</v>
      </c>
      <c r="B119" s="221" t="str" cm="1">
        <f t="array" ref="B119">IFERROR(INDEX('03.Muestra'!$C$8:$C$42,SMALL(IF("Página Web"='03.Muestra'!$D$8:$D$42,ROW('03.Muestra'!$C$8:$C$42)-MIN(ROW('03.Muestra'!$D$8:$D$42))+1,""),ROW()-94)),"")</f>
        <v>Home - PortCastelló</v>
      </c>
      <c r="C119" s="221" t="str" cm="1">
        <f t="array" ref="C119">IFERROR(INDEX('03.Muestra'!$F$8:$F$42,SMALL(IF("Página Web"='03.Muestra'!$D$8:$D$42,ROW('03.Muestra'!$F$8:$F$42)-MIN(ROW('03.Muestra'!$D$8:$D$42))+1,""),ROW()-94)),"")</f>
        <v>https://www.portcastello.com/</v>
      </c>
      <c r="D119" s="130" t="str">
        <f t="shared" si="5"/>
        <v>N/T</v>
      </c>
      <c r="E119" s="107" t="str">
        <f t="shared" si="4"/>
        <v/>
      </c>
      <c r="F119" s="19"/>
      <c r="G119" s="19"/>
      <c r="H119" s="19"/>
      <c r="I119" s="19"/>
      <c r="J119" s="19"/>
      <c r="K119" s="19"/>
      <c r="L119" s="19"/>
      <c r="M119" s="19"/>
      <c r="N119" s="19"/>
      <c r="O119" s="19"/>
      <c r="P119" s="19"/>
      <c r="Q119" s="19"/>
      <c r="R119" s="19"/>
      <c r="S119" s="19"/>
      <c r="T119" s="19"/>
      <c r="U119" s="19"/>
      <c r="V119" s="19"/>
      <c r="W119" s="19"/>
      <c r="X119" s="19"/>
      <c r="Y119" s="19"/>
    </row>
    <row r="120" spans="1:25" ht="12" customHeight="1">
      <c r="A120" s="222" t="n" cm="1">
        <f t="array" ref="A120">IFERROR(INDEX('03.Muestra'!$B$8:$B$42,SMALL(IF("Página Web"='03.Muestra'!$D$8:$D$42,ROW('03.Muestra'!$B$8:$B$42)-MIN(ROW('03.Muestra'!$D$8:$D$42))+1,""),ROW()-94)),"")</f>
        <v>1.0</v>
      </c>
      <c r="B120" s="221" t="str" cm="1">
        <f t="array" ref="B120">IFERROR(INDEX('03.Muestra'!$C$8:$C$42,SMALL(IF("Página Web"='03.Muestra'!$D$8:$D$42,ROW('03.Muestra'!$C$8:$C$42)-MIN(ROW('03.Muestra'!$D$8:$D$42))+1,""),ROW()-94)),"")</f>
        <v>Home - PortCastelló</v>
      </c>
      <c r="C120" s="221" t="str" cm="1">
        <f t="array" ref="C120">IFERROR(INDEX('03.Muestra'!$F$8:$F$42,SMALL(IF("Página Web"='03.Muestra'!$D$8:$D$42,ROW('03.Muestra'!$F$8:$F$42)-MIN(ROW('03.Muestra'!$D$8:$D$42))+1,""),ROW()-94)),"")</f>
        <v>https://www.portcastello.com/</v>
      </c>
      <c r="D120" s="130" t="str">
        <f t="shared" si="5"/>
        <v>N/T</v>
      </c>
      <c r="E120" s="107" t="str">
        <f t="shared" si="4"/>
        <v/>
      </c>
      <c r="F120" s="19"/>
      <c r="G120" s="19"/>
      <c r="H120" s="19"/>
      <c r="I120" s="19"/>
      <c r="J120" s="19"/>
      <c r="K120" s="19"/>
      <c r="L120" s="19"/>
      <c r="M120" s="19"/>
      <c r="N120" s="19"/>
      <c r="O120" s="19"/>
      <c r="P120" s="19"/>
      <c r="Q120" s="19"/>
      <c r="R120" s="19"/>
      <c r="S120" s="19"/>
      <c r="T120" s="19"/>
      <c r="U120" s="19"/>
      <c r="V120" s="19"/>
      <c r="W120" s="19"/>
      <c r="X120" s="19"/>
      <c r="Y120" s="19"/>
    </row>
    <row r="121" spans="1:25" ht="12" customHeight="1">
      <c r="A121" s="222" t="n" cm="1">
        <f t="array" ref="A121">IFERROR(INDEX('03.Muestra'!$B$8:$B$42,SMALL(IF("Página Web"='03.Muestra'!$D$8:$D$42,ROW('03.Muestra'!$B$8:$B$42)-MIN(ROW('03.Muestra'!$D$8:$D$42))+1,""),ROW()-94)),"")</f>
        <v>1.0</v>
      </c>
      <c r="B121" s="221" t="str" cm="1">
        <f t="array" ref="B121">IFERROR(INDEX('03.Muestra'!$C$8:$C$42,SMALL(IF("Página Web"='03.Muestra'!$D$8:$D$42,ROW('03.Muestra'!$C$8:$C$42)-MIN(ROW('03.Muestra'!$D$8:$D$42))+1,""),ROW()-94)),"")</f>
        <v>Home - PortCastelló</v>
      </c>
      <c r="C121" s="221" t="str" cm="1">
        <f t="array" ref="C121">IFERROR(INDEX('03.Muestra'!$F$8:$F$42,SMALL(IF("Página Web"='03.Muestra'!$D$8:$D$42,ROW('03.Muestra'!$F$8:$F$42)-MIN(ROW('03.Muestra'!$D$8:$D$42))+1,""),ROW()-94)),"")</f>
        <v>https://www.portcastello.com/</v>
      </c>
      <c r="D121" s="130" t="str">
        <f t="shared" si="5"/>
        <v>N/T</v>
      </c>
      <c r="E121" s="107" t="str">
        <f t="shared" si="4"/>
        <v/>
      </c>
      <c r="F121" s="19"/>
      <c r="G121" s="19"/>
      <c r="H121" s="19"/>
      <c r="I121" s="19"/>
      <c r="J121" s="19"/>
      <c r="K121" s="19"/>
      <c r="L121" s="19"/>
      <c r="M121" s="19"/>
      <c r="N121" s="19"/>
      <c r="O121" s="19"/>
      <c r="P121" s="19"/>
      <c r="Q121" s="19"/>
      <c r="R121" s="19"/>
      <c r="S121" s="19"/>
      <c r="T121" s="19"/>
      <c r="U121" s="19"/>
      <c r="V121" s="19"/>
      <c r="W121" s="19"/>
      <c r="X121" s="19"/>
      <c r="Y121" s="19"/>
    </row>
    <row r="122" spans="1:25" ht="12" customHeight="1">
      <c r="A122" s="222" t="n" cm="1">
        <f t="array" ref="A122">IFERROR(INDEX('03.Muestra'!$B$8:$B$42,SMALL(IF("Página Web"='03.Muestra'!$D$8:$D$42,ROW('03.Muestra'!$B$8:$B$42)-MIN(ROW('03.Muestra'!$D$8:$D$42))+1,""),ROW()-94)),"")</f>
        <v>1.0</v>
      </c>
      <c r="B122" s="221" t="str" cm="1">
        <f t="array" ref="B122">IFERROR(INDEX('03.Muestra'!$C$8:$C$42,SMALL(IF("Página Web"='03.Muestra'!$D$8:$D$42,ROW('03.Muestra'!$C$8:$C$42)-MIN(ROW('03.Muestra'!$D$8:$D$42))+1,""),ROW()-94)),"")</f>
        <v>Home - PortCastelló</v>
      </c>
      <c r="C122" s="221" t="str" cm="1">
        <f t="array" ref="C122">IFERROR(INDEX('03.Muestra'!$F$8:$F$42,SMALL(IF("Página Web"='03.Muestra'!$D$8:$D$42,ROW('03.Muestra'!$F$8:$F$42)-MIN(ROW('03.Muestra'!$D$8:$D$42))+1,""),ROW()-94)),"")</f>
        <v>https://www.portcastello.com/</v>
      </c>
      <c r="D122" s="130" t="str">
        <f t="shared" si="5"/>
        <v>N/T</v>
      </c>
      <c r="E122" s="107" t="str">
        <f t="shared" si="4"/>
        <v/>
      </c>
      <c r="G122" s="19"/>
      <c r="H122" s="19"/>
      <c r="I122" s="19"/>
      <c r="J122" s="19"/>
      <c r="K122" s="19"/>
      <c r="L122" s="19"/>
      <c r="M122" s="19"/>
      <c r="N122" s="19"/>
      <c r="O122" s="19"/>
      <c r="P122" s="19"/>
      <c r="Q122" s="19"/>
      <c r="R122" s="19"/>
      <c r="S122" s="19"/>
      <c r="T122" s="19"/>
      <c r="U122" s="19"/>
      <c r="V122" s="19"/>
      <c r="W122" s="19"/>
      <c r="X122" s="19"/>
      <c r="Y122" s="19"/>
    </row>
    <row r="123" spans="1:25" ht="12" customHeight="1">
      <c r="A123" s="222" t="n" cm="1">
        <f t="array" ref="A123">IFERROR(INDEX('03.Muestra'!$B$8:$B$42,SMALL(IF("Página Web"='03.Muestra'!$D$8:$D$42,ROW('03.Muestra'!$B$8:$B$42)-MIN(ROW('03.Muestra'!$D$8:$D$42))+1,""),ROW()-94)),"")</f>
        <v>1.0</v>
      </c>
      <c r="B123" s="221" t="str" cm="1">
        <f t="array" ref="B123">IFERROR(INDEX('03.Muestra'!$C$8:$C$42,SMALL(IF("Página Web"='03.Muestra'!$D$8:$D$42,ROW('03.Muestra'!$C$8:$C$42)-MIN(ROW('03.Muestra'!$D$8:$D$42))+1,""),ROW()-94)),"")</f>
        <v>Home - PortCastelló</v>
      </c>
      <c r="C123" s="221" t="str" cm="1">
        <f t="array" ref="C123">IFERROR(INDEX('03.Muestra'!$F$8:$F$42,SMALL(IF("Página Web"='03.Muestra'!$D$8:$D$42,ROW('03.Muestra'!$F$8:$F$42)-MIN(ROW('03.Muestra'!$D$8:$D$42))+1,""),ROW()-94)),"")</f>
        <v>https://www.portcastello.com/</v>
      </c>
      <c r="D123" s="130" t="str">
        <f t="shared" si="5"/>
        <v>N/T</v>
      </c>
      <c r="E123" s="107" t="str">
        <f t="shared" si="4"/>
        <v/>
      </c>
      <c r="F123" s="124"/>
      <c r="G123" s="19"/>
      <c r="H123" s="19"/>
      <c r="I123" s="19"/>
      <c r="J123" s="19"/>
      <c r="K123" s="19"/>
      <c r="L123" s="19"/>
      <c r="M123" s="19"/>
      <c r="N123" s="19"/>
      <c r="O123" s="19"/>
      <c r="P123" s="19"/>
      <c r="Q123" s="19"/>
      <c r="R123" s="19"/>
      <c r="S123" s="19"/>
      <c r="T123" s="19"/>
      <c r="U123" s="19"/>
      <c r="V123" s="19"/>
      <c r="W123" s="19"/>
      <c r="X123" s="19"/>
      <c r="Y123" s="19"/>
    </row>
    <row r="124" spans="1:25" ht="12" customHeight="1">
      <c r="A124" s="222" t="n" cm="1">
        <f t="array" ref="A124">IFERROR(INDEX('03.Muestra'!$B$8:$B$42,SMALL(IF("Página Web"='03.Muestra'!$D$8:$D$42,ROW('03.Muestra'!$B$8:$B$42)-MIN(ROW('03.Muestra'!$D$8:$D$42))+1,""),ROW()-94)),"")</f>
        <v>1.0</v>
      </c>
      <c r="B124" s="221" t="str" cm="1">
        <f t="array" ref="B124">IFERROR(INDEX('03.Muestra'!$C$8:$C$42,SMALL(IF("Página Web"='03.Muestra'!$D$8:$D$42,ROW('03.Muestra'!$C$8:$C$42)-MIN(ROW('03.Muestra'!$D$8:$D$42))+1,""),ROW()-94)),"")</f>
        <v>Home - PortCastelló</v>
      </c>
      <c r="C124" s="221" t="str" cm="1">
        <f t="array" ref="C124">IFERROR(INDEX('03.Muestra'!$F$8:$F$42,SMALL(IF("Página Web"='03.Muestra'!$D$8:$D$42,ROW('03.Muestra'!$F$8:$F$42)-MIN(ROW('03.Muestra'!$D$8:$D$42))+1,""),ROW()-94)),"")</f>
        <v>https://www.portcastello.com/</v>
      </c>
      <c r="D124" s="130" t="str">
        <f t="shared" si="5"/>
        <v>N/T</v>
      </c>
      <c r="E124" s="107" t="str">
        <f t="shared" si="4"/>
        <v/>
      </c>
      <c r="F124" s="124"/>
      <c r="G124" s="19"/>
      <c r="H124" s="19"/>
      <c r="I124" s="19"/>
      <c r="J124" s="19"/>
      <c r="K124" s="19"/>
      <c r="L124" s="19"/>
      <c r="M124" s="19"/>
      <c r="N124" s="19"/>
      <c r="O124" s="19"/>
      <c r="P124" s="19"/>
      <c r="Q124" s="19"/>
      <c r="R124" s="19"/>
      <c r="S124" s="19"/>
      <c r="T124" s="19"/>
      <c r="U124" s="19"/>
      <c r="V124" s="19"/>
      <c r="W124" s="19"/>
      <c r="X124" s="19"/>
      <c r="Y124" s="19"/>
    </row>
    <row r="125" spans="1:25" ht="12" customHeight="1">
      <c r="A125" s="222" t="n" cm="1">
        <f t="array" ref="A125">IFERROR(INDEX('03.Muestra'!$B$8:$B$42,SMALL(IF("Página Web"='03.Muestra'!$D$8:$D$42,ROW('03.Muestra'!$B$8:$B$42)-MIN(ROW('03.Muestra'!$D$8:$D$42))+1,""),ROW()-94)),"")</f>
        <v>1.0</v>
      </c>
      <c r="B125" s="221" t="str" cm="1">
        <f t="array" ref="B125">IFERROR(INDEX('03.Muestra'!$C$8:$C$42,SMALL(IF("Página Web"='03.Muestra'!$D$8:$D$42,ROW('03.Muestra'!$C$8:$C$42)-MIN(ROW('03.Muestra'!$D$8:$D$42))+1,""),ROW()-94)),"")</f>
        <v>Home - PortCastelló</v>
      </c>
      <c r="C125" s="221" t="str" cm="1">
        <f t="array" ref="C125">IFERROR(INDEX('03.Muestra'!$F$8:$F$42,SMALL(IF("Página Web"='03.Muestra'!$D$8:$D$42,ROW('03.Muestra'!$F$8:$F$42)-MIN(ROW('03.Muestra'!$D$8:$D$42))+1,""),ROW()-94)),"")</f>
        <v>https://www.portcastello.com/</v>
      </c>
      <c r="D125" s="130" t="str">
        <f t="shared" si="5"/>
        <v>N/T</v>
      </c>
      <c r="E125" s="107" t="str">
        <f t="shared" si="4"/>
        <v/>
      </c>
      <c r="F125" s="124"/>
      <c r="G125" s="19"/>
      <c r="H125" s="19"/>
      <c r="I125" s="19"/>
      <c r="J125" s="19"/>
      <c r="K125" s="19"/>
      <c r="L125" s="19"/>
      <c r="M125" s="19"/>
      <c r="N125" s="19"/>
      <c r="O125" s="19"/>
      <c r="P125" s="19"/>
      <c r="Q125" s="19"/>
      <c r="R125" s="19"/>
      <c r="S125" s="19"/>
      <c r="T125" s="19"/>
      <c r="U125" s="19"/>
      <c r="V125" s="19"/>
      <c r="W125" s="19"/>
      <c r="X125" s="19"/>
      <c r="Y125" s="19"/>
    </row>
    <row r="126" spans="1:25" ht="12" customHeight="1">
      <c r="A126" s="222" t="n" cm="1">
        <f t="array" ref="A126">IFERROR(INDEX('03.Muestra'!$B$8:$B$42,SMALL(IF("Página Web"='03.Muestra'!$D$8:$D$42,ROW('03.Muestra'!$B$8:$B$42)-MIN(ROW('03.Muestra'!$D$8:$D$42))+1,""),ROW()-94)),"")</f>
        <v>1.0</v>
      </c>
      <c r="B126" s="221" t="str" cm="1">
        <f t="array" ref="B126">IFERROR(INDEX('03.Muestra'!$C$8:$C$42,SMALL(IF("Página Web"='03.Muestra'!$D$8:$D$42,ROW('03.Muestra'!$C$8:$C$42)-MIN(ROW('03.Muestra'!$D$8:$D$42))+1,""),ROW()-94)),"")</f>
        <v>Home - PortCastelló</v>
      </c>
      <c r="C126" s="221" t="str" cm="1">
        <f t="array" ref="C126">IFERROR(INDEX('03.Muestra'!$F$8:$F$42,SMALL(IF("Página Web"='03.Muestra'!$D$8:$D$42,ROW('03.Muestra'!$F$8:$F$42)-MIN(ROW('03.Muestra'!$D$8:$D$42))+1,""),ROW()-94)),"")</f>
        <v>https://www.portcastello.com/</v>
      </c>
      <c r="D126" s="130" t="str">
        <f t="shared" si="5"/>
        <v>N/T</v>
      </c>
      <c r="E126" s="107" t="str">
        <f t="shared" si="4"/>
        <v/>
      </c>
      <c r="F126" s="124"/>
      <c r="G126" s="19"/>
      <c r="H126" s="19"/>
      <c r="I126" s="19"/>
      <c r="J126" s="19"/>
      <c r="K126" s="19"/>
      <c r="L126" s="19"/>
      <c r="M126" s="19"/>
      <c r="N126" s="19"/>
      <c r="O126" s="19"/>
      <c r="P126" s="19"/>
      <c r="Q126" s="19"/>
      <c r="R126" s="19"/>
      <c r="S126" s="19"/>
      <c r="T126" s="19"/>
      <c r="U126" s="19"/>
      <c r="V126" s="19"/>
      <c r="W126" s="19"/>
      <c r="X126" s="19"/>
      <c r="Y126" s="19"/>
    </row>
    <row r="127" spans="1:25" ht="12" customHeight="1">
      <c r="A127" s="222" t="n" cm="1">
        <f t="array" ref="A127">IFERROR(INDEX('03.Muestra'!$B$8:$B$42,SMALL(IF("Página Web"='03.Muestra'!$D$8:$D$42,ROW('03.Muestra'!$B$8:$B$42)-MIN(ROW('03.Muestra'!$D$8:$D$42))+1,""),ROW()-94)),"")</f>
        <v>1.0</v>
      </c>
      <c r="B127" s="221" t="str" cm="1">
        <f t="array" ref="B127">IFERROR(INDEX('03.Muestra'!$C$8:$C$42,SMALL(IF("Página Web"='03.Muestra'!$D$8:$D$42,ROW('03.Muestra'!$C$8:$C$42)-MIN(ROW('03.Muestra'!$D$8:$D$42))+1,""),ROW()-94)),"")</f>
        <v>Home - PortCastelló</v>
      </c>
      <c r="C127" s="221" t="str" cm="1">
        <f t="array" ref="C127">IFERROR(INDEX('03.Muestra'!$F$8:$F$42,SMALL(IF("Página Web"='03.Muestra'!$D$8:$D$42,ROW('03.Muestra'!$F$8:$F$42)-MIN(ROW('03.Muestra'!$D$8:$D$42))+1,""),ROW()-94)),"")</f>
        <v>https://www.portcastello.com/</v>
      </c>
      <c r="D127" s="130" t="str">
        <f t="shared" si="5"/>
        <v>N/T</v>
      </c>
      <c r="E127" s="107" t="str">
        <f t="shared" si="4"/>
        <v/>
      </c>
      <c r="F127" s="124"/>
      <c r="G127" s="19"/>
      <c r="H127" s="19"/>
      <c r="I127" s="19"/>
      <c r="J127" s="19"/>
      <c r="K127" s="19"/>
      <c r="L127" s="19"/>
      <c r="M127" s="19"/>
      <c r="N127" s="19"/>
      <c r="O127" s="19"/>
      <c r="P127" s="19"/>
      <c r="Q127" s="19"/>
      <c r="R127" s="19"/>
      <c r="S127" s="19"/>
      <c r="T127" s="19"/>
      <c r="U127" s="19"/>
      <c r="V127" s="19"/>
      <c r="W127" s="19"/>
      <c r="X127" s="19"/>
      <c r="Y127" s="19"/>
    </row>
    <row r="128" spans="1:25" ht="12" customHeight="1">
      <c r="A128" s="222" t="str" cm="1">
        <f t="array" ref="A128">IFERROR(INDEX('03.Muestra'!$B$8:$B$42,SMALL(IF("Página Web"='03.Muestra'!$D$8:$D$42,ROW('03.Muestra'!$B$8:$B$42)-MIN(ROW('03.Muestra'!$D$8:$D$42))+1,""),ROW()-94)),"")</f>
        <v/>
      </c>
      <c r="B128" s="221" t="str" cm="1">
        <f t="array" ref="B128">IFERROR(INDEX('03.Muestra'!$C$8:$C$42,SMALL(IF("Página Web"='03.Muestra'!$D$8:$D$42,ROW('03.Muestra'!$C$8:$C$42)-MIN(ROW('03.Muestra'!$D$8:$D$42))+1,""),ROW()-94)),"")</f>
        <v/>
      </c>
      <c r="C128" s="221" t="str" cm="1">
        <f t="array" ref="C128">IFERROR(INDEX('03.Muestra'!$F$8:$F$42,SMALL(IF("Página Web"='03.Muestra'!$D$8:$D$42,ROW('03.Muestra'!$F$8:$F$42)-MIN(ROW('03.Muestra'!$D$8:$D$42))+1,""),ROW()-94)),"")</f>
        <v/>
      </c>
      <c r="D128" s="130" t="str">
        <f t="shared" si="5"/>
        <v/>
      </c>
      <c r="E128" s="107" t="str">
        <f t="shared" si="4"/>
        <v/>
      </c>
      <c r="F128" s="124"/>
      <c r="G128" s="19"/>
      <c r="H128" s="19"/>
      <c r="I128" s="19"/>
      <c r="J128" s="19"/>
      <c r="K128" s="19"/>
      <c r="L128" s="19"/>
      <c r="M128" s="19"/>
      <c r="N128" s="19"/>
      <c r="O128" s="19"/>
      <c r="P128" s="19"/>
      <c r="Q128" s="19"/>
      <c r="R128" s="19"/>
      <c r="S128" s="19"/>
      <c r="T128" s="19"/>
      <c r="U128" s="19"/>
      <c r="V128" s="19"/>
      <c r="W128" s="19"/>
      <c r="X128" s="19"/>
      <c r="Y128" s="19"/>
    </row>
    <row r="129" spans="1:25" ht="12" customHeight="1">
      <c r="A129" s="222" t="str" cm="1">
        <f t="array" ref="A129">IFERROR(INDEX('03.Muestra'!$B$8:$B$42,SMALL(IF("Página Web"='03.Muestra'!$D$8:$D$42,ROW('03.Muestra'!$B$8:$B$42)-MIN(ROW('03.Muestra'!$D$8:$D$42))+1,""),ROW()-94)),"")</f>
        <v/>
      </c>
      <c r="B129" s="221" t="str" cm="1">
        <f t="array" ref="B129">IFERROR(INDEX('03.Muestra'!$C$8:$C$42,SMALL(IF("Página Web"='03.Muestra'!$D$8:$D$42,ROW('03.Muestra'!$C$8:$C$42)-MIN(ROW('03.Muestra'!$D$8:$D$42))+1,""),ROW()-94)),"")</f>
        <v/>
      </c>
      <c r="C129" s="221" t="str" cm="1">
        <f t="array" ref="C129">IFERROR(INDEX('03.Muestra'!$F$8:$F$42,SMALL(IF("Página Web"='03.Muestra'!$D$8:$D$42,ROW('03.Muestra'!$F$8:$F$42)-MIN(ROW('03.Muestra'!$D$8:$D$42))+1,""),ROW()-94)),"")</f>
        <v/>
      </c>
      <c r="D129" s="130" t="str">
        <f t="shared" si="5"/>
        <v/>
      </c>
      <c r="E129" s="107" t="str">
        <f t="shared" si="4"/>
        <v/>
      </c>
      <c r="F129" s="19"/>
      <c r="G129" s="19"/>
      <c r="H129" s="19"/>
      <c r="I129" s="19"/>
      <c r="J129" s="19"/>
      <c r="K129" s="19"/>
      <c r="L129" s="19"/>
      <c r="M129" s="19"/>
      <c r="N129" s="19"/>
      <c r="O129" s="19"/>
      <c r="P129" s="19"/>
      <c r="Q129" s="19"/>
      <c r="R129" s="19"/>
      <c r="S129" s="19"/>
      <c r="T129" s="19"/>
      <c r="U129" s="19"/>
      <c r="V129" s="19"/>
      <c r="W129" s="19"/>
      <c r="X129" s="19"/>
      <c r="Y129" s="19"/>
    </row>
    <row r="130" spans="1:25" ht="12" customHeight="1">
      <c r="B130" s="19"/>
      <c r="C130" s="19"/>
      <c r="D130" s="107"/>
      <c r="E130" s="107"/>
      <c r="F130" s="19"/>
      <c r="G130" s="19"/>
      <c r="H130" s="19"/>
      <c r="I130" s="19"/>
      <c r="J130" s="19"/>
      <c r="K130" s="19"/>
      <c r="L130" s="19"/>
      <c r="M130" s="19"/>
      <c r="N130" s="19"/>
      <c r="O130" s="19"/>
      <c r="P130" s="19"/>
      <c r="Q130" s="19"/>
      <c r="R130" s="19"/>
      <c r="S130" s="19"/>
      <c r="T130" s="19"/>
      <c r="U130" s="19"/>
      <c r="V130" s="19"/>
      <c r="W130" s="19"/>
      <c r="X130" s="19"/>
      <c r="Y130" s="19"/>
    </row>
    <row r="131" spans="1:25" ht="12" customHeight="1">
      <c r="B131" s="19"/>
      <c r="C131" s="19"/>
      <c r="D131" s="107"/>
      <c r="E131" s="107"/>
      <c r="F131" s="19"/>
      <c r="G131" s="19"/>
      <c r="H131" s="19"/>
      <c r="I131" s="19"/>
      <c r="J131" s="19"/>
      <c r="K131" s="19"/>
      <c r="L131" s="19"/>
      <c r="M131" s="19"/>
      <c r="N131" s="19"/>
      <c r="O131" s="19"/>
      <c r="P131" s="19"/>
      <c r="Q131" s="19"/>
      <c r="R131" s="19"/>
      <c r="S131" s="19"/>
      <c r="T131" s="19"/>
      <c r="U131" s="19"/>
      <c r="V131" s="19"/>
      <c r="W131" s="19"/>
      <c r="X131" s="19"/>
      <c r="Y131" s="19"/>
    </row>
    <row r="132" spans="1:25" ht="12" customHeight="1">
      <c r="B132" s="19"/>
      <c r="C132" s="19"/>
      <c r="D132" s="107"/>
      <c r="E132" s="107"/>
      <c r="F132" s="19"/>
      <c r="G132" s="19"/>
      <c r="H132" s="19"/>
      <c r="I132" s="19"/>
      <c r="J132" s="19"/>
      <c r="K132" s="19"/>
      <c r="L132" s="19"/>
      <c r="M132" s="19"/>
      <c r="N132" s="19"/>
      <c r="O132" s="19"/>
      <c r="P132" s="19"/>
      <c r="Q132" s="19"/>
      <c r="R132" s="19"/>
      <c r="S132" s="19"/>
      <c r="T132" s="19"/>
      <c r="U132" s="19"/>
      <c r="V132" s="19"/>
      <c r="W132" s="19"/>
      <c r="X132" s="19"/>
      <c r="Y132" s="19"/>
    </row>
    <row r="133" spans="1:25" ht="12" customHeight="1">
      <c r="B133" s="19"/>
      <c r="C133" s="19"/>
      <c r="D133" s="107"/>
      <c r="E133" s="107"/>
      <c r="F133" s="19"/>
      <c r="G133" s="19"/>
      <c r="H133" s="19"/>
      <c r="I133" s="19"/>
      <c r="J133" s="19"/>
      <c r="K133" s="19"/>
      <c r="L133" s="19"/>
      <c r="M133" s="19"/>
      <c r="N133" s="19"/>
      <c r="O133" s="19"/>
      <c r="P133" s="19"/>
      <c r="Q133" s="19"/>
      <c r="R133" s="19"/>
      <c r="S133" s="19"/>
      <c r="T133" s="19"/>
      <c r="U133" s="19"/>
      <c r="V133" s="19"/>
      <c r="W133" s="19"/>
      <c r="X133" s="19"/>
      <c r="Y133" s="19"/>
    </row>
    <row r="134" spans="1:25" ht="12" customHeight="1">
      <c r="B134" s="19"/>
      <c r="C134" s="19"/>
      <c r="D134" s="107"/>
      <c r="E134" s="107"/>
      <c r="F134" s="19"/>
      <c r="G134" s="19"/>
      <c r="H134" s="19"/>
      <c r="I134" s="19"/>
      <c r="J134" s="19"/>
      <c r="K134" s="19"/>
      <c r="L134" s="19"/>
      <c r="M134" s="19"/>
      <c r="N134" s="19"/>
      <c r="O134" s="19"/>
      <c r="P134" s="19"/>
      <c r="Q134" s="19"/>
      <c r="R134" s="19"/>
      <c r="S134" s="19"/>
      <c r="T134" s="19"/>
      <c r="U134" s="19"/>
      <c r="V134" s="19"/>
      <c r="W134" s="19"/>
      <c r="X134" s="19"/>
      <c r="Y134" s="19"/>
    </row>
    <row r="135" spans="1:25" ht="12" customHeight="1">
      <c r="B135" s="19"/>
      <c r="C135" s="19"/>
      <c r="D135" s="107"/>
      <c r="E135" s="107"/>
      <c r="F135" s="19"/>
      <c r="G135" s="19"/>
      <c r="H135" s="19"/>
      <c r="I135" s="19"/>
      <c r="J135" s="19"/>
      <c r="K135" s="19"/>
      <c r="L135" s="19"/>
      <c r="M135" s="19"/>
      <c r="N135" s="19"/>
      <c r="O135" s="19"/>
      <c r="P135" s="19"/>
      <c r="Q135" s="19"/>
      <c r="R135" s="19"/>
      <c r="S135" s="19"/>
      <c r="T135" s="19"/>
      <c r="U135" s="19"/>
      <c r="V135" s="19"/>
      <c r="W135" s="19"/>
      <c r="X135" s="19"/>
      <c r="Y135" s="19"/>
    </row>
    <row r="136" spans="1:25" ht="12" customHeight="1">
      <c r="B136" s="19"/>
      <c r="C136" s="19"/>
      <c r="D136" s="107"/>
      <c r="E136" s="107"/>
      <c r="F136" s="19"/>
      <c r="G136" s="19"/>
      <c r="H136" s="19"/>
      <c r="I136" s="19"/>
      <c r="J136" s="19"/>
      <c r="K136" s="19"/>
      <c r="L136" s="19"/>
      <c r="M136" s="19"/>
      <c r="N136" s="19"/>
      <c r="O136" s="19"/>
      <c r="P136" s="19"/>
      <c r="Q136" s="19"/>
      <c r="R136" s="19"/>
      <c r="S136" s="19"/>
      <c r="T136" s="19"/>
      <c r="U136" s="19"/>
      <c r="V136" s="19"/>
      <c r="W136" s="19"/>
      <c r="X136" s="19"/>
      <c r="Y136" s="19"/>
    </row>
    <row r="137" spans="1:25" ht="12" customHeight="1">
      <c r="B137" s="19"/>
      <c r="C137" s="19"/>
      <c r="D137" s="107"/>
      <c r="E137" s="107"/>
      <c r="F137" s="19"/>
      <c r="G137" s="19"/>
      <c r="H137" s="19"/>
      <c r="I137" s="19"/>
      <c r="J137" s="19"/>
      <c r="K137" s="19"/>
      <c r="L137" s="19"/>
      <c r="M137" s="19"/>
      <c r="N137" s="19"/>
      <c r="O137" s="19"/>
      <c r="P137" s="19"/>
      <c r="Q137" s="19"/>
      <c r="R137" s="19"/>
      <c r="S137" s="19"/>
      <c r="T137" s="19"/>
      <c r="U137" s="19"/>
      <c r="V137" s="19"/>
      <c r="W137" s="19"/>
      <c r="X137" s="19"/>
      <c r="Y137" s="19"/>
    </row>
    <row r="138" spans="1:25" ht="12" customHeight="1">
      <c r="B138" s="19"/>
      <c r="C138" s="19"/>
      <c r="D138" s="107"/>
      <c r="E138" s="107"/>
      <c r="F138" s="19"/>
      <c r="G138" s="19"/>
      <c r="H138" s="19"/>
      <c r="I138" s="19"/>
      <c r="J138" s="19"/>
      <c r="K138" s="19"/>
      <c r="L138" s="19"/>
      <c r="M138" s="19"/>
      <c r="N138" s="19"/>
      <c r="O138" s="19"/>
      <c r="P138" s="19"/>
      <c r="Q138" s="19"/>
      <c r="R138" s="19"/>
      <c r="S138" s="19"/>
      <c r="T138" s="19"/>
      <c r="U138" s="19"/>
      <c r="V138" s="19"/>
      <c r="W138" s="19"/>
      <c r="X138" s="19"/>
      <c r="Y138" s="19"/>
    </row>
  </sheetData>
  <sheetCalcPr fullCalcOnLoad="true"/>
  <sheetProtection password="DC4E" sheet="true" scenarios="true" objects="true"/>
  <mergeCells count="2">
    <mergeCell ref="B11:C11"/>
    <mergeCell ref="B9:M9"/>
  </mergeCells>
  <conditionalFormatting sqref="E57:E91 E95:E129 E19:E53">
    <cfRule type="cellIs" dxfId="1187" priority="154" stopIfTrue="1" operator="equal">
      <formula>"ERR"</formula>
    </cfRule>
  </conditionalFormatting>
  <conditionalFormatting sqref="D19:D53 D57:D91 D95:D129 F19:J19 F57:J57 F95:J95">
    <cfRule type="expression" dxfId="1186" priority="148" stopIfTrue="1">
      <formula>ISBLANK(D19)</formula>
    </cfRule>
    <cfRule type="cellIs" dxfId="1185" priority="149" stopIfTrue="1" operator="equal">
      <formula>"Pasa"</formula>
    </cfRule>
    <cfRule type="cellIs" dxfId="1184" priority="150" stopIfTrue="1" operator="equal">
      <formula>"Falla"</formula>
    </cfRule>
    <cfRule type="cellIs" dxfId="1183" priority="151" stopIfTrue="1" operator="equal">
      <formula>"N/A"</formula>
    </cfRule>
    <cfRule type="cellIs" dxfId="1182" priority="152" stopIfTrue="1" operator="equal">
      <formula>"N/T"</formula>
    </cfRule>
    <cfRule type="cellIs" dxfId="1181" priority="153" stopIfTrue="1" operator="equal">
      <formula>"N/D"</formula>
    </cfRule>
  </conditionalFormatting>
  <conditionalFormatting sqref="D1:D8 D10:D1048576">
    <cfRule type="cellIs" dxfId="1180" priority="20" stopIfTrue="1" operator="equal">
      <formula>"-"</formula>
    </cfRule>
  </conditionalFormatting>
  <conditionalFormatting sqref="K23">
    <cfRule type="expression" dxfId="1179" priority="7" stopIfTrue="1">
      <formula>ISBLANK(K23)</formula>
    </cfRule>
    <cfRule type="cellIs" dxfId="1178" priority="8" stopIfTrue="1" operator="equal">
      <formula>"Pasa"</formula>
    </cfRule>
    <cfRule type="cellIs" dxfId="1177" priority="9" stopIfTrue="1" operator="equal">
      <formula>"Falla"</formula>
    </cfRule>
    <cfRule type="cellIs" dxfId="1176" priority="10" stopIfTrue="1" operator="equal">
      <formula>"N/A"</formula>
    </cfRule>
    <cfRule type="cellIs" dxfId="1175" priority="11" stopIfTrue="1" operator="equal">
      <formula>"N/T"</formula>
    </cfRule>
    <cfRule type="cellIs" dxfId="1174" priority="12" stopIfTrue="1" operator="equal">
      <formula>"N/D"</formula>
    </cfRule>
  </conditionalFormatting>
  <conditionalFormatting sqref="K24">
    <cfRule type="expression" dxfId="1173" priority="1" stopIfTrue="1">
      <formula>ISBLANK(K24)</formula>
    </cfRule>
    <cfRule type="cellIs" dxfId="1172" priority="2" stopIfTrue="1" operator="equal">
      <formula>"Pasa"</formula>
    </cfRule>
    <cfRule type="cellIs" dxfId="1171" priority="3" stopIfTrue="1" operator="equal">
      <formula>"Falla"</formula>
    </cfRule>
    <cfRule type="cellIs" dxfId="1170" priority="4" stopIfTrue="1" operator="equal">
      <formula>"N/A"</formula>
    </cfRule>
    <cfRule type="cellIs" dxfId="1169" priority="5" stopIfTrue="1" operator="equal">
      <formula>"N/T"</formula>
    </cfRule>
    <cfRule type="cellIs" dxfId="1168" priority="6" stopIfTrue="1" operator="equal">
      <formula>"N/D"</formula>
    </cfRule>
  </conditionalFormatting>
  <pageMargins left="0.7" right="0.7" top="0.75" bottom="0.75" header="0.51180555555555496" footer="0.51180555555555496"/>
  <pageSetup firstPageNumber="0" orientation="portrait" horizontalDpi="300" verticalDpi="300" r:id="rId1"/>
  <drawing r:id="rId2"/>
  <legacyDrawing r:id="rId3"/>
  <extLst>
    <ext uri="{CCE6A557-97BC-4b89-ADB6-D9C93CAAB3DF}">
      <x14:dataValidations xmlns:xm="http://schemas.microsoft.com/office/excel/2006/main" count="1">
        <x14:dataValidation type="list" operator="equal" showErrorMessage="1">
          <x14:formula1>
            <xm:f>'DATA - Oculta'!$U$9:$U$13</xm:f>
          </x14:formula1>
          <xm:sqref>D19:D53 D57:D91 D95:D129</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9"/>
  <dimension ref="A1:BL746"/>
  <sheetViews>
    <sheetView topLeftCell="A114" zoomScale="77" zoomScaleNormal="77" workbookViewId="0">
      <selection activeCell="E137" sqref="E137"/>
    </sheetView>
  </sheetViews>
  <sheetFormatPr baseColWidth="10" defaultColWidth="11.5703125" defaultRowHeight="12.75"/>
  <cols>
    <col min="1" max="1" customWidth="true" style="14" width="7.85546875" collapsed="false"/>
    <col min="2" max="2" customWidth="true" style="14" width="16.140625" collapsed="false"/>
    <col min="3" max="3" customWidth="true" style="14" width="56.0" collapsed="false"/>
    <col min="4" max="4" customWidth="true" style="113" width="18.28515625" collapsed="false"/>
    <col min="5" max="5" customWidth="true" style="113" width="5.5703125" collapsed="false"/>
    <col min="6" max="6" bestFit="true" customWidth="true" style="14" width="16.42578125" collapsed="false"/>
    <col min="7" max="7" customWidth="true" style="14" width="14.7109375" collapsed="false"/>
    <col min="8" max="8" customWidth="true" style="14" width="12.5703125" collapsed="false"/>
    <col min="9" max="9" customWidth="true" style="14" width="11.7109375" collapsed="false"/>
    <col min="10" max="10" bestFit="true" customWidth="true" style="14" width="17.28515625" collapsed="false"/>
    <col min="11" max="11" customWidth="true" style="14" width="14.5703125" collapsed="false"/>
    <col min="12" max="12" customWidth="true" style="14" width="12.5703125" collapsed="false"/>
    <col min="13" max="13" customWidth="true" style="14" width="18.5703125" collapsed="false"/>
    <col min="14" max="15" customWidth="true" style="14" width="12.5703125" collapsed="false"/>
    <col min="16" max="16" customWidth="true" style="14" width="19.5703125" collapsed="false"/>
    <col min="17" max="17" customWidth="true" style="14" width="6.85546875" collapsed="false"/>
    <col min="18" max="18" customWidth="true" style="14" width="4.7109375" collapsed="false"/>
    <col min="19" max="19" customWidth="true" style="14" width="12.85546875" collapsed="false"/>
    <col min="20" max="20" customWidth="true" style="14" width="12.140625" collapsed="false"/>
    <col min="21" max="21" customWidth="true" style="14" width="6.7109375" collapsed="false"/>
    <col min="22" max="22" customWidth="true" style="14" width="5.5703125" collapsed="false"/>
    <col min="23" max="23" customWidth="true" style="14" width="12.0" collapsed="false"/>
    <col min="24" max="24" customWidth="true" style="14" width="11.85546875" collapsed="false"/>
    <col min="25" max="25" customWidth="true" style="14" width="7.28515625" collapsed="false"/>
    <col min="26" max="64" customWidth="true" style="14" width="14.42578125" collapsed="false"/>
    <col min="65" max="16384" style="14" width="11.5703125" collapsed="false"/>
  </cols>
  <sheetData>
    <row r="1" spans="1:64" ht="14.1" customHeight="1">
      <c r="A1" s="28"/>
      <c r="B1" s="21"/>
      <c r="C1" s="21"/>
      <c r="D1" s="106"/>
      <c r="E1" s="107"/>
      <c r="F1" s="19"/>
      <c r="G1" s="19"/>
      <c r="H1" s="19"/>
      <c r="I1" s="19"/>
      <c r="J1" s="19"/>
      <c r="K1" s="19"/>
      <c r="L1" s="19"/>
      <c r="M1" s="19"/>
      <c r="N1" s="19"/>
      <c r="O1" s="19"/>
      <c r="P1" s="19"/>
      <c r="Q1" s="19"/>
      <c r="R1" s="19"/>
      <c r="S1" s="19"/>
      <c r="T1" s="19"/>
      <c r="U1" s="19"/>
      <c r="V1" s="19"/>
      <c r="W1" s="19"/>
      <c r="X1" s="19"/>
      <c r="Y1" s="19"/>
      <c r="Z1" s="19"/>
    </row>
    <row r="2" spans="1:64" ht="27" customHeight="1">
      <c r="A2" s="28"/>
      <c r="B2" s="64" t="s">
        <v>0</v>
      </c>
      <c r="C2" s="28"/>
      <c r="D2" s="106"/>
      <c r="E2" s="107"/>
      <c r="P2" s="19"/>
      <c r="Q2" s="19"/>
      <c r="R2" s="19"/>
      <c r="S2" s="19"/>
      <c r="T2" s="19"/>
      <c r="U2" s="19"/>
      <c r="V2" s="19"/>
      <c r="W2" s="19"/>
      <c r="X2" s="19"/>
      <c r="Y2" s="19"/>
      <c r="Z2" s="19"/>
    </row>
    <row r="3" spans="1:64" ht="26.1" customHeight="1">
      <c r="A3" s="28"/>
      <c r="B3" s="65" t="s">
        <v>358</v>
      </c>
      <c r="C3" s="28"/>
      <c r="D3" s="106"/>
      <c r="E3" s="107"/>
    </row>
    <row r="4" spans="1:64" ht="26.1" customHeight="1">
      <c r="B4" s="27"/>
      <c r="C4" s="66"/>
      <c r="D4" s="14"/>
      <c r="E4" s="14"/>
      <c r="K4" s="19"/>
      <c r="N4" s="19"/>
      <c r="O4" s="19"/>
    </row>
    <row r="5" spans="1:64" ht="27.95" customHeight="1">
      <c r="B5" s="137" t="s">
        <v>22</v>
      </c>
      <c r="C5" s="137"/>
      <c r="D5" s="78"/>
      <c r="E5" s="108"/>
      <c r="F5" s="78"/>
      <c r="G5" s="78"/>
      <c r="H5" s="78"/>
      <c r="I5" s="78"/>
      <c r="J5" s="78"/>
      <c r="K5" s="78"/>
      <c r="L5" s="78"/>
      <c r="M5" s="78"/>
      <c r="N5" s="67"/>
      <c r="O5" s="67"/>
      <c r="AA5" s="68"/>
      <c r="AB5" s="68"/>
      <c r="AC5" s="68"/>
      <c r="AD5" s="68"/>
      <c r="AE5" s="68"/>
      <c r="AF5" s="68"/>
      <c r="AG5" s="68"/>
      <c r="AH5" s="68"/>
      <c r="AI5" s="68"/>
      <c r="AJ5" s="68"/>
      <c r="AK5" s="68"/>
      <c r="AL5" s="68"/>
      <c r="AM5" s="68"/>
      <c r="AN5" s="68"/>
      <c r="AO5" s="68"/>
      <c r="AP5" s="68"/>
      <c r="AQ5" s="68"/>
      <c r="AR5" s="68"/>
      <c r="AS5" s="68"/>
      <c r="AT5" s="68"/>
      <c r="AU5" s="68"/>
      <c r="AV5" s="68"/>
      <c r="AW5" s="68"/>
      <c r="AX5" s="68"/>
      <c r="AY5" s="68"/>
      <c r="AZ5" s="68"/>
      <c r="BA5" s="68"/>
      <c r="BB5" s="68"/>
      <c r="BC5" s="68"/>
      <c r="BD5" s="68"/>
      <c r="BE5" s="68"/>
      <c r="BF5" s="68"/>
      <c r="BG5" s="68"/>
      <c r="BH5" s="68"/>
      <c r="BI5" s="68"/>
      <c r="BJ5" s="68"/>
      <c r="BK5" s="68"/>
      <c r="BL5" s="68"/>
    </row>
    <row r="6" spans="1:64" ht="11.65" customHeight="1">
      <c r="B6" s="154"/>
      <c r="C6" s="154"/>
      <c r="D6" s="154"/>
      <c r="E6" s="155"/>
      <c r="F6" s="154"/>
      <c r="G6" s="154"/>
      <c r="H6" s="154"/>
      <c r="I6" s="154"/>
      <c r="J6" s="154"/>
      <c r="K6" s="154"/>
      <c r="L6" s="154"/>
      <c r="M6" s="154"/>
      <c r="N6" s="19"/>
      <c r="O6" s="19"/>
    </row>
    <row r="7" spans="1:64" ht="12.6" customHeight="1">
      <c r="B7" s="19"/>
      <c r="C7" s="19"/>
      <c r="D7" s="19"/>
      <c r="E7" s="107"/>
      <c r="F7" s="19"/>
      <c r="G7" s="19"/>
      <c r="H7" s="19"/>
      <c r="I7" s="19"/>
      <c r="J7" s="19"/>
      <c r="K7" s="19"/>
      <c r="L7" s="19"/>
      <c r="M7" s="19"/>
      <c r="N7" s="19"/>
      <c r="O7" s="19"/>
    </row>
    <row r="8" spans="1:64" ht="21" customHeight="1">
      <c r="B8" s="111" t="s">
        <v>318</v>
      </c>
      <c r="C8" s="19"/>
      <c r="D8" s="107"/>
      <c r="E8" s="107"/>
      <c r="F8" s="19"/>
      <c r="G8" s="19"/>
      <c r="H8" s="19"/>
      <c r="I8" s="19"/>
      <c r="J8" s="19"/>
      <c r="K8" s="19"/>
      <c r="L8" s="19"/>
      <c r="M8" s="19"/>
      <c r="N8" s="19"/>
      <c r="O8" s="19"/>
    </row>
    <row r="9" spans="1:64" ht="30" customHeight="1">
      <c r="B9" s="264" t="s">
        <v>471</v>
      </c>
      <c r="C9" s="264"/>
      <c r="D9" s="264"/>
      <c r="E9" s="264"/>
      <c r="F9" s="264"/>
      <c r="G9" s="264"/>
      <c r="H9" s="264"/>
      <c r="I9" s="264"/>
      <c r="J9" s="264"/>
      <c r="K9" s="264"/>
      <c r="L9" s="264"/>
      <c r="M9" s="264"/>
      <c r="N9" s="19"/>
      <c r="O9" s="19"/>
    </row>
    <row r="10" spans="1:64" ht="17.100000000000001" customHeight="1" thickBot="1">
      <c r="B10" s="19"/>
      <c r="C10" s="19"/>
      <c r="D10" s="107"/>
      <c r="E10" s="107"/>
      <c r="K10" s="19"/>
      <c r="L10" s="19"/>
      <c r="M10" s="19"/>
      <c r="N10" s="19"/>
      <c r="O10" s="19"/>
      <c r="P10" s="19"/>
      <c r="Q10" s="19"/>
      <c r="R10" s="19"/>
      <c r="U10" s="19"/>
      <c r="V10" s="19"/>
      <c r="W10" s="19"/>
      <c r="X10" s="19"/>
      <c r="Y10" s="19"/>
    </row>
    <row r="11" spans="1:64" ht="25.35" customHeight="1">
      <c r="B11" s="262" t="s">
        <v>152</v>
      </c>
      <c r="C11" s="263"/>
      <c r="D11" s="28"/>
      <c r="E11" s="14"/>
      <c r="F11" s="138" t="s">
        <v>23</v>
      </c>
      <c r="G11" s="136" t="s">
        <v>359</v>
      </c>
      <c r="H11" s="139" t="s">
        <v>24</v>
      </c>
      <c r="I11" s="23"/>
      <c r="J11" s="138" t="s">
        <v>25</v>
      </c>
      <c r="K11" s="136" t="s">
        <v>359</v>
      </c>
      <c r="L11" s="139" t="s">
        <v>24</v>
      </c>
      <c r="M11" s="19"/>
      <c r="N11" s="19"/>
      <c r="O11" s="19"/>
      <c r="P11" s="19"/>
      <c r="Q11" s="19"/>
      <c r="R11" s="19"/>
      <c r="U11" s="19"/>
      <c r="V11" s="19"/>
      <c r="W11" s="19"/>
      <c r="X11" s="19"/>
      <c r="Y11" s="19"/>
    </row>
    <row r="12" spans="1:64" ht="12" customHeight="1">
      <c r="B12" s="143" t="s">
        <v>90</v>
      </c>
      <c r="C12" s="57" t="n">
        <f>COUNTIF($B$18:$B$4418,B12)</f>
        <v>19.0</v>
      </c>
      <c r="D12" s="28"/>
      <c r="E12" s="14"/>
      <c r="F12" s="62" t="s">
        <v>26</v>
      </c>
      <c r="G12" s="61" t="n">
        <f ca="1">J20+J58+J96+J134+J172+J210+J248+J286+J324+J362+J400+J438+J476+J514+J552+J590+J628+J666+J704</f>
        <v>0.0</v>
      </c>
      <c r="H12" s="53" t="n">
        <f ca="1">IF(($G$15+$K$15)=0,0,G12/($G$15+$K$15))</f>
        <v>0.0</v>
      </c>
      <c r="I12" s="28"/>
      <c r="J12" s="60" t="s">
        <v>27</v>
      </c>
      <c r="K12" s="61" t="n">
        <f ca="1">G20+G58+G96+G134+G172+G210+G248+G286+G324+G362+G400+G438+G476+G514+G552+G590+G628+G666+G704</f>
        <v>0.0</v>
      </c>
      <c r="L12" s="53" t="n">
        <f ca="1">IF(($G$15+$K$15)=0,0,K12/($G$15+$K$15))</f>
        <v>0.0</v>
      </c>
      <c r="M12" s="19"/>
      <c r="N12" s="19"/>
      <c r="O12" s="19"/>
      <c r="P12" s="19"/>
      <c r="Q12" s="19"/>
      <c r="R12" s="19"/>
      <c r="U12" s="19"/>
      <c r="V12" s="19"/>
      <c r="W12" s="19"/>
      <c r="X12" s="19"/>
      <c r="Y12" s="19"/>
    </row>
    <row r="13" spans="1:64" ht="12" customHeight="1">
      <c r="B13" s="56"/>
      <c r="C13" s="57"/>
      <c r="D13" s="28"/>
      <c r="E13" s="14"/>
      <c r="F13" s="62" t="s">
        <v>28</v>
      </c>
      <c r="G13" s="61" t="n">
        <f ca="1">I20+I58+I96+I134+I172+I210+I248+I286+I324+I362+I400+I438+I476+I514+I552+I590+I628+I666+I704</f>
        <v>0.0</v>
      </c>
      <c r="H13" s="53" t="n">
        <f ca="1">IF(($G$15+$K$15)=0,0,G13/($G$15+$K$15))</f>
        <v>0.0</v>
      </c>
      <c r="I13" s="28"/>
      <c r="J13" s="60" t="s">
        <v>29</v>
      </c>
      <c r="K13" s="61" t="n">
        <f ca="1">F20+F58+F96+F134+F172+F210+F248+F286+F324+F362+F400+F438+F476+F514+F552+F590+F628+F666+F704</f>
        <v>627.0</v>
      </c>
      <c r="L13" s="53" t="n">
        <f ca="1">IF(($G$15+$K$15)=0,0,K13/($G$15+$K$15))</f>
        <v>1.0</v>
      </c>
      <c r="M13" s="19"/>
      <c r="N13" s="19"/>
      <c r="O13" s="19"/>
      <c r="P13" s="19"/>
      <c r="Q13" s="19"/>
      <c r="R13" s="19"/>
      <c r="U13" s="19"/>
      <c r="V13" s="19"/>
      <c r="W13" s="19"/>
      <c r="X13" s="19"/>
      <c r="Y13" s="19"/>
    </row>
    <row r="14" spans="1:64" ht="12" customHeight="1" thickBot="1">
      <c r="B14" s="58" t="s">
        <v>30</v>
      </c>
      <c r="C14" s="59" t="n">
        <f>C12+C13</f>
        <v>19.0</v>
      </c>
      <c r="D14" s="28"/>
      <c r="E14" s="14"/>
      <c r="F14" s="62" t="s">
        <v>31</v>
      </c>
      <c r="G14" s="61" t="n">
        <f ca="1">H20+H58+H96+H134+H172+H210+H248+H286+H324+H362+H400+H438+H476+H514+H552+H590+H628+H666+H704</f>
        <v>0.0</v>
      </c>
      <c r="H14" s="53" t="n">
        <f ca="1">IF(($G$15+$K$15)=0,0,G14/($G$15+$K$15))</f>
        <v>0.0</v>
      </c>
      <c r="I14" s="28"/>
      <c r="J14" s="224" t="s">
        <v>474</v>
      </c>
      <c r="K14" s="223" t="n">
        <f ca="1">K20+K58+K96+K134+K172+K210+K248+K286+K324+K362+K400+K438+K476+K514+K552+K590+K628+K666+K704</f>
        <v>0.0</v>
      </c>
      <c r="L14" s="53" t="n">
        <f ca="1">IF(($G$15+$K$15)=0,0,K14/($G$15+$K$15))</f>
        <v>0.0</v>
      </c>
      <c r="M14" s="19"/>
      <c r="N14" s="19"/>
      <c r="O14" s="19"/>
      <c r="P14" s="19"/>
      <c r="Q14" s="19"/>
      <c r="R14" s="19"/>
      <c r="U14" s="19"/>
      <c r="V14" s="19"/>
      <c r="W14" s="19"/>
      <c r="X14" s="19"/>
      <c r="Y14" s="19"/>
    </row>
    <row r="15" spans="1:64" ht="12" customHeight="1" thickBot="1">
      <c r="B15" s="23"/>
      <c r="C15" s="28"/>
      <c r="D15" s="28"/>
      <c r="E15" s="14"/>
      <c r="F15" s="58" t="s">
        <v>30</v>
      </c>
      <c r="G15" s="49" t="n">
        <f ca="1">SUM(G12:G14)</f>
        <v>0.0</v>
      </c>
      <c r="H15" s="55" t="n">
        <f ca="1">SUM(H12:H14)</f>
        <v>0.0</v>
      </c>
      <c r="I15" s="28"/>
      <c r="J15" s="58" t="s">
        <v>30</v>
      </c>
      <c r="K15" s="49" t="n">
        <f ca="1">SUM(K12:K13)</f>
        <v>627.0</v>
      </c>
      <c r="L15" s="55" t="n">
        <f ca="1">SUM(L12:L13)</f>
        <v>1.0</v>
      </c>
      <c r="M15" s="19"/>
      <c r="N15" s="19"/>
      <c r="O15" s="19"/>
      <c r="P15" s="19"/>
      <c r="Q15" s="19"/>
      <c r="R15" s="19"/>
      <c r="U15" s="19"/>
      <c r="V15" s="19"/>
      <c r="W15" s="19"/>
      <c r="X15" s="19"/>
      <c r="Y15" s="19"/>
    </row>
    <row r="16" spans="1:64" ht="12" customHeight="1">
      <c r="B16" s="19"/>
      <c r="C16" s="19"/>
      <c r="D16" s="28"/>
      <c r="E16" s="28"/>
      <c r="F16" s="28"/>
      <c r="G16" s="28"/>
      <c r="H16" s="28"/>
      <c r="I16" s="28"/>
      <c r="J16" s="28"/>
      <c r="K16" s="28"/>
      <c r="L16" s="19"/>
      <c r="M16" s="19"/>
      <c r="N16" s="19"/>
      <c r="O16" s="19"/>
      <c r="P16" s="19"/>
      <c r="Q16" s="19"/>
      <c r="R16" s="19"/>
      <c r="U16" s="19"/>
      <c r="V16" s="19"/>
      <c r="W16" s="19"/>
      <c r="X16" s="19"/>
      <c r="Y16" s="19"/>
    </row>
    <row r="17" spans="1:30" ht="12" customHeight="1">
      <c r="B17" s="19"/>
      <c r="C17" s="19"/>
      <c r="D17" s="107"/>
      <c r="E17" s="112"/>
      <c r="K17" s="19"/>
      <c r="L17" s="19"/>
      <c r="M17" s="19"/>
    </row>
    <row r="18" spans="1:30" ht="29.85" customHeight="1">
      <c r="A18" s="218" t="s">
        <v>268</v>
      </c>
      <c r="B18" s="24" t="s">
        <v>90</v>
      </c>
      <c r="C18" s="25" t="s">
        <v>253</v>
      </c>
      <c r="D18" s="26" t="s">
        <v>32</v>
      </c>
      <c r="K18" s="19"/>
      <c r="L18" s="19"/>
    </row>
    <row r="19" spans="1:30" ht="12" customHeight="1">
      <c r="A19" s="219" t="n" cm="1">
        <f t="array" ref="A19">IFERROR(INDEX('03.Muestra'!$B$8:$B$42,SMALL(IF("Página Web"='03.Muestra'!$D$8:$D$42,ROW('03.Muestra'!$B$8:$B$42)-MIN(ROW('03.Muestra'!$D$8:$D$42))+1,""),ROW()-18)),"")</f>
        <v>1.0</v>
      </c>
      <c r="B19" s="114" t="str" cm="1">
        <f t="array" ref="B19">IFERROR(INDEX('03.Muestra'!$C$8:$C$42,SMALL(IF("Página Web"='03.Muestra'!$D$8:$D$42,ROW('03.Muestra'!$C$8:$C$42)-MIN(ROW('03.Muestra'!$D$8:$D$42))+1,""),ROW()-18)),"")</f>
        <v>Home - PortCastelló</v>
      </c>
      <c r="C19" s="114" t="str" cm="1">
        <f t="array" ref="C19">IFERROR(INDEX('03.Muestra'!$F$8:$F$42,SMALL(IF("Página Web"='03.Muestra'!$D$8:$D$42,ROW('03.Muestra'!$F$8:$F$42)-MIN(ROW('03.Muestra'!$D$8:$D$42))+1,""),ROW()-18)),"")</f>
        <v>https://www.portcastello.com/</v>
      </c>
      <c r="D19" s="130" t="str">
        <f>IF(AND(B19&lt;&gt;"",C19&lt;&gt;""),"N/T","")</f>
        <v>N/T</v>
      </c>
      <c r="E19" s="107" t="str">
        <f t="shared" ref="E19:E53" si="0">IF(D19&lt;&gt;"",IF(AND(B19&lt;&gt;"",C19&lt;&gt;""),"","ERR"),"")</f>
        <v/>
      </c>
      <c r="F19" s="115" t="s">
        <v>33</v>
      </c>
      <c r="G19" s="116" t="s">
        <v>37</v>
      </c>
      <c r="H19" s="117" t="s">
        <v>35</v>
      </c>
      <c r="I19" s="118" t="s">
        <v>28</v>
      </c>
      <c r="J19" s="119" t="s">
        <v>26</v>
      </c>
      <c r="K19" s="226" t="s">
        <v>474</v>
      </c>
      <c r="L19" s="19"/>
    </row>
    <row r="20" spans="1:30" ht="12" customHeight="1">
      <c r="A20" s="219" t="n" cm="1">
        <f t="array" ref="A20">IFERROR(INDEX('03.Muestra'!$B$8:$B$42,SMALL(IF("Página Web"='03.Muestra'!$D$8:$D$42,ROW('03.Muestra'!$B$8:$B$42)-MIN(ROW('03.Muestra'!$D$8:$D$42))+1,""),ROW()-18)),"")</f>
        <v>1.0</v>
      </c>
      <c r="B20" s="114" t="str" cm="1">
        <f t="array" ref="B20">IFERROR(INDEX('03.Muestra'!$C$8:$C$42,SMALL(IF("Página Web"='03.Muestra'!$D$8:$D$42,ROW('03.Muestra'!$C$8:$C$42)-MIN(ROW('03.Muestra'!$D$8:$D$42))+1,""),ROW()-18)),"")</f>
        <v>Home - PortCastelló</v>
      </c>
      <c r="C20" s="114" t="str" cm="1">
        <f t="array" ref="C20">IFERROR(INDEX('03.Muestra'!$F$8:$F$42,SMALL(IF("Página Web"='03.Muestra'!$D$8:$D$42,ROW('03.Muestra'!$F$8:$F$42)-MIN(ROW('03.Muestra'!$D$8:$D$42))+1,""),ROW()-18)),"")</f>
        <v>https://www.portcastello.com/</v>
      </c>
      <c r="D20" s="130" t="str">
        <f t="shared" ref="D20:D53" si="1">IF(AND(B20&lt;&gt;"",C20&lt;&gt;""),"N/T","")</f>
        <v>N/T</v>
      </c>
      <c r="E20" s="107" t="str">
        <f t="shared" si="0"/>
        <v/>
      </c>
      <c r="F20" s="120" t="n">
        <f ca="1">COUNTIF($D19:INDIRECT("$D" &amp;  SUM(ROW()-1,'03.Muestra'!$D$45)-1),F19)</f>
        <v>33.0</v>
      </c>
      <c r="G20" s="120" t="n">
        <f ca="1">COUNTIF($D19:INDIRECT("$D" &amp;  SUM(ROW()-1,'03.Muestra'!$D$45)-1),G19)</f>
        <v>0.0</v>
      </c>
      <c r="H20" s="120" t="n">
        <f ca="1">COUNTIF($D19:INDIRECT("$D" &amp;  SUM(ROW()-1,'03.Muestra'!$D$45)-1),H19)</f>
        <v>0.0</v>
      </c>
      <c r="I20" s="120" t="n">
        <f ca="1">COUNTIF($D19:INDIRECT("$D" &amp;  SUM(ROW()-1,'03.Muestra'!$D$45)-1),I19)</f>
        <v>0.0</v>
      </c>
      <c r="J20" s="120" t="n">
        <f ca="1">COUNTIF($D19:INDIRECT("$D" &amp;  SUM(ROW()-1,'03.Muestra'!$D$45)-1),J19)</f>
        <v>0.0</v>
      </c>
      <c r="K20" s="227" t="n">
        <f ca="1">IF(COUNTIF('03.Muestra'!$D$8:$D$42,"Página Web")=0,0,COUNTBLANK($D19:INDIRECT("$D" &amp;  SUM(ROW()-1,COUNTIF('03.Muestra'!$D$8:$D$42,"Página Web"))-1)))</f>
        <v>0.0</v>
      </c>
      <c r="L20" s="19"/>
    </row>
    <row r="21" spans="1:30" ht="12" customHeight="1">
      <c r="A21" s="219" t="n" cm="1">
        <f t="array" ref="A21">IFERROR(INDEX('03.Muestra'!$B$8:$B$42,SMALL(IF("Página Web"='03.Muestra'!$D$8:$D$42,ROW('03.Muestra'!$B$8:$B$42)-MIN(ROW('03.Muestra'!$D$8:$D$42))+1,""),ROW()-18)),"")</f>
        <v>1.0</v>
      </c>
      <c r="B21" s="114" t="str" cm="1">
        <f t="array" ref="B21">IFERROR(INDEX('03.Muestra'!$C$8:$C$42,SMALL(IF("Página Web"='03.Muestra'!$D$8:$D$42,ROW('03.Muestra'!$C$8:$C$42)-MIN(ROW('03.Muestra'!$D$8:$D$42))+1,""),ROW()-18)),"")</f>
        <v>Home - PortCastelló</v>
      </c>
      <c r="C21" s="114" t="str" cm="1">
        <f t="array" ref="C21">IFERROR(INDEX('03.Muestra'!$F$8:$F$42,SMALL(IF("Página Web"='03.Muestra'!$D$8:$D$42,ROW('03.Muestra'!$F$8:$F$42)-MIN(ROW('03.Muestra'!$D$8:$D$42))+1,""),ROW()-18)),"")</f>
        <v>https://www.portcastello.com/</v>
      </c>
      <c r="D21" s="130" t="str">
        <f t="shared" si="1"/>
        <v>N/T</v>
      </c>
      <c r="E21" s="107" t="str">
        <f t="shared" si="0"/>
        <v/>
      </c>
      <c r="F21" s="19"/>
      <c r="G21" s="19"/>
      <c r="H21" s="19"/>
      <c r="I21" s="19"/>
      <c r="J21" s="19"/>
      <c r="K21" s="19"/>
    </row>
    <row r="22" spans="1:30" ht="12" customHeight="1">
      <c r="A22" s="219" t="n" cm="1">
        <f t="array" ref="A22">IFERROR(INDEX('03.Muestra'!$B$8:$B$42,SMALL(IF("Página Web"='03.Muestra'!$D$8:$D$42,ROW('03.Muestra'!$B$8:$B$42)-MIN(ROW('03.Muestra'!$D$8:$D$42))+1,""),ROW()-18)),"")</f>
        <v>1.0</v>
      </c>
      <c r="B22" s="114" t="str" cm="1">
        <f t="array" ref="B22">IFERROR(INDEX('03.Muestra'!$C$8:$C$42,SMALL(IF("Página Web"='03.Muestra'!$D$8:$D$42,ROW('03.Muestra'!$C$8:$C$42)-MIN(ROW('03.Muestra'!$D$8:$D$42))+1,""),ROW()-18)),"")</f>
        <v>Home - PortCastelló</v>
      </c>
      <c r="C22" s="114" t="str" cm="1">
        <f t="array" ref="C22">IFERROR(INDEX('03.Muestra'!$F$8:$F$42,SMALL(IF("Página Web"='03.Muestra'!$D$8:$D$42,ROW('03.Muestra'!$F$8:$F$42)-MIN(ROW('03.Muestra'!$D$8:$D$42))+1,""),ROW()-18)),"")</f>
        <v>https://www.portcastello.com/</v>
      </c>
      <c r="D22" s="130" t="str">
        <f t="shared" si="1"/>
        <v>N/T</v>
      </c>
      <c r="E22" s="107" t="str">
        <f t="shared" si="0"/>
        <v/>
      </c>
      <c r="F22" s="19"/>
      <c r="G22" s="19"/>
      <c r="H22" s="19"/>
      <c r="I22" s="19"/>
      <c r="K22" s="214" t="s">
        <v>33</v>
      </c>
      <c r="L22" s="121" t="s">
        <v>34</v>
      </c>
    </row>
    <row r="23" spans="1:30" ht="12" customHeight="1">
      <c r="A23" s="219" t="n" cm="1">
        <f t="array" ref="A23">IFERROR(INDEX('03.Muestra'!$B$8:$B$42,SMALL(IF("Página Web"='03.Muestra'!$D$8:$D$42,ROW('03.Muestra'!$B$8:$B$42)-MIN(ROW('03.Muestra'!$D$8:$D$42))+1,""),ROW()-18)),"")</f>
        <v>1.0</v>
      </c>
      <c r="B23" s="114" t="str" cm="1">
        <f t="array" ref="B23">IFERROR(INDEX('03.Muestra'!$C$8:$C$42,SMALL(IF("Página Web"='03.Muestra'!$D$8:$D$42,ROW('03.Muestra'!$C$8:$C$42)-MIN(ROW('03.Muestra'!$D$8:$D$42))+1,""),ROW()-18)),"")</f>
        <v>Home - PortCastelló</v>
      </c>
      <c r="C23" s="114" t="str" cm="1">
        <f t="array" ref="C23">IFERROR(INDEX('03.Muestra'!$F$8:$F$42,SMALL(IF("Página Web"='03.Muestra'!$D$8:$D$42,ROW('03.Muestra'!$F$8:$F$42)-MIN(ROW('03.Muestra'!$D$8:$D$42))+1,""),ROW()-18)),"")</f>
        <v>https://www.portcastello.com/</v>
      </c>
      <c r="D23" s="130" t="str">
        <f t="shared" si="1"/>
        <v>N/T</v>
      </c>
      <c r="E23" s="107" t="str">
        <f t="shared" si="0"/>
        <v/>
      </c>
      <c r="F23" s="122"/>
      <c r="G23" s="19"/>
      <c r="H23" s="19"/>
      <c r="I23" s="19"/>
      <c r="K23" s="117" t="s">
        <v>35</v>
      </c>
      <c r="L23" s="121" t="s">
        <v>36</v>
      </c>
    </row>
    <row r="24" spans="1:30" ht="12" customHeight="1">
      <c r="A24" s="219" t="n" cm="1">
        <f t="array" ref="A24">IFERROR(INDEX('03.Muestra'!$B$8:$B$42,SMALL(IF("Página Web"='03.Muestra'!$D$8:$D$42,ROW('03.Muestra'!$B$8:$B$42)-MIN(ROW('03.Muestra'!$D$8:$D$42))+1,""),ROW()-18)),"")</f>
        <v>1.0</v>
      </c>
      <c r="B24" s="114" t="str" cm="1">
        <f t="array" ref="B24">IFERROR(INDEX('03.Muestra'!$C$8:$C$42,SMALL(IF("Página Web"='03.Muestra'!$D$8:$D$42,ROW('03.Muestra'!$C$8:$C$42)-MIN(ROW('03.Muestra'!$D$8:$D$42))+1,""),ROW()-18)),"")</f>
        <v>Home - PortCastelló</v>
      </c>
      <c r="C24" s="114" t="str" cm="1">
        <f t="array" ref="C24">IFERROR(INDEX('03.Muestra'!$F$8:$F$42,SMALL(IF("Página Web"='03.Muestra'!$D$8:$D$42,ROW('03.Muestra'!$F$8:$F$42)-MIN(ROW('03.Muestra'!$D$8:$D$42))+1,""),ROW()-18)),"")</f>
        <v>https://www.portcastello.com/</v>
      </c>
      <c r="D24" s="130" t="str">
        <f t="shared" si="1"/>
        <v>N/T</v>
      </c>
      <c r="E24" s="107" t="str">
        <f t="shared" si="0"/>
        <v/>
      </c>
      <c r="F24" s="19"/>
      <c r="G24" s="19"/>
      <c r="H24" s="19"/>
      <c r="I24" s="19"/>
      <c r="K24" s="116" t="s">
        <v>37</v>
      </c>
      <c r="L24" s="121" t="s">
        <v>38</v>
      </c>
      <c r="AD24" s="19"/>
    </row>
    <row r="25" spans="1:30" ht="12" customHeight="1">
      <c r="A25" s="219" t="n" cm="1">
        <f t="array" ref="A25">IFERROR(INDEX('03.Muestra'!$B$8:$B$42,SMALL(IF("Página Web"='03.Muestra'!$D$8:$D$42,ROW('03.Muestra'!$B$8:$B$42)-MIN(ROW('03.Muestra'!$D$8:$D$42))+1,""),ROW()-18)),"")</f>
        <v>1.0</v>
      </c>
      <c r="B25" s="114" t="str" cm="1">
        <f t="array" ref="B25">IFERROR(INDEX('03.Muestra'!$C$8:$C$42,SMALL(IF("Página Web"='03.Muestra'!$D$8:$D$42,ROW('03.Muestra'!$C$8:$C$42)-MIN(ROW('03.Muestra'!$D$8:$D$42))+1,""),ROW()-18)),"")</f>
        <v>Home - PortCastelló</v>
      </c>
      <c r="C25" s="114" t="str" cm="1">
        <f t="array" ref="C25">IFERROR(INDEX('03.Muestra'!$F$8:$F$42,SMALL(IF("Página Web"='03.Muestra'!$D$8:$D$42,ROW('03.Muestra'!$F$8:$F$42)-MIN(ROW('03.Muestra'!$D$8:$D$42))+1,""),ROW()-18)),"")</f>
        <v>https://www.portcastello.com/</v>
      </c>
      <c r="D25" s="130" t="str">
        <f t="shared" si="1"/>
        <v>N/T</v>
      </c>
      <c r="E25" s="107" t="str">
        <f t="shared" si="0"/>
        <v/>
      </c>
      <c r="F25" s="19"/>
      <c r="G25" s="19"/>
      <c r="H25" s="19"/>
      <c r="I25" s="19"/>
      <c r="J25" s="19"/>
      <c r="L25" s="121"/>
      <c r="AD25" s="19"/>
    </row>
    <row r="26" spans="1:30" ht="12" customHeight="1">
      <c r="A26" s="219" t="n" cm="1">
        <f t="array" ref="A26">IFERROR(INDEX('03.Muestra'!$B$8:$B$42,SMALL(IF("Página Web"='03.Muestra'!$D$8:$D$42,ROW('03.Muestra'!$B$8:$B$42)-MIN(ROW('03.Muestra'!$D$8:$D$42))+1,""),ROW()-18)),"")</f>
        <v>1.0</v>
      </c>
      <c r="B26" s="114" t="str" cm="1">
        <f t="array" ref="B26">IFERROR(INDEX('03.Muestra'!$C$8:$C$42,SMALL(IF("Página Web"='03.Muestra'!$D$8:$D$42,ROW('03.Muestra'!$C$8:$C$42)-MIN(ROW('03.Muestra'!$D$8:$D$42))+1,""),ROW()-18)),"")</f>
        <v>Home - PortCastelló</v>
      </c>
      <c r="C26" s="114" t="str" cm="1">
        <f t="array" ref="C26">IFERROR(INDEX('03.Muestra'!$F$8:$F$42,SMALL(IF("Página Web"='03.Muestra'!$D$8:$D$42,ROW('03.Muestra'!$F$8:$F$42)-MIN(ROW('03.Muestra'!$D$8:$D$42))+1,""),ROW()-18)),"")</f>
        <v>https://www.portcastello.com/</v>
      </c>
      <c r="D26" s="130" t="str">
        <f t="shared" si="1"/>
        <v>N/T</v>
      </c>
      <c r="E26" s="107" t="str">
        <f t="shared" si="0"/>
        <v/>
      </c>
      <c r="F26" s="19"/>
      <c r="G26" s="19"/>
      <c r="H26" s="19"/>
      <c r="I26" s="19"/>
      <c r="J26" s="19"/>
      <c r="K26" s="19"/>
      <c r="L26" s="19"/>
      <c r="AD26" s="19"/>
    </row>
    <row r="27" spans="1:30" ht="12" customHeight="1">
      <c r="A27" s="219" t="n" cm="1">
        <f t="array" ref="A27">IFERROR(INDEX('03.Muestra'!$B$8:$B$42,SMALL(IF("Página Web"='03.Muestra'!$D$8:$D$42,ROW('03.Muestra'!$B$8:$B$42)-MIN(ROW('03.Muestra'!$D$8:$D$42))+1,""),ROW()-18)),"")</f>
        <v>1.0</v>
      </c>
      <c r="B27" s="114" t="str" cm="1">
        <f t="array" ref="B27">IFERROR(INDEX('03.Muestra'!$C$8:$C$42,SMALL(IF("Página Web"='03.Muestra'!$D$8:$D$42,ROW('03.Muestra'!$C$8:$C$42)-MIN(ROW('03.Muestra'!$D$8:$D$42))+1,""),ROW()-18)),"")</f>
        <v>Home - PortCastelló</v>
      </c>
      <c r="C27" s="114" t="str" cm="1">
        <f t="array" ref="C27">IFERROR(INDEX('03.Muestra'!$F$8:$F$42,SMALL(IF("Página Web"='03.Muestra'!$D$8:$D$42,ROW('03.Muestra'!$F$8:$F$42)-MIN(ROW('03.Muestra'!$D$8:$D$42))+1,""),ROW()-18)),"")</f>
        <v>https://www.portcastello.com/</v>
      </c>
      <c r="D27" s="130" t="str">
        <f t="shared" si="1"/>
        <v>N/T</v>
      </c>
      <c r="E27" s="107" t="str">
        <f t="shared" si="0"/>
        <v/>
      </c>
      <c r="F27" s="19"/>
      <c r="G27" s="19"/>
      <c r="H27" s="19"/>
      <c r="I27" s="19"/>
      <c r="J27" s="19"/>
      <c r="Q27" s="19"/>
      <c r="R27" s="19"/>
      <c r="S27" s="19"/>
      <c r="T27" s="19"/>
      <c r="U27" s="19"/>
      <c r="AD27" s="19"/>
    </row>
    <row r="28" spans="1:30" ht="12" customHeight="1">
      <c r="A28" s="219" t="n" cm="1">
        <f t="array" ref="A28">IFERROR(INDEX('03.Muestra'!$B$8:$B$42,SMALL(IF("Página Web"='03.Muestra'!$D$8:$D$42,ROW('03.Muestra'!$B$8:$B$42)-MIN(ROW('03.Muestra'!$D$8:$D$42))+1,""),ROW()-18)),"")</f>
        <v>1.0</v>
      </c>
      <c r="B28" s="114" t="str" cm="1">
        <f t="array" ref="B28">IFERROR(INDEX('03.Muestra'!$C$8:$C$42,SMALL(IF("Página Web"='03.Muestra'!$D$8:$D$42,ROW('03.Muestra'!$C$8:$C$42)-MIN(ROW('03.Muestra'!$D$8:$D$42))+1,""),ROW()-18)),"")</f>
        <v>Home - PortCastelló</v>
      </c>
      <c r="C28" s="114" t="str" cm="1">
        <f t="array" ref="C28">IFERROR(INDEX('03.Muestra'!$F$8:$F$42,SMALL(IF("Página Web"='03.Muestra'!$D$8:$D$42,ROW('03.Muestra'!$F$8:$F$42)-MIN(ROW('03.Muestra'!$D$8:$D$42))+1,""),ROW()-18)),"")</f>
        <v>https://www.portcastello.com/</v>
      </c>
      <c r="D28" s="130" t="str">
        <f t="shared" si="1"/>
        <v>N/T</v>
      </c>
      <c r="E28" s="107" t="str">
        <f t="shared" si="0"/>
        <v/>
      </c>
      <c r="F28" s="19"/>
      <c r="G28" s="19"/>
      <c r="H28" s="19"/>
      <c r="I28" s="19"/>
      <c r="J28" s="19"/>
      <c r="N28" s="19"/>
      <c r="O28" s="19"/>
      <c r="P28" s="19"/>
      <c r="Q28" s="19"/>
      <c r="R28" s="19"/>
      <c r="S28" s="19"/>
      <c r="T28" s="19"/>
      <c r="U28" s="19"/>
      <c r="AD28" s="19"/>
    </row>
    <row r="29" spans="1:30" ht="12" customHeight="1">
      <c r="A29" s="219" t="n" cm="1">
        <f t="array" ref="A29">IFERROR(INDEX('03.Muestra'!$B$8:$B$42,SMALL(IF("Página Web"='03.Muestra'!$D$8:$D$42,ROW('03.Muestra'!$B$8:$B$42)-MIN(ROW('03.Muestra'!$D$8:$D$42))+1,""),ROW()-18)),"")</f>
        <v>1.0</v>
      </c>
      <c r="B29" s="114" t="str" cm="1">
        <f t="array" ref="B29">IFERROR(INDEX('03.Muestra'!$C$8:$C$42,SMALL(IF("Página Web"='03.Muestra'!$D$8:$D$42,ROW('03.Muestra'!$C$8:$C$42)-MIN(ROW('03.Muestra'!$D$8:$D$42))+1,""),ROW()-18)),"")</f>
        <v>Home - PortCastelló</v>
      </c>
      <c r="C29" s="114" t="str" cm="1">
        <f t="array" ref="C29">IFERROR(INDEX('03.Muestra'!$F$8:$F$42,SMALL(IF("Página Web"='03.Muestra'!$D$8:$D$42,ROW('03.Muestra'!$F$8:$F$42)-MIN(ROW('03.Muestra'!$D$8:$D$42))+1,""),ROW()-18)),"")</f>
        <v>https://www.portcastello.com/</v>
      </c>
      <c r="D29" s="130" t="str">
        <f t="shared" si="1"/>
        <v>N/T</v>
      </c>
      <c r="E29" s="107" t="str">
        <f t="shared" si="0"/>
        <v/>
      </c>
      <c r="F29" s="19"/>
      <c r="G29" s="19"/>
      <c r="H29" s="19"/>
      <c r="I29" s="19"/>
      <c r="J29" s="19"/>
      <c r="P29" s="19"/>
      <c r="Q29" s="121"/>
      <c r="R29" s="121"/>
      <c r="S29" s="19"/>
      <c r="T29" s="19"/>
      <c r="U29" s="19"/>
      <c r="V29" s="19"/>
      <c r="W29" s="19"/>
      <c r="X29" s="19"/>
      <c r="Y29" s="19"/>
    </row>
    <row r="30" spans="1:30" ht="12" customHeight="1">
      <c r="A30" s="219" t="n" cm="1">
        <f t="array" ref="A30">IFERROR(INDEX('03.Muestra'!$B$8:$B$42,SMALL(IF("Página Web"='03.Muestra'!$D$8:$D$42,ROW('03.Muestra'!$B$8:$B$42)-MIN(ROW('03.Muestra'!$D$8:$D$42))+1,""),ROW()-18)),"")</f>
        <v>1.0</v>
      </c>
      <c r="B30" s="114" t="str" cm="1">
        <f t="array" ref="B30">IFERROR(INDEX('03.Muestra'!$C$8:$C$42,SMALL(IF("Página Web"='03.Muestra'!$D$8:$D$42,ROW('03.Muestra'!$C$8:$C$42)-MIN(ROW('03.Muestra'!$D$8:$D$42))+1,""),ROW()-18)),"")</f>
        <v>Home - PortCastelló</v>
      </c>
      <c r="C30" s="114" t="str" cm="1">
        <f t="array" ref="C30">IFERROR(INDEX('03.Muestra'!$F$8:$F$42,SMALL(IF("Página Web"='03.Muestra'!$D$8:$D$42,ROW('03.Muestra'!$F$8:$F$42)-MIN(ROW('03.Muestra'!$D$8:$D$42))+1,""),ROW()-18)),"")</f>
        <v>https://www.portcastello.com/</v>
      </c>
      <c r="D30" s="130" t="str">
        <f t="shared" si="1"/>
        <v>N/T</v>
      </c>
      <c r="E30" s="107" t="str">
        <f t="shared" si="0"/>
        <v/>
      </c>
      <c r="F30" s="19"/>
      <c r="G30" s="19"/>
      <c r="H30" s="19"/>
      <c r="I30" s="19"/>
      <c r="J30" s="19"/>
      <c r="K30" s="19"/>
      <c r="L30" s="19"/>
      <c r="O30" s="19"/>
      <c r="P30" s="19"/>
      <c r="Q30" s="19"/>
      <c r="R30" s="19"/>
      <c r="S30" s="19"/>
      <c r="T30" s="19"/>
      <c r="U30" s="19"/>
      <c r="V30" s="19"/>
      <c r="W30" s="19"/>
      <c r="X30" s="19"/>
      <c r="Y30" s="19"/>
    </row>
    <row r="31" spans="1:30" ht="12" customHeight="1">
      <c r="A31" s="219" t="n" cm="1">
        <f t="array" ref="A31">IFERROR(INDEX('03.Muestra'!$B$8:$B$42,SMALL(IF("Página Web"='03.Muestra'!$D$8:$D$42,ROW('03.Muestra'!$B$8:$B$42)-MIN(ROW('03.Muestra'!$D$8:$D$42))+1,""),ROW()-18)),"")</f>
        <v>1.0</v>
      </c>
      <c r="B31" s="114" t="str" cm="1">
        <f t="array" ref="B31">IFERROR(INDEX('03.Muestra'!$C$8:$C$42,SMALL(IF("Página Web"='03.Muestra'!$D$8:$D$42,ROW('03.Muestra'!$C$8:$C$42)-MIN(ROW('03.Muestra'!$D$8:$D$42))+1,""),ROW()-18)),"")</f>
        <v>Home - PortCastelló</v>
      </c>
      <c r="C31" s="114" t="str" cm="1">
        <f t="array" ref="C31">IFERROR(INDEX('03.Muestra'!$F$8:$F$42,SMALL(IF("Página Web"='03.Muestra'!$D$8:$D$42,ROW('03.Muestra'!$F$8:$F$42)-MIN(ROW('03.Muestra'!$D$8:$D$42))+1,""),ROW()-18)),"")</f>
        <v>https://www.portcastello.com/</v>
      </c>
      <c r="D31" s="130" t="str">
        <f t="shared" si="1"/>
        <v>N/T</v>
      </c>
      <c r="E31" s="107" t="str">
        <f t="shared" si="0"/>
        <v/>
      </c>
      <c r="F31" s="19"/>
      <c r="G31" s="19"/>
      <c r="H31" s="19"/>
      <c r="I31" s="19"/>
      <c r="J31" s="19"/>
      <c r="K31" s="19"/>
      <c r="L31" s="19"/>
      <c r="O31" s="19"/>
      <c r="P31" s="19"/>
      <c r="Q31" s="19"/>
      <c r="R31" s="19"/>
      <c r="S31" s="19"/>
      <c r="T31" s="19"/>
      <c r="U31" s="19"/>
      <c r="V31" s="19"/>
      <c r="W31" s="19"/>
      <c r="X31" s="19"/>
      <c r="Y31" s="19"/>
    </row>
    <row r="32" spans="1:30" ht="12" customHeight="1">
      <c r="A32" s="219" t="n" cm="1">
        <f t="array" ref="A32">IFERROR(INDEX('03.Muestra'!$B$8:$B$42,SMALL(IF("Página Web"='03.Muestra'!$D$8:$D$42,ROW('03.Muestra'!$B$8:$B$42)-MIN(ROW('03.Muestra'!$D$8:$D$42))+1,""),ROW()-18)),"")</f>
        <v>1.0</v>
      </c>
      <c r="B32" s="114" t="str" cm="1">
        <f t="array" ref="B32">IFERROR(INDEX('03.Muestra'!$C$8:$C$42,SMALL(IF("Página Web"='03.Muestra'!$D$8:$D$42,ROW('03.Muestra'!$C$8:$C$42)-MIN(ROW('03.Muestra'!$D$8:$D$42))+1,""),ROW()-18)),"")</f>
        <v>Home - PortCastelló</v>
      </c>
      <c r="C32" s="114" t="str" cm="1">
        <f t="array" ref="C32">IFERROR(INDEX('03.Muestra'!$F$8:$F$42,SMALL(IF("Página Web"='03.Muestra'!$D$8:$D$42,ROW('03.Muestra'!$F$8:$F$42)-MIN(ROW('03.Muestra'!$D$8:$D$42))+1,""),ROW()-18)),"")</f>
        <v>https://www.portcastello.com/</v>
      </c>
      <c r="D32" s="130" t="str">
        <f t="shared" si="1"/>
        <v>N/T</v>
      </c>
      <c r="E32" s="107" t="str">
        <f t="shared" si="0"/>
        <v/>
      </c>
      <c r="F32" s="19"/>
      <c r="G32" s="19"/>
      <c r="H32" s="19"/>
      <c r="I32" s="19"/>
      <c r="J32" s="19"/>
      <c r="K32" s="19"/>
      <c r="L32" s="19"/>
      <c r="O32" s="19"/>
      <c r="P32" s="19"/>
      <c r="Q32" s="19"/>
      <c r="R32" s="19"/>
      <c r="S32" s="19"/>
      <c r="T32" s="19"/>
      <c r="U32" s="19"/>
      <c r="V32" s="19"/>
      <c r="W32" s="19"/>
      <c r="X32" s="19"/>
      <c r="Y32" s="19"/>
    </row>
    <row r="33" spans="1:25" ht="12" customHeight="1">
      <c r="A33" s="219" t="n" cm="1">
        <f t="array" ref="A33">IFERROR(INDEX('03.Muestra'!$B$8:$B$42,SMALL(IF("Página Web"='03.Muestra'!$D$8:$D$42,ROW('03.Muestra'!$B$8:$B$42)-MIN(ROW('03.Muestra'!$D$8:$D$42))+1,""),ROW()-18)),"")</f>
        <v>1.0</v>
      </c>
      <c r="B33" s="114" t="str" cm="1">
        <f t="array" ref="B33">IFERROR(INDEX('03.Muestra'!$C$8:$C$42,SMALL(IF("Página Web"='03.Muestra'!$D$8:$D$42,ROW('03.Muestra'!$C$8:$C$42)-MIN(ROW('03.Muestra'!$D$8:$D$42))+1,""),ROW()-18)),"")</f>
        <v>Home - PortCastelló</v>
      </c>
      <c r="C33" s="114" t="str" cm="1">
        <f t="array" ref="C33">IFERROR(INDEX('03.Muestra'!$F$8:$F$42,SMALL(IF("Página Web"='03.Muestra'!$D$8:$D$42,ROW('03.Muestra'!$F$8:$F$42)-MIN(ROW('03.Muestra'!$D$8:$D$42))+1,""),ROW()-18)),"")</f>
        <v>https://www.portcastello.com/</v>
      </c>
      <c r="D33" s="130" t="str">
        <f t="shared" si="1"/>
        <v>N/T</v>
      </c>
      <c r="E33" s="107" t="str">
        <f t="shared" si="0"/>
        <v/>
      </c>
      <c r="F33" s="19"/>
      <c r="G33" s="19"/>
      <c r="H33" s="19"/>
      <c r="I33" s="19"/>
      <c r="J33" s="19"/>
      <c r="K33" s="19"/>
      <c r="L33" s="19"/>
      <c r="N33" s="19"/>
      <c r="O33" s="19"/>
      <c r="P33" s="19"/>
      <c r="Q33" s="19"/>
      <c r="R33" s="19"/>
      <c r="S33" s="19"/>
      <c r="T33" s="19"/>
      <c r="U33" s="19"/>
      <c r="V33" s="19"/>
      <c r="W33" s="19"/>
      <c r="X33" s="19"/>
      <c r="Y33" s="19"/>
    </row>
    <row r="34" spans="1:25" ht="12" customHeight="1">
      <c r="A34" s="219" t="n" cm="1">
        <f t="array" ref="A34">IFERROR(INDEX('03.Muestra'!$B$8:$B$42,SMALL(IF("Página Web"='03.Muestra'!$D$8:$D$42,ROW('03.Muestra'!$B$8:$B$42)-MIN(ROW('03.Muestra'!$D$8:$D$42))+1,""),ROW()-18)),"")</f>
        <v>1.0</v>
      </c>
      <c r="B34" s="114" t="str" cm="1">
        <f t="array" ref="B34">IFERROR(INDEX('03.Muestra'!$C$8:$C$42,SMALL(IF("Página Web"='03.Muestra'!$D$8:$D$42,ROW('03.Muestra'!$C$8:$C$42)-MIN(ROW('03.Muestra'!$D$8:$D$42))+1,""),ROW()-18)),"")</f>
        <v>Home - PortCastelló</v>
      </c>
      <c r="C34" s="114" t="str" cm="1">
        <f t="array" ref="C34">IFERROR(INDEX('03.Muestra'!$F$8:$F$42,SMALL(IF("Página Web"='03.Muestra'!$D$8:$D$42,ROW('03.Muestra'!$F$8:$F$42)-MIN(ROW('03.Muestra'!$D$8:$D$42))+1,""),ROW()-18)),"")</f>
        <v>https://www.portcastello.com/</v>
      </c>
      <c r="D34" s="130" t="str">
        <f t="shared" si="1"/>
        <v>N/T</v>
      </c>
      <c r="E34" s="107" t="str">
        <f t="shared" si="0"/>
        <v/>
      </c>
      <c r="F34" s="19"/>
      <c r="G34" s="19"/>
      <c r="H34" s="19"/>
      <c r="I34" s="19"/>
      <c r="J34" s="19"/>
      <c r="K34" s="19"/>
      <c r="W34" s="19"/>
      <c r="X34" s="19"/>
      <c r="Y34" s="19"/>
    </row>
    <row r="35" spans="1:25" ht="12" customHeight="1">
      <c r="A35" s="219" t="n" cm="1">
        <f t="array" ref="A35">IFERROR(INDEX('03.Muestra'!$B$8:$B$42,SMALL(IF("Página Web"='03.Muestra'!$D$8:$D$42,ROW('03.Muestra'!$B$8:$B$42)-MIN(ROW('03.Muestra'!$D$8:$D$42))+1,""),ROW()-18)),"")</f>
        <v>1.0</v>
      </c>
      <c r="B35" s="114" t="str" cm="1">
        <f t="array" ref="B35">IFERROR(INDEX('03.Muestra'!$C$8:$C$42,SMALL(IF("Página Web"='03.Muestra'!$D$8:$D$42,ROW('03.Muestra'!$C$8:$C$42)-MIN(ROW('03.Muestra'!$D$8:$D$42))+1,""),ROW()-18)),"")</f>
        <v>Home - PortCastelló</v>
      </c>
      <c r="C35" s="114" t="str" cm="1">
        <f t="array" ref="C35">IFERROR(INDEX('03.Muestra'!$F$8:$F$42,SMALL(IF("Página Web"='03.Muestra'!$D$8:$D$42,ROW('03.Muestra'!$F$8:$F$42)-MIN(ROW('03.Muestra'!$D$8:$D$42))+1,""),ROW()-18)),"")</f>
        <v>https://www.portcastello.com/</v>
      </c>
      <c r="D35" s="130" t="str">
        <f t="shared" si="1"/>
        <v>N/T</v>
      </c>
      <c r="E35" s="107" t="str">
        <f t="shared" si="0"/>
        <v/>
      </c>
      <c r="F35" s="19"/>
      <c r="G35" s="19"/>
      <c r="H35" s="19"/>
      <c r="I35" s="19"/>
      <c r="J35" s="19"/>
      <c r="K35" s="19"/>
      <c r="W35" s="19"/>
      <c r="X35" s="19"/>
      <c r="Y35" s="19"/>
    </row>
    <row r="36" spans="1:25" ht="12" customHeight="1">
      <c r="A36" s="219" t="n" cm="1">
        <f t="array" ref="A36">IFERROR(INDEX('03.Muestra'!$B$8:$B$42,SMALL(IF("Página Web"='03.Muestra'!$D$8:$D$42,ROW('03.Muestra'!$B$8:$B$42)-MIN(ROW('03.Muestra'!$D$8:$D$42))+1,""),ROW()-18)),"")</f>
        <v>1.0</v>
      </c>
      <c r="B36" s="114" t="str" cm="1">
        <f t="array" ref="B36">IFERROR(INDEX('03.Muestra'!$C$8:$C$42,SMALL(IF("Página Web"='03.Muestra'!$D$8:$D$42,ROW('03.Muestra'!$C$8:$C$42)-MIN(ROW('03.Muestra'!$D$8:$D$42))+1,""),ROW()-18)),"")</f>
        <v>Home - PortCastelló</v>
      </c>
      <c r="C36" s="114" t="str" cm="1">
        <f t="array" ref="C36">IFERROR(INDEX('03.Muestra'!$F$8:$F$42,SMALL(IF("Página Web"='03.Muestra'!$D$8:$D$42,ROW('03.Muestra'!$F$8:$F$42)-MIN(ROW('03.Muestra'!$D$8:$D$42))+1,""),ROW()-18)),"")</f>
        <v>https://www.portcastello.com/</v>
      </c>
      <c r="D36" s="130" t="str">
        <f t="shared" si="1"/>
        <v>N/T</v>
      </c>
      <c r="E36" s="107" t="str">
        <f t="shared" si="0"/>
        <v/>
      </c>
      <c r="F36" s="19"/>
      <c r="G36" s="19"/>
      <c r="H36" s="19"/>
      <c r="I36" s="19"/>
      <c r="J36" s="19"/>
      <c r="K36" s="19"/>
      <c r="W36" s="19"/>
      <c r="X36" s="19"/>
      <c r="Y36" s="19"/>
    </row>
    <row r="37" spans="1:25" ht="12" customHeight="1">
      <c r="A37" s="219" t="n" cm="1">
        <f t="array" ref="A37">IFERROR(INDEX('03.Muestra'!$B$8:$B$42,SMALL(IF("Página Web"='03.Muestra'!$D$8:$D$42,ROW('03.Muestra'!$B$8:$B$42)-MIN(ROW('03.Muestra'!$D$8:$D$42))+1,""),ROW()-18)),"")</f>
        <v>1.0</v>
      </c>
      <c r="B37" s="114" t="str" cm="1">
        <f t="array" ref="B37">IFERROR(INDEX('03.Muestra'!$C$8:$C$42,SMALL(IF("Página Web"='03.Muestra'!$D$8:$D$42,ROW('03.Muestra'!$C$8:$C$42)-MIN(ROW('03.Muestra'!$D$8:$D$42))+1,""),ROW()-18)),"")</f>
        <v>Home - PortCastelló</v>
      </c>
      <c r="C37" s="114" t="str" cm="1">
        <f t="array" ref="C37">IFERROR(INDEX('03.Muestra'!$F$8:$F$42,SMALL(IF("Página Web"='03.Muestra'!$D$8:$D$42,ROW('03.Muestra'!$F$8:$F$42)-MIN(ROW('03.Muestra'!$D$8:$D$42))+1,""),ROW()-18)),"")</f>
        <v>https://www.portcastello.com/</v>
      </c>
      <c r="D37" s="130" t="str">
        <f t="shared" si="1"/>
        <v>N/T</v>
      </c>
      <c r="E37" s="107" t="str">
        <f t="shared" si="0"/>
        <v/>
      </c>
      <c r="F37" s="19"/>
      <c r="G37" s="19"/>
      <c r="H37" s="19"/>
      <c r="I37" s="19"/>
      <c r="J37" s="19"/>
      <c r="K37" s="19"/>
      <c r="L37" s="19"/>
      <c r="Q37" s="19"/>
      <c r="W37" s="19"/>
      <c r="X37" s="19"/>
      <c r="Y37" s="19"/>
    </row>
    <row r="38" spans="1:25" ht="12" customHeight="1">
      <c r="A38" s="219" t="n" cm="1">
        <f t="array" ref="A38">IFERROR(INDEX('03.Muestra'!$B$8:$B$42,SMALL(IF("Página Web"='03.Muestra'!$D$8:$D$42,ROW('03.Muestra'!$B$8:$B$42)-MIN(ROW('03.Muestra'!$D$8:$D$42))+1,""),ROW()-18)),"")</f>
        <v>1.0</v>
      </c>
      <c r="B38" s="114" t="str" cm="1">
        <f t="array" ref="B38">IFERROR(INDEX('03.Muestra'!$C$8:$C$42,SMALL(IF("Página Web"='03.Muestra'!$D$8:$D$42,ROW('03.Muestra'!$C$8:$C$42)-MIN(ROW('03.Muestra'!$D$8:$D$42))+1,""),ROW()-18)),"")</f>
        <v>Home - PortCastelló</v>
      </c>
      <c r="C38" s="114" t="str" cm="1">
        <f t="array" ref="C38">IFERROR(INDEX('03.Muestra'!$F$8:$F$42,SMALL(IF("Página Web"='03.Muestra'!$D$8:$D$42,ROW('03.Muestra'!$F$8:$F$42)-MIN(ROW('03.Muestra'!$D$8:$D$42))+1,""),ROW()-18)),"")</f>
        <v>https://www.portcastello.com/</v>
      </c>
      <c r="D38" s="130" t="str">
        <f t="shared" si="1"/>
        <v>N/T</v>
      </c>
      <c r="E38" s="107" t="str">
        <f t="shared" si="0"/>
        <v/>
      </c>
      <c r="F38" s="19"/>
      <c r="G38" s="19"/>
      <c r="H38" s="19"/>
      <c r="I38" s="19"/>
      <c r="J38" s="19"/>
      <c r="K38" s="19"/>
      <c r="L38" s="19"/>
      <c r="Q38" s="19"/>
      <c r="W38" s="19"/>
      <c r="X38" s="19"/>
      <c r="Y38" s="19"/>
    </row>
    <row r="39" spans="1:25" ht="12" customHeight="1">
      <c r="A39" s="219" t="n" cm="1">
        <f t="array" ref="A39">IFERROR(INDEX('03.Muestra'!$B$8:$B$42,SMALL(IF("Página Web"='03.Muestra'!$D$8:$D$42,ROW('03.Muestra'!$B$8:$B$42)-MIN(ROW('03.Muestra'!$D$8:$D$42))+1,""),ROW()-18)),"")</f>
        <v>1.0</v>
      </c>
      <c r="B39" s="114" t="str" cm="1">
        <f t="array" ref="B39">IFERROR(INDEX('03.Muestra'!$C$8:$C$42,SMALL(IF("Página Web"='03.Muestra'!$D$8:$D$42,ROW('03.Muestra'!$C$8:$C$42)-MIN(ROW('03.Muestra'!$D$8:$D$42))+1,""),ROW()-18)),"")</f>
        <v>Home - PortCastelló</v>
      </c>
      <c r="C39" s="114" t="str" cm="1">
        <f t="array" ref="C39">IFERROR(INDEX('03.Muestra'!$F$8:$F$42,SMALL(IF("Página Web"='03.Muestra'!$D$8:$D$42,ROW('03.Muestra'!$F$8:$F$42)-MIN(ROW('03.Muestra'!$D$8:$D$42))+1,""),ROW()-18)),"")</f>
        <v>https://www.portcastello.com/</v>
      </c>
      <c r="D39" s="130" t="str">
        <f t="shared" si="1"/>
        <v>N/T</v>
      </c>
      <c r="E39" s="107" t="str">
        <f t="shared" si="0"/>
        <v/>
      </c>
      <c r="F39" s="19"/>
      <c r="G39" s="19"/>
      <c r="H39" s="19"/>
      <c r="I39" s="19"/>
      <c r="J39" s="19"/>
      <c r="K39" s="19"/>
      <c r="L39" s="19"/>
      <c r="Q39" s="19"/>
      <c r="W39" s="19"/>
      <c r="X39" s="19"/>
      <c r="Y39" s="19"/>
    </row>
    <row r="40" spans="1:25" ht="12" customHeight="1">
      <c r="A40" s="219" t="n" cm="1">
        <f t="array" ref="A40">IFERROR(INDEX('03.Muestra'!$B$8:$B$42,SMALL(IF("Página Web"='03.Muestra'!$D$8:$D$42,ROW('03.Muestra'!$B$8:$B$42)-MIN(ROW('03.Muestra'!$D$8:$D$42))+1,""),ROW()-18)),"")</f>
        <v>1.0</v>
      </c>
      <c r="B40" s="114" t="str" cm="1">
        <f t="array" ref="B40">IFERROR(INDEX('03.Muestra'!$C$8:$C$42,SMALL(IF("Página Web"='03.Muestra'!$D$8:$D$42,ROW('03.Muestra'!$C$8:$C$42)-MIN(ROW('03.Muestra'!$D$8:$D$42))+1,""),ROW()-18)),"")</f>
        <v>Home - PortCastelló</v>
      </c>
      <c r="C40" s="114" t="str" cm="1">
        <f t="array" ref="C40">IFERROR(INDEX('03.Muestra'!$F$8:$F$42,SMALL(IF("Página Web"='03.Muestra'!$D$8:$D$42,ROW('03.Muestra'!$F$8:$F$42)-MIN(ROW('03.Muestra'!$D$8:$D$42))+1,""),ROW()-18)),"")</f>
        <v>https://www.portcastello.com/</v>
      </c>
      <c r="D40" s="130" t="str">
        <f t="shared" si="1"/>
        <v>N/T</v>
      </c>
      <c r="E40" s="107" t="str">
        <f t="shared" si="0"/>
        <v/>
      </c>
      <c r="F40" s="19"/>
      <c r="G40" s="19"/>
      <c r="H40" s="19"/>
      <c r="I40" s="19"/>
      <c r="J40" s="19"/>
      <c r="K40" s="19"/>
      <c r="L40" s="19"/>
      <c r="Q40" s="19"/>
      <c r="R40" s="19"/>
      <c r="T40" s="19"/>
      <c r="U40" s="19"/>
      <c r="V40" s="19"/>
      <c r="W40" s="19"/>
      <c r="X40" s="19"/>
      <c r="Y40" s="19"/>
    </row>
    <row r="41" spans="1:25" ht="12" customHeight="1">
      <c r="A41" s="219" t="n" cm="1">
        <f t="array" ref="A41">IFERROR(INDEX('03.Muestra'!$B$8:$B$42,SMALL(IF("Página Web"='03.Muestra'!$D$8:$D$42,ROW('03.Muestra'!$B$8:$B$42)-MIN(ROW('03.Muestra'!$D$8:$D$42))+1,""),ROW()-18)),"")</f>
        <v>1.0</v>
      </c>
      <c r="B41" s="114" t="str" cm="1">
        <f t="array" ref="B41">IFERROR(INDEX('03.Muestra'!$C$8:$C$42,SMALL(IF("Página Web"='03.Muestra'!$D$8:$D$42,ROW('03.Muestra'!$C$8:$C$42)-MIN(ROW('03.Muestra'!$D$8:$D$42))+1,""),ROW()-18)),"")</f>
        <v>Home - PortCastelló</v>
      </c>
      <c r="C41" s="114" t="str" cm="1">
        <f t="array" ref="C41">IFERROR(INDEX('03.Muestra'!$F$8:$F$42,SMALL(IF("Página Web"='03.Muestra'!$D$8:$D$42,ROW('03.Muestra'!$F$8:$F$42)-MIN(ROW('03.Muestra'!$D$8:$D$42))+1,""),ROW()-18)),"")</f>
        <v>https://www.portcastello.com/</v>
      </c>
      <c r="D41" s="130" t="str">
        <f t="shared" si="1"/>
        <v>N/T</v>
      </c>
      <c r="E41" s="107" t="str">
        <f t="shared" si="0"/>
        <v/>
      </c>
      <c r="F41" s="19"/>
      <c r="G41" s="19"/>
      <c r="H41" s="19"/>
      <c r="I41" s="19"/>
      <c r="J41" s="19"/>
      <c r="K41" s="19"/>
      <c r="L41" s="19"/>
      <c r="Y41" s="19"/>
    </row>
    <row r="42" spans="1:25" ht="12" customHeight="1">
      <c r="A42" s="219" t="n" cm="1">
        <f t="array" ref="A42">IFERROR(INDEX('03.Muestra'!$B$8:$B$42,SMALL(IF("Página Web"='03.Muestra'!$D$8:$D$42,ROW('03.Muestra'!$B$8:$B$42)-MIN(ROW('03.Muestra'!$D$8:$D$42))+1,""),ROW()-18)),"")</f>
        <v>1.0</v>
      </c>
      <c r="B42" s="114" t="str" cm="1">
        <f t="array" ref="B42">IFERROR(INDEX('03.Muestra'!$C$8:$C$42,SMALL(IF("Página Web"='03.Muestra'!$D$8:$D$42,ROW('03.Muestra'!$C$8:$C$42)-MIN(ROW('03.Muestra'!$D$8:$D$42))+1,""),ROW()-18)),"")</f>
        <v>Home - PortCastelló</v>
      </c>
      <c r="C42" s="114" t="str" cm="1">
        <f t="array" ref="C42">IFERROR(INDEX('03.Muestra'!$F$8:$F$42,SMALL(IF("Página Web"='03.Muestra'!$D$8:$D$42,ROW('03.Muestra'!$F$8:$F$42)-MIN(ROW('03.Muestra'!$D$8:$D$42))+1,""),ROW()-18)),"")</f>
        <v>https://www.portcastello.com/</v>
      </c>
      <c r="D42" s="130" t="str">
        <f t="shared" si="1"/>
        <v>N/T</v>
      </c>
      <c r="E42" s="107" t="str">
        <f t="shared" si="0"/>
        <v/>
      </c>
      <c r="F42" s="19"/>
      <c r="G42" s="19"/>
      <c r="H42" s="19"/>
      <c r="I42" s="19"/>
      <c r="J42" s="19"/>
      <c r="K42" s="19"/>
      <c r="L42" s="19"/>
      <c r="Y42" s="19"/>
    </row>
    <row r="43" spans="1:25" ht="12" customHeight="1">
      <c r="A43" s="219" t="n" cm="1">
        <f t="array" ref="A43">IFERROR(INDEX('03.Muestra'!$B$8:$B$42,SMALL(IF("Página Web"='03.Muestra'!$D$8:$D$42,ROW('03.Muestra'!$B$8:$B$42)-MIN(ROW('03.Muestra'!$D$8:$D$42))+1,""),ROW()-18)),"")</f>
        <v>1.0</v>
      </c>
      <c r="B43" s="114" t="str" cm="1">
        <f t="array" ref="B43">IFERROR(INDEX('03.Muestra'!$C$8:$C$42,SMALL(IF("Página Web"='03.Muestra'!$D$8:$D$42,ROW('03.Muestra'!$C$8:$C$42)-MIN(ROW('03.Muestra'!$D$8:$D$42))+1,""),ROW()-18)),"")</f>
        <v>Home - PortCastelló</v>
      </c>
      <c r="C43" s="114" t="str" cm="1">
        <f t="array" ref="C43">IFERROR(INDEX('03.Muestra'!$F$8:$F$42,SMALL(IF("Página Web"='03.Muestra'!$D$8:$D$42,ROW('03.Muestra'!$F$8:$F$42)-MIN(ROW('03.Muestra'!$D$8:$D$42))+1,""),ROW()-18)),"")</f>
        <v>https://www.portcastello.com/</v>
      </c>
      <c r="D43" s="130" t="str">
        <f t="shared" si="1"/>
        <v>N/T</v>
      </c>
      <c r="E43" s="107" t="str">
        <f t="shared" si="0"/>
        <v/>
      </c>
      <c r="F43" s="19"/>
      <c r="G43" s="19"/>
      <c r="H43" s="19"/>
      <c r="I43" s="19"/>
      <c r="J43" s="19"/>
      <c r="K43" s="19"/>
      <c r="L43" s="19"/>
      <c r="Y43" s="19"/>
    </row>
    <row r="44" spans="1:25" ht="12" customHeight="1">
      <c r="A44" s="219" t="n" cm="1">
        <f t="array" ref="A44">IFERROR(INDEX('03.Muestra'!$B$8:$B$42,SMALL(IF("Página Web"='03.Muestra'!$D$8:$D$42,ROW('03.Muestra'!$B$8:$B$42)-MIN(ROW('03.Muestra'!$D$8:$D$42))+1,""),ROW()-18)),"")</f>
        <v>1.0</v>
      </c>
      <c r="B44" s="114" t="str" cm="1">
        <f t="array" ref="B44">IFERROR(INDEX('03.Muestra'!$C$8:$C$42,SMALL(IF("Página Web"='03.Muestra'!$D$8:$D$42,ROW('03.Muestra'!$C$8:$C$42)-MIN(ROW('03.Muestra'!$D$8:$D$42))+1,""),ROW()-18)),"")</f>
        <v>Home - PortCastelló</v>
      </c>
      <c r="C44" s="114" t="str" cm="1">
        <f t="array" ref="C44">IFERROR(INDEX('03.Muestra'!$F$8:$F$42,SMALL(IF("Página Web"='03.Muestra'!$D$8:$D$42,ROW('03.Muestra'!$F$8:$F$42)-MIN(ROW('03.Muestra'!$D$8:$D$42))+1,""),ROW()-18)),"")</f>
        <v>https://www.portcastello.com/</v>
      </c>
      <c r="D44" s="130" t="str">
        <f t="shared" si="1"/>
        <v>N/T</v>
      </c>
      <c r="E44" s="107" t="str">
        <f t="shared" si="0"/>
        <v/>
      </c>
      <c r="F44" s="19"/>
      <c r="G44" s="19"/>
      <c r="H44" s="19"/>
      <c r="I44" s="19"/>
      <c r="J44" s="19"/>
      <c r="K44" s="19"/>
      <c r="L44" s="19"/>
      <c r="Q44" s="19"/>
      <c r="R44" s="19"/>
      <c r="T44" s="19"/>
      <c r="U44" s="19"/>
      <c r="V44" s="19"/>
      <c r="W44" s="19"/>
      <c r="X44" s="19"/>
      <c r="Y44" s="19"/>
    </row>
    <row r="45" spans="1:25" ht="12" customHeight="1">
      <c r="A45" s="219" t="n" cm="1">
        <f t="array" ref="A45">IFERROR(INDEX('03.Muestra'!$B$8:$B$42,SMALL(IF("Página Web"='03.Muestra'!$D$8:$D$42,ROW('03.Muestra'!$B$8:$B$42)-MIN(ROW('03.Muestra'!$D$8:$D$42))+1,""),ROW()-18)),"")</f>
        <v>1.0</v>
      </c>
      <c r="B45" s="114" t="str" cm="1">
        <f t="array" ref="B45">IFERROR(INDEX('03.Muestra'!$C$8:$C$42,SMALL(IF("Página Web"='03.Muestra'!$D$8:$D$42,ROW('03.Muestra'!$C$8:$C$42)-MIN(ROW('03.Muestra'!$D$8:$D$42))+1,""),ROW()-18)),"")</f>
        <v>Home - PortCastelló</v>
      </c>
      <c r="C45" s="114" t="str" cm="1">
        <f t="array" ref="C45">IFERROR(INDEX('03.Muestra'!$F$8:$F$42,SMALL(IF("Página Web"='03.Muestra'!$D$8:$D$42,ROW('03.Muestra'!$F$8:$F$42)-MIN(ROW('03.Muestra'!$D$8:$D$42))+1,""),ROW()-18)),"")</f>
        <v>https://www.portcastello.com/</v>
      </c>
      <c r="D45" s="130" t="str">
        <f t="shared" si="1"/>
        <v>N/T</v>
      </c>
      <c r="E45" s="107" t="str">
        <f t="shared" si="0"/>
        <v/>
      </c>
      <c r="F45" s="19"/>
      <c r="G45" s="19"/>
      <c r="H45" s="19"/>
      <c r="I45" s="19"/>
      <c r="J45" s="19"/>
      <c r="K45" s="19"/>
      <c r="L45" s="19"/>
      <c r="Q45" s="19"/>
      <c r="R45" s="19"/>
      <c r="T45" s="19"/>
      <c r="U45" s="19"/>
      <c r="V45" s="19"/>
      <c r="W45" s="19"/>
      <c r="X45" s="19"/>
      <c r="Y45" s="19"/>
    </row>
    <row r="46" spans="1:25" ht="12" customHeight="1">
      <c r="A46" s="219" t="n" cm="1">
        <f t="array" ref="A46">IFERROR(INDEX('03.Muestra'!$B$8:$B$42,SMALL(IF("Página Web"='03.Muestra'!$D$8:$D$42,ROW('03.Muestra'!$B$8:$B$42)-MIN(ROW('03.Muestra'!$D$8:$D$42))+1,""),ROW()-18)),"")</f>
        <v>1.0</v>
      </c>
      <c r="B46" s="114" t="str" cm="1">
        <f t="array" ref="B46">IFERROR(INDEX('03.Muestra'!$C$8:$C$42,SMALL(IF("Página Web"='03.Muestra'!$D$8:$D$42,ROW('03.Muestra'!$C$8:$C$42)-MIN(ROW('03.Muestra'!$D$8:$D$42))+1,""),ROW()-18)),"")</f>
        <v>Home - PortCastelló</v>
      </c>
      <c r="C46" s="114" t="str" cm="1">
        <f t="array" ref="C46">IFERROR(INDEX('03.Muestra'!$F$8:$F$42,SMALL(IF("Página Web"='03.Muestra'!$D$8:$D$42,ROW('03.Muestra'!$F$8:$F$42)-MIN(ROW('03.Muestra'!$D$8:$D$42))+1,""),ROW()-18)),"")</f>
        <v>https://www.portcastello.com/</v>
      </c>
      <c r="D46" s="130" t="str">
        <f t="shared" si="1"/>
        <v>N/T</v>
      </c>
      <c r="E46" s="107" t="str">
        <f t="shared" si="0"/>
        <v/>
      </c>
      <c r="I46" s="19"/>
      <c r="J46" s="19"/>
      <c r="K46" s="19"/>
      <c r="L46" s="19"/>
      <c r="Q46" s="19"/>
      <c r="R46" s="19"/>
      <c r="T46" s="19"/>
      <c r="U46" s="19"/>
      <c r="V46" s="19"/>
      <c r="W46" s="19"/>
      <c r="X46" s="19"/>
      <c r="Y46" s="19"/>
    </row>
    <row r="47" spans="1:25" ht="12" customHeight="1">
      <c r="A47" s="219" t="n" cm="1">
        <f t="array" ref="A47">IFERROR(INDEX('03.Muestra'!$B$8:$B$42,SMALL(IF("Página Web"='03.Muestra'!$D$8:$D$42,ROW('03.Muestra'!$B$8:$B$42)-MIN(ROW('03.Muestra'!$D$8:$D$42))+1,""),ROW()-18)),"")</f>
        <v>1.0</v>
      </c>
      <c r="B47" s="114" t="str" cm="1">
        <f t="array" ref="B47">IFERROR(INDEX('03.Muestra'!$C$8:$C$42,SMALL(IF("Página Web"='03.Muestra'!$D$8:$D$42,ROW('03.Muestra'!$C$8:$C$42)-MIN(ROW('03.Muestra'!$D$8:$D$42))+1,""),ROW()-18)),"")</f>
        <v>Home - PortCastelló</v>
      </c>
      <c r="C47" s="114" t="str" cm="1">
        <f t="array" ref="C47">IFERROR(INDEX('03.Muestra'!$F$8:$F$42,SMALL(IF("Página Web"='03.Muestra'!$D$8:$D$42,ROW('03.Muestra'!$F$8:$F$42)-MIN(ROW('03.Muestra'!$D$8:$D$42))+1,""),ROW()-18)),"")</f>
        <v>https://www.portcastello.com/</v>
      </c>
      <c r="D47" s="130" t="str">
        <f t="shared" si="1"/>
        <v>N/T</v>
      </c>
      <c r="E47" s="107" t="str">
        <f t="shared" si="0"/>
        <v/>
      </c>
      <c r="I47" s="19"/>
      <c r="J47" s="19"/>
      <c r="K47" s="19"/>
      <c r="L47" s="19"/>
      <c r="Q47" s="19"/>
      <c r="R47" s="19"/>
      <c r="T47" s="19"/>
      <c r="U47" s="19"/>
      <c r="V47" s="19"/>
      <c r="W47" s="19"/>
      <c r="X47" s="19"/>
      <c r="Y47" s="19"/>
    </row>
    <row r="48" spans="1:25" ht="12" customHeight="1">
      <c r="A48" s="219" t="n" cm="1">
        <f t="array" ref="A48">IFERROR(INDEX('03.Muestra'!$B$8:$B$42,SMALL(IF("Página Web"='03.Muestra'!$D$8:$D$42,ROW('03.Muestra'!$B$8:$B$42)-MIN(ROW('03.Muestra'!$D$8:$D$42))+1,""),ROW()-18)),"")</f>
        <v>1.0</v>
      </c>
      <c r="B48" s="114" t="str" cm="1">
        <f t="array" ref="B48">IFERROR(INDEX('03.Muestra'!$C$8:$C$42,SMALL(IF("Página Web"='03.Muestra'!$D$8:$D$42,ROW('03.Muestra'!$C$8:$C$42)-MIN(ROW('03.Muestra'!$D$8:$D$42))+1,""),ROW()-18)),"")</f>
        <v>Home - PortCastelló</v>
      </c>
      <c r="C48" s="114" t="str" cm="1">
        <f t="array" ref="C48">IFERROR(INDEX('03.Muestra'!$F$8:$F$42,SMALL(IF("Página Web"='03.Muestra'!$D$8:$D$42,ROW('03.Muestra'!$F$8:$F$42)-MIN(ROW('03.Muestra'!$D$8:$D$42))+1,""),ROW()-18)),"")</f>
        <v>https://www.portcastello.com/</v>
      </c>
      <c r="D48" s="130" t="str">
        <f t="shared" si="1"/>
        <v>N/T</v>
      </c>
      <c r="E48" s="107" t="str">
        <f t="shared" si="0"/>
        <v/>
      </c>
      <c r="I48" s="19"/>
      <c r="J48" s="19"/>
      <c r="K48" s="19"/>
      <c r="L48" s="19"/>
      <c r="Q48" s="19"/>
      <c r="R48" s="19"/>
      <c r="T48" s="19"/>
      <c r="U48" s="19"/>
      <c r="V48" s="19"/>
      <c r="W48" s="19"/>
      <c r="X48" s="19"/>
      <c r="Y48" s="19"/>
    </row>
    <row r="49" spans="1:25" ht="12" customHeight="1">
      <c r="A49" s="219" t="n" cm="1">
        <f t="array" ref="A49">IFERROR(INDEX('03.Muestra'!$B$8:$B$42,SMALL(IF("Página Web"='03.Muestra'!$D$8:$D$42,ROW('03.Muestra'!$B$8:$B$42)-MIN(ROW('03.Muestra'!$D$8:$D$42))+1,""),ROW()-18)),"")</f>
        <v>1.0</v>
      </c>
      <c r="B49" s="114" t="str" cm="1">
        <f t="array" ref="B49">IFERROR(INDEX('03.Muestra'!$C$8:$C$42,SMALL(IF("Página Web"='03.Muestra'!$D$8:$D$42,ROW('03.Muestra'!$C$8:$C$42)-MIN(ROW('03.Muestra'!$D$8:$D$42))+1,""),ROW()-18)),"")</f>
        <v>Home - PortCastelló</v>
      </c>
      <c r="C49" s="114" t="str" cm="1">
        <f t="array" ref="C49">IFERROR(INDEX('03.Muestra'!$F$8:$F$42,SMALL(IF("Página Web"='03.Muestra'!$D$8:$D$42,ROW('03.Muestra'!$F$8:$F$42)-MIN(ROW('03.Muestra'!$D$8:$D$42))+1,""),ROW()-18)),"")</f>
        <v>https://www.portcastello.com/</v>
      </c>
      <c r="D49" s="130" t="str">
        <f t="shared" si="1"/>
        <v>N/T</v>
      </c>
      <c r="E49" s="107" t="str">
        <f t="shared" si="0"/>
        <v/>
      </c>
      <c r="I49" s="19"/>
      <c r="J49" s="19"/>
      <c r="K49" s="19"/>
      <c r="L49" s="19"/>
      <c r="Q49" s="19"/>
      <c r="R49" s="19"/>
      <c r="T49" s="19"/>
      <c r="U49" s="19"/>
      <c r="V49" s="19"/>
      <c r="W49" s="19"/>
      <c r="X49" s="19"/>
      <c r="Y49" s="19"/>
    </row>
    <row r="50" spans="1:25" ht="12" customHeight="1">
      <c r="A50" s="219" t="n" cm="1">
        <f t="array" ref="A50">IFERROR(INDEX('03.Muestra'!$B$8:$B$42,SMALL(IF("Página Web"='03.Muestra'!$D$8:$D$42,ROW('03.Muestra'!$B$8:$B$42)-MIN(ROW('03.Muestra'!$D$8:$D$42))+1,""),ROW()-18)),"")</f>
        <v>1.0</v>
      </c>
      <c r="B50" s="114" t="str" cm="1">
        <f t="array" ref="B50">IFERROR(INDEX('03.Muestra'!$C$8:$C$42,SMALL(IF("Página Web"='03.Muestra'!$D$8:$D$42,ROW('03.Muestra'!$C$8:$C$42)-MIN(ROW('03.Muestra'!$D$8:$D$42))+1,""),ROW()-18)),"")</f>
        <v>Home - PortCastelló</v>
      </c>
      <c r="C50" s="114" t="str" cm="1">
        <f t="array" ref="C50">IFERROR(INDEX('03.Muestra'!$F$8:$F$42,SMALL(IF("Página Web"='03.Muestra'!$D$8:$D$42,ROW('03.Muestra'!$F$8:$F$42)-MIN(ROW('03.Muestra'!$D$8:$D$42))+1,""),ROW()-18)),"")</f>
        <v>https://www.portcastello.com/</v>
      </c>
      <c r="D50" s="130" t="str">
        <f t="shared" si="1"/>
        <v>N/T</v>
      </c>
      <c r="E50" s="107" t="str">
        <f t="shared" si="0"/>
        <v/>
      </c>
      <c r="I50" s="19"/>
      <c r="J50" s="19"/>
      <c r="K50" s="19"/>
      <c r="L50" s="19"/>
      <c r="Q50" s="19"/>
      <c r="R50" s="19"/>
      <c r="T50" s="19"/>
      <c r="U50" s="19"/>
      <c r="V50" s="19"/>
      <c r="W50" s="19"/>
      <c r="X50" s="19"/>
      <c r="Y50" s="19"/>
    </row>
    <row r="51" spans="1:25" ht="12" customHeight="1">
      <c r="A51" s="219" t="n" cm="1">
        <f t="array" ref="A51">IFERROR(INDEX('03.Muestra'!$B$8:$B$42,SMALL(IF("Página Web"='03.Muestra'!$D$8:$D$42,ROW('03.Muestra'!$B$8:$B$42)-MIN(ROW('03.Muestra'!$D$8:$D$42))+1,""),ROW()-18)),"")</f>
        <v>1.0</v>
      </c>
      <c r="B51" s="114" t="str" cm="1">
        <f t="array" ref="B51">IFERROR(INDEX('03.Muestra'!$C$8:$C$42,SMALL(IF("Página Web"='03.Muestra'!$D$8:$D$42,ROW('03.Muestra'!$C$8:$C$42)-MIN(ROW('03.Muestra'!$D$8:$D$42))+1,""),ROW()-18)),"")</f>
        <v>Home - PortCastelló</v>
      </c>
      <c r="C51" s="114" t="str" cm="1">
        <f t="array" ref="C51">IFERROR(INDEX('03.Muestra'!$F$8:$F$42,SMALL(IF("Página Web"='03.Muestra'!$D$8:$D$42,ROW('03.Muestra'!$F$8:$F$42)-MIN(ROW('03.Muestra'!$D$8:$D$42))+1,""),ROW()-18)),"")</f>
        <v>https://www.portcastello.com/</v>
      </c>
      <c r="D51" s="130" t="str">
        <f t="shared" si="1"/>
        <v>N/T</v>
      </c>
      <c r="E51" s="107" t="str">
        <f t="shared" si="0"/>
        <v/>
      </c>
      <c r="I51" s="19"/>
      <c r="J51" s="19"/>
      <c r="K51" s="19"/>
      <c r="L51" s="19"/>
      <c r="Q51" s="19"/>
      <c r="R51" s="19"/>
      <c r="T51" s="19"/>
      <c r="U51" s="19"/>
      <c r="V51" s="19"/>
      <c r="W51" s="19"/>
      <c r="X51" s="19"/>
      <c r="Y51" s="19"/>
    </row>
    <row r="52" spans="1:25" ht="12" customHeight="1">
      <c r="A52" s="219" t="str" cm="1">
        <f t="array" ref="A52">IFERROR(INDEX('03.Muestra'!$B$8:$B$42,SMALL(IF("Página Web"='03.Muestra'!$D$8:$D$42,ROW('03.Muestra'!$B$8:$B$42)-MIN(ROW('03.Muestra'!$D$8:$D$42))+1,""),ROW()-18)),"")</f>
        <v/>
      </c>
      <c r="B52" s="114" t="str" cm="1">
        <f t="array" ref="B52">IFERROR(INDEX('03.Muestra'!$C$8:$C$42,SMALL(IF("Página Web"='03.Muestra'!$D$8:$D$42,ROW('03.Muestra'!$C$8:$C$42)-MIN(ROW('03.Muestra'!$D$8:$D$42))+1,""),ROW()-18)),"")</f>
        <v/>
      </c>
      <c r="C52" s="114" t="str" cm="1">
        <f t="array" ref="C52">IFERROR(INDEX('03.Muestra'!$F$8:$F$42,SMALL(IF("Página Web"='03.Muestra'!$D$8:$D$42,ROW('03.Muestra'!$F$8:$F$42)-MIN(ROW('03.Muestra'!$D$8:$D$42))+1,""),ROW()-18)),"")</f>
        <v/>
      </c>
      <c r="D52" s="130" t="str">
        <f t="shared" si="1"/>
        <v/>
      </c>
      <c r="E52" s="107" t="str">
        <f t="shared" si="0"/>
        <v/>
      </c>
      <c r="I52" s="19"/>
      <c r="J52" s="19"/>
      <c r="K52" s="19"/>
      <c r="L52" s="19"/>
      <c r="Q52" s="19"/>
      <c r="R52" s="19"/>
      <c r="T52" s="19"/>
      <c r="U52" s="19"/>
      <c r="V52" s="19"/>
      <c r="W52" s="19"/>
      <c r="X52" s="19"/>
      <c r="Y52" s="19"/>
    </row>
    <row r="53" spans="1:25" ht="12" customHeight="1">
      <c r="A53" s="219" t="str" cm="1">
        <f t="array" ref="A53">IFERROR(INDEX('03.Muestra'!$B$8:$B$42,SMALL(IF("Página Web"='03.Muestra'!$D$8:$D$42,ROW('03.Muestra'!$B$8:$B$42)-MIN(ROW('03.Muestra'!$D$8:$D$42))+1,""),ROW()-18)),"")</f>
        <v/>
      </c>
      <c r="B53" s="114" t="str" cm="1">
        <f t="array" ref="B53">IFERROR(INDEX('03.Muestra'!$C$8:$C$42,SMALL(IF("Página Web"='03.Muestra'!$D$8:$D$42,ROW('03.Muestra'!$C$8:$C$42)-MIN(ROW('03.Muestra'!$D$8:$D$42))+1,""),ROW()-18)),"")</f>
        <v/>
      </c>
      <c r="C53" s="114" t="str" cm="1">
        <f t="array" ref="C53">IFERROR(INDEX('03.Muestra'!$F$8:$F$42,SMALL(IF("Página Web"='03.Muestra'!$D$8:$D$42,ROW('03.Muestra'!$F$8:$F$42)-MIN(ROW('03.Muestra'!$D$8:$D$42))+1,""),ROW()-18)),"")</f>
        <v/>
      </c>
      <c r="D53" s="130" t="str">
        <f t="shared" si="1"/>
        <v/>
      </c>
      <c r="E53" s="107" t="str">
        <f t="shared" si="0"/>
        <v/>
      </c>
      <c r="I53" s="19"/>
      <c r="J53" s="19"/>
      <c r="K53" s="19"/>
      <c r="L53" s="19"/>
      <c r="Q53" s="19"/>
      <c r="R53" s="19"/>
      <c r="T53" s="19"/>
      <c r="U53" s="19"/>
      <c r="V53" s="19"/>
      <c r="W53" s="19"/>
      <c r="X53" s="19"/>
      <c r="Y53" s="19"/>
    </row>
    <row r="54" spans="1:25" ht="12" customHeight="1">
      <c r="B54" s="19"/>
      <c r="C54" s="19"/>
      <c r="D54" s="107"/>
      <c r="E54" s="107"/>
      <c r="F54" s="19"/>
      <c r="G54" s="19"/>
      <c r="H54" s="19"/>
      <c r="I54" s="19"/>
      <c r="J54" s="19"/>
      <c r="K54" s="19"/>
      <c r="L54" s="19"/>
      <c r="Q54" s="19"/>
      <c r="R54" s="19"/>
      <c r="T54" s="19"/>
      <c r="U54" s="19"/>
      <c r="V54" s="19"/>
      <c r="W54" s="19"/>
      <c r="X54" s="19"/>
      <c r="Y54" s="19"/>
    </row>
    <row r="55" spans="1:25" ht="12" customHeight="1">
      <c r="B55" s="19"/>
      <c r="C55" s="19"/>
      <c r="D55" s="107"/>
      <c r="E55" s="112"/>
      <c r="F55" s="19"/>
      <c r="G55" s="19"/>
      <c r="H55" s="19"/>
      <c r="I55" s="19"/>
      <c r="J55" s="19"/>
      <c r="K55" s="19"/>
      <c r="L55" s="19"/>
      <c r="M55" s="19"/>
      <c r="N55" s="19"/>
      <c r="O55" s="19"/>
      <c r="P55" s="19"/>
      <c r="Q55" s="19"/>
      <c r="R55" s="19"/>
      <c r="T55" s="19"/>
      <c r="U55" s="19"/>
      <c r="V55" s="19"/>
      <c r="W55" s="19"/>
      <c r="X55" s="19"/>
      <c r="Y55" s="19"/>
    </row>
    <row r="56" spans="1:25" ht="32.25" customHeight="1">
      <c r="A56" s="218" t="s">
        <v>268</v>
      </c>
      <c r="B56" s="24" t="s">
        <v>90</v>
      </c>
      <c r="C56" s="25" t="s">
        <v>352</v>
      </c>
      <c r="D56" s="26" t="s">
        <v>32</v>
      </c>
      <c r="E56" s="123"/>
      <c r="K56" s="228"/>
      <c r="L56" s="19"/>
      <c r="M56" s="19"/>
      <c r="N56" s="19"/>
      <c r="O56" s="19"/>
      <c r="P56" s="19"/>
      <c r="Q56" s="19"/>
      <c r="R56" s="19"/>
      <c r="T56" s="19"/>
      <c r="U56" s="19"/>
      <c r="V56" s="19"/>
      <c r="W56" s="19"/>
      <c r="X56" s="19"/>
      <c r="Y56" s="19"/>
    </row>
    <row r="57" spans="1:25" ht="12" customHeight="1">
      <c r="A57" s="219" t="n" cm="1">
        <f t="array" ref="A57">IFERROR(INDEX('03.Muestra'!$B$8:$B$42,SMALL(IF("Página Web"='03.Muestra'!$D$8:$D$42,ROW('03.Muestra'!$B$8:$B$42)-MIN(ROW('03.Muestra'!$D$8:$D$42))+1,""),ROW()-56)),"")</f>
        <v>1.0</v>
      </c>
      <c r="B57" s="114" t="str" cm="1">
        <f t="array" ref="B57">IFERROR(INDEX('03.Muestra'!$C$8:$C$42,SMALL(IF("Página Web"='03.Muestra'!$D$8:$D$42,ROW('03.Muestra'!$C$8:$C$42)-MIN(ROW('03.Muestra'!$D$8:$D$42))+1,""),ROW()-56)),"")</f>
        <v>Home - PortCastelló</v>
      </c>
      <c r="C57" s="114" t="str" cm="1">
        <f t="array" ref="C57">IFERROR(INDEX('03.Muestra'!$F$8:$F$42,SMALL(IF("Página Web"='03.Muestra'!$D$8:$D$42,ROW('03.Muestra'!$F$8:$F$42)-MIN(ROW('03.Muestra'!$D$8:$D$42))+1,""),ROW()-56)),"")</f>
        <v>https://www.portcastello.com/</v>
      </c>
      <c r="D57" s="130" t="str">
        <f>IF(AND(B57&lt;&gt;"",C57&lt;&gt;""),"N/T","")</f>
        <v>N/T</v>
      </c>
      <c r="E57" s="107" t="str">
        <f t="shared" ref="E57:E91" si="2">IF(D57&lt;&gt;"",IF(AND(B57&lt;&gt;"",C57&lt;&gt;""),"","ERR"),"")</f>
        <v/>
      </c>
      <c r="F57" s="115" t="s">
        <v>33</v>
      </c>
      <c r="G57" s="116" t="s">
        <v>37</v>
      </c>
      <c r="H57" s="117" t="s">
        <v>35</v>
      </c>
      <c r="I57" s="118" t="s">
        <v>28</v>
      </c>
      <c r="J57" s="119" t="s">
        <v>26</v>
      </c>
      <c r="K57" s="229" t="s">
        <v>474</v>
      </c>
      <c r="L57" s="19"/>
      <c r="M57" s="19"/>
      <c r="N57" s="19"/>
      <c r="O57" s="19"/>
      <c r="P57" s="19"/>
      <c r="Q57" s="19"/>
      <c r="R57" s="19"/>
      <c r="T57" s="19"/>
      <c r="U57" s="19"/>
      <c r="V57" s="19"/>
      <c r="W57" s="19"/>
      <c r="X57" s="19"/>
      <c r="Y57" s="19"/>
    </row>
    <row r="58" spans="1:25" ht="12" customHeight="1">
      <c r="A58" s="219" t="n" cm="1">
        <f t="array" ref="A58">IFERROR(INDEX('03.Muestra'!$B$8:$B$42,SMALL(IF("Página Web"='03.Muestra'!$D$8:$D$42,ROW('03.Muestra'!$B$8:$B$42)-MIN(ROW('03.Muestra'!$D$8:$D$42))+1,""),ROW()-56)),"")</f>
        <v>1.0</v>
      </c>
      <c r="B58" s="114" t="str" cm="1">
        <f t="array" ref="B58">IFERROR(INDEX('03.Muestra'!$C$8:$C$42,SMALL(IF("Página Web"='03.Muestra'!$D$8:$D$42,ROW('03.Muestra'!$C$8:$C$42)-MIN(ROW('03.Muestra'!$D$8:$D$42))+1,""),ROW()-56)),"")</f>
        <v>Home - PortCastelló</v>
      </c>
      <c r="C58" s="114" t="str" cm="1">
        <f t="array" ref="C58">IFERROR(INDEX('03.Muestra'!$F$8:$F$42,SMALL(IF("Página Web"='03.Muestra'!$D$8:$D$42,ROW('03.Muestra'!$F$8:$F$42)-MIN(ROW('03.Muestra'!$D$8:$D$42))+1,""),ROW()-56)),"")</f>
        <v>https://www.portcastello.com/</v>
      </c>
      <c r="D58" s="130" t="str">
        <f t="shared" ref="D58:D91" si="3">IF(AND(B58&lt;&gt;"",C58&lt;&gt;""),"N/T","")</f>
        <v>N/T</v>
      </c>
      <c r="E58" s="107" t="str">
        <f t="shared" si="2"/>
        <v/>
      </c>
      <c r="F58" s="120" t="n">
        <f ca="1">COUNTIF($D57:INDIRECT("$D" &amp;  SUM(ROW()-1,'03.Muestra'!$D$45)-1),F57)</f>
        <v>33.0</v>
      </c>
      <c r="G58" s="120" t="n">
        <f ca="1">COUNTIF($D57:INDIRECT("$D" &amp;  SUM(ROW()-1,'03.Muestra'!$D$45)-1),G57)</f>
        <v>0.0</v>
      </c>
      <c r="H58" s="120" t="n">
        <f ca="1">COUNTIF($D57:INDIRECT("$D" &amp;  SUM(ROW()-1,'03.Muestra'!$D$45)-1),H57)</f>
        <v>0.0</v>
      </c>
      <c r="I58" s="120" t="n">
        <f ca="1">COUNTIF($D57:INDIRECT("$D" &amp;  SUM(ROW()-1,'03.Muestra'!$D$45)-1),I57)</f>
        <v>0.0</v>
      </c>
      <c r="J58" s="120" t="n">
        <f ca="1">COUNTIF($D57:INDIRECT("$D" &amp;  SUM(ROW()-1,'03.Muestra'!$D$45)-1),J57)</f>
        <v>0.0</v>
      </c>
      <c r="K58" s="230" t="n">
        <f ca="1">IF(COUNTIF('03.Muestra'!$D$8:$D$42,"Página Web")=0,0,COUNTBLANK($D57:INDIRECT("$D" &amp;  SUM(ROW()-1,COUNTIF('03.Muestra'!$D$8:$D$42,"Página Web"))-1)))</f>
        <v>0.0</v>
      </c>
      <c r="L58" s="19"/>
      <c r="M58" s="19"/>
      <c r="N58" s="19"/>
      <c r="O58" s="19"/>
      <c r="P58" s="19"/>
      <c r="Q58" s="19"/>
      <c r="R58" s="19"/>
      <c r="T58" s="19"/>
      <c r="U58" s="19"/>
      <c r="V58" s="19"/>
      <c r="W58" s="19"/>
      <c r="X58" s="19"/>
      <c r="Y58" s="19"/>
    </row>
    <row r="59" spans="1:25" ht="12" customHeight="1">
      <c r="A59" s="219" t="n" cm="1">
        <f t="array" ref="A59">IFERROR(INDEX('03.Muestra'!$B$8:$B$42,SMALL(IF("Página Web"='03.Muestra'!$D$8:$D$42,ROW('03.Muestra'!$B$8:$B$42)-MIN(ROW('03.Muestra'!$D$8:$D$42))+1,""),ROW()-56)),"")</f>
        <v>1.0</v>
      </c>
      <c r="B59" s="114" t="str" cm="1">
        <f t="array" ref="B59">IFERROR(INDEX('03.Muestra'!$C$8:$C$42,SMALL(IF("Página Web"='03.Muestra'!$D$8:$D$42,ROW('03.Muestra'!$C$8:$C$42)-MIN(ROW('03.Muestra'!$D$8:$D$42))+1,""),ROW()-56)),"")</f>
        <v>Home - PortCastelló</v>
      </c>
      <c r="C59" s="114" t="str" cm="1">
        <f t="array" ref="C59">IFERROR(INDEX('03.Muestra'!$F$8:$F$42,SMALL(IF("Página Web"='03.Muestra'!$D$8:$D$42,ROW('03.Muestra'!$F$8:$F$42)-MIN(ROW('03.Muestra'!$D$8:$D$42))+1,""),ROW()-56)),"")</f>
        <v>https://www.portcastello.com/</v>
      </c>
      <c r="D59" s="130" t="str">
        <f t="shared" si="3"/>
        <v>N/T</v>
      </c>
      <c r="E59" s="107" t="str">
        <f t="shared" si="2"/>
        <v/>
      </c>
      <c r="G59" s="19"/>
      <c r="H59" s="19"/>
      <c r="I59" s="19"/>
      <c r="J59" s="19"/>
      <c r="K59" s="228"/>
      <c r="L59" s="19"/>
      <c r="M59" s="19"/>
      <c r="N59" s="19"/>
      <c r="O59" s="19"/>
      <c r="P59" s="19"/>
      <c r="Q59" s="19"/>
      <c r="R59" s="19"/>
      <c r="T59" s="19"/>
      <c r="U59" s="19"/>
      <c r="V59" s="19"/>
      <c r="W59" s="19"/>
      <c r="X59" s="19"/>
      <c r="Y59" s="19"/>
    </row>
    <row r="60" spans="1:25" ht="12" customHeight="1">
      <c r="A60" s="219" t="n" cm="1">
        <f t="array" ref="A60">IFERROR(INDEX('03.Muestra'!$B$8:$B$42,SMALL(IF("Página Web"='03.Muestra'!$D$8:$D$42,ROW('03.Muestra'!$B$8:$B$42)-MIN(ROW('03.Muestra'!$D$8:$D$42))+1,""),ROW()-56)),"")</f>
        <v>1.0</v>
      </c>
      <c r="B60" s="114" t="str" cm="1">
        <f t="array" ref="B60">IFERROR(INDEX('03.Muestra'!$C$8:$C$42,SMALL(IF("Página Web"='03.Muestra'!$D$8:$D$42,ROW('03.Muestra'!$C$8:$C$42)-MIN(ROW('03.Muestra'!$D$8:$D$42))+1,""),ROW()-56)),"")</f>
        <v>Home - PortCastelló</v>
      </c>
      <c r="C60" s="114" t="str" cm="1">
        <f t="array" ref="C60">IFERROR(INDEX('03.Muestra'!$F$8:$F$42,SMALL(IF("Página Web"='03.Muestra'!$D$8:$D$42,ROW('03.Muestra'!$F$8:$F$42)-MIN(ROW('03.Muestra'!$D$8:$D$42))+1,""),ROW()-56)),"")</f>
        <v>https://www.portcastello.com/</v>
      </c>
      <c r="D60" s="130" t="str">
        <f t="shared" si="3"/>
        <v>N/T</v>
      </c>
      <c r="E60" s="107" t="str">
        <f t="shared" si="2"/>
        <v/>
      </c>
      <c r="G60" s="19"/>
      <c r="H60" s="19"/>
      <c r="I60" s="19"/>
      <c r="J60" s="19"/>
      <c r="K60" s="228"/>
      <c r="L60" s="19"/>
      <c r="M60" s="19"/>
      <c r="N60" s="19"/>
      <c r="O60" s="19"/>
      <c r="P60" s="19"/>
      <c r="Q60" s="19"/>
      <c r="R60" s="19"/>
      <c r="T60" s="19"/>
      <c r="U60" s="19"/>
      <c r="V60" s="19"/>
      <c r="W60" s="19"/>
      <c r="X60" s="19"/>
      <c r="Y60" s="19"/>
    </row>
    <row r="61" spans="1:25" ht="12" customHeight="1">
      <c r="A61" s="219" t="n" cm="1">
        <f t="array" ref="A61">IFERROR(INDEX('03.Muestra'!$B$8:$B$42,SMALL(IF("Página Web"='03.Muestra'!$D$8:$D$42,ROW('03.Muestra'!$B$8:$B$42)-MIN(ROW('03.Muestra'!$D$8:$D$42))+1,""),ROW()-56)),"")</f>
        <v>1.0</v>
      </c>
      <c r="B61" s="114" t="str" cm="1">
        <f t="array" ref="B61">IFERROR(INDEX('03.Muestra'!$C$8:$C$42,SMALL(IF("Página Web"='03.Muestra'!$D$8:$D$42,ROW('03.Muestra'!$C$8:$C$42)-MIN(ROW('03.Muestra'!$D$8:$D$42))+1,""),ROW()-56)),"")</f>
        <v>Home - PortCastelló</v>
      </c>
      <c r="C61" s="114" t="str" cm="1">
        <f t="array" ref="C61">IFERROR(INDEX('03.Muestra'!$F$8:$F$42,SMALL(IF("Página Web"='03.Muestra'!$D$8:$D$42,ROW('03.Muestra'!$F$8:$F$42)-MIN(ROW('03.Muestra'!$D$8:$D$42))+1,""),ROW()-56)),"")</f>
        <v>https://www.portcastello.com/</v>
      </c>
      <c r="D61" s="130" t="str">
        <f t="shared" si="3"/>
        <v>N/T</v>
      </c>
      <c r="E61" s="107" t="str">
        <f t="shared" si="2"/>
        <v/>
      </c>
      <c r="G61" s="19"/>
      <c r="H61" s="19"/>
      <c r="I61" s="19"/>
      <c r="J61" s="19"/>
      <c r="K61" s="228"/>
      <c r="L61" s="19"/>
      <c r="M61" s="19"/>
      <c r="N61" s="19"/>
      <c r="O61" s="19"/>
      <c r="P61" s="19"/>
      <c r="Q61" s="19"/>
      <c r="R61" s="19"/>
      <c r="T61" s="19"/>
      <c r="U61" s="19"/>
      <c r="V61" s="19"/>
      <c r="W61" s="19"/>
      <c r="X61" s="19"/>
      <c r="Y61" s="19"/>
    </row>
    <row r="62" spans="1:25" ht="12" customHeight="1">
      <c r="A62" s="219" t="n" cm="1">
        <f t="array" ref="A62">IFERROR(INDEX('03.Muestra'!$B$8:$B$42,SMALL(IF("Página Web"='03.Muestra'!$D$8:$D$42,ROW('03.Muestra'!$B$8:$B$42)-MIN(ROW('03.Muestra'!$D$8:$D$42))+1,""),ROW()-56)),"")</f>
        <v>1.0</v>
      </c>
      <c r="B62" s="114" t="str" cm="1">
        <f t="array" ref="B62">IFERROR(INDEX('03.Muestra'!$C$8:$C$42,SMALL(IF("Página Web"='03.Muestra'!$D$8:$D$42,ROW('03.Muestra'!$C$8:$C$42)-MIN(ROW('03.Muestra'!$D$8:$D$42))+1,""),ROW()-56)),"")</f>
        <v>Home - PortCastelló</v>
      </c>
      <c r="C62" s="114" t="str" cm="1">
        <f t="array" ref="C62">IFERROR(INDEX('03.Muestra'!$F$8:$F$42,SMALL(IF("Página Web"='03.Muestra'!$D$8:$D$42,ROW('03.Muestra'!$F$8:$F$42)-MIN(ROW('03.Muestra'!$D$8:$D$42))+1,""),ROW()-56)),"")</f>
        <v>https://www.portcastello.com/</v>
      </c>
      <c r="D62" s="130" t="str">
        <f t="shared" si="3"/>
        <v>N/T</v>
      </c>
      <c r="E62" s="107" t="str">
        <f t="shared" si="2"/>
        <v/>
      </c>
      <c r="G62" s="19"/>
      <c r="H62" s="19"/>
      <c r="I62" s="19"/>
      <c r="J62" s="19"/>
      <c r="K62" s="228"/>
      <c r="L62" s="19"/>
      <c r="M62" s="19"/>
      <c r="N62" s="19"/>
      <c r="O62" s="19"/>
      <c r="P62" s="19"/>
      <c r="Q62" s="19"/>
      <c r="R62" s="19"/>
      <c r="T62" s="19"/>
      <c r="U62" s="19"/>
      <c r="V62" s="19"/>
      <c r="W62" s="19"/>
      <c r="X62" s="19"/>
      <c r="Y62" s="19"/>
    </row>
    <row r="63" spans="1:25" ht="12" customHeight="1">
      <c r="A63" s="219" t="n" cm="1">
        <f t="array" ref="A63">IFERROR(INDEX('03.Muestra'!$B$8:$B$42,SMALL(IF("Página Web"='03.Muestra'!$D$8:$D$42,ROW('03.Muestra'!$B$8:$B$42)-MIN(ROW('03.Muestra'!$D$8:$D$42))+1,""),ROW()-56)),"")</f>
        <v>1.0</v>
      </c>
      <c r="B63" s="114" t="str" cm="1">
        <f t="array" ref="B63">IFERROR(INDEX('03.Muestra'!$C$8:$C$42,SMALL(IF("Página Web"='03.Muestra'!$D$8:$D$42,ROW('03.Muestra'!$C$8:$C$42)-MIN(ROW('03.Muestra'!$D$8:$D$42))+1,""),ROW()-56)),"")</f>
        <v>Home - PortCastelló</v>
      </c>
      <c r="C63" s="114" t="str" cm="1">
        <f t="array" ref="C63">IFERROR(INDEX('03.Muestra'!$F$8:$F$42,SMALL(IF("Página Web"='03.Muestra'!$D$8:$D$42,ROW('03.Muestra'!$F$8:$F$42)-MIN(ROW('03.Muestra'!$D$8:$D$42))+1,""),ROW()-56)),"")</f>
        <v>https://www.portcastello.com/</v>
      </c>
      <c r="D63" s="130" t="str">
        <f t="shared" si="3"/>
        <v>N/T</v>
      </c>
      <c r="E63" s="107" t="str">
        <f t="shared" si="2"/>
        <v/>
      </c>
      <c r="F63" s="19"/>
      <c r="G63" s="19"/>
      <c r="H63" s="19"/>
      <c r="I63" s="19"/>
      <c r="J63" s="19"/>
      <c r="K63" s="228"/>
      <c r="L63" s="19"/>
      <c r="M63" s="19"/>
      <c r="N63" s="19"/>
      <c r="O63" s="19"/>
      <c r="P63" s="19"/>
      <c r="Q63" s="19"/>
      <c r="R63" s="19"/>
      <c r="S63" s="19"/>
      <c r="T63" s="19"/>
      <c r="U63" s="19"/>
      <c r="V63" s="19"/>
      <c r="W63" s="19"/>
      <c r="X63" s="19"/>
      <c r="Y63" s="19"/>
    </row>
    <row r="64" spans="1:25" ht="12" customHeight="1">
      <c r="A64" s="219" t="n" cm="1">
        <f t="array" ref="A64">IFERROR(INDEX('03.Muestra'!$B$8:$B$42,SMALL(IF("Página Web"='03.Muestra'!$D$8:$D$42,ROW('03.Muestra'!$B$8:$B$42)-MIN(ROW('03.Muestra'!$D$8:$D$42))+1,""),ROW()-56)),"")</f>
        <v>1.0</v>
      </c>
      <c r="B64" s="114" t="str" cm="1">
        <f t="array" ref="B64">IFERROR(INDEX('03.Muestra'!$C$8:$C$42,SMALL(IF("Página Web"='03.Muestra'!$D$8:$D$42,ROW('03.Muestra'!$C$8:$C$42)-MIN(ROW('03.Muestra'!$D$8:$D$42))+1,""),ROW()-56)),"")</f>
        <v>Home - PortCastelló</v>
      </c>
      <c r="C64" s="114" t="str" cm="1">
        <f t="array" ref="C64">IFERROR(INDEX('03.Muestra'!$F$8:$F$42,SMALL(IF("Página Web"='03.Muestra'!$D$8:$D$42,ROW('03.Muestra'!$F$8:$F$42)-MIN(ROW('03.Muestra'!$D$8:$D$42))+1,""),ROW()-56)),"")</f>
        <v>https://www.portcastello.com/</v>
      </c>
      <c r="D64" s="130" t="str">
        <f t="shared" si="3"/>
        <v>N/T</v>
      </c>
      <c r="E64" s="107" t="str">
        <f t="shared" si="2"/>
        <v/>
      </c>
      <c r="F64" s="19"/>
      <c r="G64" s="19"/>
      <c r="H64" s="19"/>
      <c r="I64" s="19"/>
      <c r="J64" s="19"/>
      <c r="K64" s="228"/>
      <c r="L64" s="19"/>
      <c r="M64" s="19"/>
      <c r="N64" s="19"/>
      <c r="O64" s="19"/>
      <c r="P64" s="19"/>
      <c r="Q64" s="19"/>
      <c r="R64" s="19"/>
      <c r="S64" s="19"/>
      <c r="T64" s="19"/>
      <c r="U64" s="19"/>
      <c r="V64" s="19"/>
      <c r="W64" s="19"/>
      <c r="X64" s="19"/>
      <c r="Y64" s="19"/>
    </row>
    <row r="65" spans="1:25" ht="12" customHeight="1">
      <c r="A65" s="219" t="n" cm="1">
        <f t="array" ref="A65">IFERROR(INDEX('03.Muestra'!$B$8:$B$42,SMALL(IF("Página Web"='03.Muestra'!$D$8:$D$42,ROW('03.Muestra'!$B$8:$B$42)-MIN(ROW('03.Muestra'!$D$8:$D$42))+1,""),ROW()-56)),"")</f>
        <v>1.0</v>
      </c>
      <c r="B65" s="114" t="str" cm="1">
        <f t="array" ref="B65">IFERROR(INDEX('03.Muestra'!$C$8:$C$42,SMALL(IF("Página Web"='03.Muestra'!$D$8:$D$42,ROW('03.Muestra'!$C$8:$C$42)-MIN(ROW('03.Muestra'!$D$8:$D$42))+1,""),ROW()-56)),"")</f>
        <v>Home - PortCastelló</v>
      </c>
      <c r="C65" s="114" t="str" cm="1">
        <f t="array" ref="C65">IFERROR(INDEX('03.Muestra'!$F$8:$F$42,SMALL(IF("Página Web"='03.Muestra'!$D$8:$D$42,ROW('03.Muestra'!$F$8:$F$42)-MIN(ROW('03.Muestra'!$D$8:$D$42))+1,""),ROW()-56)),"")</f>
        <v>https://www.portcastello.com/</v>
      </c>
      <c r="D65" s="130" t="str">
        <f t="shared" si="3"/>
        <v>N/T</v>
      </c>
      <c r="E65" s="107" t="str">
        <f t="shared" si="2"/>
        <v/>
      </c>
      <c r="F65" s="19"/>
      <c r="G65" s="19"/>
      <c r="H65" s="19"/>
      <c r="I65" s="19"/>
      <c r="J65" s="19"/>
      <c r="K65" s="228"/>
      <c r="L65" s="19"/>
      <c r="M65" s="19"/>
      <c r="N65" s="19"/>
      <c r="O65" s="19"/>
      <c r="P65" s="19"/>
      <c r="Q65" s="19"/>
      <c r="R65" s="19"/>
      <c r="S65" s="19"/>
      <c r="T65" s="19"/>
      <c r="U65" s="19"/>
      <c r="V65" s="19"/>
      <c r="W65" s="19"/>
      <c r="X65" s="19"/>
      <c r="Y65" s="19"/>
    </row>
    <row r="66" spans="1:25" ht="12" customHeight="1">
      <c r="A66" s="219" t="n" cm="1">
        <f t="array" ref="A66">IFERROR(INDEX('03.Muestra'!$B$8:$B$42,SMALL(IF("Página Web"='03.Muestra'!$D$8:$D$42,ROW('03.Muestra'!$B$8:$B$42)-MIN(ROW('03.Muestra'!$D$8:$D$42))+1,""),ROW()-56)),"")</f>
        <v>1.0</v>
      </c>
      <c r="B66" s="114" t="str" cm="1">
        <f t="array" ref="B66">IFERROR(INDEX('03.Muestra'!$C$8:$C$42,SMALL(IF("Página Web"='03.Muestra'!$D$8:$D$42,ROW('03.Muestra'!$C$8:$C$42)-MIN(ROW('03.Muestra'!$D$8:$D$42))+1,""),ROW()-56)),"")</f>
        <v>Home - PortCastelló</v>
      </c>
      <c r="C66" s="114" t="str" cm="1">
        <f t="array" ref="C66">IFERROR(INDEX('03.Muestra'!$F$8:$F$42,SMALL(IF("Página Web"='03.Muestra'!$D$8:$D$42,ROW('03.Muestra'!$F$8:$F$42)-MIN(ROW('03.Muestra'!$D$8:$D$42))+1,""),ROW()-56)),"")</f>
        <v>https://www.portcastello.com/</v>
      </c>
      <c r="D66" s="130" t="str">
        <f t="shared" si="3"/>
        <v>N/T</v>
      </c>
      <c r="E66" s="107" t="str">
        <f t="shared" si="2"/>
        <v/>
      </c>
      <c r="F66" s="19"/>
      <c r="G66" s="19"/>
      <c r="H66" s="19"/>
      <c r="I66" s="19"/>
      <c r="J66" s="19"/>
      <c r="K66" s="228"/>
      <c r="L66" s="19"/>
      <c r="M66" s="19"/>
      <c r="N66" s="19"/>
      <c r="O66" s="19"/>
      <c r="P66" s="19"/>
      <c r="Q66" s="19"/>
      <c r="R66" s="19"/>
      <c r="S66" s="19"/>
      <c r="T66" s="19"/>
      <c r="U66" s="19"/>
      <c r="V66" s="19"/>
      <c r="W66" s="19"/>
      <c r="X66" s="19"/>
      <c r="Y66" s="19"/>
    </row>
    <row r="67" spans="1:25" ht="12" customHeight="1">
      <c r="A67" s="219" t="n" cm="1">
        <f t="array" ref="A67">IFERROR(INDEX('03.Muestra'!$B$8:$B$42,SMALL(IF("Página Web"='03.Muestra'!$D$8:$D$42,ROW('03.Muestra'!$B$8:$B$42)-MIN(ROW('03.Muestra'!$D$8:$D$42))+1,""),ROW()-56)),"")</f>
        <v>1.0</v>
      </c>
      <c r="B67" s="114" t="str" cm="1">
        <f t="array" ref="B67">IFERROR(INDEX('03.Muestra'!$C$8:$C$42,SMALL(IF("Página Web"='03.Muestra'!$D$8:$D$42,ROW('03.Muestra'!$C$8:$C$42)-MIN(ROW('03.Muestra'!$D$8:$D$42))+1,""),ROW()-56)),"")</f>
        <v>Home - PortCastelló</v>
      </c>
      <c r="C67" s="114" t="str" cm="1">
        <f t="array" ref="C67">IFERROR(INDEX('03.Muestra'!$F$8:$F$42,SMALL(IF("Página Web"='03.Muestra'!$D$8:$D$42,ROW('03.Muestra'!$F$8:$F$42)-MIN(ROW('03.Muestra'!$D$8:$D$42))+1,""),ROW()-56)),"")</f>
        <v>https://www.portcastello.com/</v>
      </c>
      <c r="D67" s="130" t="str">
        <f t="shared" si="3"/>
        <v>N/T</v>
      </c>
      <c r="E67" s="107" t="str">
        <f t="shared" si="2"/>
        <v/>
      </c>
      <c r="F67" s="19"/>
      <c r="G67" s="19"/>
      <c r="H67" s="19"/>
      <c r="I67" s="19"/>
      <c r="J67" s="19"/>
      <c r="K67" s="228"/>
      <c r="L67" s="19"/>
      <c r="M67" s="19"/>
      <c r="N67" s="19"/>
      <c r="O67" s="19"/>
      <c r="P67" s="19"/>
      <c r="Q67" s="19"/>
      <c r="R67" s="19"/>
      <c r="S67" s="19"/>
      <c r="T67" s="19"/>
      <c r="U67" s="19"/>
      <c r="V67" s="19"/>
      <c r="W67" s="19"/>
      <c r="X67" s="19"/>
      <c r="Y67" s="19"/>
    </row>
    <row r="68" spans="1:25" ht="12" customHeight="1">
      <c r="A68" s="219" t="n" cm="1">
        <f t="array" ref="A68">IFERROR(INDEX('03.Muestra'!$B$8:$B$42,SMALL(IF("Página Web"='03.Muestra'!$D$8:$D$42,ROW('03.Muestra'!$B$8:$B$42)-MIN(ROW('03.Muestra'!$D$8:$D$42))+1,""),ROW()-56)),"")</f>
        <v>1.0</v>
      </c>
      <c r="B68" s="114" t="str" cm="1">
        <f t="array" ref="B68">IFERROR(INDEX('03.Muestra'!$C$8:$C$42,SMALL(IF("Página Web"='03.Muestra'!$D$8:$D$42,ROW('03.Muestra'!$C$8:$C$42)-MIN(ROW('03.Muestra'!$D$8:$D$42))+1,""),ROW()-56)),"")</f>
        <v>Home - PortCastelló</v>
      </c>
      <c r="C68" s="114" t="str" cm="1">
        <f t="array" ref="C68">IFERROR(INDEX('03.Muestra'!$F$8:$F$42,SMALL(IF("Página Web"='03.Muestra'!$D$8:$D$42,ROW('03.Muestra'!$F$8:$F$42)-MIN(ROW('03.Muestra'!$D$8:$D$42))+1,""),ROW()-56)),"")</f>
        <v>https://www.portcastello.com/</v>
      </c>
      <c r="D68" s="130" t="str">
        <f t="shared" si="3"/>
        <v>N/T</v>
      </c>
      <c r="E68" s="107" t="str">
        <f t="shared" si="2"/>
        <v/>
      </c>
      <c r="F68" s="19"/>
      <c r="G68" s="19"/>
      <c r="H68" s="19"/>
      <c r="I68" s="19"/>
      <c r="J68" s="19"/>
      <c r="K68" s="228"/>
      <c r="L68" s="19"/>
      <c r="M68" s="19"/>
      <c r="N68" s="19"/>
      <c r="O68" s="19"/>
      <c r="P68" s="19"/>
      <c r="Q68" s="19"/>
      <c r="R68" s="19"/>
      <c r="S68" s="19"/>
      <c r="T68" s="19"/>
      <c r="U68" s="19"/>
      <c r="V68" s="19"/>
      <c r="W68" s="19"/>
      <c r="X68" s="19"/>
      <c r="Y68" s="19"/>
    </row>
    <row r="69" spans="1:25" ht="12" customHeight="1">
      <c r="A69" s="219" t="n" cm="1">
        <f t="array" ref="A69">IFERROR(INDEX('03.Muestra'!$B$8:$B$42,SMALL(IF("Página Web"='03.Muestra'!$D$8:$D$42,ROW('03.Muestra'!$B$8:$B$42)-MIN(ROW('03.Muestra'!$D$8:$D$42))+1,""),ROW()-56)),"")</f>
        <v>1.0</v>
      </c>
      <c r="B69" s="114" t="str" cm="1">
        <f t="array" ref="B69">IFERROR(INDEX('03.Muestra'!$C$8:$C$42,SMALL(IF("Página Web"='03.Muestra'!$D$8:$D$42,ROW('03.Muestra'!$C$8:$C$42)-MIN(ROW('03.Muestra'!$D$8:$D$42))+1,""),ROW()-56)),"")</f>
        <v>Home - PortCastelló</v>
      </c>
      <c r="C69" s="114" t="str" cm="1">
        <f t="array" ref="C69">IFERROR(INDEX('03.Muestra'!$F$8:$F$42,SMALL(IF("Página Web"='03.Muestra'!$D$8:$D$42,ROW('03.Muestra'!$F$8:$F$42)-MIN(ROW('03.Muestra'!$D$8:$D$42))+1,""),ROW()-56)),"")</f>
        <v>https://www.portcastello.com/</v>
      </c>
      <c r="D69" s="130" t="str">
        <f t="shared" si="3"/>
        <v>N/T</v>
      </c>
      <c r="E69" s="107" t="str">
        <f t="shared" si="2"/>
        <v/>
      </c>
      <c r="F69" s="19"/>
      <c r="G69" s="19"/>
      <c r="H69" s="19"/>
      <c r="I69" s="19"/>
      <c r="J69" s="19"/>
      <c r="K69" s="228"/>
      <c r="L69" s="19"/>
      <c r="M69" s="19"/>
      <c r="N69" s="19"/>
      <c r="O69" s="19"/>
      <c r="P69" s="19"/>
      <c r="Q69" s="19"/>
      <c r="R69" s="19"/>
      <c r="S69" s="19"/>
      <c r="T69" s="19"/>
      <c r="U69" s="19"/>
      <c r="V69" s="19"/>
      <c r="W69" s="19"/>
      <c r="X69" s="19"/>
      <c r="Y69" s="19"/>
    </row>
    <row r="70" spans="1:25" ht="12" customHeight="1">
      <c r="A70" s="219" t="n" cm="1">
        <f t="array" ref="A70">IFERROR(INDEX('03.Muestra'!$B$8:$B$42,SMALL(IF("Página Web"='03.Muestra'!$D$8:$D$42,ROW('03.Muestra'!$B$8:$B$42)-MIN(ROW('03.Muestra'!$D$8:$D$42))+1,""),ROW()-56)),"")</f>
        <v>1.0</v>
      </c>
      <c r="B70" s="114" t="str" cm="1">
        <f t="array" ref="B70">IFERROR(INDEX('03.Muestra'!$C$8:$C$42,SMALL(IF("Página Web"='03.Muestra'!$D$8:$D$42,ROW('03.Muestra'!$C$8:$C$42)-MIN(ROW('03.Muestra'!$D$8:$D$42))+1,""),ROW()-56)),"")</f>
        <v>Home - PortCastelló</v>
      </c>
      <c r="C70" s="114" t="str" cm="1">
        <f t="array" ref="C70">IFERROR(INDEX('03.Muestra'!$F$8:$F$42,SMALL(IF("Página Web"='03.Muestra'!$D$8:$D$42,ROW('03.Muestra'!$F$8:$F$42)-MIN(ROW('03.Muestra'!$D$8:$D$42))+1,""),ROW()-56)),"")</f>
        <v>https://www.portcastello.com/</v>
      </c>
      <c r="D70" s="130" t="str">
        <f t="shared" si="3"/>
        <v>N/T</v>
      </c>
      <c r="E70" s="107" t="str">
        <f t="shared" si="2"/>
        <v/>
      </c>
      <c r="F70" s="19"/>
      <c r="G70" s="19"/>
      <c r="H70" s="19"/>
      <c r="I70" s="19"/>
      <c r="J70" s="19"/>
      <c r="K70" s="228"/>
      <c r="L70" s="19"/>
      <c r="M70" s="19"/>
      <c r="N70" s="19"/>
      <c r="O70" s="19"/>
      <c r="P70" s="19"/>
      <c r="Q70" s="19"/>
      <c r="R70" s="19"/>
      <c r="S70" s="19"/>
      <c r="T70" s="19"/>
      <c r="U70" s="19"/>
      <c r="V70" s="19"/>
      <c r="W70" s="19"/>
      <c r="X70" s="19"/>
      <c r="Y70" s="19"/>
    </row>
    <row r="71" spans="1:25" ht="12" customHeight="1">
      <c r="A71" s="219" t="n" cm="1">
        <f t="array" ref="A71">IFERROR(INDEX('03.Muestra'!$B$8:$B$42,SMALL(IF("Página Web"='03.Muestra'!$D$8:$D$42,ROW('03.Muestra'!$B$8:$B$42)-MIN(ROW('03.Muestra'!$D$8:$D$42))+1,""),ROW()-56)),"")</f>
        <v>1.0</v>
      </c>
      <c r="B71" s="114" t="str" cm="1">
        <f t="array" ref="B71">IFERROR(INDEX('03.Muestra'!$C$8:$C$42,SMALL(IF("Página Web"='03.Muestra'!$D$8:$D$42,ROW('03.Muestra'!$C$8:$C$42)-MIN(ROW('03.Muestra'!$D$8:$D$42))+1,""),ROW()-56)),"")</f>
        <v>Home - PortCastelló</v>
      </c>
      <c r="C71" s="114" t="str" cm="1">
        <f t="array" ref="C71">IFERROR(INDEX('03.Muestra'!$F$8:$F$42,SMALL(IF("Página Web"='03.Muestra'!$D$8:$D$42,ROW('03.Muestra'!$F$8:$F$42)-MIN(ROW('03.Muestra'!$D$8:$D$42))+1,""),ROW()-56)),"")</f>
        <v>https://www.portcastello.com/</v>
      </c>
      <c r="D71" s="130" t="str">
        <f t="shared" si="3"/>
        <v>N/T</v>
      </c>
      <c r="E71" s="107" t="str">
        <f t="shared" si="2"/>
        <v/>
      </c>
      <c r="F71" s="19"/>
      <c r="G71" s="19"/>
      <c r="H71" s="19"/>
      <c r="I71" s="19"/>
      <c r="J71" s="19"/>
      <c r="K71" s="228"/>
      <c r="L71" s="19"/>
      <c r="M71" s="19"/>
      <c r="N71" s="19"/>
      <c r="O71" s="19"/>
      <c r="P71" s="19"/>
      <c r="Q71" s="19"/>
      <c r="R71" s="19"/>
      <c r="S71" s="19"/>
      <c r="T71" s="19"/>
      <c r="U71" s="19"/>
      <c r="V71" s="19"/>
      <c r="W71" s="19"/>
      <c r="X71" s="19"/>
      <c r="Y71" s="19"/>
    </row>
    <row r="72" spans="1:25" ht="12" customHeight="1">
      <c r="A72" s="219" t="n" cm="1">
        <f t="array" ref="A72">IFERROR(INDEX('03.Muestra'!$B$8:$B$42,SMALL(IF("Página Web"='03.Muestra'!$D$8:$D$42,ROW('03.Muestra'!$B$8:$B$42)-MIN(ROW('03.Muestra'!$D$8:$D$42))+1,""),ROW()-56)),"")</f>
        <v>1.0</v>
      </c>
      <c r="B72" s="114" t="str" cm="1">
        <f t="array" ref="B72">IFERROR(INDEX('03.Muestra'!$C$8:$C$42,SMALL(IF("Página Web"='03.Muestra'!$D$8:$D$42,ROW('03.Muestra'!$C$8:$C$42)-MIN(ROW('03.Muestra'!$D$8:$D$42))+1,""),ROW()-56)),"")</f>
        <v>Home - PortCastelló</v>
      </c>
      <c r="C72" s="114" t="str" cm="1">
        <f t="array" ref="C72">IFERROR(INDEX('03.Muestra'!$F$8:$F$42,SMALL(IF("Página Web"='03.Muestra'!$D$8:$D$42,ROW('03.Muestra'!$F$8:$F$42)-MIN(ROW('03.Muestra'!$D$8:$D$42))+1,""),ROW()-56)),"")</f>
        <v>https://www.portcastello.com/</v>
      </c>
      <c r="D72" s="130" t="str">
        <f t="shared" si="3"/>
        <v>N/T</v>
      </c>
      <c r="E72" s="107" t="str">
        <f t="shared" si="2"/>
        <v/>
      </c>
      <c r="F72" s="19"/>
      <c r="G72" s="19"/>
      <c r="H72" s="19"/>
      <c r="I72" s="19"/>
      <c r="J72" s="19"/>
      <c r="K72" s="228"/>
      <c r="L72" s="19"/>
      <c r="M72" s="19"/>
      <c r="N72" s="19"/>
      <c r="O72" s="19"/>
      <c r="P72" s="19"/>
      <c r="Q72" s="19"/>
      <c r="R72" s="19"/>
      <c r="S72" s="19"/>
      <c r="T72" s="19"/>
      <c r="U72" s="19"/>
      <c r="V72" s="19"/>
      <c r="W72" s="19"/>
      <c r="X72" s="19"/>
      <c r="Y72" s="19"/>
    </row>
    <row r="73" spans="1:25" ht="12" customHeight="1">
      <c r="A73" s="219" t="n" cm="1">
        <f t="array" ref="A73">IFERROR(INDEX('03.Muestra'!$B$8:$B$42,SMALL(IF("Página Web"='03.Muestra'!$D$8:$D$42,ROW('03.Muestra'!$B$8:$B$42)-MIN(ROW('03.Muestra'!$D$8:$D$42))+1,""),ROW()-56)),"")</f>
        <v>1.0</v>
      </c>
      <c r="B73" s="114" t="str" cm="1">
        <f t="array" ref="B73">IFERROR(INDEX('03.Muestra'!$C$8:$C$42,SMALL(IF("Página Web"='03.Muestra'!$D$8:$D$42,ROW('03.Muestra'!$C$8:$C$42)-MIN(ROW('03.Muestra'!$D$8:$D$42))+1,""),ROW()-56)),"")</f>
        <v>Home - PortCastelló</v>
      </c>
      <c r="C73" s="114" t="str" cm="1">
        <f t="array" ref="C73">IFERROR(INDEX('03.Muestra'!$F$8:$F$42,SMALL(IF("Página Web"='03.Muestra'!$D$8:$D$42,ROW('03.Muestra'!$F$8:$F$42)-MIN(ROW('03.Muestra'!$D$8:$D$42))+1,""),ROW()-56)),"")</f>
        <v>https://www.portcastello.com/</v>
      </c>
      <c r="D73" s="130" t="str">
        <f t="shared" si="3"/>
        <v>N/T</v>
      </c>
      <c r="E73" s="107" t="str">
        <f t="shared" si="2"/>
        <v/>
      </c>
      <c r="F73" s="19"/>
      <c r="G73" s="19"/>
      <c r="H73" s="19"/>
      <c r="I73" s="19"/>
      <c r="J73" s="19"/>
      <c r="K73" s="228"/>
      <c r="L73" s="19"/>
      <c r="M73" s="19"/>
      <c r="N73" s="19"/>
      <c r="O73" s="19"/>
      <c r="P73" s="19"/>
      <c r="Q73" s="19"/>
      <c r="R73" s="19"/>
      <c r="S73" s="19"/>
      <c r="T73" s="19"/>
      <c r="U73" s="19"/>
      <c r="V73" s="19"/>
      <c r="W73" s="19"/>
      <c r="X73" s="19"/>
      <c r="Y73" s="19"/>
    </row>
    <row r="74" spans="1:25" ht="12" customHeight="1">
      <c r="A74" s="219" t="n" cm="1">
        <f t="array" ref="A74">IFERROR(INDEX('03.Muestra'!$B$8:$B$42,SMALL(IF("Página Web"='03.Muestra'!$D$8:$D$42,ROW('03.Muestra'!$B$8:$B$42)-MIN(ROW('03.Muestra'!$D$8:$D$42))+1,""),ROW()-56)),"")</f>
        <v>1.0</v>
      </c>
      <c r="B74" s="114" t="str" cm="1">
        <f t="array" ref="B74">IFERROR(INDEX('03.Muestra'!$C$8:$C$42,SMALL(IF("Página Web"='03.Muestra'!$D$8:$D$42,ROW('03.Muestra'!$C$8:$C$42)-MIN(ROW('03.Muestra'!$D$8:$D$42))+1,""),ROW()-56)),"")</f>
        <v>Home - PortCastelló</v>
      </c>
      <c r="C74" s="114" t="str" cm="1">
        <f t="array" ref="C74">IFERROR(INDEX('03.Muestra'!$F$8:$F$42,SMALL(IF("Página Web"='03.Muestra'!$D$8:$D$42,ROW('03.Muestra'!$F$8:$F$42)-MIN(ROW('03.Muestra'!$D$8:$D$42))+1,""),ROW()-56)),"")</f>
        <v>https://www.portcastello.com/</v>
      </c>
      <c r="D74" s="130" t="str">
        <f t="shared" si="3"/>
        <v>N/T</v>
      </c>
      <c r="E74" s="107" t="str">
        <f t="shared" si="2"/>
        <v/>
      </c>
      <c r="F74" s="19"/>
      <c r="G74" s="19"/>
      <c r="H74" s="19"/>
      <c r="I74" s="19"/>
      <c r="J74" s="19"/>
      <c r="K74" s="228"/>
      <c r="L74" s="19"/>
      <c r="M74" s="19"/>
      <c r="N74" s="19"/>
      <c r="O74" s="19"/>
      <c r="P74" s="19"/>
      <c r="Q74" s="19"/>
      <c r="R74" s="19"/>
      <c r="S74" s="19"/>
      <c r="T74" s="19"/>
      <c r="U74" s="19"/>
      <c r="V74" s="19"/>
      <c r="W74" s="19"/>
      <c r="X74" s="19"/>
      <c r="Y74" s="19"/>
    </row>
    <row r="75" spans="1:25" ht="12" customHeight="1">
      <c r="A75" s="219" t="n" cm="1">
        <f t="array" ref="A75">IFERROR(INDEX('03.Muestra'!$B$8:$B$42,SMALL(IF("Página Web"='03.Muestra'!$D$8:$D$42,ROW('03.Muestra'!$B$8:$B$42)-MIN(ROW('03.Muestra'!$D$8:$D$42))+1,""),ROW()-56)),"")</f>
        <v>1.0</v>
      </c>
      <c r="B75" s="114" t="str" cm="1">
        <f t="array" ref="B75">IFERROR(INDEX('03.Muestra'!$C$8:$C$42,SMALL(IF("Página Web"='03.Muestra'!$D$8:$D$42,ROW('03.Muestra'!$C$8:$C$42)-MIN(ROW('03.Muestra'!$D$8:$D$42))+1,""),ROW()-56)),"")</f>
        <v>Home - PortCastelló</v>
      </c>
      <c r="C75" s="114" t="str" cm="1">
        <f t="array" ref="C75">IFERROR(INDEX('03.Muestra'!$F$8:$F$42,SMALL(IF("Página Web"='03.Muestra'!$D$8:$D$42,ROW('03.Muestra'!$F$8:$F$42)-MIN(ROW('03.Muestra'!$D$8:$D$42))+1,""),ROW()-56)),"")</f>
        <v>https://www.portcastello.com/</v>
      </c>
      <c r="D75" s="130" t="str">
        <f t="shared" si="3"/>
        <v>N/T</v>
      </c>
      <c r="E75" s="107" t="str">
        <f t="shared" si="2"/>
        <v/>
      </c>
      <c r="F75" s="19"/>
      <c r="G75" s="19"/>
      <c r="H75" s="19"/>
      <c r="I75" s="19"/>
      <c r="J75" s="19"/>
      <c r="K75" s="228"/>
      <c r="L75" s="19"/>
      <c r="M75" s="19"/>
      <c r="N75" s="19"/>
      <c r="O75" s="19"/>
      <c r="P75" s="19"/>
      <c r="Q75" s="19"/>
      <c r="R75" s="19"/>
      <c r="S75" s="19"/>
      <c r="T75" s="19"/>
      <c r="U75" s="19"/>
      <c r="V75" s="19"/>
      <c r="W75" s="19"/>
      <c r="X75" s="19"/>
      <c r="Y75" s="19"/>
    </row>
    <row r="76" spans="1:25" ht="12" customHeight="1">
      <c r="A76" s="219" t="n" cm="1">
        <f t="array" ref="A76">IFERROR(INDEX('03.Muestra'!$B$8:$B$42,SMALL(IF("Página Web"='03.Muestra'!$D$8:$D$42,ROW('03.Muestra'!$B$8:$B$42)-MIN(ROW('03.Muestra'!$D$8:$D$42))+1,""),ROW()-56)),"")</f>
        <v>1.0</v>
      </c>
      <c r="B76" s="114" t="str" cm="1">
        <f t="array" ref="B76">IFERROR(INDEX('03.Muestra'!$C$8:$C$42,SMALL(IF("Página Web"='03.Muestra'!$D$8:$D$42,ROW('03.Muestra'!$C$8:$C$42)-MIN(ROW('03.Muestra'!$D$8:$D$42))+1,""),ROW()-56)),"")</f>
        <v>Home - PortCastelló</v>
      </c>
      <c r="C76" s="114" t="str" cm="1">
        <f t="array" ref="C76">IFERROR(INDEX('03.Muestra'!$F$8:$F$42,SMALL(IF("Página Web"='03.Muestra'!$D$8:$D$42,ROW('03.Muestra'!$F$8:$F$42)-MIN(ROW('03.Muestra'!$D$8:$D$42))+1,""),ROW()-56)),"")</f>
        <v>https://www.portcastello.com/</v>
      </c>
      <c r="D76" s="130" t="str">
        <f t="shared" si="3"/>
        <v>N/T</v>
      </c>
      <c r="E76" s="107" t="str">
        <f t="shared" si="2"/>
        <v/>
      </c>
      <c r="F76" s="19"/>
      <c r="G76" s="19"/>
      <c r="H76" s="19"/>
      <c r="I76" s="19"/>
      <c r="J76" s="19"/>
      <c r="K76" s="228"/>
      <c r="L76" s="19"/>
      <c r="M76" s="19"/>
      <c r="N76" s="19"/>
      <c r="O76" s="19"/>
      <c r="P76" s="19"/>
      <c r="Q76" s="19"/>
      <c r="R76" s="19"/>
      <c r="S76" s="19"/>
      <c r="T76" s="19"/>
      <c r="U76" s="19"/>
      <c r="V76" s="19"/>
      <c r="W76" s="19"/>
      <c r="X76" s="19"/>
      <c r="Y76" s="19"/>
    </row>
    <row r="77" spans="1:25" ht="12" customHeight="1">
      <c r="A77" s="219" t="n" cm="1">
        <f t="array" ref="A77">IFERROR(INDEX('03.Muestra'!$B$8:$B$42,SMALL(IF("Página Web"='03.Muestra'!$D$8:$D$42,ROW('03.Muestra'!$B$8:$B$42)-MIN(ROW('03.Muestra'!$D$8:$D$42))+1,""),ROW()-56)),"")</f>
        <v>1.0</v>
      </c>
      <c r="B77" s="114" t="str" cm="1">
        <f t="array" ref="B77">IFERROR(INDEX('03.Muestra'!$C$8:$C$42,SMALL(IF("Página Web"='03.Muestra'!$D$8:$D$42,ROW('03.Muestra'!$C$8:$C$42)-MIN(ROW('03.Muestra'!$D$8:$D$42))+1,""),ROW()-56)),"")</f>
        <v>Home - PortCastelló</v>
      </c>
      <c r="C77" s="114" t="str" cm="1">
        <f t="array" ref="C77">IFERROR(INDEX('03.Muestra'!$F$8:$F$42,SMALL(IF("Página Web"='03.Muestra'!$D$8:$D$42,ROW('03.Muestra'!$F$8:$F$42)-MIN(ROW('03.Muestra'!$D$8:$D$42))+1,""),ROW()-56)),"")</f>
        <v>https://www.portcastello.com/</v>
      </c>
      <c r="D77" s="130" t="str">
        <f t="shared" si="3"/>
        <v>N/T</v>
      </c>
      <c r="E77" s="107" t="str">
        <f t="shared" si="2"/>
        <v/>
      </c>
      <c r="F77" s="19"/>
      <c r="G77" s="19"/>
      <c r="H77" s="19"/>
      <c r="I77" s="19"/>
      <c r="J77" s="19"/>
      <c r="K77" s="228"/>
      <c r="L77" s="19"/>
      <c r="M77" s="19"/>
      <c r="N77" s="19"/>
      <c r="O77" s="19"/>
      <c r="P77" s="19"/>
      <c r="Q77" s="19"/>
      <c r="R77" s="19"/>
      <c r="S77" s="19"/>
      <c r="T77" s="19"/>
      <c r="U77" s="19"/>
      <c r="V77" s="19"/>
      <c r="W77" s="19"/>
      <c r="X77" s="19"/>
      <c r="Y77" s="19"/>
    </row>
    <row r="78" spans="1:25" ht="12" customHeight="1">
      <c r="A78" s="219" t="n" cm="1">
        <f t="array" ref="A78">IFERROR(INDEX('03.Muestra'!$B$8:$B$42,SMALL(IF("Página Web"='03.Muestra'!$D$8:$D$42,ROW('03.Muestra'!$B$8:$B$42)-MIN(ROW('03.Muestra'!$D$8:$D$42))+1,""),ROW()-56)),"")</f>
        <v>1.0</v>
      </c>
      <c r="B78" s="114" t="str" cm="1">
        <f t="array" ref="B78">IFERROR(INDEX('03.Muestra'!$C$8:$C$42,SMALL(IF("Página Web"='03.Muestra'!$D$8:$D$42,ROW('03.Muestra'!$C$8:$C$42)-MIN(ROW('03.Muestra'!$D$8:$D$42))+1,""),ROW()-56)),"")</f>
        <v>Home - PortCastelló</v>
      </c>
      <c r="C78" s="114" t="str" cm="1">
        <f t="array" ref="C78">IFERROR(INDEX('03.Muestra'!$F$8:$F$42,SMALL(IF("Página Web"='03.Muestra'!$D$8:$D$42,ROW('03.Muestra'!$F$8:$F$42)-MIN(ROW('03.Muestra'!$D$8:$D$42))+1,""),ROW()-56)),"")</f>
        <v>https://www.portcastello.com/</v>
      </c>
      <c r="D78" s="130" t="str">
        <f t="shared" si="3"/>
        <v>N/T</v>
      </c>
      <c r="E78" s="107" t="str">
        <f t="shared" si="2"/>
        <v/>
      </c>
      <c r="F78" s="19"/>
      <c r="G78" s="19"/>
      <c r="H78" s="19"/>
      <c r="I78" s="19"/>
      <c r="J78" s="19"/>
      <c r="K78" s="228"/>
      <c r="L78" s="19"/>
      <c r="M78" s="19"/>
      <c r="N78" s="19"/>
      <c r="O78" s="19"/>
      <c r="P78" s="19"/>
      <c r="Q78" s="19"/>
      <c r="R78" s="19"/>
      <c r="S78" s="19"/>
      <c r="T78" s="19"/>
      <c r="U78" s="19"/>
      <c r="V78" s="19"/>
      <c r="W78" s="19"/>
      <c r="X78" s="19"/>
      <c r="Y78" s="19"/>
    </row>
    <row r="79" spans="1:25" ht="12" customHeight="1">
      <c r="A79" s="219" t="n" cm="1">
        <f t="array" ref="A79">IFERROR(INDEX('03.Muestra'!$B$8:$B$42,SMALL(IF("Página Web"='03.Muestra'!$D$8:$D$42,ROW('03.Muestra'!$B$8:$B$42)-MIN(ROW('03.Muestra'!$D$8:$D$42))+1,""),ROW()-56)),"")</f>
        <v>1.0</v>
      </c>
      <c r="B79" s="114" t="str" cm="1">
        <f t="array" ref="B79">IFERROR(INDEX('03.Muestra'!$C$8:$C$42,SMALL(IF("Página Web"='03.Muestra'!$D$8:$D$42,ROW('03.Muestra'!$C$8:$C$42)-MIN(ROW('03.Muestra'!$D$8:$D$42))+1,""),ROW()-56)),"")</f>
        <v>Home - PortCastelló</v>
      </c>
      <c r="C79" s="114" t="str" cm="1">
        <f t="array" ref="C79">IFERROR(INDEX('03.Muestra'!$F$8:$F$42,SMALL(IF("Página Web"='03.Muestra'!$D$8:$D$42,ROW('03.Muestra'!$F$8:$F$42)-MIN(ROW('03.Muestra'!$D$8:$D$42))+1,""),ROW()-56)),"")</f>
        <v>https://www.portcastello.com/</v>
      </c>
      <c r="D79" s="130" t="str">
        <f t="shared" si="3"/>
        <v>N/T</v>
      </c>
      <c r="E79" s="107" t="str">
        <f t="shared" si="2"/>
        <v/>
      </c>
      <c r="F79" s="19"/>
      <c r="G79" s="19"/>
      <c r="H79" s="19"/>
      <c r="I79" s="19"/>
      <c r="J79" s="19"/>
      <c r="K79" s="228"/>
      <c r="L79" s="19"/>
      <c r="M79" s="19"/>
      <c r="N79" s="19"/>
      <c r="O79" s="19"/>
      <c r="P79" s="19"/>
      <c r="Q79" s="19"/>
      <c r="R79" s="19"/>
      <c r="S79" s="19"/>
      <c r="T79" s="19"/>
      <c r="U79" s="19"/>
      <c r="V79" s="19"/>
      <c r="W79" s="19"/>
      <c r="X79" s="19"/>
      <c r="Y79" s="19"/>
    </row>
    <row r="80" spans="1:25" ht="12" customHeight="1">
      <c r="A80" s="219" t="n" cm="1">
        <f t="array" ref="A80">IFERROR(INDEX('03.Muestra'!$B$8:$B$42,SMALL(IF("Página Web"='03.Muestra'!$D$8:$D$42,ROW('03.Muestra'!$B$8:$B$42)-MIN(ROW('03.Muestra'!$D$8:$D$42))+1,""),ROW()-56)),"")</f>
        <v>1.0</v>
      </c>
      <c r="B80" s="114" t="str" cm="1">
        <f t="array" ref="B80">IFERROR(INDEX('03.Muestra'!$C$8:$C$42,SMALL(IF("Página Web"='03.Muestra'!$D$8:$D$42,ROW('03.Muestra'!$C$8:$C$42)-MIN(ROW('03.Muestra'!$D$8:$D$42))+1,""),ROW()-56)),"")</f>
        <v>Home - PortCastelló</v>
      </c>
      <c r="C80" s="114" t="str" cm="1">
        <f t="array" ref="C80">IFERROR(INDEX('03.Muestra'!$F$8:$F$42,SMALL(IF("Página Web"='03.Muestra'!$D$8:$D$42,ROW('03.Muestra'!$F$8:$F$42)-MIN(ROW('03.Muestra'!$D$8:$D$42))+1,""),ROW()-56)),"")</f>
        <v>https://www.portcastello.com/</v>
      </c>
      <c r="D80" s="130" t="str">
        <f t="shared" si="3"/>
        <v>N/T</v>
      </c>
      <c r="E80" s="107" t="str">
        <f t="shared" si="2"/>
        <v/>
      </c>
      <c r="F80" s="19"/>
      <c r="G80" s="19"/>
      <c r="H80" s="19"/>
      <c r="I80" s="19"/>
      <c r="J80" s="19"/>
      <c r="K80" s="228"/>
      <c r="L80" s="19"/>
      <c r="M80" s="19"/>
      <c r="N80" s="19"/>
      <c r="O80" s="19"/>
      <c r="P80" s="19"/>
      <c r="Q80" s="19"/>
      <c r="R80" s="19"/>
      <c r="S80" s="19"/>
      <c r="T80" s="19"/>
      <c r="U80" s="19"/>
      <c r="V80" s="19"/>
      <c r="W80" s="19"/>
      <c r="X80" s="19"/>
      <c r="Y80" s="19"/>
    </row>
    <row r="81" spans="1:25" ht="12" customHeight="1">
      <c r="A81" s="219" t="n" cm="1">
        <f t="array" ref="A81">IFERROR(INDEX('03.Muestra'!$B$8:$B$42,SMALL(IF("Página Web"='03.Muestra'!$D$8:$D$42,ROW('03.Muestra'!$B$8:$B$42)-MIN(ROW('03.Muestra'!$D$8:$D$42))+1,""),ROW()-56)),"")</f>
        <v>1.0</v>
      </c>
      <c r="B81" s="114" t="str" cm="1">
        <f t="array" ref="B81">IFERROR(INDEX('03.Muestra'!$C$8:$C$42,SMALL(IF("Página Web"='03.Muestra'!$D$8:$D$42,ROW('03.Muestra'!$C$8:$C$42)-MIN(ROW('03.Muestra'!$D$8:$D$42))+1,""),ROW()-56)),"")</f>
        <v>Home - PortCastelló</v>
      </c>
      <c r="C81" s="114" t="str" cm="1">
        <f t="array" ref="C81">IFERROR(INDEX('03.Muestra'!$F$8:$F$42,SMALL(IF("Página Web"='03.Muestra'!$D$8:$D$42,ROW('03.Muestra'!$F$8:$F$42)-MIN(ROW('03.Muestra'!$D$8:$D$42))+1,""),ROW()-56)),"")</f>
        <v>https://www.portcastello.com/</v>
      </c>
      <c r="D81" s="130" t="str">
        <f t="shared" si="3"/>
        <v>N/T</v>
      </c>
      <c r="E81" s="107" t="str">
        <f t="shared" si="2"/>
        <v/>
      </c>
      <c r="F81" s="19"/>
      <c r="G81" s="19"/>
      <c r="H81" s="19"/>
      <c r="I81" s="19"/>
      <c r="J81" s="19"/>
      <c r="K81" s="228"/>
      <c r="L81" s="19"/>
      <c r="M81" s="19"/>
      <c r="N81" s="19"/>
      <c r="O81" s="19"/>
      <c r="P81" s="19"/>
      <c r="Q81" s="19"/>
      <c r="R81" s="19"/>
      <c r="S81" s="19"/>
      <c r="T81" s="19"/>
      <c r="U81" s="19"/>
      <c r="V81" s="19"/>
      <c r="W81" s="19"/>
      <c r="X81" s="19"/>
      <c r="Y81" s="19"/>
    </row>
    <row r="82" spans="1:25" ht="12" customHeight="1">
      <c r="A82" s="219" t="n" cm="1">
        <f t="array" ref="A82">IFERROR(INDEX('03.Muestra'!$B$8:$B$42,SMALL(IF("Página Web"='03.Muestra'!$D$8:$D$42,ROW('03.Muestra'!$B$8:$B$42)-MIN(ROW('03.Muestra'!$D$8:$D$42))+1,""),ROW()-56)),"")</f>
        <v>1.0</v>
      </c>
      <c r="B82" s="114" t="str" cm="1">
        <f t="array" ref="B82">IFERROR(INDEX('03.Muestra'!$C$8:$C$42,SMALL(IF("Página Web"='03.Muestra'!$D$8:$D$42,ROW('03.Muestra'!$C$8:$C$42)-MIN(ROW('03.Muestra'!$D$8:$D$42))+1,""),ROW()-56)),"")</f>
        <v>Home - PortCastelló</v>
      </c>
      <c r="C82" s="114" t="str" cm="1">
        <f t="array" ref="C82">IFERROR(INDEX('03.Muestra'!$F$8:$F$42,SMALL(IF("Página Web"='03.Muestra'!$D$8:$D$42,ROW('03.Muestra'!$F$8:$F$42)-MIN(ROW('03.Muestra'!$D$8:$D$42))+1,""),ROW()-56)),"")</f>
        <v>https://www.portcastello.com/</v>
      </c>
      <c r="D82" s="130" t="str">
        <f t="shared" si="3"/>
        <v>N/T</v>
      </c>
      <c r="E82" s="107" t="str">
        <f t="shared" si="2"/>
        <v/>
      </c>
      <c r="F82" s="19"/>
      <c r="G82" s="19"/>
      <c r="H82" s="19"/>
      <c r="I82" s="19"/>
      <c r="J82" s="19"/>
      <c r="K82" s="228"/>
      <c r="L82" s="19"/>
      <c r="M82" s="19"/>
      <c r="N82" s="19"/>
      <c r="O82" s="19"/>
      <c r="P82" s="19"/>
      <c r="Q82" s="19"/>
      <c r="R82" s="19"/>
      <c r="S82" s="19"/>
      <c r="T82" s="19"/>
      <c r="U82" s="19"/>
      <c r="V82" s="19"/>
      <c r="W82" s="19"/>
      <c r="X82" s="19"/>
      <c r="Y82" s="19"/>
    </row>
    <row r="83" spans="1:25" ht="12" customHeight="1">
      <c r="A83" s="219" t="n" cm="1">
        <f t="array" ref="A83">IFERROR(INDEX('03.Muestra'!$B$8:$B$42,SMALL(IF("Página Web"='03.Muestra'!$D$8:$D$42,ROW('03.Muestra'!$B$8:$B$42)-MIN(ROW('03.Muestra'!$D$8:$D$42))+1,""),ROW()-56)),"")</f>
        <v>1.0</v>
      </c>
      <c r="B83" s="114" t="str" cm="1">
        <f t="array" ref="B83">IFERROR(INDEX('03.Muestra'!$C$8:$C$42,SMALL(IF("Página Web"='03.Muestra'!$D$8:$D$42,ROW('03.Muestra'!$C$8:$C$42)-MIN(ROW('03.Muestra'!$D$8:$D$42))+1,""),ROW()-56)),"")</f>
        <v>Home - PortCastelló</v>
      </c>
      <c r="C83" s="114" t="str" cm="1">
        <f t="array" ref="C83">IFERROR(INDEX('03.Muestra'!$F$8:$F$42,SMALL(IF("Página Web"='03.Muestra'!$D$8:$D$42,ROW('03.Muestra'!$F$8:$F$42)-MIN(ROW('03.Muestra'!$D$8:$D$42))+1,""),ROW()-56)),"")</f>
        <v>https://www.portcastello.com/</v>
      </c>
      <c r="D83" s="130" t="str">
        <f t="shared" si="3"/>
        <v>N/T</v>
      </c>
      <c r="E83" s="107" t="str">
        <f t="shared" si="2"/>
        <v/>
      </c>
      <c r="F83" s="19"/>
      <c r="G83" s="19"/>
      <c r="H83" s="19"/>
      <c r="I83" s="19"/>
      <c r="J83" s="19"/>
      <c r="K83" s="228"/>
      <c r="L83" s="19"/>
      <c r="M83" s="19"/>
      <c r="N83" s="19"/>
      <c r="O83" s="19"/>
      <c r="P83" s="19"/>
      <c r="Q83" s="19"/>
      <c r="R83" s="19"/>
      <c r="S83" s="19"/>
      <c r="T83" s="19"/>
      <c r="U83" s="19"/>
      <c r="V83" s="19"/>
      <c r="W83" s="19"/>
      <c r="X83" s="19"/>
      <c r="Y83" s="19"/>
    </row>
    <row r="84" spans="1:25" ht="12" customHeight="1">
      <c r="A84" s="219" t="n" cm="1">
        <f t="array" ref="A84">IFERROR(INDEX('03.Muestra'!$B$8:$B$42,SMALL(IF("Página Web"='03.Muestra'!$D$8:$D$42,ROW('03.Muestra'!$B$8:$B$42)-MIN(ROW('03.Muestra'!$D$8:$D$42))+1,""),ROW()-56)),"")</f>
        <v>1.0</v>
      </c>
      <c r="B84" s="114" t="str" cm="1">
        <f t="array" ref="B84">IFERROR(INDEX('03.Muestra'!$C$8:$C$42,SMALL(IF("Página Web"='03.Muestra'!$D$8:$D$42,ROW('03.Muestra'!$C$8:$C$42)-MIN(ROW('03.Muestra'!$D$8:$D$42))+1,""),ROW()-56)),"")</f>
        <v>Home - PortCastelló</v>
      </c>
      <c r="C84" s="114" t="str" cm="1">
        <f t="array" ref="C84">IFERROR(INDEX('03.Muestra'!$F$8:$F$42,SMALL(IF("Página Web"='03.Muestra'!$D$8:$D$42,ROW('03.Muestra'!$F$8:$F$42)-MIN(ROW('03.Muestra'!$D$8:$D$42))+1,""),ROW()-56)),"")</f>
        <v>https://www.portcastello.com/</v>
      </c>
      <c r="D84" s="130" t="str">
        <f t="shared" si="3"/>
        <v>N/T</v>
      </c>
      <c r="E84" s="107" t="str">
        <f t="shared" si="2"/>
        <v/>
      </c>
      <c r="G84" s="19"/>
      <c r="H84" s="19"/>
      <c r="I84" s="19"/>
      <c r="J84" s="19"/>
      <c r="K84" s="228"/>
      <c r="L84" s="19"/>
      <c r="M84" s="19"/>
      <c r="N84" s="19"/>
      <c r="O84" s="19"/>
      <c r="P84" s="19"/>
      <c r="Q84" s="19"/>
      <c r="R84" s="19"/>
      <c r="S84" s="19"/>
      <c r="T84" s="19"/>
      <c r="U84" s="19"/>
      <c r="V84" s="19"/>
      <c r="W84" s="19"/>
      <c r="X84" s="19"/>
      <c r="Y84" s="19"/>
    </row>
    <row r="85" spans="1:25" ht="12" customHeight="1">
      <c r="A85" s="219" t="n" cm="1">
        <f t="array" ref="A85">IFERROR(INDEX('03.Muestra'!$B$8:$B$42,SMALL(IF("Página Web"='03.Muestra'!$D$8:$D$42,ROW('03.Muestra'!$B$8:$B$42)-MIN(ROW('03.Muestra'!$D$8:$D$42))+1,""),ROW()-56)),"")</f>
        <v>1.0</v>
      </c>
      <c r="B85" s="114" t="str" cm="1">
        <f t="array" ref="B85">IFERROR(INDEX('03.Muestra'!$C$8:$C$42,SMALL(IF("Página Web"='03.Muestra'!$D$8:$D$42,ROW('03.Muestra'!$C$8:$C$42)-MIN(ROW('03.Muestra'!$D$8:$D$42))+1,""),ROW()-56)),"")</f>
        <v>Home - PortCastelló</v>
      </c>
      <c r="C85" s="114" t="str" cm="1">
        <f t="array" ref="C85">IFERROR(INDEX('03.Muestra'!$F$8:$F$42,SMALL(IF("Página Web"='03.Muestra'!$D$8:$D$42,ROW('03.Muestra'!$F$8:$F$42)-MIN(ROW('03.Muestra'!$D$8:$D$42))+1,""),ROW()-56)),"")</f>
        <v>https://www.portcastello.com/</v>
      </c>
      <c r="D85" s="130" t="str">
        <f t="shared" si="3"/>
        <v>N/T</v>
      </c>
      <c r="E85" s="107" t="str">
        <f t="shared" si="2"/>
        <v/>
      </c>
      <c r="G85" s="19"/>
      <c r="H85" s="19"/>
      <c r="I85" s="19"/>
      <c r="J85" s="19"/>
      <c r="K85" s="228"/>
      <c r="L85" s="19"/>
      <c r="M85" s="19"/>
      <c r="N85" s="19"/>
      <c r="O85" s="19"/>
      <c r="P85" s="19"/>
      <c r="Q85" s="19"/>
      <c r="R85" s="19"/>
      <c r="S85" s="19"/>
      <c r="T85" s="19"/>
      <c r="U85" s="19"/>
      <c r="V85" s="19"/>
      <c r="W85" s="19"/>
      <c r="X85" s="19"/>
      <c r="Y85" s="19"/>
    </row>
    <row r="86" spans="1:25" ht="12" customHeight="1">
      <c r="A86" s="219" t="n" cm="1">
        <f t="array" ref="A86">IFERROR(INDEX('03.Muestra'!$B$8:$B$42,SMALL(IF("Página Web"='03.Muestra'!$D$8:$D$42,ROW('03.Muestra'!$B$8:$B$42)-MIN(ROW('03.Muestra'!$D$8:$D$42))+1,""),ROW()-56)),"")</f>
        <v>1.0</v>
      </c>
      <c r="B86" s="114" t="str" cm="1">
        <f t="array" ref="B86">IFERROR(INDEX('03.Muestra'!$C$8:$C$42,SMALL(IF("Página Web"='03.Muestra'!$D$8:$D$42,ROW('03.Muestra'!$C$8:$C$42)-MIN(ROW('03.Muestra'!$D$8:$D$42))+1,""),ROW()-56)),"")</f>
        <v>Home - PortCastelló</v>
      </c>
      <c r="C86" s="114" t="str" cm="1">
        <f t="array" ref="C86">IFERROR(INDEX('03.Muestra'!$F$8:$F$42,SMALL(IF("Página Web"='03.Muestra'!$D$8:$D$42,ROW('03.Muestra'!$F$8:$F$42)-MIN(ROW('03.Muestra'!$D$8:$D$42))+1,""),ROW()-56)),"")</f>
        <v>https://www.portcastello.com/</v>
      </c>
      <c r="D86" s="130" t="str">
        <f t="shared" si="3"/>
        <v>N/T</v>
      </c>
      <c r="E86" s="107" t="str">
        <f t="shared" si="2"/>
        <v/>
      </c>
      <c r="G86" s="19"/>
      <c r="H86" s="19"/>
      <c r="I86" s="19"/>
      <c r="J86" s="19"/>
      <c r="K86" s="228"/>
      <c r="L86" s="19"/>
      <c r="M86" s="19"/>
      <c r="N86" s="19"/>
      <c r="O86" s="19"/>
      <c r="P86" s="19"/>
      <c r="Q86" s="19"/>
      <c r="R86" s="19"/>
      <c r="S86" s="19"/>
      <c r="T86" s="19"/>
      <c r="U86" s="19"/>
      <c r="V86" s="19"/>
      <c r="W86" s="19"/>
      <c r="X86" s="19"/>
      <c r="Y86" s="19"/>
    </row>
    <row r="87" spans="1:25" ht="12" customHeight="1">
      <c r="A87" s="219" t="n" cm="1">
        <f t="array" ref="A87">IFERROR(INDEX('03.Muestra'!$B$8:$B$42,SMALL(IF("Página Web"='03.Muestra'!$D$8:$D$42,ROW('03.Muestra'!$B$8:$B$42)-MIN(ROW('03.Muestra'!$D$8:$D$42))+1,""),ROW()-56)),"")</f>
        <v>1.0</v>
      </c>
      <c r="B87" s="114" t="str" cm="1">
        <f t="array" ref="B87">IFERROR(INDEX('03.Muestra'!$C$8:$C$42,SMALL(IF("Página Web"='03.Muestra'!$D$8:$D$42,ROW('03.Muestra'!$C$8:$C$42)-MIN(ROW('03.Muestra'!$D$8:$D$42))+1,""),ROW()-56)),"")</f>
        <v>Home - PortCastelló</v>
      </c>
      <c r="C87" s="114" t="str" cm="1">
        <f t="array" ref="C87">IFERROR(INDEX('03.Muestra'!$F$8:$F$42,SMALL(IF("Página Web"='03.Muestra'!$D$8:$D$42,ROW('03.Muestra'!$F$8:$F$42)-MIN(ROW('03.Muestra'!$D$8:$D$42))+1,""),ROW()-56)),"")</f>
        <v>https://www.portcastello.com/</v>
      </c>
      <c r="D87" s="130" t="str">
        <f t="shared" si="3"/>
        <v>N/T</v>
      </c>
      <c r="E87" s="107" t="str">
        <f t="shared" si="2"/>
        <v/>
      </c>
      <c r="G87" s="19"/>
      <c r="H87" s="19"/>
      <c r="I87" s="19"/>
      <c r="J87" s="19"/>
      <c r="K87" s="228"/>
      <c r="L87" s="19"/>
      <c r="M87" s="19"/>
      <c r="N87" s="19"/>
      <c r="O87" s="19"/>
      <c r="P87" s="19"/>
      <c r="Q87" s="19"/>
      <c r="R87" s="19"/>
      <c r="S87" s="19"/>
      <c r="T87" s="19"/>
      <c r="U87" s="19"/>
      <c r="V87" s="19"/>
      <c r="W87" s="19"/>
      <c r="X87" s="19"/>
      <c r="Y87" s="19"/>
    </row>
    <row r="88" spans="1:25" ht="12" customHeight="1">
      <c r="A88" s="219" t="n" cm="1">
        <f t="array" ref="A88">IFERROR(INDEX('03.Muestra'!$B$8:$B$42,SMALL(IF("Página Web"='03.Muestra'!$D$8:$D$42,ROW('03.Muestra'!$B$8:$B$42)-MIN(ROW('03.Muestra'!$D$8:$D$42))+1,""),ROW()-56)),"")</f>
        <v>1.0</v>
      </c>
      <c r="B88" s="114" t="str" cm="1">
        <f t="array" ref="B88">IFERROR(INDEX('03.Muestra'!$C$8:$C$42,SMALL(IF("Página Web"='03.Muestra'!$D$8:$D$42,ROW('03.Muestra'!$C$8:$C$42)-MIN(ROW('03.Muestra'!$D$8:$D$42))+1,""),ROW()-56)),"")</f>
        <v>Home - PortCastelló</v>
      </c>
      <c r="C88" s="114" t="str" cm="1">
        <f t="array" ref="C88">IFERROR(INDEX('03.Muestra'!$F$8:$F$42,SMALL(IF("Página Web"='03.Muestra'!$D$8:$D$42,ROW('03.Muestra'!$F$8:$F$42)-MIN(ROW('03.Muestra'!$D$8:$D$42))+1,""),ROW()-56)),"")</f>
        <v>https://www.portcastello.com/</v>
      </c>
      <c r="D88" s="130" t="str">
        <f t="shared" si="3"/>
        <v>N/T</v>
      </c>
      <c r="E88" s="107" t="str">
        <f t="shared" si="2"/>
        <v/>
      </c>
      <c r="G88" s="19"/>
      <c r="H88" s="19"/>
      <c r="I88" s="19"/>
      <c r="J88" s="19"/>
      <c r="K88" s="228"/>
      <c r="L88" s="19"/>
      <c r="M88" s="19"/>
      <c r="N88" s="19"/>
      <c r="O88" s="19"/>
      <c r="P88" s="19"/>
      <c r="Q88" s="19"/>
      <c r="R88" s="19"/>
      <c r="S88" s="19"/>
      <c r="T88" s="19"/>
      <c r="U88" s="19"/>
      <c r="V88" s="19"/>
      <c r="W88" s="19"/>
      <c r="X88" s="19"/>
      <c r="Y88" s="19"/>
    </row>
    <row r="89" spans="1:25" ht="12" customHeight="1">
      <c r="A89" s="219" t="n" cm="1">
        <f t="array" ref="A89">IFERROR(INDEX('03.Muestra'!$B$8:$B$42,SMALL(IF("Página Web"='03.Muestra'!$D$8:$D$42,ROW('03.Muestra'!$B$8:$B$42)-MIN(ROW('03.Muestra'!$D$8:$D$42))+1,""),ROW()-56)),"")</f>
        <v>1.0</v>
      </c>
      <c r="B89" s="114" t="str" cm="1">
        <f t="array" ref="B89">IFERROR(INDEX('03.Muestra'!$C$8:$C$42,SMALL(IF("Página Web"='03.Muestra'!$D$8:$D$42,ROW('03.Muestra'!$C$8:$C$42)-MIN(ROW('03.Muestra'!$D$8:$D$42))+1,""),ROW()-56)),"")</f>
        <v>Home - PortCastelló</v>
      </c>
      <c r="C89" s="114" t="str" cm="1">
        <f t="array" ref="C89">IFERROR(INDEX('03.Muestra'!$F$8:$F$42,SMALL(IF("Página Web"='03.Muestra'!$D$8:$D$42,ROW('03.Muestra'!$F$8:$F$42)-MIN(ROW('03.Muestra'!$D$8:$D$42))+1,""),ROW()-56)),"")</f>
        <v>https://www.portcastello.com/</v>
      </c>
      <c r="D89" s="130" t="str">
        <f t="shared" si="3"/>
        <v>N/T</v>
      </c>
      <c r="E89" s="107" t="str">
        <f t="shared" si="2"/>
        <v/>
      </c>
      <c r="G89" s="19"/>
      <c r="H89" s="19"/>
      <c r="I89" s="19"/>
      <c r="J89" s="19"/>
      <c r="K89" s="228"/>
      <c r="L89" s="19"/>
      <c r="M89" s="19"/>
      <c r="N89" s="19"/>
      <c r="O89" s="19"/>
      <c r="P89" s="19"/>
      <c r="Q89" s="19"/>
      <c r="R89" s="19"/>
      <c r="S89" s="19"/>
      <c r="T89" s="19"/>
      <c r="U89" s="19"/>
      <c r="V89" s="19"/>
      <c r="W89" s="19"/>
      <c r="X89" s="19"/>
      <c r="Y89" s="19"/>
    </row>
    <row r="90" spans="1:25" ht="12" customHeight="1">
      <c r="A90" s="219" t="str" cm="1">
        <f t="array" ref="A90">IFERROR(INDEX('03.Muestra'!$B$8:$B$42,SMALL(IF("Página Web"='03.Muestra'!$D$8:$D$42,ROW('03.Muestra'!$B$8:$B$42)-MIN(ROW('03.Muestra'!$D$8:$D$42))+1,""),ROW()-56)),"")</f>
        <v/>
      </c>
      <c r="B90" s="114" t="str" cm="1">
        <f t="array" ref="B90">IFERROR(INDEX('03.Muestra'!$C$8:$C$42,SMALL(IF("Página Web"='03.Muestra'!$D$8:$D$42,ROW('03.Muestra'!$C$8:$C$42)-MIN(ROW('03.Muestra'!$D$8:$D$42))+1,""),ROW()-56)),"")</f>
        <v/>
      </c>
      <c r="C90" s="114" t="str" cm="1">
        <f t="array" ref="C90">IFERROR(INDEX('03.Muestra'!$F$8:$F$42,SMALL(IF("Página Web"='03.Muestra'!$D$8:$D$42,ROW('03.Muestra'!$F$8:$F$42)-MIN(ROW('03.Muestra'!$D$8:$D$42))+1,""),ROW()-56)),"")</f>
        <v/>
      </c>
      <c r="D90" s="130" t="str">
        <f t="shared" si="3"/>
        <v/>
      </c>
      <c r="E90" s="107" t="str">
        <f t="shared" si="2"/>
        <v/>
      </c>
      <c r="F90" s="124"/>
      <c r="G90" s="19"/>
      <c r="H90" s="19"/>
      <c r="I90" s="19"/>
      <c r="J90" s="19"/>
      <c r="K90" s="228"/>
      <c r="L90" s="19"/>
      <c r="M90" s="19"/>
      <c r="N90" s="19"/>
      <c r="O90" s="19"/>
      <c r="P90" s="19"/>
      <c r="Q90" s="19"/>
      <c r="R90" s="19"/>
      <c r="S90" s="19"/>
      <c r="T90" s="19"/>
      <c r="U90" s="19"/>
      <c r="V90" s="19"/>
      <c r="W90" s="19"/>
      <c r="X90" s="19"/>
      <c r="Y90" s="19"/>
    </row>
    <row r="91" spans="1:25" ht="12" customHeight="1">
      <c r="A91" s="219" t="str" cm="1">
        <f t="array" ref="A91">IFERROR(INDEX('03.Muestra'!$B$8:$B$42,SMALL(IF("Página Web"='03.Muestra'!$D$8:$D$42,ROW('03.Muestra'!$B$8:$B$42)-MIN(ROW('03.Muestra'!$D$8:$D$42))+1,""),ROW()-56)),"")</f>
        <v/>
      </c>
      <c r="B91" s="114" t="str" cm="1">
        <f t="array" ref="B91">IFERROR(INDEX('03.Muestra'!$C$8:$C$42,SMALL(IF("Página Web"='03.Muestra'!$D$8:$D$42,ROW('03.Muestra'!$C$8:$C$42)-MIN(ROW('03.Muestra'!$D$8:$D$42))+1,""),ROW()-56)),"")</f>
        <v/>
      </c>
      <c r="C91" s="114" t="str" cm="1">
        <f t="array" ref="C91">IFERROR(INDEX('03.Muestra'!$F$8:$F$42,SMALL(IF("Página Web"='03.Muestra'!$D$8:$D$42,ROW('03.Muestra'!$F$8:$F$42)-MIN(ROW('03.Muestra'!$D$8:$D$42))+1,""),ROW()-56)),"")</f>
        <v/>
      </c>
      <c r="D91" s="130" t="str">
        <f t="shared" si="3"/>
        <v/>
      </c>
      <c r="E91" s="107" t="str">
        <f t="shared" si="2"/>
        <v/>
      </c>
      <c r="F91" s="19"/>
      <c r="G91" s="19"/>
      <c r="H91" s="19"/>
      <c r="I91" s="19"/>
      <c r="J91" s="19"/>
      <c r="K91" s="228"/>
      <c r="L91" s="19"/>
      <c r="M91" s="19"/>
      <c r="N91" s="19"/>
      <c r="O91" s="19"/>
      <c r="P91" s="19"/>
      <c r="Q91" s="19"/>
      <c r="R91" s="19"/>
      <c r="S91" s="19"/>
      <c r="T91" s="19"/>
      <c r="U91" s="19"/>
      <c r="V91" s="19"/>
      <c r="W91" s="19"/>
      <c r="X91" s="19"/>
      <c r="Y91" s="19"/>
    </row>
    <row r="92" spans="1:25" ht="12" customHeight="1">
      <c r="A92" s="113"/>
      <c r="B92" s="162"/>
      <c r="C92" s="162"/>
      <c r="D92" s="163"/>
      <c r="E92" s="107"/>
      <c r="F92" s="19"/>
      <c r="G92" s="19"/>
      <c r="H92" s="19"/>
      <c r="I92" s="19"/>
      <c r="J92" s="19"/>
      <c r="K92" s="228"/>
      <c r="L92" s="19"/>
      <c r="M92" s="19"/>
      <c r="N92" s="19"/>
      <c r="O92" s="19"/>
      <c r="P92" s="19"/>
      <c r="Q92" s="19"/>
      <c r="R92" s="19"/>
      <c r="S92" s="19"/>
      <c r="T92" s="19"/>
      <c r="U92" s="19"/>
      <c r="V92" s="19"/>
      <c r="W92" s="19"/>
      <c r="X92" s="19"/>
      <c r="Y92" s="19"/>
    </row>
    <row r="93" spans="1:25" ht="12" customHeight="1">
      <c r="B93" s="19"/>
      <c r="C93" s="19"/>
      <c r="D93" s="107"/>
      <c r="E93" s="107"/>
      <c r="F93" s="19"/>
      <c r="G93" s="19"/>
      <c r="H93" s="19"/>
      <c r="I93" s="19"/>
      <c r="J93" s="19"/>
      <c r="K93" s="228"/>
      <c r="L93" s="19"/>
      <c r="M93" s="19"/>
      <c r="N93" s="19"/>
      <c r="O93" s="19"/>
      <c r="P93" s="19"/>
      <c r="Q93" s="19"/>
      <c r="R93" s="19"/>
      <c r="S93" s="19"/>
      <c r="T93" s="19"/>
      <c r="U93" s="19"/>
      <c r="V93" s="19"/>
      <c r="W93" s="19"/>
      <c r="X93" s="19"/>
      <c r="Y93" s="19"/>
    </row>
    <row r="94" spans="1:25" ht="32.25" customHeight="1">
      <c r="A94" s="218" t="s">
        <v>268</v>
      </c>
      <c r="B94" s="24" t="s">
        <v>90</v>
      </c>
      <c r="C94" s="25" t="s">
        <v>353</v>
      </c>
      <c r="D94" s="26" t="s">
        <v>32</v>
      </c>
      <c r="E94" s="123"/>
      <c r="K94" s="228"/>
      <c r="L94" s="19"/>
      <c r="M94" s="19"/>
      <c r="N94" s="19"/>
      <c r="O94" s="19"/>
      <c r="P94" s="19"/>
      <c r="Q94" s="19"/>
      <c r="R94" s="19"/>
      <c r="T94" s="19"/>
      <c r="U94" s="19"/>
      <c r="V94" s="19"/>
      <c r="W94" s="19"/>
      <c r="X94" s="19"/>
      <c r="Y94" s="19"/>
    </row>
    <row r="95" spans="1:25" ht="12" customHeight="1">
      <c r="A95" s="219" t="n" cm="1">
        <f t="array" ref="A95">IFERROR(INDEX('03.Muestra'!$B$8:$B$42,SMALL(IF("Página Web"='03.Muestra'!$D$8:$D$42,ROW('03.Muestra'!$B$8:$B$42)-MIN(ROW('03.Muestra'!$D$8:$D$42))+1,""),ROW()-94)),"")</f>
        <v>1.0</v>
      </c>
      <c r="B95" s="114" t="str" cm="1">
        <f t="array" ref="B95">IFERROR(INDEX('03.Muestra'!$C$8:$C$42,SMALL(IF("Página Web"='03.Muestra'!$D$8:$D$42,ROW('03.Muestra'!$C$8:$C$42)-MIN(ROW('03.Muestra'!$D$8:$D$42))+1,""),ROW()-94)),"")</f>
        <v>Home - PortCastelló</v>
      </c>
      <c r="C95" s="114" t="str" cm="1">
        <f t="array" ref="C95">IFERROR(INDEX('03.Muestra'!$F$8:$F$42,SMALL(IF("Página Web"='03.Muestra'!$D$8:$D$42,ROW('03.Muestra'!$F$8:$F$42)-MIN(ROW('03.Muestra'!$D$8:$D$42))+1,""),ROW()-94)),"")</f>
        <v>https://www.portcastello.com/</v>
      </c>
      <c r="D95" s="130" t="str">
        <f>IF(AND(B95&lt;&gt;"",C95&lt;&gt;""),"N/T","")</f>
        <v>N/T</v>
      </c>
      <c r="E95" s="107" t="str">
        <f t="shared" ref="E95:E129" si="4">IF(D95&lt;&gt;"",IF(AND(B95&lt;&gt;"",C95&lt;&gt;""),"","ERR"),"")</f>
        <v/>
      </c>
      <c r="F95" s="115" t="s">
        <v>33</v>
      </c>
      <c r="G95" s="116" t="s">
        <v>37</v>
      </c>
      <c r="H95" s="117" t="s">
        <v>35</v>
      </c>
      <c r="I95" s="118" t="s">
        <v>28</v>
      </c>
      <c r="J95" s="119" t="s">
        <v>26</v>
      </c>
      <c r="K95" s="229" t="s">
        <v>474</v>
      </c>
      <c r="L95" s="19"/>
      <c r="M95" s="19"/>
      <c r="N95" s="19"/>
      <c r="O95" s="19"/>
      <c r="P95" s="19"/>
      <c r="Q95" s="19"/>
      <c r="R95" s="19"/>
      <c r="T95" s="19"/>
      <c r="U95" s="19"/>
      <c r="V95" s="19"/>
      <c r="W95" s="19"/>
      <c r="X95" s="19"/>
      <c r="Y95" s="19"/>
    </row>
    <row r="96" spans="1:25" ht="12" customHeight="1">
      <c r="A96" s="219" t="n" cm="1">
        <f t="array" ref="A96">IFERROR(INDEX('03.Muestra'!$B$8:$B$42,SMALL(IF("Página Web"='03.Muestra'!$D$8:$D$42,ROW('03.Muestra'!$B$8:$B$42)-MIN(ROW('03.Muestra'!$D$8:$D$42))+1,""),ROW()-94)),"")</f>
        <v>1.0</v>
      </c>
      <c r="B96" s="114" t="str" cm="1">
        <f t="array" ref="B96">IFERROR(INDEX('03.Muestra'!$C$8:$C$42,SMALL(IF("Página Web"='03.Muestra'!$D$8:$D$42,ROW('03.Muestra'!$C$8:$C$42)-MIN(ROW('03.Muestra'!$D$8:$D$42))+1,""),ROW()-94)),"")</f>
        <v>Home - PortCastelló</v>
      </c>
      <c r="C96" s="114" t="str" cm="1">
        <f t="array" ref="C96">IFERROR(INDEX('03.Muestra'!$F$8:$F$42,SMALL(IF("Página Web"='03.Muestra'!$D$8:$D$42,ROW('03.Muestra'!$F$8:$F$42)-MIN(ROW('03.Muestra'!$D$8:$D$42))+1,""),ROW()-94)),"")</f>
        <v>https://www.portcastello.com/</v>
      </c>
      <c r="D96" s="130" t="str">
        <f t="shared" ref="D96:D129" si="5">IF(AND(B96&lt;&gt;"",C96&lt;&gt;""),"N/T","")</f>
        <v>N/T</v>
      </c>
      <c r="E96" s="107" t="str">
        <f t="shared" si="4"/>
        <v/>
      </c>
      <c r="F96" s="120" t="n">
        <f ca="1">COUNTIF($D95:INDIRECT("$D" &amp;  SUM(ROW()-1,'03.Muestra'!$D$45)-1),F95)</f>
        <v>33.0</v>
      </c>
      <c r="G96" s="120" t="n">
        <f ca="1">COUNTIF($D95:INDIRECT("$D" &amp;  SUM(ROW()-1,'03.Muestra'!$D$45)-1),G95)</f>
        <v>0.0</v>
      </c>
      <c r="H96" s="120" t="n">
        <f ca="1">COUNTIF($D95:INDIRECT("$D" &amp;  SUM(ROW()-1,'03.Muestra'!$D$45)-1),H95)</f>
        <v>0.0</v>
      </c>
      <c r="I96" s="120" t="n">
        <f ca="1">COUNTIF($D95:INDIRECT("$D" &amp;  SUM(ROW()-1,'03.Muestra'!$D$45)-1),I95)</f>
        <v>0.0</v>
      </c>
      <c r="J96" s="120" t="n">
        <f ca="1">COUNTIF($D95:INDIRECT("$D" &amp;  SUM(ROW()-1,'03.Muestra'!$D$45)-1),J95)</f>
        <v>0.0</v>
      </c>
      <c r="K96" s="230" t="n">
        <f ca="1">IF(COUNTIF('03.Muestra'!$D$8:$D$42,"Página Web")=0,0,COUNTBLANK($D95:INDIRECT("$D" &amp;  SUM(ROW()-1,COUNTIF('03.Muestra'!$D$8:$D$42,"Página Web"))-1)))</f>
        <v>0.0</v>
      </c>
      <c r="L96" s="19"/>
      <c r="M96" s="19"/>
      <c r="N96" s="19"/>
      <c r="O96" s="19"/>
      <c r="P96" s="19"/>
      <c r="Q96" s="19"/>
      <c r="R96" s="19"/>
      <c r="T96" s="19"/>
      <c r="U96" s="19"/>
      <c r="V96" s="19"/>
      <c r="W96" s="19"/>
      <c r="X96" s="19"/>
      <c r="Y96" s="19"/>
    </row>
    <row r="97" spans="1:25" ht="12" customHeight="1">
      <c r="A97" s="219" t="n" cm="1">
        <f t="array" ref="A97">IFERROR(INDEX('03.Muestra'!$B$8:$B$42,SMALL(IF("Página Web"='03.Muestra'!$D$8:$D$42,ROW('03.Muestra'!$B$8:$B$42)-MIN(ROW('03.Muestra'!$D$8:$D$42))+1,""),ROW()-94)),"")</f>
        <v>1.0</v>
      </c>
      <c r="B97" s="114" t="str" cm="1">
        <f t="array" ref="B97">IFERROR(INDEX('03.Muestra'!$C$8:$C$42,SMALL(IF("Página Web"='03.Muestra'!$D$8:$D$42,ROW('03.Muestra'!$C$8:$C$42)-MIN(ROW('03.Muestra'!$D$8:$D$42))+1,""),ROW()-94)),"")</f>
        <v>Home - PortCastelló</v>
      </c>
      <c r="C97" s="114" t="str" cm="1">
        <f t="array" ref="C97">IFERROR(INDEX('03.Muestra'!$F$8:$F$42,SMALL(IF("Página Web"='03.Muestra'!$D$8:$D$42,ROW('03.Muestra'!$F$8:$F$42)-MIN(ROW('03.Muestra'!$D$8:$D$42))+1,""),ROW()-94)),"")</f>
        <v>https://www.portcastello.com/</v>
      </c>
      <c r="D97" s="130" t="str">
        <f t="shared" si="5"/>
        <v>N/T</v>
      </c>
      <c r="E97" s="107" t="str">
        <f t="shared" si="4"/>
        <v/>
      </c>
      <c r="G97" s="19"/>
      <c r="H97" s="19"/>
      <c r="I97" s="19"/>
      <c r="J97" s="19"/>
      <c r="K97" s="228"/>
      <c r="L97" s="19"/>
      <c r="M97" s="19"/>
      <c r="N97" s="19"/>
      <c r="O97" s="19"/>
      <c r="P97" s="19"/>
      <c r="Q97" s="19"/>
      <c r="R97" s="19"/>
      <c r="T97" s="19"/>
      <c r="U97" s="19"/>
      <c r="V97" s="19"/>
      <c r="W97" s="19"/>
      <c r="X97" s="19"/>
      <c r="Y97" s="19"/>
    </row>
    <row r="98" spans="1:25" ht="12" customHeight="1">
      <c r="A98" s="219" t="n" cm="1">
        <f t="array" ref="A98">IFERROR(INDEX('03.Muestra'!$B$8:$B$42,SMALL(IF("Página Web"='03.Muestra'!$D$8:$D$42,ROW('03.Muestra'!$B$8:$B$42)-MIN(ROW('03.Muestra'!$D$8:$D$42))+1,""),ROW()-94)),"")</f>
        <v>1.0</v>
      </c>
      <c r="B98" s="114" t="str" cm="1">
        <f t="array" ref="B98">IFERROR(INDEX('03.Muestra'!$C$8:$C$42,SMALL(IF("Página Web"='03.Muestra'!$D$8:$D$42,ROW('03.Muestra'!$C$8:$C$42)-MIN(ROW('03.Muestra'!$D$8:$D$42))+1,""),ROW()-94)),"")</f>
        <v>Home - PortCastelló</v>
      </c>
      <c r="C98" s="114" t="str" cm="1">
        <f t="array" ref="C98">IFERROR(INDEX('03.Muestra'!$F$8:$F$42,SMALL(IF("Página Web"='03.Muestra'!$D$8:$D$42,ROW('03.Muestra'!$F$8:$F$42)-MIN(ROW('03.Muestra'!$D$8:$D$42))+1,""),ROW()-94)),"")</f>
        <v>https://www.portcastello.com/</v>
      </c>
      <c r="D98" s="130" t="str">
        <f t="shared" si="5"/>
        <v>N/T</v>
      </c>
      <c r="E98" s="107" t="str">
        <f t="shared" si="4"/>
        <v/>
      </c>
      <c r="G98" s="19"/>
      <c r="H98" s="19"/>
      <c r="I98" s="19"/>
      <c r="J98" s="19"/>
      <c r="K98" s="228"/>
      <c r="L98" s="19"/>
      <c r="M98" s="19"/>
      <c r="N98" s="19"/>
      <c r="O98" s="19"/>
      <c r="P98" s="19"/>
      <c r="Q98" s="19"/>
      <c r="R98" s="19"/>
      <c r="T98" s="19"/>
      <c r="U98" s="19"/>
      <c r="V98" s="19"/>
      <c r="W98" s="19"/>
      <c r="X98" s="19"/>
      <c r="Y98" s="19"/>
    </row>
    <row r="99" spans="1:25" ht="12" customHeight="1">
      <c r="A99" s="219" t="n" cm="1">
        <f t="array" ref="A99">IFERROR(INDEX('03.Muestra'!$B$8:$B$42,SMALL(IF("Página Web"='03.Muestra'!$D$8:$D$42,ROW('03.Muestra'!$B$8:$B$42)-MIN(ROW('03.Muestra'!$D$8:$D$42))+1,""),ROW()-94)),"")</f>
        <v>1.0</v>
      </c>
      <c r="B99" s="114" t="str" cm="1">
        <f t="array" ref="B99">IFERROR(INDEX('03.Muestra'!$C$8:$C$42,SMALL(IF("Página Web"='03.Muestra'!$D$8:$D$42,ROW('03.Muestra'!$C$8:$C$42)-MIN(ROW('03.Muestra'!$D$8:$D$42))+1,""),ROW()-94)),"")</f>
        <v>Home - PortCastelló</v>
      </c>
      <c r="C99" s="114" t="str" cm="1">
        <f t="array" ref="C99">IFERROR(INDEX('03.Muestra'!$F$8:$F$42,SMALL(IF("Página Web"='03.Muestra'!$D$8:$D$42,ROW('03.Muestra'!$F$8:$F$42)-MIN(ROW('03.Muestra'!$D$8:$D$42))+1,""),ROW()-94)),"")</f>
        <v>https://www.portcastello.com/</v>
      </c>
      <c r="D99" s="130" t="str">
        <f t="shared" si="5"/>
        <v>N/T</v>
      </c>
      <c r="E99" s="107" t="str">
        <f t="shared" si="4"/>
        <v/>
      </c>
      <c r="G99" s="19"/>
      <c r="H99" s="19"/>
      <c r="I99" s="19"/>
      <c r="J99" s="19"/>
      <c r="K99" s="228"/>
      <c r="L99" s="19"/>
      <c r="M99" s="19"/>
      <c r="N99" s="19"/>
      <c r="O99" s="19"/>
      <c r="P99" s="19"/>
      <c r="Q99" s="19"/>
      <c r="R99" s="19"/>
      <c r="T99" s="19"/>
      <c r="U99" s="19"/>
      <c r="V99" s="19"/>
      <c r="W99" s="19"/>
      <c r="X99" s="19"/>
      <c r="Y99" s="19"/>
    </row>
    <row r="100" spans="1:25" ht="12" customHeight="1">
      <c r="A100" s="219" t="n" cm="1">
        <f t="array" ref="A100">IFERROR(INDEX('03.Muestra'!$B$8:$B$42,SMALL(IF("Página Web"='03.Muestra'!$D$8:$D$42,ROW('03.Muestra'!$B$8:$B$42)-MIN(ROW('03.Muestra'!$D$8:$D$42))+1,""),ROW()-94)),"")</f>
        <v>1.0</v>
      </c>
      <c r="B100" s="114" t="str" cm="1">
        <f t="array" ref="B100">IFERROR(INDEX('03.Muestra'!$C$8:$C$42,SMALL(IF("Página Web"='03.Muestra'!$D$8:$D$42,ROW('03.Muestra'!$C$8:$C$42)-MIN(ROW('03.Muestra'!$D$8:$D$42))+1,""),ROW()-94)),"")</f>
        <v>Home - PortCastelló</v>
      </c>
      <c r="C100" s="114" t="str" cm="1">
        <f t="array" ref="C100">IFERROR(INDEX('03.Muestra'!$F$8:$F$42,SMALL(IF("Página Web"='03.Muestra'!$D$8:$D$42,ROW('03.Muestra'!$F$8:$F$42)-MIN(ROW('03.Muestra'!$D$8:$D$42))+1,""),ROW()-94)),"")</f>
        <v>https://www.portcastello.com/</v>
      </c>
      <c r="D100" s="130" t="str">
        <f t="shared" si="5"/>
        <v>N/T</v>
      </c>
      <c r="E100" s="107" t="str">
        <f t="shared" si="4"/>
        <v/>
      </c>
      <c r="G100" s="19"/>
      <c r="H100" s="19"/>
      <c r="I100" s="19"/>
      <c r="J100" s="19"/>
      <c r="K100" s="228"/>
      <c r="L100" s="19"/>
      <c r="M100" s="19"/>
      <c r="N100" s="19"/>
      <c r="O100" s="19"/>
      <c r="P100" s="19"/>
      <c r="Q100" s="19"/>
      <c r="R100" s="19"/>
      <c r="T100" s="19"/>
      <c r="U100" s="19"/>
      <c r="V100" s="19"/>
      <c r="W100" s="19"/>
      <c r="X100" s="19"/>
      <c r="Y100" s="19"/>
    </row>
    <row r="101" spans="1:25" ht="12" customHeight="1">
      <c r="A101" s="219" t="n" cm="1">
        <f t="array" ref="A101">IFERROR(INDEX('03.Muestra'!$B$8:$B$42,SMALL(IF("Página Web"='03.Muestra'!$D$8:$D$42,ROW('03.Muestra'!$B$8:$B$42)-MIN(ROW('03.Muestra'!$D$8:$D$42))+1,""),ROW()-94)),"")</f>
        <v>1.0</v>
      </c>
      <c r="B101" s="114" t="str" cm="1">
        <f t="array" ref="B101">IFERROR(INDEX('03.Muestra'!$C$8:$C$42,SMALL(IF("Página Web"='03.Muestra'!$D$8:$D$42,ROW('03.Muestra'!$C$8:$C$42)-MIN(ROW('03.Muestra'!$D$8:$D$42))+1,""),ROW()-94)),"")</f>
        <v>Home - PortCastelló</v>
      </c>
      <c r="C101" s="114" t="str" cm="1">
        <f t="array" ref="C101">IFERROR(INDEX('03.Muestra'!$F$8:$F$42,SMALL(IF("Página Web"='03.Muestra'!$D$8:$D$42,ROW('03.Muestra'!$F$8:$F$42)-MIN(ROW('03.Muestra'!$D$8:$D$42))+1,""),ROW()-94)),"")</f>
        <v>https://www.portcastello.com/</v>
      </c>
      <c r="D101" s="130" t="str">
        <f t="shared" si="5"/>
        <v>N/T</v>
      </c>
      <c r="E101" s="107" t="str">
        <f t="shared" si="4"/>
        <v/>
      </c>
      <c r="F101" s="19"/>
      <c r="G101" s="19"/>
      <c r="H101" s="19"/>
      <c r="I101" s="19"/>
      <c r="J101" s="19"/>
      <c r="K101" s="228"/>
      <c r="L101" s="19"/>
      <c r="M101" s="19"/>
      <c r="N101" s="19"/>
      <c r="O101" s="19"/>
      <c r="P101" s="19"/>
      <c r="Q101" s="19"/>
      <c r="R101" s="19"/>
      <c r="S101" s="19"/>
      <c r="T101" s="19"/>
      <c r="U101" s="19"/>
      <c r="V101" s="19"/>
      <c r="W101" s="19"/>
      <c r="X101" s="19"/>
      <c r="Y101" s="19"/>
    </row>
    <row r="102" spans="1:25" ht="12" customHeight="1">
      <c r="A102" s="219" t="n" cm="1">
        <f t="array" ref="A102">IFERROR(INDEX('03.Muestra'!$B$8:$B$42,SMALL(IF("Página Web"='03.Muestra'!$D$8:$D$42,ROW('03.Muestra'!$B$8:$B$42)-MIN(ROW('03.Muestra'!$D$8:$D$42))+1,""),ROW()-94)),"")</f>
        <v>1.0</v>
      </c>
      <c r="B102" s="114" t="str" cm="1">
        <f t="array" ref="B102">IFERROR(INDEX('03.Muestra'!$C$8:$C$42,SMALL(IF("Página Web"='03.Muestra'!$D$8:$D$42,ROW('03.Muestra'!$C$8:$C$42)-MIN(ROW('03.Muestra'!$D$8:$D$42))+1,""),ROW()-94)),"")</f>
        <v>Home - PortCastelló</v>
      </c>
      <c r="C102" s="114" t="str" cm="1">
        <f t="array" ref="C102">IFERROR(INDEX('03.Muestra'!$F$8:$F$42,SMALL(IF("Página Web"='03.Muestra'!$D$8:$D$42,ROW('03.Muestra'!$F$8:$F$42)-MIN(ROW('03.Muestra'!$D$8:$D$42))+1,""),ROW()-94)),"")</f>
        <v>https://www.portcastello.com/</v>
      </c>
      <c r="D102" s="130" t="str">
        <f t="shared" si="5"/>
        <v>N/T</v>
      </c>
      <c r="E102" s="107" t="str">
        <f t="shared" si="4"/>
        <v/>
      </c>
      <c r="F102" s="19"/>
      <c r="G102" s="19"/>
      <c r="H102" s="19"/>
      <c r="I102" s="19"/>
      <c r="J102" s="19"/>
      <c r="K102" s="228"/>
      <c r="L102" s="19"/>
      <c r="M102" s="19"/>
      <c r="N102" s="19"/>
      <c r="O102" s="19"/>
      <c r="P102" s="19"/>
      <c r="Q102" s="19"/>
      <c r="R102" s="19"/>
      <c r="S102" s="19"/>
      <c r="T102" s="19"/>
      <c r="U102" s="19"/>
      <c r="V102" s="19"/>
      <c r="W102" s="19"/>
      <c r="X102" s="19"/>
      <c r="Y102" s="19"/>
    </row>
    <row r="103" spans="1:25" ht="12" customHeight="1">
      <c r="A103" s="219" t="n" cm="1">
        <f t="array" ref="A103">IFERROR(INDEX('03.Muestra'!$B$8:$B$42,SMALL(IF("Página Web"='03.Muestra'!$D$8:$D$42,ROW('03.Muestra'!$B$8:$B$42)-MIN(ROW('03.Muestra'!$D$8:$D$42))+1,""),ROW()-94)),"")</f>
        <v>1.0</v>
      </c>
      <c r="B103" s="114" t="str" cm="1">
        <f t="array" ref="B103">IFERROR(INDEX('03.Muestra'!$C$8:$C$42,SMALL(IF("Página Web"='03.Muestra'!$D$8:$D$42,ROW('03.Muestra'!$C$8:$C$42)-MIN(ROW('03.Muestra'!$D$8:$D$42))+1,""),ROW()-94)),"")</f>
        <v>Home - PortCastelló</v>
      </c>
      <c r="C103" s="114" t="str" cm="1">
        <f t="array" ref="C103">IFERROR(INDEX('03.Muestra'!$F$8:$F$42,SMALL(IF("Página Web"='03.Muestra'!$D$8:$D$42,ROW('03.Muestra'!$F$8:$F$42)-MIN(ROW('03.Muestra'!$D$8:$D$42))+1,""),ROW()-94)),"")</f>
        <v>https://www.portcastello.com/</v>
      </c>
      <c r="D103" s="130" t="str">
        <f t="shared" si="5"/>
        <v>N/T</v>
      </c>
      <c r="E103" s="107" t="str">
        <f t="shared" si="4"/>
        <v/>
      </c>
      <c r="F103" s="19"/>
      <c r="G103" s="19"/>
      <c r="H103" s="19"/>
      <c r="I103" s="19"/>
      <c r="J103" s="19"/>
      <c r="K103" s="228"/>
      <c r="L103" s="19"/>
      <c r="M103" s="19"/>
      <c r="N103" s="19"/>
      <c r="O103" s="19"/>
      <c r="P103" s="19"/>
      <c r="Q103" s="19"/>
      <c r="R103" s="19"/>
      <c r="S103" s="19"/>
      <c r="T103" s="19"/>
      <c r="U103" s="19"/>
      <c r="V103" s="19"/>
      <c r="W103" s="19"/>
      <c r="X103" s="19"/>
      <c r="Y103" s="19"/>
    </row>
    <row r="104" spans="1:25" ht="12" customHeight="1">
      <c r="A104" s="219" t="n" cm="1">
        <f t="array" ref="A104">IFERROR(INDEX('03.Muestra'!$B$8:$B$42,SMALL(IF("Página Web"='03.Muestra'!$D$8:$D$42,ROW('03.Muestra'!$B$8:$B$42)-MIN(ROW('03.Muestra'!$D$8:$D$42))+1,""),ROW()-94)),"")</f>
        <v>1.0</v>
      </c>
      <c r="B104" s="114" t="str" cm="1">
        <f t="array" ref="B104">IFERROR(INDEX('03.Muestra'!$C$8:$C$42,SMALL(IF("Página Web"='03.Muestra'!$D$8:$D$42,ROW('03.Muestra'!$C$8:$C$42)-MIN(ROW('03.Muestra'!$D$8:$D$42))+1,""),ROW()-94)),"")</f>
        <v>Home - PortCastelló</v>
      </c>
      <c r="C104" s="114" t="str" cm="1">
        <f t="array" ref="C104">IFERROR(INDEX('03.Muestra'!$F$8:$F$42,SMALL(IF("Página Web"='03.Muestra'!$D$8:$D$42,ROW('03.Muestra'!$F$8:$F$42)-MIN(ROW('03.Muestra'!$D$8:$D$42))+1,""),ROW()-94)),"")</f>
        <v>https://www.portcastello.com/</v>
      </c>
      <c r="D104" s="130" t="str">
        <f t="shared" si="5"/>
        <v>N/T</v>
      </c>
      <c r="E104" s="107" t="str">
        <f t="shared" si="4"/>
        <v/>
      </c>
      <c r="F104" s="19"/>
      <c r="G104" s="19"/>
      <c r="H104" s="19"/>
      <c r="I104" s="19"/>
      <c r="J104" s="19"/>
      <c r="K104" s="228"/>
      <c r="L104" s="19"/>
      <c r="M104" s="19"/>
      <c r="N104" s="19"/>
      <c r="O104" s="19"/>
      <c r="P104" s="19"/>
      <c r="Q104" s="19"/>
      <c r="R104" s="19"/>
      <c r="S104" s="19"/>
      <c r="T104" s="19"/>
      <c r="U104" s="19"/>
      <c r="V104" s="19"/>
      <c r="W104" s="19"/>
      <c r="X104" s="19"/>
      <c r="Y104" s="19"/>
    </row>
    <row r="105" spans="1:25" ht="12" customHeight="1">
      <c r="A105" s="219" t="n" cm="1">
        <f t="array" ref="A105">IFERROR(INDEX('03.Muestra'!$B$8:$B$42,SMALL(IF("Página Web"='03.Muestra'!$D$8:$D$42,ROW('03.Muestra'!$B$8:$B$42)-MIN(ROW('03.Muestra'!$D$8:$D$42))+1,""),ROW()-94)),"")</f>
        <v>1.0</v>
      </c>
      <c r="B105" s="114" t="str" cm="1">
        <f t="array" ref="B105">IFERROR(INDEX('03.Muestra'!$C$8:$C$42,SMALL(IF("Página Web"='03.Muestra'!$D$8:$D$42,ROW('03.Muestra'!$C$8:$C$42)-MIN(ROW('03.Muestra'!$D$8:$D$42))+1,""),ROW()-94)),"")</f>
        <v>Home - PortCastelló</v>
      </c>
      <c r="C105" s="114" t="str" cm="1">
        <f t="array" ref="C105">IFERROR(INDEX('03.Muestra'!$F$8:$F$42,SMALL(IF("Página Web"='03.Muestra'!$D$8:$D$42,ROW('03.Muestra'!$F$8:$F$42)-MIN(ROW('03.Muestra'!$D$8:$D$42))+1,""),ROW()-94)),"")</f>
        <v>https://www.portcastello.com/</v>
      </c>
      <c r="D105" s="130" t="str">
        <f t="shared" si="5"/>
        <v>N/T</v>
      </c>
      <c r="E105" s="107" t="str">
        <f t="shared" si="4"/>
        <v/>
      </c>
      <c r="F105" s="19"/>
      <c r="G105" s="19"/>
      <c r="H105" s="19"/>
      <c r="I105" s="19"/>
      <c r="J105" s="19"/>
      <c r="K105" s="228"/>
      <c r="L105" s="19"/>
      <c r="M105" s="19"/>
      <c r="N105" s="19"/>
      <c r="O105" s="19"/>
      <c r="P105" s="19"/>
      <c r="Q105" s="19"/>
      <c r="R105" s="19"/>
      <c r="S105" s="19"/>
      <c r="T105" s="19"/>
      <c r="U105" s="19"/>
      <c r="V105" s="19"/>
      <c r="W105" s="19"/>
      <c r="X105" s="19"/>
      <c r="Y105" s="19"/>
    </row>
    <row r="106" spans="1:25" ht="12" customHeight="1">
      <c r="A106" s="219" t="n" cm="1">
        <f t="array" ref="A106">IFERROR(INDEX('03.Muestra'!$B$8:$B$42,SMALL(IF("Página Web"='03.Muestra'!$D$8:$D$42,ROW('03.Muestra'!$B$8:$B$42)-MIN(ROW('03.Muestra'!$D$8:$D$42))+1,""),ROW()-94)),"")</f>
        <v>1.0</v>
      </c>
      <c r="B106" s="114" t="str" cm="1">
        <f t="array" ref="B106">IFERROR(INDEX('03.Muestra'!$C$8:$C$42,SMALL(IF("Página Web"='03.Muestra'!$D$8:$D$42,ROW('03.Muestra'!$C$8:$C$42)-MIN(ROW('03.Muestra'!$D$8:$D$42))+1,""),ROW()-94)),"")</f>
        <v>Home - PortCastelló</v>
      </c>
      <c r="C106" s="114" t="str" cm="1">
        <f t="array" ref="C106">IFERROR(INDEX('03.Muestra'!$F$8:$F$42,SMALL(IF("Página Web"='03.Muestra'!$D$8:$D$42,ROW('03.Muestra'!$F$8:$F$42)-MIN(ROW('03.Muestra'!$D$8:$D$42))+1,""),ROW()-94)),"")</f>
        <v>https://www.portcastello.com/</v>
      </c>
      <c r="D106" s="130" t="str">
        <f t="shared" si="5"/>
        <v>N/T</v>
      </c>
      <c r="E106" s="107" t="str">
        <f t="shared" si="4"/>
        <v/>
      </c>
      <c r="F106" s="19"/>
      <c r="G106" s="19"/>
      <c r="H106" s="19"/>
      <c r="I106" s="19"/>
      <c r="J106" s="19"/>
      <c r="K106" s="228"/>
      <c r="L106" s="19"/>
      <c r="M106" s="19"/>
      <c r="N106" s="19"/>
      <c r="O106" s="19"/>
      <c r="P106" s="19"/>
      <c r="Q106" s="19"/>
      <c r="R106" s="19"/>
      <c r="S106" s="19"/>
      <c r="T106" s="19"/>
      <c r="U106" s="19"/>
      <c r="V106" s="19"/>
      <c r="W106" s="19"/>
      <c r="X106" s="19"/>
      <c r="Y106" s="19"/>
    </row>
    <row r="107" spans="1:25" ht="12" customHeight="1">
      <c r="A107" s="219" t="n" cm="1">
        <f t="array" ref="A107">IFERROR(INDEX('03.Muestra'!$B$8:$B$42,SMALL(IF("Página Web"='03.Muestra'!$D$8:$D$42,ROW('03.Muestra'!$B$8:$B$42)-MIN(ROW('03.Muestra'!$D$8:$D$42))+1,""),ROW()-94)),"")</f>
        <v>1.0</v>
      </c>
      <c r="B107" s="114" t="str" cm="1">
        <f t="array" ref="B107">IFERROR(INDEX('03.Muestra'!$C$8:$C$42,SMALL(IF("Página Web"='03.Muestra'!$D$8:$D$42,ROW('03.Muestra'!$C$8:$C$42)-MIN(ROW('03.Muestra'!$D$8:$D$42))+1,""),ROW()-94)),"")</f>
        <v>Home - PortCastelló</v>
      </c>
      <c r="C107" s="114" t="str" cm="1">
        <f t="array" ref="C107">IFERROR(INDEX('03.Muestra'!$F$8:$F$42,SMALL(IF("Página Web"='03.Muestra'!$D$8:$D$42,ROW('03.Muestra'!$F$8:$F$42)-MIN(ROW('03.Muestra'!$D$8:$D$42))+1,""),ROW()-94)),"")</f>
        <v>https://www.portcastello.com/</v>
      </c>
      <c r="D107" s="130" t="str">
        <f t="shared" si="5"/>
        <v>N/T</v>
      </c>
      <c r="E107" s="107" t="str">
        <f t="shared" si="4"/>
        <v/>
      </c>
      <c r="F107" s="19"/>
      <c r="G107" s="19"/>
      <c r="H107" s="19"/>
      <c r="I107" s="19"/>
      <c r="J107" s="19"/>
      <c r="K107" s="228"/>
      <c r="L107" s="19"/>
      <c r="M107" s="19"/>
      <c r="N107" s="19"/>
      <c r="O107" s="19"/>
      <c r="P107" s="19"/>
      <c r="Q107" s="19"/>
      <c r="R107" s="19"/>
      <c r="S107" s="19"/>
      <c r="T107" s="19"/>
      <c r="U107" s="19"/>
      <c r="V107" s="19"/>
      <c r="W107" s="19"/>
      <c r="X107" s="19"/>
      <c r="Y107" s="19"/>
    </row>
    <row r="108" spans="1:25" ht="12" customHeight="1">
      <c r="A108" s="219" t="n" cm="1">
        <f t="array" ref="A108">IFERROR(INDEX('03.Muestra'!$B$8:$B$42,SMALL(IF("Página Web"='03.Muestra'!$D$8:$D$42,ROW('03.Muestra'!$B$8:$B$42)-MIN(ROW('03.Muestra'!$D$8:$D$42))+1,""),ROW()-94)),"")</f>
        <v>1.0</v>
      </c>
      <c r="B108" s="114" t="str" cm="1">
        <f t="array" ref="B108">IFERROR(INDEX('03.Muestra'!$C$8:$C$42,SMALL(IF("Página Web"='03.Muestra'!$D$8:$D$42,ROW('03.Muestra'!$C$8:$C$42)-MIN(ROW('03.Muestra'!$D$8:$D$42))+1,""),ROW()-94)),"")</f>
        <v>Home - PortCastelló</v>
      </c>
      <c r="C108" s="114" t="str" cm="1">
        <f t="array" ref="C108">IFERROR(INDEX('03.Muestra'!$F$8:$F$42,SMALL(IF("Página Web"='03.Muestra'!$D$8:$D$42,ROW('03.Muestra'!$F$8:$F$42)-MIN(ROW('03.Muestra'!$D$8:$D$42))+1,""),ROW()-94)),"")</f>
        <v>https://www.portcastello.com/</v>
      </c>
      <c r="D108" s="130" t="str">
        <f t="shared" si="5"/>
        <v>N/T</v>
      </c>
      <c r="E108" s="107" t="str">
        <f t="shared" si="4"/>
        <v/>
      </c>
      <c r="F108" s="19"/>
      <c r="G108" s="19"/>
      <c r="H108" s="19"/>
      <c r="I108" s="19"/>
      <c r="J108" s="19"/>
      <c r="K108" s="228"/>
      <c r="L108" s="19"/>
      <c r="M108" s="19"/>
      <c r="N108" s="19"/>
      <c r="O108" s="19"/>
      <c r="P108" s="19"/>
      <c r="Q108" s="19"/>
      <c r="R108" s="19"/>
      <c r="S108" s="19"/>
      <c r="T108" s="19"/>
      <c r="U108" s="19"/>
      <c r="V108" s="19"/>
      <c r="W108" s="19"/>
      <c r="X108" s="19"/>
      <c r="Y108" s="19"/>
    </row>
    <row r="109" spans="1:25" ht="12" customHeight="1">
      <c r="A109" s="219" t="n" cm="1">
        <f t="array" ref="A109">IFERROR(INDEX('03.Muestra'!$B$8:$B$42,SMALL(IF("Página Web"='03.Muestra'!$D$8:$D$42,ROW('03.Muestra'!$B$8:$B$42)-MIN(ROW('03.Muestra'!$D$8:$D$42))+1,""),ROW()-94)),"")</f>
        <v>1.0</v>
      </c>
      <c r="B109" s="114" t="str" cm="1">
        <f t="array" ref="B109">IFERROR(INDEX('03.Muestra'!$C$8:$C$42,SMALL(IF("Página Web"='03.Muestra'!$D$8:$D$42,ROW('03.Muestra'!$C$8:$C$42)-MIN(ROW('03.Muestra'!$D$8:$D$42))+1,""),ROW()-94)),"")</f>
        <v>Home - PortCastelló</v>
      </c>
      <c r="C109" s="114" t="str" cm="1">
        <f t="array" ref="C109">IFERROR(INDEX('03.Muestra'!$F$8:$F$42,SMALL(IF("Página Web"='03.Muestra'!$D$8:$D$42,ROW('03.Muestra'!$F$8:$F$42)-MIN(ROW('03.Muestra'!$D$8:$D$42))+1,""),ROW()-94)),"")</f>
        <v>https://www.portcastello.com/</v>
      </c>
      <c r="D109" s="130" t="str">
        <f t="shared" si="5"/>
        <v>N/T</v>
      </c>
      <c r="E109" s="107" t="str">
        <f t="shared" si="4"/>
        <v/>
      </c>
      <c r="F109" s="19"/>
      <c r="G109" s="19"/>
      <c r="H109" s="19"/>
      <c r="I109" s="19"/>
      <c r="J109" s="19"/>
      <c r="K109" s="228"/>
      <c r="L109" s="19"/>
      <c r="M109" s="19"/>
      <c r="N109" s="19"/>
      <c r="O109" s="19"/>
      <c r="P109" s="19"/>
      <c r="Q109" s="19"/>
      <c r="R109" s="19"/>
      <c r="S109" s="19"/>
      <c r="T109" s="19"/>
      <c r="U109" s="19"/>
      <c r="V109" s="19"/>
      <c r="W109" s="19"/>
      <c r="X109" s="19"/>
      <c r="Y109" s="19"/>
    </row>
    <row r="110" spans="1:25" ht="12" customHeight="1">
      <c r="A110" s="219" t="n" cm="1">
        <f t="array" ref="A110">IFERROR(INDEX('03.Muestra'!$B$8:$B$42,SMALL(IF("Página Web"='03.Muestra'!$D$8:$D$42,ROW('03.Muestra'!$B$8:$B$42)-MIN(ROW('03.Muestra'!$D$8:$D$42))+1,""),ROW()-94)),"")</f>
        <v>1.0</v>
      </c>
      <c r="B110" s="114" t="str" cm="1">
        <f t="array" ref="B110">IFERROR(INDEX('03.Muestra'!$C$8:$C$42,SMALL(IF("Página Web"='03.Muestra'!$D$8:$D$42,ROW('03.Muestra'!$C$8:$C$42)-MIN(ROW('03.Muestra'!$D$8:$D$42))+1,""),ROW()-94)),"")</f>
        <v>Home - PortCastelló</v>
      </c>
      <c r="C110" s="114" t="str" cm="1">
        <f t="array" ref="C110">IFERROR(INDEX('03.Muestra'!$F$8:$F$42,SMALL(IF("Página Web"='03.Muestra'!$D$8:$D$42,ROW('03.Muestra'!$F$8:$F$42)-MIN(ROW('03.Muestra'!$D$8:$D$42))+1,""),ROW()-94)),"")</f>
        <v>https://www.portcastello.com/</v>
      </c>
      <c r="D110" s="130" t="str">
        <f t="shared" si="5"/>
        <v>N/T</v>
      </c>
      <c r="E110" s="107" t="str">
        <f t="shared" si="4"/>
        <v/>
      </c>
      <c r="F110" s="19"/>
      <c r="G110" s="19"/>
      <c r="H110" s="19"/>
      <c r="I110" s="19"/>
      <c r="J110" s="19"/>
      <c r="K110" s="228"/>
      <c r="L110" s="19"/>
      <c r="M110" s="19"/>
      <c r="N110" s="19"/>
      <c r="O110" s="19"/>
      <c r="P110" s="19"/>
      <c r="Q110" s="19"/>
      <c r="R110" s="19"/>
      <c r="S110" s="19"/>
      <c r="T110" s="19"/>
      <c r="U110" s="19"/>
      <c r="V110" s="19"/>
      <c r="W110" s="19"/>
      <c r="X110" s="19"/>
      <c r="Y110" s="19"/>
    </row>
    <row r="111" spans="1:25" ht="12" customHeight="1">
      <c r="A111" s="219" t="n" cm="1">
        <f t="array" ref="A111">IFERROR(INDEX('03.Muestra'!$B$8:$B$42,SMALL(IF("Página Web"='03.Muestra'!$D$8:$D$42,ROW('03.Muestra'!$B$8:$B$42)-MIN(ROW('03.Muestra'!$D$8:$D$42))+1,""),ROW()-94)),"")</f>
        <v>1.0</v>
      </c>
      <c r="B111" s="114" t="str" cm="1">
        <f t="array" ref="B111">IFERROR(INDEX('03.Muestra'!$C$8:$C$42,SMALL(IF("Página Web"='03.Muestra'!$D$8:$D$42,ROW('03.Muestra'!$C$8:$C$42)-MIN(ROW('03.Muestra'!$D$8:$D$42))+1,""),ROW()-94)),"")</f>
        <v>Home - PortCastelló</v>
      </c>
      <c r="C111" s="114" t="str" cm="1">
        <f t="array" ref="C111">IFERROR(INDEX('03.Muestra'!$F$8:$F$42,SMALL(IF("Página Web"='03.Muestra'!$D$8:$D$42,ROW('03.Muestra'!$F$8:$F$42)-MIN(ROW('03.Muestra'!$D$8:$D$42))+1,""),ROW()-94)),"")</f>
        <v>https://www.portcastello.com/</v>
      </c>
      <c r="D111" s="130" t="str">
        <f t="shared" si="5"/>
        <v>N/T</v>
      </c>
      <c r="E111" s="107" t="str">
        <f t="shared" si="4"/>
        <v/>
      </c>
      <c r="F111" s="19"/>
      <c r="G111" s="19"/>
      <c r="H111" s="19"/>
      <c r="I111" s="19"/>
      <c r="J111" s="19"/>
      <c r="K111" s="228"/>
      <c r="L111" s="19"/>
      <c r="M111" s="19"/>
      <c r="N111" s="19"/>
      <c r="O111" s="19"/>
      <c r="P111" s="19"/>
      <c r="Q111" s="19"/>
      <c r="R111" s="19"/>
      <c r="S111" s="19"/>
      <c r="T111" s="19"/>
      <c r="U111" s="19"/>
      <c r="V111" s="19"/>
      <c r="W111" s="19"/>
      <c r="X111" s="19"/>
      <c r="Y111" s="19"/>
    </row>
    <row r="112" spans="1:25" ht="12" customHeight="1">
      <c r="A112" s="219" t="n" cm="1">
        <f t="array" ref="A112">IFERROR(INDEX('03.Muestra'!$B$8:$B$42,SMALL(IF("Página Web"='03.Muestra'!$D$8:$D$42,ROW('03.Muestra'!$B$8:$B$42)-MIN(ROW('03.Muestra'!$D$8:$D$42))+1,""),ROW()-94)),"")</f>
        <v>1.0</v>
      </c>
      <c r="B112" s="114" t="str" cm="1">
        <f t="array" ref="B112">IFERROR(INDEX('03.Muestra'!$C$8:$C$42,SMALL(IF("Página Web"='03.Muestra'!$D$8:$D$42,ROW('03.Muestra'!$C$8:$C$42)-MIN(ROW('03.Muestra'!$D$8:$D$42))+1,""),ROW()-94)),"")</f>
        <v>Home - PortCastelló</v>
      </c>
      <c r="C112" s="114" t="str" cm="1">
        <f t="array" ref="C112">IFERROR(INDEX('03.Muestra'!$F$8:$F$42,SMALL(IF("Página Web"='03.Muestra'!$D$8:$D$42,ROW('03.Muestra'!$F$8:$F$42)-MIN(ROW('03.Muestra'!$D$8:$D$42))+1,""),ROW()-94)),"")</f>
        <v>https://www.portcastello.com/</v>
      </c>
      <c r="D112" s="130" t="str">
        <f t="shared" si="5"/>
        <v>N/T</v>
      </c>
      <c r="E112" s="107" t="str">
        <f t="shared" si="4"/>
        <v/>
      </c>
      <c r="F112" s="19"/>
      <c r="G112" s="19"/>
      <c r="H112" s="19"/>
      <c r="I112" s="19"/>
      <c r="J112" s="19"/>
      <c r="K112" s="228"/>
      <c r="L112" s="19"/>
      <c r="M112" s="19"/>
      <c r="N112" s="19"/>
      <c r="O112" s="19"/>
      <c r="P112" s="19"/>
      <c r="Q112" s="19"/>
      <c r="R112" s="19"/>
      <c r="S112" s="19"/>
      <c r="T112" s="19"/>
      <c r="U112" s="19"/>
      <c r="V112" s="19"/>
      <c r="W112" s="19"/>
      <c r="X112" s="19"/>
      <c r="Y112" s="19"/>
    </row>
    <row r="113" spans="1:25" ht="12" customHeight="1">
      <c r="A113" s="219" t="n" cm="1">
        <f t="array" ref="A113">IFERROR(INDEX('03.Muestra'!$B$8:$B$42,SMALL(IF("Página Web"='03.Muestra'!$D$8:$D$42,ROW('03.Muestra'!$B$8:$B$42)-MIN(ROW('03.Muestra'!$D$8:$D$42))+1,""),ROW()-94)),"")</f>
        <v>1.0</v>
      </c>
      <c r="B113" s="114" t="str" cm="1">
        <f t="array" ref="B113">IFERROR(INDEX('03.Muestra'!$C$8:$C$42,SMALL(IF("Página Web"='03.Muestra'!$D$8:$D$42,ROW('03.Muestra'!$C$8:$C$42)-MIN(ROW('03.Muestra'!$D$8:$D$42))+1,""),ROW()-94)),"")</f>
        <v>Home - PortCastelló</v>
      </c>
      <c r="C113" s="114" t="str" cm="1">
        <f t="array" ref="C113">IFERROR(INDEX('03.Muestra'!$F$8:$F$42,SMALL(IF("Página Web"='03.Muestra'!$D$8:$D$42,ROW('03.Muestra'!$F$8:$F$42)-MIN(ROW('03.Muestra'!$D$8:$D$42))+1,""),ROW()-94)),"")</f>
        <v>https://www.portcastello.com/</v>
      </c>
      <c r="D113" s="130" t="str">
        <f t="shared" si="5"/>
        <v>N/T</v>
      </c>
      <c r="E113" s="107" t="str">
        <f t="shared" si="4"/>
        <v/>
      </c>
      <c r="F113" s="19"/>
      <c r="G113" s="19"/>
      <c r="H113" s="19"/>
      <c r="I113" s="19"/>
      <c r="J113" s="19"/>
      <c r="K113" s="228"/>
      <c r="L113" s="19"/>
      <c r="M113" s="19"/>
      <c r="N113" s="19"/>
      <c r="O113" s="19"/>
      <c r="P113" s="19"/>
      <c r="Q113" s="19"/>
      <c r="R113" s="19"/>
      <c r="S113" s="19"/>
      <c r="T113" s="19"/>
      <c r="U113" s="19"/>
      <c r="V113" s="19"/>
      <c r="W113" s="19"/>
      <c r="X113" s="19"/>
      <c r="Y113" s="19"/>
    </row>
    <row r="114" spans="1:25" ht="12" customHeight="1">
      <c r="A114" s="219" t="n" cm="1">
        <f t="array" ref="A114">IFERROR(INDEX('03.Muestra'!$B$8:$B$42,SMALL(IF("Página Web"='03.Muestra'!$D$8:$D$42,ROW('03.Muestra'!$B$8:$B$42)-MIN(ROW('03.Muestra'!$D$8:$D$42))+1,""),ROW()-94)),"")</f>
        <v>1.0</v>
      </c>
      <c r="B114" s="114" t="str" cm="1">
        <f t="array" ref="B114">IFERROR(INDEX('03.Muestra'!$C$8:$C$42,SMALL(IF("Página Web"='03.Muestra'!$D$8:$D$42,ROW('03.Muestra'!$C$8:$C$42)-MIN(ROW('03.Muestra'!$D$8:$D$42))+1,""),ROW()-94)),"")</f>
        <v>Home - PortCastelló</v>
      </c>
      <c r="C114" s="114" t="str" cm="1">
        <f t="array" ref="C114">IFERROR(INDEX('03.Muestra'!$F$8:$F$42,SMALL(IF("Página Web"='03.Muestra'!$D$8:$D$42,ROW('03.Muestra'!$F$8:$F$42)-MIN(ROW('03.Muestra'!$D$8:$D$42))+1,""),ROW()-94)),"")</f>
        <v>https://www.portcastello.com/</v>
      </c>
      <c r="D114" s="130" t="str">
        <f t="shared" si="5"/>
        <v>N/T</v>
      </c>
      <c r="E114" s="107" t="str">
        <f t="shared" si="4"/>
        <v/>
      </c>
      <c r="F114" s="19"/>
      <c r="G114" s="19"/>
      <c r="H114" s="19"/>
      <c r="I114" s="19"/>
      <c r="J114" s="19"/>
      <c r="K114" s="228"/>
      <c r="L114" s="19"/>
      <c r="M114" s="19"/>
      <c r="N114" s="19"/>
      <c r="O114" s="19"/>
      <c r="P114" s="19"/>
      <c r="Q114" s="19"/>
      <c r="R114" s="19"/>
      <c r="S114" s="19"/>
      <c r="T114" s="19"/>
      <c r="U114" s="19"/>
      <c r="V114" s="19"/>
      <c r="W114" s="19"/>
      <c r="X114" s="19"/>
      <c r="Y114" s="19"/>
    </row>
    <row r="115" spans="1:25" ht="12" customHeight="1">
      <c r="A115" s="219" t="n" cm="1">
        <f t="array" ref="A115">IFERROR(INDEX('03.Muestra'!$B$8:$B$42,SMALL(IF("Página Web"='03.Muestra'!$D$8:$D$42,ROW('03.Muestra'!$B$8:$B$42)-MIN(ROW('03.Muestra'!$D$8:$D$42))+1,""),ROW()-94)),"")</f>
        <v>1.0</v>
      </c>
      <c r="B115" s="114" t="str" cm="1">
        <f t="array" ref="B115">IFERROR(INDEX('03.Muestra'!$C$8:$C$42,SMALL(IF("Página Web"='03.Muestra'!$D$8:$D$42,ROW('03.Muestra'!$C$8:$C$42)-MIN(ROW('03.Muestra'!$D$8:$D$42))+1,""),ROW()-94)),"")</f>
        <v>Home - PortCastelló</v>
      </c>
      <c r="C115" s="114" t="str" cm="1">
        <f t="array" ref="C115">IFERROR(INDEX('03.Muestra'!$F$8:$F$42,SMALL(IF("Página Web"='03.Muestra'!$D$8:$D$42,ROW('03.Muestra'!$F$8:$F$42)-MIN(ROW('03.Muestra'!$D$8:$D$42))+1,""),ROW()-94)),"")</f>
        <v>https://www.portcastello.com/</v>
      </c>
      <c r="D115" s="130" t="str">
        <f t="shared" si="5"/>
        <v>N/T</v>
      </c>
      <c r="E115" s="107" t="str">
        <f t="shared" si="4"/>
        <v/>
      </c>
      <c r="F115" s="19"/>
      <c r="G115" s="19"/>
      <c r="H115" s="19"/>
      <c r="I115" s="19"/>
      <c r="J115" s="19"/>
      <c r="K115" s="228"/>
      <c r="L115" s="19"/>
      <c r="M115" s="19"/>
      <c r="N115" s="19"/>
      <c r="O115" s="19"/>
      <c r="P115" s="19"/>
      <c r="Q115" s="19"/>
      <c r="R115" s="19"/>
      <c r="S115" s="19"/>
      <c r="T115" s="19"/>
      <c r="U115" s="19"/>
      <c r="V115" s="19"/>
      <c r="W115" s="19"/>
      <c r="X115" s="19"/>
      <c r="Y115" s="19"/>
    </row>
    <row r="116" spans="1:25" ht="12" customHeight="1">
      <c r="A116" s="219" t="n" cm="1">
        <f t="array" ref="A116">IFERROR(INDEX('03.Muestra'!$B$8:$B$42,SMALL(IF("Página Web"='03.Muestra'!$D$8:$D$42,ROW('03.Muestra'!$B$8:$B$42)-MIN(ROW('03.Muestra'!$D$8:$D$42))+1,""),ROW()-94)),"")</f>
        <v>1.0</v>
      </c>
      <c r="B116" s="114" t="str" cm="1">
        <f t="array" ref="B116">IFERROR(INDEX('03.Muestra'!$C$8:$C$42,SMALL(IF("Página Web"='03.Muestra'!$D$8:$D$42,ROW('03.Muestra'!$C$8:$C$42)-MIN(ROW('03.Muestra'!$D$8:$D$42))+1,""),ROW()-94)),"")</f>
        <v>Home - PortCastelló</v>
      </c>
      <c r="C116" s="114" t="str" cm="1">
        <f t="array" ref="C116">IFERROR(INDEX('03.Muestra'!$F$8:$F$42,SMALL(IF("Página Web"='03.Muestra'!$D$8:$D$42,ROW('03.Muestra'!$F$8:$F$42)-MIN(ROW('03.Muestra'!$D$8:$D$42))+1,""),ROW()-94)),"")</f>
        <v>https://www.portcastello.com/</v>
      </c>
      <c r="D116" s="130" t="str">
        <f t="shared" si="5"/>
        <v>N/T</v>
      </c>
      <c r="E116" s="107" t="str">
        <f t="shared" si="4"/>
        <v/>
      </c>
      <c r="F116" s="19"/>
      <c r="G116" s="19"/>
      <c r="H116" s="19"/>
      <c r="I116" s="19"/>
      <c r="J116" s="19"/>
      <c r="K116" s="228"/>
      <c r="L116" s="19"/>
      <c r="M116" s="19"/>
      <c r="N116" s="19"/>
      <c r="O116" s="19"/>
      <c r="P116" s="19"/>
      <c r="Q116" s="19"/>
      <c r="R116" s="19"/>
      <c r="S116" s="19"/>
      <c r="T116" s="19"/>
      <c r="U116" s="19"/>
      <c r="V116" s="19"/>
      <c r="W116" s="19"/>
      <c r="X116" s="19"/>
      <c r="Y116" s="19"/>
    </row>
    <row r="117" spans="1:25" ht="12" customHeight="1">
      <c r="A117" s="219" t="n" cm="1">
        <f t="array" ref="A117">IFERROR(INDEX('03.Muestra'!$B$8:$B$42,SMALL(IF("Página Web"='03.Muestra'!$D$8:$D$42,ROW('03.Muestra'!$B$8:$B$42)-MIN(ROW('03.Muestra'!$D$8:$D$42))+1,""),ROW()-94)),"")</f>
        <v>1.0</v>
      </c>
      <c r="B117" s="114" t="str" cm="1">
        <f t="array" ref="B117">IFERROR(INDEX('03.Muestra'!$C$8:$C$42,SMALL(IF("Página Web"='03.Muestra'!$D$8:$D$42,ROW('03.Muestra'!$C$8:$C$42)-MIN(ROW('03.Muestra'!$D$8:$D$42))+1,""),ROW()-94)),"")</f>
        <v>Home - PortCastelló</v>
      </c>
      <c r="C117" s="114" t="str" cm="1">
        <f t="array" ref="C117">IFERROR(INDEX('03.Muestra'!$F$8:$F$42,SMALL(IF("Página Web"='03.Muestra'!$D$8:$D$42,ROW('03.Muestra'!$F$8:$F$42)-MIN(ROW('03.Muestra'!$D$8:$D$42))+1,""),ROW()-94)),"")</f>
        <v>https://www.portcastello.com/</v>
      </c>
      <c r="D117" s="130" t="str">
        <f t="shared" si="5"/>
        <v>N/T</v>
      </c>
      <c r="E117" s="107" t="str">
        <f t="shared" si="4"/>
        <v/>
      </c>
      <c r="F117" s="19"/>
      <c r="G117" s="19"/>
      <c r="H117" s="19"/>
      <c r="I117" s="19"/>
      <c r="J117" s="19"/>
      <c r="K117" s="228"/>
      <c r="L117" s="19"/>
      <c r="M117" s="19"/>
      <c r="N117" s="19"/>
      <c r="O117" s="19"/>
      <c r="P117" s="19"/>
      <c r="Q117" s="19"/>
      <c r="R117" s="19"/>
      <c r="S117" s="19"/>
      <c r="T117" s="19"/>
      <c r="U117" s="19"/>
      <c r="V117" s="19"/>
      <c r="W117" s="19"/>
      <c r="X117" s="19"/>
      <c r="Y117" s="19"/>
    </row>
    <row r="118" spans="1:25" ht="12" customHeight="1">
      <c r="A118" s="219" t="n" cm="1">
        <f t="array" ref="A118">IFERROR(INDEX('03.Muestra'!$B$8:$B$42,SMALL(IF("Página Web"='03.Muestra'!$D$8:$D$42,ROW('03.Muestra'!$B$8:$B$42)-MIN(ROW('03.Muestra'!$D$8:$D$42))+1,""),ROW()-94)),"")</f>
        <v>1.0</v>
      </c>
      <c r="B118" s="114" t="str" cm="1">
        <f t="array" ref="B118">IFERROR(INDEX('03.Muestra'!$C$8:$C$42,SMALL(IF("Página Web"='03.Muestra'!$D$8:$D$42,ROW('03.Muestra'!$C$8:$C$42)-MIN(ROW('03.Muestra'!$D$8:$D$42))+1,""),ROW()-94)),"")</f>
        <v>Home - PortCastelló</v>
      </c>
      <c r="C118" s="114" t="str" cm="1">
        <f t="array" ref="C118">IFERROR(INDEX('03.Muestra'!$F$8:$F$42,SMALL(IF("Página Web"='03.Muestra'!$D$8:$D$42,ROW('03.Muestra'!$F$8:$F$42)-MIN(ROW('03.Muestra'!$D$8:$D$42))+1,""),ROW()-94)),"")</f>
        <v>https://www.portcastello.com/</v>
      </c>
      <c r="D118" s="130" t="str">
        <f t="shared" si="5"/>
        <v>N/T</v>
      </c>
      <c r="E118" s="107" t="str">
        <f t="shared" si="4"/>
        <v/>
      </c>
      <c r="F118" s="19"/>
      <c r="G118" s="19"/>
      <c r="H118" s="19"/>
      <c r="I118" s="19"/>
      <c r="J118" s="19"/>
      <c r="K118" s="228"/>
      <c r="L118" s="19"/>
      <c r="M118" s="19"/>
      <c r="N118" s="19"/>
      <c r="O118" s="19"/>
      <c r="P118" s="19"/>
      <c r="Q118" s="19"/>
      <c r="R118" s="19"/>
      <c r="S118" s="19"/>
      <c r="T118" s="19"/>
      <c r="U118" s="19"/>
      <c r="V118" s="19"/>
      <c r="W118" s="19"/>
      <c r="X118" s="19"/>
      <c r="Y118" s="19"/>
    </row>
    <row r="119" spans="1:25" ht="12" customHeight="1">
      <c r="A119" s="219" t="n" cm="1">
        <f t="array" ref="A119">IFERROR(INDEX('03.Muestra'!$B$8:$B$42,SMALL(IF("Página Web"='03.Muestra'!$D$8:$D$42,ROW('03.Muestra'!$B$8:$B$42)-MIN(ROW('03.Muestra'!$D$8:$D$42))+1,""),ROW()-94)),"")</f>
        <v>1.0</v>
      </c>
      <c r="B119" s="114" t="str" cm="1">
        <f t="array" ref="B119">IFERROR(INDEX('03.Muestra'!$C$8:$C$42,SMALL(IF("Página Web"='03.Muestra'!$D$8:$D$42,ROW('03.Muestra'!$C$8:$C$42)-MIN(ROW('03.Muestra'!$D$8:$D$42))+1,""),ROW()-94)),"")</f>
        <v>Home - PortCastelló</v>
      </c>
      <c r="C119" s="114" t="str" cm="1">
        <f t="array" ref="C119">IFERROR(INDEX('03.Muestra'!$F$8:$F$42,SMALL(IF("Página Web"='03.Muestra'!$D$8:$D$42,ROW('03.Muestra'!$F$8:$F$42)-MIN(ROW('03.Muestra'!$D$8:$D$42))+1,""),ROW()-94)),"")</f>
        <v>https://www.portcastello.com/</v>
      </c>
      <c r="D119" s="130" t="str">
        <f t="shared" si="5"/>
        <v>N/T</v>
      </c>
      <c r="E119" s="107" t="str">
        <f t="shared" si="4"/>
        <v/>
      </c>
      <c r="F119" s="19"/>
      <c r="G119" s="19"/>
      <c r="H119" s="19"/>
      <c r="I119" s="19"/>
      <c r="J119" s="19"/>
      <c r="K119" s="228"/>
      <c r="L119" s="19"/>
      <c r="M119" s="19"/>
      <c r="N119" s="19"/>
      <c r="O119" s="19"/>
      <c r="P119" s="19"/>
      <c r="Q119" s="19"/>
      <c r="R119" s="19"/>
      <c r="S119" s="19"/>
      <c r="T119" s="19"/>
      <c r="U119" s="19"/>
      <c r="V119" s="19"/>
      <c r="W119" s="19"/>
      <c r="X119" s="19"/>
      <c r="Y119" s="19"/>
    </row>
    <row r="120" spans="1:25" ht="12" customHeight="1">
      <c r="A120" s="219" t="n" cm="1">
        <f t="array" ref="A120">IFERROR(INDEX('03.Muestra'!$B$8:$B$42,SMALL(IF("Página Web"='03.Muestra'!$D$8:$D$42,ROW('03.Muestra'!$B$8:$B$42)-MIN(ROW('03.Muestra'!$D$8:$D$42))+1,""),ROW()-94)),"")</f>
        <v>1.0</v>
      </c>
      <c r="B120" s="114" t="str" cm="1">
        <f t="array" ref="B120">IFERROR(INDEX('03.Muestra'!$C$8:$C$42,SMALL(IF("Página Web"='03.Muestra'!$D$8:$D$42,ROW('03.Muestra'!$C$8:$C$42)-MIN(ROW('03.Muestra'!$D$8:$D$42))+1,""),ROW()-94)),"")</f>
        <v>Home - PortCastelló</v>
      </c>
      <c r="C120" s="114" t="str" cm="1">
        <f t="array" ref="C120">IFERROR(INDEX('03.Muestra'!$F$8:$F$42,SMALL(IF("Página Web"='03.Muestra'!$D$8:$D$42,ROW('03.Muestra'!$F$8:$F$42)-MIN(ROW('03.Muestra'!$D$8:$D$42))+1,""),ROW()-94)),"")</f>
        <v>https://www.portcastello.com/</v>
      </c>
      <c r="D120" s="130" t="str">
        <f t="shared" si="5"/>
        <v>N/T</v>
      </c>
      <c r="E120" s="107" t="str">
        <f t="shared" si="4"/>
        <v/>
      </c>
      <c r="F120" s="19"/>
      <c r="G120" s="19"/>
      <c r="H120" s="19"/>
      <c r="I120" s="19"/>
      <c r="J120" s="19"/>
      <c r="K120" s="228"/>
      <c r="L120" s="19"/>
      <c r="M120" s="19"/>
      <c r="N120" s="19"/>
      <c r="O120" s="19"/>
      <c r="P120" s="19"/>
      <c r="Q120" s="19"/>
      <c r="R120" s="19"/>
      <c r="S120" s="19"/>
      <c r="T120" s="19"/>
      <c r="U120" s="19"/>
      <c r="V120" s="19"/>
      <c r="W120" s="19"/>
      <c r="X120" s="19"/>
      <c r="Y120" s="19"/>
    </row>
    <row r="121" spans="1:25" ht="12" customHeight="1">
      <c r="A121" s="219" t="n" cm="1">
        <f t="array" ref="A121">IFERROR(INDEX('03.Muestra'!$B$8:$B$42,SMALL(IF("Página Web"='03.Muestra'!$D$8:$D$42,ROW('03.Muestra'!$B$8:$B$42)-MIN(ROW('03.Muestra'!$D$8:$D$42))+1,""),ROW()-94)),"")</f>
        <v>1.0</v>
      </c>
      <c r="B121" s="114" t="str" cm="1">
        <f t="array" ref="B121">IFERROR(INDEX('03.Muestra'!$C$8:$C$42,SMALL(IF("Página Web"='03.Muestra'!$D$8:$D$42,ROW('03.Muestra'!$C$8:$C$42)-MIN(ROW('03.Muestra'!$D$8:$D$42))+1,""),ROW()-94)),"")</f>
        <v>Home - PortCastelló</v>
      </c>
      <c r="C121" s="114" t="str" cm="1">
        <f t="array" ref="C121">IFERROR(INDEX('03.Muestra'!$F$8:$F$42,SMALL(IF("Página Web"='03.Muestra'!$D$8:$D$42,ROW('03.Muestra'!$F$8:$F$42)-MIN(ROW('03.Muestra'!$D$8:$D$42))+1,""),ROW()-94)),"")</f>
        <v>https://www.portcastello.com/</v>
      </c>
      <c r="D121" s="130" t="str">
        <f t="shared" si="5"/>
        <v>N/T</v>
      </c>
      <c r="E121" s="107" t="str">
        <f t="shared" si="4"/>
        <v/>
      </c>
      <c r="F121" s="19"/>
      <c r="G121" s="19"/>
      <c r="H121" s="19"/>
      <c r="I121" s="19"/>
      <c r="J121" s="19"/>
      <c r="K121" s="228"/>
      <c r="L121" s="19"/>
      <c r="M121" s="19"/>
      <c r="N121" s="19"/>
      <c r="O121" s="19"/>
      <c r="P121" s="19"/>
      <c r="Q121" s="19"/>
      <c r="R121" s="19"/>
      <c r="S121" s="19"/>
      <c r="T121" s="19"/>
      <c r="U121" s="19"/>
      <c r="V121" s="19"/>
      <c r="W121" s="19"/>
      <c r="X121" s="19"/>
      <c r="Y121" s="19"/>
    </row>
    <row r="122" spans="1:25" ht="12" customHeight="1">
      <c r="A122" s="219" t="n" cm="1">
        <f t="array" ref="A122">IFERROR(INDEX('03.Muestra'!$B$8:$B$42,SMALL(IF("Página Web"='03.Muestra'!$D$8:$D$42,ROW('03.Muestra'!$B$8:$B$42)-MIN(ROW('03.Muestra'!$D$8:$D$42))+1,""),ROW()-94)),"")</f>
        <v>1.0</v>
      </c>
      <c r="B122" s="114" t="str" cm="1">
        <f t="array" ref="B122">IFERROR(INDEX('03.Muestra'!$C$8:$C$42,SMALL(IF("Página Web"='03.Muestra'!$D$8:$D$42,ROW('03.Muestra'!$C$8:$C$42)-MIN(ROW('03.Muestra'!$D$8:$D$42))+1,""),ROW()-94)),"")</f>
        <v>Home - PortCastelló</v>
      </c>
      <c r="C122" s="114" t="str" cm="1">
        <f t="array" ref="C122">IFERROR(INDEX('03.Muestra'!$F$8:$F$42,SMALL(IF("Página Web"='03.Muestra'!$D$8:$D$42,ROW('03.Muestra'!$F$8:$F$42)-MIN(ROW('03.Muestra'!$D$8:$D$42))+1,""),ROW()-94)),"")</f>
        <v>https://www.portcastello.com/</v>
      </c>
      <c r="D122" s="130" t="str">
        <f t="shared" si="5"/>
        <v>N/T</v>
      </c>
      <c r="E122" s="107" t="str">
        <f t="shared" si="4"/>
        <v/>
      </c>
      <c r="G122" s="19"/>
      <c r="H122" s="19"/>
      <c r="I122" s="19"/>
      <c r="J122" s="19"/>
      <c r="K122" s="228"/>
      <c r="L122" s="19"/>
      <c r="M122" s="19"/>
      <c r="N122" s="19"/>
      <c r="O122" s="19"/>
      <c r="P122" s="19"/>
      <c r="Q122" s="19"/>
      <c r="R122" s="19"/>
      <c r="S122" s="19"/>
      <c r="T122" s="19"/>
      <c r="U122" s="19"/>
      <c r="V122" s="19"/>
      <c r="W122" s="19"/>
      <c r="X122" s="19"/>
      <c r="Y122" s="19"/>
    </row>
    <row r="123" spans="1:25" ht="12" customHeight="1">
      <c r="A123" s="219" t="n" cm="1">
        <f t="array" ref="A123">IFERROR(INDEX('03.Muestra'!$B$8:$B$42,SMALL(IF("Página Web"='03.Muestra'!$D$8:$D$42,ROW('03.Muestra'!$B$8:$B$42)-MIN(ROW('03.Muestra'!$D$8:$D$42))+1,""),ROW()-94)),"")</f>
        <v>1.0</v>
      </c>
      <c r="B123" s="114" t="str" cm="1">
        <f t="array" ref="B123">IFERROR(INDEX('03.Muestra'!$C$8:$C$42,SMALL(IF("Página Web"='03.Muestra'!$D$8:$D$42,ROW('03.Muestra'!$C$8:$C$42)-MIN(ROW('03.Muestra'!$D$8:$D$42))+1,""),ROW()-94)),"")</f>
        <v>Home - PortCastelló</v>
      </c>
      <c r="C123" s="114" t="str" cm="1">
        <f t="array" ref="C123">IFERROR(INDEX('03.Muestra'!$F$8:$F$42,SMALL(IF("Página Web"='03.Muestra'!$D$8:$D$42,ROW('03.Muestra'!$F$8:$F$42)-MIN(ROW('03.Muestra'!$D$8:$D$42))+1,""),ROW()-94)),"")</f>
        <v>https://www.portcastello.com/</v>
      </c>
      <c r="D123" s="130" t="str">
        <f t="shared" si="5"/>
        <v>N/T</v>
      </c>
      <c r="E123" s="107" t="str">
        <f t="shared" si="4"/>
        <v/>
      </c>
      <c r="G123" s="19"/>
      <c r="H123" s="19"/>
      <c r="I123" s="19"/>
      <c r="J123" s="19"/>
      <c r="K123" s="228"/>
      <c r="L123" s="19"/>
      <c r="M123" s="19"/>
      <c r="N123" s="19"/>
      <c r="O123" s="19"/>
      <c r="P123" s="19"/>
      <c r="Q123" s="19"/>
      <c r="R123" s="19"/>
      <c r="S123" s="19"/>
      <c r="T123" s="19"/>
      <c r="U123" s="19"/>
      <c r="V123" s="19"/>
      <c r="W123" s="19"/>
      <c r="X123" s="19"/>
      <c r="Y123" s="19"/>
    </row>
    <row r="124" spans="1:25" ht="12" customHeight="1">
      <c r="A124" s="219" t="n" cm="1">
        <f t="array" ref="A124">IFERROR(INDEX('03.Muestra'!$B$8:$B$42,SMALL(IF("Página Web"='03.Muestra'!$D$8:$D$42,ROW('03.Muestra'!$B$8:$B$42)-MIN(ROW('03.Muestra'!$D$8:$D$42))+1,""),ROW()-94)),"")</f>
        <v>1.0</v>
      </c>
      <c r="B124" s="114" t="str" cm="1">
        <f t="array" ref="B124">IFERROR(INDEX('03.Muestra'!$C$8:$C$42,SMALL(IF("Página Web"='03.Muestra'!$D$8:$D$42,ROW('03.Muestra'!$C$8:$C$42)-MIN(ROW('03.Muestra'!$D$8:$D$42))+1,""),ROW()-94)),"")</f>
        <v>Home - PortCastelló</v>
      </c>
      <c r="C124" s="114" t="str" cm="1">
        <f t="array" ref="C124">IFERROR(INDEX('03.Muestra'!$F$8:$F$42,SMALL(IF("Página Web"='03.Muestra'!$D$8:$D$42,ROW('03.Muestra'!$F$8:$F$42)-MIN(ROW('03.Muestra'!$D$8:$D$42))+1,""),ROW()-94)),"")</f>
        <v>https://www.portcastello.com/</v>
      </c>
      <c r="D124" s="130" t="str">
        <f t="shared" si="5"/>
        <v>N/T</v>
      </c>
      <c r="E124" s="107" t="str">
        <f t="shared" si="4"/>
        <v/>
      </c>
      <c r="G124" s="19"/>
      <c r="H124" s="19"/>
      <c r="I124" s="19"/>
      <c r="J124" s="19"/>
      <c r="K124" s="228"/>
      <c r="L124" s="19"/>
      <c r="M124" s="19"/>
      <c r="N124" s="19"/>
      <c r="O124" s="19"/>
      <c r="P124" s="19"/>
      <c r="Q124" s="19"/>
      <c r="R124" s="19"/>
      <c r="S124" s="19"/>
      <c r="T124" s="19"/>
      <c r="U124" s="19"/>
      <c r="V124" s="19"/>
      <c r="W124" s="19"/>
      <c r="X124" s="19"/>
      <c r="Y124" s="19"/>
    </row>
    <row r="125" spans="1:25" ht="12" customHeight="1">
      <c r="A125" s="219" t="n" cm="1">
        <f t="array" ref="A125">IFERROR(INDEX('03.Muestra'!$B$8:$B$42,SMALL(IF("Página Web"='03.Muestra'!$D$8:$D$42,ROW('03.Muestra'!$B$8:$B$42)-MIN(ROW('03.Muestra'!$D$8:$D$42))+1,""),ROW()-94)),"")</f>
        <v>1.0</v>
      </c>
      <c r="B125" s="114" t="str" cm="1">
        <f t="array" ref="B125">IFERROR(INDEX('03.Muestra'!$C$8:$C$42,SMALL(IF("Página Web"='03.Muestra'!$D$8:$D$42,ROW('03.Muestra'!$C$8:$C$42)-MIN(ROW('03.Muestra'!$D$8:$D$42))+1,""),ROW()-94)),"")</f>
        <v>Home - PortCastelló</v>
      </c>
      <c r="C125" s="114" t="str" cm="1">
        <f t="array" ref="C125">IFERROR(INDEX('03.Muestra'!$F$8:$F$42,SMALL(IF("Página Web"='03.Muestra'!$D$8:$D$42,ROW('03.Muestra'!$F$8:$F$42)-MIN(ROW('03.Muestra'!$D$8:$D$42))+1,""),ROW()-94)),"")</f>
        <v>https://www.portcastello.com/</v>
      </c>
      <c r="D125" s="130" t="str">
        <f t="shared" si="5"/>
        <v>N/T</v>
      </c>
      <c r="E125" s="107" t="str">
        <f t="shared" si="4"/>
        <v/>
      </c>
      <c r="G125" s="19"/>
      <c r="H125" s="19"/>
      <c r="I125" s="19"/>
      <c r="J125" s="19"/>
      <c r="K125" s="228"/>
      <c r="L125" s="19"/>
      <c r="M125" s="19"/>
      <c r="N125" s="19"/>
      <c r="O125" s="19"/>
      <c r="P125" s="19"/>
      <c r="Q125" s="19"/>
      <c r="R125" s="19"/>
      <c r="S125" s="19"/>
      <c r="T125" s="19"/>
      <c r="U125" s="19"/>
      <c r="V125" s="19"/>
      <c r="W125" s="19"/>
      <c r="X125" s="19"/>
      <c r="Y125" s="19"/>
    </row>
    <row r="126" spans="1:25" ht="12" customHeight="1">
      <c r="A126" s="219" t="n" cm="1">
        <f t="array" ref="A126">IFERROR(INDEX('03.Muestra'!$B$8:$B$42,SMALL(IF("Página Web"='03.Muestra'!$D$8:$D$42,ROW('03.Muestra'!$B$8:$B$42)-MIN(ROW('03.Muestra'!$D$8:$D$42))+1,""),ROW()-94)),"")</f>
        <v>1.0</v>
      </c>
      <c r="B126" s="114" t="str" cm="1">
        <f t="array" ref="B126">IFERROR(INDEX('03.Muestra'!$C$8:$C$42,SMALL(IF("Página Web"='03.Muestra'!$D$8:$D$42,ROW('03.Muestra'!$C$8:$C$42)-MIN(ROW('03.Muestra'!$D$8:$D$42))+1,""),ROW()-94)),"")</f>
        <v>Home - PortCastelló</v>
      </c>
      <c r="C126" s="114" t="str" cm="1">
        <f t="array" ref="C126">IFERROR(INDEX('03.Muestra'!$F$8:$F$42,SMALL(IF("Página Web"='03.Muestra'!$D$8:$D$42,ROW('03.Muestra'!$F$8:$F$42)-MIN(ROW('03.Muestra'!$D$8:$D$42))+1,""),ROW()-94)),"")</f>
        <v>https://www.portcastello.com/</v>
      </c>
      <c r="D126" s="130" t="str">
        <f t="shared" si="5"/>
        <v>N/T</v>
      </c>
      <c r="E126" s="107" t="str">
        <f t="shared" si="4"/>
        <v/>
      </c>
      <c r="G126" s="19"/>
      <c r="H126" s="19"/>
      <c r="I126" s="19"/>
      <c r="J126" s="19"/>
      <c r="K126" s="228"/>
      <c r="L126" s="19"/>
      <c r="M126" s="19"/>
      <c r="N126" s="19"/>
      <c r="O126" s="19"/>
      <c r="P126" s="19"/>
      <c r="Q126" s="19"/>
      <c r="R126" s="19"/>
      <c r="S126" s="19"/>
      <c r="T126" s="19"/>
      <c r="U126" s="19"/>
      <c r="V126" s="19"/>
      <c r="W126" s="19"/>
      <c r="X126" s="19"/>
      <c r="Y126" s="19"/>
    </row>
    <row r="127" spans="1:25" ht="12" customHeight="1">
      <c r="A127" s="219" t="n" cm="1">
        <f t="array" ref="A127">IFERROR(INDEX('03.Muestra'!$B$8:$B$42,SMALL(IF("Página Web"='03.Muestra'!$D$8:$D$42,ROW('03.Muestra'!$B$8:$B$42)-MIN(ROW('03.Muestra'!$D$8:$D$42))+1,""),ROW()-94)),"")</f>
        <v>1.0</v>
      </c>
      <c r="B127" s="114" t="str" cm="1">
        <f t="array" ref="B127">IFERROR(INDEX('03.Muestra'!$C$8:$C$42,SMALL(IF("Página Web"='03.Muestra'!$D$8:$D$42,ROW('03.Muestra'!$C$8:$C$42)-MIN(ROW('03.Muestra'!$D$8:$D$42))+1,""),ROW()-94)),"")</f>
        <v>Home - PortCastelló</v>
      </c>
      <c r="C127" s="114" t="str" cm="1">
        <f t="array" ref="C127">IFERROR(INDEX('03.Muestra'!$F$8:$F$42,SMALL(IF("Página Web"='03.Muestra'!$D$8:$D$42,ROW('03.Muestra'!$F$8:$F$42)-MIN(ROW('03.Muestra'!$D$8:$D$42))+1,""),ROW()-94)),"")</f>
        <v>https://www.portcastello.com/</v>
      </c>
      <c r="D127" s="130" t="str">
        <f t="shared" si="5"/>
        <v>N/T</v>
      </c>
      <c r="E127" s="107" t="str">
        <f t="shared" si="4"/>
        <v/>
      </c>
      <c r="G127" s="19"/>
      <c r="H127" s="19"/>
      <c r="I127" s="19"/>
      <c r="J127" s="19"/>
      <c r="K127" s="228"/>
      <c r="L127" s="19"/>
      <c r="M127" s="19"/>
      <c r="N127" s="19"/>
      <c r="O127" s="19"/>
      <c r="P127" s="19"/>
      <c r="Q127" s="19"/>
      <c r="R127" s="19"/>
      <c r="S127" s="19"/>
      <c r="T127" s="19"/>
      <c r="U127" s="19"/>
      <c r="V127" s="19"/>
      <c r="W127" s="19"/>
      <c r="X127" s="19"/>
      <c r="Y127" s="19"/>
    </row>
    <row r="128" spans="1:25" ht="12" customHeight="1">
      <c r="A128" s="219" t="str" cm="1">
        <f t="array" ref="A128">IFERROR(INDEX('03.Muestra'!$B$8:$B$42,SMALL(IF("Página Web"='03.Muestra'!$D$8:$D$42,ROW('03.Muestra'!$B$8:$B$42)-MIN(ROW('03.Muestra'!$D$8:$D$42))+1,""),ROW()-94)),"")</f>
        <v/>
      </c>
      <c r="B128" s="114" t="str" cm="1">
        <f t="array" ref="B128">IFERROR(INDEX('03.Muestra'!$C$8:$C$42,SMALL(IF("Página Web"='03.Muestra'!$D$8:$D$42,ROW('03.Muestra'!$C$8:$C$42)-MIN(ROW('03.Muestra'!$D$8:$D$42))+1,""),ROW()-94)),"")</f>
        <v/>
      </c>
      <c r="C128" s="114" t="str" cm="1">
        <f t="array" ref="C128">IFERROR(INDEX('03.Muestra'!$F$8:$F$42,SMALL(IF("Página Web"='03.Muestra'!$D$8:$D$42,ROW('03.Muestra'!$F$8:$F$42)-MIN(ROW('03.Muestra'!$D$8:$D$42))+1,""),ROW()-94)),"")</f>
        <v/>
      </c>
      <c r="D128" s="130" t="str">
        <f t="shared" si="5"/>
        <v/>
      </c>
      <c r="E128" s="107" t="str">
        <f t="shared" si="4"/>
        <v/>
      </c>
      <c r="F128" s="124"/>
      <c r="G128" s="19"/>
      <c r="H128" s="19"/>
      <c r="I128" s="19"/>
      <c r="J128" s="19"/>
      <c r="K128" s="228"/>
      <c r="L128" s="19"/>
      <c r="M128" s="19"/>
      <c r="N128" s="19"/>
      <c r="O128" s="19"/>
      <c r="P128" s="19"/>
      <c r="Q128" s="19"/>
      <c r="R128" s="19"/>
      <c r="S128" s="19"/>
      <c r="T128" s="19"/>
      <c r="U128" s="19"/>
      <c r="V128" s="19"/>
      <c r="W128" s="19"/>
      <c r="X128" s="19"/>
      <c r="Y128" s="19"/>
    </row>
    <row r="129" spans="1:25" ht="12" customHeight="1">
      <c r="A129" s="219" t="str" cm="1">
        <f t="array" ref="A129">IFERROR(INDEX('03.Muestra'!$B$8:$B$42,SMALL(IF("Página Web"='03.Muestra'!$D$8:$D$42,ROW('03.Muestra'!$B$8:$B$42)-MIN(ROW('03.Muestra'!$D$8:$D$42))+1,""),ROW()-94)),"")</f>
        <v/>
      </c>
      <c r="B129" s="114" t="str" cm="1">
        <f t="array" ref="B129">IFERROR(INDEX('03.Muestra'!$C$8:$C$42,SMALL(IF("Página Web"='03.Muestra'!$D$8:$D$42,ROW('03.Muestra'!$C$8:$C$42)-MIN(ROW('03.Muestra'!$D$8:$D$42))+1,""),ROW()-94)),"")</f>
        <v/>
      </c>
      <c r="C129" s="114" t="str" cm="1">
        <f t="array" ref="C129">IFERROR(INDEX('03.Muestra'!$F$8:$F$42,SMALL(IF("Página Web"='03.Muestra'!$D$8:$D$42,ROW('03.Muestra'!$F$8:$F$42)-MIN(ROW('03.Muestra'!$D$8:$D$42))+1,""),ROW()-94)),"")</f>
        <v/>
      </c>
      <c r="D129" s="130" t="str">
        <f t="shared" si="5"/>
        <v/>
      </c>
      <c r="E129" s="107" t="str">
        <f t="shared" si="4"/>
        <v/>
      </c>
      <c r="F129" s="19"/>
      <c r="G129" s="19"/>
      <c r="H129" s="19"/>
      <c r="I129" s="19"/>
      <c r="J129" s="19"/>
      <c r="K129" s="228"/>
      <c r="L129" s="19"/>
      <c r="M129" s="19"/>
      <c r="N129" s="19"/>
      <c r="O129" s="19"/>
      <c r="P129" s="19"/>
      <c r="Q129" s="19"/>
      <c r="R129" s="19"/>
      <c r="S129" s="19"/>
      <c r="T129" s="19"/>
      <c r="U129" s="19"/>
      <c r="V129" s="19"/>
      <c r="W129" s="19"/>
      <c r="X129" s="19"/>
      <c r="Y129" s="19"/>
    </row>
    <row r="130" spans="1:25" ht="12" customHeight="1">
      <c r="A130" s="113"/>
      <c r="B130" s="162"/>
      <c r="C130" s="162"/>
      <c r="D130" s="163"/>
      <c r="E130" s="107"/>
      <c r="F130" s="19"/>
      <c r="G130" s="19"/>
      <c r="H130" s="19"/>
      <c r="I130" s="19"/>
      <c r="J130" s="19"/>
      <c r="K130" s="228"/>
      <c r="L130" s="19"/>
      <c r="M130" s="19"/>
      <c r="N130" s="19"/>
      <c r="O130" s="19"/>
      <c r="P130" s="19"/>
      <c r="Q130" s="19"/>
      <c r="R130" s="19"/>
      <c r="S130" s="19"/>
      <c r="T130" s="19"/>
      <c r="U130" s="19"/>
      <c r="V130" s="19"/>
      <c r="W130" s="19"/>
      <c r="X130" s="19"/>
      <c r="Y130" s="19"/>
    </row>
    <row r="131" spans="1:25" ht="12" customHeight="1">
      <c r="B131" s="19"/>
      <c r="C131" s="19"/>
      <c r="D131" s="107"/>
      <c r="E131" s="107"/>
      <c r="F131" s="19"/>
      <c r="G131" s="19"/>
      <c r="H131" s="19"/>
      <c r="I131" s="19"/>
      <c r="J131" s="19"/>
      <c r="K131" s="228"/>
      <c r="L131" s="19"/>
      <c r="M131" s="19"/>
      <c r="N131" s="19"/>
      <c r="O131" s="19"/>
      <c r="P131" s="19"/>
      <c r="Q131" s="19"/>
      <c r="R131" s="19"/>
      <c r="S131" s="19"/>
      <c r="T131" s="19"/>
      <c r="U131" s="19"/>
      <c r="V131" s="19"/>
      <c r="W131" s="19"/>
      <c r="X131" s="19"/>
      <c r="Y131" s="19"/>
    </row>
    <row r="132" spans="1:25" ht="32.25" customHeight="1">
      <c r="A132" s="218" t="s">
        <v>268</v>
      </c>
      <c r="B132" s="24" t="s">
        <v>90</v>
      </c>
      <c r="C132" s="25" t="s">
        <v>354</v>
      </c>
      <c r="D132" s="26" t="s">
        <v>32</v>
      </c>
      <c r="E132" s="123"/>
      <c r="K132" s="228"/>
      <c r="L132" s="19"/>
      <c r="M132" s="19"/>
      <c r="N132" s="19"/>
      <c r="O132" s="19"/>
      <c r="P132" s="19"/>
      <c r="Q132" s="19"/>
      <c r="R132" s="19"/>
      <c r="T132" s="19"/>
      <c r="U132" s="19"/>
      <c r="V132" s="19"/>
      <c r="W132" s="19"/>
      <c r="X132" s="19"/>
      <c r="Y132" s="19"/>
    </row>
    <row r="133" spans="1:25" ht="12" customHeight="1">
      <c r="A133" s="219" t="n" cm="1">
        <f t="array" ref="A133">IFERROR(INDEX('03.Muestra'!$B$8:$B$42,SMALL(IF("Página Web"='03.Muestra'!$D$8:$D$42,ROW('03.Muestra'!$B$8:$B$42)-MIN(ROW('03.Muestra'!$D$8:$D$42))+1,""),ROW()-132)),"")</f>
        <v>1.0</v>
      </c>
      <c r="B133" s="114" t="str" cm="1">
        <f t="array" ref="B133">IFERROR(INDEX('03.Muestra'!$C$8:$C$42,SMALL(IF("Página Web"='03.Muestra'!$D$8:$D$42,ROW('03.Muestra'!$C$8:$C$42)-MIN(ROW('03.Muestra'!$D$8:$D$42))+1,""),ROW()-132)),"")</f>
        <v>Home - PortCastelló</v>
      </c>
      <c r="C133" s="114" t="str" cm="1">
        <f t="array" ref="C133">IFERROR(INDEX('03.Muestra'!$F$8:$F$42,SMALL(IF("Página Web"='03.Muestra'!$D$8:$D$42,ROW('03.Muestra'!$F$8:$F$42)-MIN(ROW('03.Muestra'!$D$8:$D$42))+1,""),ROW()-132)),"")</f>
        <v>https://www.portcastello.com/</v>
      </c>
      <c r="D133" s="130" t="str">
        <f>IF(AND(B133&lt;&gt;"",C133&lt;&gt;""),"N/T","")</f>
        <v>N/T</v>
      </c>
      <c r="E133" s="107" t="str">
        <f t="shared" ref="E133:E167" si="6">IF(D133&lt;&gt;"",IF(AND(B133&lt;&gt;"",C133&lt;&gt;""),"","ERR"),"")</f>
        <v/>
      </c>
      <c r="F133" s="115" t="s">
        <v>33</v>
      </c>
      <c r="G133" s="116" t="s">
        <v>37</v>
      </c>
      <c r="H133" s="117" t="s">
        <v>35</v>
      </c>
      <c r="I133" s="118" t="s">
        <v>28</v>
      </c>
      <c r="J133" s="119" t="s">
        <v>26</v>
      </c>
      <c r="K133" s="229" t="s">
        <v>474</v>
      </c>
      <c r="L133" s="19"/>
      <c r="M133" s="19"/>
      <c r="N133" s="19"/>
      <c r="O133" s="19"/>
      <c r="P133" s="19"/>
      <c r="Q133" s="19"/>
      <c r="R133" s="19"/>
      <c r="T133" s="19"/>
      <c r="U133" s="19"/>
      <c r="V133" s="19"/>
      <c r="W133" s="19"/>
      <c r="X133" s="19"/>
      <c r="Y133" s="19"/>
    </row>
    <row r="134" spans="1:25" ht="12" customHeight="1">
      <c r="A134" s="219" t="n" cm="1">
        <f t="array" ref="A134">IFERROR(INDEX('03.Muestra'!$B$8:$B$42,SMALL(IF("Página Web"='03.Muestra'!$D$8:$D$42,ROW('03.Muestra'!$B$8:$B$42)-MIN(ROW('03.Muestra'!$D$8:$D$42))+1,""),ROW()-132)),"")</f>
        <v>1.0</v>
      </c>
      <c r="B134" s="114" t="str" cm="1">
        <f t="array" ref="B134">IFERROR(INDEX('03.Muestra'!$C$8:$C$42,SMALL(IF("Página Web"='03.Muestra'!$D$8:$D$42,ROW('03.Muestra'!$C$8:$C$42)-MIN(ROW('03.Muestra'!$D$8:$D$42))+1,""),ROW()-132)),"")</f>
        <v>Home - PortCastelló</v>
      </c>
      <c r="C134" s="114" t="str" cm="1">
        <f t="array" ref="C134">IFERROR(INDEX('03.Muestra'!$F$8:$F$42,SMALL(IF("Página Web"='03.Muestra'!$D$8:$D$42,ROW('03.Muestra'!$F$8:$F$42)-MIN(ROW('03.Muestra'!$D$8:$D$42))+1,""),ROW()-132)),"")</f>
        <v>https://www.portcastello.com/</v>
      </c>
      <c r="D134" s="130" t="str">
        <f t="shared" ref="D134:D167" si="7">IF(AND(B134&lt;&gt;"",C134&lt;&gt;""),"N/T","")</f>
        <v>N/T</v>
      </c>
      <c r="E134" s="107" t="str">
        <f t="shared" si="6"/>
        <v/>
      </c>
      <c r="F134" s="120" t="n">
        <f ca="1">COUNTIF($D133:INDIRECT("$D" &amp;  SUM(ROW()-1,'03.Muestra'!$D$45)-1),F133)</f>
        <v>33.0</v>
      </c>
      <c r="G134" s="120" t="n">
        <f ca="1">COUNTIF($D133:INDIRECT("$D" &amp;  SUM(ROW()-1,'03.Muestra'!$D$45)-1),G133)</f>
        <v>0.0</v>
      </c>
      <c r="H134" s="120" t="n">
        <f ca="1">COUNTIF($D133:INDIRECT("$D" &amp;  SUM(ROW()-1,'03.Muestra'!$D$45)-1),H133)</f>
        <v>0.0</v>
      </c>
      <c r="I134" s="120" t="n">
        <f ca="1">COUNTIF($D133:INDIRECT("$D" &amp;  SUM(ROW()-1,'03.Muestra'!$D$45)-1),I133)</f>
        <v>0.0</v>
      </c>
      <c r="J134" s="120" t="n">
        <f ca="1">COUNTIF($D133:INDIRECT("$D" &amp;  SUM(ROW()-1,'03.Muestra'!$D$45)-1),J133)</f>
        <v>0.0</v>
      </c>
      <c r="K134" s="230" t="n">
        <f ca="1">IF(COUNTIF('03.Muestra'!$D$8:$D$42,"Página Web")=0,0,COUNTBLANK($D133:INDIRECT("$D" &amp;  SUM(ROW()-1,COUNTIF('03.Muestra'!$D$8:$D$42,"Página Web"))-1)))</f>
        <v>0.0</v>
      </c>
      <c r="L134" s="19"/>
      <c r="M134" s="19"/>
      <c r="N134" s="19"/>
      <c r="O134" s="19"/>
      <c r="P134" s="19"/>
      <c r="Q134" s="19"/>
      <c r="R134" s="19"/>
      <c r="T134" s="19"/>
      <c r="U134" s="19"/>
      <c r="V134" s="19"/>
      <c r="W134" s="19"/>
      <c r="X134" s="19"/>
      <c r="Y134" s="19"/>
    </row>
    <row r="135" spans="1:25" ht="12" customHeight="1">
      <c r="A135" s="219" t="n" cm="1">
        <f t="array" ref="A135">IFERROR(INDEX('03.Muestra'!$B$8:$B$42,SMALL(IF("Página Web"='03.Muestra'!$D$8:$D$42,ROW('03.Muestra'!$B$8:$B$42)-MIN(ROW('03.Muestra'!$D$8:$D$42))+1,""),ROW()-132)),"")</f>
        <v>1.0</v>
      </c>
      <c r="B135" s="114" t="str" cm="1">
        <f t="array" ref="B135">IFERROR(INDEX('03.Muestra'!$C$8:$C$42,SMALL(IF("Página Web"='03.Muestra'!$D$8:$D$42,ROW('03.Muestra'!$C$8:$C$42)-MIN(ROW('03.Muestra'!$D$8:$D$42))+1,""),ROW()-132)),"")</f>
        <v>Home - PortCastelló</v>
      </c>
      <c r="C135" s="114" t="str" cm="1">
        <f t="array" ref="C135">IFERROR(INDEX('03.Muestra'!$F$8:$F$42,SMALL(IF("Página Web"='03.Muestra'!$D$8:$D$42,ROW('03.Muestra'!$F$8:$F$42)-MIN(ROW('03.Muestra'!$D$8:$D$42))+1,""),ROW()-132)),"")</f>
        <v>https://www.portcastello.com/</v>
      </c>
      <c r="D135" s="130" t="str">
        <f t="shared" si="7"/>
        <v>N/T</v>
      </c>
      <c r="E135" s="107" t="str">
        <f t="shared" si="6"/>
        <v/>
      </c>
      <c r="G135" s="19"/>
      <c r="H135" s="19"/>
      <c r="I135" s="19"/>
      <c r="J135" s="19"/>
      <c r="K135" s="228"/>
      <c r="L135" s="19"/>
      <c r="M135" s="19"/>
      <c r="N135" s="19"/>
      <c r="O135" s="19"/>
      <c r="P135" s="19"/>
      <c r="Q135" s="19"/>
      <c r="R135" s="19"/>
      <c r="T135" s="19"/>
      <c r="U135" s="19"/>
      <c r="V135" s="19"/>
      <c r="W135" s="19"/>
      <c r="X135" s="19"/>
      <c r="Y135" s="19"/>
    </row>
    <row r="136" spans="1:25" ht="12" customHeight="1">
      <c r="A136" s="219" t="n" cm="1">
        <f t="array" ref="A136">IFERROR(INDEX('03.Muestra'!$B$8:$B$42,SMALL(IF("Página Web"='03.Muestra'!$D$8:$D$42,ROW('03.Muestra'!$B$8:$B$42)-MIN(ROW('03.Muestra'!$D$8:$D$42))+1,""),ROW()-132)),"")</f>
        <v>1.0</v>
      </c>
      <c r="B136" s="114" t="str" cm="1">
        <f t="array" ref="B136">IFERROR(INDEX('03.Muestra'!$C$8:$C$42,SMALL(IF("Página Web"='03.Muestra'!$D$8:$D$42,ROW('03.Muestra'!$C$8:$C$42)-MIN(ROW('03.Muestra'!$D$8:$D$42))+1,""),ROW()-132)),"")</f>
        <v>Home - PortCastelló</v>
      </c>
      <c r="C136" s="114" t="str" cm="1">
        <f t="array" ref="C136">IFERROR(INDEX('03.Muestra'!$F$8:$F$42,SMALL(IF("Página Web"='03.Muestra'!$D$8:$D$42,ROW('03.Muestra'!$F$8:$F$42)-MIN(ROW('03.Muestra'!$D$8:$D$42))+1,""),ROW()-132)),"")</f>
        <v>https://www.portcastello.com/</v>
      </c>
      <c r="D136" s="130" t="str">
        <f t="shared" si="7"/>
        <v>N/T</v>
      </c>
      <c r="E136" s="107" t="str">
        <f t="shared" si="6"/>
        <v/>
      </c>
      <c r="G136" s="19"/>
      <c r="H136" s="19"/>
      <c r="I136" s="19"/>
      <c r="J136" s="19"/>
      <c r="K136" s="228"/>
      <c r="L136" s="19"/>
      <c r="M136" s="19"/>
      <c r="N136" s="19"/>
      <c r="O136" s="19"/>
      <c r="P136" s="19"/>
      <c r="Q136" s="19"/>
      <c r="R136" s="19"/>
      <c r="T136" s="19"/>
      <c r="U136" s="19"/>
      <c r="V136" s="19"/>
      <c r="W136" s="19"/>
      <c r="X136" s="19"/>
      <c r="Y136" s="19"/>
    </row>
    <row r="137" spans="1:25" ht="12" customHeight="1">
      <c r="A137" s="219" t="n" cm="1">
        <f t="array" ref="A137">IFERROR(INDEX('03.Muestra'!$B$8:$B$42,SMALL(IF("Página Web"='03.Muestra'!$D$8:$D$42,ROW('03.Muestra'!$B$8:$B$42)-MIN(ROW('03.Muestra'!$D$8:$D$42))+1,""),ROW()-132)),"")</f>
        <v>1.0</v>
      </c>
      <c r="B137" s="114" t="str" cm="1">
        <f t="array" ref="B137">IFERROR(INDEX('03.Muestra'!$C$8:$C$42,SMALL(IF("Página Web"='03.Muestra'!$D$8:$D$42,ROW('03.Muestra'!$C$8:$C$42)-MIN(ROW('03.Muestra'!$D$8:$D$42))+1,""),ROW()-132)),"")</f>
        <v>Home - PortCastelló</v>
      </c>
      <c r="C137" s="114" t="str" cm="1">
        <f t="array" ref="C137">IFERROR(INDEX('03.Muestra'!$F$8:$F$42,SMALL(IF("Página Web"='03.Muestra'!$D$8:$D$42,ROW('03.Muestra'!$F$8:$F$42)-MIN(ROW('03.Muestra'!$D$8:$D$42))+1,""),ROW()-132)),"")</f>
        <v>https://www.portcastello.com/</v>
      </c>
      <c r="D137" s="130" t="str">
        <f t="shared" si="7"/>
        <v>N/T</v>
      </c>
      <c r="E137" s="107" t="str">
        <f t="shared" si="6"/>
        <v/>
      </c>
      <c r="G137" s="19"/>
      <c r="H137" s="19"/>
      <c r="I137" s="19"/>
      <c r="J137" s="19"/>
      <c r="K137" s="228"/>
      <c r="L137" s="19"/>
      <c r="M137" s="19"/>
      <c r="N137" s="19"/>
      <c r="O137" s="19"/>
      <c r="P137" s="19"/>
      <c r="Q137" s="19"/>
      <c r="R137" s="19"/>
      <c r="T137" s="19"/>
      <c r="U137" s="19"/>
      <c r="V137" s="19"/>
      <c r="W137" s="19"/>
      <c r="X137" s="19"/>
      <c r="Y137" s="19"/>
    </row>
    <row r="138" spans="1:25" ht="12" customHeight="1">
      <c r="A138" s="219" t="n" cm="1">
        <f t="array" ref="A138">IFERROR(INDEX('03.Muestra'!$B$8:$B$42,SMALL(IF("Página Web"='03.Muestra'!$D$8:$D$42,ROW('03.Muestra'!$B$8:$B$42)-MIN(ROW('03.Muestra'!$D$8:$D$42))+1,""),ROW()-132)),"")</f>
        <v>1.0</v>
      </c>
      <c r="B138" s="114" t="str" cm="1">
        <f t="array" ref="B138">IFERROR(INDEX('03.Muestra'!$C$8:$C$42,SMALL(IF("Página Web"='03.Muestra'!$D$8:$D$42,ROW('03.Muestra'!$C$8:$C$42)-MIN(ROW('03.Muestra'!$D$8:$D$42))+1,""),ROW()-132)),"")</f>
        <v>Home - PortCastelló</v>
      </c>
      <c r="C138" s="114" t="str" cm="1">
        <f t="array" ref="C138">IFERROR(INDEX('03.Muestra'!$F$8:$F$42,SMALL(IF("Página Web"='03.Muestra'!$D$8:$D$42,ROW('03.Muestra'!$F$8:$F$42)-MIN(ROW('03.Muestra'!$D$8:$D$42))+1,""),ROW()-132)),"")</f>
        <v>https://www.portcastello.com/</v>
      </c>
      <c r="D138" s="130" t="str">
        <f t="shared" si="7"/>
        <v>N/T</v>
      </c>
      <c r="E138" s="107" t="str">
        <f t="shared" si="6"/>
        <v/>
      </c>
      <c r="G138" s="19"/>
      <c r="H138" s="19"/>
      <c r="I138" s="19"/>
      <c r="J138" s="19"/>
      <c r="K138" s="228"/>
      <c r="L138" s="19"/>
      <c r="M138" s="19"/>
      <c r="N138" s="19"/>
      <c r="O138" s="19"/>
      <c r="P138" s="19"/>
      <c r="Q138" s="19"/>
      <c r="R138" s="19"/>
      <c r="T138" s="19"/>
      <c r="U138" s="19"/>
      <c r="V138" s="19"/>
      <c r="W138" s="19"/>
      <c r="X138" s="19"/>
      <c r="Y138" s="19"/>
    </row>
    <row r="139" spans="1:25" ht="12" customHeight="1">
      <c r="A139" s="219" t="n" cm="1">
        <f t="array" ref="A139">IFERROR(INDEX('03.Muestra'!$B$8:$B$42,SMALL(IF("Página Web"='03.Muestra'!$D$8:$D$42,ROW('03.Muestra'!$B$8:$B$42)-MIN(ROW('03.Muestra'!$D$8:$D$42))+1,""),ROW()-132)),"")</f>
        <v>1.0</v>
      </c>
      <c r="B139" s="114" t="str" cm="1">
        <f t="array" ref="B139">IFERROR(INDEX('03.Muestra'!$C$8:$C$42,SMALL(IF("Página Web"='03.Muestra'!$D$8:$D$42,ROW('03.Muestra'!$C$8:$C$42)-MIN(ROW('03.Muestra'!$D$8:$D$42))+1,""),ROW()-132)),"")</f>
        <v>Home - PortCastelló</v>
      </c>
      <c r="C139" s="114" t="str" cm="1">
        <f t="array" ref="C139">IFERROR(INDEX('03.Muestra'!$F$8:$F$42,SMALL(IF("Página Web"='03.Muestra'!$D$8:$D$42,ROW('03.Muestra'!$F$8:$F$42)-MIN(ROW('03.Muestra'!$D$8:$D$42))+1,""),ROW()-132)),"")</f>
        <v>https://www.portcastello.com/</v>
      </c>
      <c r="D139" s="130" t="str">
        <f t="shared" si="7"/>
        <v>N/T</v>
      </c>
      <c r="E139" s="107" t="str">
        <f t="shared" si="6"/>
        <v/>
      </c>
      <c r="F139" s="19"/>
      <c r="G139" s="19"/>
      <c r="H139" s="19"/>
      <c r="I139" s="19"/>
      <c r="J139" s="19"/>
      <c r="K139" s="228"/>
      <c r="L139" s="19"/>
      <c r="M139" s="19"/>
      <c r="N139" s="19"/>
      <c r="O139" s="19"/>
      <c r="P139" s="19"/>
      <c r="Q139" s="19"/>
      <c r="R139" s="19"/>
      <c r="S139" s="19"/>
      <c r="T139" s="19"/>
      <c r="U139" s="19"/>
      <c r="V139" s="19"/>
      <c r="W139" s="19"/>
      <c r="X139" s="19"/>
      <c r="Y139" s="19"/>
    </row>
    <row r="140" spans="1:25" ht="12" customHeight="1">
      <c r="A140" s="219" t="n" cm="1">
        <f t="array" ref="A140">IFERROR(INDEX('03.Muestra'!$B$8:$B$42,SMALL(IF("Página Web"='03.Muestra'!$D$8:$D$42,ROW('03.Muestra'!$B$8:$B$42)-MIN(ROW('03.Muestra'!$D$8:$D$42))+1,""),ROW()-132)),"")</f>
        <v>1.0</v>
      </c>
      <c r="B140" s="114" t="str" cm="1">
        <f t="array" ref="B140">IFERROR(INDEX('03.Muestra'!$C$8:$C$42,SMALL(IF("Página Web"='03.Muestra'!$D$8:$D$42,ROW('03.Muestra'!$C$8:$C$42)-MIN(ROW('03.Muestra'!$D$8:$D$42))+1,""),ROW()-132)),"")</f>
        <v>Home - PortCastelló</v>
      </c>
      <c r="C140" s="114" t="str" cm="1">
        <f t="array" ref="C140">IFERROR(INDEX('03.Muestra'!$F$8:$F$42,SMALL(IF("Página Web"='03.Muestra'!$D$8:$D$42,ROW('03.Muestra'!$F$8:$F$42)-MIN(ROW('03.Muestra'!$D$8:$D$42))+1,""),ROW()-132)),"")</f>
        <v>https://www.portcastello.com/</v>
      </c>
      <c r="D140" s="130" t="str">
        <f t="shared" si="7"/>
        <v>N/T</v>
      </c>
      <c r="E140" s="107" t="str">
        <f t="shared" si="6"/>
        <v/>
      </c>
      <c r="F140" s="19"/>
      <c r="G140" s="19"/>
      <c r="H140" s="19"/>
      <c r="I140" s="19"/>
      <c r="J140" s="19"/>
      <c r="K140" s="228"/>
      <c r="L140" s="19"/>
      <c r="M140" s="19"/>
      <c r="N140" s="19"/>
      <c r="O140" s="19"/>
      <c r="P140" s="19"/>
      <c r="Q140" s="19"/>
      <c r="R140" s="19"/>
      <c r="S140" s="19"/>
      <c r="T140" s="19"/>
      <c r="U140" s="19"/>
      <c r="V140" s="19"/>
      <c r="W140" s="19"/>
      <c r="X140" s="19"/>
      <c r="Y140" s="19"/>
    </row>
    <row r="141" spans="1:25" ht="12" customHeight="1">
      <c r="A141" s="219" t="n" cm="1">
        <f t="array" ref="A141">IFERROR(INDEX('03.Muestra'!$B$8:$B$42,SMALL(IF("Página Web"='03.Muestra'!$D$8:$D$42,ROW('03.Muestra'!$B$8:$B$42)-MIN(ROW('03.Muestra'!$D$8:$D$42))+1,""),ROW()-132)),"")</f>
        <v>1.0</v>
      </c>
      <c r="B141" s="114" t="str" cm="1">
        <f t="array" ref="B141">IFERROR(INDEX('03.Muestra'!$C$8:$C$42,SMALL(IF("Página Web"='03.Muestra'!$D$8:$D$42,ROW('03.Muestra'!$C$8:$C$42)-MIN(ROW('03.Muestra'!$D$8:$D$42))+1,""),ROW()-132)),"")</f>
        <v>Home - PortCastelló</v>
      </c>
      <c r="C141" s="114" t="str" cm="1">
        <f t="array" ref="C141">IFERROR(INDEX('03.Muestra'!$F$8:$F$42,SMALL(IF("Página Web"='03.Muestra'!$D$8:$D$42,ROW('03.Muestra'!$F$8:$F$42)-MIN(ROW('03.Muestra'!$D$8:$D$42))+1,""),ROW()-132)),"")</f>
        <v>https://www.portcastello.com/</v>
      </c>
      <c r="D141" s="130" t="str">
        <f t="shared" si="7"/>
        <v>N/T</v>
      </c>
      <c r="E141" s="107" t="str">
        <f t="shared" si="6"/>
        <v/>
      </c>
      <c r="F141" s="19"/>
      <c r="G141" s="19"/>
      <c r="H141" s="19"/>
      <c r="I141" s="19"/>
      <c r="J141" s="19"/>
      <c r="K141" s="228"/>
      <c r="L141" s="19"/>
      <c r="M141" s="19"/>
      <c r="N141" s="19"/>
      <c r="O141" s="19"/>
      <c r="P141" s="19"/>
      <c r="Q141" s="19"/>
      <c r="R141" s="19"/>
      <c r="S141" s="19"/>
      <c r="T141" s="19"/>
      <c r="U141" s="19"/>
      <c r="V141" s="19"/>
      <c r="W141" s="19"/>
      <c r="X141" s="19"/>
      <c r="Y141" s="19"/>
    </row>
    <row r="142" spans="1:25" ht="12" customHeight="1">
      <c r="A142" s="219" t="n" cm="1">
        <f t="array" ref="A142">IFERROR(INDEX('03.Muestra'!$B$8:$B$42,SMALL(IF("Página Web"='03.Muestra'!$D$8:$D$42,ROW('03.Muestra'!$B$8:$B$42)-MIN(ROW('03.Muestra'!$D$8:$D$42))+1,""),ROW()-132)),"")</f>
        <v>1.0</v>
      </c>
      <c r="B142" s="114" t="str" cm="1">
        <f t="array" ref="B142">IFERROR(INDEX('03.Muestra'!$C$8:$C$42,SMALL(IF("Página Web"='03.Muestra'!$D$8:$D$42,ROW('03.Muestra'!$C$8:$C$42)-MIN(ROW('03.Muestra'!$D$8:$D$42))+1,""),ROW()-132)),"")</f>
        <v>Home - PortCastelló</v>
      </c>
      <c r="C142" s="114" t="str" cm="1">
        <f t="array" ref="C142">IFERROR(INDEX('03.Muestra'!$F$8:$F$42,SMALL(IF("Página Web"='03.Muestra'!$D$8:$D$42,ROW('03.Muestra'!$F$8:$F$42)-MIN(ROW('03.Muestra'!$D$8:$D$42))+1,""),ROW()-132)),"")</f>
        <v>https://www.portcastello.com/</v>
      </c>
      <c r="D142" s="130" t="str">
        <f t="shared" si="7"/>
        <v>N/T</v>
      </c>
      <c r="E142" s="107" t="str">
        <f t="shared" si="6"/>
        <v/>
      </c>
      <c r="F142" s="19"/>
      <c r="G142" s="19"/>
      <c r="H142" s="19"/>
      <c r="I142" s="19"/>
      <c r="J142" s="19"/>
      <c r="K142" s="228"/>
      <c r="L142" s="19"/>
      <c r="M142" s="19"/>
      <c r="N142" s="19"/>
      <c r="O142" s="19"/>
      <c r="P142" s="19"/>
      <c r="Q142" s="19"/>
      <c r="R142" s="19"/>
      <c r="S142" s="19"/>
      <c r="T142" s="19"/>
      <c r="U142" s="19"/>
      <c r="V142" s="19"/>
      <c r="W142" s="19"/>
      <c r="X142" s="19"/>
      <c r="Y142" s="19"/>
    </row>
    <row r="143" spans="1:25" ht="12" customHeight="1">
      <c r="A143" s="219" t="n" cm="1">
        <f t="array" ref="A143">IFERROR(INDEX('03.Muestra'!$B$8:$B$42,SMALL(IF("Página Web"='03.Muestra'!$D$8:$D$42,ROW('03.Muestra'!$B$8:$B$42)-MIN(ROW('03.Muestra'!$D$8:$D$42))+1,""),ROW()-132)),"")</f>
        <v>1.0</v>
      </c>
      <c r="B143" s="114" t="str" cm="1">
        <f t="array" ref="B143">IFERROR(INDEX('03.Muestra'!$C$8:$C$42,SMALL(IF("Página Web"='03.Muestra'!$D$8:$D$42,ROW('03.Muestra'!$C$8:$C$42)-MIN(ROW('03.Muestra'!$D$8:$D$42))+1,""),ROW()-132)),"")</f>
        <v>Home - PortCastelló</v>
      </c>
      <c r="C143" s="114" t="str" cm="1">
        <f t="array" ref="C143">IFERROR(INDEX('03.Muestra'!$F$8:$F$42,SMALL(IF("Página Web"='03.Muestra'!$D$8:$D$42,ROW('03.Muestra'!$F$8:$F$42)-MIN(ROW('03.Muestra'!$D$8:$D$42))+1,""),ROW()-132)),"")</f>
        <v>https://www.portcastello.com/</v>
      </c>
      <c r="D143" s="130" t="str">
        <f t="shared" si="7"/>
        <v>N/T</v>
      </c>
      <c r="E143" s="107" t="str">
        <f t="shared" si="6"/>
        <v/>
      </c>
      <c r="F143" s="19"/>
      <c r="G143" s="19"/>
      <c r="H143" s="19"/>
      <c r="I143" s="19"/>
      <c r="J143" s="19"/>
      <c r="K143" s="228"/>
      <c r="L143" s="19"/>
      <c r="M143" s="19"/>
      <c r="N143" s="19"/>
      <c r="O143" s="19"/>
      <c r="P143" s="19"/>
      <c r="Q143" s="19"/>
      <c r="R143" s="19"/>
      <c r="S143" s="19"/>
      <c r="T143" s="19"/>
      <c r="U143" s="19"/>
      <c r="V143" s="19"/>
      <c r="W143" s="19"/>
      <c r="X143" s="19"/>
      <c r="Y143" s="19"/>
    </row>
    <row r="144" spans="1:25" ht="12" customHeight="1">
      <c r="A144" s="219" t="n" cm="1">
        <f t="array" ref="A144">IFERROR(INDEX('03.Muestra'!$B$8:$B$42,SMALL(IF("Página Web"='03.Muestra'!$D$8:$D$42,ROW('03.Muestra'!$B$8:$B$42)-MIN(ROW('03.Muestra'!$D$8:$D$42))+1,""),ROW()-132)),"")</f>
        <v>1.0</v>
      </c>
      <c r="B144" s="114" t="str" cm="1">
        <f t="array" ref="B144">IFERROR(INDEX('03.Muestra'!$C$8:$C$42,SMALL(IF("Página Web"='03.Muestra'!$D$8:$D$42,ROW('03.Muestra'!$C$8:$C$42)-MIN(ROW('03.Muestra'!$D$8:$D$42))+1,""),ROW()-132)),"")</f>
        <v>Home - PortCastelló</v>
      </c>
      <c r="C144" s="114" t="str" cm="1">
        <f t="array" ref="C144">IFERROR(INDEX('03.Muestra'!$F$8:$F$42,SMALL(IF("Página Web"='03.Muestra'!$D$8:$D$42,ROW('03.Muestra'!$F$8:$F$42)-MIN(ROW('03.Muestra'!$D$8:$D$42))+1,""),ROW()-132)),"")</f>
        <v>https://www.portcastello.com/</v>
      </c>
      <c r="D144" s="130" t="str">
        <f t="shared" si="7"/>
        <v>N/T</v>
      </c>
      <c r="E144" s="107" t="str">
        <f t="shared" si="6"/>
        <v/>
      </c>
      <c r="F144" s="19"/>
      <c r="G144" s="19"/>
      <c r="H144" s="19"/>
      <c r="I144" s="19"/>
      <c r="J144" s="19"/>
      <c r="K144" s="228"/>
      <c r="L144" s="19"/>
      <c r="M144" s="19"/>
      <c r="N144" s="19"/>
      <c r="O144" s="19"/>
      <c r="P144" s="19"/>
      <c r="Q144" s="19"/>
      <c r="R144" s="19"/>
      <c r="S144" s="19"/>
      <c r="T144" s="19"/>
      <c r="U144" s="19"/>
      <c r="V144" s="19"/>
      <c r="W144" s="19"/>
      <c r="X144" s="19"/>
      <c r="Y144" s="19"/>
    </row>
    <row r="145" spans="1:25" ht="12" customHeight="1">
      <c r="A145" s="219" t="n" cm="1">
        <f t="array" ref="A145">IFERROR(INDEX('03.Muestra'!$B$8:$B$42,SMALL(IF("Página Web"='03.Muestra'!$D$8:$D$42,ROW('03.Muestra'!$B$8:$B$42)-MIN(ROW('03.Muestra'!$D$8:$D$42))+1,""),ROW()-132)),"")</f>
        <v>1.0</v>
      </c>
      <c r="B145" s="114" t="str" cm="1">
        <f t="array" ref="B145">IFERROR(INDEX('03.Muestra'!$C$8:$C$42,SMALL(IF("Página Web"='03.Muestra'!$D$8:$D$42,ROW('03.Muestra'!$C$8:$C$42)-MIN(ROW('03.Muestra'!$D$8:$D$42))+1,""),ROW()-132)),"")</f>
        <v>Home - PortCastelló</v>
      </c>
      <c r="C145" s="114" t="str" cm="1">
        <f t="array" ref="C145">IFERROR(INDEX('03.Muestra'!$F$8:$F$42,SMALL(IF("Página Web"='03.Muestra'!$D$8:$D$42,ROW('03.Muestra'!$F$8:$F$42)-MIN(ROW('03.Muestra'!$D$8:$D$42))+1,""),ROW()-132)),"")</f>
        <v>https://www.portcastello.com/</v>
      </c>
      <c r="D145" s="130" t="str">
        <f t="shared" si="7"/>
        <v>N/T</v>
      </c>
      <c r="E145" s="107" t="str">
        <f t="shared" si="6"/>
        <v/>
      </c>
      <c r="F145" s="19"/>
      <c r="G145" s="19"/>
      <c r="H145" s="19"/>
      <c r="I145" s="19"/>
      <c r="J145" s="19"/>
      <c r="K145" s="228"/>
      <c r="L145" s="19"/>
      <c r="M145" s="19"/>
      <c r="N145" s="19"/>
      <c r="O145" s="19"/>
      <c r="P145" s="19"/>
      <c r="Q145" s="19"/>
      <c r="R145" s="19"/>
      <c r="S145" s="19"/>
      <c r="T145" s="19"/>
      <c r="U145" s="19"/>
      <c r="V145" s="19"/>
      <c r="W145" s="19"/>
      <c r="X145" s="19"/>
      <c r="Y145" s="19"/>
    </row>
    <row r="146" spans="1:25" ht="12" customHeight="1">
      <c r="A146" s="219" t="n" cm="1">
        <f t="array" ref="A146">IFERROR(INDEX('03.Muestra'!$B$8:$B$42,SMALL(IF("Página Web"='03.Muestra'!$D$8:$D$42,ROW('03.Muestra'!$B$8:$B$42)-MIN(ROW('03.Muestra'!$D$8:$D$42))+1,""),ROW()-132)),"")</f>
        <v>1.0</v>
      </c>
      <c r="B146" s="114" t="str" cm="1">
        <f t="array" ref="B146">IFERROR(INDEX('03.Muestra'!$C$8:$C$42,SMALL(IF("Página Web"='03.Muestra'!$D$8:$D$42,ROW('03.Muestra'!$C$8:$C$42)-MIN(ROW('03.Muestra'!$D$8:$D$42))+1,""),ROW()-132)),"")</f>
        <v>Home - PortCastelló</v>
      </c>
      <c r="C146" s="114" t="str" cm="1">
        <f t="array" ref="C146">IFERROR(INDEX('03.Muestra'!$F$8:$F$42,SMALL(IF("Página Web"='03.Muestra'!$D$8:$D$42,ROW('03.Muestra'!$F$8:$F$42)-MIN(ROW('03.Muestra'!$D$8:$D$42))+1,""),ROW()-132)),"")</f>
        <v>https://www.portcastello.com/</v>
      </c>
      <c r="D146" s="130" t="str">
        <f t="shared" si="7"/>
        <v>N/T</v>
      </c>
      <c r="E146" s="107" t="str">
        <f t="shared" si="6"/>
        <v/>
      </c>
      <c r="F146" s="19"/>
      <c r="G146" s="19"/>
      <c r="H146" s="19"/>
      <c r="I146" s="19"/>
      <c r="J146" s="19"/>
      <c r="K146" s="228"/>
      <c r="L146" s="19"/>
      <c r="M146" s="19"/>
      <c r="N146" s="19"/>
      <c r="O146" s="19"/>
      <c r="P146" s="19"/>
      <c r="Q146" s="19"/>
      <c r="R146" s="19"/>
      <c r="S146" s="19"/>
      <c r="T146" s="19"/>
      <c r="U146" s="19"/>
      <c r="V146" s="19"/>
      <c r="W146" s="19"/>
      <c r="X146" s="19"/>
      <c r="Y146" s="19"/>
    </row>
    <row r="147" spans="1:25" ht="12" customHeight="1">
      <c r="A147" s="219" t="n" cm="1">
        <f t="array" ref="A147">IFERROR(INDEX('03.Muestra'!$B$8:$B$42,SMALL(IF("Página Web"='03.Muestra'!$D$8:$D$42,ROW('03.Muestra'!$B$8:$B$42)-MIN(ROW('03.Muestra'!$D$8:$D$42))+1,""),ROW()-132)),"")</f>
        <v>1.0</v>
      </c>
      <c r="B147" s="114" t="str" cm="1">
        <f t="array" ref="B147">IFERROR(INDEX('03.Muestra'!$C$8:$C$42,SMALL(IF("Página Web"='03.Muestra'!$D$8:$D$42,ROW('03.Muestra'!$C$8:$C$42)-MIN(ROW('03.Muestra'!$D$8:$D$42))+1,""),ROW()-132)),"")</f>
        <v>Home - PortCastelló</v>
      </c>
      <c r="C147" s="114" t="str" cm="1">
        <f t="array" ref="C147">IFERROR(INDEX('03.Muestra'!$F$8:$F$42,SMALL(IF("Página Web"='03.Muestra'!$D$8:$D$42,ROW('03.Muestra'!$F$8:$F$42)-MIN(ROW('03.Muestra'!$D$8:$D$42))+1,""),ROW()-132)),"")</f>
        <v>https://www.portcastello.com/</v>
      </c>
      <c r="D147" s="130" t="str">
        <f t="shared" si="7"/>
        <v>N/T</v>
      </c>
      <c r="E147" s="107" t="str">
        <f t="shared" si="6"/>
        <v/>
      </c>
      <c r="F147" s="19"/>
      <c r="G147" s="19"/>
      <c r="H147" s="19"/>
      <c r="I147" s="19"/>
      <c r="J147" s="19"/>
      <c r="K147" s="228"/>
      <c r="L147" s="19"/>
      <c r="M147" s="19"/>
      <c r="N147" s="19"/>
      <c r="O147" s="19"/>
      <c r="P147" s="19"/>
      <c r="Q147" s="19"/>
      <c r="R147" s="19"/>
      <c r="S147" s="19"/>
      <c r="T147" s="19"/>
      <c r="U147" s="19"/>
      <c r="V147" s="19"/>
      <c r="W147" s="19"/>
      <c r="X147" s="19"/>
      <c r="Y147" s="19"/>
    </row>
    <row r="148" spans="1:25" ht="12" customHeight="1">
      <c r="A148" s="219" t="n" cm="1">
        <f t="array" ref="A148">IFERROR(INDEX('03.Muestra'!$B$8:$B$42,SMALL(IF("Página Web"='03.Muestra'!$D$8:$D$42,ROW('03.Muestra'!$B$8:$B$42)-MIN(ROW('03.Muestra'!$D$8:$D$42))+1,""),ROW()-132)),"")</f>
        <v>1.0</v>
      </c>
      <c r="B148" s="114" t="str" cm="1">
        <f t="array" ref="B148">IFERROR(INDEX('03.Muestra'!$C$8:$C$42,SMALL(IF("Página Web"='03.Muestra'!$D$8:$D$42,ROW('03.Muestra'!$C$8:$C$42)-MIN(ROW('03.Muestra'!$D$8:$D$42))+1,""),ROW()-132)),"")</f>
        <v>Home - PortCastelló</v>
      </c>
      <c r="C148" s="114" t="str" cm="1">
        <f t="array" ref="C148">IFERROR(INDEX('03.Muestra'!$F$8:$F$42,SMALL(IF("Página Web"='03.Muestra'!$D$8:$D$42,ROW('03.Muestra'!$F$8:$F$42)-MIN(ROW('03.Muestra'!$D$8:$D$42))+1,""),ROW()-132)),"")</f>
        <v>https://www.portcastello.com/</v>
      </c>
      <c r="D148" s="130" t="str">
        <f t="shared" si="7"/>
        <v>N/T</v>
      </c>
      <c r="E148" s="107" t="str">
        <f t="shared" si="6"/>
        <v/>
      </c>
      <c r="F148" s="19"/>
      <c r="G148" s="19"/>
      <c r="H148" s="19"/>
      <c r="I148" s="19"/>
      <c r="J148" s="19"/>
      <c r="K148" s="228"/>
      <c r="L148" s="19"/>
      <c r="M148" s="19"/>
      <c r="N148" s="19"/>
      <c r="O148" s="19"/>
      <c r="P148" s="19"/>
      <c r="Q148" s="19"/>
      <c r="R148" s="19"/>
      <c r="S148" s="19"/>
      <c r="T148" s="19"/>
      <c r="U148" s="19"/>
      <c r="V148" s="19"/>
      <c r="W148" s="19"/>
      <c r="X148" s="19"/>
      <c r="Y148" s="19"/>
    </row>
    <row r="149" spans="1:25" ht="12" customHeight="1">
      <c r="A149" s="219" t="n" cm="1">
        <f t="array" ref="A149">IFERROR(INDEX('03.Muestra'!$B$8:$B$42,SMALL(IF("Página Web"='03.Muestra'!$D$8:$D$42,ROW('03.Muestra'!$B$8:$B$42)-MIN(ROW('03.Muestra'!$D$8:$D$42))+1,""),ROW()-132)),"")</f>
        <v>1.0</v>
      </c>
      <c r="B149" s="114" t="str" cm="1">
        <f t="array" ref="B149">IFERROR(INDEX('03.Muestra'!$C$8:$C$42,SMALL(IF("Página Web"='03.Muestra'!$D$8:$D$42,ROW('03.Muestra'!$C$8:$C$42)-MIN(ROW('03.Muestra'!$D$8:$D$42))+1,""),ROW()-132)),"")</f>
        <v>Home - PortCastelló</v>
      </c>
      <c r="C149" s="114" t="str" cm="1">
        <f t="array" ref="C149">IFERROR(INDEX('03.Muestra'!$F$8:$F$42,SMALL(IF("Página Web"='03.Muestra'!$D$8:$D$42,ROW('03.Muestra'!$F$8:$F$42)-MIN(ROW('03.Muestra'!$D$8:$D$42))+1,""),ROW()-132)),"")</f>
        <v>https://www.portcastello.com/</v>
      </c>
      <c r="D149" s="130" t="str">
        <f t="shared" si="7"/>
        <v>N/T</v>
      </c>
      <c r="E149" s="107" t="str">
        <f t="shared" si="6"/>
        <v/>
      </c>
      <c r="F149" s="19"/>
      <c r="G149" s="19"/>
      <c r="H149" s="19"/>
      <c r="I149" s="19"/>
      <c r="J149" s="19"/>
      <c r="K149" s="228"/>
      <c r="L149" s="19"/>
      <c r="M149" s="19"/>
      <c r="N149" s="19"/>
      <c r="O149" s="19"/>
      <c r="P149" s="19"/>
      <c r="Q149" s="19"/>
      <c r="R149" s="19"/>
      <c r="S149" s="19"/>
      <c r="T149" s="19"/>
      <c r="U149" s="19"/>
      <c r="V149" s="19"/>
      <c r="W149" s="19"/>
      <c r="X149" s="19"/>
      <c r="Y149" s="19"/>
    </row>
    <row r="150" spans="1:25" ht="12" customHeight="1">
      <c r="A150" s="219" t="n" cm="1">
        <f t="array" ref="A150">IFERROR(INDEX('03.Muestra'!$B$8:$B$42,SMALL(IF("Página Web"='03.Muestra'!$D$8:$D$42,ROW('03.Muestra'!$B$8:$B$42)-MIN(ROW('03.Muestra'!$D$8:$D$42))+1,""),ROW()-132)),"")</f>
        <v>1.0</v>
      </c>
      <c r="B150" s="114" t="str" cm="1">
        <f t="array" ref="B150">IFERROR(INDEX('03.Muestra'!$C$8:$C$42,SMALL(IF("Página Web"='03.Muestra'!$D$8:$D$42,ROW('03.Muestra'!$C$8:$C$42)-MIN(ROW('03.Muestra'!$D$8:$D$42))+1,""),ROW()-132)),"")</f>
        <v>Home - PortCastelló</v>
      </c>
      <c r="C150" s="114" t="str" cm="1">
        <f t="array" ref="C150">IFERROR(INDEX('03.Muestra'!$F$8:$F$42,SMALL(IF("Página Web"='03.Muestra'!$D$8:$D$42,ROW('03.Muestra'!$F$8:$F$42)-MIN(ROW('03.Muestra'!$D$8:$D$42))+1,""),ROW()-132)),"")</f>
        <v>https://www.portcastello.com/</v>
      </c>
      <c r="D150" s="130" t="str">
        <f t="shared" si="7"/>
        <v>N/T</v>
      </c>
      <c r="E150" s="107" t="str">
        <f t="shared" si="6"/>
        <v/>
      </c>
      <c r="F150" s="19"/>
      <c r="G150" s="19"/>
      <c r="H150" s="19"/>
      <c r="I150" s="19"/>
      <c r="J150" s="19"/>
      <c r="K150" s="228"/>
      <c r="L150" s="19"/>
      <c r="M150" s="19"/>
      <c r="N150" s="19"/>
      <c r="O150" s="19"/>
      <c r="P150" s="19"/>
      <c r="Q150" s="19"/>
      <c r="R150" s="19"/>
      <c r="S150" s="19"/>
      <c r="T150" s="19"/>
      <c r="U150" s="19"/>
      <c r="V150" s="19"/>
      <c r="W150" s="19"/>
      <c r="X150" s="19"/>
      <c r="Y150" s="19"/>
    </row>
    <row r="151" spans="1:25" ht="12" customHeight="1">
      <c r="A151" s="219" t="n" cm="1">
        <f t="array" ref="A151">IFERROR(INDEX('03.Muestra'!$B$8:$B$42,SMALL(IF("Página Web"='03.Muestra'!$D$8:$D$42,ROW('03.Muestra'!$B$8:$B$42)-MIN(ROW('03.Muestra'!$D$8:$D$42))+1,""),ROW()-132)),"")</f>
        <v>1.0</v>
      </c>
      <c r="B151" s="114" t="str" cm="1">
        <f t="array" ref="B151">IFERROR(INDEX('03.Muestra'!$C$8:$C$42,SMALL(IF("Página Web"='03.Muestra'!$D$8:$D$42,ROW('03.Muestra'!$C$8:$C$42)-MIN(ROW('03.Muestra'!$D$8:$D$42))+1,""),ROW()-132)),"")</f>
        <v>Home - PortCastelló</v>
      </c>
      <c r="C151" s="114" t="str" cm="1">
        <f t="array" ref="C151">IFERROR(INDEX('03.Muestra'!$F$8:$F$42,SMALL(IF("Página Web"='03.Muestra'!$D$8:$D$42,ROW('03.Muestra'!$F$8:$F$42)-MIN(ROW('03.Muestra'!$D$8:$D$42))+1,""),ROW()-132)),"")</f>
        <v>https://www.portcastello.com/</v>
      </c>
      <c r="D151" s="130" t="str">
        <f t="shared" si="7"/>
        <v>N/T</v>
      </c>
      <c r="E151" s="107" t="str">
        <f t="shared" si="6"/>
        <v/>
      </c>
      <c r="F151" s="19"/>
      <c r="G151" s="19"/>
      <c r="H151" s="19"/>
      <c r="I151" s="19"/>
      <c r="J151" s="19"/>
      <c r="K151" s="228"/>
      <c r="L151" s="19"/>
      <c r="M151" s="19"/>
      <c r="N151" s="19"/>
      <c r="O151" s="19"/>
      <c r="P151" s="19"/>
      <c r="Q151" s="19"/>
      <c r="R151" s="19"/>
      <c r="S151" s="19"/>
      <c r="T151" s="19"/>
      <c r="U151" s="19"/>
      <c r="V151" s="19"/>
      <c r="W151" s="19"/>
      <c r="X151" s="19"/>
      <c r="Y151" s="19"/>
    </row>
    <row r="152" spans="1:25" ht="12" customHeight="1">
      <c r="A152" s="219" t="n" cm="1">
        <f t="array" ref="A152">IFERROR(INDEX('03.Muestra'!$B$8:$B$42,SMALL(IF("Página Web"='03.Muestra'!$D$8:$D$42,ROW('03.Muestra'!$B$8:$B$42)-MIN(ROW('03.Muestra'!$D$8:$D$42))+1,""),ROW()-132)),"")</f>
        <v>1.0</v>
      </c>
      <c r="B152" s="114" t="str" cm="1">
        <f t="array" ref="B152">IFERROR(INDEX('03.Muestra'!$C$8:$C$42,SMALL(IF("Página Web"='03.Muestra'!$D$8:$D$42,ROW('03.Muestra'!$C$8:$C$42)-MIN(ROW('03.Muestra'!$D$8:$D$42))+1,""),ROW()-132)),"")</f>
        <v>Home - PortCastelló</v>
      </c>
      <c r="C152" s="114" t="str" cm="1">
        <f t="array" ref="C152">IFERROR(INDEX('03.Muestra'!$F$8:$F$42,SMALL(IF("Página Web"='03.Muestra'!$D$8:$D$42,ROW('03.Muestra'!$F$8:$F$42)-MIN(ROW('03.Muestra'!$D$8:$D$42))+1,""),ROW()-132)),"")</f>
        <v>https://www.portcastello.com/</v>
      </c>
      <c r="D152" s="130" t="str">
        <f t="shared" si="7"/>
        <v>N/T</v>
      </c>
      <c r="E152" s="107" t="str">
        <f t="shared" si="6"/>
        <v/>
      </c>
      <c r="F152" s="19"/>
      <c r="G152" s="19"/>
      <c r="H152" s="19"/>
      <c r="I152" s="19"/>
      <c r="J152" s="19"/>
      <c r="K152" s="228"/>
      <c r="L152" s="19"/>
      <c r="M152" s="19"/>
      <c r="N152" s="19"/>
      <c r="O152" s="19"/>
      <c r="P152" s="19"/>
      <c r="Q152" s="19"/>
      <c r="R152" s="19"/>
      <c r="S152" s="19"/>
      <c r="T152" s="19"/>
      <c r="U152" s="19"/>
      <c r="V152" s="19"/>
      <c r="W152" s="19"/>
      <c r="X152" s="19"/>
      <c r="Y152" s="19"/>
    </row>
    <row r="153" spans="1:25" ht="12" customHeight="1">
      <c r="A153" s="219" t="n" cm="1">
        <f t="array" ref="A153">IFERROR(INDEX('03.Muestra'!$B$8:$B$42,SMALL(IF("Página Web"='03.Muestra'!$D$8:$D$42,ROW('03.Muestra'!$B$8:$B$42)-MIN(ROW('03.Muestra'!$D$8:$D$42))+1,""),ROW()-132)),"")</f>
        <v>1.0</v>
      </c>
      <c r="B153" s="114" t="str" cm="1">
        <f t="array" ref="B153">IFERROR(INDEX('03.Muestra'!$C$8:$C$42,SMALL(IF("Página Web"='03.Muestra'!$D$8:$D$42,ROW('03.Muestra'!$C$8:$C$42)-MIN(ROW('03.Muestra'!$D$8:$D$42))+1,""),ROW()-132)),"")</f>
        <v>Home - PortCastelló</v>
      </c>
      <c r="C153" s="114" t="str" cm="1">
        <f t="array" ref="C153">IFERROR(INDEX('03.Muestra'!$F$8:$F$42,SMALL(IF("Página Web"='03.Muestra'!$D$8:$D$42,ROW('03.Muestra'!$F$8:$F$42)-MIN(ROW('03.Muestra'!$D$8:$D$42))+1,""),ROW()-132)),"")</f>
        <v>https://www.portcastello.com/</v>
      </c>
      <c r="D153" s="130" t="str">
        <f t="shared" si="7"/>
        <v>N/T</v>
      </c>
      <c r="E153" s="107" t="str">
        <f t="shared" si="6"/>
        <v/>
      </c>
      <c r="F153" s="19"/>
      <c r="G153" s="19"/>
      <c r="H153" s="19"/>
      <c r="I153" s="19"/>
      <c r="J153" s="19"/>
      <c r="K153" s="228"/>
      <c r="L153" s="19"/>
      <c r="M153" s="19"/>
      <c r="N153" s="19"/>
      <c r="O153" s="19"/>
      <c r="P153" s="19"/>
      <c r="Q153" s="19"/>
      <c r="R153" s="19"/>
      <c r="S153" s="19"/>
      <c r="T153" s="19"/>
      <c r="U153" s="19"/>
      <c r="V153" s="19"/>
      <c r="W153" s="19"/>
      <c r="X153" s="19"/>
      <c r="Y153" s="19"/>
    </row>
    <row r="154" spans="1:25" ht="12" customHeight="1">
      <c r="A154" s="219" t="n" cm="1">
        <f t="array" ref="A154">IFERROR(INDEX('03.Muestra'!$B$8:$B$42,SMALL(IF("Página Web"='03.Muestra'!$D$8:$D$42,ROW('03.Muestra'!$B$8:$B$42)-MIN(ROW('03.Muestra'!$D$8:$D$42))+1,""),ROW()-132)),"")</f>
        <v>1.0</v>
      </c>
      <c r="B154" s="114" t="str" cm="1">
        <f t="array" ref="B154">IFERROR(INDEX('03.Muestra'!$C$8:$C$42,SMALL(IF("Página Web"='03.Muestra'!$D$8:$D$42,ROW('03.Muestra'!$C$8:$C$42)-MIN(ROW('03.Muestra'!$D$8:$D$42))+1,""),ROW()-132)),"")</f>
        <v>Home - PortCastelló</v>
      </c>
      <c r="C154" s="114" t="str" cm="1">
        <f t="array" ref="C154">IFERROR(INDEX('03.Muestra'!$F$8:$F$42,SMALL(IF("Página Web"='03.Muestra'!$D$8:$D$42,ROW('03.Muestra'!$F$8:$F$42)-MIN(ROW('03.Muestra'!$D$8:$D$42))+1,""),ROW()-132)),"")</f>
        <v>https://www.portcastello.com/</v>
      </c>
      <c r="D154" s="130" t="str">
        <f t="shared" si="7"/>
        <v>N/T</v>
      </c>
      <c r="E154" s="107" t="str">
        <f t="shared" si="6"/>
        <v/>
      </c>
      <c r="F154" s="19"/>
      <c r="G154" s="19"/>
      <c r="H154" s="19"/>
      <c r="I154" s="19"/>
      <c r="J154" s="19"/>
      <c r="K154" s="228"/>
      <c r="L154" s="19"/>
      <c r="M154" s="19"/>
      <c r="N154" s="19"/>
      <c r="O154" s="19"/>
      <c r="P154" s="19"/>
      <c r="Q154" s="19"/>
      <c r="R154" s="19"/>
      <c r="S154" s="19"/>
      <c r="T154" s="19"/>
      <c r="U154" s="19"/>
      <c r="V154" s="19"/>
      <c r="W154" s="19"/>
      <c r="X154" s="19"/>
      <c r="Y154" s="19"/>
    </row>
    <row r="155" spans="1:25" ht="12" customHeight="1">
      <c r="A155" s="219" t="n" cm="1">
        <f t="array" ref="A155">IFERROR(INDEX('03.Muestra'!$B$8:$B$42,SMALL(IF("Página Web"='03.Muestra'!$D$8:$D$42,ROW('03.Muestra'!$B$8:$B$42)-MIN(ROW('03.Muestra'!$D$8:$D$42))+1,""),ROW()-132)),"")</f>
        <v>1.0</v>
      </c>
      <c r="B155" s="114" t="str" cm="1">
        <f t="array" ref="B155">IFERROR(INDEX('03.Muestra'!$C$8:$C$42,SMALL(IF("Página Web"='03.Muestra'!$D$8:$D$42,ROW('03.Muestra'!$C$8:$C$42)-MIN(ROW('03.Muestra'!$D$8:$D$42))+1,""),ROW()-132)),"")</f>
        <v>Home - PortCastelló</v>
      </c>
      <c r="C155" s="114" t="str" cm="1">
        <f t="array" ref="C155">IFERROR(INDEX('03.Muestra'!$F$8:$F$42,SMALL(IF("Página Web"='03.Muestra'!$D$8:$D$42,ROW('03.Muestra'!$F$8:$F$42)-MIN(ROW('03.Muestra'!$D$8:$D$42))+1,""),ROW()-132)),"")</f>
        <v>https://www.portcastello.com/</v>
      </c>
      <c r="D155" s="130" t="str">
        <f t="shared" si="7"/>
        <v>N/T</v>
      </c>
      <c r="E155" s="107" t="str">
        <f t="shared" si="6"/>
        <v/>
      </c>
      <c r="F155" s="19"/>
      <c r="G155" s="19"/>
      <c r="H155" s="19"/>
      <c r="I155" s="19"/>
      <c r="J155" s="19"/>
      <c r="K155" s="228"/>
      <c r="L155" s="19"/>
      <c r="M155" s="19"/>
      <c r="N155" s="19"/>
      <c r="O155" s="19"/>
      <c r="P155" s="19"/>
      <c r="Q155" s="19"/>
      <c r="R155" s="19"/>
      <c r="S155" s="19"/>
      <c r="T155" s="19"/>
      <c r="U155" s="19"/>
      <c r="V155" s="19"/>
      <c r="W155" s="19"/>
      <c r="X155" s="19"/>
      <c r="Y155" s="19"/>
    </row>
    <row r="156" spans="1:25" ht="12" customHeight="1">
      <c r="A156" s="219" t="n" cm="1">
        <f t="array" ref="A156">IFERROR(INDEX('03.Muestra'!$B$8:$B$42,SMALL(IF("Página Web"='03.Muestra'!$D$8:$D$42,ROW('03.Muestra'!$B$8:$B$42)-MIN(ROW('03.Muestra'!$D$8:$D$42))+1,""),ROW()-132)),"")</f>
        <v>1.0</v>
      </c>
      <c r="B156" s="114" t="str" cm="1">
        <f t="array" ref="B156">IFERROR(INDEX('03.Muestra'!$C$8:$C$42,SMALL(IF("Página Web"='03.Muestra'!$D$8:$D$42,ROW('03.Muestra'!$C$8:$C$42)-MIN(ROW('03.Muestra'!$D$8:$D$42))+1,""),ROW()-132)),"")</f>
        <v>Home - PortCastelló</v>
      </c>
      <c r="C156" s="114" t="str" cm="1">
        <f t="array" ref="C156">IFERROR(INDEX('03.Muestra'!$F$8:$F$42,SMALL(IF("Página Web"='03.Muestra'!$D$8:$D$42,ROW('03.Muestra'!$F$8:$F$42)-MIN(ROW('03.Muestra'!$D$8:$D$42))+1,""),ROW()-132)),"")</f>
        <v>https://www.portcastello.com/</v>
      </c>
      <c r="D156" s="130" t="str">
        <f t="shared" si="7"/>
        <v>N/T</v>
      </c>
      <c r="E156" s="107" t="str">
        <f t="shared" si="6"/>
        <v/>
      </c>
      <c r="F156" s="19"/>
      <c r="G156" s="19"/>
      <c r="H156" s="19"/>
      <c r="I156" s="19"/>
      <c r="J156" s="19"/>
      <c r="K156" s="228"/>
      <c r="L156" s="19"/>
      <c r="M156" s="19"/>
      <c r="N156" s="19"/>
      <c r="O156" s="19"/>
      <c r="P156" s="19"/>
      <c r="Q156" s="19"/>
      <c r="R156" s="19"/>
      <c r="S156" s="19"/>
      <c r="T156" s="19"/>
      <c r="U156" s="19"/>
      <c r="V156" s="19"/>
      <c r="W156" s="19"/>
      <c r="X156" s="19"/>
      <c r="Y156" s="19"/>
    </row>
    <row r="157" spans="1:25" ht="12" customHeight="1">
      <c r="A157" s="219" t="n" cm="1">
        <f t="array" ref="A157">IFERROR(INDEX('03.Muestra'!$B$8:$B$42,SMALL(IF("Página Web"='03.Muestra'!$D$8:$D$42,ROW('03.Muestra'!$B$8:$B$42)-MIN(ROW('03.Muestra'!$D$8:$D$42))+1,""),ROW()-132)),"")</f>
        <v>1.0</v>
      </c>
      <c r="B157" s="114" t="str" cm="1">
        <f t="array" ref="B157">IFERROR(INDEX('03.Muestra'!$C$8:$C$42,SMALL(IF("Página Web"='03.Muestra'!$D$8:$D$42,ROW('03.Muestra'!$C$8:$C$42)-MIN(ROW('03.Muestra'!$D$8:$D$42))+1,""),ROW()-132)),"")</f>
        <v>Home - PortCastelló</v>
      </c>
      <c r="C157" s="114" t="str" cm="1">
        <f t="array" ref="C157">IFERROR(INDEX('03.Muestra'!$F$8:$F$42,SMALL(IF("Página Web"='03.Muestra'!$D$8:$D$42,ROW('03.Muestra'!$F$8:$F$42)-MIN(ROW('03.Muestra'!$D$8:$D$42))+1,""),ROW()-132)),"")</f>
        <v>https://www.portcastello.com/</v>
      </c>
      <c r="D157" s="130" t="str">
        <f t="shared" si="7"/>
        <v>N/T</v>
      </c>
      <c r="E157" s="107" t="str">
        <f t="shared" si="6"/>
        <v/>
      </c>
      <c r="F157" s="19"/>
      <c r="G157" s="19"/>
      <c r="H157" s="19"/>
      <c r="I157" s="19"/>
      <c r="J157" s="19"/>
      <c r="K157" s="228"/>
      <c r="L157" s="19"/>
      <c r="M157" s="19"/>
      <c r="N157" s="19"/>
      <c r="O157" s="19"/>
      <c r="P157" s="19"/>
      <c r="Q157" s="19"/>
      <c r="R157" s="19"/>
      <c r="S157" s="19"/>
      <c r="T157" s="19"/>
      <c r="U157" s="19"/>
      <c r="V157" s="19"/>
      <c r="W157" s="19"/>
      <c r="X157" s="19"/>
      <c r="Y157" s="19"/>
    </row>
    <row r="158" spans="1:25" ht="12" customHeight="1">
      <c r="A158" s="219" t="n" cm="1">
        <f t="array" ref="A158">IFERROR(INDEX('03.Muestra'!$B$8:$B$42,SMALL(IF("Página Web"='03.Muestra'!$D$8:$D$42,ROW('03.Muestra'!$B$8:$B$42)-MIN(ROW('03.Muestra'!$D$8:$D$42))+1,""),ROW()-132)),"")</f>
        <v>1.0</v>
      </c>
      <c r="B158" s="114" t="str" cm="1">
        <f t="array" ref="B158">IFERROR(INDEX('03.Muestra'!$C$8:$C$42,SMALL(IF("Página Web"='03.Muestra'!$D$8:$D$42,ROW('03.Muestra'!$C$8:$C$42)-MIN(ROW('03.Muestra'!$D$8:$D$42))+1,""),ROW()-132)),"")</f>
        <v>Home - PortCastelló</v>
      </c>
      <c r="C158" s="114" t="str" cm="1">
        <f t="array" ref="C158">IFERROR(INDEX('03.Muestra'!$F$8:$F$42,SMALL(IF("Página Web"='03.Muestra'!$D$8:$D$42,ROW('03.Muestra'!$F$8:$F$42)-MIN(ROW('03.Muestra'!$D$8:$D$42))+1,""),ROW()-132)),"")</f>
        <v>https://www.portcastello.com/</v>
      </c>
      <c r="D158" s="130" t="str">
        <f t="shared" si="7"/>
        <v>N/T</v>
      </c>
      <c r="E158" s="107" t="str">
        <f t="shared" si="6"/>
        <v/>
      </c>
      <c r="F158" s="19"/>
      <c r="G158" s="19"/>
      <c r="H158" s="19"/>
      <c r="I158" s="19"/>
      <c r="J158" s="19"/>
      <c r="K158" s="228"/>
      <c r="L158" s="19"/>
      <c r="M158" s="19"/>
      <c r="N158" s="19"/>
      <c r="O158" s="19"/>
      <c r="P158" s="19"/>
      <c r="Q158" s="19"/>
      <c r="R158" s="19"/>
      <c r="S158" s="19"/>
      <c r="T158" s="19"/>
      <c r="U158" s="19"/>
      <c r="V158" s="19"/>
      <c r="W158" s="19"/>
      <c r="X158" s="19"/>
      <c r="Y158" s="19"/>
    </row>
    <row r="159" spans="1:25" ht="12" customHeight="1">
      <c r="A159" s="219" t="n" cm="1">
        <f t="array" ref="A159">IFERROR(INDEX('03.Muestra'!$B$8:$B$42,SMALL(IF("Página Web"='03.Muestra'!$D$8:$D$42,ROW('03.Muestra'!$B$8:$B$42)-MIN(ROW('03.Muestra'!$D$8:$D$42))+1,""),ROW()-132)),"")</f>
        <v>1.0</v>
      </c>
      <c r="B159" s="114" t="str" cm="1">
        <f t="array" ref="B159">IFERROR(INDEX('03.Muestra'!$C$8:$C$42,SMALL(IF("Página Web"='03.Muestra'!$D$8:$D$42,ROW('03.Muestra'!$C$8:$C$42)-MIN(ROW('03.Muestra'!$D$8:$D$42))+1,""),ROW()-132)),"")</f>
        <v>Home - PortCastelló</v>
      </c>
      <c r="C159" s="114" t="str" cm="1">
        <f t="array" ref="C159">IFERROR(INDEX('03.Muestra'!$F$8:$F$42,SMALL(IF("Página Web"='03.Muestra'!$D$8:$D$42,ROW('03.Muestra'!$F$8:$F$42)-MIN(ROW('03.Muestra'!$D$8:$D$42))+1,""),ROW()-132)),"")</f>
        <v>https://www.portcastello.com/</v>
      </c>
      <c r="D159" s="130" t="str">
        <f t="shared" si="7"/>
        <v>N/T</v>
      </c>
      <c r="E159" s="107" t="str">
        <f t="shared" si="6"/>
        <v/>
      </c>
      <c r="F159" s="19"/>
      <c r="G159" s="19"/>
      <c r="H159" s="19"/>
      <c r="I159" s="19"/>
      <c r="J159" s="19"/>
      <c r="K159" s="228"/>
      <c r="L159" s="19"/>
      <c r="M159" s="19"/>
      <c r="N159" s="19"/>
      <c r="O159" s="19"/>
      <c r="P159" s="19"/>
      <c r="Q159" s="19"/>
      <c r="R159" s="19"/>
      <c r="S159" s="19"/>
      <c r="T159" s="19"/>
      <c r="U159" s="19"/>
      <c r="V159" s="19"/>
      <c r="W159" s="19"/>
      <c r="X159" s="19"/>
      <c r="Y159" s="19"/>
    </row>
    <row r="160" spans="1:25" ht="12" customHeight="1">
      <c r="A160" s="219" t="n" cm="1">
        <f t="array" ref="A160">IFERROR(INDEX('03.Muestra'!$B$8:$B$42,SMALL(IF("Página Web"='03.Muestra'!$D$8:$D$42,ROW('03.Muestra'!$B$8:$B$42)-MIN(ROW('03.Muestra'!$D$8:$D$42))+1,""),ROW()-132)),"")</f>
        <v>1.0</v>
      </c>
      <c r="B160" s="114" t="str" cm="1">
        <f t="array" ref="B160">IFERROR(INDEX('03.Muestra'!$C$8:$C$42,SMALL(IF("Página Web"='03.Muestra'!$D$8:$D$42,ROW('03.Muestra'!$C$8:$C$42)-MIN(ROW('03.Muestra'!$D$8:$D$42))+1,""),ROW()-132)),"")</f>
        <v>Home - PortCastelló</v>
      </c>
      <c r="C160" s="114" t="str" cm="1">
        <f t="array" ref="C160">IFERROR(INDEX('03.Muestra'!$F$8:$F$42,SMALL(IF("Página Web"='03.Muestra'!$D$8:$D$42,ROW('03.Muestra'!$F$8:$F$42)-MIN(ROW('03.Muestra'!$D$8:$D$42))+1,""),ROW()-132)),"")</f>
        <v>https://www.portcastello.com/</v>
      </c>
      <c r="D160" s="130" t="str">
        <f t="shared" si="7"/>
        <v>N/T</v>
      </c>
      <c r="E160" s="107" t="str">
        <f t="shared" si="6"/>
        <v/>
      </c>
      <c r="G160" s="19"/>
      <c r="H160" s="19"/>
      <c r="I160" s="19"/>
      <c r="J160" s="19"/>
      <c r="K160" s="228"/>
      <c r="L160" s="19"/>
      <c r="M160" s="19"/>
      <c r="N160" s="19"/>
      <c r="O160" s="19"/>
      <c r="P160" s="19"/>
      <c r="Q160" s="19"/>
      <c r="R160" s="19"/>
      <c r="S160" s="19"/>
      <c r="T160" s="19"/>
      <c r="U160" s="19"/>
      <c r="V160" s="19"/>
      <c r="W160" s="19"/>
      <c r="X160" s="19"/>
      <c r="Y160" s="19"/>
    </row>
    <row r="161" spans="1:25" ht="12" customHeight="1">
      <c r="A161" s="219" t="n" cm="1">
        <f t="array" ref="A161">IFERROR(INDEX('03.Muestra'!$B$8:$B$42,SMALL(IF("Página Web"='03.Muestra'!$D$8:$D$42,ROW('03.Muestra'!$B$8:$B$42)-MIN(ROW('03.Muestra'!$D$8:$D$42))+1,""),ROW()-132)),"")</f>
        <v>1.0</v>
      </c>
      <c r="B161" s="114" t="str" cm="1">
        <f t="array" ref="B161">IFERROR(INDEX('03.Muestra'!$C$8:$C$42,SMALL(IF("Página Web"='03.Muestra'!$D$8:$D$42,ROW('03.Muestra'!$C$8:$C$42)-MIN(ROW('03.Muestra'!$D$8:$D$42))+1,""),ROW()-132)),"")</f>
        <v>Home - PortCastelló</v>
      </c>
      <c r="C161" s="114" t="str" cm="1">
        <f t="array" ref="C161">IFERROR(INDEX('03.Muestra'!$F$8:$F$42,SMALL(IF("Página Web"='03.Muestra'!$D$8:$D$42,ROW('03.Muestra'!$F$8:$F$42)-MIN(ROW('03.Muestra'!$D$8:$D$42))+1,""),ROW()-132)),"")</f>
        <v>https://www.portcastello.com/</v>
      </c>
      <c r="D161" s="130" t="str">
        <f t="shared" si="7"/>
        <v>N/T</v>
      </c>
      <c r="E161" s="107" t="str">
        <f t="shared" si="6"/>
        <v/>
      </c>
      <c r="G161" s="19"/>
      <c r="H161" s="19"/>
      <c r="I161" s="19"/>
      <c r="J161" s="19"/>
      <c r="K161" s="228"/>
      <c r="L161" s="19"/>
      <c r="M161" s="19"/>
      <c r="N161" s="19"/>
      <c r="O161" s="19"/>
      <c r="P161" s="19"/>
      <c r="Q161" s="19"/>
      <c r="R161" s="19"/>
      <c r="S161" s="19"/>
      <c r="T161" s="19"/>
      <c r="U161" s="19"/>
      <c r="V161" s="19"/>
      <c r="W161" s="19"/>
      <c r="X161" s="19"/>
      <c r="Y161" s="19"/>
    </row>
    <row r="162" spans="1:25" ht="12" customHeight="1">
      <c r="A162" s="219" t="n" cm="1">
        <f t="array" ref="A162">IFERROR(INDEX('03.Muestra'!$B$8:$B$42,SMALL(IF("Página Web"='03.Muestra'!$D$8:$D$42,ROW('03.Muestra'!$B$8:$B$42)-MIN(ROW('03.Muestra'!$D$8:$D$42))+1,""),ROW()-132)),"")</f>
        <v>1.0</v>
      </c>
      <c r="B162" s="114" t="str" cm="1">
        <f t="array" ref="B162">IFERROR(INDEX('03.Muestra'!$C$8:$C$42,SMALL(IF("Página Web"='03.Muestra'!$D$8:$D$42,ROW('03.Muestra'!$C$8:$C$42)-MIN(ROW('03.Muestra'!$D$8:$D$42))+1,""),ROW()-132)),"")</f>
        <v>Home - PortCastelló</v>
      </c>
      <c r="C162" s="114" t="str" cm="1">
        <f t="array" ref="C162">IFERROR(INDEX('03.Muestra'!$F$8:$F$42,SMALL(IF("Página Web"='03.Muestra'!$D$8:$D$42,ROW('03.Muestra'!$F$8:$F$42)-MIN(ROW('03.Muestra'!$D$8:$D$42))+1,""),ROW()-132)),"")</f>
        <v>https://www.portcastello.com/</v>
      </c>
      <c r="D162" s="130" t="str">
        <f t="shared" si="7"/>
        <v>N/T</v>
      </c>
      <c r="E162" s="107" t="str">
        <f t="shared" si="6"/>
        <v/>
      </c>
      <c r="G162" s="19"/>
      <c r="H162" s="19"/>
      <c r="I162" s="19"/>
      <c r="J162" s="19"/>
      <c r="K162" s="228"/>
      <c r="L162" s="19"/>
      <c r="M162" s="19"/>
      <c r="N162" s="19"/>
      <c r="O162" s="19"/>
      <c r="P162" s="19"/>
      <c r="Q162" s="19"/>
      <c r="R162" s="19"/>
      <c r="S162" s="19"/>
      <c r="T162" s="19"/>
      <c r="U162" s="19"/>
      <c r="V162" s="19"/>
      <c r="W162" s="19"/>
      <c r="X162" s="19"/>
      <c r="Y162" s="19"/>
    </row>
    <row r="163" spans="1:25" ht="12" customHeight="1">
      <c r="A163" s="219" t="n" cm="1">
        <f t="array" ref="A163">IFERROR(INDEX('03.Muestra'!$B$8:$B$42,SMALL(IF("Página Web"='03.Muestra'!$D$8:$D$42,ROW('03.Muestra'!$B$8:$B$42)-MIN(ROW('03.Muestra'!$D$8:$D$42))+1,""),ROW()-132)),"")</f>
        <v>1.0</v>
      </c>
      <c r="B163" s="114" t="str" cm="1">
        <f t="array" ref="B163">IFERROR(INDEX('03.Muestra'!$C$8:$C$42,SMALL(IF("Página Web"='03.Muestra'!$D$8:$D$42,ROW('03.Muestra'!$C$8:$C$42)-MIN(ROW('03.Muestra'!$D$8:$D$42))+1,""),ROW()-132)),"")</f>
        <v>Home - PortCastelló</v>
      </c>
      <c r="C163" s="114" t="str" cm="1">
        <f t="array" ref="C163">IFERROR(INDEX('03.Muestra'!$F$8:$F$42,SMALL(IF("Página Web"='03.Muestra'!$D$8:$D$42,ROW('03.Muestra'!$F$8:$F$42)-MIN(ROW('03.Muestra'!$D$8:$D$42))+1,""),ROW()-132)),"")</f>
        <v>https://www.portcastello.com/</v>
      </c>
      <c r="D163" s="130" t="str">
        <f t="shared" si="7"/>
        <v>N/T</v>
      </c>
      <c r="E163" s="107" t="str">
        <f t="shared" si="6"/>
        <v/>
      </c>
      <c r="G163" s="19"/>
      <c r="H163" s="19"/>
      <c r="I163" s="19"/>
      <c r="J163" s="19"/>
      <c r="K163" s="228"/>
      <c r="L163" s="19"/>
      <c r="M163" s="19"/>
      <c r="N163" s="19"/>
      <c r="O163" s="19"/>
      <c r="P163" s="19"/>
      <c r="Q163" s="19"/>
      <c r="R163" s="19"/>
      <c r="S163" s="19"/>
      <c r="T163" s="19"/>
      <c r="U163" s="19"/>
      <c r="V163" s="19"/>
      <c r="W163" s="19"/>
      <c r="X163" s="19"/>
      <c r="Y163" s="19"/>
    </row>
    <row r="164" spans="1:25" ht="12" customHeight="1">
      <c r="A164" s="219" t="n" cm="1">
        <f t="array" ref="A164">IFERROR(INDEX('03.Muestra'!$B$8:$B$42,SMALL(IF("Página Web"='03.Muestra'!$D$8:$D$42,ROW('03.Muestra'!$B$8:$B$42)-MIN(ROW('03.Muestra'!$D$8:$D$42))+1,""),ROW()-132)),"")</f>
        <v>1.0</v>
      </c>
      <c r="B164" s="114" t="str" cm="1">
        <f t="array" ref="B164">IFERROR(INDEX('03.Muestra'!$C$8:$C$42,SMALL(IF("Página Web"='03.Muestra'!$D$8:$D$42,ROW('03.Muestra'!$C$8:$C$42)-MIN(ROW('03.Muestra'!$D$8:$D$42))+1,""),ROW()-132)),"")</f>
        <v>Home - PortCastelló</v>
      </c>
      <c r="C164" s="114" t="str" cm="1">
        <f t="array" ref="C164">IFERROR(INDEX('03.Muestra'!$F$8:$F$42,SMALL(IF("Página Web"='03.Muestra'!$D$8:$D$42,ROW('03.Muestra'!$F$8:$F$42)-MIN(ROW('03.Muestra'!$D$8:$D$42))+1,""),ROW()-132)),"")</f>
        <v>https://www.portcastello.com/</v>
      </c>
      <c r="D164" s="130" t="str">
        <f t="shared" si="7"/>
        <v>N/T</v>
      </c>
      <c r="E164" s="107" t="str">
        <f t="shared" si="6"/>
        <v/>
      </c>
      <c r="G164" s="19"/>
      <c r="H164" s="19"/>
      <c r="I164" s="19"/>
      <c r="J164" s="19"/>
      <c r="K164" s="228"/>
      <c r="L164" s="19"/>
      <c r="M164" s="19"/>
      <c r="N164" s="19"/>
      <c r="O164" s="19"/>
      <c r="P164" s="19"/>
      <c r="Q164" s="19"/>
      <c r="R164" s="19"/>
      <c r="S164" s="19"/>
      <c r="T164" s="19"/>
      <c r="U164" s="19"/>
      <c r="V164" s="19"/>
      <c r="W164" s="19"/>
      <c r="X164" s="19"/>
      <c r="Y164" s="19"/>
    </row>
    <row r="165" spans="1:25" ht="12" customHeight="1">
      <c r="A165" s="219" t="n" cm="1">
        <f t="array" ref="A165">IFERROR(INDEX('03.Muestra'!$B$8:$B$42,SMALL(IF("Página Web"='03.Muestra'!$D$8:$D$42,ROW('03.Muestra'!$B$8:$B$42)-MIN(ROW('03.Muestra'!$D$8:$D$42))+1,""),ROW()-132)),"")</f>
        <v>1.0</v>
      </c>
      <c r="B165" s="114" t="str" cm="1">
        <f t="array" ref="B165">IFERROR(INDEX('03.Muestra'!$C$8:$C$42,SMALL(IF("Página Web"='03.Muestra'!$D$8:$D$42,ROW('03.Muestra'!$C$8:$C$42)-MIN(ROW('03.Muestra'!$D$8:$D$42))+1,""),ROW()-132)),"")</f>
        <v>Home - PortCastelló</v>
      </c>
      <c r="C165" s="114" t="str" cm="1">
        <f t="array" ref="C165">IFERROR(INDEX('03.Muestra'!$F$8:$F$42,SMALL(IF("Página Web"='03.Muestra'!$D$8:$D$42,ROW('03.Muestra'!$F$8:$F$42)-MIN(ROW('03.Muestra'!$D$8:$D$42))+1,""),ROW()-132)),"")</f>
        <v>https://www.portcastello.com/</v>
      </c>
      <c r="D165" s="130" t="str">
        <f t="shared" si="7"/>
        <v>N/T</v>
      </c>
      <c r="E165" s="107" t="str">
        <f t="shared" si="6"/>
        <v/>
      </c>
      <c r="G165" s="19"/>
      <c r="H165" s="19"/>
      <c r="I165" s="19"/>
      <c r="J165" s="19"/>
      <c r="K165" s="228"/>
      <c r="L165" s="19"/>
      <c r="M165" s="19"/>
      <c r="N165" s="19"/>
      <c r="O165" s="19"/>
      <c r="P165" s="19"/>
      <c r="Q165" s="19"/>
      <c r="R165" s="19"/>
      <c r="S165" s="19"/>
      <c r="T165" s="19"/>
      <c r="U165" s="19"/>
      <c r="V165" s="19"/>
      <c r="W165" s="19"/>
      <c r="X165" s="19"/>
      <c r="Y165" s="19"/>
    </row>
    <row r="166" spans="1:25" ht="12" customHeight="1">
      <c r="A166" s="219" t="str" cm="1">
        <f t="array" ref="A166">IFERROR(INDEX('03.Muestra'!$B$8:$B$42,SMALL(IF("Página Web"='03.Muestra'!$D$8:$D$42,ROW('03.Muestra'!$B$8:$B$42)-MIN(ROW('03.Muestra'!$D$8:$D$42))+1,""),ROW()-132)),"")</f>
        <v/>
      </c>
      <c r="B166" s="114" t="str" cm="1">
        <f t="array" ref="B166">IFERROR(INDEX('03.Muestra'!$C$8:$C$42,SMALL(IF("Página Web"='03.Muestra'!$D$8:$D$42,ROW('03.Muestra'!$C$8:$C$42)-MIN(ROW('03.Muestra'!$D$8:$D$42))+1,""),ROW()-132)),"")</f>
        <v/>
      </c>
      <c r="C166" s="114" t="str" cm="1">
        <f t="array" ref="C166">IFERROR(INDEX('03.Muestra'!$F$8:$F$42,SMALL(IF("Página Web"='03.Muestra'!$D$8:$D$42,ROW('03.Muestra'!$F$8:$F$42)-MIN(ROW('03.Muestra'!$D$8:$D$42))+1,""),ROW()-132)),"")</f>
        <v/>
      </c>
      <c r="D166" s="130" t="str">
        <f t="shared" si="7"/>
        <v/>
      </c>
      <c r="E166" s="107" t="str">
        <f t="shared" si="6"/>
        <v/>
      </c>
      <c r="F166" s="124"/>
      <c r="G166" s="19"/>
      <c r="H166" s="19"/>
      <c r="I166" s="19"/>
      <c r="J166" s="19"/>
      <c r="K166" s="228"/>
      <c r="L166" s="19"/>
      <c r="M166" s="19"/>
      <c r="N166" s="19"/>
      <c r="O166" s="19"/>
      <c r="P166" s="19"/>
      <c r="Q166" s="19"/>
      <c r="R166" s="19"/>
      <c r="S166" s="19"/>
      <c r="T166" s="19"/>
      <c r="U166" s="19"/>
      <c r="V166" s="19"/>
      <c r="W166" s="19"/>
      <c r="X166" s="19"/>
      <c r="Y166" s="19"/>
    </row>
    <row r="167" spans="1:25" ht="12" customHeight="1">
      <c r="A167" s="219" t="str" cm="1">
        <f t="array" ref="A167">IFERROR(INDEX('03.Muestra'!$B$8:$B$42,SMALL(IF("Página Web"='03.Muestra'!$D$8:$D$42,ROW('03.Muestra'!$B$8:$B$42)-MIN(ROW('03.Muestra'!$D$8:$D$42))+1,""),ROW()-132)),"")</f>
        <v/>
      </c>
      <c r="B167" s="114" t="str" cm="1">
        <f t="array" ref="B167">IFERROR(INDEX('03.Muestra'!$C$8:$C$42,SMALL(IF("Página Web"='03.Muestra'!$D$8:$D$42,ROW('03.Muestra'!$C$8:$C$42)-MIN(ROW('03.Muestra'!$D$8:$D$42))+1,""),ROW()-132)),"")</f>
        <v/>
      </c>
      <c r="C167" s="114" t="str" cm="1">
        <f t="array" ref="C167">IFERROR(INDEX('03.Muestra'!$F$8:$F$42,SMALL(IF("Página Web"='03.Muestra'!$D$8:$D$42,ROW('03.Muestra'!$F$8:$F$42)-MIN(ROW('03.Muestra'!$D$8:$D$42))+1,""),ROW()-132)),"")</f>
        <v/>
      </c>
      <c r="D167" s="130" t="str">
        <f t="shared" si="7"/>
        <v/>
      </c>
      <c r="E167" s="107" t="str">
        <f t="shared" si="6"/>
        <v/>
      </c>
      <c r="F167" s="19"/>
      <c r="G167" s="19"/>
      <c r="H167" s="19"/>
      <c r="I167" s="19"/>
      <c r="J167" s="19"/>
      <c r="K167" s="228"/>
      <c r="L167" s="19"/>
      <c r="M167" s="19"/>
      <c r="N167" s="19"/>
      <c r="O167" s="19"/>
      <c r="P167" s="19"/>
      <c r="Q167" s="19"/>
      <c r="R167" s="19"/>
      <c r="S167" s="19"/>
      <c r="T167" s="19"/>
      <c r="U167" s="19"/>
      <c r="V167" s="19"/>
      <c r="W167" s="19"/>
      <c r="X167" s="19"/>
      <c r="Y167" s="19"/>
    </row>
    <row r="168" spans="1:25" ht="12" customHeight="1">
      <c r="A168" s="113"/>
      <c r="B168" s="162"/>
      <c r="C168" s="162"/>
      <c r="D168" s="163"/>
      <c r="E168" s="107"/>
      <c r="F168" s="19"/>
      <c r="G168" s="19"/>
      <c r="H168" s="19"/>
      <c r="I168" s="19"/>
      <c r="J168" s="19"/>
      <c r="K168" s="228"/>
      <c r="L168" s="19"/>
      <c r="M168" s="19"/>
      <c r="N168" s="19"/>
      <c r="O168" s="19"/>
      <c r="P168" s="19"/>
      <c r="Q168" s="19"/>
      <c r="R168" s="19"/>
      <c r="S168" s="19"/>
      <c r="T168" s="19"/>
      <c r="U168" s="19"/>
      <c r="V168" s="19"/>
      <c r="W168" s="19"/>
      <c r="X168" s="19"/>
      <c r="Y168" s="19"/>
    </row>
    <row r="169" spans="1:25" ht="12" customHeight="1">
      <c r="B169" s="19"/>
      <c r="C169" s="19"/>
      <c r="D169" s="107"/>
      <c r="E169" s="107"/>
      <c r="F169" s="19"/>
      <c r="G169" s="19"/>
      <c r="H169" s="19"/>
      <c r="I169" s="19"/>
      <c r="J169" s="19"/>
      <c r="K169" s="228"/>
      <c r="L169" s="19"/>
      <c r="M169" s="19"/>
      <c r="N169" s="19"/>
      <c r="O169" s="19"/>
      <c r="P169" s="19"/>
      <c r="Q169" s="19"/>
      <c r="R169" s="19"/>
      <c r="S169" s="19"/>
      <c r="T169" s="19"/>
      <c r="U169" s="19"/>
      <c r="V169" s="19"/>
      <c r="W169" s="19"/>
      <c r="X169" s="19"/>
      <c r="Y169" s="19"/>
    </row>
    <row r="170" spans="1:25" ht="32.25" customHeight="1">
      <c r="A170" s="218" t="s">
        <v>268</v>
      </c>
      <c r="B170" s="24" t="s">
        <v>90</v>
      </c>
      <c r="C170" s="25" t="s">
        <v>355</v>
      </c>
      <c r="D170" s="26" t="s">
        <v>32</v>
      </c>
      <c r="E170" s="123"/>
      <c r="K170" s="228"/>
      <c r="L170" s="19"/>
      <c r="M170" s="19"/>
      <c r="N170" s="19"/>
      <c r="O170" s="19"/>
      <c r="P170" s="19"/>
      <c r="Q170" s="19"/>
      <c r="R170" s="19"/>
      <c r="T170" s="19"/>
      <c r="U170" s="19"/>
      <c r="V170" s="19"/>
      <c r="W170" s="19"/>
      <c r="X170" s="19"/>
      <c r="Y170" s="19"/>
    </row>
    <row r="171" spans="1:25" ht="12" customHeight="1">
      <c r="A171" s="219" t="n" cm="1">
        <f t="array" ref="A171">IFERROR(INDEX('03.Muestra'!$B$8:$B$42,SMALL(IF("Página Web"='03.Muestra'!$D$8:$D$42,ROW('03.Muestra'!$B$8:$B$42)-MIN(ROW('03.Muestra'!$D$8:$D$42))+1,""),ROW()-170)),"")</f>
        <v>1.0</v>
      </c>
      <c r="B171" s="114" t="str" cm="1">
        <f t="array" ref="B171">IFERROR(INDEX('03.Muestra'!$C$8:$C$42,SMALL(IF("Página Web"='03.Muestra'!$D$8:$D$42,ROW('03.Muestra'!$C$8:$C$42)-MIN(ROW('03.Muestra'!$D$8:$D$42))+1,""),ROW()-170)),"")</f>
        <v>Home - PortCastelló</v>
      </c>
      <c r="C171" s="114" t="str" cm="1">
        <f t="array" ref="C171">IFERROR(INDEX('03.Muestra'!$F$8:$F$42,SMALL(IF("Página Web"='03.Muestra'!$D$8:$D$42,ROW('03.Muestra'!$F$8:$F$42)-MIN(ROW('03.Muestra'!$D$8:$D$42))+1,""),ROW()-170)),"")</f>
        <v>https://www.portcastello.com/</v>
      </c>
      <c r="D171" s="130" t="str">
        <f>IF(AND(B171&lt;&gt;"",C171&lt;&gt;""),"N/T","")</f>
        <v>N/T</v>
      </c>
      <c r="E171" s="107" t="str">
        <f t="shared" ref="E171:E205" si="8">IF(D171&lt;&gt;"",IF(AND(B171&lt;&gt;"",C171&lt;&gt;""),"","ERR"),"")</f>
        <v/>
      </c>
      <c r="F171" s="115" t="s">
        <v>33</v>
      </c>
      <c r="G171" s="116" t="s">
        <v>37</v>
      </c>
      <c r="H171" s="117" t="s">
        <v>35</v>
      </c>
      <c r="I171" s="118" t="s">
        <v>28</v>
      </c>
      <c r="J171" s="119" t="s">
        <v>26</v>
      </c>
      <c r="K171" s="229" t="s">
        <v>474</v>
      </c>
      <c r="L171" s="19"/>
      <c r="M171" s="19"/>
      <c r="N171" s="19"/>
      <c r="O171" s="19"/>
      <c r="P171" s="19"/>
      <c r="Q171" s="19"/>
      <c r="R171" s="19"/>
      <c r="T171" s="19"/>
      <c r="U171" s="19"/>
      <c r="V171" s="19"/>
      <c r="W171" s="19"/>
      <c r="X171" s="19"/>
      <c r="Y171" s="19"/>
    </row>
    <row r="172" spans="1:25" ht="12" customHeight="1">
      <c r="A172" s="219" t="n" cm="1">
        <f t="array" ref="A172">IFERROR(INDEX('03.Muestra'!$B$8:$B$42,SMALL(IF("Página Web"='03.Muestra'!$D$8:$D$42,ROW('03.Muestra'!$B$8:$B$42)-MIN(ROW('03.Muestra'!$D$8:$D$42))+1,""),ROW()-170)),"")</f>
        <v>1.0</v>
      </c>
      <c r="B172" s="114" t="str" cm="1">
        <f t="array" ref="B172">IFERROR(INDEX('03.Muestra'!$C$8:$C$42,SMALL(IF("Página Web"='03.Muestra'!$D$8:$D$42,ROW('03.Muestra'!$C$8:$C$42)-MIN(ROW('03.Muestra'!$D$8:$D$42))+1,""),ROW()-170)),"")</f>
        <v>Home - PortCastelló</v>
      </c>
      <c r="C172" s="114" t="str" cm="1">
        <f t="array" ref="C172">IFERROR(INDEX('03.Muestra'!$F$8:$F$42,SMALL(IF("Página Web"='03.Muestra'!$D$8:$D$42,ROW('03.Muestra'!$F$8:$F$42)-MIN(ROW('03.Muestra'!$D$8:$D$42))+1,""),ROW()-170)),"")</f>
        <v>https://www.portcastello.com/</v>
      </c>
      <c r="D172" s="130" t="str">
        <f t="shared" ref="D172:D205" si="9">IF(AND(B172&lt;&gt;"",C172&lt;&gt;""),"N/T","")</f>
        <v>N/T</v>
      </c>
      <c r="E172" s="107" t="str">
        <f t="shared" si="8"/>
        <v/>
      </c>
      <c r="F172" s="120" t="n">
        <f ca="1">COUNTIF($D171:INDIRECT("$D" &amp;  SUM(ROW()-1,'03.Muestra'!$D$45)-1),F171)</f>
        <v>33.0</v>
      </c>
      <c r="G172" s="120" t="n">
        <f ca="1">COUNTIF($D171:INDIRECT("$D" &amp;  SUM(ROW()-1,'03.Muestra'!$D$45)-1),G171)</f>
        <v>0.0</v>
      </c>
      <c r="H172" s="120" t="n">
        <f ca="1">COUNTIF($D171:INDIRECT("$D" &amp;  SUM(ROW()-1,'03.Muestra'!$D$45)-1),H171)</f>
        <v>0.0</v>
      </c>
      <c r="I172" s="120" t="n">
        <f ca="1">COUNTIF($D171:INDIRECT("$D" &amp;  SUM(ROW()-1,'03.Muestra'!$D$45)-1),I171)</f>
        <v>0.0</v>
      </c>
      <c r="J172" s="120" t="n">
        <f ca="1">COUNTIF($D171:INDIRECT("$D" &amp;  SUM(ROW()-1,'03.Muestra'!$D$45)-1),J171)</f>
        <v>0.0</v>
      </c>
      <c r="K172" s="230" t="n">
        <f ca="1">IF(COUNTIF('03.Muestra'!$D$8:$D$42,"Página Web")=0,0,COUNTBLANK($D171:INDIRECT("$D" &amp;  SUM(ROW()-1,COUNTIF('03.Muestra'!$D$8:$D$42,"Página Web"))-1)))</f>
        <v>0.0</v>
      </c>
      <c r="L172" s="19"/>
      <c r="M172" s="19"/>
      <c r="N172" s="19"/>
      <c r="O172" s="19"/>
      <c r="P172" s="19"/>
      <c r="Q172" s="19"/>
      <c r="R172" s="19"/>
      <c r="T172" s="19"/>
      <c r="U172" s="19"/>
      <c r="V172" s="19"/>
      <c r="W172" s="19"/>
      <c r="X172" s="19"/>
      <c r="Y172" s="19"/>
    </row>
    <row r="173" spans="1:25" ht="12" customHeight="1">
      <c r="A173" s="219" t="n" cm="1">
        <f t="array" ref="A173">IFERROR(INDEX('03.Muestra'!$B$8:$B$42,SMALL(IF("Página Web"='03.Muestra'!$D$8:$D$42,ROW('03.Muestra'!$B$8:$B$42)-MIN(ROW('03.Muestra'!$D$8:$D$42))+1,""),ROW()-170)),"")</f>
        <v>1.0</v>
      </c>
      <c r="B173" s="114" t="str" cm="1">
        <f t="array" ref="B173">IFERROR(INDEX('03.Muestra'!$C$8:$C$42,SMALL(IF("Página Web"='03.Muestra'!$D$8:$D$42,ROW('03.Muestra'!$C$8:$C$42)-MIN(ROW('03.Muestra'!$D$8:$D$42))+1,""),ROW()-170)),"")</f>
        <v>Home - PortCastelló</v>
      </c>
      <c r="C173" s="114" t="str" cm="1">
        <f t="array" ref="C173">IFERROR(INDEX('03.Muestra'!$F$8:$F$42,SMALL(IF("Página Web"='03.Muestra'!$D$8:$D$42,ROW('03.Muestra'!$F$8:$F$42)-MIN(ROW('03.Muestra'!$D$8:$D$42))+1,""),ROW()-170)),"")</f>
        <v>https://www.portcastello.com/</v>
      </c>
      <c r="D173" s="130" t="str">
        <f t="shared" si="9"/>
        <v>N/T</v>
      </c>
      <c r="E173" s="107" t="str">
        <f t="shared" si="8"/>
        <v/>
      </c>
      <c r="G173" s="19"/>
      <c r="H173" s="19"/>
      <c r="I173" s="19"/>
      <c r="J173" s="19"/>
      <c r="K173" s="228"/>
      <c r="L173" s="19"/>
      <c r="M173" s="19"/>
      <c r="N173" s="19"/>
      <c r="O173" s="19"/>
      <c r="P173" s="19"/>
      <c r="Q173" s="19"/>
      <c r="R173" s="19"/>
      <c r="T173" s="19"/>
      <c r="U173" s="19"/>
      <c r="V173" s="19"/>
      <c r="W173" s="19"/>
      <c r="X173" s="19"/>
      <c r="Y173" s="19"/>
    </row>
    <row r="174" spans="1:25" ht="12" customHeight="1">
      <c r="A174" s="219" t="n" cm="1">
        <f t="array" ref="A174">IFERROR(INDEX('03.Muestra'!$B$8:$B$42,SMALL(IF("Página Web"='03.Muestra'!$D$8:$D$42,ROW('03.Muestra'!$B$8:$B$42)-MIN(ROW('03.Muestra'!$D$8:$D$42))+1,""),ROW()-170)),"")</f>
        <v>1.0</v>
      </c>
      <c r="B174" s="114" t="str" cm="1">
        <f t="array" ref="B174">IFERROR(INDEX('03.Muestra'!$C$8:$C$42,SMALL(IF("Página Web"='03.Muestra'!$D$8:$D$42,ROW('03.Muestra'!$C$8:$C$42)-MIN(ROW('03.Muestra'!$D$8:$D$42))+1,""),ROW()-170)),"")</f>
        <v>Home - PortCastelló</v>
      </c>
      <c r="C174" s="114" t="str" cm="1">
        <f t="array" ref="C174">IFERROR(INDEX('03.Muestra'!$F$8:$F$42,SMALL(IF("Página Web"='03.Muestra'!$D$8:$D$42,ROW('03.Muestra'!$F$8:$F$42)-MIN(ROW('03.Muestra'!$D$8:$D$42))+1,""),ROW()-170)),"")</f>
        <v>https://www.portcastello.com/</v>
      </c>
      <c r="D174" s="130" t="str">
        <f t="shared" si="9"/>
        <v>N/T</v>
      </c>
      <c r="E174" s="107" t="str">
        <f t="shared" si="8"/>
        <v/>
      </c>
      <c r="G174" s="19"/>
      <c r="H174" s="19"/>
      <c r="I174" s="19"/>
      <c r="J174" s="19"/>
      <c r="K174" s="228"/>
      <c r="L174" s="19"/>
      <c r="M174" s="19"/>
      <c r="N174" s="19"/>
      <c r="O174" s="19"/>
      <c r="P174" s="19"/>
      <c r="Q174" s="19"/>
      <c r="R174" s="19"/>
      <c r="T174" s="19"/>
      <c r="U174" s="19"/>
      <c r="V174" s="19"/>
      <c r="W174" s="19"/>
      <c r="X174" s="19"/>
      <c r="Y174" s="19"/>
    </row>
    <row r="175" spans="1:25" ht="12" customHeight="1">
      <c r="A175" s="219" t="n" cm="1">
        <f t="array" ref="A175">IFERROR(INDEX('03.Muestra'!$B$8:$B$42,SMALL(IF("Página Web"='03.Muestra'!$D$8:$D$42,ROW('03.Muestra'!$B$8:$B$42)-MIN(ROW('03.Muestra'!$D$8:$D$42))+1,""),ROW()-170)),"")</f>
        <v>1.0</v>
      </c>
      <c r="B175" s="114" t="str" cm="1">
        <f t="array" ref="B175">IFERROR(INDEX('03.Muestra'!$C$8:$C$42,SMALL(IF("Página Web"='03.Muestra'!$D$8:$D$42,ROW('03.Muestra'!$C$8:$C$42)-MIN(ROW('03.Muestra'!$D$8:$D$42))+1,""),ROW()-170)),"")</f>
        <v>Home - PortCastelló</v>
      </c>
      <c r="C175" s="114" t="str" cm="1">
        <f t="array" ref="C175">IFERROR(INDEX('03.Muestra'!$F$8:$F$42,SMALL(IF("Página Web"='03.Muestra'!$D$8:$D$42,ROW('03.Muestra'!$F$8:$F$42)-MIN(ROW('03.Muestra'!$D$8:$D$42))+1,""),ROW()-170)),"")</f>
        <v>https://www.portcastello.com/</v>
      </c>
      <c r="D175" s="130" t="str">
        <f t="shared" si="9"/>
        <v>N/T</v>
      </c>
      <c r="E175" s="107" t="str">
        <f t="shared" si="8"/>
        <v/>
      </c>
      <c r="G175" s="19"/>
      <c r="H175" s="19"/>
      <c r="I175" s="19"/>
      <c r="J175" s="19"/>
      <c r="K175" s="228"/>
      <c r="L175" s="19"/>
      <c r="M175" s="19"/>
      <c r="N175" s="19"/>
      <c r="O175" s="19"/>
      <c r="P175" s="19"/>
      <c r="Q175" s="19"/>
      <c r="R175" s="19"/>
      <c r="T175" s="19"/>
      <c r="U175" s="19"/>
      <c r="V175" s="19"/>
      <c r="W175" s="19"/>
      <c r="X175" s="19"/>
      <c r="Y175" s="19"/>
    </row>
    <row r="176" spans="1:25" ht="12" customHeight="1">
      <c r="A176" s="219" t="n" cm="1">
        <f t="array" ref="A176">IFERROR(INDEX('03.Muestra'!$B$8:$B$42,SMALL(IF("Página Web"='03.Muestra'!$D$8:$D$42,ROW('03.Muestra'!$B$8:$B$42)-MIN(ROW('03.Muestra'!$D$8:$D$42))+1,""),ROW()-170)),"")</f>
        <v>1.0</v>
      </c>
      <c r="B176" s="114" t="str" cm="1">
        <f t="array" ref="B176">IFERROR(INDEX('03.Muestra'!$C$8:$C$42,SMALL(IF("Página Web"='03.Muestra'!$D$8:$D$42,ROW('03.Muestra'!$C$8:$C$42)-MIN(ROW('03.Muestra'!$D$8:$D$42))+1,""),ROW()-170)),"")</f>
        <v>Home - PortCastelló</v>
      </c>
      <c r="C176" s="114" t="str" cm="1">
        <f t="array" ref="C176">IFERROR(INDEX('03.Muestra'!$F$8:$F$42,SMALL(IF("Página Web"='03.Muestra'!$D$8:$D$42,ROW('03.Muestra'!$F$8:$F$42)-MIN(ROW('03.Muestra'!$D$8:$D$42))+1,""),ROW()-170)),"")</f>
        <v>https://www.portcastello.com/</v>
      </c>
      <c r="D176" s="130" t="str">
        <f t="shared" si="9"/>
        <v>N/T</v>
      </c>
      <c r="E176" s="107" t="str">
        <f t="shared" si="8"/>
        <v/>
      </c>
      <c r="G176" s="19"/>
      <c r="H176" s="19"/>
      <c r="I176" s="19"/>
      <c r="J176" s="19"/>
      <c r="K176" s="228"/>
      <c r="L176" s="19"/>
      <c r="M176" s="19"/>
      <c r="N176" s="19"/>
      <c r="O176" s="19"/>
      <c r="P176" s="19"/>
      <c r="Q176" s="19"/>
      <c r="R176" s="19"/>
      <c r="T176" s="19"/>
      <c r="U176" s="19"/>
      <c r="V176" s="19"/>
      <c r="W176" s="19"/>
      <c r="X176" s="19"/>
      <c r="Y176" s="19"/>
    </row>
    <row r="177" spans="1:25" ht="12" customHeight="1">
      <c r="A177" s="219" t="n" cm="1">
        <f t="array" ref="A177">IFERROR(INDEX('03.Muestra'!$B$8:$B$42,SMALL(IF("Página Web"='03.Muestra'!$D$8:$D$42,ROW('03.Muestra'!$B$8:$B$42)-MIN(ROW('03.Muestra'!$D$8:$D$42))+1,""),ROW()-170)),"")</f>
        <v>1.0</v>
      </c>
      <c r="B177" s="114" t="str" cm="1">
        <f t="array" ref="B177">IFERROR(INDEX('03.Muestra'!$C$8:$C$42,SMALL(IF("Página Web"='03.Muestra'!$D$8:$D$42,ROW('03.Muestra'!$C$8:$C$42)-MIN(ROW('03.Muestra'!$D$8:$D$42))+1,""),ROW()-170)),"")</f>
        <v>Home - PortCastelló</v>
      </c>
      <c r="C177" s="114" t="str" cm="1">
        <f t="array" ref="C177">IFERROR(INDEX('03.Muestra'!$F$8:$F$42,SMALL(IF("Página Web"='03.Muestra'!$D$8:$D$42,ROW('03.Muestra'!$F$8:$F$42)-MIN(ROW('03.Muestra'!$D$8:$D$42))+1,""),ROW()-170)),"")</f>
        <v>https://www.portcastello.com/</v>
      </c>
      <c r="D177" s="130" t="str">
        <f t="shared" si="9"/>
        <v>N/T</v>
      </c>
      <c r="E177" s="107" t="str">
        <f t="shared" si="8"/>
        <v/>
      </c>
      <c r="F177" s="19"/>
      <c r="G177" s="19"/>
      <c r="H177" s="19"/>
      <c r="I177" s="19"/>
      <c r="J177" s="19"/>
      <c r="K177" s="228"/>
      <c r="L177" s="19"/>
      <c r="M177" s="19"/>
      <c r="N177" s="19"/>
      <c r="O177" s="19"/>
      <c r="P177" s="19"/>
      <c r="Q177" s="19"/>
      <c r="R177" s="19"/>
      <c r="S177" s="19"/>
      <c r="T177" s="19"/>
      <c r="U177" s="19"/>
      <c r="V177" s="19"/>
      <c r="W177" s="19"/>
      <c r="X177" s="19"/>
      <c r="Y177" s="19"/>
    </row>
    <row r="178" spans="1:25" ht="12" customHeight="1">
      <c r="A178" s="219" t="n" cm="1">
        <f t="array" ref="A178">IFERROR(INDEX('03.Muestra'!$B$8:$B$42,SMALL(IF("Página Web"='03.Muestra'!$D$8:$D$42,ROW('03.Muestra'!$B$8:$B$42)-MIN(ROW('03.Muestra'!$D$8:$D$42))+1,""),ROW()-170)),"")</f>
        <v>1.0</v>
      </c>
      <c r="B178" s="114" t="str" cm="1">
        <f t="array" ref="B178">IFERROR(INDEX('03.Muestra'!$C$8:$C$42,SMALL(IF("Página Web"='03.Muestra'!$D$8:$D$42,ROW('03.Muestra'!$C$8:$C$42)-MIN(ROW('03.Muestra'!$D$8:$D$42))+1,""),ROW()-170)),"")</f>
        <v>Home - PortCastelló</v>
      </c>
      <c r="C178" s="114" t="str" cm="1">
        <f t="array" ref="C178">IFERROR(INDEX('03.Muestra'!$F$8:$F$42,SMALL(IF("Página Web"='03.Muestra'!$D$8:$D$42,ROW('03.Muestra'!$F$8:$F$42)-MIN(ROW('03.Muestra'!$D$8:$D$42))+1,""),ROW()-170)),"")</f>
        <v>https://www.portcastello.com/</v>
      </c>
      <c r="D178" s="130" t="str">
        <f t="shared" si="9"/>
        <v>N/T</v>
      </c>
      <c r="E178" s="107" t="str">
        <f t="shared" si="8"/>
        <v/>
      </c>
      <c r="F178" s="19"/>
      <c r="G178" s="19"/>
      <c r="H178" s="19"/>
      <c r="I178" s="19"/>
      <c r="J178" s="19"/>
      <c r="K178" s="228"/>
      <c r="L178" s="19"/>
      <c r="M178" s="19"/>
      <c r="N178" s="19"/>
      <c r="O178" s="19"/>
      <c r="P178" s="19"/>
      <c r="Q178" s="19"/>
      <c r="R178" s="19"/>
      <c r="S178" s="19"/>
      <c r="T178" s="19"/>
      <c r="U178" s="19"/>
      <c r="V178" s="19"/>
      <c r="W178" s="19"/>
      <c r="X178" s="19"/>
      <c r="Y178" s="19"/>
    </row>
    <row r="179" spans="1:25" ht="12" customHeight="1">
      <c r="A179" s="219" t="n" cm="1">
        <f t="array" ref="A179">IFERROR(INDEX('03.Muestra'!$B$8:$B$42,SMALL(IF("Página Web"='03.Muestra'!$D$8:$D$42,ROW('03.Muestra'!$B$8:$B$42)-MIN(ROW('03.Muestra'!$D$8:$D$42))+1,""),ROW()-170)),"")</f>
        <v>1.0</v>
      </c>
      <c r="B179" s="114" t="str" cm="1">
        <f t="array" ref="B179">IFERROR(INDEX('03.Muestra'!$C$8:$C$42,SMALL(IF("Página Web"='03.Muestra'!$D$8:$D$42,ROW('03.Muestra'!$C$8:$C$42)-MIN(ROW('03.Muestra'!$D$8:$D$42))+1,""),ROW()-170)),"")</f>
        <v>Home - PortCastelló</v>
      </c>
      <c r="C179" s="114" t="str" cm="1">
        <f t="array" ref="C179">IFERROR(INDEX('03.Muestra'!$F$8:$F$42,SMALL(IF("Página Web"='03.Muestra'!$D$8:$D$42,ROW('03.Muestra'!$F$8:$F$42)-MIN(ROW('03.Muestra'!$D$8:$D$42))+1,""),ROW()-170)),"")</f>
        <v>https://www.portcastello.com/</v>
      </c>
      <c r="D179" s="130" t="str">
        <f t="shared" si="9"/>
        <v>N/T</v>
      </c>
      <c r="E179" s="107" t="str">
        <f t="shared" si="8"/>
        <v/>
      </c>
      <c r="F179" s="19"/>
      <c r="G179" s="19"/>
      <c r="H179" s="19"/>
      <c r="I179" s="19"/>
      <c r="J179" s="19"/>
      <c r="K179" s="228"/>
      <c r="L179" s="19"/>
      <c r="M179" s="19"/>
      <c r="N179" s="19"/>
      <c r="O179" s="19"/>
      <c r="P179" s="19"/>
      <c r="Q179" s="19"/>
      <c r="R179" s="19"/>
      <c r="S179" s="19"/>
      <c r="T179" s="19"/>
      <c r="U179" s="19"/>
      <c r="V179" s="19"/>
      <c r="W179" s="19"/>
      <c r="X179" s="19"/>
      <c r="Y179" s="19"/>
    </row>
    <row r="180" spans="1:25" ht="12" customHeight="1">
      <c r="A180" s="219" t="n" cm="1">
        <f t="array" ref="A180">IFERROR(INDEX('03.Muestra'!$B$8:$B$42,SMALL(IF("Página Web"='03.Muestra'!$D$8:$D$42,ROW('03.Muestra'!$B$8:$B$42)-MIN(ROW('03.Muestra'!$D$8:$D$42))+1,""),ROW()-170)),"")</f>
        <v>1.0</v>
      </c>
      <c r="B180" s="114" t="str" cm="1">
        <f t="array" ref="B180">IFERROR(INDEX('03.Muestra'!$C$8:$C$42,SMALL(IF("Página Web"='03.Muestra'!$D$8:$D$42,ROW('03.Muestra'!$C$8:$C$42)-MIN(ROW('03.Muestra'!$D$8:$D$42))+1,""),ROW()-170)),"")</f>
        <v>Home - PortCastelló</v>
      </c>
      <c r="C180" s="114" t="str" cm="1">
        <f t="array" ref="C180">IFERROR(INDEX('03.Muestra'!$F$8:$F$42,SMALL(IF("Página Web"='03.Muestra'!$D$8:$D$42,ROW('03.Muestra'!$F$8:$F$42)-MIN(ROW('03.Muestra'!$D$8:$D$42))+1,""),ROW()-170)),"")</f>
        <v>https://www.portcastello.com/</v>
      </c>
      <c r="D180" s="130" t="str">
        <f t="shared" si="9"/>
        <v>N/T</v>
      </c>
      <c r="E180" s="107" t="str">
        <f t="shared" si="8"/>
        <v/>
      </c>
      <c r="F180" s="19"/>
      <c r="G180" s="19"/>
      <c r="H180" s="19"/>
      <c r="I180" s="19"/>
      <c r="J180" s="19"/>
      <c r="K180" s="228"/>
      <c r="L180" s="19"/>
      <c r="M180" s="19"/>
      <c r="N180" s="19"/>
      <c r="O180" s="19"/>
      <c r="P180" s="19"/>
      <c r="Q180" s="19"/>
      <c r="R180" s="19"/>
      <c r="S180" s="19"/>
      <c r="T180" s="19"/>
      <c r="U180" s="19"/>
      <c r="V180" s="19"/>
      <c r="W180" s="19"/>
      <c r="X180" s="19"/>
      <c r="Y180" s="19"/>
    </row>
    <row r="181" spans="1:25" ht="12" customHeight="1">
      <c r="A181" s="219" t="n" cm="1">
        <f t="array" ref="A181">IFERROR(INDEX('03.Muestra'!$B$8:$B$42,SMALL(IF("Página Web"='03.Muestra'!$D$8:$D$42,ROW('03.Muestra'!$B$8:$B$42)-MIN(ROW('03.Muestra'!$D$8:$D$42))+1,""),ROW()-170)),"")</f>
        <v>1.0</v>
      </c>
      <c r="B181" s="114" t="str" cm="1">
        <f t="array" ref="B181">IFERROR(INDEX('03.Muestra'!$C$8:$C$42,SMALL(IF("Página Web"='03.Muestra'!$D$8:$D$42,ROW('03.Muestra'!$C$8:$C$42)-MIN(ROW('03.Muestra'!$D$8:$D$42))+1,""),ROW()-170)),"")</f>
        <v>Home - PortCastelló</v>
      </c>
      <c r="C181" s="114" t="str" cm="1">
        <f t="array" ref="C181">IFERROR(INDEX('03.Muestra'!$F$8:$F$42,SMALL(IF("Página Web"='03.Muestra'!$D$8:$D$42,ROW('03.Muestra'!$F$8:$F$42)-MIN(ROW('03.Muestra'!$D$8:$D$42))+1,""),ROW()-170)),"")</f>
        <v>https://www.portcastello.com/</v>
      </c>
      <c r="D181" s="130" t="str">
        <f t="shared" si="9"/>
        <v>N/T</v>
      </c>
      <c r="E181" s="107" t="str">
        <f t="shared" si="8"/>
        <v/>
      </c>
      <c r="F181" s="19"/>
      <c r="G181" s="19"/>
      <c r="H181" s="19"/>
      <c r="I181" s="19"/>
      <c r="J181" s="19"/>
      <c r="K181" s="228"/>
      <c r="L181" s="19"/>
      <c r="M181" s="19"/>
      <c r="N181" s="19"/>
      <c r="O181" s="19"/>
      <c r="P181" s="19"/>
      <c r="Q181" s="19"/>
      <c r="R181" s="19"/>
      <c r="S181" s="19"/>
      <c r="T181" s="19"/>
      <c r="U181" s="19"/>
      <c r="V181" s="19"/>
      <c r="W181" s="19"/>
      <c r="X181" s="19"/>
      <c r="Y181" s="19"/>
    </row>
    <row r="182" spans="1:25" ht="12" customHeight="1">
      <c r="A182" s="219" t="n" cm="1">
        <f t="array" ref="A182">IFERROR(INDEX('03.Muestra'!$B$8:$B$42,SMALL(IF("Página Web"='03.Muestra'!$D$8:$D$42,ROW('03.Muestra'!$B$8:$B$42)-MIN(ROW('03.Muestra'!$D$8:$D$42))+1,""),ROW()-170)),"")</f>
        <v>1.0</v>
      </c>
      <c r="B182" s="114" t="str" cm="1">
        <f t="array" ref="B182">IFERROR(INDEX('03.Muestra'!$C$8:$C$42,SMALL(IF("Página Web"='03.Muestra'!$D$8:$D$42,ROW('03.Muestra'!$C$8:$C$42)-MIN(ROW('03.Muestra'!$D$8:$D$42))+1,""),ROW()-170)),"")</f>
        <v>Home - PortCastelló</v>
      </c>
      <c r="C182" s="114" t="str" cm="1">
        <f t="array" ref="C182">IFERROR(INDEX('03.Muestra'!$F$8:$F$42,SMALL(IF("Página Web"='03.Muestra'!$D$8:$D$42,ROW('03.Muestra'!$F$8:$F$42)-MIN(ROW('03.Muestra'!$D$8:$D$42))+1,""),ROW()-170)),"")</f>
        <v>https://www.portcastello.com/</v>
      </c>
      <c r="D182" s="130" t="str">
        <f t="shared" si="9"/>
        <v>N/T</v>
      </c>
      <c r="E182" s="107" t="str">
        <f t="shared" si="8"/>
        <v/>
      </c>
      <c r="F182" s="19"/>
      <c r="G182" s="19"/>
      <c r="H182" s="19"/>
      <c r="I182" s="19"/>
      <c r="J182" s="19"/>
      <c r="K182" s="228"/>
      <c r="L182" s="19"/>
      <c r="M182" s="19"/>
      <c r="N182" s="19"/>
      <c r="O182" s="19"/>
      <c r="P182" s="19"/>
      <c r="Q182" s="19"/>
      <c r="R182" s="19"/>
      <c r="S182" s="19"/>
      <c r="T182" s="19"/>
      <c r="U182" s="19"/>
      <c r="V182" s="19"/>
      <c r="W182" s="19"/>
      <c r="X182" s="19"/>
      <c r="Y182" s="19"/>
    </row>
    <row r="183" spans="1:25" ht="12" customHeight="1">
      <c r="A183" s="219" t="n" cm="1">
        <f t="array" ref="A183">IFERROR(INDEX('03.Muestra'!$B$8:$B$42,SMALL(IF("Página Web"='03.Muestra'!$D$8:$D$42,ROW('03.Muestra'!$B$8:$B$42)-MIN(ROW('03.Muestra'!$D$8:$D$42))+1,""),ROW()-170)),"")</f>
        <v>1.0</v>
      </c>
      <c r="B183" s="114" t="str" cm="1">
        <f t="array" ref="B183">IFERROR(INDEX('03.Muestra'!$C$8:$C$42,SMALL(IF("Página Web"='03.Muestra'!$D$8:$D$42,ROW('03.Muestra'!$C$8:$C$42)-MIN(ROW('03.Muestra'!$D$8:$D$42))+1,""),ROW()-170)),"")</f>
        <v>Home - PortCastelló</v>
      </c>
      <c r="C183" s="114" t="str" cm="1">
        <f t="array" ref="C183">IFERROR(INDEX('03.Muestra'!$F$8:$F$42,SMALL(IF("Página Web"='03.Muestra'!$D$8:$D$42,ROW('03.Muestra'!$F$8:$F$42)-MIN(ROW('03.Muestra'!$D$8:$D$42))+1,""),ROW()-170)),"")</f>
        <v>https://www.portcastello.com/</v>
      </c>
      <c r="D183" s="130" t="str">
        <f t="shared" si="9"/>
        <v>N/T</v>
      </c>
      <c r="E183" s="107" t="str">
        <f t="shared" si="8"/>
        <v/>
      </c>
      <c r="F183" s="19"/>
      <c r="G183" s="19"/>
      <c r="H183" s="19"/>
      <c r="I183" s="19"/>
      <c r="J183" s="19"/>
      <c r="K183" s="228"/>
      <c r="L183" s="19"/>
      <c r="M183" s="19"/>
      <c r="N183" s="19"/>
      <c r="O183" s="19"/>
      <c r="P183" s="19"/>
      <c r="Q183" s="19"/>
      <c r="R183" s="19"/>
      <c r="S183" s="19"/>
      <c r="T183" s="19"/>
      <c r="U183" s="19"/>
      <c r="V183" s="19"/>
      <c r="W183" s="19"/>
      <c r="X183" s="19"/>
      <c r="Y183" s="19"/>
    </row>
    <row r="184" spans="1:25" ht="12" customHeight="1">
      <c r="A184" s="219" t="n" cm="1">
        <f t="array" ref="A184">IFERROR(INDEX('03.Muestra'!$B$8:$B$42,SMALL(IF("Página Web"='03.Muestra'!$D$8:$D$42,ROW('03.Muestra'!$B$8:$B$42)-MIN(ROW('03.Muestra'!$D$8:$D$42))+1,""),ROW()-170)),"")</f>
        <v>1.0</v>
      </c>
      <c r="B184" s="114" t="str" cm="1">
        <f t="array" ref="B184">IFERROR(INDEX('03.Muestra'!$C$8:$C$42,SMALL(IF("Página Web"='03.Muestra'!$D$8:$D$42,ROW('03.Muestra'!$C$8:$C$42)-MIN(ROW('03.Muestra'!$D$8:$D$42))+1,""),ROW()-170)),"")</f>
        <v>Home - PortCastelló</v>
      </c>
      <c r="C184" s="114" t="str" cm="1">
        <f t="array" ref="C184">IFERROR(INDEX('03.Muestra'!$F$8:$F$42,SMALL(IF("Página Web"='03.Muestra'!$D$8:$D$42,ROW('03.Muestra'!$F$8:$F$42)-MIN(ROW('03.Muestra'!$D$8:$D$42))+1,""),ROW()-170)),"")</f>
        <v>https://www.portcastello.com/</v>
      </c>
      <c r="D184" s="130" t="str">
        <f t="shared" si="9"/>
        <v>N/T</v>
      </c>
      <c r="E184" s="107" t="str">
        <f t="shared" si="8"/>
        <v/>
      </c>
      <c r="F184" s="19"/>
      <c r="G184" s="19"/>
      <c r="H184" s="19"/>
      <c r="I184" s="19"/>
      <c r="J184" s="19"/>
      <c r="K184" s="228"/>
      <c r="L184" s="19"/>
      <c r="M184" s="19"/>
      <c r="N184" s="19"/>
      <c r="O184" s="19"/>
      <c r="P184" s="19"/>
      <c r="Q184" s="19"/>
      <c r="R184" s="19"/>
      <c r="S184" s="19"/>
      <c r="T184" s="19"/>
      <c r="U184" s="19"/>
      <c r="V184" s="19"/>
      <c r="W184" s="19"/>
      <c r="X184" s="19"/>
      <c r="Y184" s="19"/>
    </row>
    <row r="185" spans="1:25" ht="12" customHeight="1">
      <c r="A185" s="219" t="n" cm="1">
        <f t="array" ref="A185">IFERROR(INDEX('03.Muestra'!$B$8:$B$42,SMALL(IF("Página Web"='03.Muestra'!$D$8:$D$42,ROW('03.Muestra'!$B$8:$B$42)-MIN(ROW('03.Muestra'!$D$8:$D$42))+1,""),ROW()-170)),"")</f>
        <v>1.0</v>
      </c>
      <c r="B185" s="114" t="str" cm="1">
        <f t="array" ref="B185">IFERROR(INDEX('03.Muestra'!$C$8:$C$42,SMALL(IF("Página Web"='03.Muestra'!$D$8:$D$42,ROW('03.Muestra'!$C$8:$C$42)-MIN(ROW('03.Muestra'!$D$8:$D$42))+1,""),ROW()-170)),"")</f>
        <v>Home - PortCastelló</v>
      </c>
      <c r="C185" s="114" t="str" cm="1">
        <f t="array" ref="C185">IFERROR(INDEX('03.Muestra'!$F$8:$F$42,SMALL(IF("Página Web"='03.Muestra'!$D$8:$D$42,ROW('03.Muestra'!$F$8:$F$42)-MIN(ROW('03.Muestra'!$D$8:$D$42))+1,""),ROW()-170)),"")</f>
        <v>https://www.portcastello.com/</v>
      </c>
      <c r="D185" s="130" t="str">
        <f t="shared" si="9"/>
        <v>N/T</v>
      </c>
      <c r="E185" s="107" t="str">
        <f t="shared" si="8"/>
        <v/>
      </c>
      <c r="F185" s="19"/>
      <c r="G185" s="19"/>
      <c r="H185" s="19"/>
      <c r="I185" s="19"/>
      <c r="J185" s="19"/>
      <c r="K185" s="228"/>
      <c r="L185" s="19"/>
      <c r="M185" s="19"/>
      <c r="N185" s="19"/>
      <c r="O185" s="19"/>
      <c r="P185" s="19"/>
      <c r="Q185" s="19"/>
      <c r="R185" s="19"/>
      <c r="S185" s="19"/>
      <c r="T185" s="19"/>
      <c r="U185" s="19"/>
      <c r="V185" s="19"/>
      <c r="W185" s="19"/>
      <c r="X185" s="19"/>
      <c r="Y185" s="19"/>
    </row>
    <row r="186" spans="1:25" ht="12" customHeight="1">
      <c r="A186" s="219" t="n" cm="1">
        <f t="array" ref="A186">IFERROR(INDEX('03.Muestra'!$B$8:$B$42,SMALL(IF("Página Web"='03.Muestra'!$D$8:$D$42,ROW('03.Muestra'!$B$8:$B$42)-MIN(ROW('03.Muestra'!$D$8:$D$42))+1,""),ROW()-170)),"")</f>
        <v>1.0</v>
      </c>
      <c r="B186" s="114" t="str" cm="1">
        <f t="array" ref="B186">IFERROR(INDEX('03.Muestra'!$C$8:$C$42,SMALL(IF("Página Web"='03.Muestra'!$D$8:$D$42,ROW('03.Muestra'!$C$8:$C$42)-MIN(ROW('03.Muestra'!$D$8:$D$42))+1,""),ROW()-170)),"")</f>
        <v>Home - PortCastelló</v>
      </c>
      <c r="C186" s="114" t="str" cm="1">
        <f t="array" ref="C186">IFERROR(INDEX('03.Muestra'!$F$8:$F$42,SMALL(IF("Página Web"='03.Muestra'!$D$8:$D$42,ROW('03.Muestra'!$F$8:$F$42)-MIN(ROW('03.Muestra'!$D$8:$D$42))+1,""),ROW()-170)),"")</f>
        <v>https://www.portcastello.com/</v>
      </c>
      <c r="D186" s="130" t="str">
        <f t="shared" si="9"/>
        <v>N/T</v>
      </c>
      <c r="E186" s="107" t="str">
        <f t="shared" si="8"/>
        <v/>
      </c>
      <c r="F186" s="19"/>
      <c r="G186" s="19"/>
      <c r="H186" s="19"/>
      <c r="I186" s="19"/>
      <c r="J186" s="19"/>
      <c r="K186" s="228"/>
      <c r="L186" s="19"/>
      <c r="M186" s="19"/>
      <c r="N186" s="19"/>
      <c r="O186" s="19"/>
      <c r="P186" s="19"/>
      <c r="Q186" s="19"/>
      <c r="R186" s="19"/>
      <c r="S186" s="19"/>
      <c r="T186" s="19"/>
      <c r="U186" s="19"/>
      <c r="V186" s="19"/>
      <c r="W186" s="19"/>
      <c r="X186" s="19"/>
      <c r="Y186" s="19"/>
    </row>
    <row r="187" spans="1:25" ht="12" customHeight="1">
      <c r="A187" s="219" t="n" cm="1">
        <f t="array" ref="A187">IFERROR(INDEX('03.Muestra'!$B$8:$B$42,SMALL(IF("Página Web"='03.Muestra'!$D$8:$D$42,ROW('03.Muestra'!$B$8:$B$42)-MIN(ROW('03.Muestra'!$D$8:$D$42))+1,""),ROW()-170)),"")</f>
        <v>1.0</v>
      </c>
      <c r="B187" s="114" t="str" cm="1">
        <f t="array" ref="B187">IFERROR(INDEX('03.Muestra'!$C$8:$C$42,SMALL(IF("Página Web"='03.Muestra'!$D$8:$D$42,ROW('03.Muestra'!$C$8:$C$42)-MIN(ROW('03.Muestra'!$D$8:$D$42))+1,""),ROW()-170)),"")</f>
        <v>Home - PortCastelló</v>
      </c>
      <c r="C187" s="114" t="str" cm="1">
        <f t="array" ref="C187">IFERROR(INDEX('03.Muestra'!$F$8:$F$42,SMALL(IF("Página Web"='03.Muestra'!$D$8:$D$42,ROW('03.Muestra'!$F$8:$F$42)-MIN(ROW('03.Muestra'!$D$8:$D$42))+1,""),ROW()-170)),"")</f>
        <v>https://www.portcastello.com/</v>
      </c>
      <c r="D187" s="130" t="str">
        <f t="shared" si="9"/>
        <v>N/T</v>
      </c>
      <c r="E187" s="107" t="str">
        <f t="shared" si="8"/>
        <v/>
      </c>
      <c r="F187" s="19"/>
      <c r="G187" s="19"/>
      <c r="H187" s="19"/>
      <c r="I187" s="19"/>
      <c r="J187" s="19"/>
      <c r="K187" s="228"/>
      <c r="L187" s="19"/>
      <c r="M187" s="19"/>
      <c r="N187" s="19"/>
      <c r="O187" s="19"/>
      <c r="P187" s="19"/>
      <c r="Q187" s="19"/>
      <c r="R187" s="19"/>
      <c r="S187" s="19"/>
      <c r="T187" s="19"/>
      <c r="U187" s="19"/>
      <c r="V187" s="19"/>
      <c r="W187" s="19"/>
      <c r="X187" s="19"/>
      <c r="Y187" s="19"/>
    </row>
    <row r="188" spans="1:25" ht="12" customHeight="1">
      <c r="A188" s="219" t="n" cm="1">
        <f t="array" ref="A188">IFERROR(INDEX('03.Muestra'!$B$8:$B$42,SMALL(IF("Página Web"='03.Muestra'!$D$8:$D$42,ROW('03.Muestra'!$B$8:$B$42)-MIN(ROW('03.Muestra'!$D$8:$D$42))+1,""),ROW()-170)),"")</f>
        <v>1.0</v>
      </c>
      <c r="B188" s="114" t="str" cm="1">
        <f t="array" ref="B188">IFERROR(INDEX('03.Muestra'!$C$8:$C$42,SMALL(IF("Página Web"='03.Muestra'!$D$8:$D$42,ROW('03.Muestra'!$C$8:$C$42)-MIN(ROW('03.Muestra'!$D$8:$D$42))+1,""),ROW()-170)),"")</f>
        <v>Home - PortCastelló</v>
      </c>
      <c r="C188" s="114" t="str" cm="1">
        <f t="array" ref="C188">IFERROR(INDEX('03.Muestra'!$F$8:$F$42,SMALL(IF("Página Web"='03.Muestra'!$D$8:$D$42,ROW('03.Muestra'!$F$8:$F$42)-MIN(ROW('03.Muestra'!$D$8:$D$42))+1,""),ROW()-170)),"")</f>
        <v>https://www.portcastello.com/</v>
      </c>
      <c r="D188" s="130" t="str">
        <f t="shared" si="9"/>
        <v>N/T</v>
      </c>
      <c r="E188" s="107" t="str">
        <f t="shared" si="8"/>
        <v/>
      </c>
      <c r="F188" s="19"/>
      <c r="G188" s="19"/>
      <c r="H188" s="19"/>
      <c r="I188" s="19"/>
      <c r="J188" s="19"/>
      <c r="K188" s="228"/>
      <c r="L188" s="19"/>
      <c r="M188" s="19"/>
      <c r="N188" s="19"/>
      <c r="O188" s="19"/>
      <c r="P188" s="19"/>
      <c r="Q188" s="19"/>
      <c r="R188" s="19"/>
      <c r="S188" s="19"/>
      <c r="T188" s="19"/>
      <c r="U188" s="19"/>
      <c r="V188" s="19"/>
      <c r="W188" s="19"/>
      <c r="X188" s="19"/>
      <c r="Y188" s="19"/>
    </row>
    <row r="189" spans="1:25" ht="12" customHeight="1">
      <c r="A189" s="219" t="n" cm="1">
        <f t="array" ref="A189">IFERROR(INDEX('03.Muestra'!$B$8:$B$42,SMALL(IF("Página Web"='03.Muestra'!$D$8:$D$42,ROW('03.Muestra'!$B$8:$B$42)-MIN(ROW('03.Muestra'!$D$8:$D$42))+1,""),ROW()-170)),"")</f>
        <v>1.0</v>
      </c>
      <c r="B189" s="114" t="str" cm="1">
        <f t="array" ref="B189">IFERROR(INDEX('03.Muestra'!$C$8:$C$42,SMALL(IF("Página Web"='03.Muestra'!$D$8:$D$42,ROW('03.Muestra'!$C$8:$C$42)-MIN(ROW('03.Muestra'!$D$8:$D$42))+1,""),ROW()-170)),"")</f>
        <v>Home - PortCastelló</v>
      </c>
      <c r="C189" s="114" t="str" cm="1">
        <f t="array" ref="C189">IFERROR(INDEX('03.Muestra'!$F$8:$F$42,SMALL(IF("Página Web"='03.Muestra'!$D$8:$D$42,ROW('03.Muestra'!$F$8:$F$42)-MIN(ROW('03.Muestra'!$D$8:$D$42))+1,""),ROW()-170)),"")</f>
        <v>https://www.portcastello.com/</v>
      </c>
      <c r="D189" s="130" t="str">
        <f t="shared" si="9"/>
        <v>N/T</v>
      </c>
      <c r="E189" s="107" t="str">
        <f t="shared" si="8"/>
        <v/>
      </c>
      <c r="F189" s="19"/>
      <c r="G189" s="19"/>
      <c r="H189" s="19"/>
      <c r="I189" s="19"/>
      <c r="J189" s="19"/>
      <c r="K189" s="228"/>
      <c r="L189" s="19"/>
      <c r="M189" s="19"/>
      <c r="N189" s="19"/>
      <c r="O189" s="19"/>
      <c r="P189" s="19"/>
      <c r="Q189" s="19"/>
      <c r="R189" s="19"/>
      <c r="S189" s="19"/>
      <c r="T189" s="19"/>
      <c r="U189" s="19"/>
      <c r="V189" s="19"/>
      <c r="W189" s="19"/>
      <c r="X189" s="19"/>
      <c r="Y189" s="19"/>
    </row>
    <row r="190" spans="1:25" ht="12" customHeight="1">
      <c r="A190" s="219" t="n" cm="1">
        <f t="array" ref="A190">IFERROR(INDEX('03.Muestra'!$B$8:$B$42,SMALL(IF("Página Web"='03.Muestra'!$D$8:$D$42,ROW('03.Muestra'!$B$8:$B$42)-MIN(ROW('03.Muestra'!$D$8:$D$42))+1,""),ROW()-170)),"")</f>
        <v>1.0</v>
      </c>
      <c r="B190" s="114" t="str" cm="1">
        <f t="array" ref="B190">IFERROR(INDEX('03.Muestra'!$C$8:$C$42,SMALL(IF("Página Web"='03.Muestra'!$D$8:$D$42,ROW('03.Muestra'!$C$8:$C$42)-MIN(ROW('03.Muestra'!$D$8:$D$42))+1,""),ROW()-170)),"")</f>
        <v>Home - PortCastelló</v>
      </c>
      <c r="C190" s="114" t="str" cm="1">
        <f t="array" ref="C190">IFERROR(INDEX('03.Muestra'!$F$8:$F$42,SMALL(IF("Página Web"='03.Muestra'!$D$8:$D$42,ROW('03.Muestra'!$F$8:$F$42)-MIN(ROW('03.Muestra'!$D$8:$D$42))+1,""),ROW()-170)),"")</f>
        <v>https://www.portcastello.com/</v>
      </c>
      <c r="D190" s="130" t="str">
        <f t="shared" si="9"/>
        <v>N/T</v>
      </c>
      <c r="E190" s="107" t="str">
        <f t="shared" si="8"/>
        <v/>
      </c>
      <c r="F190" s="19"/>
      <c r="G190" s="19"/>
      <c r="H190" s="19"/>
      <c r="I190" s="19"/>
      <c r="J190" s="19"/>
      <c r="K190" s="228"/>
      <c r="L190" s="19"/>
      <c r="M190" s="19"/>
      <c r="N190" s="19"/>
      <c r="O190" s="19"/>
      <c r="P190" s="19"/>
      <c r="Q190" s="19"/>
      <c r="R190" s="19"/>
      <c r="S190" s="19"/>
      <c r="T190" s="19"/>
      <c r="U190" s="19"/>
      <c r="V190" s="19"/>
      <c r="W190" s="19"/>
      <c r="X190" s="19"/>
      <c r="Y190" s="19"/>
    </row>
    <row r="191" spans="1:25" ht="12" customHeight="1">
      <c r="A191" s="219" t="n" cm="1">
        <f t="array" ref="A191">IFERROR(INDEX('03.Muestra'!$B$8:$B$42,SMALL(IF("Página Web"='03.Muestra'!$D$8:$D$42,ROW('03.Muestra'!$B$8:$B$42)-MIN(ROW('03.Muestra'!$D$8:$D$42))+1,""),ROW()-170)),"")</f>
        <v>1.0</v>
      </c>
      <c r="B191" s="114" t="str" cm="1">
        <f t="array" ref="B191">IFERROR(INDEX('03.Muestra'!$C$8:$C$42,SMALL(IF("Página Web"='03.Muestra'!$D$8:$D$42,ROW('03.Muestra'!$C$8:$C$42)-MIN(ROW('03.Muestra'!$D$8:$D$42))+1,""),ROW()-170)),"")</f>
        <v>Home - PortCastelló</v>
      </c>
      <c r="C191" s="114" t="str" cm="1">
        <f t="array" ref="C191">IFERROR(INDEX('03.Muestra'!$F$8:$F$42,SMALL(IF("Página Web"='03.Muestra'!$D$8:$D$42,ROW('03.Muestra'!$F$8:$F$42)-MIN(ROW('03.Muestra'!$D$8:$D$42))+1,""),ROW()-170)),"")</f>
        <v>https://www.portcastello.com/</v>
      </c>
      <c r="D191" s="130" t="str">
        <f t="shared" si="9"/>
        <v>N/T</v>
      </c>
      <c r="E191" s="107" t="str">
        <f t="shared" si="8"/>
        <v/>
      </c>
      <c r="F191" s="19"/>
      <c r="G191" s="19"/>
      <c r="H191" s="19"/>
      <c r="I191" s="19"/>
      <c r="J191" s="19"/>
      <c r="K191" s="228"/>
      <c r="L191" s="19"/>
      <c r="M191" s="19"/>
      <c r="N191" s="19"/>
      <c r="O191" s="19"/>
      <c r="P191" s="19"/>
      <c r="Q191" s="19"/>
      <c r="R191" s="19"/>
      <c r="S191" s="19"/>
      <c r="T191" s="19"/>
      <c r="U191" s="19"/>
      <c r="V191" s="19"/>
      <c r="W191" s="19"/>
      <c r="X191" s="19"/>
      <c r="Y191" s="19"/>
    </row>
    <row r="192" spans="1:25" ht="12" customHeight="1">
      <c r="A192" s="219" t="n" cm="1">
        <f t="array" ref="A192">IFERROR(INDEX('03.Muestra'!$B$8:$B$42,SMALL(IF("Página Web"='03.Muestra'!$D$8:$D$42,ROW('03.Muestra'!$B$8:$B$42)-MIN(ROW('03.Muestra'!$D$8:$D$42))+1,""),ROW()-170)),"")</f>
        <v>1.0</v>
      </c>
      <c r="B192" s="114" t="str" cm="1">
        <f t="array" ref="B192">IFERROR(INDEX('03.Muestra'!$C$8:$C$42,SMALL(IF("Página Web"='03.Muestra'!$D$8:$D$42,ROW('03.Muestra'!$C$8:$C$42)-MIN(ROW('03.Muestra'!$D$8:$D$42))+1,""),ROW()-170)),"")</f>
        <v>Home - PortCastelló</v>
      </c>
      <c r="C192" s="114" t="str" cm="1">
        <f t="array" ref="C192">IFERROR(INDEX('03.Muestra'!$F$8:$F$42,SMALL(IF("Página Web"='03.Muestra'!$D$8:$D$42,ROW('03.Muestra'!$F$8:$F$42)-MIN(ROW('03.Muestra'!$D$8:$D$42))+1,""),ROW()-170)),"")</f>
        <v>https://www.portcastello.com/</v>
      </c>
      <c r="D192" s="130" t="str">
        <f t="shared" si="9"/>
        <v>N/T</v>
      </c>
      <c r="E192" s="107" t="str">
        <f t="shared" si="8"/>
        <v/>
      </c>
      <c r="F192" s="19"/>
      <c r="G192" s="19"/>
      <c r="H192" s="19"/>
      <c r="I192" s="19"/>
      <c r="J192" s="19"/>
      <c r="K192" s="228"/>
      <c r="L192" s="19"/>
      <c r="M192" s="19"/>
      <c r="N192" s="19"/>
      <c r="O192" s="19"/>
      <c r="P192" s="19"/>
      <c r="Q192" s="19"/>
      <c r="R192" s="19"/>
      <c r="S192" s="19"/>
      <c r="T192" s="19"/>
      <c r="U192" s="19"/>
      <c r="V192" s="19"/>
      <c r="W192" s="19"/>
      <c r="X192" s="19"/>
      <c r="Y192" s="19"/>
    </row>
    <row r="193" spans="1:25" ht="12" customHeight="1">
      <c r="A193" s="219" t="n" cm="1">
        <f t="array" ref="A193">IFERROR(INDEX('03.Muestra'!$B$8:$B$42,SMALL(IF("Página Web"='03.Muestra'!$D$8:$D$42,ROW('03.Muestra'!$B$8:$B$42)-MIN(ROW('03.Muestra'!$D$8:$D$42))+1,""),ROW()-170)),"")</f>
        <v>1.0</v>
      </c>
      <c r="B193" s="114" t="str" cm="1">
        <f t="array" ref="B193">IFERROR(INDEX('03.Muestra'!$C$8:$C$42,SMALL(IF("Página Web"='03.Muestra'!$D$8:$D$42,ROW('03.Muestra'!$C$8:$C$42)-MIN(ROW('03.Muestra'!$D$8:$D$42))+1,""),ROW()-170)),"")</f>
        <v>Home - PortCastelló</v>
      </c>
      <c r="C193" s="114" t="str" cm="1">
        <f t="array" ref="C193">IFERROR(INDEX('03.Muestra'!$F$8:$F$42,SMALL(IF("Página Web"='03.Muestra'!$D$8:$D$42,ROW('03.Muestra'!$F$8:$F$42)-MIN(ROW('03.Muestra'!$D$8:$D$42))+1,""),ROW()-170)),"")</f>
        <v>https://www.portcastello.com/</v>
      </c>
      <c r="D193" s="130" t="str">
        <f t="shared" si="9"/>
        <v>N/T</v>
      </c>
      <c r="E193" s="107" t="str">
        <f t="shared" si="8"/>
        <v/>
      </c>
      <c r="F193" s="19"/>
      <c r="G193" s="19"/>
      <c r="H193" s="19"/>
      <c r="I193" s="19"/>
      <c r="J193" s="19"/>
      <c r="K193" s="228"/>
      <c r="L193" s="19"/>
      <c r="M193" s="19"/>
      <c r="N193" s="19"/>
      <c r="O193" s="19"/>
      <c r="P193" s="19"/>
      <c r="Q193" s="19"/>
      <c r="R193" s="19"/>
      <c r="S193" s="19"/>
      <c r="T193" s="19"/>
      <c r="U193" s="19"/>
      <c r="V193" s="19"/>
      <c r="W193" s="19"/>
      <c r="X193" s="19"/>
      <c r="Y193" s="19"/>
    </row>
    <row r="194" spans="1:25" ht="12" customHeight="1">
      <c r="A194" s="219" t="n" cm="1">
        <f t="array" ref="A194">IFERROR(INDEX('03.Muestra'!$B$8:$B$42,SMALL(IF("Página Web"='03.Muestra'!$D$8:$D$42,ROW('03.Muestra'!$B$8:$B$42)-MIN(ROW('03.Muestra'!$D$8:$D$42))+1,""),ROW()-170)),"")</f>
        <v>1.0</v>
      </c>
      <c r="B194" s="114" t="str" cm="1">
        <f t="array" ref="B194">IFERROR(INDEX('03.Muestra'!$C$8:$C$42,SMALL(IF("Página Web"='03.Muestra'!$D$8:$D$42,ROW('03.Muestra'!$C$8:$C$42)-MIN(ROW('03.Muestra'!$D$8:$D$42))+1,""),ROW()-170)),"")</f>
        <v>Home - PortCastelló</v>
      </c>
      <c r="C194" s="114" t="str" cm="1">
        <f t="array" ref="C194">IFERROR(INDEX('03.Muestra'!$F$8:$F$42,SMALL(IF("Página Web"='03.Muestra'!$D$8:$D$42,ROW('03.Muestra'!$F$8:$F$42)-MIN(ROW('03.Muestra'!$D$8:$D$42))+1,""),ROW()-170)),"")</f>
        <v>https://www.portcastello.com/</v>
      </c>
      <c r="D194" s="130" t="str">
        <f t="shared" si="9"/>
        <v>N/T</v>
      </c>
      <c r="E194" s="107" t="str">
        <f t="shared" si="8"/>
        <v/>
      </c>
      <c r="F194" s="19"/>
      <c r="G194" s="19"/>
      <c r="H194" s="19"/>
      <c r="I194" s="19"/>
      <c r="J194" s="19"/>
      <c r="K194" s="228"/>
      <c r="L194" s="19"/>
      <c r="M194" s="19"/>
      <c r="N194" s="19"/>
      <c r="O194" s="19"/>
      <c r="P194" s="19"/>
      <c r="Q194" s="19"/>
      <c r="R194" s="19"/>
      <c r="S194" s="19"/>
      <c r="T194" s="19"/>
      <c r="U194" s="19"/>
      <c r="V194" s="19"/>
      <c r="W194" s="19"/>
      <c r="X194" s="19"/>
      <c r="Y194" s="19"/>
    </row>
    <row r="195" spans="1:25" ht="12" customHeight="1">
      <c r="A195" s="219" t="n" cm="1">
        <f t="array" ref="A195">IFERROR(INDEX('03.Muestra'!$B$8:$B$42,SMALL(IF("Página Web"='03.Muestra'!$D$8:$D$42,ROW('03.Muestra'!$B$8:$B$42)-MIN(ROW('03.Muestra'!$D$8:$D$42))+1,""),ROW()-170)),"")</f>
        <v>1.0</v>
      </c>
      <c r="B195" s="114" t="str" cm="1">
        <f t="array" ref="B195">IFERROR(INDEX('03.Muestra'!$C$8:$C$42,SMALL(IF("Página Web"='03.Muestra'!$D$8:$D$42,ROW('03.Muestra'!$C$8:$C$42)-MIN(ROW('03.Muestra'!$D$8:$D$42))+1,""),ROW()-170)),"")</f>
        <v>Home - PortCastelló</v>
      </c>
      <c r="C195" s="114" t="str" cm="1">
        <f t="array" ref="C195">IFERROR(INDEX('03.Muestra'!$F$8:$F$42,SMALL(IF("Página Web"='03.Muestra'!$D$8:$D$42,ROW('03.Muestra'!$F$8:$F$42)-MIN(ROW('03.Muestra'!$D$8:$D$42))+1,""),ROW()-170)),"")</f>
        <v>https://www.portcastello.com/</v>
      </c>
      <c r="D195" s="130" t="str">
        <f t="shared" si="9"/>
        <v>N/T</v>
      </c>
      <c r="E195" s="107" t="str">
        <f t="shared" si="8"/>
        <v/>
      </c>
      <c r="F195" s="19"/>
      <c r="G195" s="19"/>
      <c r="H195" s="19"/>
      <c r="I195" s="19"/>
      <c r="J195" s="19"/>
      <c r="K195" s="228"/>
      <c r="L195" s="19"/>
      <c r="M195" s="19"/>
      <c r="N195" s="19"/>
      <c r="O195" s="19"/>
      <c r="P195" s="19"/>
      <c r="Q195" s="19"/>
      <c r="R195" s="19"/>
      <c r="S195" s="19"/>
      <c r="T195" s="19"/>
      <c r="U195" s="19"/>
      <c r="V195" s="19"/>
      <c r="W195" s="19"/>
      <c r="X195" s="19"/>
      <c r="Y195" s="19"/>
    </row>
    <row r="196" spans="1:25" ht="12" customHeight="1">
      <c r="A196" s="219" t="n" cm="1">
        <f t="array" ref="A196">IFERROR(INDEX('03.Muestra'!$B$8:$B$42,SMALL(IF("Página Web"='03.Muestra'!$D$8:$D$42,ROW('03.Muestra'!$B$8:$B$42)-MIN(ROW('03.Muestra'!$D$8:$D$42))+1,""),ROW()-170)),"")</f>
        <v>1.0</v>
      </c>
      <c r="B196" s="114" t="str" cm="1">
        <f t="array" ref="B196">IFERROR(INDEX('03.Muestra'!$C$8:$C$42,SMALL(IF("Página Web"='03.Muestra'!$D$8:$D$42,ROW('03.Muestra'!$C$8:$C$42)-MIN(ROW('03.Muestra'!$D$8:$D$42))+1,""),ROW()-170)),"")</f>
        <v>Home - PortCastelló</v>
      </c>
      <c r="C196" s="114" t="str" cm="1">
        <f t="array" ref="C196">IFERROR(INDEX('03.Muestra'!$F$8:$F$42,SMALL(IF("Página Web"='03.Muestra'!$D$8:$D$42,ROW('03.Muestra'!$F$8:$F$42)-MIN(ROW('03.Muestra'!$D$8:$D$42))+1,""),ROW()-170)),"")</f>
        <v>https://www.portcastello.com/</v>
      </c>
      <c r="D196" s="130" t="str">
        <f t="shared" si="9"/>
        <v>N/T</v>
      </c>
      <c r="E196" s="107" t="str">
        <f t="shared" si="8"/>
        <v/>
      </c>
      <c r="F196" s="19"/>
      <c r="G196" s="19"/>
      <c r="H196" s="19"/>
      <c r="I196" s="19"/>
      <c r="J196" s="19"/>
      <c r="K196" s="228"/>
      <c r="L196" s="19"/>
      <c r="M196" s="19"/>
      <c r="N196" s="19"/>
      <c r="O196" s="19"/>
      <c r="P196" s="19"/>
      <c r="Q196" s="19"/>
      <c r="R196" s="19"/>
      <c r="S196" s="19"/>
      <c r="T196" s="19"/>
      <c r="U196" s="19"/>
      <c r="V196" s="19"/>
      <c r="W196" s="19"/>
      <c r="X196" s="19"/>
      <c r="Y196" s="19"/>
    </row>
    <row r="197" spans="1:25" ht="12" customHeight="1">
      <c r="A197" s="219" t="n" cm="1">
        <f t="array" ref="A197">IFERROR(INDEX('03.Muestra'!$B$8:$B$42,SMALL(IF("Página Web"='03.Muestra'!$D$8:$D$42,ROW('03.Muestra'!$B$8:$B$42)-MIN(ROW('03.Muestra'!$D$8:$D$42))+1,""),ROW()-170)),"")</f>
        <v>1.0</v>
      </c>
      <c r="B197" s="114" t="str" cm="1">
        <f t="array" ref="B197">IFERROR(INDEX('03.Muestra'!$C$8:$C$42,SMALL(IF("Página Web"='03.Muestra'!$D$8:$D$42,ROW('03.Muestra'!$C$8:$C$42)-MIN(ROW('03.Muestra'!$D$8:$D$42))+1,""),ROW()-170)),"")</f>
        <v>Home - PortCastelló</v>
      </c>
      <c r="C197" s="114" t="str" cm="1">
        <f t="array" ref="C197">IFERROR(INDEX('03.Muestra'!$F$8:$F$42,SMALL(IF("Página Web"='03.Muestra'!$D$8:$D$42,ROW('03.Muestra'!$F$8:$F$42)-MIN(ROW('03.Muestra'!$D$8:$D$42))+1,""),ROW()-170)),"")</f>
        <v>https://www.portcastello.com/</v>
      </c>
      <c r="D197" s="130" t="str">
        <f t="shared" si="9"/>
        <v>N/T</v>
      </c>
      <c r="E197" s="107" t="str">
        <f t="shared" si="8"/>
        <v/>
      </c>
      <c r="F197" s="19"/>
      <c r="G197" s="19"/>
      <c r="H197" s="19"/>
      <c r="I197" s="19"/>
      <c r="J197" s="19"/>
      <c r="K197" s="228"/>
      <c r="L197" s="19"/>
      <c r="M197" s="19"/>
      <c r="N197" s="19"/>
      <c r="O197" s="19"/>
      <c r="P197" s="19"/>
      <c r="Q197" s="19"/>
      <c r="R197" s="19"/>
      <c r="S197" s="19"/>
      <c r="T197" s="19"/>
      <c r="U197" s="19"/>
      <c r="V197" s="19"/>
      <c r="W197" s="19"/>
      <c r="X197" s="19"/>
      <c r="Y197" s="19"/>
    </row>
    <row r="198" spans="1:25" ht="12" customHeight="1">
      <c r="A198" s="219" t="n" cm="1">
        <f t="array" ref="A198">IFERROR(INDEX('03.Muestra'!$B$8:$B$42,SMALL(IF("Página Web"='03.Muestra'!$D$8:$D$42,ROW('03.Muestra'!$B$8:$B$42)-MIN(ROW('03.Muestra'!$D$8:$D$42))+1,""),ROW()-170)),"")</f>
        <v>1.0</v>
      </c>
      <c r="B198" s="114" t="str" cm="1">
        <f t="array" ref="B198">IFERROR(INDEX('03.Muestra'!$C$8:$C$42,SMALL(IF("Página Web"='03.Muestra'!$D$8:$D$42,ROW('03.Muestra'!$C$8:$C$42)-MIN(ROW('03.Muestra'!$D$8:$D$42))+1,""),ROW()-170)),"")</f>
        <v>Home - PortCastelló</v>
      </c>
      <c r="C198" s="114" t="str" cm="1">
        <f t="array" ref="C198">IFERROR(INDEX('03.Muestra'!$F$8:$F$42,SMALL(IF("Página Web"='03.Muestra'!$D$8:$D$42,ROW('03.Muestra'!$F$8:$F$42)-MIN(ROW('03.Muestra'!$D$8:$D$42))+1,""),ROW()-170)),"")</f>
        <v>https://www.portcastello.com/</v>
      </c>
      <c r="D198" s="130" t="str">
        <f t="shared" si="9"/>
        <v>N/T</v>
      </c>
      <c r="E198" s="107" t="str">
        <f t="shared" si="8"/>
        <v/>
      </c>
      <c r="G198" s="19"/>
      <c r="H198" s="19"/>
      <c r="I198" s="19"/>
      <c r="J198" s="19"/>
      <c r="K198" s="228"/>
      <c r="L198" s="19"/>
      <c r="M198" s="19"/>
      <c r="N198" s="19"/>
      <c r="O198" s="19"/>
      <c r="P198" s="19"/>
      <c r="Q198" s="19"/>
      <c r="R198" s="19"/>
      <c r="S198" s="19"/>
      <c r="T198" s="19"/>
      <c r="U198" s="19"/>
      <c r="V198" s="19"/>
      <c r="W198" s="19"/>
      <c r="X198" s="19"/>
      <c r="Y198" s="19"/>
    </row>
    <row r="199" spans="1:25" ht="12" customHeight="1">
      <c r="A199" s="219" t="n" cm="1">
        <f t="array" ref="A199">IFERROR(INDEX('03.Muestra'!$B$8:$B$42,SMALL(IF("Página Web"='03.Muestra'!$D$8:$D$42,ROW('03.Muestra'!$B$8:$B$42)-MIN(ROW('03.Muestra'!$D$8:$D$42))+1,""),ROW()-170)),"")</f>
        <v>1.0</v>
      </c>
      <c r="B199" s="114" t="str" cm="1">
        <f t="array" ref="B199">IFERROR(INDEX('03.Muestra'!$C$8:$C$42,SMALL(IF("Página Web"='03.Muestra'!$D$8:$D$42,ROW('03.Muestra'!$C$8:$C$42)-MIN(ROW('03.Muestra'!$D$8:$D$42))+1,""),ROW()-170)),"")</f>
        <v>Home - PortCastelló</v>
      </c>
      <c r="C199" s="114" t="str" cm="1">
        <f t="array" ref="C199">IFERROR(INDEX('03.Muestra'!$F$8:$F$42,SMALL(IF("Página Web"='03.Muestra'!$D$8:$D$42,ROW('03.Muestra'!$F$8:$F$42)-MIN(ROW('03.Muestra'!$D$8:$D$42))+1,""),ROW()-170)),"")</f>
        <v>https://www.portcastello.com/</v>
      </c>
      <c r="D199" s="130" t="str">
        <f t="shared" si="9"/>
        <v>N/T</v>
      </c>
      <c r="E199" s="107" t="str">
        <f t="shared" si="8"/>
        <v/>
      </c>
      <c r="G199" s="19"/>
      <c r="H199" s="19"/>
      <c r="I199" s="19"/>
      <c r="J199" s="19"/>
      <c r="K199" s="228"/>
      <c r="L199" s="19"/>
      <c r="M199" s="19"/>
      <c r="N199" s="19"/>
      <c r="O199" s="19"/>
      <c r="P199" s="19"/>
      <c r="Q199" s="19"/>
      <c r="R199" s="19"/>
      <c r="S199" s="19"/>
      <c r="T199" s="19"/>
      <c r="U199" s="19"/>
      <c r="V199" s="19"/>
      <c r="W199" s="19"/>
      <c r="X199" s="19"/>
      <c r="Y199" s="19"/>
    </row>
    <row r="200" spans="1:25" ht="12" customHeight="1">
      <c r="A200" s="219" t="n" cm="1">
        <f t="array" ref="A200">IFERROR(INDEX('03.Muestra'!$B$8:$B$42,SMALL(IF("Página Web"='03.Muestra'!$D$8:$D$42,ROW('03.Muestra'!$B$8:$B$42)-MIN(ROW('03.Muestra'!$D$8:$D$42))+1,""),ROW()-170)),"")</f>
        <v>1.0</v>
      </c>
      <c r="B200" s="114" t="str" cm="1">
        <f t="array" ref="B200">IFERROR(INDEX('03.Muestra'!$C$8:$C$42,SMALL(IF("Página Web"='03.Muestra'!$D$8:$D$42,ROW('03.Muestra'!$C$8:$C$42)-MIN(ROW('03.Muestra'!$D$8:$D$42))+1,""),ROW()-170)),"")</f>
        <v>Home - PortCastelló</v>
      </c>
      <c r="C200" s="114" t="str" cm="1">
        <f t="array" ref="C200">IFERROR(INDEX('03.Muestra'!$F$8:$F$42,SMALL(IF("Página Web"='03.Muestra'!$D$8:$D$42,ROW('03.Muestra'!$F$8:$F$42)-MIN(ROW('03.Muestra'!$D$8:$D$42))+1,""),ROW()-170)),"")</f>
        <v>https://www.portcastello.com/</v>
      </c>
      <c r="D200" s="130" t="str">
        <f t="shared" si="9"/>
        <v>N/T</v>
      </c>
      <c r="E200" s="107" t="str">
        <f t="shared" si="8"/>
        <v/>
      </c>
      <c r="G200" s="19"/>
      <c r="H200" s="19"/>
      <c r="I200" s="19"/>
      <c r="J200" s="19"/>
      <c r="K200" s="228"/>
      <c r="L200" s="19"/>
      <c r="M200" s="19"/>
      <c r="N200" s="19"/>
      <c r="O200" s="19"/>
      <c r="P200" s="19"/>
      <c r="Q200" s="19"/>
      <c r="R200" s="19"/>
      <c r="S200" s="19"/>
      <c r="T200" s="19"/>
      <c r="U200" s="19"/>
      <c r="V200" s="19"/>
      <c r="W200" s="19"/>
      <c r="X200" s="19"/>
      <c r="Y200" s="19"/>
    </row>
    <row r="201" spans="1:25" ht="12" customHeight="1">
      <c r="A201" s="219" t="n" cm="1">
        <f t="array" ref="A201">IFERROR(INDEX('03.Muestra'!$B$8:$B$42,SMALL(IF("Página Web"='03.Muestra'!$D$8:$D$42,ROW('03.Muestra'!$B$8:$B$42)-MIN(ROW('03.Muestra'!$D$8:$D$42))+1,""),ROW()-170)),"")</f>
        <v>1.0</v>
      </c>
      <c r="B201" s="114" t="str" cm="1">
        <f t="array" ref="B201">IFERROR(INDEX('03.Muestra'!$C$8:$C$42,SMALL(IF("Página Web"='03.Muestra'!$D$8:$D$42,ROW('03.Muestra'!$C$8:$C$42)-MIN(ROW('03.Muestra'!$D$8:$D$42))+1,""),ROW()-170)),"")</f>
        <v>Home - PortCastelló</v>
      </c>
      <c r="C201" s="114" t="str" cm="1">
        <f t="array" ref="C201">IFERROR(INDEX('03.Muestra'!$F$8:$F$42,SMALL(IF("Página Web"='03.Muestra'!$D$8:$D$42,ROW('03.Muestra'!$F$8:$F$42)-MIN(ROW('03.Muestra'!$D$8:$D$42))+1,""),ROW()-170)),"")</f>
        <v>https://www.portcastello.com/</v>
      </c>
      <c r="D201" s="130" t="str">
        <f t="shared" si="9"/>
        <v>N/T</v>
      </c>
      <c r="E201" s="107" t="str">
        <f t="shared" si="8"/>
        <v/>
      </c>
      <c r="G201" s="19"/>
      <c r="H201" s="19"/>
      <c r="I201" s="19"/>
      <c r="J201" s="19"/>
      <c r="K201" s="228"/>
      <c r="L201" s="19"/>
      <c r="M201" s="19"/>
      <c r="N201" s="19"/>
      <c r="O201" s="19"/>
      <c r="P201" s="19"/>
      <c r="Q201" s="19"/>
      <c r="R201" s="19"/>
      <c r="S201" s="19"/>
      <c r="T201" s="19"/>
      <c r="U201" s="19"/>
      <c r="V201" s="19"/>
      <c r="W201" s="19"/>
      <c r="X201" s="19"/>
      <c r="Y201" s="19"/>
    </row>
    <row r="202" spans="1:25" ht="12" customHeight="1">
      <c r="A202" s="219" t="n" cm="1">
        <f t="array" ref="A202">IFERROR(INDEX('03.Muestra'!$B$8:$B$42,SMALL(IF("Página Web"='03.Muestra'!$D$8:$D$42,ROW('03.Muestra'!$B$8:$B$42)-MIN(ROW('03.Muestra'!$D$8:$D$42))+1,""),ROW()-170)),"")</f>
        <v>1.0</v>
      </c>
      <c r="B202" s="114" t="str" cm="1">
        <f t="array" ref="B202">IFERROR(INDEX('03.Muestra'!$C$8:$C$42,SMALL(IF("Página Web"='03.Muestra'!$D$8:$D$42,ROW('03.Muestra'!$C$8:$C$42)-MIN(ROW('03.Muestra'!$D$8:$D$42))+1,""),ROW()-170)),"")</f>
        <v>Home - PortCastelló</v>
      </c>
      <c r="C202" s="114" t="str" cm="1">
        <f t="array" ref="C202">IFERROR(INDEX('03.Muestra'!$F$8:$F$42,SMALL(IF("Página Web"='03.Muestra'!$D$8:$D$42,ROW('03.Muestra'!$F$8:$F$42)-MIN(ROW('03.Muestra'!$D$8:$D$42))+1,""),ROW()-170)),"")</f>
        <v>https://www.portcastello.com/</v>
      </c>
      <c r="D202" s="130" t="str">
        <f t="shared" si="9"/>
        <v>N/T</v>
      </c>
      <c r="E202" s="107" t="str">
        <f t="shared" si="8"/>
        <v/>
      </c>
      <c r="G202" s="19"/>
      <c r="H202" s="19"/>
      <c r="I202" s="19"/>
      <c r="J202" s="19"/>
      <c r="K202" s="228"/>
      <c r="L202" s="19"/>
      <c r="M202" s="19"/>
      <c r="N202" s="19"/>
      <c r="O202" s="19"/>
      <c r="P202" s="19"/>
      <c r="Q202" s="19"/>
      <c r="R202" s="19"/>
      <c r="S202" s="19"/>
      <c r="T202" s="19"/>
      <c r="U202" s="19"/>
      <c r="V202" s="19"/>
      <c r="W202" s="19"/>
      <c r="X202" s="19"/>
      <c r="Y202" s="19"/>
    </row>
    <row r="203" spans="1:25" ht="12" customHeight="1">
      <c r="A203" s="219" t="n" cm="1">
        <f t="array" ref="A203">IFERROR(INDEX('03.Muestra'!$B$8:$B$42,SMALL(IF("Página Web"='03.Muestra'!$D$8:$D$42,ROW('03.Muestra'!$B$8:$B$42)-MIN(ROW('03.Muestra'!$D$8:$D$42))+1,""),ROW()-170)),"")</f>
        <v>1.0</v>
      </c>
      <c r="B203" s="114" t="str" cm="1">
        <f t="array" ref="B203">IFERROR(INDEX('03.Muestra'!$C$8:$C$42,SMALL(IF("Página Web"='03.Muestra'!$D$8:$D$42,ROW('03.Muestra'!$C$8:$C$42)-MIN(ROW('03.Muestra'!$D$8:$D$42))+1,""),ROW()-170)),"")</f>
        <v>Home - PortCastelló</v>
      </c>
      <c r="C203" s="114" t="str" cm="1">
        <f t="array" ref="C203">IFERROR(INDEX('03.Muestra'!$F$8:$F$42,SMALL(IF("Página Web"='03.Muestra'!$D$8:$D$42,ROW('03.Muestra'!$F$8:$F$42)-MIN(ROW('03.Muestra'!$D$8:$D$42))+1,""),ROW()-170)),"")</f>
        <v>https://www.portcastello.com/</v>
      </c>
      <c r="D203" s="130" t="str">
        <f t="shared" si="9"/>
        <v>N/T</v>
      </c>
      <c r="E203" s="107" t="str">
        <f t="shared" si="8"/>
        <v/>
      </c>
      <c r="G203" s="19"/>
      <c r="H203" s="19"/>
      <c r="I203" s="19"/>
      <c r="J203" s="19"/>
      <c r="K203" s="228"/>
      <c r="L203" s="19"/>
      <c r="M203" s="19"/>
      <c r="N203" s="19"/>
      <c r="O203" s="19"/>
      <c r="P203" s="19"/>
      <c r="Q203" s="19"/>
      <c r="R203" s="19"/>
      <c r="S203" s="19"/>
      <c r="T203" s="19"/>
      <c r="U203" s="19"/>
      <c r="V203" s="19"/>
      <c r="W203" s="19"/>
      <c r="X203" s="19"/>
      <c r="Y203" s="19"/>
    </row>
    <row r="204" spans="1:25" ht="12" customHeight="1">
      <c r="A204" s="219" t="str" cm="1">
        <f t="array" ref="A204">IFERROR(INDEX('03.Muestra'!$B$8:$B$42,SMALL(IF("Página Web"='03.Muestra'!$D$8:$D$42,ROW('03.Muestra'!$B$8:$B$42)-MIN(ROW('03.Muestra'!$D$8:$D$42))+1,""),ROW()-170)),"")</f>
        <v/>
      </c>
      <c r="B204" s="114" t="str" cm="1">
        <f t="array" ref="B204">IFERROR(INDEX('03.Muestra'!$C$8:$C$42,SMALL(IF("Página Web"='03.Muestra'!$D$8:$D$42,ROW('03.Muestra'!$C$8:$C$42)-MIN(ROW('03.Muestra'!$D$8:$D$42))+1,""),ROW()-170)),"")</f>
        <v/>
      </c>
      <c r="C204" s="114" t="str" cm="1">
        <f t="array" ref="C204">IFERROR(INDEX('03.Muestra'!$F$8:$F$42,SMALL(IF("Página Web"='03.Muestra'!$D$8:$D$42,ROW('03.Muestra'!$F$8:$F$42)-MIN(ROW('03.Muestra'!$D$8:$D$42))+1,""),ROW()-170)),"")</f>
        <v/>
      </c>
      <c r="D204" s="130" t="str">
        <f t="shared" si="9"/>
        <v/>
      </c>
      <c r="E204" s="107" t="str">
        <f t="shared" si="8"/>
        <v/>
      </c>
      <c r="F204" s="124"/>
      <c r="G204" s="19"/>
      <c r="H204" s="19"/>
      <c r="I204" s="19"/>
      <c r="J204" s="19"/>
      <c r="K204" s="228"/>
      <c r="L204" s="19"/>
      <c r="M204" s="19"/>
      <c r="N204" s="19"/>
      <c r="O204" s="19"/>
      <c r="P204" s="19"/>
      <c r="Q204" s="19"/>
      <c r="R204" s="19"/>
      <c r="S204" s="19"/>
      <c r="T204" s="19"/>
      <c r="U204" s="19"/>
      <c r="V204" s="19"/>
      <c r="W204" s="19"/>
      <c r="X204" s="19"/>
      <c r="Y204" s="19"/>
    </row>
    <row r="205" spans="1:25" ht="12" customHeight="1">
      <c r="A205" s="219" t="str" cm="1">
        <f t="array" ref="A205">IFERROR(INDEX('03.Muestra'!$B$8:$B$42,SMALL(IF("Página Web"='03.Muestra'!$D$8:$D$42,ROW('03.Muestra'!$B$8:$B$42)-MIN(ROW('03.Muestra'!$D$8:$D$42))+1,""),ROW()-170)),"")</f>
        <v/>
      </c>
      <c r="B205" s="114" t="str" cm="1">
        <f t="array" ref="B205">IFERROR(INDEX('03.Muestra'!$C$8:$C$42,SMALL(IF("Página Web"='03.Muestra'!$D$8:$D$42,ROW('03.Muestra'!$C$8:$C$42)-MIN(ROW('03.Muestra'!$D$8:$D$42))+1,""),ROW()-170)),"")</f>
        <v/>
      </c>
      <c r="C205" s="114" t="str" cm="1">
        <f t="array" ref="C205">IFERROR(INDEX('03.Muestra'!$F$8:$F$42,SMALL(IF("Página Web"='03.Muestra'!$D$8:$D$42,ROW('03.Muestra'!$F$8:$F$42)-MIN(ROW('03.Muestra'!$D$8:$D$42))+1,""),ROW()-170)),"")</f>
        <v/>
      </c>
      <c r="D205" s="130" t="str">
        <f t="shared" si="9"/>
        <v/>
      </c>
      <c r="E205" s="107" t="str">
        <f t="shared" si="8"/>
        <v/>
      </c>
      <c r="F205" s="19"/>
      <c r="G205" s="19"/>
      <c r="H205" s="19"/>
      <c r="I205" s="19"/>
      <c r="J205" s="19"/>
      <c r="K205" s="228"/>
      <c r="L205" s="19"/>
      <c r="M205" s="19"/>
      <c r="N205" s="19"/>
      <c r="O205" s="19"/>
      <c r="P205" s="19"/>
      <c r="Q205" s="19"/>
      <c r="R205" s="19"/>
      <c r="S205" s="19"/>
      <c r="T205" s="19"/>
      <c r="U205" s="19"/>
      <c r="V205" s="19"/>
      <c r="W205" s="19"/>
      <c r="X205" s="19"/>
      <c r="Y205" s="19"/>
    </row>
    <row r="206" spans="1:25" ht="12" customHeight="1">
      <c r="B206" s="19"/>
      <c r="C206" s="19"/>
      <c r="D206" s="107"/>
      <c r="E206" s="107"/>
      <c r="F206" s="19"/>
      <c r="G206" s="19"/>
      <c r="H206" s="19"/>
      <c r="I206" s="19"/>
      <c r="J206" s="19"/>
      <c r="K206" s="228"/>
      <c r="L206" s="19"/>
      <c r="M206" s="19"/>
      <c r="N206" s="19"/>
      <c r="O206" s="19"/>
      <c r="P206" s="19"/>
      <c r="Q206" s="19"/>
      <c r="R206" s="19"/>
      <c r="S206" s="19"/>
      <c r="T206" s="19"/>
      <c r="U206" s="19"/>
      <c r="V206" s="19"/>
      <c r="W206" s="19"/>
      <c r="X206" s="19"/>
      <c r="Y206" s="19"/>
    </row>
    <row r="207" spans="1:25" ht="12" customHeight="1">
      <c r="B207" s="19"/>
      <c r="C207" s="19"/>
      <c r="D207" s="107"/>
      <c r="E207" s="107"/>
      <c r="F207" s="19"/>
      <c r="G207" s="19"/>
      <c r="H207" s="19"/>
      <c r="I207" s="19"/>
      <c r="J207" s="19"/>
      <c r="K207" s="228"/>
      <c r="L207" s="19"/>
      <c r="M207" s="19"/>
      <c r="N207" s="19"/>
      <c r="O207" s="19"/>
      <c r="P207" s="19"/>
      <c r="Q207" s="19"/>
      <c r="R207" s="19"/>
      <c r="S207" s="19"/>
      <c r="T207" s="19"/>
      <c r="U207" s="19"/>
      <c r="V207" s="19"/>
      <c r="W207" s="19"/>
      <c r="X207" s="19"/>
      <c r="Y207" s="19"/>
    </row>
    <row r="208" spans="1:25" ht="32.25" customHeight="1">
      <c r="A208" s="218" t="s">
        <v>268</v>
      </c>
      <c r="B208" s="24" t="s">
        <v>90</v>
      </c>
      <c r="C208" s="217" t="s">
        <v>364</v>
      </c>
      <c r="D208" s="26" t="s">
        <v>32</v>
      </c>
      <c r="E208" s="123"/>
      <c r="K208" s="228"/>
      <c r="L208" s="19"/>
      <c r="M208" s="19"/>
      <c r="N208" s="19"/>
      <c r="O208" s="19"/>
      <c r="P208" s="19"/>
      <c r="Q208" s="19"/>
      <c r="R208" s="19"/>
      <c r="T208" s="19"/>
      <c r="U208" s="19"/>
      <c r="V208" s="19"/>
      <c r="W208" s="19"/>
      <c r="X208" s="19"/>
      <c r="Y208" s="19"/>
    </row>
    <row r="209" spans="1:25" ht="12" customHeight="1">
      <c r="A209" s="219" t="n" cm="1">
        <f t="array" ref="A209">IFERROR(INDEX('03.Muestra'!$B$8:$B$42,SMALL(IF("Página Web"='03.Muestra'!$D$8:$D$42,ROW('03.Muestra'!$B$8:$B$42)-MIN(ROW('03.Muestra'!$D$8:$D$42))+1,""),ROW()-208)),"")</f>
        <v>1.0</v>
      </c>
      <c r="B209" s="114" t="str" cm="1">
        <f t="array" ref="B209">IFERROR(INDEX('03.Muestra'!$C$8:$C$42,SMALL(IF("Página Web"='03.Muestra'!$D$8:$D$42,ROW('03.Muestra'!$C$8:$C$42)-MIN(ROW('03.Muestra'!$D$8:$D$42))+1,""),ROW()-208)),"")</f>
        <v>Home - PortCastelló</v>
      </c>
      <c r="C209" s="114" t="str" cm="1">
        <f t="array" ref="C209">IFERROR(INDEX('03.Muestra'!$F$8:$F$42,SMALL(IF("Página Web"='03.Muestra'!$D$8:$D$42,ROW('03.Muestra'!$F$8:$F$42)-MIN(ROW('03.Muestra'!$D$8:$D$42))+1,""),ROW()-208)),"")</f>
        <v>https://www.portcastello.com/</v>
      </c>
      <c r="D209" s="130" t="str">
        <f>IF(AND(B209&lt;&gt;"",C209&lt;&gt;""),"N/T","")</f>
        <v>N/T</v>
      </c>
      <c r="E209" s="107" t="str">
        <f t="shared" ref="E209:E243" si="10">IF(D209&lt;&gt;"",IF(AND(B209&lt;&gt;"",C209&lt;&gt;""),"","ERR"),"")</f>
        <v/>
      </c>
      <c r="F209" s="115" t="s">
        <v>33</v>
      </c>
      <c r="G209" s="116" t="s">
        <v>37</v>
      </c>
      <c r="H209" s="117" t="s">
        <v>35</v>
      </c>
      <c r="I209" s="118" t="s">
        <v>28</v>
      </c>
      <c r="J209" s="119" t="s">
        <v>26</v>
      </c>
      <c r="K209" s="229" t="s">
        <v>474</v>
      </c>
      <c r="L209" s="19"/>
      <c r="M209" s="19"/>
      <c r="N209" s="19"/>
      <c r="O209" s="19"/>
      <c r="P209" s="19"/>
      <c r="Q209" s="19"/>
      <c r="R209" s="19"/>
      <c r="T209" s="19"/>
      <c r="U209" s="19"/>
      <c r="V209" s="19"/>
      <c r="W209" s="19"/>
      <c r="X209" s="19"/>
      <c r="Y209" s="19"/>
    </row>
    <row r="210" spans="1:25" ht="12" customHeight="1">
      <c r="A210" s="219" t="n" cm="1">
        <f t="array" ref="A210">IFERROR(INDEX('03.Muestra'!$B$8:$B$42,SMALL(IF("Página Web"='03.Muestra'!$D$8:$D$42,ROW('03.Muestra'!$B$8:$B$42)-MIN(ROW('03.Muestra'!$D$8:$D$42))+1,""),ROW()-208)),"")</f>
        <v>1.0</v>
      </c>
      <c r="B210" s="114" t="str" cm="1">
        <f t="array" ref="B210">IFERROR(INDEX('03.Muestra'!$C$8:$C$42,SMALL(IF("Página Web"='03.Muestra'!$D$8:$D$42,ROW('03.Muestra'!$C$8:$C$42)-MIN(ROW('03.Muestra'!$D$8:$D$42))+1,""),ROW()-208)),"")</f>
        <v>Home - PortCastelló</v>
      </c>
      <c r="C210" s="114" t="str" cm="1">
        <f t="array" ref="C210">IFERROR(INDEX('03.Muestra'!$F$8:$F$42,SMALL(IF("Página Web"='03.Muestra'!$D$8:$D$42,ROW('03.Muestra'!$F$8:$F$42)-MIN(ROW('03.Muestra'!$D$8:$D$42))+1,""),ROW()-208)),"")</f>
        <v>https://www.portcastello.com/</v>
      </c>
      <c r="D210" s="130" t="str">
        <f t="shared" ref="D210:D243" si="11">IF(AND(B210&lt;&gt;"",C210&lt;&gt;""),"N/T","")</f>
        <v>N/T</v>
      </c>
      <c r="E210" s="107" t="str">
        <f t="shared" si="10"/>
        <v/>
      </c>
      <c r="F210" s="120" t="n">
        <f ca="1">COUNTIF($D209:INDIRECT("$D" &amp;  SUM(ROW()-1,'03.Muestra'!$D$45)-1),F209)</f>
        <v>33.0</v>
      </c>
      <c r="G210" s="120" t="n">
        <f ca="1">COUNTIF($D209:INDIRECT("$D" &amp;  SUM(ROW()-1,'03.Muestra'!$D$45)-1),G209)</f>
        <v>0.0</v>
      </c>
      <c r="H210" s="120" t="n">
        <f ca="1">COUNTIF($D209:INDIRECT("$D" &amp;  SUM(ROW()-1,'03.Muestra'!$D$45)-1),H209)</f>
        <v>0.0</v>
      </c>
      <c r="I210" s="120" t="n">
        <f ca="1">COUNTIF($D209:INDIRECT("$D" &amp;  SUM(ROW()-1,'03.Muestra'!$D$45)-1),I209)</f>
        <v>0.0</v>
      </c>
      <c r="J210" s="120" t="n">
        <f ca="1">COUNTIF($D209:INDIRECT("$D" &amp;  SUM(ROW()-1,'03.Muestra'!$D$45)-1),J209)</f>
        <v>0.0</v>
      </c>
      <c r="K210" s="230" t="n">
        <f ca="1">IF(COUNTIF('03.Muestra'!$D$8:$D$42,"Página Web")=0,0,COUNTBLANK($D209:INDIRECT("$D" &amp;  SUM(ROW()-1,COUNTIF('03.Muestra'!$D$8:$D$42,"Página Web"))-1)))</f>
        <v>0.0</v>
      </c>
      <c r="L210" s="19"/>
      <c r="M210" s="19"/>
      <c r="N210" s="19"/>
      <c r="O210" s="19"/>
      <c r="P210" s="19"/>
      <c r="Q210" s="19"/>
      <c r="R210" s="19"/>
      <c r="T210" s="19"/>
      <c r="U210" s="19"/>
      <c r="V210" s="19"/>
      <c r="W210" s="19"/>
      <c r="X210" s="19"/>
      <c r="Y210" s="19"/>
    </row>
    <row r="211" spans="1:25" ht="12" customHeight="1">
      <c r="A211" s="219" t="n" cm="1">
        <f t="array" ref="A211">IFERROR(INDEX('03.Muestra'!$B$8:$B$42,SMALL(IF("Página Web"='03.Muestra'!$D$8:$D$42,ROW('03.Muestra'!$B$8:$B$42)-MIN(ROW('03.Muestra'!$D$8:$D$42))+1,""),ROW()-208)),"")</f>
        <v>1.0</v>
      </c>
      <c r="B211" s="114" t="str" cm="1">
        <f t="array" ref="B211">IFERROR(INDEX('03.Muestra'!$C$8:$C$42,SMALL(IF("Página Web"='03.Muestra'!$D$8:$D$42,ROW('03.Muestra'!$C$8:$C$42)-MIN(ROW('03.Muestra'!$D$8:$D$42))+1,""),ROW()-208)),"")</f>
        <v>Home - PortCastelló</v>
      </c>
      <c r="C211" s="114" t="str" cm="1">
        <f t="array" ref="C211">IFERROR(INDEX('03.Muestra'!$F$8:$F$42,SMALL(IF("Página Web"='03.Muestra'!$D$8:$D$42,ROW('03.Muestra'!$F$8:$F$42)-MIN(ROW('03.Muestra'!$D$8:$D$42))+1,""),ROW()-208)),"")</f>
        <v>https://www.portcastello.com/</v>
      </c>
      <c r="D211" s="130" t="str">
        <f t="shared" si="11"/>
        <v>N/T</v>
      </c>
      <c r="E211" s="107" t="str">
        <f t="shared" si="10"/>
        <v/>
      </c>
      <c r="G211" s="19"/>
      <c r="H211" s="19"/>
      <c r="I211" s="19"/>
      <c r="J211" s="19"/>
      <c r="K211" s="228"/>
      <c r="L211" s="19"/>
      <c r="M211" s="19"/>
      <c r="N211" s="19"/>
      <c r="O211" s="19"/>
      <c r="P211" s="19"/>
      <c r="Q211" s="19"/>
      <c r="R211" s="19"/>
      <c r="T211" s="19"/>
      <c r="U211" s="19"/>
      <c r="V211" s="19"/>
      <c r="W211" s="19"/>
      <c r="X211" s="19"/>
      <c r="Y211" s="19"/>
    </row>
    <row r="212" spans="1:25" ht="12" customHeight="1">
      <c r="A212" s="219" t="n" cm="1">
        <f t="array" ref="A212">IFERROR(INDEX('03.Muestra'!$B$8:$B$42,SMALL(IF("Página Web"='03.Muestra'!$D$8:$D$42,ROW('03.Muestra'!$B$8:$B$42)-MIN(ROW('03.Muestra'!$D$8:$D$42))+1,""),ROW()-208)),"")</f>
        <v>1.0</v>
      </c>
      <c r="B212" s="114" t="str" cm="1">
        <f t="array" ref="B212">IFERROR(INDEX('03.Muestra'!$C$8:$C$42,SMALL(IF("Página Web"='03.Muestra'!$D$8:$D$42,ROW('03.Muestra'!$C$8:$C$42)-MIN(ROW('03.Muestra'!$D$8:$D$42))+1,""),ROW()-208)),"")</f>
        <v>Home - PortCastelló</v>
      </c>
      <c r="C212" s="114" t="str" cm="1">
        <f t="array" ref="C212">IFERROR(INDEX('03.Muestra'!$F$8:$F$42,SMALL(IF("Página Web"='03.Muestra'!$D$8:$D$42,ROW('03.Muestra'!$F$8:$F$42)-MIN(ROW('03.Muestra'!$D$8:$D$42))+1,""),ROW()-208)),"")</f>
        <v>https://www.portcastello.com/</v>
      </c>
      <c r="D212" s="130" t="str">
        <f t="shared" si="11"/>
        <v>N/T</v>
      </c>
      <c r="E212" s="107" t="str">
        <f t="shared" si="10"/>
        <v/>
      </c>
      <c r="G212" s="19"/>
      <c r="H212" s="19"/>
      <c r="I212" s="19"/>
      <c r="J212" s="19"/>
      <c r="K212" s="228"/>
      <c r="L212" s="19"/>
      <c r="M212" s="19"/>
      <c r="N212" s="19"/>
      <c r="O212" s="19"/>
      <c r="P212" s="19"/>
      <c r="Q212" s="19"/>
      <c r="R212" s="19"/>
      <c r="T212" s="19"/>
      <c r="U212" s="19"/>
      <c r="V212" s="19"/>
      <c r="W212" s="19"/>
      <c r="X212" s="19"/>
      <c r="Y212" s="19"/>
    </row>
    <row r="213" spans="1:25" ht="12" customHeight="1">
      <c r="A213" s="219" t="n" cm="1">
        <f t="array" ref="A213">IFERROR(INDEX('03.Muestra'!$B$8:$B$42,SMALL(IF("Página Web"='03.Muestra'!$D$8:$D$42,ROW('03.Muestra'!$B$8:$B$42)-MIN(ROW('03.Muestra'!$D$8:$D$42))+1,""),ROW()-208)),"")</f>
        <v>1.0</v>
      </c>
      <c r="B213" s="114" t="str" cm="1">
        <f t="array" ref="B213">IFERROR(INDEX('03.Muestra'!$C$8:$C$42,SMALL(IF("Página Web"='03.Muestra'!$D$8:$D$42,ROW('03.Muestra'!$C$8:$C$42)-MIN(ROW('03.Muestra'!$D$8:$D$42))+1,""),ROW()-208)),"")</f>
        <v>Home - PortCastelló</v>
      </c>
      <c r="C213" s="114" t="str" cm="1">
        <f t="array" ref="C213">IFERROR(INDEX('03.Muestra'!$F$8:$F$42,SMALL(IF("Página Web"='03.Muestra'!$D$8:$D$42,ROW('03.Muestra'!$F$8:$F$42)-MIN(ROW('03.Muestra'!$D$8:$D$42))+1,""),ROW()-208)),"")</f>
        <v>https://www.portcastello.com/</v>
      </c>
      <c r="D213" s="130" t="str">
        <f t="shared" si="11"/>
        <v>N/T</v>
      </c>
      <c r="E213" s="107" t="str">
        <f t="shared" si="10"/>
        <v/>
      </c>
      <c r="G213" s="19"/>
      <c r="H213" s="19"/>
      <c r="I213" s="19"/>
      <c r="J213" s="19"/>
      <c r="K213" s="228"/>
      <c r="L213" s="19"/>
      <c r="M213" s="19"/>
      <c r="N213" s="19"/>
      <c r="O213" s="19"/>
      <c r="P213" s="19"/>
      <c r="Q213" s="19"/>
      <c r="R213" s="19"/>
      <c r="T213" s="19"/>
      <c r="U213" s="19"/>
      <c r="V213" s="19"/>
      <c r="W213" s="19"/>
      <c r="X213" s="19"/>
      <c r="Y213" s="19"/>
    </row>
    <row r="214" spans="1:25" ht="12" customHeight="1">
      <c r="A214" s="219" t="n" cm="1">
        <f t="array" ref="A214">IFERROR(INDEX('03.Muestra'!$B$8:$B$42,SMALL(IF("Página Web"='03.Muestra'!$D$8:$D$42,ROW('03.Muestra'!$B$8:$B$42)-MIN(ROW('03.Muestra'!$D$8:$D$42))+1,""),ROW()-208)),"")</f>
        <v>1.0</v>
      </c>
      <c r="B214" s="114" t="str" cm="1">
        <f t="array" ref="B214">IFERROR(INDEX('03.Muestra'!$C$8:$C$42,SMALL(IF("Página Web"='03.Muestra'!$D$8:$D$42,ROW('03.Muestra'!$C$8:$C$42)-MIN(ROW('03.Muestra'!$D$8:$D$42))+1,""),ROW()-208)),"")</f>
        <v>Home - PortCastelló</v>
      </c>
      <c r="C214" s="114" t="str" cm="1">
        <f t="array" ref="C214">IFERROR(INDEX('03.Muestra'!$F$8:$F$42,SMALL(IF("Página Web"='03.Muestra'!$D$8:$D$42,ROW('03.Muestra'!$F$8:$F$42)-MIN(ROW('03.Muestra'!$D$8:$D$42))+1,""),ROW()-208)),"")</f>
        <v>https://www.portcastello.com/</v>
      </c>
      <c r="D214" s="130" t="str">
        <f t="shared" si="11"/>
        <v>N/T</v>
      </c>
      <c r="E214" s="107" t="str">
        <f t="shared" si="10"/>
        <v/>
      </c>
      <c r="G214" s="19"/>
      <c r="H214" s="19"/>
      <c r="I214" s="19"/>
      <c r="J214" s="19"/>
      <c r="K214" s="228"/>
      <c r="L214" s="19"/>
      <c r="M214" s="19"/>
      <c r="N214" s="19"/>
      <c r="O214" s="19"/>
      <c r="P214" s="19"/>
      <c r="Q214" s="19"/>
      <c r="R214" s="19"/>
      <c r="T214" s="19"/>
      <c r="U214" s="19"/>
      <c r="V214" s="19"/>
      <c r="W214" s="19"/>
      <c r="X214" s="19"/>
      <c r="Y214" s="19"/>
    </row>
    <row r="215" spans="1:25" ht="12" customHeight="1">
      <c r="A215" s="219" t="n" cm="1">
        <f t="array" ref="A215">IFERROR(INDEX('03.Muestra'!$B$8:$B$42,SMALL(IF("Página Web"='03.Muestra'!$D$8:$D$42,ROW('03.Muestra'!$B$8:$B$42)-MIN(ROW('03.Muestra'!$D$8:$D$42))+1,""),ROW()-208)),"")</f>
        <v>1.0</v>
      </c>
      <c r="B215" s="114" t="str" cm="1">
        <f t="array" ref="B215">IFERROR(INDEX('03.Muestra'!$C$8:$C$42,SMALL(IF("Página Web"='03.Muestra'!$D$8:$D$42,ROW('03.Muestra'!$C$8:$C$42)-MIN(ROW('03.Muestra'!$D$8:$D$42))+1,""),ROW()-208)),"")</f>
        <v>Home - PortCastelló</v>
      </c>
      <c r="C215" s="114" t="str" cm="1">
        <f t="array" ref="C215">IFERROR(INDEX('03.Muestra'!$F$8:$F$42,SMALL(IF("Página Web"='03.Muestra'!$D$8:$D$42,ROW('03.Muestra'!$F$8:$F$42)-MIN(ROW('03.Muestra'!$D$8:$D$42))+1,""),ROW()-208)),"")</f>
        <v>https://www.portcastello.com/</v>
      </c>
      <c r="D215" s="130" t="str">
        <f t="shared" si="11"/>
        <v>N/T</v>
      </c>
      <c r="E215" s="107" t="str">
        <f t="shared" si="10"/>
        <v/>
      </c>
      <c r="F215" s="19"/>
      <c r="G215" s="19"/>
      <c r="H215" s="19"/>
      <c r="I215" s="19"/>
      <c r="J215" s="19"/>
      <c r="K215" s="228"/>
      <c r="L215" s="19"/>
      <c r="M215" s="19"/>
      <c r="N215" s="19"/>
      <c r="O215" s="19"/>
      <c r="P215" s="19"/>
      <c r="Q215" s="19"/>
      <c r="R215" s="19"/>
      <c r="S215" s="19"/>
      <c r="T215" s="19"/>
      <c r="U215" s="19"/>
      <c r="V215" s="19"/>
      <c r="W215" s="19"/>
      <c r="X215" s="19"/>
      <c r="Y215" s="19"/>
    </row>
    <row r="216" spans="1:25" ht="12" customHeight="1">
      <c r="A216" s="219" t="n" cm="1">
        <f t="array" ref="A216">IFERROR(INDEX('03.Muestra'!$B$8:$B$42,SMALL(IF("Página Web"='03.Muestra'!$D$8:$D$42,ROW('03.Muestra'!$B$8:$B$42)-MIN(ROW('03.Muestra'!$D$8:$D$42))+1,""),ROW()-208)),"")</f>
        <v>1.0</v>
      </c>
      <c r="B216" s="114" t="str" cm="1">
        <f t="array" ref="B216">IFERROR(INDEX('03.Muestra'!$C$8:$C$42,SMALL(IF("Página Web"='03.Muestra'!$D$8:$D$42,ROW('03.Muestra'!$C$8:$C$42)-MIN(ROW('03.Muestra'!$D$8:$D$42))+1,""),ROW()-208)),"")</f>
        <v>Home - PortCastelló</v>
      </c>
      <c r="C216" s="114" t="str" cm="1">
        <f t="array" ref="C216">IFERROR(INDEX('03.Muestra'!$F$8:$F$42,SMALL(IF("Página Web"='03.Muestra'!$D$8:$D$42,ROW('03.Muestra'!$F$8:$F$42)-MIN(ROW('03.Muestra'!$D$8:$D$42))+1,""),ROW()-208)),"")</f>
        <v>https://www.portcastello.com/</v>
      </c>
      <c r="D216" s="130" t="str">
        <f t="shared" si="11"/>
        <v>N/T</v>
      </c>
      <c r="E216" s="107" t="str">
        <f t="shared" si="10"/>
        <v/>
      </c>
      <c r="F216" s="19"/>
      <c r="G216" s="19"/>
      <c r="H216" s="19"/>
      <c r="I216" s="19"/>
      <c r="J216" s="19"/>
      <c r="K216" s="228"/>
      <c r="L216" s="19"/>
      <c r="M216" s="19"/>
      <c r="N216" s="19"/>
      <c r="O216" s="19"/>
      <c r="P216" s="19"/>
      <c r="Q216" s="19"/>
      <c r="R216" s="19"/>
      <c r="S216" s="19"/>
      <c r="T216" s="19"/>
      <c r="U216" s="19"/>
      <c r="V216" s="19"/>
      <c r="W216" s="19"/>
      <c r="X216" s="19"/>
      <c r="Y216" s="19"/>
    </row>
    <row r="217" spans="1:25" ht="12" customHeight="1">
      <c r="A217" s="219" t="n" cm="1">
        <f t="array" ref="A217">IFERROR(INDEX('03.Muestra'!$B$8:$B$42,SMALL(IF("Página Web"='03.Muestra'!$D$8:$D$42,ROW('03.Muestra'!$B$8:$B$42)-MIN(ROW('03.Muestra'!$D$8:$D$42))+1,""),ROW()-208)),"")</f>
        <v>1.0</v>
      </c>
      <c r="B217" s="114" t="str" cm="1">
        <f t="array" ref="B217">IFERROR(INDEX('03.Muestra'!$C$8:$C$42,SMALL(IF("Página Web"='03.Muestra'!$D$8:$D$42,ROW('03.Muestra'!$C$8:$C$42)-MIN(ROW('03.Muestra'!$D$8:$D$42))+1,""),ROW()-208)),"")</f>
        <v>Home - PortCastelló</v>
      </c>
      <c r="C217" s="114" t="str" cm="1">
        <f t="array" ref="C217">IFERROR(INDEX('03.Muestra'!$F$8:$F$42,SMALL(IF("Página Web"='03.Muestra'!$D$8:$D$42,ROW('03.Muestra'!$F$8:$F$42)-MIN(ROW('03.Muestra'!$D$8:$D$42))+1,""),ROW()-208)),"")</f>
        <v>https://www.portcastello.com/</v>
      </c>
      <c r="D217" s="130" t="str">
        <f t="shared" si="11"/>
        <v>N/T</v>
      </c>
      <c r="E217" s="107" t="str">
        <f t="shared" si="10"/>
        <v/>
      </c>
      <c r="F217" s="19"/>
      <c r="G217" s="19"/>
      <c r="H217" s="19"/>
      <c r="I217" s="19"/>
      <c r="J217" s="19"/>
      <c r="K217" s="228"/>
      <c r="L217" s="19"/>
      <c r="M217" s="19"/>
      <c r="N217" s="19"/>
      <c r="O217" s="19"/>
      <c r="P217" s="19"/>
      <c r="Q217" s="19"/>
      <c r="R217" s="19"/>
      <c r="S217" s="19"/>
      <c r="T217" s="19"/>
      <c r="U217" s="19"/>
      <c r="V217" s="19"/>
      <c r="W217" s="19"/>
      <c r="X217" s="19"/>
      <c r="Y217" s="19"/>
    </row>
    <row r="218" spans="1:25" ht="12" customHeight="1">
      <c r="A218" s="219" t="n" cm="1">
        <f t="array" ref="A218">IFERROR(INDEX('03.Muestra'!$B$8:$B$42,SMALL(IF("Página Web"='03.Muestra'!$D$8:$D$42,ROW('03.Muestra'!$B$8:$B$42)-MIN(ROW('03.Muestra'!$D$8:$D$42))+1,""),ROW()-208)),"")</f>
        <v>1.0</v>
      </c>
      <c r="B218" s="114" t="str" cm="1">
        <f t="array" ref="B218">IFERROR(INDEX('03.Muestra'!$C$8:$C$42,SMALL(IF("Página Web"='03.Muestra'!$D$8:$D$42,ROW('03.Muestra'!$C$8:$C$42)-MIN(ROW('03.Muestra'!$D$8:$D$42))+1,""),ROW()-208)),"")</f>
        <v>Home - PortCastelló</v>
      </c>
      <c r="C218" s="114" t="str" cm="1">
        <f t="array" ref="C218">IFERROR(INDEX('03.Muestra'!$F$8:$F$42,SMALL(IF("Página Web"='03.Muestra'!$D$8:$D$42,ROW('03.Muestra'!$F$8:$F$42)-MIN(ROW('03.Muestra'!$D$8:$D$42))+1,""),ROW()-208)),"")</f>
        <v>https://www.portcastello.com/</v>
      </c>
      <c r="D218" s="130" t="str">
        <f t="shared" si="11"/>
        <v>N/T</v>
      </c>
      <c r="E218" s="107" t="str">
        <f t="shared" si="10"/>
        <v/>
      </c>
      <c r="F218" s="19"/>
      <c r="G218" s="19"/>
      <c r="H218" s="19"/>
      <c r="I218" s="19"/>
      <c r="J218" s="19"/>
      <c r="K218" s="228"/>
      <c r="L218" s="19"/>
      <c r="M218" s="19"/>
      <c r="N218" s="19"/>
      <c r="O218" s="19"/>
      <c r="P218" s="19"/>
      <c r="Q218" s="19"/>
      <c r="R218" s="19"/>
      <c r="S218" s="19"/>
      <c r="T218" s="19"/>
      <c r="U218" s="19"/>
      <c r="V218" s="19"/>
      <c r="W218" s="19"/>
      <c r="X218" s="19"/>
      <c r="Y218" s="19"/>
    </row>
    <row r="219" spans="1:25" ht="12" customHeight="1">
      <c r="A219" s="219" t="n" cm="1">
        <f t="array" ref="A219">IFERROR(INDEX('03.Muestra'!$B$8:$B$42,SMALL(IF("Página Web"='03.Muestra'!$D$8:$D$42,ROW('03.Muestra'!$B$8:$B$42)-MIN(ROW('03.Muestra'!$D$8:$D$42))+1,""),ROW()-208)),"")</f>
        <v>1.0</v>
      </c>
      <c r="B219" s="114" t="str" cm="1">
        <f t="array" ref="B219">IFERROR(INDEX('03.Muestra'!$C$8:$C$42,SMALL(IF("Página Web"='03.Muestra'!$D$8:$D$42,ROW('03.Muestra'!$C$8:$C$42)-MIN(ROW('03.Muestra'!$D$8:$D$42))+1,""),ROW()-208)),"")</f>
        <v>Home - PortCastelló</v>
      </c>
      <c r="C219" s="114" t="str" cm="1">
        <f t="array" ref="C219">IFERROR(INDEX('03.Muestra'!$F$8:$F$42,SMALL(IF("Página Web"='03.Muestra'!$D$8:$D$42,ROW('03.Muestra'!$F$8:$F$42)-MIN(ROW('03.Muestra'!$D$8:$D$42))+1,""),ROW()-208)),"")</f>
        <v>https://www.portcastello.com/</v>
      </c>
      <c r="D219" s="130" t="str">
        <f t="shared" si="11"/>
        <v>N/T</v>
      </c>
      <c r="E219" s="107" t="str">
        <f t="shared" si="10"/>
        <v/>
      </c>
      <c r="F219" s="19"/>
      <c r="G219" s="19"/>
      <c r="H219" s="19"/>
      <c r="I219" s="19"/>
      <c r="J219" s="19"/>
      <c r="K219" s="228"/>
      <c r="L219" s="19"/>
      <c r="M219" s="19"/>
      <c r="N219" s="19"/>
      <c r="O219" s="19"/>
      <c r="P219" s="19"/>
      <c r="Q219" s="19"/>
      <c r="R219" s="19"/>
      <c r="S219" s="19"/>
      <c r="T219" s="19"/>
      <c r="U219" s="19"/>
      <c r="V219" s="19"/>
      <c r="W219" s="19"/>
      <c r="X219" s="19"/>
      <c r="Y219" s="19"/>
    </row>
    <row r="220" spans="1:25" ht="12" customHeight="1">
      <c r="A220" s="219" t="n" cm="1">
        <f t="array" ref="A220">IFERROR(INDEX('03.Muestra'!$B$8:$B$42,SMALL(IF("Página Web"='03.Muestra'!$D$8:$D$42,ROW('03.Muestra'!$B$8:$B$42)-MIN(ROW('03.Muestra'!$D$8:$D$42))+1,""),ROW()-208)),"")</f>
        <v>1.0</v>
      </c>
      <c r="B220" s="114" t="str" cm="1">
        <f t="array" ref="B220">IFERROR(INDEX('03.Muestra'!$C$8:$C$42,SMALL(IF("Página Web"='03.Muestra'!$D$8:$D$42,ROW('03.Muestra'!$C$8:$C$42)-MIN(ROW('03.Muestra'!$D$8:$D$42))+1,""),ROW()-208)),"")</f>
        <v>Home - PortCastelló</v>
      </c>
      <c r="C220" s="114" t="str" cm="1">
        <f t="array" ref="C220">IFERROR(INDEX('03.Muestra'!$F$8:$F$42,SMALL(IF("Página Web"='03.Muestra'!$D$8:$D$42,ROW('03.Muestra'!$F$8:$F$42)-MIN(ROW('03.Muestra'!$D$8:$D$42))+1,""),ROW()-208)),"")</f>
        <v>https://www.portcastello.com/</v>
      </c>
      <c r="D220" s="130" t="str">
        <f t="shared" si="11"/>
        <v>N/T</v>
      </c>
      <c r="E220" s="107" t="str">
        <f t="shared" si="10"/>
        <v/>
      </c>
      <c r="F220" s="19"/>
      <c r="G220" s="19"/>
      <c r="H220" s="19"/>
      <c r="I220" s="19"/>
      <c r="J220" s="19"/>
      <c r="K220" s="228"/>
      <c r="L220" s="19"/>
      <c r="M220" s="19"/>
      <c r="N220" s="19"/>
      <c r="O220" s="19"/>
      <c r="P220" s="19"/>
      <c r="Q220" s="19"/>
      <c r="R220" s="19"/>
      <c r="S220" s="19"/>
      <c r="T220" s="19"/>
      <c r="U220" s="19"/>
      <c r="V220" s="19"/>
      <c r="W220" s="19"/>
      <c r="X220" s="19"/>
      <c r="Y220" s="19"/>
    </row>
    <row r="221" spans="1:25" ht="12" customHeight="1">
      <c r="A221" s="219" t="n" cm="1">
        <f t="array" ref="A221">IFERROR(INDEX('03.Muestra'!$B$8:$B$42,SMALL(IF("Página Web"='03.Muestra'!$D$8:$D$42,ROW('03.Muestra'!$B$8:$B$42)-MIN(ROW('03.Muestra'!$D$8:$D$42))+1,""),ROW()-208)),"")</f>
        <v>1.0</v>
      </c>
      <c r="B221" s="114" t="str" cm="1">
        <f t="array" ref="B221">IFERROR(INDEX('03.Muestra'!$C$8:$C$42,SMALL(IF("Página Web"='03.Muestra'!$D$8:$D$42,ROW('03.Muestra'!$C$8:$C$42)-MIN(ROW('03.Muestra'!$D$8:$D$42))+1,""),ROW()-208)),"")</f>
        <v>Home - PortCastelló</v>
      </c>
      <c r="C221" s="114" t="str" cm="1">
        <f t="array" ref="C221">IFERROR(INDEX('03.Muestra'!$F$8:$F$42,SMALL(IF("Página Web"='03.Muestra'!$D$8:$D$42,ROW('03.Muestra'!$F$8:$F$42)-MIN(ROW('03.Muestra'!$D$8:$D$42))+1,""),ROW()-208)),"")</f>
        <v>https://www.portcastello.com/</v>
      </c>
      <c r="D221" s="130" t="str">
        <f t="shared" si="11"/>
        <v>N/T</v>
      </c>
      <c r="E221" s="107" t="str">
        <f t="shared" si="10"/>
        <v/>
      </c>
      <c r="F221" s="19"/>
      <c r="G221" s="19"/>
      <c r="H221" s="19"/>
      <c r="I221" s="19"/>
      <c r="J221" s="19"/>
      <c r="K221" s="228"/>
      <c r="L221" s="19"/>
      <c r="M221" s="19"/>
      <c r="N221" s="19"/>
      <c r="O221" s="19"/>
      <c r="P221" s="19"/>
      <c r="Q221" s="19"/>
      <c r="R221" s="19"/>
      <c r="S221" s="19"/>
      <c r="T221" s="19"/>
      <c r="U221" s="19"/>
      <c r="V221" s="19"/>
      <c r="W221" s="19"/>
      <c r="X221" s="19"/>
      <c r="Y221" s="19"/>
    </row>
    <row r="222" spans="1:25" ht="12" customHeight="1">
      <c r="A222" s="219" t="n" cm="1">
        <f t="array" ref="A222">IFERROR(INDEX('03.Muestra'!$B$8:$B$42,SMALL(IF("Página Web"='03.Muestra'!$D$8:$D$42,ROW('03.Muestra'!$B$8:$B$42)-MIN(ROW('03.Muestra'!$D$8:$D$42))+1,""),ROW()-208)),"")</f>
        <v>1.0</v>
      </c>
      <c r="B222" s="114" t="str" cm="1">
        <f t="array" ref="B222">IFERROR(INDEX('03.Muestra'!$C$8:$C$42,SMALL(IF("Página Web"='03.Muestra'!$D$8:$D$42,ROW('03.Muestra'!$C$8:$C$42)-MIN(ROW('03.Muestra'!$D$8:$D$42))+1,""),ROW()-208)),"")</f>
        <v>Home - PortCastelló</v>
      </c>
      <c r="C222" s="114" t="str" cm="1">
        <f t="array" ref="C222">IFERROR(INDEX('03.Muestra'!$F$8:$F$42,SMALL(IF("Página Web"='03.Muestra'!$D$8:$D$42,ROW('03.Muestra'!$F$8:$F$42)-MIN(ROW('03.Muestra'!$D$8:$D$42))+1,""),ROW()-208)),"")</f>
        <v>https://www.portcastello.com/</v>
      </c>
      <c r="D222" s="130" t="str">
        <f t="shared" si="11"/>
        <v>N/T</v>
      </c>
      <c r="E222" s="107" t="str">
        <f t="shared" si="10"/>
        <v/>
      </c>
      <c r="F222" s="19"/>
      <c r="G222" s="19"/>
      <c r="H222" s="19"/>
      <c r="I222" s="19"/>
      <c r="J222" s="19"/>
      <c r="K222" s="228"/>
      <c r="L222" s="19"/>
      <c r="M222" s="19"/>
      <c r="N222" s="19"/>
      <c r="O222" s="19"/>
      <c r="P222" s="19"/>
      <c r="Q222" s="19"/>
      <c r="R222" s="19"/>
      <c r="S222" s="19"/>
      <c r="T222" s="19"/>
      <c r="U222" s="19"/>
      <c r="V222" s="19"/>
      <c r="W222" s="19"/>
      <c r="X222" s="19"/>
      <c r="Y222" s="19"/>
    </row>
    <row r="223" spans="1:25" ht="12" customHeight="1">
      <c r="A223" s="219" t="n" cm="1">
        <f t="array" ref="A223">IFERROR(INDEX('03.Muestra'!$B$8:$B$42,SMALL(IF("Página Web"='03.Muestra'!$D$8:$D$42,ROW('03.Muestra'!$B$8:$B$42)-MIN(ROW('03.Muestra'!$D$8:$D$42))+1,""),ROW()-208)),"")</f>
        <v>1.0</v>
      </c>
      <c r="B223" s="114" t="str" cm="1">
        <f t="array" ref="B223">IFERROR(INDEX('03.Muestra'!$C$8:$C$42,SMALL(IF("Página Web"='03.Muestra'!$D$8:$D$42,ROW('03.Muestra'!$C$8:$C$42)-MIN(ROW('03.Muestra'!$D$8:$D$42))+1,""),ROW()-208)),"")</f>
        <v>Home - PortCastelló</v>
      </c>
      <c r="C223" s="114" t="str" cm="1">
        <f t="array" ref="C223">IFERROR(INDEX('03.Muestra'!$F$8:$F$42,SMALL(IF("Página Web"='03.Muestra'!$D$8:$D$42,ROW('03.Muestra'!$F$8:$F$42)-MIN(ROW('03.Muestra'!$D$8:$D$42))+1,""),ROW()-208)),"")</f>
        <v>https://www.portcastello.com/</v>
      </c>
      <c r="D223" s="130" t="str">
        <f t="shared" si="11"/>
        <v>N/T</v>
      </c>
      <c r="E223" s="107" t="str">
        <f t="shared" si="10"/>
        <v/>
      </c>
      <c r="F223" s="19"/>
      <c r="G223" s="19"/>
      <c r="H223" s="19"/>
      <c r="I223" s="19"/>
      <c r="J223" s="19"/>
      <c r="K223" s="228"/>
      <c r="L223" s="19"/>
      <c r="M223" s="19"/>
      <c r="N223" s="19"/>
      <c r="O223" s="19"/>
      <c r="P223" s="19"/>
      <c r="Q223" s="19"/>
      <c r="R223" s="19"/>
      <c r="S223" s="19"/>
      <c r="T223" s="19"/>
      <c r="U223" s="19"/>
      <c r="V223" s="19"/>
      <c r="W223" s="19"/>
      <c r="X223" s="19"/>
      <c r="Y223" s="19"/>
    </row>
    <row r="224" spans="1:25" ht="12" customHeight="1">
      <c r="A224" s="219" t="n" cm="1">
        <f t="array" ref="A224">IFERROR(INDEX('03.Muestra'!$B$8:$B$42,SMALL(IF("Página Web"='03.Muestra'!$D$8:$D$42,ROW('03.Muestra'!$B$8:$B$42)-MIN(ROW('03.Muestra'!$D$8:$D$42))+1,""),ROW()-208)),"")</f>
        <v>1.0</v>
      </c>
      <c r="B224" s="114" t="str" cm="1">
        <f t="array" ref="B224">IFERROR(INDEX('03.Muestra'!$C$8:$C$42,SMALL(IF("Página Web"='03.Muestra'!$D$8:$D$42,ROW('03.Muestra'!$C$8:$C$42)-MIN(ROW('03.Muestra'!$D$8:$D$42))+1,""),ROW()-208)),"")</f>
        <v>Home - PortCastelló</v>
      </c>
      <c r="C224" s="114" t="str" cm="1">
        <f t="array" ref="C224">IFERROR(INDEX('03.Muestra'!$F$8:$F$42,SMALL(IF("Página Web"='03.Muestra'!$D$8:$D$42,ROW('03.Muestra'!$F$8:$F$42)-MIN(ROW('03.Muestra'!$D$8:$D$42))+1,""),ROW()-208)),"")</f>
        <v>https://www.portcastello.com/</v>
      </c>
      <c r="D224" s="130" t="str">
        <f t="shared" si="11"/>
        <v>N/T</v>
      </c>
      <c r="E224" s="107" t="str">
        <f t="shared" si="10"/>
        <v/>
      </c>
      <c r="F224" s="19"/>
      <c r="G224" s="19"/>
      <c r="H224" s="19"/>
      <c r="I224" s="19"/>
      <c r="J224" s="19"/>
      <c r="K224" s="228"/>
      <c r="L224" s="19"/>
      <c r="M224" s="19"/>
      <c r="N224" s="19"/>
      <c r="O224" s="19"/>
      <c r="P224" s="19"/>
      <c r="Q224" s="19"/>
      <c r="R224" s="19"/>
      <c r="S224" s="19"/>
      <c r="T224" s="19"/>
      <c r="U224" s="19"/>
      <c r="V224" s="19"/>
      <c r="W224" s="19"/>
      <c r="X224" s="19"/>
      <c r="Y224" s="19"/>
    </row>
    <row r="225" spans="1:25" ht="12" customHeight="1">
      <c r="A225" s="219" t="n" cm="1">
        <f t="array" ref="A225">IFERROR(INDEX('03.Muestra'!$B$8:$B$42,SMALL(IF("Página Web"='03.Muestra'!$D$8:$D$42,ROW('03.Muestra'!$B$8:$B$42)-MIN(ROW('03.Muestra'!$D$8:$D$42))+1,""),ROW()-208)),"")</f>
        <v>1.0</v>
      </c>
      <c r="B225" s="114" t="str" cm="1">
        <f t="array" ref="B225">IFERROR(INDEX('03.Muestra'!$C$8:$C$42,SMALL(IF("Página Web"='03.Muestra'!$D$8:$D$42,ROW('03.Muestra'!$C$8:$C$42)-MIN(ROW('03.Muestra'!$D$8:$D$42))+1,""),ROW()-208)),"")</f>
        <v>Home - PortCastelló</v>
      </c>
      <c r="C225" s="114" t="str" cm="1">
        <f t="array" ref="C225">IFERROR(INDEX('03.Muestra'!$F$8:$F$42,SMALL(IF("Página Web"='03.Muestra'!$D$8:$D$42,ROW('03.Muestra'!$F$8:$F$42)-MIN(ROW('03.Muestra'!$D$8:$D$42))+1,""),ROW()-208)),"")</f>
        <v>https://www.portcastello.com/</v>
      </c>
      <c r="D225" s="130" t="str">
        <f t="shared" si="11"/>
        <v>N/T</v>
      </c>
      <c r="E225" s="107" t="str">
        <f t="shared" si="10"/>
        <v/>
      </c>
      <c r="F225" s="19"/>
      <c r="G225" s="19"/>
      <c r="H225" s="19"/>
      <c r="I225" s="19"/>
      <c r="J225" s="19"/>
      <c r="K225" s="228"/>
      <c r="L225" s="19"/>
      <c r="M225" s="19"/>
      <c r="N225" s="19"/>
      <c r="O225" s="19"/>
      <c r="P225" s="19"/>
      <c r="Q225" s="19"/>
      <c r="R225" s="19"/>
      <c r="S225" s="19"/>
      <c r="T225" s="19"/>
      <c r="U225" s="19"/>
      <c r="V225" s="19"/>
      <c r="W225" s="19"/>
      <c r="X225" s="19"/>
      <c r="Y225" s="19"/>
    </row>
    <row r="226" spans="1:25" ht="12" customHeight="1">
      <c r="A226" s="219" t="n" cm="1">
        <f t="array" ref="A226">IFERROR(INDEX('03.Muestra'!$B$8:$B$42,SMALL(IF("Página Web"='03.Muestra'!$D$8:$D$42,ROW('03.Muestra'!$B$8:$B$42)-MIN(ROW('03.Muestra'!$D$8:$D$42))+1,""),ROW()-208)),"")</f>
        <v>1.0</v>
      </c>
      <c r="B226" s="114" t="str" cm="1">
        <f t="array" ref="B226">IFERROR(INDEX('03.Muestra'!$C$8:$C$42,SMALL(IF("Página Web"='03.Muestra'!$D$8:$D$42,ROW('03.Muestra'!$C$8:$C$42)-MIN(ROW('03.Muestra'!$D$8:$D$42))+1,""),ROW()-208)),"")</f>
        <v>Home - PortCastelló</v>
      </c>
      <c r="C226" s="114" t="str" cm="1">
        <f t="array" ref="C226">IFERROR(INDEX('03.Muestra'!$F$8:$F$42,SMALL(IF("Página Web"='03.Muestra'!$D$8:$D$42,ROW('03.Muestra'!$F$8:$F$42)-MIN(ROW('03.Muestra'!$D$8:$D$42))+1,""),ROW()-208)),"")</f>
        <v>https://www.portcastello.com/</v>
      </c>
      <c r="D226" s="130" t="str">
        <f t="shared" si="11"/>
        <v>N/T</v>
      </c>
      <c r="E226" s="107" t="str">
        <f t="shared" si="10"/>
        <v/>
      </c>
      <c r="F226" s="19"/>
      <c r="G226" s="19"/>
      <c r="H226" s="19"/>
      <c r="I226" s="19"/>
      <c r="J226" s="19"/>
      <c r="K226" s="228"/>
      <c r="L226" s="19"/>
      <c r="M226" s="19"/>
      <c r="N226" s="19"/>
      <c r="O226" s="19"/>
      <c r="P226" s="19"/>
      <c r="Q226" s="19"/>
      <c r="R226" s="19"/>
      <c r="S226" s="19"/>
      <c r="T226" s="19"/>
      <c r="U226" s="19"/>
      <c r="V226" s="19"/>
      <c r="W226" s="19"/>
      <c r="X226" s="19"/>
      <c r="Y226" s="19"/>
    </row>
    <row r="227" spans="1:25" ht="12" customHeight="1">
      <c r="A227" s="219" t="n" cm="1">
        <f t="array" ref="A227">IFERROR(INDEX('03.Muestra'!$B$8:$B$42,SMALL(IF("Página Web"='03.Muestra'!$D$8:$D$42,ROW('03.Muestra'!$B$8:$B$42)-MIN(ROW('03.Muestra'!$D$8:$D$42))+1,""),ROW()-208)),"")</f>
        <v>1.0</v>
      </c>
      <c r="B227" s="114" t="str" cm="1">
        <f t="array" ref="B227">IFERROR(INDEX('03.Muestra'!$C$8:$C$42,SMALL(IF("Página Web"='03.Muestra'!$D$8:$D$42,ROW('03.Muestra'!$C$8:$C$42)-MIN(ROW('03.Muestra'!$D$8:$D$42))+1,""),ROW()-208)),"")</f>
        <v>Home - PortCastelló</v>
      </c>
      <c r="C227" s="114" t="str" cm="1">
        <f t="array" ref="C227">IFERROR(INDEX('03.Muestra'!$F$8:$F$42,SMALL(IF("Página Web"='03.Muestra'!$D$8:$D$42,ROW('03.Muestra'!$F$8:$F$42)-MIN(ROW('03.Muestra'!$D$8:$D$42))+1,""),ROW()-208)),"")</f>
        <v>https://www.portcastello.com/</v>
      </c>
      <c r="D227" s="130" t="str">
        <f t="shared" si="11"/>
        <v>N/T</v>
      </c>
      <c r="E227" s="107" t="str">
        <f t="shared" si="10"/>
        <v/>
      </c>
      <c r="F227" s="19"/>
      <c r="G227" s="19"/>
      <c r="H227" s="19"/>
      <c r="I227" s="19"/>
      <c r="J227" s="19"/>
      <c r="K227" s="228"/>
      <c r="L227" s="19"/>
      <c r="M227" s="19"/>
      <c r="N227" s="19"/>
      <c r="O227" s="19"/>
      <c r="P227" s="19"/>
      <c r="Q227" s="19"/>
      <c r="R227" s="19"/>
      <c r="S227" s="19"/>
      <c r="T227" s="19"/>
      <c r="U227" s="19"/>
      <c r="V227" s="19"/>
      <c r="W227" s="19"/>
      <c r="X227" s="19"/>
      <c r="Y227" s="19"/>
    </row>
    <row r="228" spans="1:25" ht="12" customHeight="1">
      <c r="A228" s="219" t="n" cm="1">
        <f t="array" ref="A228">IFERROR(INDEX('03.Muestra'!$B$8:$B$42,SMALL(IF("Página Web"='03.Muestra'!$D$8:$D$42,ROW('03.Muestra'!$B$8:$B$42)-MIN(ROW('03.Muestra'!$D$8:$D$42))+1,""),ROW()-208)),"")</f>
        <v>1.0</v>
      </c>
      <c r="B228" s="114" t="str" cm="1">
        <f t="array" ref="B228">IFERROR(INDEX('03.Muestra'!$C$8:$C$42,SMALL(IF("Página Web"='03.Muestra'!$D$8:$D$42,ROW('03.Muestra'!$C$8:$C$42)-MIN(ROW('03.Muestra'!$D$8:$D$42))+1,""),ROW()-208)),"")</f>
        <v>Home - PortCastelló</v>
      </c>
      <c r="C228" s="114" t="str" cm="1">
        <f t="array" ref="C228">IFERROR(INDEX('03.Muestra'!$F$8:$F$42,SMALL(IF("Página Web"='03.Muestra'!$D$8:$D$42,ROW('03.Muestra'!$F$8:$F$42)-MIN(ROW('03.Muestra'!$D$8:$D$42))+1,""),ROW()-208)),"")</f>
        <v>https://www.portcastello.com/</v>
      </c>
      <c r="D228" s="130" t="str">
        <f t="shared" si="11"/>
        <v>N/T</v>
      </c>
      <c r="E228" s="107" t="str">
        <f t="shared" si="10"/>
        <v/>
      </c>
      <c r="F228" s="19"/>
      <c r="G228" s="19"/>
      <c r="H228" s="19"/>
      <c r="I228" s="19"/>
      <c r="J228" s="19"/>
      <c r="K228" s="228"/>
      <c r="L228" s="19"/>
      <c r="M228" s="19"/>
      <c r="N228" s="19"/>
      <c r="O228" s="19"/>
      <c r="P228" s="19"/>
      <c r="Q228" s="19"/>
      <c r="R228" s="19"/>
      <c r="S228" s="19"/>
      <c r="T228" s="19"/>
      <c r="U228" s="19"/>
      <c r="V228" s="19"/>
      <c r="W228" s="19"/>
      <c r="X228" s="19"/>
      <c r="Y228" s="19"/>
    </row>
    <row r="229" spans="1:25" ht="12" customHeight="1">
      <c r="A229" s="219" t="n" cm="1">
        <f t="array" ref="A229">IFERROR(INDEX('03.Muestra'!$B$8:$B$42,SMALL(IF("Página Web"='03.Muestra'!$D$8:$D$42,ROW('03.Muestra'!$B$8:$B$42)-MIN(ROW('03.Muestra'!$D$8:$D$42))+1,""),ROW()-208)),"")</f>
        <v>1.0</v>
      </c>
      <c r="B229" s="114" t="str" cm="1">
        <f t="array" ref="B229">IFERROR(INDEX('03.Muestra'!$C$8:$C$42,SMALL(IF("Página Web"='03.Muestra'!$D$8:$D$42,ROW('03.Muestra'!$C$8:$C$42)-MIN(ROW('03.Muestra'!$D$8:$D$42))+1,""),ROW()-208)),"")</f>
        <v>Home - PortCastelló</v>
      </c>
      <c r="C229" s="114" t="str" cm="1">
        <f t="array" ref="C229">IFERROR(INDEX('03.Muestra'!$F$8:$F$42,SMALL(IF("Página Web"='03.Muestra'!$D$8:$D$42,ROW('03.Muestra'!$F$8:$F$42)-MIN(ROW('03.Muestra'!$D$8:$D$42))+1,""),ROW()-208)),"")</f>
        <v>https://www.portcastello.com/</v>
      </c>
      <c r="D229" s="130" t="str">
        <f t="shared" si="11"/>
        <v>N/T</v>
      </c>
      <c r="E229" s="107" t="str">
        <f t="shared" si="10"/>
        <v/>
      </c>
      <c r="F229" s="19"/>
      <c r="G229" s="19"/>
      <c r="H229" s="19"/>
      <c r="I229" s="19"/>
      <c r="J229" s="19"/>
      <c r="K229" s="228"/>
      <c r="L229" s="19"/>
      <c r="M229" s="19"/>
      <c r="N229" s="19"/>
      <c r="O229" s="19"/>
      <c r="P229" s="19"/>
      <c r="Q229" s="19"/>
      <c r="R229" s="19"/>
      <c r="S229" s="19"/>
      <c r="T229" s="19"/>
      <c r="U229" s="19"/>
      <c r="V229" s="19"/>
      <c r="W229" s="19"/>
      <c r="X229" s="19"/>
      <c r="Y229" s="19"/>
    </row>
    <row r="230" spans="1:25" ht="12" customHeight="1">
      <c r="A230" s="219" t="n" cm="1">
        <f t="array" ref="A230">IFERROR(INDEX('03.Muestra'!$B$8:$B$42,SMALL(IF("Página Web"='03.Muestra'!$D$8:$D$42,ROW('03.Muestra'!$B$8:$B$42)-MIN(ROW('03.Muestra'!$D$8:$D$42))+1,""),ROW()-208)),"")</f>
        <v>1.0</v>
      </c>
      <c r="B230" s="114" t="str" cm="1">
        <f t="array" ref="B230">IFERROR(INDEX('03.Muestra'!$C$8:$C$42,SMALL(IF("Página Web"='03.Muestra'!$D$8:$D$42,ROW('03.Muestra'!$C$8:$C$42)-MIN(ROW('03.Muestra'!$D$8:$D$42))+1,""),ROW()-208)),"")</f>
        <v>Home - PortCastelló</v>
      </c>
      <c r="C230" s="114" t="str" cm="1">
        <f t="array" ref="C230">IFERROR(INDEX('03.Muestra'!$F$8:$F$42,SMALL(IF("Página Web"='03.Muestra'!$D$8:$D$42,ROW('03.Muestra'!$F$8:$F$42)-MIN(ROW('03.Muestra'!$D$8:$D$42))+1,""),ROW()-208)),"")</f>
        <v>https://www.portcastello.com/</v>
      </c>
      <c r="D230" s="130" t="str">
        <f t="shared" si="11"/>
        <v>N/T</v>
      </c>
      <c r="E230" s="107" t="str">
        <f t="shared" si="10"/>
        <v/>
      </c>
      <c r="F230" s="19"/>
      <c r="G230" s="19"/>
      <c r="H230" s="19"/>
      <c r="I230" s="19"/>
      <c r="J230" s="19"/>
      <c r="K230" s="228"/>
      <c r="L230" s="19"/>
      <c r="M230" s="19"/>
      <c r="N230" s="19"/>
      <c r="O230" s="19"/>
      <c r="P230" s="19"/>
      <c r="Q230" s="19"/>
      <c r="R230" s="19"/>
      <c r="S230" s="19"/>
      <c r="T230" s="19"/>
      <c r="U230" s="19"/>
      <c r="V230" s="19"/>
      <c r="W230" s="19"/>
      <c r="X230" s="19"/>
      <c r="Y230" s="19"/>
    </row>
    <row r="231" spans="1:25" ht="12" customHeight="1">
      <c r="A231" s="219" t="n" cm="1">
        <f t="array" ref="A231">IFERROR(INDEX('03.Muestra'!$B$8:$B$42,SMALL(IF("Página Web"='03.Muestra'!$D$8:$D$42,ROW('03.Muestra'!$B$8:$B$42)-MIN(ROW('03.Muestra'!$D$8:$D$42))+1,""),ROW()-208)),"")</f>
        <v>1.0</v>
      </c>
      <c r="B231" s="114" t="str" cm="1">
        <f t="array" ref="B231">IFERROR(INDEX('03.Muestra'!$C$8:$C$42,SMALL(IF("Página Web"='03.Muestra'!$D$8:$D$42,ROW('03.Muestra'!$C$8:$C$42)-MIN(ROW('03.Muestra'!$D$8:$D$42))+1,""),ROW()-208)),"")</f>
        <v>Home - PortCastelló</v>
      </c>
      <c r="C231" s="114" t="str" cm="1">
        <f t="array" ref="C231">IFERROR(INDEX('03.Muestra'!$F$8:$F$42,SMALL(IF("Página Web"='03.Muestra'!$D$8:$D$42,ROW('03.Muestra'!$F$8:$F$42)-MIN(ROW('03.Muestra'!$D$8:$D$42))+1,""),ROW()-208)),"")</f>
        <v>https://www.portcastello.com/</v>
      </c>
      <c r="D231" s="130" t="str">
        <f t="shared" si="11"/>
        <v>N/T</v>
      </c>
      <c r="E231" s="107" t="str">
        <f t="shared" si="10"/>
        <v/>
      </c>
      <c r="F231" s="19"/>
      <c r="G231" s="19"/>
      <c r="H231" s="19"/>
      <c r="I231" s="19"/>
      <c r="J231" s="19"/>
      <c r="K231" s="228"/>
      <c r="L231" s="19"/>
      <c r="M231" s="19"/>
      <c r="N231" s="19"/>
      <c r="O231" s="19"/>
      <c r="P231" s="19"/>
      <c r="Q231" s="19"/>
      <c r="R231" s="19"/>
      <c r="S231" s="19"/>
      <c r="T231" s="19"/>
      <c r="U231" s="19"/>
      <c r="V231" s="19"/>
      <c r="W231" s="19"/>
      <c r="X231" s="19"/>
      <c r="Y231" s="19"/>
    </row>
    <row r="232" spans="1:25" ht="12" customHeight="1">
      <c r="A232" s="219" t="n" cm="1">
        <f t="array" ref="A232">IFERROR(INDEX('03.Muestra'!$B$8:$B$42,SMALL(IF("Página Web"='03.Muestra'!$D$8:$D$42,ROW('03.Muestra'!$B$8:$B$42)-MIN(ROW('03.Muestra'!$D$8:$D$42))+1,""),ROW()-208)),"")</f>
        <v>1.0</v>
      </c>
      <c r="B232" s="114" t="str" cm="1">
        <f t="array" ref="B232">IFERROR(INDEX('03.Muestra'!$C$8:$C$42,SMALL(IF("Página Web"='03.Muestra'!$D$8:$D$42,ROW('03.Muestra'!$C$8:$C$42)-MIN(ROW('03.Muestra'!$D$8:$D$42))+1,""),ROW()-208)),"")</f>
        <v>Home - PortCastelló</v>
      </c>
      <c r="C232" s="114" t="str" cm="1">
        <f t="array" ref="C232">IFERROR(INDEX('03.Muestra'!$F$8:$F$42,SMALL(IF("Página Web"='03.Muestra'!$D$8:$D$42,ROW('03.Muestra'!$F$8:$F$42)-MIN(ROW('03.Muestra'!$D$8:$D$42))+1,""),ROW()-208)),"")</f>
        <v>https://www.portcastello.com/</v>
      </c>
      <c r="D232" s="130" t="str">
        <f t="shared" si="11"/>
        <v>N/T</v>
      </c>
      <c r="E232" s="107" t="str">
        <f t="shared" si="10"/>
        <v/>
      </c>
      <c r="F232" s="19"/>
      <c r="G232" s="19"/>
      <c r="H232" s="19"/>
      <c r="I232" s="19"/>
      <c r="J232" s="19"/>
      <c r="K232" s="228"/>
      <c r="L232" s="19"/>
      <c r="M232" s="19"/>
      <c r="N232" s="19"/>
      <c r="O232" s="19"/>
      <c r="P232" s="19"/>
      <c r="Q232" s="19"/>
      <c r="R232" s="19"/>
      <c r="S232" s="19"/>
      <c r="T232" s="19"/>
      <c r="U232" s="19"/>
      <c r="V232" s="19"/>
      <c r="W232" s="19"/>
      <c r="X232" s="19"/>
      <c r="Y232" s="19"/>
    </row>
    <row r="233" spans="1:25" ht="12" customHeight="1">
      <c r="A233" s="219" t="n" cm="1">
        <f t="array" ref="A233">IFERROR(INDEX('03.Muestra'!$B$8:$B$42,SMALL(IF("Página Web"='03.Muestra'!$D$8:$D$42,ROW('03.Muestra'!$B$8:$B$42)-MIN(ROW('03.Muestra'!$D$8:$D$42))+1,""),ROW()-208)),"")</f>
        <v>1.0</v>
      </c>
      <c r="B233" s="114" t="str" cm="1">
        <f t="array" ref="B233">IFERROR(INDEX('03.Muestra'!$C$8:$C$42,SMALL(IF("Página Web"='03.Muestra'!$D$8:$D$42,ROW('03.Muestra'!$C$8:$C$42)-MIN(ROW('03.Muestra'!$D$8:$D$42))+1,""),ROW()-208)),"")</f>
        <v>Home - PortCastelló</v>
      </c>
      <c r="C233" s="114" t="str" cm="1">
        <f t="array" ref="C233">IFERROR(INDEX('03.Muestra'!$F$8:$F$42,SMALL(IF("Página Web"='03.Muestra'!$D$8:$D$42,ROW('03.Muestra'!$F$8:$F$42)-MIN(ROW('03.Muestra'!$D$8:$D$42))+1,""),ROW()-208)),"")</f>
        <v>https://www.portcastello.com/</v>
      </c>
      <c r="D233" s="130" t="str">
        <f t="shared" si="11"/>
        <v>N/T</v>
      </c>
      <c r="E233" s="107" t="str">
        <f t="shared" si="10"/>
        <v/>
      </c>
      <c r="F233" s="19"/>
      <c r="G233" s="19"/>
      <c r="H233" s="19"/>
      <c r="I233" s="19"/>
      <c r="J233" s="19"/>
      <c r="K233" s="228"/>
      <c r="L233" s="19"/>
      <c r="M233" s="19"/>
      <c r="N233" s="19"/>
      <c r="O233" s="19"/>
      <c r="P233" s="19"/>
      <c r="Q233" s="19"/>
      <c r="R233" s="19"/>
      <c r="S233" s="19"/>
      <c r="T233" s="19"/>
      <c r="U233" s="19"/>
      <c r="V233" s="19"/>
      <c r="W233" s="19"/>
      <c r="X233" s="19"/>
      <c r="Y233" s="19"/>
    </row>
    <row r="234" spans="1:25" ht="12" customHeight="1">
      <c r="A234" s="219" t="n" cm="1">
        <f t="array" ref="A234">IFERROR(INDEX('03.Muestra'!$B$8:$B$42,SMALL(IF("Página Web"='03.Muestra'!$D$8:$D$42,ROW('03.Muestra'!$B$8:$B$42)-MIN(ROW('03.Muestra'!$D$8:$D$42))+1,""),ROW()-208)),"")</f>
        <v>1.0</v>
      </c>
      <c r="B234" s="114" t="str" cm="1">
        <f t="array" ref="B234">IFERROR(INDEX('03.Muestra'!$C$8:$C$42,SMALL(IF("Página Web"='03.Muestra'!$D$8:$D$42,ROW('03.Muestra'!$C$8:$C$42)-MIN(ROW('03.Muestra'!$D$8:$D$42))+1,""),ROW()-208)),"")</f>
        <v>Home - PortCastelló</v>
      </c>
      <c r="C234" s="114" t="str" cm="1">
        <f t="array" ref="C234">IFERROR(INDEX('03.Muestra'!$F$8:$F$42,SMALL(IF("Página Web"='03.Muestra'!$D$8:$D$42,ROW('03.Muestra'!$F$8:$F$42)-MIN(ROW('03.Muestra'!$D$8:$D$42))+1,""),ROW()-208)),"")</f>
        <v>https://www.portcastello.com/</v>
      </c>
      <c r="D234" s="130" t="str">
        <f t="shared" si="11"/>
        <v>N/T</v>
      </c>
      <c r="E234" s="107" t="str">
        <f t="shared" si="10"/>
        <v/>
      </c>
      <c r="F234" s="19"/>
      <c r="G234" s="19"/>
      <c r="H234" s="19"/>
      <c r="I234" s="19"/>
      <c r="J234" s="19"/>
      <c r="K234" s="228"/>
      <c r="L234" s="19"/>
      <c r="M234" s="19"/>
      <c r="N234" s="19"/>
      <c r="O234" s="19"/>
      <c r="P234" s="19"/>
      <c r="Q234" s="19"/>
      <c r="R234" s="19"/>
      <c r="S234" s="19"/>
      <c r="T234" s="19"/>
      <c r="U234" s="19"/>
      <c r="V234" s="19"/>
      <c r="W234" s="19"/>
      <c r="X234" s="19"/>
      <c r="Y234" s="19"/>
    </row>
    <row r="235" spans="1:25" ht="12" customHeight="1">
      <c r="A235" s="219" t="n" cm="1">
        <f t="array" ref="A235">IFERROR(INDEX('03.Muestra'!$B$8:$B$42,SMALL(IF("Página Web"='03.Muestra'!$D$8:$D$42,ROW('03.Muestra'!$B$8:$B$42)-MIN(ROW('03.Muestra'!$D$8:$D$42))+1,""),ROW()-208)),"")</f>
        <v>1.0</v>
      </c>
      <c r="B235" s="114" t="str" cm="1">
        <f t="array" ref="B235">IFERROR(INDEX('03.Muestra'!$C$8:$C$42,SMALL(IF("Página Web"='03.Muestra'!$D$8:$D$42,ROW('03.Muestra'!$C$8:$C$42)-MIN(ROW('03.Muestra'!$D$8:$D$42))+1,""),ROW()-208)),"")</f>
        <v>Home - PortCastelló</v>
      </c>
      <c r="C235" s="114" t="str" cm="1">
        <f t="array" ref="C235">IFERROR(INDEX('03.Muestra'!$F$8:$F$42,SMALL(IF("Página Web"='03.Muestra'!$D$8:$D$42,ROW('03.Muestra'!$F$8:$F$42)-MIN(ROW('03.Muestra'!$D$8:$D$42))+1,""),ROW()-208)),"")</f>
        <v>https://www.portcastello.com/</v>
      </c>
      <c r="D235" s="130" t="str">
        <f t="shared" si="11"/>
        <v>N/T</v>
      </c>
      <c r="E235" s="107" t="str">
        <f t="shared" si="10"/>
        <v/>
      </c>
      <c r="F235" s="19"/>
      <c r="G235" s="19"/>
      <c r="H235" s="19"/>
      <c r="I235" s="19"/>
      <c r="J235" s="19"/>
      <c r="K235" s="228"/>
      <c r="L235" s="19"/>
      <c r="M235" s="19"/>
      <c r="N235" s="19"/>
      <c r="O235" s="19"/>
      <c r="P235" s="19"/>
      <c r="Q235" s="19"/>
      <c r="R235" s="19"/>
      <c r="S235" s="19"/>
      <c r="T235" s="19"/>
      <c r="U235" s="19"/>
      <c r="V235" s="19"/>
      <c r="W235" s="19"/>
      <c r="X235" s="19"/>
      <c r="Y235" s="19"/>
    </row>
    <row r="236" spans="1:25" ht="12" customHeight="1">
      <c r="A236" s="219" t="n" cm="1">
        <f t="array" ref="A236">IFERROR(INDEX('03.Muestra'!$B$8:$B$42,SMALL(IF("Página Web"='03.Muestra'!$D$8:$D$42,ROW('03.Muestra'!$B$8:$B$42)-MIN(ROW('03.Muestra'!$D$8:$D$42))+1,""),ROW()-208)),"")</f>
        <v>1.0</v>
      </c>
      <c r="B236" s="114" t="str" cm="1">
        <f t="array" ref="B236">IFERROR(INDEX('03.Muestra'!$C$8:$C$42,SMALL(IF("Página Web"='03.Muestra'!$D$8:$D$42,ROW('03.Muestra'!$C$8:$C$42)-MIN(ROW('03.Muestra'!$D$8:$D$42))+1,""),ROW()-208)),"")</f>
        <v>Home - PortCastelló</v>
      </c>
      <c r="C236" s="114" t="str" cm="1">
        <f t="array" ref="C236">IFERROR(INDEX('03.Muestra'!$F$8:$F$42,SMALL(IF("Página Web"='03.Muestra'!$D$8:$D$42,ROW('03.Muestra'!$F$8:$F$42)-MIN(ROW('03.Muestra'!$D$8:$D$42))+1,""),ROW()-208)),"")</f>
        <v>https://www.portcastello.com/</v>
      </c>
      <c r="D236" s="130" t="str">
        <f t="shared" si="11"/>
        <v>N/T</v>
      </c>
      <c r="E236" s="107" t="str">
        <f t="shared" si="10"/>
        <v/>
      </c>
      <c r="G236" s="19"/>
      <c r="H236" s="19"/>
      <c r="I236" s="19"/>
      <c r="J236" s="19"/>
      <c r="K236" s="228"/>
      <c r="L236" s="19"/>
      <c r="M236" s="19"/>
      <c r="N236" s="19"/>
      <c r="O236" s="19"/>
      <c r="P236" s="19"/>
      <c r="Q236" s="19"/>
      <c r="R236" s="19"/>
      <c r="S236" s="19"/>
      <c r="T236" s="19"/>
      <c r="U236" s="19"/>
      <c r="V236" s="19"/>
      <c r="W236" s="19"/>
      <c r="X236" s="19"/>
      <c r="Y236" s="19"/>
    </row>
    <row r="237" spans="1:25" ht="12" customHeight="1">
      <c r="A237" s="219" t="n" cm="1">
        <f t="array" ref="A237">IFERROR(INDEX('03.Muestra'!$B$8:$B$42,SMALL(IF("Página Web"='03.Muestra'!$D$8:$D$42,ROW('03.Muestra'!$B$8:$B$42)-MIN(ROW('03.Muestra'!$D$8:$D$42))+1,""),ROW()-208)),"")</f>
        <v>1.0</v>
      </c>
      <c r="B237" s="114" t="str" cm="1">
        <f t="array" ref="B237">IFERROR(INDEX('03.Muestra'!$C$8:$C$42,SMALL(IF("Página Web"='03.Muestra'!$D$8:$D$42,ROW('03.Muestra'!$C$8:$C$42)-MIN(ROW('03.Muestra'!$D$8:$D$42))+1,""),ROW()-208)),"")</f>
        <v>Home - PortCastelló</v>
      </c>
      <c r="C237" s="114" t="str" cm="1">
        <f t="array" ref="C237">IFERROR(INDEX('03.Muestra'!$F$8:$F$42,SMALL(IF("Página Web"='03.Muestra'!$D$8:$D$42,ROW('03.Muestra'!$F$8:$F$42)-MIN(ROW('03.Muestra'!$D$8:$D$42))+1,""),ROW()-208)),"")</f>
        <v>https://www.portcastello.com/</v>
      </c>
      <c r="D237" s="130" t="str">
        <f t="shared" si="11"/>
        <v>N/T</v>
      </c>
      <c r="E237" s="107" t="str">
        <f t="shared" si="10"/>
        <v/>
      </c>
      <c r="G237" s="19"/>
      <c r="H237" s="19"/>
      <c r="I237" s="19"/>
      <c r="J237" s="19"/>
      <c r="K237" s="228"/>
      <c r="L237" s="19"/>
      <c r="M237" s="19"/>
      <c r="N237" s="19"/>
      <c r="O237" s="19"/>
      <c r="P237" s="19"/>
      <c r="Q237" s="19"/>
      <c r="R237" s="19"/>
      <c r="S237" s="19"/>
      <c r="T237" s="19"/>
      <c r="U237" s="19"/>
      <c r="V237" s="19"/>
      <c r="W237" s="19"/>
      <c r="X237" s="19"/>
      <c r="Y237" s="19"/>
    </row>
    <row r="238" spans="1:25" ht="12" customHeight="1">
      <c r="A238" s="219" t="n" cm="1">
        <f t="array" ref="A238">IFERROR(INDEX('03.Muestra'!$B$8:$B$42,SMALL(IF("Página Web"='03.Muestra'!$D$8:$D$42,ROW('03.Muestra'!$B$8:$B$42)-MIN(ROW('03.Muestra'!$D$8:$D$42))+1,""),ROW()-208)),"")</f>
        <v>1.0</v>
      </c>
      <c r="B238" s="114" t="str" cm="1">
        <f t="array" ref="B238">IFERROR(INDEX('03.Muestra'!$C$8:$C$42,SMALL(IF("Página Web"='03.Muestra'!$D$8:$D$42,ROW('03.Muestra'!$C$8:$C$42)-MIN(ROW('03.Muestra'!$D$8:$D$42))+1,""),ROW()-208)),"")</f>
        <v>Home - PortCastelló</v>
      </c>
      <c r="C238" s="114" t="str" cm="1">
        <f t="array" ref="C238">IFERROR(INDEX('03.Muestra'!$F$8:$F$42,SMALL(IF("Página Web"='03.Muestra'!$D$8:$D$42,ROW('03.Muestra'!$F$8:$F$42)-MIN(ROW('03.Muestra'!$D$8:$D$42))+1,""),ROW()-208)),"")</f>
        <v>https://www.portcastello.com/</v>
      </c>
      <c r="D238" s="130" t="str">
        <f t="shared" si="11"/>
        <v>N/T</v>
      </c>
      <c r="E238" s="107" t="str">
        <f t="shared" si="10"/>
        <v/>
      </c>
      <c r="G238" s="19"/>
      <c r="H238" s="19"/>
      <c r="I238" s="19"/>
      <c r="J238" s="19"/>
      <c r="K238" s="228"/>
      <c r="L238" s="19"/>
      <c r="M238" s="19"/>
      <c r="N238" s="19"/>
      <c r="O238" s="19"/>
      <c r="P238" s="19"/>
      <c r="Q238" s="19"/>
      <c r="R238" s="19"/>
      <c r="S238" s="19"/>
      <c r="T238" s="19"/>
      <c r="U238" s="19"/>
      <c r="V238" s="19"/>
      <c r="W238" s="19"/>
      <c r="X238" s="19"/>
      <c r="Y238" s="19"/>
    </row>
    <row r="239" spans="1:25" ht="12" customHeight="1">
      <c r="A239" s="219" t="n" cm="1">
        <f t="array" ref="A239">IFERROR(INDEX('03.Muestra'!$B$8:$B$42,SMALL(IF("Página Web"='03.Muestra'!$D$8:$D$42,ROW('03.Muestra'!$B$8:$B$42)-MIN(ROW('03.Muestra'!$D$8:$D$42))+1,""),ROW()-208)),"")</f>
        <v>1.0</v>
      </c>
      <c r="B239" s="114" t="str" cm="1">
        <f t="array" ref="B239">IFERROR(INDEX('03.Muestra'!$C$8:$C$42,SMALL(IF("Página Web"='03.Muestra'!$D$8:$D$42,ROW('03.Muestra'!$C$8:$C$42)-MIN(ROW('03.Muestra'!$D$8:$D$42))+1,""),ROW()-208)),"")</f>
        <v>Home - PortCastelló</v>
      </c>
      <c r="C239" s="114" t="str" cm="1">
        <f t="array" ref="C239">IFERROR(INDEX('03.Muestra'!$F$8:$F$42,SMALL(IF("Página Web"='03.Muestra'!$D$8:$D$42,ROW('03.Muestra'!$F$8:$F$42)-MIN(ROW('03.Muestra'!$D$8:$D$42))+1,""),ROW()-208)),"")</f>
        <v>https://www.portcastello.com/</v>
      </c>
      <c r="D239" s="130" t="str">
        <f t="shared" si="11"/>
        <v>N/T</v>
      </c>
      <c r="E239" s="107" t="str">
        <f t="shared" si="10"/>
        <v/>
      </c>
      <c r="G239" s="19"/>
      <c r="H239" s="19"/>
      <c r="I239" s="19"/>
      <c r="J239" s="19"/>
      <c r="K239" s="228"/>
      <c r="L239" s="19"/>
      <c r="M239" s="19"/>
      <c r="N239" s="19"/>
      <c r="O239" s="19"/>
      <c r="P239" s="19"/>
      <c r="Q239" s="19"/>
      <c r="R239" s="19"/>
      <c r="S239" s="19"/>
      <c r="T239" s="19"/>
      <c r="U239" s="19"/>
      <c r="V239" s="19"/>
      <c r="W239" s="19"/>
      <c r="X239" s="19"/>
      <c r="Y239" s="19"/>
    </row>
    <row r="240" spans="1:25" ht="12" customHeight="1">
      <c r="A240" s="219" t="n" cm="1">
        <f t="array" ref="A240">IFERROR(INDEX('03.Muestra'!$B$8:$B$42,SMALL(IF("Página Web"='03.Muestra'!$D$8:$D$42,ROW('03.Muestra'!$B$8:$B$42)-MIN(ROW('03.Muestra'!$D$8:$D$42))+1,""),ROW()-208)),"")</f>
        <v>1.0</v>
      </c>
      <c r="B240" s="114" t="str" cm="1">
        <f t="array" ref="B240">IFERROR(INDEX('03.Muestra'!$C$8:$C$42,SMALL(IF("Página Web"='03.Muestra'!$D$8:$D$42,ROW('03.Muestra'!$C$8:$C$42)-MIN(ROW('03.Muestra'!$D$8:$D$42))+1,""),ROW()-208)),"")</f>
        <v>Home - PortCastelló</v>
      </c>
      <c r="C240" s="114" t="str" cm="1">
        <f t="array" ref="C240">IFERROR(INDEX('03.Muestra'!$F$8:$F$42,SMALL(IF("Página Web"='03.Muestra'!$D$8:$D$42,ROW('03.Muestra'!$F$8:$F$42)-MIN(ROW('03.Muestra'!$D$8:$D$42))+1,""),ROW()-208)),"")</f>
        <v>https://www.portcastello.com/</v>
      </c>
      <c r="D240" s="130" t="str">
        <f t="shared" si="11"/>
        <v>N/T</v>
      </c>
      <c r="E240" s="107" t="str">
        <f t="shared" si="10"/>
        <v/>
      </c>
      <c r="G240" s="19"/>
      <c r="H240" s="19"/>
      <c r="I240" s="19"/>
      <c r="J240" s="19"/>
      <c r="K240" s="228"/>
      <c r="L240" s="19"/>
      <c r="M240" s="19"/>
      <c r="N240" s="19"/>
      <c r="O240" s="19"/>
      <c r="P240" s="19"/>
      <c r="Q240" s="19"/>
      <c r="R240" s="19"/>
      <c r="S240" s="19"/>
      <c r="T240" s="19"/>
      <c r="U240" s="19"/>
      <c r="V240" s="19"/>
      <c r="W240" s="19"/>
      <c r="X240" s="19"/>
      <c r="Y240" s="19"/>
    </row>
    <row r="241" spans="1:25" ht="12" customHeight="1">
      <c r="A241" s="219" t="n" cm="1">
        <f t="array" ref="A241">IFERROR(INDEX('03.Muestra'!$B$8:$B$42,SMALL(IF("Página Web"='03.Muestra'!$D$8:$D$42,ROW('03.Muestra'!$B$8:$B$42)-MIN(ROW('03.Muestra'!$D$8:$D$42))+1,""),ROW()-208)),"")</f>
        <v>1.0</v>
      </c>
      <c r="B241" s="114" t="str" cm="1">
        <f t="array" ref="B241">IFERROR(INDEX('03.Muestra'!$C$8:$C$42,SMALL(IF("Página Web"='03.Muestra'!$D$8:$D$42,ROW('03.Muestra'!$C$8:$C$42)-MIN(ROW('03.Muestra'!$D$8:$D$42))+1,""),ROW()-208)),"")</f>
        <v>Home - PortCastelló</v>
      </c>
      <c r="C241" s="114" t="str" cm="1">
        <f t="array" ref="C241">IFERROR(INDEX('03.Muestra'!$F$8:$F$42,SMALL(IF("Página Web"='03.Muestra'!$D$8:$D$42,ROW('03.Muestra'!$F$8:$F$42)-MIN(ROW('03.Muestra'!$D$8:$D$42))+1,""),ROW()-208)),"")</f>
        <v>https://www.portcastello.com/</v>
      </c>
      <c r="D241" s="130" t="str">
        <f t="shared" si="11"/>
        <v>N/T</v>
      </c>
      <c r="E241" s="107" t="str">
        <f t="shared" si="10"/>
        <v/>
      </c>
      <c r="G241" s="19"/>
      <c r="H241" s="19"/>
      <c r="I241" s="19"/>
      <c r="J241" s="19"/>
      <c r="K241" s="228"/>
      <c r="L241" s="19"/>
      <c r="M241" s="19"/>
      <c r="N241" s="19"/>
      <c r="O241" s="19"/>
      <c r="P241" s="19"/>
      <c r="Q241" s="19"/>
      <c r="R241" s="19"/>
      <c r="S241" s="19"/>
      <c r="T241" s="19"/>
      <c r="U241" s="19"/>
      <c r="V241" s="19"/>
      <c r="W241" s="19"/>
      <c r="X241" s="19"/>
      <c r="Y241" s="19"/>
    </row>
    <row r="242" spans="1:25" ht="12" customHeight="1">
      <c r="A242" s="219" t="str" cm="1">
        <f t="array" ref="A242">IFERROR(INDEX('03.Muestra'!$B$8:$B$42,SMALL(IF("Página Web"='03.Muestra'!$D$8:$D$42,ROW('03.Muestra'!$B$8:$B$42)-MIN(ROW('03.Muestra'!$D$8:$D$42))+1,""),ROW()-208)),"")</f>
        <v/>
      </c>
      <c r="B242" s="114" t="str" cm="1">
        <f t="array" ref="B242">IFERROR(INDEX('03.Muestra'!$C$8:$C$42,SMALL(IF("Página Web"='03.Muestra'!$D$8:$D$42,ROW('03.Muestra'!$C$8:$C$42)-MIN(ROW('03.Muestra'!$D$8:$D$42))+1,""),ROW()-208)),"")</f>
        <v/>
      </c>
      <c r="C242" s="114" t="str" cm="1">
        <f t="array" ref="C242">IFERROR(INDEX('03.Muestra'!$F$8:$F$42,SMALL(IF("Página Web"='03.Muestra'!$D$8:$D$42,ROW('03.Muestra'!$F$8:$F$42)-MIN(ROW('03.Muestra'!$D$8:$D$42))+1,""),ROW()-208)),"")</f>
        <v/>
      </c>
      <c r="D242" s="130" t="str">
        <f t="shared" si="11"/>
        <v/>
      </c>
      <c r="E242" s="107" t="str">
        <f t="shared" si="10"/>
        <v/>
      </c>
      <c r="F242" s="124"/>
      <c r="G242" s="19"/>
      <c r="H242" s="19"/>
      <c r="I242" s="19"/>
      <c r="J242" s="19"/>
      <c r="K242" s="228"/>
      <c r="L242" s="19"/>
      <c r="M242" s="19"/>
      <c r="N242" s="19"/>
      <c r="O242" s="19"/>
      <c r="P242" s="19"/>
      <c r="Q242" s="19"/>
      <c r="R242" s="19"/>
      <c r="S242" s="19"/>
      <c r="T242" s="19"/>
      <c r="U242" s="19"/>
      <c r="V242" s="19"/>
      <c r="W242" s="19"/>
      <c r="X242" s="19"/>
      <c r="Y242" s="19"/>
    </row>
    <row r="243" spans="1:25" ht="12" customHeight="1">
      <c r="A243" s="219" t="str" cm="1">
        <f t="array" ref="A243">IFERROR(INDEX('03.Muestra'!$B$8:$B$42,SMALL(IF("Página Web"='03.Muestra'!$D$8:$D$42,ROW('03.Muestra'!$B$8:$B$42)-MIN(ROW('03.Muestra'!$D$8:$D$42))+1,""),ROW()-208)),"")</f>
        <v/>
      </c>
      <c r="B243" s="114" t="str" cm="1">
        <f t="array" ref="B243">IFERROR(INDEX('03.Muestra'!$C$8:$C$42,SMALL(IF("Página Web"='03.Muestra'!$D$8:$D$42,ROW('03.Muestra'!$C$8:$C$42)-MIN(ROW('03.Muestra'!$D$8:$D$42))+1,""),ROW()-208)),"")</f>
        <v/>
      </c>
      <c r="C243" s="114" t="str" cm="1">
        <f t="array" ref="C243">IFERROR(INDEX('03.Muestra'!$F$8:$F$42,SMALL(IF("Página Web"='03.Muestra'!$D$8:$D$42,ROW('03.Muestra'!$F$8:$F$42)-MIN(ROW('03.Muestra'!$D$8:$D$42))+1,""),ROW()-208)),"")</f>
        <v/>
      </c>
      <c r="D243" s="130" t="str">
        <f t="shared" si="11"/>
        <v/>
      </c>
      <c r="E243" s="107" t="str">
        <f t="shared" si="10"/>
        <v/>
      </c>
      <c r="F243" s="19"/>
      <c r="G243" s="19"/>
      <c r="H243" s="19"/>
      <c r="I243" s="19"/>
      <c r="J243" s="19"/>
      <c r="K243" s="228"/>
      <c r="L243" s="19"/>
      <c r="M243" s="19"/>
      <c r="N243" s="19"/>
      <c r="O243" s="19"/>
      <c r="P243" s="19"/>
      <c r="Q243" s="19"/>
      <c r="R243" s="19"/>
      <c r="S243" s="19"/>
      <c r="T243" s="19"/>
      <c r="U243" s="19"/>
      <c r="V243" s="19"/>
      <c r="W243" s="19"/>
      <c r="X243" s="19"/>
      <c r="Y243" s="19"/>
    </row>
    <row r="244" spans="1:25" ht="12" customHeight="1">
      <c r="B244" s="19"/>
      <c r="C244" s="19"/>
      <c r="D244" s="107"/>
      <c r="E244" s="107"/>
      <c r="F244" s="19"/>
      <c r="G244" s="19"/>
      <c r="H244" s="19"/>
      <c r="I244" s="19"/>
      <c r="J244" s="19"/>
      <c r="K244" s="228"/>
      <c r="L244" s="19"/>
      <c r="M244" s="19"/>
      <c r="N244" s="19"/>
      <c r="O244" s="19"/>
      <c r="P244" s="19"/>
      <c r="Q244" s="19"/>
      <c r="R244" s="19"/>
      <c r="S244" s="19"/>
      <c r="T244" s="19"/>
      <c r="U244" s="19"/>
      <c r="V244" s="19"/>
      <c r="W244" s="19"/>
      <c r="X244" s="19"/>
      <c r="Y244" s="19"/>
    </row>
    <row r="245" spans="1:25" ht="12" customHeight="1">
      <c r="B245" s="19"/>
      <c r="C245" s="19"/>
      <c r="D245" s="107"/>
      <c r="E245" s="107"/>
      <c r="F245" s="19"/>
      <c r="G245" s="19"/>
      <c r="H245" s="19"/>
      <c r="I245" s="19"/>
      <c r="J245" s="19"/>
      <c r="K245" s="228"/>
      <c r="L245" s="19"/>
      <c r="M245" s="19"/>
      <c r="N245" s="19"/>
      <c r="O245" s="19"/>
      <c r="P245" s="19"/>
      <c r="Q245" s="19"/>
      <c r="R245" s="19"/>
      <c r="S245" s="19"/>
      <c r="T245" s="19"/>
      <c r="U245" s="19"/>
      <c r="V245" s="19"/>
      <c r="W245" s="19"/>
      <c r="X245" s="19"/>
      <c r="Y245" s="19"/>
    </row>
    <row r="246" spans="1:25" ht="32.25" customHeight="1">
      <c r="A246" s="218" t="s">
        <v>268</v>
      </c>
      <c r="B246" s="24" t="s">
        <v>90</v>
      </c>
      <c r="C246" s="217" t="s">
        <v>314</v>
      </c>
      <c r="D246" s="26" t="s">
        <v>32</v>
      </c>
      <c r="E246" s="123"/>
      <c r="K246" s="228"/>
      <c r="L246" s="19"/>
      <c r="M246" s="19"/>
      <c r="N246" s="19"/>
      <c r="O246" s="19"/>
      <c r="P246" s="19"/>
      <c r="Q246" s="19"/>
      <c r="R246" s="19"/>
      <c r="T246" s="19"/>
      <c r="U246" s="19"/>
      <c r="V246" s="19"/>
      <c r="W246" s="19"/>
      <c r="X246" s="19"/>
      <c r="Y246" s="19"/>
    </row>
    <row r="247" spans="1:25" ht="12" customHeight="1">
      <c r="A247" s="219" t="n" cm="1">
        <f t="array" ref="A247">IFERROR(INDEX('03.Muestra'!$B$8:$B$42,SMALL(IF("Página Web"='03.Muestra'!$D$8:$D$42,ROW('03.Muestra'!$B$8:$B$42)-MIN(ROW('03.Muestra'!$D$8:$D$42))+1,""),ROW()-246)),"")</f>
        <v>1.0</v>
      </c>
      <c r="B247" s="114" t="str" cm="1">
        <f t="array" ref="B247">IFERROR(INDEX('03.Muestra'!$C$8:$C$42,SMALL(IF("Página Web"='03.Muestra'!$D$8:$D$42,ROW('03.Muestra'!$C$8:$C$42)-MIN(ROW('03.Muestra'!$D$8:$D$42))+1,""),ROW()-246)),"")</f>
        <v>Home - PortCastelló</v>
      </c>
      <c r="C247" s="114" t="str" cm="1">
        <f t="array" ref="C247">IFERROR(INDEX('03.Muestra'!$F$8:$F$42,SMALL(IF("Página Web"='03.Muestra'!$D$8:$D$42,ROW('03.Muestra'!$F$8:$F$42)-MIN(ROW('03.Muestra'!$D$8:$D$42))+1,""),ROW()-246)),"")</f>
        <v>https://www.portcastello.com/</v>
      </c>
      <c r="D247" s="130" t="str">
        <f>IF(AND(B247&lt;&gt;"",C247&lt;&gt;""),"N/T","")</f>
        <v>N/T</v>
      </c>
      <c r="E247" s="107" t="str">
        <f t="shared" ref="E247:E281" si="12">IF(D247&lt;&gt;"",IF(AND(B247&lt;&gt;"",C247&lt;&gt;""),"","ERR"),"")</f>
        <v/>
      </c>
      <c r="F247" s="115" t="s">
        <v>33</v>
      </c>
      <c r="G247" s="116" t="s">
        <v>37</v>
      </c>
      <c r="H247" s="117" t="s">
        <v>35</v>
      </c>
      <c r="I247" s="118" t="s">
        <v>28</v>
      </c>
      <c r="J247" s="119" t="s">
        <v>26</v>
      </c>
      <c r="K247" s="229" t="s">
        <v>474</v>
      </c>
      <c r="L247" s="19"/>
      <c r="M247" s="19"/>
      <c r="N247" s="19"/>
      <c r="O247" s="19"/>
      <c r="P247" s="19"/>
      <c r="Q247" s="19"/>
      <c r="R247" s="19"/>
      <c r="T247" s="19"/>
      <c r="U247" s="19"/>
      <c r="V247" s="19"/>
      <c r="W247" s="19"/>
      <c r="X247" s="19"/>
      <c r="Y247" s="19"/>
    </row>
    <row r="248" spans="1:25" ht="12" customHeight="1">
      <c r="A248" s="219" t="n" cm="1">
        <f t="array" ref="A248">IFERROR(INDEX('03.Muestra'!$B$8:$B$42,SMALL(IF("Página Web"='03.Muestra'!$D$8:$D$42,ROW('03.Muestra'!$B$8:$B$42)-MIN(ROW('03.Muestra'!$D$8:$D$42))+1,""),ROW()-246)),"")</f>
        <v>1.0</v>
      </c>
      <c r="B248" s="114" t="str" cm="1">
        <f t="array" ref="B248">IFERROR(INDEX('03.Muestra'!$C$8:$C$42,SMALL(IF("Página Web"='03.Muestra'!$D$8:$D$42,ROW('03.Muestra'!$C$8:$C$42)-MIN(ROW('03.Muestra'!$D$8:$D$42))+1,""),ROW()-246)),"")</f>
        <v>Home - PortCastelló</v>
      </c>
      <c r="C248" s="114" t="str" cm="1">
        <f t="array" ref="C248">IFERROR(INDEX('03.Muestra'!$F$8:$F$42,SMALL(IF("Página Web"='03.Muestra'!$D$8:$D$42,ROW('03.Muestra'!$F$8:$F$42)-MIN(ROW('03.Muestra'!$D$8:$D$42))+1,""),ROW()-246)),"")</f>
        <v>https://www.portcastello.com/</v>
      </c>
      <c r="D248" s="130" t="str">
        <f t="shared" ref="D248:D281" si="13">IF(AND(B248&lt;&gt;"",C248&lt;&gt;""),"N/T","")</f>
        <v>N/T</v>
      </c>
      <c r="E248" s="107" t="str">
        <f t="shared" si="12"/>
        <v/>
      </c>
      <c r="F248" s="120" t="n">
        <f ca="1">COUNTIF($D247:INDIRECT("$D" &amp;  SUM(ROW()-1,'03.Muestra'!$D$45)-1),F247)</f>
        <v>33.0</v>
      </c>
      <c r="G248" s="120" t="n">
        <f ca="1">COUNTIF($D247:INDIRECT("$D" &amp;  SUM(ROW()-1,'03.Muestra'!$D$45)-1),G247)</f>
        <v>0.0</v>
      </c>
      <c r="H248" s="120" t="n">
        <f ca="1">COUNTIF($D247:INDIRECT("$D" &amp;  SUM(ROW()-1,'03.Muestra'!$D$45)-1),H247)</f>
        <v>0.0</v>
      </c>
      <c r="I248" s="120" t="n">
        <f ca="1">COUNTIF($D247:INDIRECT("$D" &amp;  SUM(ROW()-1,'03.Muestra'!$D$45)-1),I247)</f>
        <v>0.0</v>
      </c>
      <c r="J248" s="120" t="n">
        <f ca="1">COUNTIF($D247:INDIRECT("$D" &amp;  SUM(ROW()-1,'03.Muestra'!$D$45)-1),J247)</f>
        <v>0.0</v>
      </c>
      <c r="K248" s="230" t="n">
        <f ca="1">IF(COUNTIF('03.Muestra'!$D$8:$D$42,"Página Web")=0,0,COUNTBLANK($D247:INDIRECT("$D" &amp;  SUM(ROW()-1,COUNTIF('03.Muestra'!$D$8:$D$42,"Página Web"))-1)))</f>
        <v>0.0</v>
      </c>
      <c r="L248" s="19"/>
      <c r="M248" s="19"/>
      <c r="N248" s="19"/>
      <c r="O248" s="19"/>
      <c r="P248" s="19"/>
      <c r="Q248" s="19"/>
      <c r="R248" s="19"/>
      <c r="T248" s="19"/>
      <c r="U248" s="19"/>
      <c r="V248" s="19"/>
      <c r="W248" s="19"/>
      <c r="X248" s="19"/>
      <c r="Y248" s="19"/>
    </row>
    <row r="249" spans="1:25" ht="12" customHeight="1">
      <c r="A249" s="219" t="n" cm="1">
        <f t="array" ref="A249">IFERROR(INDEX('03.Muestra'!$B$8:$B$42,SMALL(IF("Página Web"='03.Muestra'!$D$8:$D$42,ROW('03.Muestra'!$B$8:$B$42)-MIN(ROW('03.Muestra'!$D$8:$D$42))+1,""),ROW()-246)),"")</f>
        <v>1.0</v>
      </c>
      <c r="B249" s="114" t="str" cm="1">
        <f t="array" ref="B249">IFERROR(INDEX('03.Muestra'!$C$8:$C$42,SMALL(IF("Página Web"='03.Muestra'!$D$8:$D$42,ROW('03.Muestra'!$C$8:$C$42)-MIN(ROW('03.Muestra'!$D$8:$D$42))+1,""),ROW()-246)),"")</f>
        <v>Home - PortCastelló</v>
      </c>
      <c r="C249" s="114" t="str" cm="1">
        <f t="array" ref="C249">IFERROR(INDEX('03.Muestra'!$F$8:$F$42,SMALL(IF("Página Web"='03.Muestra'!$D$8:$D$42,ROW('03.Muestra'!$F$8:$F$42)-MIN(ROW('03.Muestra'!$D$8:$D$42))+1,""),ROW()-246)),"")</f>
        <v>https://www.portcastello.com/</v>
      </c>
      <c r="D249" s="130" t="str">
        <f t="shared" si="13"/>
        <v>N/T</v>
      </c>
      <c r="E249" s="107" t="str">
        <f t="shared" si="12"/>
        <v/>
      </c>
      <c r="G249" s="19"/>
      <c r="H249" s="19"/>
      <c r="I249" s="19"/>
      <c r="J249" s="19"/>
      <c r="K249" s="228"/>
      <c r="L249" s="19"/>
      <c r="M249" s="19"/>
      <c r="N249" s="19"/>
      <c r="O249" s="19"/>
      <c r="P249" s="19"/>
      <c r="Q249" s="19"/>
      <c r="R249" s="19"/>
      <c r="T249" s="19"/>
      <c r="U249" s="19"/>
      <c r="V249" s="19"/>
      <c r="W249" s="19"/>
      <c r="X249" s="19"/>
      <c r="Y249" s="19"/>
    </row>
    <row r="250" spans="1:25" ht="12" customHeight="1">
      <c r="A250" s="219" t="n" cm="1">
        <f t="array" ref="A250">IFERROR(INDEX('03.Muestra'!$B$8:$B$42,SMALL(IF("Página Web"='03.Muestra'!$D$8:$D$42,ROW('03.Muestra'!$B$8:$B$42)-MIN(ROW('03.Muestra'!$D$8:$D$42))+1,""),ROW()-246)),"")</f>
        <v>1.0</v>
      </c>
      <c r="B250" s="114" t="str" cm="1">
        <f t="array" ref="B250">IFERROR(INDEX('03.Muestra'!$C$8:$C$42,SMALL(IF("Página Web"='03.Muestra'!$D$8:$D$42,ROW('03.Muestra'!$C$8:$C$42)-MIN(ROW('03.Muestra'!$D$8:$D$42))+1,""),ROW()-246)),"")</f>
        <v>Home - PortCastelló</v>
      </c>
      <c r="C250" s="114" t="str" cm="1">
        <f t="array" ref="C250">IFERROR(INDEX('03.Muestra'!$F$8:$F$42,SMALL(IF("Página Web"='03.Muestra'!$D$8:$D$42,ROW('03.Muestra'!$F$8:$F$42)-MIN(ROW('03.Muestra'!$D$8:$D$42))+1,""),ROW()-246)),"")</f>
        <v>https://www.portcastello.com/</v>
      </c>
      <c r="D250" s="130" t="str">
        <f t="shared" si="13"/>
        <v>N/T</v>
      </c>
      <c r="E250" s="107" t="str">
        <f t="shared" si="12"/>
        <v/>
      </c>
      <c r="G250" s="19"/>
      <c r="H250" s="19"/>
      <c r="I250" s="19"/>
      <c r="J250" s="19"/>
      <c r="K250" s="228"/>
      <c r="L250" s="19"/>
      <c r="M250" s="19"/>
      <c r="N250" s="19"/>
      <c r="O250" s="19"/>
      <c r="P250" s="19"/>
      <c r="Q250" s="19"/>
      <c r="R250" s="19"/>
      <c r="T250" s="19"/>
      <c r="U250" s="19"/>
      <c r="V250" s="19"/>
      <c r="W250" s="19"/>
      <c r="X250" s="19"/>
      <c r="Y250" s="19"/>
    </row>
    <row r="251" spans="1:25" ht="12" customHeight="1">
      <c r="A251" s="219" t="n" cm="1">
        <f t="array" ref="A251">IFERROR(INDEX('03.Muestra'!$B$8:$B$42,SMALL(IF("Página Web"='03.Muestra'!$D$8:$D$42,ROW('03.Muestra'!$B$8:$B$42)-MIN(ROW('03.Muestra'!$D$8:$D$42))+1,""),ROW()-246)),"")</f>
        <v>1.0</v>
      </c>
      <c r="B251" s="114" t="str" cm="1">
        <f t="array" ref="B251">IFERROR(INDEX('03.Muestra'!$C$8:$C$42,SMALL(IF("Página Web"='03.Muestra'!$D$8:$D$42,ROW('03.Muestra'!$C$8:$C$42)-MIN(ROW('03.Muestra'!$D$8:$D$42))+1,""),ROW()-246)),"")</f>
        <v>Home - PortCastelló</v>
      </c>
      <c r="C251" s="114" t="str" cm="1">
        <f t="array" ref="C251">IFERROR(INDEX('03.Muestra'!$F$8:$F$42,SMALL(IF("Página Web"='03.Muestra'!$D$8:$D$42,ROW('03.Muestra'!$F$8:$F$42)-MIN(ROW('03.Muestra'!$D$8:$D$42))+1,""),ROW()-246)),"")</f>
        <v>https://www.portcastello.com/</v>
      </c>
      <c r="D251" s="130" t="str">
        <f t="shared" si="13"/>
        <v>N/T</v>
      </c>
      <c r="E251" s="107" t="str">
        <f t="shared" si="12"/>
        <v/>
      </c>
      <c r="G251" s="19"/>
      <c r="H251" s="19"/>
      <c r="I251" s="19"/>
      <c r="J251" s="19"/>
      <c r="K251" s="228"/>
      <c r="L251" s="19"/>
      <c r="M251" s="19"/>
      <c r="N251" s="19"/>
      <c r="O251" s="19"/>
      <c r="P251" s="19"/>
      <c r="Q251" s="19"/>
      <c r="R251" s="19"/>
      <c r="T251" s="19"/>
      <c r="U251" s="19"/>
      <c r="V251" s="19"/>
      <c r="W251" s="19"/>
      <c r="X251" s="19"/>
      <c r="Y251" s="19"/>
    </row>
    <row r="252" spans="1:25" ht="12" customHeight="1">
      <c r="A252" s="219" t="n" cm="1">
        <f t="array" ref="A252">IFERROR(INDEX('03.Muestra'!$B$8:$B$42,SMALL(IF("Página Web"='03.Muestra'!$D$8:$D$42,ROW('03.Muestra'!$B$8:$B$42)-MIN(ROW('03.Muestra'!$D$8:$D$42))+1,""),ROW()-246)),"")</f>
        <v>1.0</v>
      </c>
      <c r="B252" s="114" t="str" cm="1">
        <f t="array" ref="B252">IFERROR(INDEX('03.Muestra'!$C$8:$C$42,SMALL(IF("Página Web"='03.Muestra'!$D$8:$D$42,ROW('03.Muestra'!$C$8:$C$42)-MIN(ROW('03.Muestra'!$D$8:$D$42))+1,""),ROW()-246)),"")</f>
        <v>Home - PortCastelló</v>
      </c>
      <c r="C252" s="114" t="str" cm="1">
        <f t="array" ref="C252">IFERROR(INDEX('03.Muestra'!$F$8:$F$42,SMALL(IF("Página Web"='03.Muestra'!$D$8:$D$42,ROW('03.Muestra'!$F$8:$F$42)-MIN(ROW('03.Muestra'!$D$8:$D$42))+1,""),ROW()-246)),"")</f>
        <v>https://www.portcastello.com/</v>
      </c>
      <c r="D252" s="130" t="str">
        <f t="shared" si="13"/>
        <v>N/T</v>
      </c>
      <c r="E252" s="107" t="str">
        <f t="shared" si="12"/>
        <v/>
      </c>
      <c r="G252" s="19"/>
      <c r="H252" s="19"/>
      <c r="I252" s="19"/>
      <c r="J252" s="19"/>
      <c r="K252" s="228"/>
      <c r="L252" s="19"/>
      <c r="M252" s="19"/>
      <c r="N252" s="19"/>
      <c r="O252" s="19"/>
      <c r="P252" s="19"/>
      <c r="Q252" s="19"/>
      <c r="R252" s="19"/>
      <c r="T252" s="19"/>
      <c r="U252" s="19"/>
      <c r="V252" s="19"/>
      <c r="W252" s="19"/>
      <c r="X252" s="19"/>
      <c r="Y252" s="19"/>
    </row>
    <row r="253" spans="1:25" ht="12" customHeight="1">
      <c r="A253" s="219" t="n" cm="1">
        <f t="array" ref="A253">IFERROR(INDEX('03.Muestra'!$B$8:$B$42,SMALL(IF("Página Web"='03.Muestra'!$D$8:$D$42,ROW('03.Muestra'!$B$8:$B$42)-MIN(ROW('03.Muestra'!$D$8:$D$42))+1,""),ROW()-246)),"")</f>
        <v>1.0</v>
      </c>
      <c r="B253" s="114" t="str" cm="1">
        <f t="array" ref="B253">IFERROR(INDEX('03.Muestra'!$C$8:$C$42,SMALL(IF("Página Web"='03.Muestra'!$D$8:$D$42,ROW('03.Muestra'!$C$8:$C$42)-MIN(ROW('03.Muestra'!$D$8:$D$42))+1,""),ROW()-246)),"")</f>
        <v>Home - PortCastelló</v>
      </c>
      <c r="C253" s="114" t="str" cm="1">
        <f t="array" ref="C253">IFERROR(INDEX('03.Muestra'!$F$8:$F$42,SMALL(IF("Página Web"='03.Muestra'!$D$8:$D$42,ROW('03.Muestra'!$F$8:$F$42)-MIN(ROW('03.Muestra'!$D$8:$D$42))+1,""),ROW()-246)),"")</f>
        <v>https://www.portcastello.com/</v>
      </c>
      <c r="D253" s="130" t="str">
        <f t="shared" si="13"/>
        <v>N/T</v>
      </c>
      <c r="E253" s="107" t="str">
        <f t="shared" si="12"/>
        <v/>
      </c>
      <c r="F253" s="19"/>
      <c r="G253" s="19"/>
      <c r="H253" s="19"/>
      <c r="I253" s="19"/>
      <c r="J253" s="19"/>
      <c r="K253" s="228"/>
      <c r="L253" s="19"/>
      <c r="M253" s="19"/>
      <c r="N253" s="19"/>
      <c r="O253" s="19"/>
      <c r="P253" s="19"/>
      <c r="Q253" s="19"/>
      <c r="R253" s="19"/>
      <c r="S253" s="19"/>
      <c r="T253" s="19"/>
      <c r="U253" s="19"/>
      <c r="V253" s="19"/>
      <c r="W253" s="19"/>
      <c r="X253" s="19"/>
      <c r="Y253" s="19"/>
    </row>
    <row r="254" spans="1:25" ht="12" customHeight="1">
      <c r="A254" s="219" t="n" cm="1">
        <f t="array" ref="A254">IFERROR(INDEX('03.Muestra'!$B$8:$B$42,SMALL(IF("Página Web"='03.Muestra'!$D$8:$D$42,ROW('03.Muestra'!$B$8:$B$42)-MIN(ROW('03.Muestra'!$D$8:$D$42))+1,""),ROW()-246)),"")</f>
        <v>1.0</v>
      </c>
      <c r="B254" s="114" t="str" cm="1">
        <f t="array" ref="B254">IFERROR(INDEX('03.Muestra'!$C$8:$C$42,SMALL(IF("Página Web"='03.Muestra'!$D$8:$D$42,ROW('03.Muestra'!$C$8:$C$42)-MIN(ROW('03.Muestra'!$D$8:$D$42))+1,""),ROW()-246)),"")</f>
        <v>Home - PortCastelló</v>
      </c>
      <c r="C254" s="114" t="str" cm="1">
        <f t="array" ref="C254">IFERROR(INDEX('03.Muestra'!$F$8:$F$42,SMALL(IF("Página Web"='03.Muestra'!$D$8:$D$42,ROW('03.Muestra'!$F$8:$F$42)-MIN(ROW('03.Muestra'!$D$8:$D$42))+1,""),ROW()-246)),"")</f>
        <v>https://www.portcastello.com/</v>
      </c>
      <c r="D254" s="130" t="str">
        <f t="shared" si="13"/>
        <v>N/T</v>
      </c>
      <c r="E254" s="107" t="str">
        <f t="shared" si="12"/>
        <v/>
      </c>
      <c r="F254" s="19"/>
      <c r="G254" s="19"/>
      <c r="H254" s="19"/>
      <c r="I254" s="19"/>
      <c r="J254" s="19"/>
      <c r="K254" s="228"/>
      <c r="L254" s="19"/>
      <c r="M254" s="19"/>
      <c r="N254" s="19"/>
      <c r="O254" s="19"/>
      <c r="P254" s="19"/>
      <c r="Q254" s="19"/>
      <c r="R254" s="19"/>
      <c r="S254" s="19"/>
      <c r="T254" s="19"/>
      <c r="U254" s="19"/>
      <c r="V254" s="19"/>
      <c r="W254" s="19"/>
      <c r="X254" s="19"/>
      <c r="Y254" s="19"/>
    </row>
    <row r="255" spans="1:25" ht="12" customHeight="1">
      <c r="A255" s="219" t="n" cm="1">
        <f t="array" ref="A255">IFERROR(INDEX('03.Muestra'!$B$8:$B$42,SMALL(IF("Página Web"='03.Muestra'!$D$8:$D$42,ROW('03.Muestra'!$B$8:$B$42)-MIN(ROW('03.Muestra'!$D$8:$D$42))+1,""),ROW()-246)),"")</f>
        <v>1.0</v>
      </c>
      <c r="B255" s="114" t="str" cm="1">
        <f t="array" ref="B255">IFERROR(INDEX('03.Muestra'!$C$8:$C$42,SMALL(IF("Página Web"='03.Muestra'!$D$8:$D$42,ROW('03.Muestra'!$C$8:$C$42)-MIN(ROW('03.Muestra'!$D$8:$D$42))+1,""),ROW()-246)),"")</f>
        <v>Home - PortCastelló</v>
      </c>
      <c r="C255" s="114" t="str" cm="1">
        <f t="array" ref="C255">IFERROR(INDEX('03.Muestra'!$F$8:$F$42,SMALL(IF("Página Web"='03.Muestra'!$D$8:$D$42,ROW('03.Muestra'!$F$8:$F$42)-MIN(ROW('03.Muestra'!$D$8:$D$42))+1,""),ROW()-246)),"")</f>
        <v>https://www.portcastello.com/</v>
      </c>
      <c r="D255" s="130" t="str">
        <f t="shared" si="13"/>
        <v>N/T</v>
      </c>
      <c r="E255" s="107" t="str">
        <f t="shared" si="12"/>
        <v/>
      </c>
      <c r="F255" s="19"/>
      <c r="G255" s="19"/>
      <c r="H255" s="19"/>
      <c r="I255" s="19"/>
      <c r="J255" s="19"/>
      <c r="K255" s="228"/>
      <c r="L255" s="19"/>
      <c r="M255" s="19"/>
      <c r="N255" s="19"/>
      <c r="O255" s="19"/>
      <c r="P255" s="19"/>
      <c r="Q255" s="19"/>
      <c r="R255" s="19"/>
      <c r="S255" s="19"/>
      <c r="T255" s="19"/>
      <c r="U255" s="19"/>
      <c r="V255" s="19"/>
      <c r="W255" s="19"/>
      <c r="X255" s="19"/>
      <c r="Y255" s="19"/>
    </row>
    <row r="256" spans="1:25" ht="12" customHeight="1">
      <c r="A256" s="219" t="n" cm="1">
        <f t="array" ref="A256">IFERROR(INDEX('03.Muestra'!$B$8:$B$42,SMALL(IF("Página Web"='03.Muestra'!$D$8:$D$42,ROW('03.Muestra'!$B$8:$B$42)-MIN(ROW('03.Muestra'!$D$8:$D$42))+1,""),ROW()-246)),"")</f>
        <v>1.0</v>
      </c>
      <c r="B256" s="114" t="str" cm="1">
        <f t="array" ref="B256">IFERROR(INDEX('03.Muestra'!$C$8:$C$42,SMALL(IF("Página Web"='03.Muestra'!$D$8:$D$42,ROW('03.Muestra'!$C$8:$C$42)-MIN(ROW('03.Muestra'!$D$8:$D$42))+1,""),ROW()-246)),"")</f>
        <v>Home - PortCastelló</v>
      </c>
      <c r="C256" s="114" t="str" cm="1">
        <f t="array" ref="C256">IFERROR(INDEX('03.Muestra'!$F$8:$F$42,SMALL(IF("Página Web"='03.Muestra'!$D$8:$D$42,ROW('03.Muestra'!$F$8:$F$42)-MIN(ROW('03.Muestra'!$D$8:$D$42))+1,""),ROW()-246)),"")</f>
        <v>https://www.portcastello.com/</v>
      </c>
      <c r="D256" s="130" t="str">
        <f t="shared" si="13"/>
        <v>N/T</v>
      </c>
      <c r="E256" s="107" t="str">
        <f t="shared" si="12"/>
        <v/>
      </c>
      <c r="F256" s="19"/>
      <c r="G256" s="19"/>
      <c r="H256" s="19"/>
      <c r="I256" s="19"/>
      <c r="J256" s="19"/>
      <c r="K256" s="228"/>
      <c r="L256" s="19"/>
      <c r="M256" s="19"/>
      <c r="N256" s="19"/>
      <c r="O256" s="19"/>
      <c r="P256" s="19"/>
      <c r="Q256" s="19"/>
      <c r="R256" s="19"/>
      <c r="S256" s="19"/>
      <c r="T256" s="19"/>
      <c r="U256" s="19"/>
      <c r="V256" s="19"/>
      <c r="W256" s="19"/>
      <c r="X256" s="19"/>
      <c r="Y256" s="19"/>
    </row>
    <row r="257" spans="1:25" ht="12" customHeight="1">
      <c r="A257" s="219" t="n" cm="1">
        <f t="array" ref="A257">IFERROR(INDEX('03.Muestra'!$B$8:$B$42,SMALL(IF("Página Web"='03.Muestra'!$D$8:$D$42,ROW('03.Muestra'!$B$8:$B$42)-MIN(ROW('03.Muestra'!$D$8:$D$42))+1,""),ROW()-246)),"")</f>
        <v>1.0</v>
      </c>
      <c r="B257" s="114" t="str" cm="1">
        <f t="array" ref="B257">IFERROR(INDEX('03.Muestra'!$C$8:$C$42,SMALL(IF("Página Web"='03.Muestra'!$D$8:$D$42,ROW('03.Muestra'!$C$8:$C$42)-MIN(ROW('03.Muestra'!$D$8:$D$42))+1,""),ROW()-246)),"")</f>
        <v>Home - PortCastelló</v>
      </c>
      <c r="C257" s="114" t="str" cm="1">
        <f t="array" ref="C257">IFERROR(INDEX('03.Muestra'!$F$8:$F$42,SMALL(IF("Página Web"='03.Muestra'!$D$8:$D$42,ROW('03.Muestra'!$F$8:$F$42)-MIN(ROW('03.Muestra'!$D$8:$D$42))+1,""),ROW()-246)),"")</f>
        <v>https://www.portcastello.com/</v>
      </c>
      <c r="D257" s="130" t="str">
        <f t="shared" si="13"/>
        <v>N/T</v>
      </c>
      <c r="E257" s="107" t="str">
        <f t="shared" si="12"/>
        <v/>
      </c>
      <c r="F257" s="19"/>
      <c r="G257" s="19"/>
      <c r="H257" s="19"/>
      <c r="I257" s="19"/>
      <c r="J257" s="19"/>
      <c r="K257" s="228"/>
      <c r="L257" s="19"/>
      <c r="M257" s="19"/>
      <c r="N257" s="19"/>
      <c r="O257" s="19"/>
      <c r="P257" s="19"/>
      <c r="Q257" s="19"/>
      <c r="R257" s="19"/>
      <c r="S257" s="19"/>
      <c r="T257" s="19"/>
      <c r="U257" s="19"/>
      <c r="V257" s="19"/>
      <c r="W257" s="19"/>
      <c r="X257" s="19"/>
      <c r="Y257" s="19"/>
    </row>
    <row r="258" spans="1:25" ht="12" customHeight="1">
      <c r="A258" s="219" t="n" cm="1">
        <f t="array" ref="A258">IFERROR(INDEX('03.Muestra'!$B$8:$B$42,SMALL(IF("Página Web"='03.Muestra'!$D$8:$D$42,ROW('03.Muestra'!$B$8:$B$42)-MIN(ROW('03.Muestra'!$D$8:$D$42))+1,""),ROW()-246)),"")</f>
        <v>1.0</v>
      </c>
      <c r="B258" s="114" t="str" cm="1">
        <f t="array" ref="B258">IFERROR(INDEX('03.Muestra'!$C$8:$C$42,SMALL(IF("Página Web"='03.Muestra'!$D$8:$D$42,ROW('03.Muestra'!$C$8:$C$42)-MIN(ROW('03.Muestra'!$D$8:$D$42))+1,""),ROW()-246)),"")</f>
        <v>Home - PortCastelló</v>
      </c>
      <c r="C258" s="114" t="str" cm="1">
        <f t="array" ref="C258">IFERROR(INDEX('03.Muestra'!$F$8:$F$42,SMALL(IF("Página Web"='03.Muestra'!$D$8:$D$42,ROW('03.Muestra'!$F$8:$F$42)-MIN(ROW('03.Muestra'!$D$8:$D$42))+1,""),ROW()-246)),"")</f>
        <v>https://www.portcastello.com/</v>
      </c>
      <c r="D258" s="130" t="str">
        <f t="shared" si="13"/>
        <v>N/T</v>
      </c>
      <c r="E258" s="107" t="str">
        <f t="shared" si="12"/>
        <v/>
      </c>
      <c r="F258" s="19"/>
      <c r="G258" s="19"/>
      <c r="H258" s="19"/>
      <c r="I258" s="19"/>
      <c r="J258" s="19"/>
      <c r="K258" s="228"/>
      <c r="L258" s="19"/>
      <c r="M258" s="19"/>
      <c r="N258" s="19"/>
      <c r="O258" s="19"/>
      <c r="P258" s="19"/>
      <c r="Q258" s="19"/>
      <c r="R258" s="19"/>
      <c r="S258" s="19"/>
      <c r="T258" s="19"/>
      <c r="U258" s="19"/>
      <c r="V258" s="19"/>
      <c r="W258" s="19"/>
      <c r="X258" s="19"/>
      <c r="Y258" s="19"/>
    </row>
    <row r="259" spans="1:25" ht="12" customHeight="1">
      <c r="A259" s="219" t="n" cm="1">
        <f t="array" ref="A259">IFERROR(INDEX('03.Muestra'!$B$8:$B$42,SMALL(IF("Página Web"='03.Muestra'!$D$8:$D$42,ROW('03.Muestra'!$B$8:$B$42)-MIN(ROW('03.Muestra'!$D$8:$D$42))+1,""),ROW()-246)),"")</f>
        <v>1.0</v>
      </c>
      <c r="B259" s="114" t="str" cm="1">
        <f t="array" ref="B259">IFERROR(INDEX('03.Muestra'!$C$8:$C$42,SMALL(IF("Página Web"='03.Muestra'!$D$8:$D$42,ROW('03.Muestra'!$C$8:$C$42)-MIN(ROW('03.Muestra'!$D$8:$D$42))+1,""),ROW()-246)),"")</f>
        <v>Home - PortCastelló</v>
      </c>
      <c r="C259" s="114" t="str" cm="1">
        <f t="array" ref="C259">IFERROR(INDEX('03.Muestra'!$F$8:$F$42,SMALL(IF("Página Web"='03.Muestra'!$D$8:$D$42,ROW('03.Muestra'!$F$8:$F$42)-MIN(ROW('03.Muestra'!$D$8:$D$42))+1,""),ROW()-246)),"")</f>
        <v>https://www.portcastello.com/</v>
      </c>
      <c r="D259" s="130" t="str">
        <f t="shared" si="13"/>
        <v>N/T</v>
      </c>
      <c r="E259" s="107" t="str">
        <f t="shared" si="12"/>
        <v/>
      </c>
      <c r="F259" s="19"/>
      <c r="G259" s="19"/>
      <c r="H259" s="19"/>
      <c r="I259" s="19"/>
      <c r="J259" s="19"/>
      <c r="K259" s="228"/>
      <c r="L259" s="19"/>
      <c r="M259" s="19"/>
      <c r="N259" s="19"/>
      <c r="O259" s="19"/>
      <c r="P259" s="19"/>
      <c r="Q259" s="19"/>
      <c r="R259" s="19"/>
      <c r="S259" s="19"/>
      <c r="T259" s="19"/>
      <c r="U259" s="19"/>
      <c r="V259" s="19"/>
      <c r="W259" s="19"/>
      <c r="X259" s="19"/>
      <c r="Y259" s="19"/>
    </row>
    <row r="260" spans="1:25" ht="12" customHeight="1">
      <c r="A260" s="219" t="n" cm="1">
        <f t="array" ref="A260">IFERROR(INDEX('03.Muestra'!$B$8:$B$42,SMALL(IF("Página Web"='03.Muestra'!$D$8:$D$42,ROW('03.Muestra'!$B$8:$B$42)-MIN(ROW('03.Muestra'!$D$8:$D$42))+1,""),ROW()-246)),"")</f>
        <v>1.0</v>
      </c>
      <c r="B260" s="114" t="str" cm="1">
        <f t="array" ref="B260">IFERROR(INDEX('03.Muestra'!$C$8:$C$42,SMALL(IF("Página Web"='03.Muestra'!$D$8:$D$42,ROW('03.Muestra'!$C$8:$C$42)-MIN(ROW('03.Muestra'!$D$8:$D$42))+1,""),ROW()-246)),"")</f>
        <v>Home - PortCastelló</v>
      </c>
      <c r="C260" s="114" t="str" cm="1">
        <f t="array" ref="C260">IFERROR(INDEX('03.Muestra'!$F$8:$F$42,SMALL(IF("Página Web"='03.Muestra'!$D$8:$D$42,ROW('03.Muestra'!$F$8:$F$42)-MIN(ROW('03.Muestra'!$D$8:$D$42))+1,""),ROW()-246)),"")</f>
        <v>https://www.portcastello.com/</v>
      </c>
      <c r="D260" s="130" t="str">
        <f t="shared" si="13"/>
        <v>N/T</v>
      </c>
      <c r="E260" s="107" t="str">
        <f t="shared" si="12"/>
        <v/>
      </c>
      <c r="F260" s="19"/>
      <c r="G260" s="19"/>
      <c r="H260" s="19"/>
      <c r="I260" s="19"/>
      <c r="J260" s="19"/>
      <c r="K260" s="228"/>
      <c r="L260" s="19"/>
      <c r="M260" s="19"/>
      <c r="N260" s="19"/>
      <c r="O260" s="19"/>
      <c r="P260" s="19"/>
      <c r="Q260" s="19"/>
      <c r="R260" s="19"/>
      <c r="S260" s="19"/>
      <c r="T260" s="19"/>
      <c r="U260" s="19"/>
      <c r="V260" s="19"/>
      <c r="W260" s="19"/>
      <c r="X260" s="19"/>
      <c r="Y260" s="19"/>
    </row>
    <row r="261" spans="1:25" ht="12" customHeight="1">
      <c r="A261" s="219" t="n" cm="1">
        <f t="array" ref="A261">IFERROR(INDEX('03.Muestra'!$B$8:$B$42,SMALL(IF("Página Web"='03.Muestra'!$D$8:$D$42,ROW('03.Muestra'!$B$8:$B$42)-MIN(ROW('03.Muestra'!$D$8:$D$42))+1,""),ROW()-246)),"")</f>
        <v>1.0</v>
      </c>
      <c r="B261" s="114" t="str" cm="1">
        <f t="array" ref="B261">IFERROR(INDEX('03.Muestra'!$C$8:$C$42,SMALL(IF("Página Web"='03.Muestra'!$D$8:$D$42,ROW('03.Muestra'!$C$8:$C$42)-MIN(ROW('03.Muestra'!$D$8:$D$42))+1,""),ROW()-246)),"")</f>
        <v>Home - PortCastelló</v>
      </c>
      <c r="C261" s="114" t="str" cm="1">
        <f t="array" ref="C261">IFERROR(INDEX('03.Muestra'!$F$8:$F$42,SMALL(IF("Página Web"='03.Muestra'!$D$8:$D$42,ROW('03.Muestra'!$F$8:$F$42)-MIN(ROW('03.Muestra'!$D$8:$D$42))+1,""),ROW()-246)),"")</f>
        <v>https://www.portcastello.com/</v>
      </c>
      <c r="D261" s="130" t="str">
        <f t="shared" si="13"/>
        <v>N/T</v>
      </c>
      <c r="E261" s="107" t="str">
        <f t="shared" si="12"/>
        <v/>
      </c>
      <c r="F261" s="19"/>
      <c r="G261" s="19"/>
      <c r="H261" s="19"/>
      <c r="I261" s="19"/>
      <c r="J261" s="19"/>
      <c r="K261" s="228"/>
      <c r="L261" s="19"/>
      <c r="M261" s="19"/>
      <c r="N261" s="19"/>
      <c r="O261" s="19"/>
      <c r="P261" s="19"/>
      <c r="Q261" s="19"/>
      <c r="R261" s="19"/>
      <c r="S261" s="19"/>
      <c r="T261" s="19"/>
      <c r="U261" s="19"/>
      <c r="V261" s="19"/>
      <c r="W261" s="19"/>
      <c r="X261" s="19"/>
      <c r="Y261" s="19"/>
    </row>
    <row r="262" spans="1:25" ht="12" customHeight="1">
      <c r="A262" s="219" t="n" cm="1">
        <f t="array" ref="A262">IFERROR(INDEX('03.Muestra'!$B$8:$B$42,SMALL(IF("Página Web"='03.Muestra'!$D$8:$D$42,ROW('03.Muestra'!$B$8:$B$42)-MIN(ROW('03.Muestra'!$D$8:$D$42))+1,""),ROW()-246)),"")</f>
        <v>1.0</v>
      </c>
      <c r="B262" s="114" t="str" cm="1">
        <f t="array" ref="B262">IFERROR(INDEX('03.Muestra'!$C$8:$C$42,SMALL(IF("Página Web"='03.Muestra'!$D$8:$D$42,ROW('03.Muestra'!$C$8:$C$42)-MIN(ROW('03.Muestra'!$D$8:$D$42))+1,""),ROW()-246)),"")</f>
        <v>Home - PortCastelló</v>
      </c>
      <c r="C262" s="114" t="str" cm="1">
        <f t="array" ref="C262">IFERROR(INDEX('03.Muestra'!$F$8:$F$42,SMALL(IF("Página Web"='03.Muestra'!$D$8:$D$42,ROW('03.Muestra'!$F$8:$F$42)-MIN(ROW('03.Muestra'!$D$8:$D$42))+1,""),ROW()-246)),"")</f>
        <v>https://www.portcastello.com/</v>
      </c>
      <c r="D262" s="130" t="str">
        <f t="shared" si="13"/>
        <v>N/T</v>
      </c>
      <c r="E262" s="107" t="str">
        <f t="shared" si="12"/>
        <v/>
      </c>
      <c r="F262" s="19"/>
      <c r="G262" s="19"/>
      <c r="H262" s="19"/>
      <c r="I262" s="19"/>
      <c r="J262" s="19"/>
      <c r="K262" s="228"/>
      <c r="L262" s="19"/>
      <c r="M262" s="19"/>
      <c r="N262" s="19"/>
      <c r="O262" s="19"/>
      <c r="P262" s="19"/>
      <c r="Q262" s="19"/>
      <c r="R262" s="19"/>
      <c r="S262" s="19"/>
      <c r="T262" s="19"/>
      <c r="U262" s="19"/>
      <c r="V262" s="19"/>
      <c r="W262" s="19"/>
      <c r="X262" s="19"/>
      <c r="Y262" s="19"/>
    </row>
    <row r="263" spans="1:25" ht="12" customHeight="1">
      <c r="A263" s="219" t="n" cm="1">
        <f t="array" ref="A263">IFERROR(INDEX('03.Muestra'!$B$8:$B$42,SMALL(IF("Página Web"='03.Muestra'!$D$8:$D$42,ROW('03.Muestra'!$B$8:$B$42)-MIN(ROW('03.Muestra'!$D$8:$D$42))+1,""),ROW()-246)),"")</f>
        <v>1.0</v>
      </c>
      <c r="B263" s="114" t="str" cm="1">
        <f t="array" ref="B263">IFERROR(INDEX('03.Muestra'!$C$8:$C$42,SMALL(IF("Página Web"='03.Muestra'!$D$8:$D$42,ROW('03.Muestra'!$C$8:$C$42)-MIN(ROW('03.Muestra'!$D$8:$D$42))+1,""),ROW()-246)),"")</f>
        <v>Home - PortCastelló</v>
      </c>
      <c r="C263" s="114" t="str" cm="1">
        <f t="array" ref="C263">IFERROR(INDEX('03.Muestra'!$F$8:$F$42,SMALL(IF("Página Web"='03.Muestra'!$D$8:$D$42,ROW('03.Muestra'!$F$8:$F$42)-MIN(ROW('03.Muestra'!$D$8:$D$42))+1,""),ROW()-246)),"")</f>
        <v>https://www.portcastello.com/</v>
      </c>
      <c r="D263" s="130" t="str">
        <f t="shared" si="13"/>
        <v>N/T</v>
      </c>
      <c r="E263" s="107" t="str">
        <f t="shared" si="12"/>
        <v/>
      </c>
      <c r="F263" s="19"/>
      <c r="G263" s="19"/>
      <c r="H263" s="19"/>
      <c r="I263" s="19"/>
      <c r="J263" s="19"/>
      <c r="K263" s="228"/>
      <c r="L263" s="19"/>
      <c r="M263" s="19"/>
      <c r="N263" s="19"/>
      <c r="O263" s="19"/>
      <c r="P263" s="19"/>
      <c r="Q263" s="19"/>
      <c r="R263" s="19"/>
      <c r="S263" s="19"/>
      <c r="T263" s="19"/>
      <c r="U263" s="19"/>
      <c r="V263" s="19"/>
      <c r="W263" s="19"/>
      <c r="X263" s="19"/>
      <c r="Y263" s="19"/>
    </row>
    <row r="264" spans="1:25" ht="12" customHeight="1">
      <c r="A264" s="219" t="n" cm="1">
        <f t="array" ref="A264">IFERROR(INDEX('03.Muestra'!$B$8:$B$42,SMALL(IF("Página Web"='03.Muestra'!$D$8:$D$42,ROW('03.Muestra'!$B$8:$B$42)-MIN(ROW('03.Muestra'!$D$8:$D$42))+1,""),ROW()-246)),"")</f>
        <v>1.0</v>
      </c>
      <c r="B264" s="114" t="str" cm="1">
        <f t="array" ref="B264">IFERROR(INDEX('03.Muestra'!$C$8:$C$42,SMALL(IF("Página Web"='03.Muestra'!$D$8:$D$42,ROW('03.Muestra'!$C$8:$C$42)-MIN(ROW('03.Muestra'!$D$8:$D$42))+1,""),ROW()-246)),"")</f>
        <v>Home - PortCastelló</v>
      </c>
      <c r="C264" s="114" t="str" cm="1">
        <f t="array" ref="C264">IFERROR(INDEX('03.Muestra'!$F$8:$F$42,SMALL(IF("Página Web"='03.Muestra'!$D$8:$D$42,ROW('03.Muestra'!$F$8:$F$42)-MIN(ROW('03.Muestra'!$D$8:$D$42))+1,""),ROW()-246)),"")</f>
        <v>https://www.portcastello.com/</v>
      </c>
      <c r="D264" s="130" t="str">
        <f t="shared" si="13"/>
        <v>N/T</v>
      </c>
      <c r="E264" s="107" t="str">
        <f t="shared" si="12"/>
        <v/>
      </c>
      <c r="F264" s="19"/>
      <c r="G264" s="19"/>
      <c r="H264" s="19"/>
      <c r="I264" s="19"/>
      <c r="J264" s="19"/>
      <c r="K264" s="228"/>
      <c r="L264" s="19"/>
      <c r="M264" s="19"/>
      <c r="N264" s="19"/>
      <c r="O264" s="19"/>
      <c r="P264" s="19"/>
      <c r="Q264" s="19"/>
      <c r="R264" s="19"/>
      <c r="S264" s="19"/>
      <c r="T264" s="19"/>
      <c r="U264" s="19"/>
      <c r="V264" s="19"/>
      <c r="W264" s="19"/>
      <c r="X264" s="19"/>
      <c r="Y264" s="19"/>
    </row>
    <row r="265" spans="1:25" ht="12" customHeight="1">
      <c r="A265" s="219" t="n" cm="1">
        <f t="array" ref="A265">IFERROR(INDEX('03.Muestra'!$B$8:$B$42,SMALL(IF("Página Web"='03.Muestra'!$D$8:$D$42,ROW('03.Muestra'!$B$8:$B$42)-MIN(ROW('03.Muestra'!$D$8:$D$42))+1,""),ROW()-246)),"")</f>
        <v>1.0</v>
      </c>
      <c r="B265" s="114" t="str" cm="1">
        <f t="array" ref="B265">IFERROR(INDEX('03.Muestra'!$C$8:$C$42,SMALL(IF("Página Web"='03.Muestra'!$D$8:$D$42,ROW('03.Muestra'!$C$8:$C$42)-MIN(ROW('03.Muestra'!$D$8:$D$42))+1,""),ROW()-246)),"")</f>
        <v>Home - PortCastelló</v>
      </c>
      <c r="C265" s="114" t="str" cm="1">
        <f t="array" ref="C265">IFERROR(INDEX('03.Muestra'!$F$8:$F$42,SMALL(IF("Página Web"='03.Muestra'!$D$8:$D$42,ROW('03.Muestra'!$F$8:$F$42)-MIN(ROW('03.Muestra'!$D$8:$D$42))+1,""),ROW()-246)),"")</f>
        <v>https://www.portcastello.com/</v>
      </c>
      <c r="D265" s="130" t="str">
        <f t="shared" si="13"/>
        <v>N/T</v>
      </c>
      <c r="E265" s="107" t="str">
        <f t="shared" si="12"/>
        <v/>
      </c>
      <c r="F265" s="19"/>
      <c r="G265" s="19"/>
      <c r="H265" s="19"/>
      <c r="I265" s="19"/>
      <c r="J265" s="19"/>
      <c r="K265" s="228"/>
      <c r="L265" s="19"/>
      <c r="M265" s="19"/>
      <c r="N265" s="19"/>
      <c r="O265" s="19"/>
      <c r="P265" s="19"/>
      <c r="Q265" s="19"/>
      <c r="R265" s="19"/>
      <c r="S265" s="19"/>
      <c r="T265" s="19"/>
      <c r="U265" s="19"/>
      <c r="V265" s="19"/>
      <c r="W265" s="19"/>
      <c r="X265" s="19"/>
      <c r="Y265" s="19"/>
    </row>
    <row r="266" spans="1:25" ht="12" customHeight="1">
      <c r="A266" s="219" t="n" cm="1">
        <f t="array" ref="A266">IFERROR(INDEX('03.Muestra'!$B$8:$B$42,SMALL(IF("Página Web"='03.Muestra'!$D$8:$D$42,ROW('03.Muestra'!$B$8:$B$42)-MIN(ROW('03.Muestra'!$D$8:$D$42))+1,""),ROW()-246)),"")</f>
        <v>1.0</v>
      </c>
      <c r="B266" s="114" t="str" cm="1">
        <f t="array" ref="B266">IFERROR(INDEX('03.Muestra'!$C$8:$C$42,SMALL(IF("Página Web"='03.Muestra'!$D$8:$D$42,ROW('03.Muestra'!$C$8:$C$42)-MIN(ROW('03.Muestra'!$D$8:$D$42))+1,""),ROW()-246)),"")</f>
        <v>Home - PortCastelló</v>
      </c>
      <c r="C266" s="114" t="str" cm="1">
        <f t="array" ref="C266">IFERROR(INDEX('03.Muestra'!$F$8:$F$42,SMALL(IF("Página Web"='03.Muestra'!$D$8:$D$42,ROW('03.Muestra'!$F$8:$F$42)-MIN(ROW('03.Muestra'!$D$8:$D$42))+1,""),ROW()-246)),"")</f>
        <v>https://www.portcastello.com/</v>
      </c>
      <c r="D266" s="130" t="str">
        <f t="shared" si="13"/>
        <v>N/T</v>
      </c>
      <c r="E266" s="107" t="str">
        <f t="shared" si="12"/>
        <v/>
      </c>
      <c r="F266" s="19"/>
      <c r="G266" s="19"/>
      <c r="H266" s="19"/>
      <c r="I266" s="19"/>
      <c r="J266" s="19"/>
      <c r="K266" s="228"/>
      <c r="L266" s="19"/>
      <c r="M266" s="19"/>
      <c r="N266" s="19"/>
      <c r="O266" s="19"/>
      <c r="P266" s="19"/>
      <c r="Q266" s="19"/>
      <c r="R266" s="19"/>
      <c r="S266" s="19"/>
      <c r="T266" s="19"/>
      <c r="U266" s="19"/>
      <c r="V266" s="19"/>
      <c r="W266" s="19"/>
      <c r="X266" s="19"/>
      <c r="Y266" s="19"/>
    </row>
    <row r="267" spans="1:25" ht="12" customHeight="1">
      <c r="A267" s="219" t="n" cm="1">
        <f t="array" ref="A267">IFERROR(INDEX('03.Muestra'!$B$8:$B$42,SMALL(IF("Página Web"='03.Muestra'!$D$8:$D$42,ROW('03.Muestra'!$B$8:$B$42)-MIN(ROW('03.Muestra'!$D$8:$D$42))+1,""),ROW()-246)),"")</f>
        <v>1.0</v>
      </c>
      <c r="B267" s="114" t="str" cm="1">
        <f t="array" ref="B267">IFERROR(INDEX('03.Muestra'!$C$8:$C$42,SMALL(IF("Página Web"='03.Muestra'!$D$8:$D$42,ROW('03.Muestra'!$C$8:$C$42)-MIN(ROW('03.Muestra'!$D$8:$D$42))+1,""),ROW()-246)),"")</f>
        <v>Home - PortCastelló</v>
      </c>
      <c r="C267" s="114" t="str" cm="1">
        <f t="array" ref="C267">IFERROR(INDEX('03.Muestra'!$F$8:$F$42,SMALL(IF("Página Web"='03.Muestra'!$D$8:$D$42,ROW('03.Muestra'!$F$8:$F$42)-MIN(ROW('03.Muestra'!$D$8:$D$42))+1,""),ROW()-246)),"")</f>
        <v>https://www.portcastello.com/</v>
      </c>
      <c r="D267" s="130" t="str">
        <f t="shared" si="13"/>
        <v>N/T</v>
      </c>
      <c r="E267" s="107" t="str">
        <f t="shared" si="12"/>
        <v/>
      </c>
      <c r="F267" s="19"/>
      <c r="G267" s="19"/>
      <c r="H267" s="19"/>
      <c r="I267" s="19"/>
      <c r="J267" s="19"/>
      <c r="K267" s="228"/>
      <c r="L267" s="19"/>
      <c r="M267" s="19"/>
      <c r="N267" s="19"/>
      <c r="O267" s="19"/>
      <c r="P267" s="19"/>
      <c r="Q267" s="19"/>
      <c r="R267" s="19"/>
      <c r="S267" s="19"/>
      <c r="T267" s="19"/>
      <c r="U267" s="19"/>
      <c r="V267" s="19"/>
      <c r="W267" s="19"/>
      <c r="X267" s="19"/>
      <c r="Y267" s="19"/>
    </row>
    <row r="268" spans="1:25" ht="12" customHeight="1">
      <c r="A268" s="219" t="n" cm="1">
        <f t="array" ref="A268">IFERROR(INDEX('03.Muestra'!$B$8:$B$42,SMALL(IF("Página Web"='03.Muestra'!$D$8:$D$42,ROW('03.Muestra'!$B$8:$B$42)-MIN(ROW('03.Muestra'!$D$8:$D$42))+1,""),ROW()-246)),"")</f>
        <v>1.0</v>
      </c>
      <c r="B268" s="114" t="str" cm="1">
        <f t="array" ref="B268">IFERROR(INDEX('03.Muestra'!$C$8:$C$42,SMALL(IF("Página Web"='03.Muestra'!$D$8:$D$42,ROW('03.Muestra'!$C$8:$C$42)-MIN(ROW('03.Muestra'!$D$8:$D$42))+1,""),ROW()-246)),"")</f>
        <v>Home - PortCastelló</v>
      </c>
      <c r="C268" s="114" t="str" cm="1">
        <f t="array" ref="C268">IFERROR(INDEX('03.Muestra'!$F$8:$F$42,SMALL(IF("Página Web"='03.Muestra'!$D$8:$D$42,ROW('03.Muestra'!$F$8:$F$42)-MIN(ROW('03.Muestra'!$D$8:$D$42))+1,""),ROW()-246)),"")</f>
        <v>https://www.portcastello.com/</v>
      </c>
      <c r="D268" s="130" t="str">
        <f t="shared" si="13"/>
        <v>N/T</v>
      </c>
      <c r="E268" s="107" t="str">
        <f t="shared" si="12"/>
        <v/>
      </c>
      <c r="F268" s="19"/>
      <c r="G268" s="19"/>
      <c r="H268" s="19"/>
      <c r="I268" s="19"/>
      <c r="J268" s="19"/>
      <c r="K268" s="228"/>
      <c r="L268" s="19"/>
      <c r="M268" s="19"/>
      <c r="N268" s="19"/>
      <c r="O268" s="19"/>
      <c r="P268" s="19"/>
      <c r="Q268" s="19"/>
      <c r="R268" s="19"/>
      <c r="S268" s="19"/>
      <c r="T268" s="19"/>
      <c r="U268" s="19"/>
      <c r="V268" s="19"/>
      <c r="W268" s="19"/>
      <c r="X268" s="19"/>
      <c r="Y268" s="19"/>
    </row>
    <row r="269" spans="1:25" ht="12" customHeight="1">
      <c r="A269" s="219" t="n" cm="1">
        <f t="array" ref="A269">IFERROR(INDEX('03.Muestra'!$B$8:$B$42,SMALL(IF("Página Web"='03.Muestra'!$D$8:$D$42,ROW('03.Muestra'!$B$8:$B$42)-MIN(ROW('03.Muestra'!$D$8:$D$42))+1,""),ROW()-246)),"")</f>
        <v>1.0</v>
      </c>
      <c r="B269" s="114" t="str" cm="1">
        <f t="array" ref="B269">IFERROR(INDEX('03.Muestra'!$C$8:$C$42,SMALL(IF("Página Web"='03.Muestra'!$D$8:$D$42,ROW('03.Muestra'!$C$8:$C$42)-MIN(ROW('03.Muestra'!$D$8:$D$42))+1,""),ROW()-246)),"")</f>
        <v>Home - PortCastelló</v>
      </c>
      <c r="C269" s="114" t="str" cm="1">
        <f t="array" ref="C269">IFERROR(INDEX('03.Muestra'!$F$8:$F$42,SMALL(IF("Página Web"='03.Muestra'!$D$8:$D$42,ROW('03.Muestra'!$F$8:$F$42)-MIN(ROW('03.Muestra'!$D$8:$D$42))+1,""),ROW()-246)),"")</f>
        <v>https://www.portcastello.com/</v>
      </c>
      <c r="D269" s="130" t="str">
        <f t="shared" si="13"/>
        <v>N/T</v>
      </c>
      <c r="E269" s="107" t="str">
        <f t="shared" si="12"/>
        <v/>
      </c>
      <c r="F269" s="19"/>
      <c r="G269" s="19"/>
      <c r="H269" s="19"/>
      <c r="I269" s="19"/>
      <c r="J269" s="19"/>
      <c r="K269" s="228"/>
      <c r="L269" s="19"/>
      <c r="M269" s="19"/>
      <c r="N269" s="19"/>
      <c r="O269" s="19"/>
      <c r="P269" s="19"/>
      <c r="Q269" s="19"/>
      <c r="R269" s="19"/>
      <c r="S269" s="19"/>
      <c r="T269" s="19"/>
      <c r="U269" s="19"/>
      <c r="V269" s="19"/>
      <c r="W269" s="19"/>
      <c r="X269" s="19"/>
      <c r="Y269" s="19"/>
    </row>
    <row r="270" spans="1:25" ht="12" customHeight="1">
      <c r="A270" s="219" t="n" cm="1">
        <f t="array" ref="A270">IFERROR(INDEX('03.Muestra'!$B$8:$B$42,SMALL(IF("Página Web"='03.Muestra'!$D$8:$D$42,ROW('03.Muestra'!$B$8:$B$42)-MIN(ROW('03.Muestra'!$D$8:$D$42))+1,""),ROW()-246)),"")</f>
        <v>1.0</v>
      </c>
      <c r="B270" s="114" t="str" cm="1">
        <f t="array" ref="B270">IFERROR(INDEX('03.Muestra'!$C$8:$C$42,SMALL(IF("Página Web"='03.Muestra'!$D$8:$D$42,ROW('03.Muestra'!$C$8:$C$42)-MIN(ROW('03.Muestra'!$D$8:$D$42))+1,""),ROW()-246)),"")</f>
        <v>Home - PortCastelló</v>
      </c>
      <c r="C270" s="114" t="str" cm="1">
        <f t="array" ref="C270">IFERROR(INDEX('03.Muestra'!$F$8:$F$42,SMALL(IF("Página Web"='03.Muestra'!$D$8:$D$42,ROW('03.Muestra'!$F$8:$F$42)-MIN(ROW('03.Muestra'!$D$8:$D$42))+1,""),ROW()-246)),"")</f>
        <v>https://www.portcastello.com/</v>
      </c>
      <c r="D270" s="130" t="str">
        <f t="shared" si="13"/>
        <v>N/T</v>
      </c>
      <c r="E270" s="107" t="str">
        <f t="shared" si="12"/>
        <v/>
      </c>
      <c r="F270" s="19"/>
      <c r="G270" s="19"/>
      <c r="H270" s="19"/>
      <c r="I270" s="19"/>
      <c r="J270" s="19"/>
      <c r="K270" s="228"/>
      <c r="L270" s="19"/>
      <c r="M270" s="19"/>
      <c r="N270" s="19"/>
      <c r="O270" s="19"/>
      <c r="P270" s="19"/>
      <c r="Q270" s="19"/>
      <c r="R270" s="19"/>
      <c r="S270" s="19"/>
      <c r="T270" s="19"/>
      <c r="U270" s="19"/>
      <c r="V270" s="19"/>
      <c r="W270" s="19"/>
      <c r="X270" s="19"/>
      <c r="Y270" s="19"/>
    </row>
    <row r="271" spans="1:25" ht="12" customHeight="1">
      <c r="A271" s="219" t="n" cm="1">
        <f t="array" ref="A271">IFERROR(INDEX('03.Muestra'!$B$8:$B$42,SMALL(IF("Página Web"='03.Muestra'!$D$8:$D$42,ROW('03.Muestra'!$B$8:$B$42)-MIN(ROW('03.Muestra'!$D$8:$D$42))+1,""),ROW()-246)),"")</f>
        <v>1.0</v>
      </c>
      <c r="B271" s="114" t="str" cm="1">
        <f t="array" ref="B271">IFERROR(INDEX('03.Muestra'!$C$8:$C$42,SMALL(IF("Página Web"='03.Muestra'!$D$8:$D$42,ROW('03.Muestra'!$C$8:$C$42)-MIN(ROW('03.Muestra'!$D$8:$D$42))+1,""),ROW()-246)),"")</f>
        <v>Home - PortCastelló</v>
      </c>
      <c r="C271" s="114" t="str" cm="1">
        <f t="array" ref="C271">IFERROR(INDEX('03.Muestra'!$F$8:$F$42,SMALL(IF("Página Web"='03.Muestra'!$D$8:$D$42,ROW('03.Muestra'!$F$8:$F$42)-MIN(ROW('03.Muestra'!$D$8:$D$42))+1,""),ROW()-246)),"")</f>
        <v>https://www.portcastello.com/</v>
      </c>
      <c r="D271" s="130" t="str">
        <f t="shared" si="13"/>
        <v>N/T</v>
      </c>
      <c r="E271" s="107" t="str">
        <f t="shared" si="12"/>
        <v/>
      </c>
      <c r="F271" s="19"/>
      <c r="G271" s="19"/>
      <c r="H271" s="19"/>
      <c r="I271" s="19"/>
      <c r="J271" s="19"/>
      <c r="K271" s="228"/>
      <c r="L271" s="19"/>
      <c r="M271" s="19"/>
      <c r="N271" s="19"/>
      <c r="O271" s="19"/>
      <c r="P271" s="19"/>
      <c r="Q271" s="19"/>
      <c r="R271" s="19"/>
      <c r="S271" s="19"/>
      <c r="T271" s="19"/>
      <c r="U271" s="19"/>
      <c r="V271" s="19"/>
      <c r="W271" s="19"/>
      <c r="X271" s="19"/>
      <c r="Y271" s="19"/>
    </row>
    <row r="272" spans="1:25" ht="12" customHeight="1">
      <c r="A272" s="219" t="n" cm="1">
        <f t="array" ref="A272">IFERROR(INDEX('03.Muestra'!$B$8:$B$42,SMALL(IF("Página Web"='03.Muestra'!$D$8:$D$42,ROW('03.Muestra'!$B$8:$B$42)-MIN(ROW('03.Muestra'!$D$8:$D$42))+1,""),ROW()-246)),"")</f>
        <v>1.0</v>
      </c>
      <c r="B272" s="114" t="str" cm="1">
        <f t="array" ref="B272">IFERROR(INDEX('03.Muestra'!$C$8:$C$42,SMALL(IF("Página Web"='03.Muestra'!$D$8:$D$42,ROW('03.Muestra'!$C$8:$C$42)-MIN(ROW('03.Muestra'!$D$8:$D$42))+1,""),ROW()-246)),"")</f>
        <v>Home - PortCastelló</v>
      </c>
      <c r="C272" s="114" t="str" cm="1">
        <f t="array" ref="C272">IFERROR(INDEX('03.Muestra'!$F$8:$F$42,SMALL(IF("Página Web"='03.Muestra'!$D$8:$D$42,ROW('03.Muestra'!$F$8:$F$42)-MIN(ROW('03.Muestra'!$D$8:$D$42))+1,""),ROW()-246)),"")</f>
        <v>https://www.portcastello.com/</v>
      </c>
      <c r="D272" s="130" t="str">
        <f t="shared" si="13"/>
        <v>N/T</v>
      </c>
      <c r="E272" s="107" t="str">
        <f t="shared" si="12"/>
        <v/>
      </c>
      <c r="F272" s="19"/>
      <c r="G272" s="19"/>
      <c r="H272" s="19"/>
      <c r="I272" s="19"/>
      <c r="J272" s="19"/>
      <c r="K272" s="228"/>
      <c r="L272" s="19"/>
      <c r="M272" s="19"/>
      <c r="N272" s="19"/>
      <c r="O272" s="19"/>
      <c r="P272" s="19"/>
      <c r="Q272" s="19"/>
      <c r="R272" s="19"/>
      <c r="S272" s="19"/>
      <c r="T272" s="19"/>
      <c r="U272" s="19"/>
      <c r="V272" s="19"/>
      <c r="W272" s="19"/>
      <c r="X272" s="19"/>
      <c r="Y272" s="19"/>
    </row>
    <row r="273" spans="1:25" ht="12" customHeight="1">
      <c r="A273" s="219" t="n" cm="1">
        <f t="array" ref="A273">IFERROR(INDEX('03.Muestra'!$B$8:$B$42,SMALL(IF("Página Web"='03.Muestra'!$D$8:$D$42,ROW('03.Muestra'!$B$8:$B$42)-MIN(ROW('03.Muestra'!$D$8:$D$42))+1,""),ROW()-246)),"")</f>
        <v>1.0</v>
      </c>
      <c r="B273" s="114" t="str" cm="1">
        <f t="array" ref="B273">IFERROR(INDEX('03.Muestra'!$C$8:$C$42,SMALL(IF("Página Web"='03.Muestra'!$D$8:$D$42,ROW('03.Muestra'!$C$8:$C$42)-MIN(ROW('03.Muestra'!$D$8:$D$42))+1,""),ROW()-246)),"")</f>
        <v>Home - PortCastelló</v>
      </c>
      <c r="C273" s="114" t="str" cm="1">
        <f t="array" ref="C273">IFERROR(INDEX('03.Muestra'!$F$8:$F$42,SMALL(IF("Página Web"='03.Muestra'!$D$8:$D$42,ROW('03.Muestra'!$F$8:$F$42)-MIN(ROW('03.Muestra'!$D$8:$D$42))+1,""),ROW()-246)),"")</f>
        <v>https://www.portcastello.com/</v>
      </c>
      <c r="D273" s="130" t="str">
        <f t="shared" si="13"/>
        <v>N/T</v>
      </c>
      <c r="E273" s="107" t="str">
        <f t="shared" si="12"/>
        <v/>
      </c>
      <c r="F273" s="19"/>
      <c r="G273" s="19"/>
      <c r="H273" s="19"/>
      <c r="I273" s="19"/>
      <c r="J273" s="19"/>
      <c r="K273" s="228"/>
      <c r="L273" s="19"/>
      <c r="M273" s="19"/>
      <c r="N273" s="19"/>
      <c r="O273" s="19"/>
      <c r="P273" s="19"/>
      <c r="Q273" s="19"/>
      <c r="R273" s="19"/>
      <c r="S273" s="19"/>
      <c r="T273" s="19"/>
      <c r="U273" s="19"/>
      <c r="V273" s="19"/>
      <c r="W273" s="19"/>
      <c r="X273" s="19"/>
      <c r="Y273" s="19"/>
    </row>
    <row r="274" spans="1:25" ht="12" customHeight="1">
      <c r="A274" s="219" t="n" cm="1">
        <f t="array" ref="A274">IFERROR(INDEX('03.Muestra'!$B$8:$B$42,SMALL(IF("Página Web"='03.Muestra'!$D$8:$D$42,ROW('03.Muestra'!$B$8:$B$42)-MIN(ROW('03.Muestra'!$D$8:$D$42))+1,""),ROW()-246)),"")</f>
        <v>1.0</v>
      </c>
      <c r="B274" s="114" t="str" cm="1">
        <f t="array" ref="B274">IFERROR(INDEX('03.Muestra'!$C$8:$C$42,SMALL(IF("Página Web"='03.Muestra'!$D$8:$D$42,ROW('03.Muestra'!$C$8:$C$42)-MIN(ROW('03.Muestra'!$D$8:$D$42))+1,""),ROW()-246)),"")</f>
        <v>Home - PortCastelló</v>
      </c>
      <c r="C274" s="114" t="str" cm="1">
        <f t="array" ref="C274">IFERROR(INDEX('03.Muestra'!$F$8:$F$42,SMALL(IF("Página Web"='03.Muestra'!$D$8:$D$42,ROW('03.Muestra'!$F$8:$F$42)-MIN(ROW('03.Muestra'!$D$8:$D$42))+1,""),ROW()-246)),"")</f>
        <v>https://www.portcastello.com/</v>
      </c>
      <c r="D274" s="130" t="str">
        <f t="shared" si="13"/>
        <v>N/T</v>
      </c>
      <c r="E274" s="107" t="str">
        <f t="shared" si="12"/>
        <v/>
      </c>
      <c r="G274" s="19"/>
      <c r="H274" s="19"/>
      <c r="I274" s="19"/>
      <c r="J274" s="19"/>
      <c r="K274" s="228"/>
      <c r="L274" s="19"/>
      <c r="M274" s="19"/>
      <c r="N274" s="19"/>
      <c r="O274" s="19"/>
      <c r="P274" s="19"/>
      <c r="Q274" s="19"/>
      <c r="R274" s="19"/>
      <c r="S274" s="19"/>
      <c r="T274" s="19"/>
      <c r="U274" s="19"/>
      <c r="V274" s="19"/>
      <c r="W274" s="19"/>
      <c r="X274" s="19"/>
      <c r="Y274" s="19"/>
    </row>
    <row r="275" spans="1:25" ht="12" customHeight="1">
      <c r="A275" s="219" t="n" cm="1">
        <f t="array" ref="A275">IFERROR(INDEX('03.Muestra'!$B$8:$B$42,SMALL(IF("Página Web"='03.Muestra'!$D$8:$D$42,ROW('03.Muestra'!$B$8:$B$42)-MIN(ROW('03.Muestra'!$D$8:$D$42))+1,""),ROW()-246)),"")</f>
        <v>1.0</v>
      </c>
      <c r="B275" s="114" t="str" cm="1">
        <f t="array" ref="B275">IFERROR(INDEX('03.Muestra'!$C$8:$C$42,SMALL(IF("Página Web"='03.Muestra'!$D$8:$D$42,ROW('03.Muestra'!$C$8:$C$42)-MIN(ROW('03.Muestra'!$D$8:$D$42))+1,""),ROW()-246)),"")</f>
        <v>Home - PortCastelló</v>
      </c>
      <c r="C275" s="114" t="str" cm="1">
        <f t="array" ref="C275">IFERROR(INDEX('03.Muestra'!$F$8:$F$42,SMALL(IF("Página Web"='03.Muestra'!$D$8:$D$42,ROW('03.Muestra'!$F$8:$F$42)-MIN(ROW('03.Muestra'!$D$8:$D$42))+1,""),ROW()-246)),"")</f>
        <v>https://www.portcastello.com/</v>
      </c>
      <c r="D275" s="130" t="str">
        <f t="shared" si="13"/>
        <v>N/T</v>
      </c>
      <c r="E275" s="107" t="str">
        <f t="shared" si="12"/>
        <v/>
      </c>
      <c r="G275" s="19"/>
      <c r="H275" s="19"/>
      <c r="I275" s="19"/>
      <c r="J275" s="19"/>
      <c r="K275" s="228"/>
      <c r="L275" s="19"/>
      <c r="M275" s="19"/>
      <c r="N275" s="19"/>
      <c r="O275" s="19"/>
      <c r="P275" s="19"/>
      <c r="Q275" s="19"/>
      <c r="R275" s="19"/>
      <c r="S275" s="19"/>
      <c r="T275" s="19"/>
      <c r="U275" s="19"/>
      <c r="V275" s="19"/>
      <c r="W275" s="19"/>
      <c r="X275" s="19"/>
      <c r="Y275" s="19"/>
    </row>
    <row r="276" spans="1:25" ht="12" customHeight="1">
      <c r="A276" s="219" t="n" cm="1">
        <f t="array" ref="A276">IFERROR(INDEX('03.Muestra'!$B$8:$B$42,SMALL(IF("Página Web"='03.Muestra'!$D$8:$D$42,ROW('03.Muestra'!$B$8:$B$42)-MIN(ROW('03.Muestra'!$D$8:$D$42))+1,""),ROW()-246)),"")</f>
        <v>1.0</v>
      </c>
      <c r="B276" s="114" t="str" cm="1">
        <f t="array" ref="B276">IFERROR(INDEX('03.Muestra'!$C$8:$C$42,SMALL(IF("Página Web"='03.Muestra'!$D$8:$D$42,ROW('03.Muestra'!$C$8:$C$42)-MIN(ROW('03.Muestra'!$D$8:$D$42))+1,""),ROW()-246)),"")</f>
        <v>Home - PortCastelló</v>
      </c>
      <c r="C276" s="114" t="str" cm="1">
        <f t="array" ref="C276">IFERROR(INDEX('03.Muestra'!$F$8:$F$42,SMALL(IF("Página Web"='03.Muestra'!$D$8:$D$42,ROW('03.Muestra'!$F$8:$F$42)-MIN(ROW('03.Muestra'!$D$8:$D$42))+1,""),ROW()-246)),"")</f>
        <v>https://www.portcastello.com/</v>
      </c>
      <c r="D276" s="130" t="str">
        <f t="shared" si="13"/>
        <v>N/T</v>
      </c>
      <c r="E276" s="107" t="str">
        <f t="shared" si="12"/>
        <v/>
      </c>
      <c r="G276" s="19"/>
      <c r="H276" s="19"/>
      <c r="I276" s="19"/>
      <c r="J276" s="19"/>
      <c r="K276" s="228"/>
      <c r="L276" s="19"/>
      <c r="M276" s="19"/>
      <c r="N276" s="19"/>
      <c r="O276" s="19"/>
      <c r="P276" s="19"/>
      <c r="Q276" s="19"/>
      <c r="R276" s="19"/>
      <c r="S276" s="19"/>
      <c r="T276" s="19"/>
      <c r="U276" s="19"/>
      <c r="V276" s="19"/>
      <c r="W276" s="19"/>
      <c r="X276" s="19"/>
      <c r="Y276" s="19"/>
    </row>
    <row r="277" spans="1:25" ht="12" customHeight="1">
      <c r="A277" s="219" t="n" cm="1">
        <f t="array" ref="A277">IFERROR(INDEX('03.Muestra'!$B$8:$B$42,SMALL(IF("Página Web"='03.Muestra'!$D$8:$D$42,ROW('03.Muestra'!$B$8:$B$42)-MIN(ROW('03.Muestra'!$D$8:$D$42))+1,""),ROW()-246)),"")</f>
        <v>1.0</v>
      </c>
      <c r="B277" s="114" t="str" cm="1">
        <f t="array" ref="B277">IFERROR(INDEX('03.Muestra'!$C$8:$C$42,SMALL(IF("Página Web"='03.Muestra'!$D$8:$D$42,ROW('03.Muestra'!$C$8:$C$42)-MIN(ROW('03.Muestra'!$D$8:$D$42))+1,""),ROW()-246)),"")</f>
        <v>Home - PortCastelló</v>
      </c>
      <c r="C277" s="114" t="str" cm="1">
        <f t="array" ref="C277">IFERROR(INDEX('03.Muestra'!$F$8:$F$42,SMALL(IF("Página Web"='03.Muestra'!$D$8:$D$42,ROW('03.Muestra'!$F$8:$F$42)-MIN(ROW('03.Muestra'!$D$8:$D$42))+1,""),ROW()-246)),"")</f>
        <v>https://www.portcastello.com/</v>
      </c>
      <c r="D277" s="130" t="str">
        <f t="shared" si="13"/>
        <v>N/T</v>
      </c>
      <c r="E277" s="107" t="str">
        <f t="shared" si="12"/>
        <v/>
      </c>
      <c r="G277" s="19"/>
      <c r="H277" s="19"/>
      <c r="I277" s="19"/>
      <c r="J277" s="19"/>
      <c r="K277" s="228"/>
      <c r="L277" s="19"/>
      <c r="M277" s="19"/>
      <c r="N277" s="19"/>
      <c r="O277" s="19"/>
      <c r="P277" s="19"/>
      <c r="Q277" s="19"/>
      <c r="R277" s="19"/>
      <c r="S277" s="19"/>
      <c r="T277" s="19"/>
      <c r="U277" s="19"/>
      <c r="V277" s="19"/>
      <c r="W277" s="19"/>
      <c r="X277" s="19"/>
      <c r="Y277" s="19"/>
    </row>
    <row r="278" spans="1:25" ht="12" customHeight="1">
      <c r="A278" s="219" t="n" cm="1">
        <f t="array" ref="A278">IFERROR(INDEX('03.Muestra'!$B$8:$B$42,SMALL(IF("Página Web"='03.Muestra'!$D$8:$D$42,ROW('03.Muestra'!$B$8:$B$42)-MIN(ROW('03.Muestra'!$D$8:$D$42))+1,""),ROW()-246)),"")</f>
        <v>1.0</v>
      </c>
      <c r="B278" s="114" t="str" cm="1">
        <f t="array" ref="B278">IFERROR(INDEX('03.Muestra'!$C$8:$C$42,SMALL(IF("Página Web"='03.Muestra'!$D$8:$D$42,ROW('03.Muestra'!$C$8:$C$42)-MIN(ROW('03.Muestra'!$D$8:$D$42))+1,""),ROW()-246)),"")</f>
        <v>Home - PortCastelló</v>
      </c>
      <c r="C278" s="114" t="str" cm="1">
        <f t="array" ref="C278">IFERROR(INDEX('03.Muestra'!$F$8:$F$42,SMALL(IF("Página Web"='03.Muestra'!$D$8:$D$42,ROW('03.Muestra'!$F$8:$F$42)-MIN(ROW('03.Muestra'!$D$8:$D$42))+1,""),ROW()-246)),"")</f>
        <v>https://www.portcastello.com/</v>
      </c>
      <c r="D278" s="130" t="str">
        <f t="shared" si="13"/>
        <v>N/T</v>
      </c>
      <c r="E278" s="107" t="str">
        <f t="shared" si="12"/>
        <v/>
      </c>
      <c r="G278" s="19"/>
      <c r="H278" s="19"/>
      <c r="I278" s="19"/>
      <c r="J278" s="19"/>
      <c r="K278" s="228"/>
      <c r="L278" s="19"/>
      <c r="M278" s="19"/>
      <c r="N278" s="19"/>
      <c r="O278" s="19"/>
      <c r="P278" s="19"/>
      <c r="Q278" s="19"/>
      <c r="R278" s="19"/>
      <c r="S278" s="19"/>
      <c r="T278" s="19"/>
      <c r="U278" s="19"/>
      <c r="V278" s="19"/>
      <c r="W278" s="19"/>
      <c r="X278" s="19"/>
      <c r="Y278" s="19"/>
    </row>
    <row r="279" spans="1:25" ht="12" customHeight="1">
      <c r="A279" s="219" t="n" cm="1">
        <f t="array" ref="A279">IFERROR(INDEX('03.Muestra'!$B$8:$B$42,SMALL(IF("Página Web"='03.Muestra'!$D$8:$D$42,ROW('03.Muestra'!$B$8:$B$42)-MIN(ROW('03.Muestra'!$D$8:$D$42))+1,""),ROW()-246)),"")</f>
        <v>1.0</v>
      </c>
      <c r="B279" s="114" t="str" cm="1">
        <f t="array" ref="B279">IFERROR(INDEX('03.Muestra'!$C$8:$C$42,SMALL(IF("Página Web"='03.Muestra'!$D$8:$D$42,ROW('03.Muestra'!$C$8:$C$42)-MIN(ROW('03.Muestra'!$D$8:$D$42))+1,""),ROW()-246)),"")</f>
        <v>Home - PortCastelló</v>
      </c>
      <c r="C279" s="114" t="str" cm="1">
        <f t="array" ref="C279">IFERROR(INDEX('03.Muestra'!$F$8:$F$42,SMALL(IF("Página Web"='03.Muestra'!$D$8:$D$42,ROW('03.Muestra'!$F$8:$F$42)-MIN(ROW('03.Muestra'!$D$8:$D$42))+1,""),ROW()-246)),"")</f>
        <v>https://www.portcastello.com/</v>
      </c>
      <c r="D279" s="130" t="str">
        <f t="shared" si="13"/>
        <v>N/T</v>
      </c>
      <c r="E279" s="107" t="str">
        <f t="shared" si="12"/>
        <v/>
      </c>
      <c r="G279" s="19"/>
      <c r="H279" s="19"/>
      <c r="I279" s="19"/>
      <c r="J279" s="19"/>
      <c r="K279" s="228"/>
      <c r="L279" s="19"/>
      <c r="M279" s="19"/>
      <c r="N279" s="19"/>
      <c r="O279" s="19"/>
      <c r="P279" s="19"/>
      <c r="Q279" s="19"/>
      <c r="R279" s="19"/>
      <c r="S279" s="19"/>
      <c r="T279" s="19"/>
      <c r="U279" s="19"/>
      <c r="V279" s="19"/>
      <c r="W279" s="19"/>
      <c r="X279" s="19"/>
      <c r="Y279" s="19"/>
    </row>
    <row r="280" spans="1:25" ht="12" customHeight="1">
      <c r="A280" s="219" t="str" cm="1">
        <f t="array" ref="A280">IFERROR(INDEX('03.Muestra'!$B$8:$B$42,SMALL(IF("Página Web"='03.Muestra'!$D$8:$D$42,ROW('03.Muestra'!$B$8:$B$42)-MIN(ROW('03.Muestra'!$D$8:$D$42))+1,""),ROW()-246)),"")</f>
        <v/>
      </c>
      <c r="B280" s="114" t="str" cm="1">
        <f t="array" ref="B280">IFERROR(INDEX('03.Muestra'!$C$8:$C$42,SMALL(IF("Página Web"='03.Muestra'!$D$8:$D$42,ROW('03.Muestra'!$C$8:$C$42)-MIN(ROW('03.Muestra'!$D$8:$D$42))+1,""),ROW()-246)),"")</f>
        <v/>
      </c>
      <c r="C280" s="114" t="str" cm="1">
        <f t="array" ref="C280">IFERROR(INDEX('03.Muestra'!$F$8:$F$42,SMALL(IF("Página Web"='03.Muestra'!$D$8:$D$42,ROW('03.Muestra'!$F$8:$F$42)-MIN(ROW('03.Muestra'!$D$8:$D$42))+1,""),ROW()-246)),"")</f>
        <v/>
      </c>
      <c r="D280" s="130" t="str">
        <f t="shared" si="13"/>
        <v/>
      </c>
      <c r="E280" s="107" t="str">
        <f t="shared" si="12"/>
        <v/>
      </c>
      <c r="F280" s="124"/>
      <c r="G280" s="19"/>
      <c r="H280" s="19"/>
      <c r="I280" s="19"/>
      <c r="J280" s="19"/>
      <c r="K280" s="228"/>
      <c r="L280" s="19"/>
      <c r="M280" s="19"/>
      <c r="N280" s="19"/>
      <c r="O280" s="19"/>
      <c r="P280" s="19"/>
      <c r="Q280" s="19"/>
      <c r="R280" s="19"/>
      <c r="S280" s="19"/>
      <c r="T280" s="19"/>
      <c r="U280" s="19"/>
      <c r="V280" s="19"/>
      <c r="W280" s="19"/>
      <c r="X280" s="19"/>
      <c r="Y280" s="19"/>
    </row>
    <row r="281" spans="1:25" ht="12" customHeight="1">
      <c r="A281" s="219" t="str" cm="1">
        <f t="array" ref="A281">IFERROR(INDEX('03.Muestra'!$B$8:$B$42,SMALL(IF("Página Web"='03.Muestra'!$D$8:$D$42,ROW('03.Muestra'!$B$8:$B$42)-MIN(ROW('03.Muestra'!$D$8:$D$42))+1,""),ROW()-246)),"")</f>
        <v/>
      </c>
      <c r="B281" s="114" t="str" cm="1">
        <f t="array" ref="B281">IFERROR(INDEX('03.Muestra'!$C$8:$C$42,SMALL(IF("Página Web"='03.Muestra'!$D$8:$D$42,ROW('03.Muestra'!$C$8:$C$42)-MIN(ROW('03.Muestra'!$D$8:$D$42))+1,""),ROW()-246)),"")</f>
        <v/>
      </c>
      <c r="C281" s="114" t="str" cm="1">
        <f t="array" ref="C281">IFERROR(INDEX('03.Muestra'!$F$8:$F$42,SMALL(IF("Página Web"='03.Muestra'!$D$8:$D$42,ROW('03.Muestra'!$F$8:$F$42)-MIN(ROW('03.Muestra'!$D$8:$D$42))+1,""),ROW()-246)),"")</f>
        <v/>
      </c>
      <c r="D281" s="130" t="str">
        <f t="shared" si="13"/>
        <v/>
      </c>
      <c r="E281" s="107" t="str">
        <f t="shared" si="12"/>
        <v/>
      </c>
      <c r="F281" s="19"/>
      <c r="G281" s="19"/>
      <c r="H281" s="19"/>
      <c r="I281" s="19"/>
      <c r="J281" s="19"/>
      <c r="K281" s="228"/>
      <c r="L281" s="19"/>
      <c r="M281" s="19"/>
      <c r="N281" s="19"/>
      <c r="O281" s="19"/>
      <c r="P281" s="19"/>
      <c r="Q281" s="19"/>
      <c r="R281" s="19"/>
      <c r="S281" s="19"/>
      <c r="T281" s="19"/>
      <c r="U281" s="19"/>
      <c r="V281" s="19"/>
      <c r="W281" s="19"/>
      <c r="X281" s="19"/>
      <c r="Y281" s="19"/>
    </row>
    <row r="282" spans="1:25" ht="12" customHeight="1">
      <c r="B282" s="19"/>
      <c r="C282" s="19"/>
      <c r="D282" s="107"/>
      <c r="E282" s="107"/>
      <c r="F282" s="19"/>
      <c r="G282" s="19"/>
      <c r="H282" s="19"/>
      <c r="I282" s="19"/>
      <c r="J282" s="19"/>
      <c r="K282" s="228"/>
      <c r="L282" s="19"/>
      <c r="M282" s="19"/>
      <c r="N282" s="19"/>
      <c r="O282" s="19"/>
      <c r="P282" s="19"/>
      <c r="Q282" s="19"/>
      <c r="R282" s="19"/>
      <c r="S282" s="19"/>
      <c r="T282" s="19"/>
      <c r="U282" s="19"/>
      <c r="V282" s="19"/>
      <c r="W282" s="19"/>
      <c r="X282" s="19"/>
      <c r="Y282" s="19"/>
    </row>
    <row r="283" spans="1:25" ht="12" customHeight="1">
      <c r="B283" s="19"/>
      <c r="C283" s="19"/>
      <c r="D283" s="107"/>
      <c r="E283" s="107"/>
      <c r="F283" s="19"/>
      <c r="G283" s="19"/>
      <c r="H283" s="19"/>
      <c r="I283" s="19"/>
      <c r="J283" s="19"/>
      <c r="K283" s="228"/>
      <c r="L283" s="19"/>
      <c r="M283" s="19"/>
      <c r="N283" s="19"/>
      <c r="O283" s="19"/>
      <c r="P283" s="19"/>
      <c r="Q283" s="19"/>
      <c r="R283" s="19"/>
      <c r="S283" s="19"/>
      <c r="T283" s="19"/>
      <c r="U283" s="19"/>
      <c r="V283" s="19"/>
      <c r="W283" s="19"/>
      <c r="X283" s="19"/>
      <c r="Y283" s="19"/>
    </row>
    <row r="284" spans="1:25" ht="32.25" customHeight="1">
      <c r="A284" s="218" t="s">
        <v>268</v>
      </c>
      <c r="B284" s="24" t="s">
        <v>90</v>
      </c>
      <c r="C284" s="25" t="s">
        <v>365</v>
      </c>
      <c r="D284" s="26" t="s">
        <v>32</v>
      </c>
      <c r="E284" s="123"/>
      <c r="K284" s="228"/>
      <c r="L284" s="19"/>
      <c r="M284" s="19"/>
      <c r="N284" s="19"/>
      <c r="O284" s="19"/>
      <c r="P284" s="19"/>
      <c r="Q284" s="19"/>
      <c r="R284" s="19"/>
      <c r="T284" s="19"/>
      <c r="U284" s="19"/>
      <c r="V284" s="19"/>
      <c r="W284" s="19"/>
      <c r="X284" s="19"/>
      <c r="Y284" s="19"/>
    </row>
    <row r="285" spans="1:25" ht="12" customHeight="1">
      <c r="A285" s="219" t="n" cm="1">
        <f t="array" ref="A285">IFERROR(INDEX('03.Muestra'!$B$8:$B$42,SMALL(IF("Página Web"='03.Muestra'!$D$8:$D$42,ROW('03.Muestra'!$B$8:$B$42)-MIN(ROW('03.Muestra'!$D$8:$D$42))+1,""),ROW()-284)),"")</f>
        <v>1.0</v>
      </c>
      <c r="B285" s="114" t="str" cm="1">
        <f t="array" ref="B285">IFERROR(INDEX('03.Muestra'!$C$8:$C$42,SMALL(IF("Página Web"='03.Muestra'!$D$8:$D$42,ROW('03.Muestra'!$C$8:$C$42)-MIN(ROW('03.Muestra'!$D$8:$D$42))+1,""),ROW()-284)),"")</f>
        <v>Home - PortCastelló</v>
      </c>
      <c r="C285" s="114" t="str" cm="1">
        <f t="array" ref="C285">IFERROR(INDEX('03.Muestra'!$F$8:$F$42,SMALL(IF("Página Web"='03.Muestra'!$D$8:$D$42,ROW('03.Muestra'!$F$8:$F$42)-MIN(ROW('03.Muestra'!$D$8:$D$42))+1,""),ROW()-284)),"")</f>
        <v>https://www.portcastello.com/</v>
      </c>
      <c r="D285" s="130" t="str">
        <f>IF(AND(B285&lt;&gt;"",C285&lt;&gt;""),"N/T","")</f>
        <v>N/T</v>
      </c>
      <c r="E285" s="107" t="str">
        <f t="shared" ref="E285:E319" si="14">IF(D285&lt;&gt;"",IF(AND(B285&lt;&gt;"",C285&lt;&gt;""),"","ERR"),"")</f>
        <v/>
      </c>
      <c r="F285" s="115" t="s">
        <v>33</v>
      </c>
      <c r="G285" s="116" t="s">
        <v>37</v>
      </c>
      <c r="H285" s="117" t="s">
        <v>35</v>
      </c>
      <c r="I285" s="118" t="s">
        <v>28</v>
      </c>
      <c r="J285" s="119" t="s">
        <v>26</v>
      </c>
      <c r="K285" s="229" t="s">
        <v>474</v>
      </c>
      <c r="L285" s="19"/>
      <c r="M285" s="19"/>
      <c r="N285" s="19"/>
      <c r="O285" s="19"/>
      <c r="P285" s="19"/>
      <c r="Q285" s="19"/>
      <c r="R285" s="19"/>
      <c r="T285" s="19"/>
      <c r="U285" s="19"/>
      <c r="V285" s="19"/>
      <c r="W285" s="19"/>
      <c r="X285" s="19"/>
      <c r="Y285" s="19"/>
    </row>
    <row r="286" spans="1:25" ht="12" customHeight="1">
      <c r="A286" s="219" t="n" cm="1">
        <f t="array" ref="A286">IFERROR(INDEX('03.Muestra'!$B$8:$B$42,SMALL(IF("Página Web"='03.Muestra'!$D$8:$D$42,ROW('03.Muestra'!$B$8:$B$42)-MIN(ROW('03.Muestra'!$D$8:$D$42))+1,""),ROW()-284)),"")</f>
        <v>1.0</v>
      </c>
      <c r="B286" s="114" t="str" cm="1">
        <f t="array" ref="B286">IFERROR(INDEX('03.Muestra'!$C$8:$C$42,SMALL(IF("Página Web"='03.Muestra'!$D$8:$D$42,ROW('03.Muestra'!$C$8:$C$42)-MIN(ROW('03.Muestra'!$D$8:$D$42))+1,""),ROW()-284)),"")</f>
        <v>Home - PortCastelló</v>
      </c>
      <c r="C286" s="114" t="str" cm="1">
        <f t="array" ref="C286">IFERROR(INDEX('03.Muestra'!$F$8:$F$42,SMALL(IF("Página Web"='03.Muestra'!$D$8:$D$42,ROW('03.Muestra'!$F$8:$F$42)-MIN(ROW('03.Muestra'!$D$8:$D$42))+1,""),ROW()-284)),"")</f>
        <v>https://www.portcastello.com/</v>
      </c>
      <c r="D286" s="130" t="str">
        <f t="shared" ref="D286:D319" si="15">IF(AND(B286&lt;&gt;"",C286&lt;&gt;""),"N/T","")</f>
        <v>N/T</v>
      </c>
      <c r="E286" s="107" t="str">
        <f t="shared" si="14"/>
        <v/>
      </c>
      <c r="F286" s="120" t="n">
        <f ca="1">COUNTIF($D285:INDIRECT("$D" &amp;  SUM(ROW()-1,'03.Muestra'!$D$45)-1),F285)</f>
        <v>33.0</v>
      </c>
      <c r="G286" s="120" t="n">
        <f ca="1">COUNTIF($D285:INDIRECT("$D" &amp;  SUM(ROW()-1,'03.Muestra'!$D$45)-1),G285)</f>
        <v>0.0</v>
      </c>
      <c r="H286" s="120" t="n">
        <f ca="1">COUNTIF($D285:INDIRECT("$D" &amp;  SUM(ROW()-1,'03.Muestra'!$D$45)-1),H285)</f>
        <v>0.0</v>
      </c>
      <c r="I286" s="120" t="n">
        <f ca="1">COUNTIF($D285:INDIRECT("$D" &amp;  SUM(ROW()-1,'03.Muestra'!$D$45)-1),I285)</f>
        <v>0.0</v>
      </c>
      <c r="J286" s="120" t="n">
        <f ca="1">COUNTIF($D285:INDIRECT("$D" &amp;  SUM(ROW()-1,'03.Muestra'!$D$45)-1),J285)</f>
        <v>0.0</v>
      </c>
      <c r="K286" s="230" t="n">
        <f ca="1">IF(COUNTIF('03.Muestra'!$D$8:$D$42,"Página Web")=0,0,COUNTBLANK($D285:INDIRECT("$D" &amp;  SUM(ROW()-1,COUNTIF('03.Muestra'!$D$8:$D$42,"Página Web"))-1)))</f>
        <v>0.0</v>
      </c>
      <c r="L286" s="19"/>
      <c r="M286" s="19"/>
      <c r="N286" s="19"/>
      <c r="O286" s="19"/>
      <c r="P286" s="19"/>
      <c r="Q286" s="19"/>
      <c r="R286" s="19"/>
      <c r="T286" s="19"/>
      <c r="U286" s="19"/>
      <c r="V286" s="19"/>
      <c r="W286" s="19"/>
      <c r="X286" s="19"/>
      <c r="Y286" s="19"/>
    </row>
    <row r="287" spans="1:25" ht="12" customHeight="1">
      <c r="A287" s="219" t="n" cm="1">
        <f t="array" ref="A287">IFERROR(INDEX('03.Muestra'!$B$8:$B$42,SMALL(IF("Página Web"='03.Muestra'!$D$8:$D$42,ROW('03.Muestra'!$B$8:$B$42)-MIN(ROW('03.Muestra'!$D$8:$D$42))+1,""),ROW()-284)),"")</f>
        <v>1.0</v>
      </c>
      <c r="B287" s="114" t="str" cm="1">
        <f t="array" ref="B287">IFERROR(INDEX('03.Muestra'!$C$8:$C$42,SMALL(IF("Página Web"='03.Muestra'!$D$8:$D$42,ROW('03.Muestra'!$C$8:$C$42)-MIN(ROW('03.Muestra'!$D$8:$D$42))+1,""),ROW()-284)),"")</f>
        <v>Home - PortCastelló</v>
      </c>
      <c r="C287" s="114" t="str" cm="1">
        <f t="array" ref="C287">IFERROR(INDEX('03.Muestra'!$F$8:$F$42,SMALL(IF("Página Web"='03.Muestra'!$D$8:$D$42,ROW('03.Muestra'!$F$8:$F$42)-MIN(ROW('03.Muestra'!$D$8:$D$42))+1,""),ROW()-284)),"")</f>
        <v>https://www.portcastello.com/</v>
      </c>
      <c r="D287" s="130" t="str">
        <f t="shared" si="15"/>
        <v>N/T</v>
      </c>
      <c r="E287" s="107" t="str">
        <f t="shared" si="14"/>
        <v/>
      </c>
      <c r="G287" s="19"/>
      <c r="H287" s="19"/>
      <c r="I287" s="19"/>
      <c r="J287" s="19"/>
      <c r="K287" s="228"/>
      <c r="L287" s="19"/>
      <c r="M287" s="19"/>
      <c r="N287" s="19"/>
      <c r="O287" s="19"/>
      <c r="P287" s="19"/>
      <c r="Q287" s="19"/>
      <c r="R287" s="19"/>
      <c r="T287" s="19"/>
      <c r="U287" s="19"/>
      <c r="V287" s="19"/>
      <c r="W287" s="19"/>
      <c r="X287" s="19"/>
      <c r="Y287" s="19"/>
    </row>
    <row r="288" spans="1:25" ht="12" customHeight="1">
      <c r="A288" s="219" t="n" cm="1">
        <f t="array" ref="A288">IFERROR(INDEX('03.Muestra'!$B$8:$B$42,SMALL(IF("Página Web"='03.Muestra'!$D$8:$D$42,ROW('03.Muestra'!$B$8:$B$42)-MIN(ROW('03.Muestra'!$D$8:$D$42))+1,""),ROW()-284)),"")</f>
        <v>1.0</v>
      </c>
      <c r="B288" s="114" t="str" cm="1">
        <f t="array" ref="B288">IFERROR(INDEX('03.Muestra'!$C$8:$C$42,SMALL(IF("Página Web"='03.Muestra'!$D$8:$D$42,ROW('03.Muestra'!$C$8:$C$42)-MIN(ROW('03.Muestra'!$D$8:$D$42))+1,""),ROW()-284)),"")</f>
        <v>Home - PortCastelló</v>
      </c>
      <c r="C288" s="114" t="str" cm="1">
        <f t="array" ref="C288">IFERROR(INDEX('03.Muestra'!$F$8:$F$42,SMALL(IF("Página Web"='03.Muestra'!$D$8:$D$42,ROW('03.Muestra'!$F$8:$F$42)-MIN(ROW('03.Muestra'!$D$8:$D$42))+1,""),ROW()-284)),"")</f>
        <v>https://www.portcastello.com/</v>
      </c>
      <c r="D288" s="130" t="str">
        <f t="shared" si="15"/>
        <v>N/T</v>
      </c>
      <c r="E288" s="107" t="str">
        <f t="shared" si="14"/>
        <v/>
      </c>
      <c r="G288" s="19"/>
      <c r="H288" s="19"/>
      <c r="I288" s="19"/>
      <c r="J288" s="19"/>
      <c r="K288" s="228"/>
      <c r="L288" s="19"/>
      <c r="M288" s="19"/>
      <c r="N288" s="19"/>
      <c r="O288" s="19"/>
      <c r="P288" s="19"/>
      <c r="Q288" s="19"/>
      <c r="R288" s="19"/>
      <c r="T288" s="19"/>
      <c r="U288" s="19"/>
      <c r="V288" s="19"/>
      <c r="W288" s="19"/>
      <c r="X288" s="19"/>
      <c r="Y288" s="19"/>
    </row>
    <row r="289" spans="1:25" ht="12" customHeight="1">
      <c r="A289" s="219" t="n" cm="1">
        <f t="array" ref="A289">IFERROR(INDEX('03.Muestra'!$B$8:$B$42,SMALL(IF("Página Web"='03.Muestra'!$D$8:$D$42,ROW('03.Muestra'!$B$8:$B$42)-MIN(ROW('03.Muestra'!$D$8:$D$42))+1,""),ROW()-284)),"")</f>
        <v>1.0</v>
      </c>
      <c r="B289" s="114" t="str" cm="1">
        <f t="array" ref="B289">IFERROR(INDEX('03.Muestra'!$C$8:$C$42,SMALL(IF("Página Web"='03.Muestra'!$D$8:$D$42,ROW('03.Muestra'!$C$8:$C$42)-MIN(ROW('03.Muestra'!$D$8:$D$42))+1,""),ROW()-284)),"")</f>
        <v>Home - PortCastelló</v>
      </c>
      <c r="C289" s="114" t="str" cm="1">
        <f t="array" ref="C289">IFERROR(INDEX('03.Muestra'!$F$8:$F$42,SMALL(IF("Página Web"='03.Muestra'!$D$8:$D$42,ROW('03.Muestra'!$F$8:$F$42)-MIN(ROW('03.Muestra'!$D$8:$D$42))+1,""),ROW()-284)),"")</f>
        <v>https://www.portcastello.com/</v>
      </c>
      <c r="D289" s="130" t="str">
        <f t="shared" si="15"/>
        <v>N/T</v>
      </c>
      <c r="E289" s="107" t="str">
        <f t="shared" si="14"/>
        <v/>
      </c>
      <c r="G289" s="19"/>
      <c r="H289" s="19"/>
      <c r="I289" s="19"/>
      <c r="J289" s="19"/>
      <c r="K289" s="228"/>
      <c r="L289" s="19"/>
      <c r="M289" s="19"/>
      <c r="N289" s="19"/>
      <c r="O289" s="19"/>
      <c r="P289" s="19"/>
      <c r="Q289" s="19"/>
      <c r="R289" s="19"/>
      <c r="T289" s="19"/>
      <c r="U289" s="19"/>
      <c r="V289" s="19"/>
      <c r="W289" s="19"/>
      <c r="X289" s="19"/>
      <c r="Y289" s="19"/>
    </row>
    <row r="290" spans="1:25" ht="12" customHeight="1">
      <c r="A290" s="219" t="n" cm="1">
        <f t="array" ref="A290">IFERROR(INDEX('03.Muestra'!$B$8:$B$42,SMALL(IF("Página Web"='03.Muestra'!$D$8:$D$42,ROW('03.Muestra'!$B$8:$B$42)-MIN(ROW('03.Muestra'!$D$8:$D$42))+1,""),ROW()-284)),"")</f>
        <v>1.0</v>
      </c>
      <c r="B290" s="114" t="str" cm="1">
        <f t="array" ref="B290">IFERROR(INDEX('03.Muestra'!$C$8:$C$42,SMALL(IF("Página Web"='03.Muestra'!$D$8:$D$42,ROW('03.Muestra'!$C$8:$C$42)-MIN(ROW('03.Muestra'!$D$8:$D$42))+1,""),ROW()-284)),"")</f>
        <v>Home - PortCastelló</v>
      </c>
      <c r="C290" s="114" t="str" cm="1">
        <f t="array" ref="C290">IFERROR(INDEX('03.Muestra'!$F$8:$F$42,SMALL(IF("Página Web"='03.Muestra'!$D$8:$D$42,ROW('03.Muestra'!$F$8:$F$42)-MIN(ROW('03.Muestra'!$D$8:$D$42))+1,""),ROW()-284)),"")</f>
        <v>https://www.portcastello.com/</v>
      </c>
      <c r="D290" s="130" t="str">
        <f t="shared" si="15"/>
        <v>N/T</v>
      </c>
      <c r="E290" s="107" t="str">
        <f t="shared" si="14"/>
        <v/>
      </c>
      <c r="G290" s="19"/>
      <c r="H290" s="19"/>
      <c r="I290" s="19"/>
      <c r="J290" s="19"/>
      <c r="K290" s="228"/>
      <c r="L290" s="19"/>
      <c r="M290" s="19"/>
      <c r="N290" s="19"/>
      <c r="O290" s="19"/>
      <c r="P290" s="19"/>
      <c r="Q290" s="19"/>
      <c r="R290" s="19"/>
      <c r="T290" s="19"/>
      <c r="U290" s="19"/>
      <c r="V290" s="19"/>
      <c r="W290" s="19"/>
      <c r="X290" s="19"/>
      <c r="Y290" s="19"/>
    </row>
    <row r="291" spans="1:25" ht="12" customHeight="1">
      <c r="A291" s="219" t="n" cm="1">
        <f t="array" ref="A291">IFERROR(INDEX('03.Muestra'!$B$8:$B$42,SMALL(IF("Página Web"='03.Muestra'!$D$8:$D$42,ROW('03.Muestra'!$B$8:$B$42)-MIN(ROW('03.Muestra'!$D$8:$D$42))+1,""),ROW()-284)),"")</f>
        <v>1.0</v>
      </c>
      <c r="B291" s="114" t="str" cm="1">
        <f t="array" ref="B291">IFERROR(INDEX('03.Muestra'!$C$8:$C$42,SMALL(IF("Página Web"='03.Muestra'!$D$8:$D$42,ROW('03.Muestra'!$C$8:$C$42)-MIN(ROW('03.Muestra'!$D$8:$D$42))+1,""),ROW()-284)),"")</f>
        <v>Home - PortCastelló</v>
      </c>
      <c r="C291" s="114" t="str" cm="1">
        <f t="array" ref="C291">IFERROR(INDEX('03.Muestra'!$F$8:$F$42,SMALL(IF("Página Web"='03.Muestra'!$D$8:$D$42,ROW('03.Muestra'!$F$8:$F$42)-MIN(ROW('03.Muestra'!$D$8:$D$42))+1,""),ROW()-284)),"")</f>
        <v>https://www.portcastello.com/</v>
      </c>
      <c r="D291" s="130" t="str">
        <f t="shared" si="15"/>
        <v>N/T</v>
      </c>
      <c r="E291" s="107" t="str">
        <f t="shared" si="14"/>
        <v/>
      </c>
      <c r="F291" s="19"/>
      <c r="G291" s="19"/>
      <c r="H291" s="19"/>
      <c r="I291" s="19"/>
      <c r="J291" s="19"/>
      <c r="K291" s="228"/>
      <c r="L291" s="19"/>
      <c r="M291" s="19"/>
      <c r="N291" s="19"/>
      <c r="O291" s="19"/>
      <c r="P291" s="19"/>
      <c r="Q291" s="19"/>
      <c r="R291" s="19"/>
      <c r="S291" s="19"/>
      <c r="T291" s="19"/>
      <c r="U291" s="19"/>
      <c r="V291" s="19"/>
      <c r="W291" s="19"/>
      <c r="X291" s="19"/>
      <c r="Y291" s="19"/>
    </row>
    <row r="292" spans="1:25" ht="12" customHeight="1">
      <c r="A292" s="219" t="n" cm="1">
        <f t="array" ref="A292">IFERROR(INDEX('03.Muestra'!$B$8:$B$42,SMALL(IF("Página Web"='03.Muestra'!$D$8:$D$42,ROW('03.Muestra'!$B$8:$B$42)-MIN(ROW('03.Muestra'!$D$8:$D$42))+1,""),ROW()-284)),"")</f>
        <v>1.0</v>
      </c>
      <c r="B292" s="114" t="str" cm="1">
        <f t="array" ref="B292">IFERROR(INDEX('03.Muestra'!$C$8:$C$42,SMALL(IF("Página Web"='03.Muestra'!$D$8:$D$42,ROW('03.Muestra'!$C$8:$C$42)-MIN(ROW('03.Muestra'!$D$8:$D$42))+1,""),ROW()-284)),"")</f>
        <v>Home - PortCastelló</v>
      </c>
      <c r="C292" s="114" t="str" cm="1">
        <f t="array" ref="C292">IFERROR(INDEX('03.Muestra'!$F$8:$F$42,SMALL(IF("Página Web"='03.Muestra'!$D$8:$D$42,ROW('03.Muestra'!$F$8:$F$42)-MIN(ROW('03.Muestra'!$D$8:$D$42))+1,""),ROW()-284)),"")</f>
        <v>https://www.portcastello.com/</v>
      </c>
      <c r="D292" s="130" t="str">
        <f t="shared" si="15"/>
        <v>N/T</v>
      </c>
      <c r="E292" s="107" t="str">
        <f t="shared" si="14"/>
        <v/>
      </c>
      <c r="F292" s="19"/>
      <c r="G292" s="19"/>
      <c r="H292" s="19"/>
      <c r="I292" s="19"/>
      <c r="J292" s="19"/>
      <c r="K292" s="228"/>
      <c r="L292" s="19"/>
      <c r="M292" s="19"/>
      <c r="N292" s="19"/>
      <c r="O292" s="19"/>
      <c r="P292" s="19"/>
      <c r="Q292" s="19"/>
      <c r="R292" s="19"/>
      <c r="S292" s="19"/>
      <c r="T292" s="19"/>
      <c r="U292" s="19"/>
      <c r="V292" s="19"/>
      <c r="W292" s="19"/>
      <c r="X292" s="19"/>
      <c r="Y292" s="19"/>
    </row>
    <row r="293" spans="1:25" ht="12" customHeight="1">
      <c r="A293" s="219" t="n" cm="1">
        <f t="array" ref="A293">IFERROR(INDEX('03.Muestra'!$B$8:$B$42,SMALL(IF("Página Web"='03.Muestra'!$D$8:$D$42,ROW('03.Muestra'!$B$8:$B$42)-MIN(ROW('03.Muestra'!$D$8:$D$42))+1,""),ROW()-284)),"")</f>
        <v>1.0</v>
      </c>
      <c r="B293" s="114" t="str" cm="1">
        <f t="array" ref="B293">IFERROR(INDEX('03.Muestra'!$C$8:$C$42,SMALL(IF("Página Web"='03.Muestra'!$D$8:$D$42,ROW('03.Muestra'!$C$8:$C$42)-MIN(ROW('03.Muestra'!$D$8:$D$42))+1,""),ROW()-284)),"")</f>
        <v>Home - PortCastelló</v>
      </c>
      <c r="C293" s="114" t="str" cm="1">
        <f t="array" ref="C293">IFERROR(INDEX('03.Muestra'!$F$8:$F$42,SMALL(IF("Página Web"='03.Muestra'!$D$8:$D$42,ROW('03.Muestra'!$F$8:$F$42)-MIN(ROW('03.Muestra'!$D$8:$D$42))+1,""),ROW()-284)),"")</f>
        <v>https://www.portcastello.com/</v>
      </c>
      <c r="D293" s="130" t="str">
        <f t="shared" si="15"/>
        <v>N/T</v>
      </c>
      <c r="E293" s="107" t="str">
        <f t="shared" si="14"/>
        <v/>
      </c>
      <c r="F293" s="19"/>
      <c r="G293" s="19"/>
      <c r="H293" s="19"/>
      <c r="I293" s="19"/>
      <c r="J293" s="19"/>
      <c r="K293" s="228"/>
      <c r="L293" s="19"/>
      <c r="M293" s="19"/>
      <c r="N293" s="19"/>
      <c r="O293" s="19"/>
      <c r="P293" s="19"/>
      <c r="Q293" s="19"/>
      <c r="R293" s="19"/>
      <c r="S293" s="19"/>
      <c r="T293" s="19"/>
      <c r="U293" s="19"/>
      <c r="V293" s="19"/>
      <c r="W293" s="19"/>
      <c r="X293" s="19"/>
      <c r="Y293" s="19"/>
    </row>
    <row r="294" spans="1:25" ht="12" customHeight="1">
      <c r="A294" s="219" t="n" cm="1">
        <f t="array" ref="A294">IFERROR(INDEX('03.Muestra'!$B$8:$B$42,SMALL(IF("Página Web"='03.Muestra'!$D$8:$D$42,ROW('03.Muestra'!$B$8:$B$42)-MIN(ROW('03.Muestra'!$D$8:$D$42))+1,""),ROW()-284)),"")</f>
        <v>1.0</v>
      </c>
      <c r="B294" s="114" t="str" cm="1">
        <f t="array" ref="B294">IFERROR(INDEX('03.Muestra'!$C$8:$C$42,SMALL(IF("Página Web"='03.Muestra'!$D$8:$D$42,ROW('03.Muestra'!$C$8:$C$42)-MIN(ROW('03.Muestra'!$D$8:$D$42))+1,""),ROW()-284)),"")</f>
        <v>Home - PortCastelló</v>
      </c>
      <c r="C294" s="114" t="str" cm="1">
        <f t="array" ref="C294">IFERROR(INDEX('03.Muestra'!$F$8:$F$42,SMALL(IF("Página Web"='03.Muestra'!$D$8:$D$42,ROW('03.Muestra'!$F$8:$F$42)-MIN(ROW('03.Muestra'!$D$8:$D$42))+1,""),ROW()-284)),"")</f>
        <v>https://www.portcastello.com/</v>
      </c>
      <c r="D294" s="130" t="str">
        <f t="shared" si="15"/>
        <v>N/T</v>
      </c>
      <c r="E294" s="107" t="str">
        <f t="shared" si="14"/>
        <v/>
      </c>
      <c r="F294" s="19"/>
      <c r="G294" s="19"/>
      <c r="H294" s="19"/>
      <c r="I294" s="19"/>
      <c r="J294" s="19"/>
      <c r="K294" s="228"/>
      <c r="L294" s="19"/>
      <c r="M294" s="19"/>
      <c r="N294" s="19"/>
      <c r="O294" s="19"/>
      <c r="P294" s="19"/>
      <c r="Q294" s="19"/>
      <c r="R294" s="19"/>
      <c r="S294" s="19"/>
      <c r="T294" s="19"/>
      <c r="U294" s="19"/>
      <c r="V294" s="19"/>
      <c r="W294" s="19"/>
      <c r="X294" s="19"/>
      <c r="Y294" s="19"/>
    </row>
    <row r="295" spans="1:25" ht="12" customHeight="1">
      <c r="A295" s="219" t="n" cm="1">
        <f t="array" ref="A295">IFERROR(INDEX('03.Muestra'!$B$8:$B$42,SMALL(IF("Página Web"='03.Muestra'!$D$8:$D$42,ROW('03.Muestra'!$B$8:$B$42)-MIN(ROW('03.Muestra'!$D$8:$D$42))+1,""),ROW()-284)),"")</f>
        <v>1.0</v>
      </c>
      <c r="B295" s="114" t="str" cm="1">
        <f t="array" ref="B295">IFERROR(INDEX('03.Muestra'!$C$8:$C$42,SMALL(IF("Página Web"='03.Muestra'!$D$8:$D$42,ROW('03.Muestra'!$C$8:$C$42)-MIN(ROW('03.Muestra'!$D$8:$D$42))+1,""),ROW()-284)),"")</f>
        <v>Home - PortCastelló</v>
      </c>
      <c r="C295" s="114" t="str" cm="1">
        <f t="array" ref="C295">IFERROR(INDEX('03.Muestra'!$F$8:$F$42,SMALL(IF("Página Web"='03.Muestra'!$D$8:$D$42,ROW('03.Muestra'!$F$8:$F$42)-MIN(ROW('03.Muestra'!$D$8:$D$42))+1,""),ROW()-284)),"")</f>
        <v>https://www.portcastello.com/</v>
      </c>
      <c r="D295" s="130" t="str">
        <f t="shared" si="15"/>
        <v>N/T</v>
      </c>
      <c r="E295" s="107" t="str">
        <f t="shared" si="14"/>
        <v/>
      </c>
      <c r="F295" s="19"/>
      <c r="G295" s="19"/>
      <c r="H295" s="19"/>
      <c r="I295" s="19"/>
      <c r="J295" s="19"/>
      <c r="K295" s="228"/>
      <c r="L295" s="19"/>
      <c r="M295" s="19"/>
      <c r="N295" s="19"/>
      <c r="O295" s="19"/>
      <c r="P295" s="19"/>
      <c r="Q295" s="19"/>
      <c r="R295" s="19"/>
      <c r="S295" s="19"/>
      <c r="T295" s="19"/>
      <c r="U295" s="19"/>
      <c r="V295" s="19"/>
      <c r="W295" s="19"/>
      <c r="X295" s="19"/>
      <c r="Y295" s="19"/>
    </row>
    <row r="296" spans="1:25" ht="12" customHeight="1">
      <c r="A296" s="219" t="n" cm="1">
        <f t="array" ref="A296">IFERROR(INDEX('03.Muestra'!$B$8:$B$42,SMALL(IF("Página Web"='03.Muestra'!$D$8:$D$42,ROW('03.Muestra'!$B$8:$B$42)-MIN(ROW('03.Muestra'!$D$8:$D$42))+1,""),ROW()-284)),"")</f>
        <v>1.0</v>
      </c>
      <c r="B296" s="114" t="str" cm="1">
        <f t="array" ref="B296">IFERROR(INDEX('03.Muestra'!$C$8:$C$42,SMALL(IF("Página Web"='03.Muestra'!$D$8:$D$42,ROW('03.Muestra'!$C$8:$C$42)-MIN(ROW('03.Muestra'!$D$8:$D$42))+1,""),ROW()-284)),"")</f>
        <v>Home - PortCastelló</v>
      </c>
      <c r="C296" s="114" t="str" cm="1">
        <f t="array" ref="C296">IFERROR(INDEX('03.Muestra'!$F$8:$F$42,SMALL(IF("Página Web"='03.Muestra'!$D$8:$D$42,ROW('03.Muestra'!$F$8:$F$42)-MIN(ROW('03.Muestra'!$D$8:$D$42))+1,""),ROW()-284)),"")</f>
        <v>https://www.portcastello.com/</v>
      </c>
      <c r="D296" s="130" t="str">
        <f t="shared" si="15"/>
        <v>N/T</v>
      </c>
      <c r="E296" s="107" t="str">
        <f t="shared" si="14"/>
        <v/>
      </c>
      <c r="F296" s="19"/>
      <c r="G296" s="19"/>
      <c r="H296" s="19"/>
      <c r="I296" s="19"/>
      <c r="J296" s="19"/>
      <c r="K296" s="228"/>
      <c r="L296" s="19"/>
      <c r="M296" s="19"/>
      <c r="N296" s="19"/>
      <c r="O296" s="19"/>
      <c r="P296" s="19"/>
      <c r="Q296" s="19"/>
      <c r="R296" s="19"/>
      <c r="S296" s="19"/>
      <c r="T296" s="19"/>
      <c r="U296" s="19"/>
      <c r="V296" s="19"/>
      <c r="W296" s="19"/>
      <c r="X296" s="19"/>
      <c r="Y296" s="19"/>
    </row>
    <row r="297" spans="1:25" ht="12" customHeight="1">
      <c r="A297" s="219" t="n" cm="1">
        <f t="array" ref="A297">IFERROR(INDEX('03.Muestra'!$B$8:$B$42,SMALL(IF("Página Web"='03.Muestra'!$D$8:$D$42,ROW('03.Muestra'!$B$8:$B$42)-MIN(ROW('03.Muestra'!$D$8:$D$42))+1,""),ROW()-284)),"")</f>
        <v>1.0</v>
      </c>
      <c r="B297" s="114" t="str" cm="1">
        <f t="array" ref="B297">IFERROR(INDEX('03.Muestra'!$C$8:$C$42,SMALL(IF("Página Web"='03.Muestra'!$D$8:$D$42,ROW('03.Muestra'!$C$8:$C$42)-MIN(ROW('03.Muestra'!$D$8:$D$42))+1,""),ROW()-284)),"")</f>
        <v>Home - PortCastelló</v>
      </c>
      <c r="C297" s="114" t="str" cm="1">
        <f t="array" ref="C297">IFERROR(INDEX('03.Muestra'!$F$8:$F$42,SMALL(IF("Página Web"='03.Muestra'!$D$8:$D$42,ROW('03.Muestra'!$F$8:$F$42)-MIN(ROW('03.Muestra'!$D$8:$D$42))+1,""),ROW()-284)),"")</f>
        <v>https://www.portcastello.com/</v>
      </c>
      <c r="D297" s="130" t="str">
        <f t="shared" si="15"/>
        <v>N/T</v>
      </c>
      <c r="E297" s="107" t="str">
        <f t="shared" si="14"/>
        <v/>
      </c>
      <c r="F297" s="19"/>
      <c r="G297" s="19"/>
      <c r="H297" s="19"/>
      <c r="I297" s="19"/>
      <c r="J297" s="19"/>
      <c r="K297" s="228"/>
      <c r="L297" s="19"/>
      <c r="M297" s="19"/>
      <c r="N297" s="19"/>
      <c r="O297" s="19"/>
      <c r="P297" s="19"/>
      <c r="Q297" s="19"/>
      <c r="R297" s="19"/>
      <c r="S297" s="19"/>
      <c r="T297" s="19"/>
      <c r="U297" s="19"/>
      <c r="V297" s="19"/>
      <c r="W297" s="19"/>
      <c r="X297" s="19"/>
      <c r="Y297" s="19"/>
    </row>
    <row r="298" spans="1:25" ht="12" customHeight="1">
      <c r="A298" s="219" t="n" cm="1">
        <f t="array" ref="A298">IFERROR(INDEX('03.Muestra'!$B$8:$B$42,SMALL(IF("Página Web"='03.Muestra'!$D$8:$D$42,ROW('03.Muestra'!$B$8:$B$42)-MIN(ROW('03.Muestra'!$D$8:$D$42))+1,""),ROW()-284)),"")</f>
        <v>1.0</v>
      </c>
      <c r="B298" s="114" t="str" cm="1">
        <f t="array" ref="B298">IFERROR(INDEX('03.Muestra'!$C$8:$C$42,SMALL(IF("Página Web"='03.Muestra'!$D$8:$D$42,ROW('03.Muestra'!$C$8:$C$42)-MIN(ROW('03.Muestra'!$D$8:$D$42))+1,""),ROW()-284)),"")</f>
        <v>Home - PortCastelló</v>
      </c>
      <c r="C298" s="114" t="str" cm="1">
        <f t="array" ref="C298">IFERROR(INDEX('03.Muestra'!$F$8:$F$42,SMALL(IF("Página Web"='03.Muestra'!$D$8:$D$42,ROW('03.Muestra'!$F$8:$F$42)-MIN(ROW('03.Muestra'!$D$8:$D$42))+1,""),ROW()-284)),"")</f>
        <v>https://www.portcastello.com/</v>
      </c>
      <c r="D298" s="130" t="str">
        <f t="shared" si="15"/>
        <v>N/T</v>
      </c>
      <c r="E298" s="107" t="str">
        <f t="shared" si="14"/>
        <v/>
      </c>
      <c r="F298" s="19"/>
      <c r="G298" s="19"/>
      <c r="H298" s="19"/>
      <c r="I298" s="19"/>
      <c r="J298" s="19"/>
      <c r="K298" s="228"/>
      <c r="L298" s="19"/>
      <c r="M298" s="19"/>
      <c r="N298" s="19"/>
      <c r="O298" s="19"/>
      <c r="P298" s="19"/>
      <c r="Q298" s="19"/>
      <c r="R298" s="19"/>
      <c r="S298" s="19"/>
      <c r="T298" s="19"/>
      <c r="U298" s="19"/>
      <c r="V298" s="19"/>
      <c r="W298" s="19"/>
      <c r="X298" s="19"/>
      <c r="Y298" s="19"/>
    </row>
    <row r="299" spans="1:25" ht="12" customHeight="1">
      <c r="A299" s="219" t="n" cm="1">
        <f t="array" ref="A299">IFERROR(INDEX('03.Muestra'!$B$8:$B$42,SMALL(IF("Página Web"='03.Muestra'!$D$8:$D$42,ROW('03.Muestra'!$B$8:$B$42)-MIN(ROW('03.Muestra'!$D$8:$D$42))+1,""),ROW()-284)),"")</f>
        <v>1.0</v>
      </c>
      <c r="B299" s="114" t="str" cm="1">
        <f t="array" ref="B299">IFERROR(INDEX('03.Muestra'!$C$8:$C$42,SMALL(IF("Página Web"='03.Muestra'!$D$8:$D$42,ROW('03.Muestra'!$C$8:$C$42)-MIN(ROW('03.Muestra'!$D$8:$D$42))+1,""),ROW()-284)),"")</f>
        <v>Home - PortCastelló</v>
      </c>
      <c r="C299" s="114" t="str" cm="1">
        <f t="array" ref="C299">IFERROR(INDEX('03.Muestra'!$F$8:$F$42,SMALL(IF("Página Web"='03.Muestra'!$D$8:$D$42,ROW('03.Muestra'!$F$8:$F$42)-MIN(ROW('03.Muestra'!$D$8:$D$42))+1,""),ROW()-284)),"")</f>
        <v>https://www.portcastello.com/</v>
      </c>
      <c r="D299" s="130" t="str">
        <f t="shared" si="15"/>
        <v>N/T</v>
      </c>
      <c r="E299" s="107" t="str">
        <f t="shared" si="14"/>
        <v/>
      </c>
      <c r="F299" s="19"/>
      <c r="G299" s="19"/>
      <c r="H299" s="19"/>
      <c r="I299" s="19"/>
      <c r="J299" s="19"/>
      <c r="K299" s="228"/>
      <c r="L299" s="19"/>
      <c r="M299" s="19"/>
      <c r="N299" s="19"/>
      <c r="O299" s="19"/>
      <c r="P299" s="19"/>
      <c r="Q299" s="19"/>
      <c r="R299" s="19"/>
      <c r="S299" s="19"/>
      <c r="T299" s="19"/>
      <c r="U299" s="19"/>
      <c r="V299" s="19"/>
      <c r="W299" s="19"/>
      <c r="X299" s="19"/>
      <c r="Y299" s="19"/>
    </row>
    <row r="300" spans="1:25" ht="12" customHeight="1">
      <c r="A300" s="219" t="n" cm="1">
        <f t="array" ref="A300">IFERROR(INDEX('03.Muestra'!$B$8:$B$42,SMALL(IF("Página Web"='03.Muestra'!$D$8:$D$42,ROW('03.Muestra'!$B$8:$B$42)-MIN(ROW('03.Muestra'!$D$8:$D$42))+1,""),ROW()-284)),"")</f>
        <v>1.0</v>
      </c>
      <c r="B300" s="114" t="str" cm="1">
        <f t="array" ref="B300">IFERROR(INDEX('03.Muestra'!$C$8:$C$42,SMALL(IF("Página Web"='03.Muestra'!$D$8:$D$42,ROW('03.Muestra'!$C$8:$C$42)-MIN(ROW('03.Muestra'!$D$8:$D$42))+1,""),ROW()-284)),"")</f>
        <v>Home - PortCastelló</v>
      </c>
      <c r="C300" s="114" t="str" cm="1">
        <f t="array" ref="C300">IFERROR(INDEX('03.Muestra'!$F$8:$F$42,SMALL(IF("Página Web"='03.Muestra'!$D$8:$D$42,ROW('03.Muestra'!$F$8:$F$42)-MIN(ROW('03.Muestra'!$D$8:$D$42))+1,""),ROW()-284)),"")</f>
        <v>https://www.portcastello.com/</v>
      </c>
      <c r="D300" s="130" t="str">
        <f t="shared" si="15"/>
        <v>N/T</v>
      </c>
      <c r="E300" s="107" t="str">
        <f t="shared" si="14"/>
        <v/>
      </c>
      <c r="F300" s="19"/>
      <c r="G300" s="19"/>
      <c r="H300" s="19"/>
      <c r="I300" s="19"/>
      <c r="J300" s="19"/>
      <c r="K300" s="228"/>
      <c r="L300" s="19"/>
      <c r="M300" s="19"/>
      <c r="N300" s="19"/>
      <c r="O300" s="19"/>
      <c r="P300" s="19"/>
      <c r="Q300" s="19"/>
      <c r="R300" s="19"/>
      <c r="S300" s="19"/>
      <c r="T300" s="19"/>
      <c r="U300" s="19"/>
      <c r="V300" s="19"/>
      <c r="W300" s="19"/>
      <c r="X300" s="19"/>
      <c r="Y300" s="19"/>
    </row>
    <row r="301" spans="1:25" ht="12" customHeight="1">
      <c r="A301" s="219" t="n" cm="1">
        <f t="array" ref="A301">IFERROR(INDEX('03.Muestra'!$B$8:$B$42,SMALL(IF("Página Web"='03.Muestra'!$D$8:$D$42,ROW('03.Muestra'!$B$8:$B$42)-MIN(ROW('03.Muestra'!$D$8:$D$42))+1,""),ROW()-284)),"")</f>
        <v>1.0</v>
      </c>
      <c r="B301" s="114" t="str" cm="1">
        <f t="array" ref="B301">IFERROR(INDEX('03.Muestra'!$C$8:$C$42,SMALL(IF("Página Web"='03.Muestra'!$D$8:$D$42,ROW('03.Muestra'!$C$8:$C$42)-MIN(ROW('03.Muestra'!$D$8:$D$42))+1,""),ROW()-284)),"")</f>
        <v>Home - PortCastelló</v>
      </c>
      <c r="C301" s="114" t="str" cm="1">
        <f t="array" ref="C301">IFERROR(INDEX('03.Muestra'!$F$8:$F$42,SMALL(IF("Página Web"='03.Muestra'!$D$8:$D$42,ROW('03.Muestra'!$F$8:$F$42)-MIN(ROW('03.Muestra'!$D$8:$D$42))+1,""),ROW()-284)),"")</f>
        <v>https://www.portcastello.com/</v>
      </c>
      <c r="D301" s="130" t="str">
        <f t="shared" si="15"/>
        <v>N/T</v>
      </c>
      <c r="E301" s="107" t="str">
        <f t="shared" si="14"/>
        <v/>
      </c>
      <c r="F301" s="19"/>
      <c r="G301" s="19"/>
      <c r="H301" s="19"/>
      <c r="I301" s="19"/>
      <c r="J301" s="19"/>
      <c r="K301" s="228"/>
      <c r="L301" s="19"/>
      <c r="M301" s="19"/>
      <c r="N301" s="19"/>
      <c r="O301" s="19"/>
      <c r="P301" s="19"/>
      <c r="Q301" s="19"/>
      <c r="R301" s="19"/>
      <c r="S301" s="19"/>
      <c r="T301" s="19"/>
      <c r="U301" s="19"/>
      <c r="V301" s="19"/>
      <c r="W301" s="19"/>
      <c r="X301" s="19"/>
      <c r="Y301" s="19"/>
    </row>
    <row r="302" spans="1:25" ht="12" customHeight="1">
      <c r="A302" s="219" t="n" cm="1">
        <f t="array" ref="A302">IFERROR(INDEX('03.Muestra'!$B$8:$B$42,SMALL(IF("Página Web"='03.Muestra'!$D$8:$D$42,ROW('03.Muestra'!$B$8:$B$42)-MIN(ROW('03.Muestra'!$D$8:$D$42))+1,""),ROW()-284)),"")</f>
        <v>1.0</v>
      </c>
      <c r="B302" s="114" t="str" cm="1">
        <f t="array" ref="B302">IFERROR(INDEX('03.Muestra'!$C$8:$C$42,SMALL(IF("Página Web"='03.Muestra'!$D$8:$D$42,ROW('03.Muestra'!$C$8:$C$42)-MIN(ROW('03.Muestra'!$D$8:$D$42))+1,""),ROW()-284)),"")</f>
        <v>Home - PortCastelló</v>
      </c>
      <c r="C302" s="114" t="str" cm="1">
        <f t="array" ref="C302">IFERROR(INDEX('03.Muestra'!$F$8:$F$42,SMALL(IF("Página Web"='03.Muestra'!$D$8:$D$42,ROW('03.Muestra'!$F$8:$F$42)-MIN(ROW('03.Muestra'!$D$8:$D$42))+1,""),ROW()-284)),"")</f>
        <v>https://www.portcastello.com/</v>
      </c>
      <c r="D302" s="130" t="str">
        <f t="shared" si="15"/>
        <v>N/T</v>
      </c>
      <c r="E302" s="107" t="str">
        <f t="shared" si="14"/>
        <v/>
      </c>
      <c r="F302" s="19"/>
      <c r="G302" s="19"/>
      <c r="H302" s="19"/>
      <c r="I302" s="19"/>
      <c r="J302" s="19"/>
      <c r="K302" s="228"/>
      <c r="L302" s="19"/>
      <c r="M302" s="19"/>
      <c r="N302" s="19"/>
      <c r="O302" s="19"/>
      <c r="P302" s="19"/>
      <c r="Q302" s="19"/>
      <c r="R302" s="19"/>
      <c r="S302" s="19"/>
      <c r="T302" s="19"/>
      <c r="U302" s="19"/>
      <c r="V302" s="19"/>
      <c r="W302" s="19"/>
      <c r="X302" s="19"/>
      <c r="Y302" s="19"/>
    </row>
    <row r="303" spans="1:25" ht="12" customHeight="1">
      <c r="A303" s="219" t="n" cm="1">
        <f t="array" ref="A303">IFERROR(INDEX('03.Muestra'!$B$8:$B$42,SMALL(IF("Página Web"='03.Muestra'!$D$8:$D$42,ROW('03.Muestra'!$B$8:$B$42)-MIN(ROW('03.Muestra'!$D$8:$D$42))+1,""),ROW()-284)),"")</f>
        <v>1.0</v>
      </c>
      <c r="B303" s="114" t="str" cm="1">
        <f t="array" ref="B303">IFERROR(INDEX('03.Muestra'!$C$8:$C$42,SMALL(IF("Página Web"='03.Muestra'!$D$8:$D$42,ROW('03.Muestra'!$C$8:$C$42)-MIN(ROW('03.Muestra'!$D$8:$D$42))+1,""),ROW()-284)),"")</f>
        <v>Home - PortCastelló</v>
      </c>
      <c r="C303" s="114" t="str" cm="1">
        <f t="array" ref="C303">IFERROR(INDEX('03.Muestra'!$F$8:$F$42,SMALL(IF("Página Web"='03.Muestra'!$D$8:$D$42,ROW('03.Muestra'!$F$8:$F$42)-MIN(ROW('03.Muestra'!$D$8:$D$42))+1,""),ROW()-284)),"")</f>
        <v>https://www.portcastello.com/</v>
      </c>
      <c r="D303" s="130" t="str">
        <f t="shared" si="15"/>
        <v>N/T</v>
      </c>
      <c r="E303" s="107" t="str">
        <f t="shared" si="14"/>
        <v/>
      </c>
      <c r="F303" s="19"/>
      <c r="G303" s="19"/>
      <c r="H303" s="19"/>
      <c r="I303" s="19"/>
      <c r="J303" s="19"/>
      <c r="K303" s="228"/>
      <c r="L303" s="19"/>
      <c r="M303" s="19"/>
      <c r="N303" s="19"/>
      <c r="O303" s="19"/>
      <c r="P303" s="19"/>
      <c r="Q303" s="19"/>
      <c r="R303" s="19"/>
      <c r="S303" s="19"/>
      <c r="T303" s="19"/>
      <c r="U303" s="19"/>
      <c r="V303" s="19"/>
      <c r="W303" s="19"/>
      <c r="X303" s="19"/>
      <c r="Y303" s="19"/>
    </row>
    <row r="304" spans="1:25" ht="12" customHeight="1">
      <c r="A304" s="219" t="n" cm="1">
        <f t="array" ref="A304">IFERROR(INDEX('03.Muestra'!$B$8:$B$42,SMALL(IF("Página Web"='03.Muestra'!$D$8:$D$42,ROW('03.Muestra'!$B$8:$B$42)-MIN(ROW('03.Muestra'!$D$8:$D$42))+1,""),ROW()-284)),"")</f>
        <v>1.0</v>
      </c>
      <c r="B304" s="114" t="str" cm="1">
        <f t="array" ref="B304">IFERROR(INDEX('03.Muestra'!$C$8:$C$42,SMALL(IF("Página Web"='03.Muestra'!$D$8:$D$42,ROW('03.Muestra'!$C$8:$C$42)-MIN(ROW('03.Muestra'!$D$8:$D$42))+1,""),ROW()-284)),"")</f>
        <v>Home - PortCastelló</v>
      </c>
      <c r="C304" s="114" t="str" cm="1">
        <f t="array" ref="C304">IFERROR(INDEX('03.Muestra'!$F$8:$F$42,SMALL(IF("Página Web"='03.Muestra'!$D$8:$D$42,ROW('03.Muestra'!$F$8:$F$42)-MIN(ROW('03.Muestra'!$D$8:$D$42))+1,""),ROW()-284)),"")</f>
        <v>https://www.portcastello.com/</v>
      </c>
      <c r="D304" s="130" t="str">
        <f t="shared" si="15"/>
        <v>N/T</v>
      </c>
      <c r="E304" s="107" t="str">
        <f t="shared" si="14"/>
        <v/>
      </c>
      <c r="F304" s="19"/>
      <c r="G304" s="19"/>
      <c r="H304" s="19"/>
      <c r="I304" s="19"/>
      <c r="J304" s="19"/>
      <c r="K304" s="228"/>
      <c r="L304" s="19"/>
      <c r="M304" s="19"/>
      <c r="N304" s="19"/>
      <c r="O304" s="19"/>
      <c r="P304" s="19"/>
      <c r="Q304" s="19"/>
      <c r="R304" s="19"/>
      <c r="S304" s="19"/>
      <c r="T304" s="19"/>
      <c r="U304" s="19"/>
      <c r="V304" s="19"/>
      <c r="W304" s="19"/>
      <c r="X304" s="19"/>
      <c r="Y304" s="19"/>
    </row>
    <row r="305" spans="1:25" ht="12" customHeight="1">
      <c r="A305" s="219" t="n" cm="1">
        <f t="array" ref="A305">IFERROR(INDEX('03.Muestra'!$B$8:$B$42,SMALL(IF("Página Web"='03.Muestra'!$D$8:$D$42,ROW('03.Muestra'!$B$8:$B$42)-MIN(ROW('03.Muestra'!$D$8:$D$42))+1,""),ROW()-284)),"")</f>
        <v>1.0</v>
      </c>
      <c r="B305" s="114" t="str" cm="1">
        <f t="array" ref="B305">IFERROR(INDEX('03.Muestra'!$C$8:$C$42,SMALL(IF("Página Web"='03.Muestra'!$D$8:$D$42,ROW('03.Muestra'!$C$8:$C$42)-MIN(ROW('03.Muestra'!$D$8:$D$42))+1,""),ROW()-284)),"")</f>
        <v>Home - PortCastelló</v>
      </c>
      <c r="C305" s="114" t="str" cm="1">
        <f t="array" ref="C305">IFERROR(INDEX('03.Muestra'!$F$8:$F$42,SMALL(IF("Página Web"='03.Muestra'!$D$8:$D$42,ROW('03.Muestra'!$F$8:$F$42)-MIN(ROW('03.Muestra'!$D$8:$D$42))+1,""),ROW()-284)),"")</f>
        <v>https://www.portcastello.com/</v>
      </c>
      <c r="D305" s="130" t="str">
        <f t="shared" si="15"/>
        <v>N/T</v>
      </c>
      <c r="E305" s="107" t="str">
        <f t="shared" si="14"/>
        <v/>
      </c>
      <c r="F305" s="19"/>
      <c r="G305" s="19"/>
      <c r="H305" s="19"/>
      <c r="I305" s="19"/>
      <c r="J305" s="19"/>
      <c r="K305" s="228"/>
      <c r="L305" s="19"/>
      <c r="M305" s="19"/>
      <c r="N305" s="19"/>
      <c r="O305" s="19"/>
      <c r="P305" s="19"/>
      <c r="Q305" s="19"/>
      <c r="R305" s="19"/>
      <c r="S305" s="19"/>
      <c r="T305" s="19"/>
      <c r="U305" s="19"/>
      <c r="V305" s="19"/>
      <c r="W305" s="19"/>
      <c r="X305" s="19"/>
      <c r="Y305" s="19"/>
    </row>
    <row r="306" spans="1:25" ht="12" customHeight="1">
      <c r="A306" s="219" t="n" cm="1">
        <f t="array" ref="A306">IFERROR(INDEX('03.Muestra'!$B$8:$B$42,SMALL(IF("Página Web"='03.Muestra'!$D$8:$D$42,ROW('03.Muestra'!$B$8:$B$42)-MIN(ROW('03.Muestra'!$D$8:$D$42))+1,""),ROW()-284)),"")</f>
        <v>1.0</v>
      </c>
      <c r="B306" s="114" t="str" cm="1">
        <f t="array" ref="B306">IFERROR(INDEX('03.Muestra'!$C$8:$C$42,SMALL(IF("Página Web"='03.Muestra'!$D$8:$D$42,ROW('03.Muestra'!$C$8:$C$42)-MIN(ROW('03.Muestra'!$D$8:$D$42))+1,""),ROW()-284)),"")</f>
        <v>Home - PortCastelló</v>
      </c>
      <c r="C306" s="114" t="str" cm="1">
        <f t="array" ref="C306">IFERROR(INDEX('03.Muestra'!$F$8:$F$42,SMALL(IF("Página Web"='03.Muestra'!$D$8:$D$42,ROW('03.Muestra'!$F$8:$F$42)-MIN(ROW('03.Muestra'!$D$8:$D$42))+1,""),ROW()-284)),"")</f>
        <v>https://www.portcastello.com/</v>
      </c>
      <c r="D306" s="130" t="str">
        <f t="shared" si="15"/>
        <v>N/T</v>
      </c>
      <c r="E306" s="107" t="str">
        <f t="shared" si="14"/>
        <v/>
      </c>
      <c r="F306" s="19"/>
      <c r="G306" s="19"/>
      <c r="H306" s="19"/>
      <c r="I306" s="19"/>
      <c r="J306" s="19"/>
      <c r="K306" s="228"/>
      <c r="L306" s="19"/>
      <c r="M306" s="19"/>
      <c r="N306" s="19"/>
      <c r="O306" s="19"/>
      <c r="P306" s="19"/>
      <c r="Q306" s="19"/>
      <c r="R306" s="19"/>
      <c r="S306" s="19"/>
      <c r="T306" s="19"/>
      <c r="U306" s="19"/>
      <c r="V306" s="19"/>
      <c r="W306" s="19"/>
      <c r="X306" s="19"/>
      <c r="Y306" s="19"/>
    </row>
    <row r="307" spans="1:25" ht="12" customHeight="1">
      <c r="A307" s="219" t="n" cm="1">
        <f t="array" ref="A307">IFERROR(INDEX('03.Muestra'!$B$8:$B$42,SMALL(IF("Página Web"='03.Muestra'!$D$8:$D$42,ROW('03.Muestra'!$B$8:$B$42)-MIN(ROW('03.Muestra'!$D$8:$D$42))+1,""),ROW()-284)),"")</f>
        <v>1.0</v>
      </c>
      <c r="B307" s="114" t="str" cm="1">
        <f t="array" ref="B307">IFERROR(INDEX('03.Muestra'!$C$8:$C$42,SMALL(IF("Página Web"='03.Muestra'!$D$8:$D$42,ROW('03.Muestra'!$C$8:$C$42)-MIN(ROW('03.Muestra'!$D$8:$D$42))+1,""),ROW()-284)),"")</f>
        <v>Home - PortCastelló</v>
      </c>
      <c r="C307" s="114" t="str" cm="1">
        <f t="array" ref="C307">IFERROR(INDEX('03.Muestra'!$F$8:$F$42,SMALL(IF("Página Web"='03.Muestra'!$D$8:$D$42,ROW('03.Muestra'!$F$8:$F$42)-MIN(ROW('03.Muestra'!$D$8:$D$42))+1,""),ROW()-284)),"")</f>
        <v>https://www.portcastello.com/</v>
      </c>
      <c r="D307" s="130" t="str">
        <f t="shared" si="15"/>
        <v>N/T</v>
      </c>
      <c r="E307" s="107" t="str">
        <f t="shared" si="14"/>
        <v/>
      </c>
      <c r="F307" s="19"/>
      <c r="G307" s="19"/>
      <c r="H307" s="19"/>
      <c r="I307" s="19"/>
      <c r="J307" s="19"/>
      <c r="K307" s="228"/>
      <c r="L307" s="19"/>
      <c r="M307" s="19"/>
      <c r="N307" s="19"/>
      <c r="O307" s="19"/>
      <c r="P307" s="19"/>
      <c r="Q307" s="19"/>
      <c r="R307" s="19"/>
      <c r="S307" s="19"/>
      <c r="T307" s="19"/>
      <c r="U307" s="19"/>
      <c r="V307" s="19"/>
      <c r="W307" s="19"/>
      <c r="X307" s="19"/>
      <c r="Y307" s="19"/>
    </row>
    <row r="308" spans="1:25" ht="12" customHeight="1">
      <c r="A308" s="219" t="n" cm="1">
        <f t="array" ref="A308">IFERROR(INDEX('03.Muestra'!$B$8:$B$42,SMALL(IF("Página Web"='03.Muestra'!$D$8:$D$42,ROW('03.Muestra'!$B$8:$B$42)-MIN(ROW('03.Muestra'!$D$8:$D$42))+1,""),ROW()-284)),"")</f>
        <v>1.0</v>
      </c>
      <c r="B308" s="114" t="str" cm="1">
        <f t="array" ref="B308">IFERROR(INDEX('03.Muestra'!$C$8:$C$42,SMALL(IF("Página Web"='03.Muestra'!$D$8:$D$42,ROW('03.Muestra'!$C$8:$C$42)-MIN(ROW('03.Muestra'!$D$8:$D$42))+1,""),ROW()-284)),"")</f>
        <v>Home - PortCastelló</v>
      </c>
      <c r="C308" s="114" t="str" cm="1">
        <f t="array" ref="C308">IFERROR(INDEX('03.Muestra'!$F$8:$F$42,SMALL(IF("Página Web"='03.Muestra'!$D$8:$D$42,ROW('03.Muestra'!$F$8:$F$42)-MIN(ROW('03.Muestra'!$D$8:$D$42))+1,""),ROW()-284)),"")</f>
        <v>https://www.portcastello.com/</v>
      </c>
      <c r="D308" s="130" t="str">
        <f t="shared" si="15"/>
        <v>N/T</v>
      </c>
      <c r="E308" s="107" t="str">
        <f t="shared" si="14"/>
        <v/>
      </c>
      <c r="F308" s="19"/>
      <c r="G308" s="19"/>
      <c r="H308" s="19"/>
      <c r="I308" s="19"/>
      <c r="J308" s="19"/>
      <c r="K308" s="228"/>
      <c r="L308" s="19"/>
      <c r="M308" s="19"/>
      <c r="N308" s="19"/>
      <c r="O308" s="19"/>
      <c r="P308" s="19"/>
      <c r="Q308" s="19"/>
      <c r="R308" s="19"/>
      <c r="S308" s="19"/>
      <c r="T308" s="19"/>
      <c r="U308" s="19"/>
      <c r="V308" s="19"/>
      <c r="W308" s="19"/>
      <c r="X308" s="19"/>
      <c r="Y308" s="19"/>
    </row>
    <row r="309" spans="1:25" ht="12" customHeight="1">
      <c r="A309" s="219" t="n" cm="1">
        <f t="array" ref="A309">IFERROR(INDEX('03.Muestra'!$B$8:$B$42,SMALL(IF("Página Web"='03.Muestra'!$D$8:$D$42,ROW('03.Muestra'!$B$8:$B$42)-MIN(ROW('03.Muestra'!$D$8:$D$42))+1,""),ROW()-284)),"")</f>
        <v>1.0</v>
      </c>
      <c r="B309" s="114" t="str" cm="1">
        <f t="array" ref="B309">IFERROR(INDEX('03.Muestra'!$C$8:$C$42,SMALL(IF("Página Web"='03.Muestra'!$D$8:$D$42,ROW('03.Muestra'!$C$8:$C$42)-MIN(ROW('03.Muestra'!$D$8:$D$42))+1,""),ROW()-284)),"")</f>
        <v>Home - PortCastelló</v>
      </c>
      <c r="C309" s="114" t="str" cm="1">
        <f t="array" ref="C309">IFERROR(INDEX('03.Muestra'!$F$8:$F$42,SMALL(IF("Página Web"='03.Muestra'!$D$8:$D$42,ROW('03.Muestra'!$F$8:$F$42)-MIN(ROW('03.Muestra'!$D$8:$D$42))+1,""),ROW()-284)),"")</f>
        <v>https://www.portcastello.com/</v>
      </c>
      <c r="D309" s="130" t="str">
        <f t="shared" si="15"/>
        <v>N/T</v>
      </c>
      <c r="E309" s="107" t="str">
        <f t="shared" si="14"/>
        <v/>
      </c>
      <c r="F309" s="19"/>
      <c r="G309" s="19"/>
      <c r="H309" s="19"/>
      <c r="I309" s="19"/>
      <c r="J309" s="19"/>
      <c r="K309" s="228"/>
      <c r="L309" s="19"/>
      <c r="M309" s="19"/>
      <c r="N309" s="19"/>
      <c r="O309" s="19"/>
      <c r="P309" s="19"/>
      <c r="Q309" s="19"/>
      <c r="R309" s="19"/>
      <c r="S309" s="19"/>
      <c r="T309" s="19"/>
      <c r="U309" s="19"/>
      <c r="V309" s="19"/>
      <c r="W309" s="19"/>
      <c r="X309" s="19"/>
      <c r="Y309" s="19"/>
    </row>
    <row r="310" spans="1:25" ht="12" customHeight="1">
      <c r="A310" s="219" t="n" cm="1">
        <f t="array" ref="A310">IFERROR(INDEX('03.Muestra'!$B$8:$B$42,SMALL(IF("Página Web"='03.Muestra'!$D$8:$D$42,ROW('03.Muestra'!$B$8:$B$42)-MIN(ROW('03.Muestra'!$D$8:$D$42))+1,""),ROW()-284)),"")</f>
        <v>1.0</v>
      </c>
      <c r="B310" s="114" t="str" cm="1">
        <f t="array" ref="B310">IFERROR(INDEX('03.Muestra'!$C$8:$C$42,SMALL(IF("Página Web"='03.Muestra'!$D$8:$D$42,ROW('03.Muestra'!$C$8:$C$42)-MIN(ROW('03.Muestra'!$D$8:$D$42))+1,""),ROW()-284)),"")</f>
        <v>Home - PortCastelló</v>
      </c>
      <c r="C310" s="114" t="str" cm="1">
        <f t="array" ref="C310">IFERROR(INDEX('03.Muestra'!$F$8:$F$42,SMALL(IF("Página Web"='03.Muestra'!$D$8:$D$42,ROW('03.Muestra'!$F$8:$F$42)-MIN(ROW('03.Muestra'!$D$8:$D$42))+1,""),ROW()-284)),"")</f>
        <v>https://www.portcastello.com/</v>
      </c>
      <c r="D310" s="130" t="str">
        <f t="shared" si="15"/>
        <v>N/T</v>
      </c>
      <c r="E310" s="107" t="str">
        <f t="shared" si="14"/>
        <v/>
      </c>
      <c r="F310" s="19"/>
      <c r="G310" s="19"/>
      <c r="H310" s="19"/>
      <c r="I310" s="19"/>
      <c r="J310" s="19"/>
      <c r="K310" s="228"/>
      <c r="L310" s="19"/>
      <c r="M310" s="19"/>
      <c r="N310" s="19"/>
      <c r="O310" s="19"/>
      <c r="P310" s="19"/>
      <c r="Q310" s="19"/>
      <c r="R310" s="19"/>
      <c r="S310" s="19"/>
      <c r="T310" s="19"/>
      <c r="U310" s="19"/>
      <c r="V310" s="19"/>
      <c r="W310" s="19"/>
      <c r="X310" s="19"/>
      <c r="Y310" s="19"/>
    </row>
    <row r="311" spans="1:25" ht="12" customHeight="1">
      <c r="A311" s="219" t="n" cm="1">
        <f t="array" ref="A311">IFERROR(INDEX('03.Muestra'!$B$8:$B$42,SMALL(IF("Página Web"='03.Muestra'!$D$8:$D$42,ROW('03.Muestra'!$B$8:$B$42)-MIN(ROW('03.Muestra'!$D$8:$D$42))+1,""),ROW()-284)),"")</f>
        <v>1.0</v>
      </c>
      <c r="B311" s="114" t="str" cm="1">
        <f t="array" ref="B311">IFERROR(INDEX('03.Muestra'!$C$8:$C$42,SMALL(IF("Página Web"='03.Muestra'!$D$8:$D$42,ROW('03.Muestra'!$C$8:$C$42)-MIN(ROW('03.Muestra'!$D$8:$D$42))+1,""),ROW()-284)),"")</f>
        <v>Home - PortCastelló</v>
      </c>
      <c r="C311" s="114" t="str" cm="1">
        <f t="array" ref="C311">IFERROR(INDEX('03.Muestra'!$F$8:$F$42,SMALL(IF("Página Web"='03.Muestra'!$D$8:$D$42,ROW('03.Muestra'!$F$8:$F$42)-MIN(ROW('03.Muestra'!$D$8:$D$42))+1,""),ROW()-284)),"")</f>
        <v>https://www.portcastello.com/</v>
      </c>
      <c r="D311" s="130" t="str">
        <f t="shared" si="15"/>
        <v>N/T</v>
      </c>
      <c r="E311" s="107" t="str">
        <f t="shared" si="14"/>
        <v/>
      </c>
      <c r="F311" s="19"/>
      <c r="G311" s="19"/>
      <c r="H311" s="19"/>
      <c r="I311" s="19"/>
      <c r="J311" s="19"/>
      <c r="K311" s="228"/>
      <c r="L311" s="19"/>
      <c r="M311" s="19"/>
      <c r="N311" s="19"/>
      <c r="O311" s="19"/>
      <c r="P311" s="19"/>
      <c r="Q311" s="19"/>
      <c r="R311" s="19"/>
      <c r="S311" s="19"/>
      <c r="T311" s="19"/>
      <c r="U311" s="19"/>
      <c r="V311" s="19"/>
      <c r="W311" s="19"/>
      <c r="X311" s="19"/>
      <c r="Y311" s="19"/>
    </row>
    <row r="312" spans="1:25" ht="12" customHeight="1">
      <c r="A312" s="219" t="n" cm="1">
        <f t="array" ref="A312">IFERROR(INDEX('03.Muestra'!$B$8:$B$42,SMALL(IF("Página Web"='03.Muestra'!$D$8:$D$42,ROW('03.Muestra'!$B$8:$B$42)-MIN(ROW('03.Muestra'!$D$8:$D$42))+1,""),ROW()-284)),"")</f>
        <v>1.0</v>
      </c>
      <c r="B312" s="114" t="str" cm="1">
        <f t="array" ref="B312">IFERROR(INDEX('03.Muestra'!$C$8:$C$42,SMALL(IF("Página Web"='03.Muestra'!$D$8:$D$42,ROW('03.Muestra'!$C$8:$C$42)-MIN(ROW('03.Muestra'!$D$8:$D$42))+1,""),ROW()-284)),"")</f>
        <v>Home - PortCastelló</v>
      </c>
      <c r="C312" s="114" t="str" cm="1">
        <f t="array" ref="C312">IFERROR(INDEX('03.Muestra'!$F$8:$F$42,SMALL(IF("Página Web"='03.Muestra'!$D$8:$D$42,ROW('03.Muestra'!$F$8:$F$42)-MIN(ROW('03.Muestra'!$D$8:$D$42))+1,""),ROW()-284)),"")</f>
        <v>https://www.portcastello.com/</v>
      </c>
      <c r="D312" s="130" t="str">
        <f t="shared" si="15"/>
        <v>N/T</v>
      </c>
      <c r="E312" s="107" t="str">
        <f t="shared" si="14"/>
        <v/>
      </c>
      <c r="G312" s="19"/>
      <c r="H312" s="19"/>
      <c r="I312" s="19"/>
      <c r="J312" s="19"/>
      <c r="K312" s="228"/>
      <c r="L312" s="19"/>
      <c r="M312" s="19"/>
      <c r="N312" s="19"/>
      <c r="O312" s="19"/>
      <c r="P312" s="19"/>
      <c r="Q312" s="19"/>
      <c r="R312" s="19"/>
      <c r="S312" s="19"/>
      <c r="T312" s="19"/>
      <c r="U312" s="19"/>
      <c r="V312" s="19"/>
      <c r="W312" s="19"/>
      <c r="X312" s="19"/>
      <c r="Y312" s="19"/>
    </row>
    <row r="313" spans="1:25" ht="12" customHeight="1">
      <c r="A313" s="219" t="n" cm="1">
        <f t="array" ref="A313">IFERROR(INDEX('03.Muestra'!$B$8:$B$42,SMALL(IF("Página Web"='03.Muestra'!$D$8:$D$42,ROW('03.Muestra'!$B$8:$B$42)-MIN(ROW('03.Muestra'!$D$8:$D$42))+1,""),ROW()-284)),"")</f>
        <v>1.0</v>
      </c>
      <c r="B313" s="114" t="str" cm="1">
        <f t="array" ref="B313">IFERROR(INDEX('03.Muestra'!$C$8:$C$42,SMALL(IF("Página Web"='03.Muestra'!$D$8:$D$42,ROW('03.Muestra'!$C$8:$C$42)-MIN(ROW('03.Muestra'!$D$8:$D$42))+1,""),ROW()-284)),"")</f>
        <v>Home - PortCastelló</v>
      </c>
      <c r="C313" s="114" t="str" cm="1">
        <f t="array" ref="C313">IFERROR(INDEX('03.Muestra'!$F$8:$F$42,SMALL(IF("Página Web"='03.Muestra'!$D$8:$D$42,ROW('03.Muestra'!$F$8:$F$42)-MIN(ROW('03.Muestra'!$D$8:$D$42))+1,""),ROW()-284)),"")</f>
        <v>https://www.portcastello.com/</v>
      </c>
      <c r="D313" s="130" t="str">
        <f t="shared" si="15"/>
        <v>N/T</v>
      </c>
      <c r="E313" s="107" t="str">
        <f t="shared" si="14"/>
        <v/>
      </c>
      <c r="G313" s="19"/>
      <c r="H313" s="19"/>
      <c r="I313" s="19"/>
      <c r="J313" s="19"/>
      <c r="K313" s="228"/>
      <c r="L313" s="19"/>
      <c r="M313" s="19"/>
      <c r="N313" s="19"/>
      <c r="O313" s="19"/>
      <c r="P313" s="19"/>
      <c r="Q313" s="19"/>
      <c r="R313" s="19"/>
      <c r="S313" s="19"/>
      <c r="T313" s="19"/>
      <c r="U313" s="19"/>
      <c r="V313" s="19"/>
      <c r="W313" s="19"/>
      <c r="X313" s="19"/>
      <c r="Y313" s="19"/>
    </row>
    <row r="314" spans="1:25" ht="12" customHeight="1">
      <c r="A314" s="219" t="n" cm="1">
        <f t="array" ref="A314">IFERROR(INDEX('03.Muestra'!$B$8:$B$42,SMALL(IF("Página Web"='03.Muestra'!$D$8:$D$42,ROW('03.Muestra'!$B$8:$B$42)-MIN(ROW('03.Muestra'!$D$8:$D$42))+1,""),ROW()-284)),"")</f>
        <v>1.0</v>
      </c>
      <c r="B314" s="114" t="str" cm="1">
        <f t="array" ref="B314">IFERROR(INDEX('03.Muestra'!$C$8:$C$42,SMALL(IF("Página Web"='03.Muestra'!$D$8:$D$42,ROW('03.Muestra'!$C$8:$C$42)-MIN(ROW('03.Muestra'!$D$8:$D$42))+1,""),ROW()-284)),"")</f>
        <v>Home - PortCastelló</v>
      </c>
      <c r="C314" s="114" t="str" cm="1">
        <f t="array" ref="C314">IFERROR(INDEX('03.Muestra'!$F$8:$F$42,SMALL(IF("Página Web"='03.Muestra'!$D$8:$D$42,ROW('03.Muestra'!$F$8:$F$42)-MIN(ROW('03.Muestra'!$D$8:$D$42))+1,""),ROW()-284)),"")</f>
        <v>https://www.portcastello.com/</v>
      </c>
      <c r="D314" s="130" t="str">
        <f t="shared" si="15"/>
        <v>N/T</v>
      </c>
      <c r="E314" s="107" t="str">
        <f t="shared" si="14"/>
        <v/>
      </c>
      <c r="G314" s="19"/>
      <c r="H314" s="19"/>
      <c r="I314" s="19"/>
      <c r="J314" s="19"/>
      <c r="K314" s="228"/>
      <c r="L314" s="19"/>
      <c r="M314" s="19"/>
      <c r="N314" s="19"/>
      <c r="O314" s="19"/>
      <c r="P314" s="19"/>
      <c r="Q314" s="19"/>
      <c r="R314" s="19"/>
      <c r="S314" s="19"/>
      <c r="T314" s="19"/>
      <c r="U314" s="19"/>
      <c r="V314" s="19"/>
      <c r="W314" s="19"/>
      <c r="X314" s="19"/>
      <c r="Y314" s="19"/>
    </row>
    <row r="315" spans="1:25" ht="12" customHeight="1">
      <c r="A315" s="219" t="n" cm="1">
        <f t="array" ref="A315">IFERROR(INDEX('03.Muestra'!$B$8:$B$42,SMALL(IF("Página Web"='03.Muestra'!$D$8:$D$42,ROW('03.Muestra'!$B$8:$B$42)-MIN(ROW('03.Muestra'!$D$8:$D$42))+1,""),ROW()-284)),"")</f>
        <v>1.0</v>
      </c>
      <c r="B315" s="114" t="str" cm="1">
        <f t="array" ref="B315">IFERROR(INDEX('03.Muestra'!$C$8:$C$42,SMALL(IF("Página Web"='03.Muestra'!$D$8:$D$42,ROW('03.Muestra'!$C$8:$C$42)-MIN(ROW('03.Muestra'!$D$8:$D$42))+1,""),ROW()-284)),"")</f>
        <v>Home - PortCastelló</v>
      </c>
      <c r="C315" s="114" t="str" cm="1">
        <f t="array" ref="C315">IFERROR(INDEX('03.Muestra'!$F$8:$F$42,SMALL(IF("Página Web"='03.Muestra'!$D$8:$D$42,ROW('03.Muestra'!$F$8:$F$42)-MIN(ROW('03.Muestra'!$D$8:$D$42))+1,""),ROW()-284)),"")</f>
        <v>https://www.portcastello.com/</v>
      </c>
      <c r="D315" s="130" t="str">
        <f t="shared" si="15"/>
        <v>N/T</v>
      </c>
      <c r="E315" s="107" t="str">
        <f t="shared" si="14"/>
        <v/>
      </c>
      <c r="G315" s="19"/>
      <c r="H315" s="19"/>
      <c r="I315" s="19"/>
      <c r="J315" s="19"/>
      <c r="K315" s="228"/>
      <c r="L315" s="19"/>
      <c r="M315" s="19"/>
      <c r="N315" s="19"/>
      <c r="O315" s="19"/>
      <c r="P315" s="19"/>
      <c r="Q315" s="19"/>
      <c r="R315" s="19"/>
      <c r="S315" s="19"/>
      <c r="T315" s="19"/>
      <c r="U315" s="19"/>
      <c r="V315" s="19"/>
      <c r="W315" s="19"/>
      <c r="X315" s="19"/>
      <c r="Y315" s="19"/>
    </row>
    <row r="316" spans="1:25" ht="12" customHeight="1">
      <c r="A316" s="219" t="n" cm="1">
        <f t="array" ref="A316">IFERROR(INDEX('03.Muestra'!$B$8:$B$42,SMALL(IF("Página Web"='03.Muestra'!$D$8:$D$42,ROW('03.Muestra'!$B$8:$B$42)-MIN(ROW('03.Muestra'!$D$8:$D$42))+1,""),ROW()-284)),"")</f>
        <v>1.0</v>
      </c>
      <c r="B316" s="114" t="str" cm="1">
        <f t="array" ref="B316">IFERROR(INDEX('03.Muestra'!$C$8:$C$42,SMALL(IF("Página Web"='03.Muestra'!$D$8:$D$42,ROW('03.Muestra'!$C$8:$C$42)-MIN(ROW('03.Muestra'!$D$8:$D$42))+1,""),ROW()-284)),"")</f>
        <v>Home - PortCastelló</v>
      </c>
      <c r="C316" s="114" t="str" cm="1">
        <f t="array" ref="C316">IFERROR(INDEX('03.Muestra'!$F$8:$F$42,SMALL(IF("Página Web"='03.Muestra'!$D$8:$D$42,ROW('03.Muestra'!$F$8:$F$42)-MIN(ROW('03.Muestra'!$D$8:$D$42))+1,""),ROW()-284)),"")</f>
        <v>https://www.portcastello.com/</v>
      </c>
      <c r="D316" s="130" t="str">
        <f t="shared" si="15"/>
        <v>N/T</v>
      </c>
      <c r="E316" s="107" t="str">
        <f t="shared" si="14"/>
        <v/>
      </c>
      <c r="G316" s="19"/>
      <c r="H316" s="19"/>
      <c r="I316" s="19"/>
      <c r="J316" s="19"/>
      <c r="K316" s="228"/>
      <c r="L316" s="19"/>
      <c r="M316" s="19"/>
      <c r="N316" s="19"/>
      <c r="O316" s="19"/>
      <c r="P316" s="19"/>
      <c r="Q316" s="19"/>
      <c r="R316" s="19"/>
      <c r="S316" s="19"/>
      <c r="T316" s="19"/>
      <c r="U316" s="19"/>
      <c r="V316" s="19"/>
      <c r="W316" s="19"/>
      <c r="X316" s="19"/>
      <c r="Y316" s="19"/>
    </row>
    <row r="317" spans="1:25" ht="12" customHeight="1">
      <c r="A317" s="219" t="n" cm="1">
        <f t="array" ref="A317">IFERROR(INDEX('03.Muestra'!$B$8:$B$42,SMALL(IF("Página Web"='03.Muestra'!$D$8:$D$42,ROW('03.Muestra'!$B$8:$B$42)-MIN(ROW('03.Muestra'!$D$8:$D$42))+1,""),ROW()-284)),"")</f>
        <v>1.0</v>
      </c>
      <c r="B317" s="114" t="str" cm="1">
        <f t="array" ref="B317">IFERROR(INDEX('03.Muestra'!$C$8:$C$42,SMALL(IF("Página Web"='03.Muestra'!$D$8:$D$42,ROW('03.Muestra'!$C$8:$C$42)-MIN(ROW('03.Muestra'!$D$8:$D$42))+1,""),ROW()-284)),"")</f>
        <v>Home - PortCastelló</v>
      </c>
      <c r="C317" s="114" t="str" cm="1">
        <f t="array" ref="C317">IFERROR(INDEX('03.Muestra'!$F$8:$F$42,SMALL(IF("Página Web"='03.Muestra'!$D$8:$D$42,ROW('03.Muestra'!$F$8:$F$42)-MIN(ROW('03.Muestra'!$D$8:$D$42))+1,""),ROW()-284)),"")</f>
        <v>https://www.portcastello.com/</v>
      </c>
      <c r="D317" s="130" t="str">
        <f t="shared" si="15"/>
        <v>N/T</v>
      </c>
      <c r="E317" s="107" t="str">
        <f t="shared" si="14"/>
        <v/>
      </c>
      <c r="G317" s="19"/>
      <c r="H317" s="19"/>
      <c r="I317" s="19"/>
      <c r="J317" s="19"/>
      <c r="K317" s="228"/>
      <c r="L317" s="19"/>
      <c r="M317" s="19"/>
      <c r="N317" s="19"/>
      <c r="O317" s="19"/>
      <c r="P317" s="19"/>
      <c r="Q317" s="19"/>
      <c r="R317" s="19"/>
      <c r="S317" s="19"/>
      <c r="T317" s="19"/>
      <c r="U317" s="19"/>
      <c r="V317" s="19"/>
      <c r="W317" s="19"/>
      <c r="X317" s="19"/>
      <c r="Y317" s="19"/>
    </row>
    <row r="318" spans="1:25" ht="12" customHeight="1">
      <c r="A318" s="219" t="str" cm="1">
        <f t="array" ref="A318">IFERROR(INDEX('03.Muestra'!$B$8:$B$42,SMALL(IF("Página Web"='03.Muestra'!$D$8:$D$42,ROW('03.Muestra'!$B$8:$B$42)-MIN(ROW('03.Muestra'!$D$8:$D$42))+1,""),ROW()-284)),"")</f>
        <v/>
      </c>
      <c r="B318" s="114" t="str" cm="1">
        <f t="array" ref="B318">IFERROR(INDEX('03.Muestra'!$C$8:$C$42,SMALL(IF("Página Web"='03.Muestra'!$D$8:$D$42,ROW('03.Muestra'!$C$8:$C$42)-MIN(ROW('03.Muestra'!$D$8:$D$42))+1,""),ROW()-284)),"")</f>
        <v/>
      </c>
      <c r="C318" s="114" t="str" cm="1">
        <f t="array" ref="C318">IFERROR(INDEX('03.Muestra'!$F$8:$F$42,SMALL(IF("Página Web"='03.Muestra'!$D$8:$D$42,ROW('03.Muestra'!$F$8:$F$42)-MIN(ROW('03.Muestra'!$D$8:$D$42))+1,""),ROW()-284)),"")</f>
        <v/>
      </c>
      <c r="D318" s="130" t="str">
        <f t="shared" si="15"/>
        <v/>
      </c>
      <c r="E318" s="107" t="str">
        <f t="shared" si="14"/>
        <v/>
      </c>
      <c r="F318" s="124"/>
      <c r="G318" s="19"/>
      <c r="H318" s="19"/>
      <c r="I318" s="19"/>
      <c r="J318" s="19"/>
      <c r="K318" s="228"/>
      <c r="L318" s="19"/>
      <c r="M318" s="19"/>
      <c r="N318" s="19"/>
      <c r="O318" s="19"/>
      <c r="P318" s="19"/>
      <c r="Q318" s="19"/>
      <c r="R318" s="19"/>
      <c r="S318" s="19"/>
      <c r="T318" s="19"/>
      <c r="U318" s="19"/>
      <c r="V318" s="19"/>
      <c r="W318" s="19"/>
      <c r="X318" s="19"/>
      <c r="Y318" s="19"/>
    </row>
    <row r="319" spans="1:25" ht="12" customHeight="1">
      <c r="A319" s="219" t="str" cm="1">
        <f t="array" ref="A319">IFERROR(INDEX('03.Muestra'!$B$8:$B$42,SMALL(IF("Página Web"='03.Muestra'!$D$8:$D$42,ROW('03.Muestra'!$B$8:$B$42)-MIN(ROW('03.Muestra'!$D$8:$D$42))+1,""),ROW()-284)),"")</f>
        <v/>
      </c>
      <c r="B319" s="114" t="str" cm="1">
        <f t="array" ref="B319">IFERROR(INDEX('03.Muestra'!$C$8:$C$42,SMALL(IF("Página Web"='03.Muestra'!$D$8:$D$42,ROW('03.Muestra'!$C$8:$C$42)-MIN(ROW('03.Muestra'!$D$8:$D$42))+1,""),ROW()-284)),"")</f>
        <v/>
      </c>
      <c r="C319" s="114" t="str" cm="1">
        <f t="array" ref="C319">IFERROR(INDEX('03.Muestra'!$F$8:$F$42,SMALL(IF("Página Web"='03.Muestra'!$D$8:$D$42,ROW('03.Muestra'!$F$8:$F$42)-MIN(ROW('03.Muestra'!$D$8:$D$42))+1,""),ROW()-284)),"")</f>
        <v/>
      </c>
      <c r="D319" s="130" t="str">
        <f t="shared" si="15"/>
        <v/>
      </c>
      <c r="E319" s="107" t="str">
        <f t="shared" si="14"/>
        <v/>
      </c>
      <c r="F319" s="19"/>
      <c r="G319" s="19"/>
      <c r="H319" s="19"/>
      <c r="I319" s="19"/>
      <c r="J319" s="19"/>
      <c r="K319" s="228"/>
      <c r="L319" s="19"/>
      <c r="M319" s="19"/>
      <c r="N319" s="19"/>
      <c r="O319" s="19"/>
      <c r="P319" s="19"/>
      <c r="Q319" s="19"/>
      <c r="R319" s="19"/>
      <c r="S319" s="19"/>
      <c r="T319" s="19"/>
      <c r="U319" s="19"/>
      <c r="V319" s="19"/>
      <c r="W319" s="19"/>
      <c r="X319" s="19"/>
      <c r="Y319" s="19"/>
    </row>
    <row r="320" spans="1:25" ht="12" customHeight="1">
      <c r="B320" s="19"/>
      <c r="C320" s="19"/>
      <c r="D320" s="107"/>
      <c r="E320" s="107"/>
      <c r="F320" s="19"/>
      <c r="G320" s="19"/>
      <c r="H320" s="19"/>
      <c r="I320" s="19"/>
      <c r="J320" s="19"/>
      <c r="K320" s="228"/>
      <c r="L320" s="19"/>
      <c r="M320" s="19"/>
      <c r="N320" s="19"/>
      <c r="O320" s="19"/>
      <c r="P320" s="19"/>
      <c r="Q320" s="19"/>
      <c r="R320" s="19"/>
      <c r="S320" s="19"/>
      <c r="T320" s="19"/>
      <c r="U320" s="19"/>
      <c r="V320" s="19"/>
      <c r="W320" s="19"/>
      <c r="X320" s="19"/>
      <c r="Y320" s="19"/>
    </row>
    <row r="321" spans="1:25" ht="12" customHeight="1">
      <c r="B321" s="19"/>
      <c r="C321" s="19"/>
      <c r="D321" s="107"/>
      <c r="E321" s="107"/>
      <c r="F321" s="19"/>
      <c r="G321" s="19"/>
      <c r="H321" s="19"/>
      <c r="I321" s="19"/>
      <c r="J321" s="19"/>
      <c r="K321" s="228"/>
      <c r="L321" s="19"/>
      <c r="M321" s="19"/>
      <c r="N321" s="19"/>
      <c r="O321" s="19"/>
      <c r="P321" s="19"/>
      <c r="Q321" s="19"/>
      <c r="R321" s="19"/>
      <c r="S321" s="19"/>
      <c r="T321" s="19"/>
      <c r="U321" s="19"/>
      <c r="V321" s="19"/>
      <c r="W321" s="19"/>
      <c r="X321" s="19"/>
      <c r="Y321" s="19"/>
    </row>
    <row r="322" spans="1:25" ht="32.25" customHeight="1">
      <c r="A322" s="218" t="s">
        <v>268</v>
      </c>
      <c r="B322" s="24" t="s">
        <v>90</v>
      </c>
      <c r="C322" s="25" t="s">
        <v>366</v>
      </c>
      <c r="D322" s="26" t="s">
        <v>32</v>
      </c>
      <c r="E322" s="123"/>
      <c r="K322" s="228"/>
      <c r="L322" s="19"/>
      <c r="M322" s="19"/>
      <c r="N322" s="19"/>
      <c r="O322" s="19"/>
      <c r="P322" s="19"/>
      <c r="Q322" s="19"/>
      <c r="R322" s="19"/>
      <c r="T322" s="19"/>
      <c r="U322" s="19"/>
      <c r="V322" s="19"/>
      <c r="W322" s="19"/>
      <c r="X322" s="19"/>
      <c r="Y322" s="19"/>
    </row>
    <row r="323" spans="1:25" ht="12" customHeight="1">
      <c r="A323" s="219" t="n" cm="1">
        <f t="array" ref="A323">IFERROR(INDEX('03.Muestra'!$B$8:$B$42,SMALL(IF("Página Web"='03.Muestra'!$D$8:$D$42,ROW('03.Muestra'!$B$8:$B$42)-MIN(ROW('03.Muestra'!$D$8:$D$42))+1,""),ROW()-322)),"")</f>
        <v>1.0</v>
      </c>
      <c r="B323" s="114" t="str" cm="1">
        <f t="array" ref="B323">IFERROR(INDEX('03.Muestra'!$C$8:$C$42,SMALL(IF("Página Web"='03.Muestra'!$D$8:$D$42,ROW('03.Muestra'!$C$8:$C$42)-MIN(ROW('03.Muestra'!$D$8:$D$42))+1,""),ROW()-322)),"")</f>
        <v>Home - PortCastelló</v>
      </c>
      <c r="C323" s="114" t="str" cm="1">
        <f t="array" ref="C323">IFERROR(INDEX('03.Muestra'!$F$8:$F$42,SMALL(IF("Página Web"='03.Muestra'!$D$8:$D$42,ROW('03.Muestra'!$F$8:$F$42)-MIN(ROW('03.Muestra'!$D$8:$D$42))+1,""),ROW()-322)),"")</f>
        <v>https://www.portcastello.com/</v>
      </c>
      <c r="D323" s="130" t="str">
        <f>IF(AND(B323&lt;&gt;"",C323&lt;&gt;""),"N/T","")</f>
        <v>N/T</v>
      </c>
      <c r="E323" s="107" t="str">
        <f t="shared" ref="E323:E357" si="16">IF(D323&lt;&gt;"",IF(AND(B323&lt;&gt;"",C323&lt;&gt;""),"","ERR"),"")</f>
        <v/>
      </c>
      <c r="F323" s="115" t="s">
        <v>33</v>
      </c>
      <c r="G323" s="116" t="s">
        <v>37</v>
      </c>
      <c r="H323" s="117" t="s">
        <v>35</v>
      </c>
      <c r="I323" s="118" t="s">
        <v>28</v>
      </c>
      <c r="J323" s="119" t="s">
        <v>26</v>
      </c>
      <c r="K323" s="229" t="s">
        <v>474</v>
      </c>
      <c r="L323" s="19"/>
      <c r="M323" s="19"/>
      <c r="N323" s="19"/>
      <c r="O323" s="19"/>
      <c r="P323" s="19"/>
      <c r="Q323" s="19"/>
      <c r="R323" s="19"/>
      <c r="T323" s="19"/>
      <c r="U323" s="19"/>
      <c r="V323" s="19"/>
      <c r="W323" s="19"/>
      <c r="X323" s="19"/>
      <c r="Y323" s="19"/>
    </row>
    <row r="324" spans="1:25" ht="12" customHeight="1">
      <c r="A324" s="219" t="n" cm="1">
        <f t="array" ref="A324">IFERROR(INDEX('03.Muestra'!$B$8:$B$42,SMALL(IF("Página Web"='03.Muestra'!$D$8:$D$42,ROW('03.Muestra'!$B$8:$B$42)-MIN(ROW('03.Muestra'!$D$8:$D$42))+1,""),ROW()-322)),"")</f>
        <v>1.0</v>
      </c>
      <c r="B324" s="114" t="str" cm="1">
        <f t="array" ref="B324">IFERROR(INDEX('03.Muestra'!$C$8:$C$42,SMALL(IF("Página Web"='03.Muestra'!$D$8:$D$42,ROW('03.Muestra'!$C$8:$C$42)-MIN(ROW('03.Muestra'!$D$8:$D$42))+1,""),ROW()-322)),"")</f>
        <v>Home - PortCastelló</v>
      </c>
      <c r="C324" s="114" t="str" cm="1">
        <f t="array" ref="C324">IFERROR(INDEX('03.Muestra'!$F$8:$F$42,SMALL(IF("Página Web"='03.Muestra'!$D$8:$D$42,ROW('03.Muestra'!$F$8:$F$42)-MIN(ROW('03.Muestra'!$D$8:$D$42))+1,""),ROW()-322)),"")</f>
        <v>https://www.portcastello.com/</v>
      </c>
      <c r="D324" s="130" t="str">
        <f t="shared" ref="D324:D357" si="17">IF(AND(B324&lt;&gt;"",C324&lt;&gt;""),"N/T","")</f>
        <v>N/T</v>
      </c>
      <c r="E324" s="107" t="str">
        <f t="shared" si="16"/>
        <v/>
      </c>
      <c r="F324" s="120" t="n">
        <f ca="1">COUNTIF($D323:INDIRECT("$D" &amp;  SUM(ROW()-1,'03.Muestra'!$D$45)-1),F323)</f>
        <v>33.0</v>
      </c>
      <c r="G324" s="120" t="n">
        <f ca="1">COUNTIF($D323:INDIRECT("$D" &amp;  SUM(ROW()-1,'03.Muestra'!$D$45)-1),G323)</f>
        <v>0.0</v>
      </c>
      <c r="H324" s="120" t="n">
        <f ca="1">COUNTIF($D323:INDIRECT("$D" &amp;  SUM(ROW()-1,'03.Muestra'!$D$45)-1),H323)</f>
        <v>0.0</v>
      </c>
      <c r="I324" s="120" t="n">
        <f ca="1">COUNTIF($D323:INDIRECT("$D" &amp;  SUM(ROW()-1,'03.Muestra'!$D$45)-1),I323)</f>
        <v>0.0</v>
      </c>
      <c r="J324" s="120" t="n">
        <f ca="1">COUNTIF($D323:INDIRECT("$D" &amp;  SUM(ROW()-1,'03.Muestra'!$D$45)-1),J323)</f>
        <v>0.0</v>
      </c>
      <c r="K324" s="230" t="n">
        <f ca="1">IF(COUNTIF('03.Muestra'!$D$8:$D$42,"Página Web")=0,0,COUNTBLANK($D323:INDIRECT("$D" &amp;  SUM(ROW()-1,COUNTIF('03.Muestra'!$D$8:$D$42,"Página Web"))-1)))</f>
        <v>0.0</v>
      </c>
      <c r="L324" s="19"/>
      <c r="M324" s="19"/>
      <c r="N324" s="19"/>
      <c r="O324" s="19"/>
      <c r="P324" s="19"/>
      <c r="Q324" s="19"/>
      <c r="R324" s="19"/>
      <c r="T324" s="19"/>
      <c r="U324" s="19"/>
      <c r="V324" s="19"/>
      <c r="W324" s="19"/>
      <c r="X324" s="19"/>
      <c r="Y324" s="19"/>
    </row>
    <row r="325" spans="1:25" ht="12" customHeight="1">
      <c r="A325" s="219" t="n" cm="1">
        <f t="array" ref="A325">IFERROR(INDEX('03.Muestra'!$B$8:$B$42,SMALL(IF("Página Web"='03.Muestra'!$D$8:$D$42,ROW('03.Muestra'!$B$8:$B$42)-MIN(ROW('03.Muestra'!$D$8:$D$42))+1,""),ROW()-322)),"")</f>
        <v>1.0</v>
      </c>
      <c r="B325" s="114" t="str" cm="1">
        <f t="array" ref="B325">IFERROR(INDEX('03.Muestra'!$C$8:$C$42,SMALL(IF("Página Web"='03.Muestra'!$D$8:$D$42,ROW('03.Muestra'!$C$8:$C$42)-MIN(ROW('03.Muestra'!$D$8:$D$42))+1,""),ROW()-322)),"")</f>
        <v>Home - PortCastelló</v>
      </c>
      <c r="C325" s="114" t="str" cm="1">
        <f t="array" ref="C325">IFERROR(INDEX('03.Muestra'!$F$8:$F$42,SMALL(IF("Página Web"='03.Muestra'!$D$8:$D$42,ROW('03.Muestra'!$F$8:$F$42)-MIN(ROW('03.Muestra'!$D$8:$D$42))+1,""),ROW()-322)),"")</f>
        <v>https://www.portcastello.com/</v>
      </c>
      <c r="D325" s="130" t="str">
        <f t="shared" si="17"/>
        <v>N/T</v>
      </c>
      <c r="E325" s="107" t="str">
        <f t="shared" si="16"/>
        <v/>
      </c>
      <c r="G325" s="19"/>
      <c r="H325" s="19"/>
      <c r="I325" s="19"/>
      <c r="J325" s="19"/>
      <c r="K325" s="228"/>
      <c r="L325" s="19"/>
      <c r="M325" s="19"/>
      <c r="N325" s="19"/>
      <c r="O325" s="19"/>
      <c r="P325" s="19"/>
      <c r="Q325" s="19"/>
      <c r="R325" s="19"/>
      <c r="T325" s="19"/>
      <c r="U325" s="19"/>
      <c r="V325" s="19"/>
      <c r="W325" s="19"/>
      <c r="X325" s="19"/>
      <c r="Y325" s="19"/>
    </row>
    <row r="326" spans="1:25" ht="12" customHeight="1">
      <c r="A326" s="219" t="n" cm="1">
        <f t="array" ref="A326">IFERROR(INDEX('03.Muestra'!$B$8:$B$42,SMALL(IF("Página Web"='03.Muestra'!$D$8:$D$42,ROW('03.Muestra'!$B$8:$B$42)-MIN(ROW('03.Muestra'!$D$8:$D$42))+1,""),ROW()-322)),"")</f>
        <v>1.0</v>
      </c>
      <c r="B326" s="114" t="str" cm="1">
        <f t="array" ref="B326">IFERROR(INDEX('03.Muestra'!$C$8:$C$42,SMALL(IF("Página Web"='03.Muestra'!$D$8:$D$42,ROW('03.Muestra'!$C$8:$C$42)-MIN(ROW('03.Muestra'!$D$8:$D$42))+1,""),ROW()-322)),"")</f>
        <v>Home - PortCastelló</v>
      </c>
      <c r="C326" s="114" t="str" cm="1">
        <f t="array" ref="C326">IFERROR(INDEX('03.Muestra'!$F$8:$F$42,SMALL(IF("Página Web"='03.Muestra'!$D$8:$D$42,ROW('03.Muestra'!$F$8:$F$42)-MIN(ROW('03.Muestra'!$D$8:$D$42))+1,""),ROW()-322)),"")</f>
        <v>https://www.portcastello.com/</v>
      </c>
      <c r="D326" s="130" t="str">
        <f t="shared" si="17"/>
        <v>N/T</v>
      </c>
      <c r="E326" s="107" t="str">
        <f t="shared" si="16"/>
        <v/>
      </c>
      <c r="G326" s="19"/>
      <c r="H326" s="19"/>
      <c r="I326" s="19"/>
      <c r="J326" s="19"/>
      <c r="K326" s="228"/>
      <c r="L326" s="19"/>
      <c r="M326" s="19"/>
      <c r="N326" s="19"/>
      <c r="O326" s="19"/>
      <c r="P326" s="19"/>
      <c r="Q326" s="19"/>
      <c r="R326" s="19"/>
      <c r="T326" s="19"/>
      <c r="U326" s="19"/>
      <c r="V326" s="19"/>
      <c r="W326" s="19"/>
      <c r="X326" s="19"/>
      <c r="Y326" s="19"/>
    </row>
    <row r="327" spans="1:25" ht="12" customHeight="1">
      <c r="A327" s="219" t="n" cm="1">
        <f t="array" ref="A327">IFERROR(INDEX('03.Muestra'!$B$8:$B$42,SMALL(IF("Página Web"='03.Muestra'!$D$8:$D$42,ROW('03.Muestra'!$B$8:$B$42)-MIN(ROW('03.Muestra'!$D$8:$D$42))+1,""),ROW()-322)),"")</f>
        <v>1.0</v>
      </c>
      <c r="B327" s="114" t="str" cm="1">
        <f t="array" ref="B327">IFERROR(INDEX('03.Muestra'!$C$8:$C$42,SMALL(IF("Página Web"='03.Muestra'!$D$8:$D$42,ROW('03.Muestra'!$C$8:$C$42)-MIN(ROW('03.Muestra'!$D$8:$D$42))+1,""),ROW()-322)),"")</f>
        <v>Home - PortCastelló</v>
      </c>
      <c r="C327" s="114" t="str" cm="1">
        <f t="array" ref="C327">IFERROR(INDEX('03.Muestra'!$F$8:$F$42,SMALL(IF("Página Web"='03.Muestra'!$D$8:$D$42,ROW('03.Muestra'!$F$8:$F$42)-MIN(ROW('03.Muestra'!$D$8:$D$42))+1,""),ROW()-322)),"")</f>
        <v>https://www.portcastello.com/</v>
      </c>
      <c r="D327" s="130" t="str">
        <f t="shared" si="17"/>
        <v>N/T</v>
      </c>
      <c r="E327" s="107" t="str">
        <f t="shared" si="16"/>
        <v/>
      </c>
      <c r="G327" s="19"/>
      <c r="H327" s="19"/>
      <c r="I327" s="19"/>
      <c r="J327" s="19"/>
      <c r="K327" s="228"/>
      <c r="L327" s="19"/>
      <c r="M327" s="19"/>
      <c r="N327" s="19"/>
      <c r="O327" s="19"/>
      <c r="P327" s="19"/>
      <c r="Q327" s="19"/>
      <c r="R327" s="19"/>
      <c r="T327" s="19"/>
      <c r="U327" s="19"/>
      <c r="V327" s="19"/>
      <c r="W327" s="19"/>
      <c r="X327" s="19"/>
      <c r="Y327" s="19"/>
    </row>
    <row r="328" spans="1:25" ht="12" customHeight="1">
      <c r="A328" s="219" t="n" cm="1">
        <f t="array" ref="A328">IFERROR(INDEX('03.Muestra'!$B$8:$B$42,SMALL(IF("Página Web"='03.Muestra'!$D$8:$D$42,ROW('03.Muestra'!$B$8:$B$42)-MIN(ROW('03.Muestra'!$D$8:$D$42))+1,""),ROW()-322)),"")</f>
        <v>1.0</v>
      </c>
      <c r="B328" s="114" t="str" cm="1">
        <f t="array" ref="B328">IFERROR(INDEX('03.Muestra'!$C$8:$C$42,SMALL(IF("Página Web"='03.Muestra'!$D$8:$D$42,ROW('03.Muestra'!$C$8:$C$42)-MIN(ROW('03.Muestra'!$D$8:$D$42))+1,""),ROW()-322)),"")</f>
        <v>Home - PortCastelló</v>
      </c>
      <c r="C328" s="114" t="str" cm="1">
        <f t="array" ref="C328">IFERROR(INDEX('03.Muestra'!$F$8:$F$42,SMALL(IF("Página Web"='03.Muestra'!$D$8:$D$42,ROW('03.Muestra'!$F$8:$F$42)-MIN(ROW('03.Muestra'!$D$8:$D$42))+1,""),ROW()-322)),"")</f>
        <v>https://www.portcastello.com/</v>
      </c>
      <c r="D328" s="130" t="str">
        <f t="shared" si="17"/>
        <v>N/T</v>
      </c>
      <c r="E328" s="107" t="str">
        <f t="shared" si="16"/>
        <v/>
      </c>
      <c r="G328" s="19"/>
      <c r="H328" s="19"/>
      <c r="I328" s="19"/>
      <c r="J328" s="19"/>
      <c r="K328" s="228"/>
      <c r="L328" s="19"/>
      <c r="M328" s="19"/>
      <c r="N328" s="19"/>
      <c r="O328" s="19"/>
      <c r="P328" s="19"/>
      <c r="Q328" s="19"/>
      <c r="R328" s="19"/>
      <c r="T328" s="19"/>
      <c r="U328" s="19"/>
      <c r="V328" s="19"/>
      <c r="W328" s="19"/>
      <c r="X328" s="19"/>
      <c r="Y328" s="19"/>
    </row>
    <row r="329" spans="1:25" ht="12" customHeight="1">
      <c r="A329" s="219" t="n" cm="1">
        <f t="array" ref="A329">IFERROR(INDEX('03.Muestra'!$B$8:$B$42,SMALL(IF("Página Web"='03.Muestra'!$D$8:$D$42,ROW('03.Muestra'!$B$8:$B$42)-MIN(ROW('03.Muestra'!$D$8:$D$42))+1,""),ROW()-322)),"")</f>
        <v>1.0</v>
      </c>
      <c r="B329" s="114" t="str" cm="1">
        <f t="array" ref="B329">IFERROR(INDEX('03.Muestra'!$C$8:$C$42,SMALL(IF("Página Web"='03.Muestra'!$D$8:$D$42,ROW('03.Muestra'!$C$8:$C$42)-MIN(ROW('03.Muestra'!$D$8:$D$42))+1,""),ROW()-322)),"")</f>
        <v>Home - PortCastelló</v>
      </c>
      <c r="C329" s="114" t="str" cm="1">
        <f t="array" ref="C329">IFERROR(INDEX('03.Muestra'!$F$8:$F$42,SMALL(IF("Página Web"='03.Muestra'!$D$8:$D$42,ROW('03.Muestra'!$F$8:$F$42)-MIN(ROW('03.Muestra'!$D$8:$D$42))+1,""),ROW()-322)),"")</f>
        <v>https://www.portcastello.com/</v>
      </c>
      <c r="D329" s="130" t="str">
        <f t="shared" si="17"/>
        <v>N/T</v>
      </c>
      <c r="E329" s="107" t="str">
        <f t="shared" si="16"/>
        <v/>
      </c>
      <c r="F329" s="19"/>
      <c r="G329" s="19"/>
      <c r="H329" s="19"/>
      <c r="I329" s="19"/>
      <c r="J329" s="19"/>
      <c r="K329" s="228"/>
      <c r="L329" s="19"/>
      <c r="M329" s="19"/>
      <c r="N329" s="19"/>
      <c r="O329" s="19"/>
      <c r="P329" s="19"/>
      <c r="Q329" s="19"/>
      <c r="R329" s="19"/>
      <c r="S329" s="19"/>
      <c r="T329" s="19"/>
      <c r="U329" s="19"/>
      <c r="V329" s="19"/>
      <c r="W329" s="19"/>
      <c r="X329" s="19"/>
      <c r="Y329" s="19"/>
    </row>
    <row r="330" spans="1:25" ht="12" customHeight="1">
      <c r="A330" s="219" t="n" cm="1">
        <f t="array" ref="A330">IFERROR(INDEX('03.Muestra'!$B$8:$B$42,SMALL(IF("Página Web"='03.Muestra'!$D$8:$D$42,ROW('03.Muestra'!$B$8:$B$42)-MIN(ROW('03.Muestra'!$D$8:$D$42))+1,""),ROW()-322)),"")</f>
        <v>1.0</v>
      </c>
      <c r="B330" s="114" t="str" cm="1">
        <f t="array" ref="B330">IFERROR(INDEX('03.Muestra'!$C$8:$C$42,SMALL(IF("Página Web"='03.Muestra'!$D$8:$D$42,ROW('03.Muestra'!$C$8:$C$42)-MIN(ROW('03.Muestra'!$D$8:$D$42))+1,""),ROW()-322)),"")</f>
        <v>Home - PortCastelló</v>
      </c>
      <c r="C330" s="114" t="str" cm="1">
        <f t="array" ref="C330">IFERROR(INDEX('03.Muestra'!$F$8:$F$42,SMALL(IF("Página Web"='03.Muestra'!$D$8:$D$42,ROW('03.Muestra'!$F$8:$F$42)-MIN(ROW('03.Muestra'!$D$8:$D$42))+1,""),ROW()-322)),"")</f>
        <v>https://www.portcastello.com/</v>
      </c>
      <c r="D330" s="130" t="str">
        <f t="shared" si="17"/>
        <v>N/T</v>
      </c>
      <c r="E330" s="107" t="str">
        <f t="shared" si="16"/>
        <v/>
      </c>
      <c r="F330" s="19"/>
      <c r="G330" s="19"/>
      <c r="H330" s="19"/>
      <c r="I330" s="19"/>
      <c r="J330" s="19"/>
      <c r="K330" s="228"/>
      <c r="L330" s="19"/>
      <c r="M330" s="19"/>
      <c r="N330" s="19"/>
      <c r="O330" s="19"/>
      <c r="P330" s="19"/>
      <c r="Q330" s="19"/>
      <c r="R330" s="19"/>
      <c r="S330" s="19"/>
      <c r="T330" s="19"/>
      <c r="U330" s="19"/>
      <c r="V330" s="19"/>
      <c r="W330" s="19"/>
      <c r="X330" s="19"/>
      <c r="Y330" s="19"/>
    </row>
    <row r="331" spans="1:25" ht="12" customHeight="1">
      <c r="A331" s="219" t="n" cm="1">
        <f t="array" ref="A331">IFERROR(INDEX('03.Muestra'!$B$8:$B$42,SMALL(IF("Página Web"='03.Muestra'!$D$8:$D$42,ROW('03.Muestra'!$B$8:$B$42)-MIN(ROW('03.Muestra'!$D$8:$D$42))+1,""),ROW()-322)),"")</f>
        <v>1.0</v>
      </c>
      <c r="B331" s="114" t="str" cm="1">
        <f t="array" ref="B331">IFERROR(INDEX('03.Muestra'!$C$8:$C$42,SMALL(IF("Página Web"='03.Muestra'!$D$8:$D$42,ROW('03.Muestra'!$C$8:$C$42)-MIN(ROW('03.Muestra'!$D$8:$D$42))+1,""),ROW()-322)),"")</f>
        <v>Home - PortCastelló</v>
      </c>
      <c r="C331" s="114" t="str" cm="1">
        <f t="array" ref="C331">IFERROR(INDEX('03.Muestra'!$F$8:$F$42,SMALL(IF("Página Web"='03.Muestra'!$D$8:$D$42,ROW('03.Muestra'!$F$8:$F$42)-MIN(ROW('03.Muestra'!$D$8:$D$42))+1,""),ROW()-322)),"")</f>
        <v>https://www.portcastello.com/</v>
      </c>
      <c r="D331" s="130" t="str">
        <f t="shared" si="17"/>
        <v>N/T</v>
      </c>
      <c r="E331" s="107" t="str">
        <f t="shared" si="16"/>
        <v/>
      </c>
      <c r="F331" s="19"/>
      <c r="G331" s="19"/>
      <c r="H331" s="19"/>
      <c r="I331" s="19"/>
      <c r="J331" s="19"/>
      <c r="K331" s="228"/>
      <c r="L331" s="19"/>
      <c r="M331" s="19"/>
      <c r="N331" s="19"/>
      <c r="O331" s="19"/>
      <c r="P331" s="19"/>
      <c r="Q331" s="19"/>
      <c r="R331" s="19"/>
      <c r="S331" s="19"/>
      <c r="T331" s="19"/>
      <c r="U331" s="19"/>
      <c r="V331" s="19"/>
      <c r="W331" s="19"/>
      <c r="X331" s="19"/>
      <c r="Y331" s="19"/>
    </row>
    <row r="332" spans="1:25" ht="12" customHeight="1">
      <c r="A332" s="219" t="n" cm="1">
        <f t="array" ref="A332">IFERROR(INDEX('03.Muestra'!$B$8:$B$42,SMALL(IF("Página Web"='03.Muestra'!$D$8:$D$42,ROW('03.Muestra'!$B$8:$B$42)-MIN(ROW('03.Muestra'!$D$8:$D$42))+1,""),ROW()-322)),"")</f>
        <v>1.0</v>
      </c>
      <c r="B332" s="114" t="str" cm="1">
        <f t="array" ref="B332">IFERROR(INDEX('03.Muestra'!$C$8:$C$42,SMALL(IF("Página Web"='03.Muestra'!$D$8:$D$42,ROW('03.Muestra'!$C$8:$C$42)-MIN(ROW('03.Muestra'!$D$8:$D$42))+1,""),ROW()-322)),"")</f>
        <v>Home - PortCastelló</v>
      </c>
      <c r="C332" s="114" t="str" cm="1">
        <f t="array" ref="C332">IFERROR(INDEX('03.Muestra'!$F$8:$F$42,SMALL(IF("Página Web"='03.Muestra'!$D$8:$D$42,ROW('03.Muestra'!$F$8:$F$42)-MIN(ROW('03.Muestra'!$D$8:$D$42))+1,""),ROW()-322)),"")</f>
        <v>https://www.portcastello.com/</v>
      </c>
      <c r="D332" s="130" t="str">
        <f t="shared" si="17"/>
        <v>N/T</v>
      </c>
      <c r="E332" s="107" t="str">
        <f t="shared" si="16"/>
        <v/>
      </c>
      <c r="F332" s="19"/>
      <c r="G332" s="19"/>
      <c r="H332" s="19"/>
      <c r="I332" s="19"/>
      <c r="J332" s="19"/>
      <c r="K332" s="228"/>
      <c r="L332" s="19"/>
      <c r="M332" s="19"/>
      <c r="N332" s="19"/>
      <c r="O332" s="19"/>
      <c r="P332" s="19"/>
      <c r="Q332" s="19"/>
      <c r="R332" s="19"/>
      <c r="S332" s="19"/>
      <c r="T332" s="19"/>
      <c r="U332" s="19"/>
      <c r="V332" s="19"/>
      <c r="W332" s="19"/>
      <c r="X332" s="19"/>
      <c r="Y332" s="19"/>
    </row>
    <row r="333" spans="1:25" ht="12" customHeight="1">
      <c r="A333" s="219" t="n" cm="1">
        <f t="array" ref="A333">IFERROR(INDEX('03.Muestra'!$B$8:$B$42,SMALL(IF("Página Web"='03.Muestra'!$D$8:$D$42,ROW('03.Muestra'!$B$8:$B$42)-MIN(ROW('03.Muestra'!$D$8:$D$42))+1,""),ROW()-322)),"")</f>
        <v>1.0</v>
      </c>
      <c r="B333" s="114" t="str" cm="1">
        <f t="array" ref="B333">IFERROR(INDEX('03.Muestra'!$C$8:$C$42,SMALL(IF("Página Web"='03.Muestra'!$D$8:$D$42,ROW('03.Muestra'!$C$8:$C$42)-MIN(ROW('03.Muestra'!$D$8:$D$42))+1,""),ROW()-322)),"")</f>
        <v>Home - PortCastelló</v>
      </c>
      <c r="C333" s="114" t="str" cm="1">
        <f t="array" ref="C333">IFERROR(INDEX('03.Muestra'!$F$8:$F$42,SMALL(IF("Página Web"='03.Muestra'!$D$8:$D$42,ROW('03.Muestra'!$F$8:$F$42)-MIN(ROW('03.Muestra'!$D$8:$D$42))+1,""),ROW()-322)),"")</f>
        <v>https://www.portcastello.com/</v>
      </c>
      <c r="D333" s="130" t="str">
        <f t="shared" si="17"/>
        <v>N/T</v>
      </c>
      <c r="E333" s="107" t="str">
        <f t="shared" si="16"/>
        <v/>
      </c>
      <c r="F333" s="19"/>
      <c r="G333" s="19"/>
      <c r="H333" s="19"/>
      <c r="I333" s="19"/>
      <c r="J333" s="19"/>
      <c r="K333" s="228"/>
      <c r="L333" s="19"/>
      <c r="M333" s="19"/>
      <c r="N333" s="19"/>
      <c r="O333" s="19"/>
      <c r="P333" s="19"/>
      <c r="Q333" s="19"/>
      <c r="R333" s="19"/>
      <c r="S333" s="19"/>
      <c r="T333" s="19"/>
      <c r="U333" s="19"/>
      <c r="V333" s="19"/>
      <c r="W333" s="19"/>
      <c r="X333" s="19"/>
      <c r="Y333" s="19"/>
    </row>
    <row r="334" spans="1:25" ht="12" customHeight="1">
      <c r="A334" s="219" t="n" cm="1">
        <f t="array" ref="A334">IFERROR(INDEX('03.Muestra'!$B$8:$B$42,SMALL(IF("Página Web"='03.Muestra'!$D$8:$D$42,ROW('03.Muestra'!$B$8:$B$42)-MIN(ROW('03.Muestra'!$D$8:$D$42))+1,""),ROW()-322)),"")</f>
        <v>1.0</v>
      </c>
      <c r="B334" s="114" t="str" cm="1">
        <f t="array" ref="B334">IFERROR(INDEX('03.Muestra'!$C$8:$C$42,SMALL(IF("Página Web"='03.Muestra'!$D$8:$D$42,ROW('03.Muestra'!$C$8:$C$42)-MIN(ROW('03.Muestra'!$D$8:$D$42))+1,""),ROW()-322)),"")</f>
        <v>Home - PortCastelló</v>
      </c>
      <c r="C334" s="114" t="str" cm="1">
        <f t="array" ref="C334">IFERROR(INDEX('03.Muestra'!$F$8:$F$42,SMALL(IF("Página Web"='03.Muestra'!$D$8:$D$42,ROW('03.Muestra'!$F$8:$F$42)-MIN(ROW('03.Muestra'!$D$8:$D$42))+1,""),ROW()-322)),"")</f>
        <v>https://www.portcastello.com/</v>
      </c>
      <c r="D334" s="130" t="str">
        <f t="shared" si="17"/>
        <v>N/T</v>
      </c>
      <c r="E334" s="107" t="str">
        <f t="shared" si="16"/>
        <v/>
      </c>
      <c r="F334" s="19"/>
      <c r="G334" s="19"/>
      <c r="H334" s="19"/>
      <c r="I334" s="19"/>
      <c r="J334" s="19"/>
      <c r="K334" s="228"/>
      <c r="L334" s="19"/>
      <c r="M334" s="19"/>
      <c r="N334" s="19"/>
      <c r="O334" s="19"/>
      <c r="P334" s="19"/>
      <c r="Q334" s="19"/>
      <c r="R334" s="19"/>
      <c r="S334" s="19"/>
      <c r="T334" s="19"/>
      <c r="U334" s="19"/>
      <c r="V334" s="19"/>
      <c r="W334" s="19"/>
      <c r="X334" s="19"/>
      <c r="Y334" s="19"/>
    </row>
    <row r="335" spans="1:25" ht="12" customHeight="1">
      <c r="A335" s="219" t="n" cm="1">
        <f t="array" ref="A335">IFERROR(INDEX('03.Muestra'!$B$8:$B$42,SMALL(IF("Página Web"='03.Muestra'!$D$8:$D$42,ROW('03.Muestra'!$B$8:$B$42)-MIN(ROW('03.Muestra'!$D$8:$D$42))+1,""),ROW()-322)),"")</f>
        <v>1.0</v>
      </c>
      <c r="B335" s="114" t="str" cm="1">
        <f t="array" ref="B335">IFERROR(INDEX('03.Muestra'!$C$8:$C$42,SMALL(IF("Página Web"='03.Muestra'!$D$8:$D$42,ROW('03.Muestra'!$C$8:$C$42)-MIN(ROW('03.Muestra'!$D$8:$D$42))+1,""),ROW()-322)),"")</f>
        <v>Home - PortCastelló</v>
      </c>
      <c r="C335" s="114" t="str" cm="1">
        <f t="array" ref="C335">IFERROR(INDEX('03.Muestra'!$F$8:$F$42,SMALL(IF("Página Web"='03.Muestra'!$D$8:$D$42,ROW('03.Muestra'!$F$8:$F$42)-MIN(ROW('03.Muestra'!$D$8:$D$42))+1,""),ROW()-322)),"")</f>
        <v>https://www.portcastello.com/</v>
      </c>
      <c r="D335" s="130" t="str">
        <f t="shared" si="17"/>
        <v>N/T</v>
      </c>
      <c r="E335" s="107" t="str">
        <f t="shared" si="16"/>
        <v/>
      </c>
      <c r="F335" s="19"/>
      <c r="G335" s="19"/>
      <c r="H335" s="19"/>
      <c r="I335" s="19"/>
      <c r="J335" s="19"/>
      <c r="K335" s="228"/>
      <c r="L335" s="19"/>
      <c r="M335" s="19"/>
      <c r="N335" s="19"/>
      <c r="O335" s="19"/>
      <c r="P335" s="19"/>
      <c r="Q335" s="19"/>
      <c r="R335" s="19"/>
      <c r="S335" s="19"/>
      <c r="T335" s="19"/>
      <c r="U335" s="19"/>
      <c r="V335" s="19"/>
      <c r="W335" s="19"/>
      <c r="X335" s="19"/>
      <c r="Y335" s="19"/>
    </row>
    <row r="336" spans="1:25" ht="12" customHeight="1">
      <c r="A336" s="219" t="n" cm="1">
        <f t="array" ref="A336">IFERROR(INDEX('03.Muestra'!$B$8:$B$42,SMALL(IF("Página Web"='03.Muestra'!$D$8:$D$42,ROW('03.Muestra'!$B$8:$B$42)-MIN(ROW('03.Muestra'!$D$8:$D$42))+1,""),ROW()-322)),"")</f>
        <v>1.0</v>
      </c>
      <c r="B336" s="114" t="str" cm="1">
        <f t="array" ref="B336">IFERROR(INDEX('03.Muestra'!$C$8:$C$42,SMALL(IF("Página Web"='03.Muestra'!$D$8:$D$42,ROW('03.Muestra'!$C$8:$C$42)-MIN(ROW('03.Muestra'!$D$8:$D$42))+1,""),ROW()-322)),"")</f>
        <v>Home - PortCastelló</v>
      </c>
      <c r="C336" s="114" t="str" cm="1">
        <f t="array" ref="C336">IFERROR(INDEX('03.Muestra'!$F$8:$F$42,SMALL(IF("Página Web"='03.Muestra'!$D$8:$D$42,ROW('03.Muestra'!$F$8:$F$42)-MIN(ROW('03.Muestra'!$D$8:$D$42))+1,""),ROW()-322)),"")</f>
        <v>https://www.portcastello.com/</v>
      </c>
      <c r="D336" s="130" t="str">
        <f t="shared" si="17"/>
        <v>N/T</v>
      </c>
      <c r="E336" s="107" t="str">
        <f t="shared" si="16"/>
        <v/>
      </c>
      <c r="F336" s="19"/>
      <c r="G336" s="19"/>
      <c r="H336" s="19"/>
      <c r="I336" s="19"/>
      <c r="J336" s="19"/>
      <c r="K336" s="228"/>
      <c r="L336" s="19"/>
      <c r="M336" s="19"/>
      <c r="N336" s="19"/>
      <c r="O336" s="19"/>
      <c r="P336" s="19"/>
      <c r="Q336" s="19"/>
      <c r="R336" s="19"/>
      <c r="S336" s="19"/>
      <c r="T336" s="19"/>
      <c r="U336" s="19"/>
      <c r="V336" s="19"/>
      <c r="W336" s="19"/>
      <c r="X336" s="19"/>
      <c r="Y336" s="19"/>
    </row>
    <row r="337" spans="1:25" ht="12" customHeight="1">
      <c r="A337" s="219" t="n" cm="1">
        <f t="array" ref="A337">IFERROR(INDEX('03.Muestra'!$B$8:$B$42,SMALL(IF("Página Web"='03.Muestra'!$D$8:$D$42,ROW('03.Muestra'!$B$8:$B$42)-MIN(ROW('03.Muestra'!$D$8:$D$42))+1,""),ROW()-322)),"")</f>
        <v>1.0</v>
      </c>
      <c r="B337" s="114" t="str" cm="1">
        <f t="array" ref="B337">IFERROR(INDEX('03.Muestra'!$C$8:$C$42,SMALL(IF("Página Web"='03.Muestra'!$D$8:$D$42,ROW('03.Muestra'!$C$8:$C$42)-MIN(ROW('03.Muestra'!$D$8:$D$42))+1,""),ROW()-322)),"")</f>
        <v>Home - PortCastelló</v>
      </c>
      <c r="C337" s="114" t="str" cm="1">
        <f t="array" ref="C337">IFERROR(INDEX('03.Muestra'!$F$8:$F$42,SMALL(IF("Página Web"='03.Muestra'!$D$8:$D$42,ROW('03.Muestra'!$F$8:$F$42)-MIN(ROW('03.Muestra'!$D$8:$D$42))+1,""),ROW()-322)),"")</f>
        <v>https://www.portcastello.com/</v>
      </c>
      <c r="D337" s="130" t="str">
        <f t="shared" si="17"/>
        <v>N/T</v>
      </c>
      <c r="E337" s="107" t="str">
        <f t="shared" si="16"/>
        <v/>
      </c>
      <c r="F337" s="19"/>
      <c r="G337" s="19"/>
      <c r="H337" s="19"/>
      <c r="I337" s="19"/>
      <c r="J337" s="19"/>
      <c r="K337" s="228"/>
      <c r="L337" s="19"/>
      <c r="M337" s="19"/>
      <c r="N337" s="19"/>
      <c r="O337" s="19"/>
      <c r="P337" s="19"/>
      <c r="Q337" s="19"/>
      <c r="R337" s="19"/>
      <c r="S337" s="19"/>
      <c r="T337" s="19"/>
      <c r="U337" s="19"/>
      <c r="V337" s="19"/>
      <c r="W337" s="19"/>
      <c r="X337" s="19"/>
      <c r="Y337" s="19"/>
    </row>
    <row r="338" spans="1:25" ht="12" customHeight="1">
      <c r="A338" s="219" t="n" cm="1">
        <f t="array" ref="A338">IFERROR(INDEX('03.Muestra'!$B$8:$B$42,SMALL(IF("Página Web"='03.Muestra'!$D$8:$D$42,ROW('03.Muestra'!$B$8:$B$42)-MIN(ROW('03.Muestra'!$D$8:$D$42))+1,""),ROW()-322)),"")</f>
        <v>1.0</v>
      </c>
      <c r="B338" s="114" t="str" cm="1">
        <f t="array" ref="B338">IFERROR(INDEX('03.Muestra'!$C$8:$C$42,SMALL(IF("Página Web"='03.Muestra'!$D$8:$D$42,ROW('03.Muestra'!$C$8:$C$42)-MIN(ROW('03.Muestra'!$D$8:$D$42))+1,""),ROW()-322)),"")</f>
        <v>Home - PortCastelló</v>
      </c>
      <c r="C338" s="114" t="str" cm="1">
        <f t="array" ref="C338">IFERROR(INDEX('03.Muestra'!$F$8:$F$42,SMALL(IF("Página Web"='03.Muestra'!$D$8:$D$42,ROW('03.Muestra'!$F$8:$F$42)-MIN(ROW('03.Muestra'!$D$8:$D$42))+1,""),ROW()-322)),"")</f>
        <v>https://www.portcastello.com/</v>
      </c>
      <c r="D338" s="130" t="str">
        <f t="shared" si="17"/>
        <v>N/T</v>
      </c>
      <c r="E338" s="107" t="str">
        <f t="shared" si="16"/>
        <v/>
      </c>
      <c r="F338" s="19"/>
      <c r="G338" s="19"/>
      <c r="H338" s="19"/>
      <c r="I338" s="19"/>
      <c r="J338" s="19"/>
      <c r="K338" s="228"/>
      <c r="L338" s="19"/>
      <c r="M338" s="19"/>
      <c r="N338" s="19"/>
      <c r="O338" s="19"/>
      <c r="P338" s="19"/>
      <c r="Q338" s="19"/>
      <c r="R338" s="19"/>
      <c r="S338" s="19"/>
      <c r="T338" s="19"/>
      <c r="U338" s="19"/>
      <c r="V338" s="19"/>
      <c r="W338" s="19"/>
      <c r="X338" s="19"/>
      <c r="Y338" s="19"/>
    </row>
    <row r="339" spans="1:25" ht="12" customHeight="1">
      <c r="A339" s="219" t="n" cm="1">
        <f t="array" ref="A339">IFERROR(INDEX('03.Muestra'!$B$8:$B$42,SMALL(IF("Página Web"='03.Muestra'!$D$8:$D$42,ROW('03.Muestra'!$B$8:$B$42)-MIN(ROW('03.Muestra'!$D$8:$D$42))+1,""),ROW()-322)),"")</f>
        <v>1.0</v>
      </c>
      <c r="B339" s="114" t="str" cm="1">
        <f t="array" ref="B339">IFERROR(INDEX('03.Muestra'!$C$8:$C$42,SMALL(IF("Página Web"='03.Muestra'!$D$8:$D$42,ROW('03.Muestra'!$C$8:$C$42)-MIN(ROW('03.Muestra'!$D$8:$D$42))+1,""),ROW()-322)),"")</f>
        <v>Home - PortCastelló</v>
      </c>
      <c r="C339" s="114" t="str" cm="1">
        <f t="array" ref="C339">IFERROR(INDEX('03.Muestra'!$F$8:$F$42,SMALL(IF("Página Web"='03.Muestra'!$D$8:$D$42,ROW('03.Muestra'!$F$8:$F$42)-MIN(ROW('03.Muestra'!$D$8:$D$42))+1,""),ROW()-322)),"")</f>
        <v>https://www.portcastello.com/</v>
      </c>
      <c r="D339" s="130" t="str">
        <f t="shared" si="17"/>
        <v>N/T</v>
      </c>
      <c r="E339" s="107" t="str">
        <f t="shared" si="16"/>
        <v/>
      </c>
      <c r="F339" s="19"/>
      <c r="G339" s="19"/>
      <c r="H339" s="19"/>
      <c r="I339" s="19"/>
      <c r="J339" s="19"/>
      <c r="K339" s="228"/>
      <c r="L339" s="19"/>
      <c r="M339" s="19"/>
      <c r="N339" s="19"/>
      <c r="O339" s="19"/>
      <c r="P339" s="19"/>
      <c r="Q339" s="19"/>
      <c r="R339" s="19"/>
      <c r="S339" s="19"/>
      <c r="T339" s="19"/>
      <c r="U339" s="19"/>
      <c r="V339" s="19"/>
      <c r="W339" s="19"/>
      <c r="X339" s="19"/>
      <c r="Y339" s="19"/>
    </row>
    <row r="340" spans="1:25" ht="12" customHeight="1">
      <c r="A340" s="219" t="n" cm="1">
        <f t="array" ref="A340">IFERROR(INDEX('03.Muestra'!$B$8:$B$42,SMALL(IF("Página Web"='03.Muestra'!$D$8:$D$42,ROW('03.Muestra'!$B$8:$B$42)-MIN(ROW('03.Muestra'!$D$8:$D$42))+1,""),ROW()-322)),"")</f>
        <v>1.0</v>
      </c>
      <c r="B340" s="114" t="str" cm="1">
        <f t="array" ref="B340">IFERROR(INDEX('03.Muestra'!$C$8:$C$42,SMALL(IF("Página Web"='03.Muestra'!$D$8:$D$42,ROW('03.Muestra'!$C$8:$C$42)-MIN(ROW('03.Muestra'!$D$8:$D$42))+1,""),ROW()-322)),"")</f>
        <v>Home - PortCastelló</v>
      </c>
      <c r="C340" s="114" t="str" cm="1">
        <f t="array" ref="C340">IFERROR(INDEX('03.Muestra'!$F$8:$F$42,SMALL(IF("Página Web"='03.Muestra'!$D$8:$D$42,ROW('03.Muestra'!$F$8:$F$42)-MIN(ROW('03.Muestra'!$D$8:$D$42))+1,""),ROW()-322)),"")</f>
        <v>https://www.portcastello.com/</v>
      </c>
      <c r="D340" s="130" t="str">
        <f t="shared" si="17"/>
        <v>N/T</v>
      </c>
      <c r="E340" s="107" t="str">
        <f t="shared" si="16"/>
        <v/>
      </c>
      <c r="F340" s="19"/>
      <c r="G340" s="19"/>
      <c r="H340" s="19"/>
      <c r="I340" s="19"/>
      <c r="J340" s="19"/>
      <c r="K340" s="228"/>
      <c r="L340" s="19"/>
      <c r="M340" s="19"/>
      <c r="N340" s="19"/>
      <c r="O340" s="19"/>
      <c r="P340" s="19"/>
      <c r="Q340" s="19"/>
      <c r="R340" s="19"/>
      <c r="S340" s="19"/>
      <c r="T340" s="19"/>
      <c r="U340" s="19"/>
      <c r="V340" s="19"/>
      <c r="W340" s="19"/>
      <c r="X340" s="19"/>
      <c r="Y340" s="19"/>
    </row>
    <row r="341" spans="1:25" ht="12" customHeight="1">
      <c r="A341" s="219" t="n" cm="1">
        <f t="array" ref="A341">IFERROR(INDEX('03.Muestra'!$B$8:$B$42,SMALL(IF("Página Web"='03.Muestra'!$D$8:$D$42,ROW('03.Muestra'!$B$8:$B$42)-MIN(ROW('03.Muestra'!$D$8:$D$42))+1,""),ROW()-322)),"")</f>
        <v>1.0</v>
      </c>
      <c r="B341" s="114" t="str" cm="1">
        <f t="array" ref="B341">IFERROR(INDEX('03.Muestra'!$C$8:$C$42,SMALL(IF("Página Web"='03.Muestra'!$D$8:$D$42,ROW('03.Muestra'!$C$8:$C$42)-MIN(ROW('03.Muestra'!$D$8:$D$42))+1,""),ROW()-322)),"")</f>
        <v>Home - PortCastelló</v>
      </c>
      <c r="C341" s="114" t="str" cm="1">
        <f t="array" ref="C341">IFERROR(INDEX('03.Muestra'!$F$8:$F$42,SMALL(IF("Página Web"='03.Muestra'!$D$8:$D$42,ROW('03.Muestra'!$F$8:$F$42)-MIN(ROW('03.Muestra'!$D$8:$D$42))+1,""),ROW()-322)),"")</f>
        <v>https://www.portcastello.com/</v>
      </c>
      <c r="D341" s="130" t="str">
        <f t="shared" si="17"/>
        <v>N/T</v>
      </c>
      <c r="E341" s="107" t="str">
        <f t="shared" si="16"/>
        <v/>
      </c>
      <c r="F341" s="19"/>
      <c r="G341" s="19"/>
      <c r="H341" s="19"/>
      <c r="I341" s="19"/>
      <c r="J341" s="19"/>
      <c r="K341" s="228"/>
      <c r="L341" s="19"/>
      <c r="M341" s="19"/>
      <c r="N341" s="19"/>
      <c r="O341" s="19"/>
      <c r="P341" s="19"/>
      <c r="Q341" s="19"/>
      <c r="R341" s="19"/>
      <c r="S341" s="19"/>
      <c r="T341" s="19"/>
      <c r="U341" s="19"/>
      <c r="V341" s="19"/>
      <c r="W341" s="19"/>
      <c r="X341" s="19"/>
      <c r="Y341" s="19"/>
    </row>
    <row r="342" spans="1:25" ht="12" customHeight="1">
      <c r="A342" s="219" t="n" cm="1">
        <f t="array" ref="A342">IFERROR(INDEX('03.Muestra'!$B$8:$B$42,SMALL(IF("Página Web"='03.Muestra'!$D$8:$D$42,ROW('03.Muestra'!$B$8:$B$42)-MIN(ROW('03.Muestra'!$D$8:$D$42))+1,""),ROW()-322)),"")</f>
        <v>1.0</v>
      </c>
      <c r="B342" s="114" t="str" cm="1">
        <f t="array" ref="B342">IFERROR(INDEX('03.Muestra'!$C$8:$C$42,SMALL(IF("Página Web"='03.Muestra'!$D$8:$D$42,ROW('03.Muestra'!$C$8:$C$42)-MIN(ROW('03.Muestra'!$D$8:$D$42))+1,""),ROW()-322)),"")</f>
        <v>Home - PortCastelló</v>
      </c>
      <c r="C342" s="114" t="str" cm="1">
        <f t="array" ref="C342">IFERROR(INDEX('03.Muestra'!$F$8:$F$42,SMALL(IF("Página Web"='03.Muestra'!$D$8:$D$42,ROW('03.Muestra'!$F$8:$F$42)-MIN(ROW('03.Muestra'!$D$8:$D$42))+1,""),ROW()-322)),"")</f>
        <v>https://www.portcastello.com/</v>
      </c>
      <c r="D342" s="130" t="str">
        <f t="shared" si="17"/>
        <v>N/T</v>
      </c>
      <c r="E342" s="107" t="str">
        <f t="shared" si="16"/>
        <v/>
      </c>
      <c r="F342" s="19"/>
      <c r="G342" s="19"/>
      <c r="H342" s="19"/>
      <c r="I342" s="19"/>
      <c r="J342" s="19"/>
      <c r="K342" s="228"/>
      <c r="L342" s="19"/>
      <c r="M342" s="19"/>
      <c r="N342" s="19"/>
      <c r="O342" s="19"/>
      <c r="P342" s="19"/>
      <c r="Q342" s="19"/>
      <c r="R342" s="19"/>
      <c r="S342" s="19"/>
      <c r="T342" s="19"/>
      <c r="U342" s="19"/>
      <c r="V342" s="19"/>
      <c r="W342" s="19"/>
      <c r="X342" s="19"/>
      <c r="Y342" s="19"/>
    </row>
    <row r="343" spans="1:25" ht="12" customHeight="1">
      <c r="A343" s="219" t="n" cm="1">
        <f t="array" ref="A343">IFERROR(INDEX('03.Muestra'!$B$8:$B$42,SMALL(IF("Página Web"='03.Muestra'!$D$8:$D$42,ROW('03.Muestra'!$B$8:$B$42)-MIN(ROW('03.Muestra'!$D$8:$D$42))+1,""),ROW()-322)),"")</f>
        <v>1.0</v>
      </c>
      <c r="B343" s="114" t="str" cm="1">
        <f t="array" ref="B343">IFERROR(INDEX('03.Muestra'!$C$8:$C$42,SMALL(IF("Página Web"='03.Muestra'!$D$8:$D$42,ROW('03.Muestra'!$C$8:$C$42)-MIN(ROW('03.Muestra'!$D$8:$D$42))+1,""),ROW()-322)),"")</f>
        <v>Home - PortCastelló</v>
      </c>
      <c r="C343" s="114" t="str" cm="1">
        <f t="array" ref="C343">IFERROR(INDEX('03.Muestra'!$F$8:$F$42,SMALL(IF("Página Web"='03.Muestra'!$D$8:$D$42,ROW('03.Muestra'!$F$8:$F$42)-MIN(ROW('03.Muestra'!$D$8:$D$42))+1,""),ROW()-322)),"")</f>
        <v>https://www.portcastello.com/</v>
      </c>
      <c r="D343" s="130" t="str">
        <f t="shared" si="17"/>
        <v>N/T</v>
      </c>
      <c r="E343" s="107" t="str">
        <f t="shared" si="16"/>
        <v/>
      </c>
      <c r="F343" s="19"/>
      <c r="G343" s="19"/>
      <c r="H343" s="19"/>
      <c r="I343" s="19"/>
      <c r="J343" s="19"/>
      <c r="K343" s="228"/>
      <c r="L343" s="19"/>
      <c r="M343" s="19"/>
      <c r="N343" s="19"/>
      <c r="O343" s="19"/>
      <c r="P343" s="19"/>
      <c r="Q343" s="19"/>
      <c r="R343" s="19"/>
      <c r="S343" s="19"/>
      <c r="T343" s="19"/>
      <c r="U343" s="19"/>
      <c r="V343" s="19"/>
      <c r="W343" s="19"/>
      <c r="X343" s="19"/>
      <c r="Y343" s="19"/>
    </row>
    <row r="344" spans="1:25" ht="12" customHeight="1">
      <c r="A344" s="219" t="n" cm="1">
        <f t="array" ref="A344">IFERROR(INDEX('03.Muestra'!$B$8:$B$42,SMALL(IF("Página Web"='03.Muestra'!$D$8:$D$42,ROW('03.Muestra'!$B$8:$B$42)-MIN(ROW('03.Muestra'!$D$8:$D$42))+1,""),ROW()-322)),"")</f>
        <v>1.0</v>
      </c>
      <c r="B344" s="114" t="str" cm="1">
        <f t="array" ref="B344">IFERROR(INDEX('03.Muestra'!$C$8:$C$42,SMALL(IF("Página Web"='03.Muestra'!$D$8:$D$42,ROW('03.Muestra'!$C$8:$C$42)-MIN(ROW('03.Muestra'!$D$8:$D$42))+1,""),ROW()-322)),"")</f>
        <v>Home - PortCastelló</v>
      </c>
      <c r="C344" s="114" t="str" cm="1">
        <f t="array" ref="C344">IFERROR(INDEX('03.Muestra'!$F$8:$F$42,SMALL(IF("Página Web"='03.Muestra'!$D$8:$D$42,ROW('03.Muestra'!$F$8:$F$42)-MIN(ROW('03.Muestra'!$D$8:$D$42))+1,""),ROW()-322)),"")</f>
        <v>https://www.portcastello.com/</v>
      </c>
      <c r="D344" s="130" t="str">
        <f t="shared" si="17"/>
        <v>N/T</v>
      </c>
      <c r="E344" s="107" t="str">
        <f t="shared" si="16"/>
        <v/>
      </c>
      <c r="F344" s="19"/>
      <c r="G344" s="19"/>
      <c r="H344" s="19"/>
      <c r="I344" s="19"/>
      <c r="J344" s="19"/>
      <c r="K344" s="228"/>
      <c r="L344" s="19"/>
      <c r="M344" s="19"/>
      <c r="N344" s="19"/>
      <c r="O344" s="19"/>
      <c r="P344" s="19"/>
      <c r="Q344" s="19"/>
      <c r="R344" s="19"/>
      <c r="S344" s="19"/>
      <c r="T344" s="19"/>
      <c r="U344" s="19"/>
      <c r="V344" s="19"/>
      <c r="W344" s="19"/>
      <c r="X344" s="19"/>
      <c r="Y344" s="19"/>
    </row>
    <row r="345" spans="1:25" ht="12" customHeight="1">
      <c r="A345" s="219" t="n" cm="1">
        <f t="array" ref="A345">IFERROR(INDEX('03.Muestra'!$B$8:$B$42,SMALL(IF("Página Web"='03.Muestra'!$D$8:$D$42,ROW('03.Muestra'!$B$8:$B$42)-MIN(ROW('03.Muestra'!$D$8:$D$42))+1,""),ROW()-322)),"")</f>
        <v>1.0</v>
      </c>
      <c r="B345" s="114" t="str" cm="1">
        <f t="array" ref="B345">IFERROR(INDEX('03.Muestra'!$C$8:$C$42,SMALL(IF("Página Web"='03.Muestra'!$D$8:$D$42,ROW('03.Muestra'!$C$8:$C$42)-MIN(ROW('03.Muestra'!$D$8:$D$42))+1,""),ROW()-322)),"")</f>
        <v>Home - PortCastelló</v>
      </c>
      <c r="C345" s="114" t="str" cm="1">
        <f t="array" ref="C345">IFERROR(INDEX('03.Muestra'!$F$8:$F$42,SMALL(IF("Página Web"='03.Muestra'!$D$8:$D$42,ROW('03.Muestra'!$F$8:$F$42)-MIN(ROW('03.Muestra'!$D$8:$D$42))+1,""),ROW()-322)),"")</f>
        <v>https://www.portcastello.com/</v>
      </c>
      <c r="D345" s="130" t="str">
        <f t="shared" si="17"/>
        <v>N/T</v>
      </c>
      <c r="E345" s="107" t="str">
        <f t="shared" si="16"/>
        <v/>
      </c>
      <c r="F345" s="19"/>
      <c r="G345" s="19"/>
      <c r="H345" s="19"/>
      <c r="I345" s="19"/>
      <c r="J345" s="19"/>
      <c r="K345" s="228"/>
      <c r="L345" s="19"/>
      <c r="M345" s="19"/>
      <c r="N345" s="19"/>
      <c r="O345" s="19"/>
      <c r="P345" s="19"/>
      <c r="Q345" s="19"/>
      <c r="R345" s="19"/>
      <c r="S345" s="19"/>
      <c r="T345" s="19"/>
      <c r="U345" s="19"/>
      <c r="V345" s="19"/>
      <c r="W345" s="19"/>
      <c r="X345" s="19"/>
      <c r="Y345" s="19"/>
    </row>
    <row r="346" spans="1:25" ht="12" customHeight="1">
      <c r="A346" s="219" t="n" cm="1">
        <f t="array" ref="A346">IFERROR(INDEX('03.Muestra'!$B$8:$B$42,SMALL(IF("Página Web"='03.Muestra'!$D$8:$D$42,ROW('03.Muestra'!$B$8:$B$42)-MIN(ROW('03.Muestra'!$D$8:$D$42))+1,""),ROW()-322)),"")</f>
        <v>1.0</v>
      </c>
      <c r="B346" s="114" t="str" cm="1">
        <f t="array" ref="B346">IFERROR(INDEX('03.Muestra'!$C$8:$C$42,SMALL(IF("Página Web"='03.Muestra'!$D$8:$D$42,ROW('03.Muestra'!$C$8:$C$42)-MIN(ROW('03.Muestra'!$D$8:$D$42))+1,""),ROW()-322)),"")</f>
        <v>Home - PortCastelló</v>
      </c>
      <c r="C346" s="114" t="str" cm="1">
        <f t="array" ref="C346">IFERROR(INDEX('03.Muestra'!$F$8:$F$42,SMALL(IF("Página Web"='03.Muestra'!$D$8:$D$42,ROW('03.Muestra'!$F$8:$F$42)-MIN(ROW('03.Muestra'!$D$8:$D$42))+1,""),ROW()-322)),"")</f>
        <v>https://www.portcastello.com/</v>
      </c>
      <c r="D346" s="130" t="str">
        <f t="shared" si="17"/>
        <v>N/T</v>
      </c>
      <c r="E346" s="107" t="str">
        <f t="shared" si="16"/>
        <v/>
      </c>
      <c r="F346" s="19"/>
      <c r="G346" s="19"/>
      <c r="H346" s="19"/>
      <c r="I346" s="19"/>
      <c r="J346" s="19"/>
      <c r="K346" s="228"/>
      <c r="L346" s="19"/>
      <c r="M346" s="19"/>
      <c r="N346" s="19"/>
      <c r="O346" s="19"/>
      <c r="P346" s="19"/>
      <c r="Q346" s="19"/>
      <c r="R346" s="19"/>
      <c r="S346" s="19"/>
      <c r="T346" s="19"/>
      <c r="U346" s="19"/>
      <c r="V346" s="19"/>
      <c r="W346" s="19"/>
      <c r="X346" s="19"/>
      <c r="Y346" s="19"/>
    </row>
    <row r="347" spans="1:25" ht="12" customHeight="1">
      <c r="A347" s="219" t="n" cm="1">
        <f t="array" ref="A347">IFERROR(INDEX('03.Muestra'!$B$8:$B$42,SMALL(IF("Página Web"='03.Muestra'!$D$8:$D$42,ROW('03.Muestra'!$B$8:$B$42)-MIN(ROW('03.Muestra'!$D$8:$D$42))+1,""),ROW()-322)),"")</f>
        <v>1.0</v>
      </c>
      <c r="B347" s="114" t="str" cm="1">
        <f t="array" ref="B347">IFERROR(INDEX('03.Muestra'!$C$8:$C$42,SMALL(IF("Página Web"='03.Muestra'!$D$8:$D$42,ROW('03.Muestra'!$C$8:$C$42)-MIN(ROW('03.Muestra'!$D$8:$D$42))+1,""),ROW()-322)),"")</f>
        <v>Home - PortCastelló</v>
      </c>
      <c r="C347" s="114" t="str" cm="1">
        <f t="array" ref="C347">IFERROR(INDEX('03.Muestra'!$F$8:$F$42,SMALL(IF("Página Web"='03.Muestra'!$D$8:$D$42,ROW('03.Muestra'!$F$8:$F$42)-MIN(ROW('03.Muestra'!$D$8:$D$42))+1,""),ROW()-322)),"")</f>
        <v>https://www.portcastello.com/</v>
      </c>
      <c r="D347" s="130" t="str">
        <f t="shared" si="17"/>
        <v>N/T</v>
      </c>
      <c r="E347" s="107" t="str">
        <f t="shared" si="16"/>
        <v/>
      </c>
      <c r="F347" s="19"/>
      <c r="G347" s="19"/>
      <c r="H347" s="19"/>
      <c r="I347" s="19"/>
      <c r="J347" s="19"/>
      <c r="K347" s="228"/>
      <c r="L347" s="19"/>
      <c r="M347" s="19"/>
      <c r="N347" s="19"/>
      <c r="O347" s="19"/>
      <c r="P347" s="19"/>
      <c r="Q347" s="19"/>
      <c r="R347" s="19"/>
      <c r="S347" s="19"/>
      <c r="T347" s="19"/>
      <c r="U347" s="19"/>
      <c r="V347" s="19"/>
      <c r="W347" s="19"/>
      <c r="X347" s="19"/>
      <c r="Y347" s="19"/>
    </row>
    <row r="348" spans="1:25" ht="12" customHeight="1">
      <c r="A348" s="219" t="n" cm="1">
        <f t="array" ref="A348">IFERROR(INDEX('03.Muestra'!$B$8:$B$42,SMALL(IF("Página Web"='03.Muestra'!$D$8:$D$42,ROW('03.Muestra'!$B$8:$B$42)-MIN(ROW('03.Muestra'!$D$8:$D$42))+1,""),ROW()-322)),"")</f>
        <v>1.0</v>
      </c>
      <c r="B348" s="114" t="str" cm="1">
        <f t="array" ref="B348">IFERROR(INDEX('03.Muestra'!$C$8:$C$42,SMALL(IF("Página Web"='03.Muestra'!$D$8:$D$42,ROW('03.Muestra'!$C$8:$C$42)-MIN(ROW('03.Muestra'!$D$8:$D$42))+1,""),ROW()-322)),"")</f>
        <v>Home - PortCastelló</v>
      </c>
      <c r="C348" s="114" t="str" cm="1">
        <f t="array" ref="C348">IFERROR(INDEX('03.Muestra'!$F$8:$F$42,SMALL(IF("Página Web"='03.Muestra'!$D$8:$D$42,ROW('03.Muestra'!$F$8:$F$42)-MIN(ROW('03.Muestra'!$D$8:$D$42))+1,""),ROW()-322)),"")</f>
        <v>https://www.portcastello.com/</v>
      </c>
      <c r="D348" s="130" t="str">
        <f t="shared" si="17"/>
        <v>N/T</v>
      </c>
      <c r="E348" s="107" t="str">
        <f t="shared" si="16"/>
        <v/>
      </c>
      <c r="F348" s="19"/>
      <c r="G348" s="19"/>
      <c r="H348" s="19"/>
      <c r="I348" s="19"/>
      <c r="J348" s="19"/>
      <c r="K348" s="228"/>
      <c r="L348" s="19"/>
      <c r="M348" s="19"/>
      <c r="N348" s="19"/>
      <c r="O348" s="19"/>
      <c r="P348" s="19"/>
      <c r="Q348" s="19"/>
      <c r="R348" s="19"/>
      <c r="S348" s="19"/>
      <c r="T348" s="19"/>
      <c r="U348" s="19"/>
      <c r="V348" s="19"/>
      <c r="W348" s="19"/>
      <c r="X348" s="19"/>
      <c r="Y348" s="19"/>
    </row>
    <row r="349" spans="1:25" ht="12" customHeight="1">
      <c r="A349" s="219" t="n" cm="1">
        <f t="array" ref="A349">IFERROR(INDEX('03.Muestra'!$B$8:$B$42,SMALL(IF("Página Web"='03.Muestra'!$D$8:$D$42,ROW('03.Muestra'!$B$8:$B$42)-MIN(ROW('03.Muestra'!$D$8:$D$42))+1,""),ROW()-322)),"")</f>
        <v>1.0</v>
      </c>
      <c r="B349" s="114" t="str" cm="1">
        <f t="array" ref="B349">IFERROR(INDEX('03.Muestra'!$C$8:$C$42,SMALL(IF("Página Web"='03.Muestra'!$D$8:$D$42,ROW('03.Muestra'!$C$8:$C$42)-MIN(ROW('03.Muestra'!$D$8:$D$42))+1,""),ROW()-322)),"")</f>
        <v>Home - PortCastelló</v>
      </c>
      <c r="C349" s="114" t="str" cm="1">
        <f t="array" ref="C349">IFERROR(INDEX('03.Muestra'!$F$8:$F$42,SMALL(IF("Página Web"='03.Muestra'!$D$8:$D$42,ROW('03.Muestra'!$F$8:$F$42)-MIN(ROW('03.Muestra'!$D$8:$D$42))+1,""),ROW()-322)),"")</f>
        <v>https://www.portcastello.com/</v>
      </c>
      <c r="D349" s="130" t="str">
        <f t="shared" si="17"/>
        <v>N/T</v>
      </c>
      <c r="E349" s="107" t="str">
        <f t="shared" si="16"/>
        <v/>
      </c>
      <c r="F349" s="19"/>
      <c r="G349" s="19"/>
      <c r="H349" s="19"/>
      <c r="I349" s="19"/>
      <c r="J349" s="19"/>
      <c r="K349" s="228"/>
      <c r="L349" s="19"/>
      <c r="M349" s="19"/>
      <c r="N349" s="19"/>
      <c r="O349" s="19"/>
      <c r="P349" s="19"/>
      <c r="Q349" s="19"/>
      <c r="R349" s="19"/>
      <c r="S349" s="19"/>
      <c r="T349" s="19"/>
      <c r="U349" s="19"/>
      <c r="V349" s="19"/>
      <c r="W349" s="19"/>
      <c r="X349" s="19"/>
      <c r="Y349" s="19"/>
    </row>
    <row r="350" spans="1:25" ht="12" customHeight="1">
      <c r="A350" s="219" t="n" cm="1">
        <f t="array" ref="A350">IFERROR(INDEX('03.Muestra'!$B$8:$B$42,SMALL(IF("Página Web"='03.Muestra'!$D$8:$D$42,ROW('03.Muestra'!$B$8:$B$42)-MIN(ROW('03.Muestra'!$D$8:$D$42))+1,""),ROW()-322)),"")</f>
        <v>1.0</v>
      </c>
      <c r="B350" s="114" t="str" cm="1">
        <f t="array" ref="B350">IFERROR(INDEX('03.Muestra'!$C$8:$C$42,SMALL(IF("Página Web"='03.Muestra'!$D$8:$D$42,ROW('03.Muestra'!$C$8:$C$42)-MIN(ROW('03.Muestra'!$D$8:$D$42))+1,""),ROW()-322)),"")</f>
        <v>Home - PortCastelló</v>
      </c>
      <c r="C350" s="114" t="str" cm="1">
        <f t="array" ref="C350">IFERROR(INDEX('03.Muestra'!$F$8:$F$42,SMALL(IF("Página Web"='03.Muestra'!$D$8:$D$42,ROW('03.Muestra'!$F$8:$F$42)-MIN(ROW('03.Muestra'!$D$8:$D$42))+1,""),ROW()-322)),"")</f>
        <v>https://www.portcastello.com/</v>
      </c>
      <c r="D350" s="130" t="str">
        <f t="shared" si="17"/>
        <v>N/T</v>
      </c>
      <c r="E350" s="107" t="str">
        <f t="shared" si="16"/>
        <v/>
      </c>
      <c r="G350" s="19"/>
      <c r="H350" s="19"/>
      <c r="I350" s="19"/>
      <c r="J350" s="19"/>
      <c r="K350" s="228"/>
      <c r="L350" s="19"/>
      <c r="M350" s="19"/>
      <c r="N350" s="19"/>
      <c r="O350" s="19"/>
      <c r="P350" s="19"/>
      <c r="Q350" s="19"/>
      <c r="R350" s="19"/>
      <c r="S350" s="19"/>
      <c r="T350" s="19"/>
      <c r="U350" s="19"/>
      <c r="V350" s="19"/>
      <c r="W350" s="19"/>
      <c r="X350" s="19"/>
      <c r="Y350" s="19"/>
    </row>
    <row r="351" spans="1:25" ht="12" customHeight="1">
      <c r="A351" s="219" t="n" cm="1">
        <f t="array" ref="A351">IFERROR(INDEX('03.Muestra'!$B$8:$B$42,SMALL(IF("Página Web"='03.Muestra'!$D$8:$D$42,ROW('03.Muestra'!$B$8:$B$42)-MIN(ROW('03.Muestra'!$D$8:$D$42))+1,""),ROW()-322)),"")</f>
        <v>1.0</v>
      </c>
      <c r="B351" s="114" t="str" cm="1">
        <f t="array" ref="B351">IFERROR(INDEX('03.Muestra'!$C$8:$C$42,SMALL(IF("Página Web"='03.Muestra'!$D$8:$D$42,ROW('03.Muestra'!$C$8:$C$42)-MIN(ROW('03.Muestra'!$D$8:$D$42))+1,""),ROW()-322)),"")</f>
        <v>Home - PortCastelló</v>
      </c>
      <c r="C351" s="114" t="str" cm="1">
        <f t="array" ref="C351">IFERROR(INDEX('03.Muestra'!$F$8:$F$42,SMALL(IF("Página Web"='03.Muestra'!$D$8:$D$42,ROW('03.Muestra'!$F$8:$F$42)-MIN(ROW('03.Muestra'!$D$8:$D$42))+1,""),ROW()-322)),"")</f>
        <v>https://www.portcastello.com/</v>
      </c>
      <c r="D351" s="130" t="str">
        <f t="shared" si="17"/>
        <v>N/T</v>
      </c>
      <c r="E351" s="107" t="str">
        <f t="shared" si="16"/>
        <v/>
      </c>
      <c r="G351" s="19"/>
      <c r="H351" s="19"/>
      <c r="I351" s="19"/>
      <c r="J351" s="19"/>
      <c r="K351" s="228"/>
      <c r="L351" s="19"/>
      <c r="M351" s="19"/>
      <c r="N351" s="19"/>
      <c r="O351" s="19"/>
      <c r="P351" s="19"/>
      <c r="Q351" s="19"/>
      <c r="R351" s="19"/>
      <c r="S351" s="19"/>
      <c r="T351" s="19"/>
      <c r="U351" s="19"/>
      <c r="V351" s="19"/>
      <c r="W351" s="19"/>
      <c r="X351" s="19"/>
      <c r="Y351" s="19"/>
    </row>
    <row r="352" spans="1:25" ht="12" customHeight="1">
      <c r="A352" s="219" t="n" cm="1">
        <f t="array" ref="A352">IFERROR(INDEX('03.Muestra'!$B$8:$B$42,SMALL(IF("Página Web"='03.Muestra'!$D$8:$D$42,ROW('03.Muestra'!$B$8:$B$42)-MIN(ROW('03.Muestra'!$D$8:$D$42))+1,""),ROW()-322)),"")</f>
        <v>1.0</v>
      </c>
      <c r="B352" s="114" t="str" cm="1">
        <f t="array" ref="B352">IFERROR(INDEX('03.Muestra'!$C$8:$C$42,SMALL(IF("Página Web"='03.Muestra'!$D$8:$D$42,ROW('03.Muestra'!$C$8:$C$42)-MIN(ROW('03.Muestra'!$D$8:$D$42))+1,""),ROW()-322)),"")</f>
        <v>Home - PortCastelló</v>
      </c>
      <c r="C352" s="114" t="str" cm="1">
        <f t="array" ref="C352">IFERROR(INDEX('03.Muestra'!$F$8:$F$42,SMALL(IF("Página Web"='03.Muestra'!$D$8:$D$42,ROW('03.Muestra'!$F$8:$F$42)-MIN(ROW('03.Muestra'!$D$8:$D$42))+1,""),ROW()-322)),"")</f>
        <v>https://www.portcastello.com/</v>
      </c>
      <c r="D352" s="130" t="str">
        <f t="shared" si="17"/>
        <v>N/T</v>
      </c>
      <c r="E352" s="107" t="str">
        <f t="shared" si="16"/>
        <v/>
      </c>
      <c r="G352" s="19"/>
      <c r="H352" s="19"/>
      <c r="I352" s="19"/>
      <c r="J352" s="19"/>
      <c r="K352" s="228"/>
      <c r="L352" s="19"/>
      <c r="M352" s="19"/>
      <c r="N352" s="19"/>
      <c r="O352" s="19"/>
      <c r="P352" s="19"/>
      <c r="Q352" s="19"/>
      <c r="R352" s="19"/>
      <c r="S352" s="19"/>
      <c r="T352" s="19"/>
      <c r="U352" s="19"/>
      <c r="V352" s="19"/>
      <c r="W352" s="19"/>
      <c r="X352" s="19"/>
      <c r="Y352" s="19"/>
    </row>
    <row r="353" spans="1:25" ht="12" customHeight="1">
      <c r="A353" s="219" t="n" cm="1">
        <f t="array" ref="A353">IFERROR(INDEX('03.Muestra'!$B$8:$B$42,SMALL(IF("Página Web"='03.Muestra'!$D$8:$D$42,ROW('03.Muestra'!$B$8:$B$42)-MIN(ROW('03.Muestra'!$D$8:$D$42))+1,""),ROW()-322)),"")</f>
        <v>1.0</v>
      </c>
      <c r="B353" s="114" t="str" cm="1">
        <f t="array" ref="B353">IFERROR(INDEX('03.Muestra'!$C$8:$C$42,SMALL(IF("Página Web"='03.Muestra'!$D$8:$D$42,ROW('03.Muestra'!$C$8:$C$42)-MIN(ROW('03.Muestra'!$D$8:$D$42))+1,""),ROW()-322)),"")</f>
        <v>Home - PortCastelló</v>
      </c>
      <c r="C353" s="114" t="str" cm="1">
        <f t="array" ref="C353">IFERROR(INDEX('03.Muestra'!$F$8:$F$42,SMALL(IF("Página Web"='03.Muestra'!$D$8:$D$42,ROW('03.Muestra'!$F$8:$F$42)-MIN(ROW('03.Muestra'!$D$8:$D$42))+1,""),ROW()-322)),"")</f>
        <v>https://www.portcastello.com/</v>
      </c>
      <c r="D353" s="130" t="str">
        <f t="shared" si="17"/>
        <v>N/T</v>
      </c>
      <c r="E353" s="107" t="str">
        <f t="shared" si="16"/>
        <v/>
      </c>
      <c r="G353" s="19"/>
      <c r="H353" s="19"/>
      <c r="I353" s="19"/>
      <c r="J353" s="19"/>
      <c r="K353" s="228"/>
      <c r="L353" s="19"/>
      <c r="M353" s="19"/>
      <c r="N353" s="19"/>
      <c r="O353" s="19"/>
      <c r="P353" s="19"/>
      <c r="Q353" s="19"/>
      <c r="R353" s="19"/>
      <c r="S353" s="19"/>
      <c r="T353" s="19"/>
      <c r="U353" s="19"/>
      <c r="V353" s="19"/>
      <c r="W353" s="19"/>
      <c r="X353" s="19"/>
      <c r="Y353" s="19"/>
    </row>
    <row r="354" spans="1:25" ht="12" customHeight="1">
      <c r="A354" s="219" t="n" cm="1">
        <f t="array" ref="A354">IFERROR(INDEX('03.Muestra'!$B$8:$B$42,SMALL(IF("Página Web"='03.Muestra'!$D$8:$D$42,ROW('03.Muestra'!$B$8:$B$42)-MIN(ROW('03.Muestra'!$D$8:$D$42))+1,""),ROW()-322)),"")</f>
        <v>1.0</v>
      </c>
      <c r="B354" s="114" t="str" cm="1">
        <f t="array" ref="B354">IFERROR(INDEX('03.Muestra'!$C$8:$C$42,SMALL(IF("Página Web"='03.Muestra'!$D$8:$D$42,ROW('03.Muestra'!$C$8:$C$42)-MIN(ROW('03.Muestra'!$D$8:$D$42))+1,""),ROW()-322)),"")</f>
        <v>Home - PortCastelló</v>
      </c>
      <c r="C354" s="114" t="str" cm="1">
        <f t="array" ref="C354">IFERROR(INDEX('03.Muestra'!$F$8:$F$42,SMALL(IF("Página Web"='03.Muestra'!$D$8:$D$42,ROW('03.Muestra'!$F$8:$F$42)-MIN(ROW('03.Muestra'!$D$8:$D$42))+1,""),ROW()-322)),"")</f>
        <v>https://www.portcastello.com/</v>
      </c>
      <c r="D354" s="130" t="str">
        <f t="shared" si="17"/>
        <v>N/T</v>
      </c>
      <c r="E354" s="107" t="str">
        <f t="shared" si="16"/>
        <v/>
      </c>
      <c r="G354" s="19"/>
      <c r="H354" s="19"/>
      <c r="I354" s="19"/>
      <c r="J354" s="19"/>
      <c r="K354" s="228"/>
      <c r="L354" s="19"/>
      <c r="M354" s="19"/>
      <c r="N354" s="19"/>
      <c r="O354" s="19"/>
      <c r="P354" s="19"/>
      <c r="Q354" s="19"/>
      <c r="R354" s="19"/>
      <c r="S354" s="19"/>
      <c r="T354" s="19"/>
      <c r="U354" s="19"/>
      <c r="V354" s="19"/>
      <c r="W354" s="19"/>
      <c r="X354" s="19"/>
      <c r="Y354" s="19"/>
    </row>
    <row r="355" spans="1:25" ht="12" customHeight="1">
      <c r="A355" s="219" t="n" cm="1">
        <f t="array" ref="A355">IFERROR(INDEX('03.Muestra'!$B$8:$B$42,SMALL(IF("Página Web"='03.Muestra'!$D$8:$D$42,ROW('03.Muestra'!$B$8:$B$42)-MIN(ROW('03.Muestra'!$D$8:$D$42))+1,""),ROW()-322)),"")</f>
        <v>1.0</v>
      </c>
      <c r="B355" s="114" t="str" cm="1">
        <f t="array" ref="B355">IFERROR(INDEX('03.Muestra'!$C$8:$C$42,SMALL(IF("Página Web"='03.Muestra'!$D$8:$D$42,ROW('03.Muestra'!$C$8:$C$42)-MIN(ROW('03.Muestra'!$D$8:$D$42))+1,""),ROW()-322)),"")</f>
        <v>Home - PortCastelló</v>
      </c>
      <c r="C355" s="114" t="str" cm="1">
        <f t="array" ref="C355">IFERROR(INDEX('03.Muestra'!$F$8:$F$42,SMALL(IF("Página Web"='03.Muestra'!$D$8:$D$42,ROW('03.Muestra'!$F$8:$F$42)-MIN(ROW('03.Muestra'!$D$8:$D$42))+1,""),ROW()-322)),"")</f>
        <v>https://www.portcastello.com/</v>
      </c>
      <c r="D355" s="130" t="str">
        <f t="shared" si="17"/>
        <v>N/T</v>
      </c>
      <c r="E355" s="107" t="str">
        <f t="shared" si="16"/>
        <v/>
      </c>
      <c r="G355" s="19"/>
      <c r="H355" s="19"/>
      <c r="I355" s="19"/>
      <c r="J355" s="19"/>
      <c r="K355" s="228"/>
      <c r="L355" s="19"/>
      <c r="M355" s="19"/>
      <c r="N355" s="19"/>
      <c r="O355" s="19"/>
      <c r="P355" s="19"/>
      <c r="Q355" s="19"/>
      <c r="R355" s="19"/>
      <c r="S355" s="19"/>
      <c r="T355" s="19"/>
      <c r="U355" s="19"/>
      <c r="V355" s="19"/>
      <c r="W355" s="19"/>
      <c r="X355" s="19"/>
      <c r="Y355" s="19"/>
    </row>
    <row r="356" spans="1:25" ht="12" customHeight="1">
      <c r="A356" s="219" t="str" cm="1">
        <f t="array" ref="A356">IFERROR(INDEX('03.Muestra'!$B$8:$B$42,SMALL(IF("Página Web"='03.Muestra'!$D$8:$D$42,ROW('03.Muestra'!$B$8:$B$42)-MIN(ROW('03.Muestra'!$D$8:$D$42))+1,""),ROW()-322)),"")</f>
        <v/>
      </c>
      <c r="B356" s="114" t="str" cm="1">
        <f t="array" ref="B356">IFERROR(INDEX('03.Muestra'!$C$8:$C$42,SMALL(IF("Página Web"='03.Muestra'!$D$8:$D$42,ROW('03.Muestra'!$C$8:$C$42)-MIN(ROW('03.Muestra'!$D$8:$D$42))+1,""),ROW()-322)),"")</f>
        <v/>
      </c>
      <c r="C356" s="114" t="str" cm="1">
        <f t="array" ref="C356">IFERROR(INDEX('03.Muestra'!$F$8:$F$42,SMALL(IF("Página Web"='03.Muestra'!$D$8:$D$42,ROW('03.Muestra'!$F$8:$F$42)-MIN(ROW('03.Muestra'!$D$8:$D$42))+1,""),ROW()-322)),"")</f>
        <v/>
      </c>
      <c r="D356" s="130" t="str">
        <f t="shared" si="17"/>
        <v/>
      </c>
      <c r="E356" s="107" t="str">
        <f t="shared" si="16"/>
        <v/>
      </c>
      <c r="F356" s="124"/>
      <c r="G356" s="19"/>
      <c r="H356" s="19"/>
      <c r="I356" s="19"/>
      <c r="J356" s="19"/>
      <c r="K356" s="228"/>
      <c r="L356" s="19"/>
      <c r="M356" s="19"/>
      <c r="N356" s="19"/>
      <c r="O356" s="19"/>
      <c r="P356" s="19"/>
      <c r="Q356" s="19"/>
      <c r="R356" s="19"/>
      <c r="S356" s="19"/>
      <c r="T356" s="19"/>
      <c r="U356" s="19"/>
      <c r="V356" s="19"/>
      <c r="W356" s="19"/>
      <c r="X356" s="19"/>
      <c r="Y356" s="19"/>
    </row>
    <row r="357" spans="1:25" ht="12" customHeight="1">
      <c r="A357" s="219" t="str" cm="1">
        <f t="array" ref="A357">IFERROR(INDEX('03.Muestra'!$B$8:$B$42,SMALL(IF("Página Web"='03.Muestra'!$D$8:$D$42,ROW('03.Muestra'!$B$8:$B$42)-MIN(ROW('03.Muestra'!$D$8:$D$42))+1,""),ROW()-322)),"")</f>
        <v/>
      </c>
      <c r="B357" s="114" t="str" cm="1">
        <f t="array" ref="B357">IFERROR(INDEX('03.Muestra'!$C$8:$C$42,SMALL(IF("Página Web"='03.Muestra'!$D$8:$D$42,ROW('03.Muestra'!$C$8:$C$42)-MIN(ROW('03.Muestra'!$D$8:$D$42))+1,""),ROW()-322)),"")</f>
        <v/>
      </c>
      <c r="C357" s="114" t="str" cm="1">
        <f t="array" ref="C357">IFERROR(INDEX('03.Muestra'!$F$8:$F$42,SMALL(IF("Página Web"='03.Muestra'!$D$8:$D$42,ROW('03.Muestra'!$F$8:$F$42)-MIN(ROW('03.Muestra'!$D$8:$D$42))+1,""),ROW()-322)),"")</f>
        <v/>
      </c>
      <c r="D357" s="130" t="str">
        <f t="shared" si="17"/>
        <v/>
      </c>
      <c r="E357" s="107" t="str">
        <f t="shared" si="16"/>
        <v/>
      </c>
      <c r="F357" s="19"/>
      <c r="G357" s="19"/>
      <c r="H357" s="19"/>
      <c r="I357" s="19"/>
      <c r="J357" s="19"/>
      <c r="K357" s="228"/>
      <c r="L357" s="19"/>
      <c r="M357" s="19"/>
      <c r="N357" s="19"/>
      <c r="O357" s="19"/>
      <c r="P357" s="19"/>
      <c r="Q357" s="19"/>
      <c r="R357" s="19"/>
      <c r="S357" s="19"/>
      <c r="T357" s="19"/>
      <c r="U357" s="19"/>
      <c r="V357" s="19"/>
      <c r="W357" s="19"/>
      <c r="X357" s="19"/>
      <c r="Y357" s="19"/>
    </row>
    <row r="358" spans="1:25" ht="12" customHeight="1">
      <c r="B358" s="19"/>
      <c r="C358" s="19"/>
      <c r="D358" s="107"/>
      <c r="E358" s="107"/>
      <c r="F358" s="19"/>
      <c r="G358" s="19"/>
      <c r="H358" s="19"/>
      <c r="I358" s="19"/>
      <c r="J358" s="19"/>
      <c r="K358" s="228"/>
      <c r="L358" s="19"/>
      <c r="M358" s="19"/>
      <c r="N358" s="19"/>
      <c r="O358" s="19"/>
      <c r="P358" s="19"/>
      <c r="Q358" s="19"/>
      <c r="R358" s="19"/>
      <c r="S358" s="19"/>
      <c r="T358" s="19"/>
      <c r="U358" s="19"/>
      <c r="V358" s="19"/>
      <c r="W358" s="19"/>
      <c r="X358" s="19"/>
      <c r="Y358" s="19"/>
    </row>
    <row r="359" spans="1:25" ht="12" customHeight="1">
      <c r="B359" s="19"/>
      <c r="C359" s="19"/>
      <c r="D359" s="107"/>
      <c r="E359" s="107"/>
      <c r="F359" s="19"/>
      <c r="G359" s="19"/>
      <c r="H359" s="19"/>
      <c r="I359" s="19"/>
      <c r="J359" s="19"/>
      <c r="K359" s="228"/>
      <c r="L359" s="19"/>
      <c r="M359" s="19"/>
      <c r="N359" s="19"/>
      <c r="O359" s="19"/>
      <c r="P359" s="19"/>
      <c r="Q359" s="19"/>
      <c r="R359" s="19"/>
      <c r="S359" s="19"/>
      <c r="T359" s="19"/>
      <c r="U359" s="19"/>
      <c r="V359" s="19"/>
      <c r="W359" s="19"/>
      <c r="X359" s="19"/>
      <c r="Y359" s="19"/>
    </row>
    <row r="360" spans="1:25" ht="32.25" customHeight="1">
      <c r="A360" s="218" t="s">
        <v>268</v>
      </c>
      <c r="B360" s="24" t="s">
        <v>90</v>
      </c>
      <c r="C360" s="25" t="s">
        <v>367</v>
      </c>
      <c r="D360" s="26" t="s">
        <v>32</v>
      </c>
      <c r="E360" s="123"/>
      <c r="K360" s="228"/>
      <c r="L360" s="19"/>
      <c r="M360" s="19"/>
      <c r="N360" s="19"/>
      <c r="O360" s="19"/>
      <c r="P360" s="19"/>
      <c r="Q360" s="19"/>
      <c r="R360" s="19"/>
      <c r="T360" s="19"/>
      <c r="U360" s="19"/>
      <c r="V360" s="19"/>
      <c r="W360" s="19"/>
      <c r="X360" s="19"/>
      <c r="Y360" s="19"/>
    </row>
    <row r="361" spans="1:25" ht="12" customHeight="1">
      <c r="A361" s="219" t="n" cm="1">
        <f t="array" ref="A361">IFERROR(INDEX('03.Muestra'!$B$8:$B$42,SMALL(IF("Página Web"='03.Muestra'!$D$8:$D$42,ROW('03.Muestra'!$B$8:$B$42)-MIN(ROW('03.Muestra'!$D$8:$D$42))+1,""),ROW()-360)),"")</f>
        <v>1.0</v>
      </c>
      <c r="B361" s="114" t="str" cm="1">
        <f t="array" ref="B361">IFERROR(INDEX('03.Muestra'!$C$8:$C$42,SMALL(IF("Página Web"='03.Muestra'!$D$8:$D$42,ROW('03.Muestra'!$C$8:$C$42)-MIN(ROW('03.Muestra'!$D$8:$D$42))+1,""),ROW()-360)),"")</f>
        <v>Home - PortCastelló</v>
      </c>
      <c r="C361" s="114" t="str" cm="1">
        <f t="array" ref="C361">IFERROR(INDEX('03.Muestra'!$F$8:$F$42,SMALL(IF("Página Web"='03.Muestra'!$D$8:$D$42,ROW('03.Muestra'!$F$8:$F$42)-MIN(ROW('03.Muestra'!$D$8:$D$42))+1,""),ROW()-360)),"")</f>
        <v>https://www.portcastello.com/</v>
      </c>
      <c r="D361" s="130" t="str">
        <f>IF(AND(B361&lt;&gt;"",C361&lt;&gt;""),"N/T","")</f>
        <v>N/T</v>
      </c>
      <c r="E361" s="107" t="str">
        <f t="shared" ref="E361:E395" si="18">IF(D361&lt;&gt;"",IF(AND(B361&lt;&gt;"",C361&lt;&gt;""),"","ERR"),"")</f>
        <v/>
      </c>
      <c r="F361" s="115" t="s">
        <v>33</v>
      </c>
      <c r="G361" s="116" t="s">
        <v>37</v>
      </c>
      <c r="H361" s="117" t="s">
        <v>35</v>
      </c>
      <c r="I361" s="118" t="s">
        <v>28</v>
      </c>
      <c r="J361" s="119" t="s">
        <v>26</v>
      </c>
      <c r="K361" s="229" t="s">
        <v>474</v>
      </c>
      <c r="L361" s="19"/>
      <c r="M361" s="19"/>
      <c r="N361" s="19"/>
      <c r="O361" s="19"/>
      <c r="P361" s="19"/>
      <c r="Q361" s="19"/>
      <c r="R361" s="19"/>
      <c r="T361" s="19"/>
      <c r="U361" s="19"/>
      <c r="V361" s="19"/>
      <c r="W361" s="19"/>
      <c r="X361" s="19"/>
      <c r="Y361" s="19"/>
    </row>
    <row r="362" spans="1:25" ht="12" customHeight="1">
      <c r="A362" s="219" t="n" cm="1">
        <f t="array" ref="A362">IFERROR(INDEX('03.Muestra'!$B$8:$B$42,SMALL(IF("Página Web"='03.Muestra'!$D$8:$D$42,ROW('03.Muestra'!$B$8:$B$42)-MIN(ROW('03.Muestra'!$D$8:$D$42))+1,""),ROW()-360)),"")</f>
        <v>1.0</v>
      </c>
      <c r="B362" s="114" t="str" cm="1">
        <f t="array" ref="B362">IFERROR(INDEX('03.Muestra'!$C$8:$C$42,SMALL(IF("Página Web"='03.Muestra'!$D$8:$D$42,ROW('03.Muestra'!$C$8:$C$42)-MIN(ROW('03.Muestra'!$D$8:$D$42))+1,""),ROW()-360)),"")</f>
        <v>Home - PortCastelló</v>
      </c>
      <c r="C362" s="114" t="str" cm="1">
        <f t="array" ref="C362">IFERROR(INDEX('03.Muestra'!$F$8:$F$42,SMALL(IF("Página Web"='03.Muestra'!$D$8:$D$42,ROW('03.Muestra'!$F$8:$F$42)-MIN(ROW('03.Muestra'!$D$8:$D$42))+1,""),ROW()-360)),"")</f>
        <v>https://www.portcastello.com/</v>
      </c>
      <c r="D362" s="130" t="str">
        <f t="shared" ref="D362:D395" si="19">IF(AND(B362&lt;&gt;"",C362&lt;&gt;""),"N/T","")</f>
        <v>N/T</v>
      </c>
      <c r="E362" s="107" t="str">
        <f t="shared" si="18"/>
        <v/>
      </c>
      <c r="F362" s="120" t="n">
        <f ca="1">COUNTIF($D361:INDIRECT("$D" &amp;  SUM(ROW()-1,'03.Muestra'!$D$45)-1),F361)</f>
        <v>33.0</v>
      </c>
      <c r="G362" s="120" t="n">
        <f ca="1">COUNTIF($D361:INDIRECT("$D" &amp;  SUM(ROW()-1,'03.Muestra'!$D$45)-1),G361)</f>
        <v>0.0</v>
      </c>
      <c r="H362" s="120" t="n">
        <f ca="1">COUNTIF($D361:INDIRECT("$D" &amp;  SUM(ROW()-1,'03.Muestra'!$D$45)-1),H361)</f>
        <v>0.0</v>
      </c>
      <c r="I362" s="120" t="n">
        <f ca="1">COUNTIF($D361:INDIRECT("$D" &amp;  SUM(ROW()-1,'03.Muestra'!$D$45)-1),I361)</f>
        <v>0.0</v>
      </c>
      <c r="J362" s="120" t="n">
        <f ca="1">COUNTIF($D361:INDIRECT("$D" &amp;  SUM(ROW()-1,'03.Muestra'!$D$45)-1),J361)</f>
        <v>0.0</v>
      </c>
      <c r="K362" s="230" t="n">
        <f ca="1">IF(COUNTIF('03.Muestra'!$D$8:$D$42,"Página Web")=0,0,COUNTBLANK($D361:INDIRECT("$D" &amp;  SUM(ROW()-1,COUNTIF('03.Muestra'!$D$8:$D$42,"Página Web"))-1)))</f>
        <v>0.0</v>
      </c>
      <c r="L362" s="19"/>
      <c r="M362" s="19"/>
      <c r="N362" s="19"/>
      <c r="O362" s="19"/>
      <c r="P362" s="19"/>
      <c r="Q362" s="19"/>
      <c r="R362" s="19"/>
      <c r="T362" s="19"/>
      <c r="U362" s="19"/>
      <c r="V362" s="19"/>
      <c r="W362" s="19"/>
      <c r="X362" s="19"/>
      <c r="Y362" s="19"/>
    </row>
    <row r="363" spans="1:25" ht="12" customHeight="1">
      <c r="A363" s="219" t="n" cm="1">
        <f t="array" ref="A363">IFERROR(INDEX('03.Muestra'!$B$8:$B$42,SMALL(IF("Página Web"='03.Muestra'!$D$8:$D$42,ROW('03.Muestra'!$B$8:$B$42)-MIN(ROW('03.Muestra'!$D$8:$D$42))+1,""),ROW()-360)),"")</f>
        <v>1.0</v>
      </c>
      <c r="B363" s="114" t="str" cm="1">
        <f t="array" ref="B363">IFERROR(INDEX('03.Muestra'!$C$8:$C$42,SMALL(IF("Página Web"='03.Muestra'!$D$8:$D$42,ROW('03.Muestra'!$C$8:$C$42)-MIN(ROW('03.Muestra'!$D$8:$D$42))+1,""),ROW()-360)),"")</f>
        <v>Home - PortCastelló</v>
      </c>
      <c r="C363" s="114" t="str" cm="1">
        <f t="array" ref="C363">IFERROR(INDEX('03.Muestra'!$F$8:$F$42,SMALL(IF("Página Web"='03.Muestra'!$D$8:$D$42,ROW('03.Muestra'!$F$8:$F$42)-MIN(ROW('03.Muestra'!$D$8:$D$42))+1,""),ROW()-360)),"")</f>
        <v>https://www.portcastello.com/</v>
      </c>
      <c r="D363" s="130" t="str">
        <f t="shared" si="19"/>
        <v>N/T</v>
      </c>
      <c r="E363" s="107" t="str">
        <f t="shared" si="18"/>
        <v/>
      </c>
      <c r="G363" s="19"/>
      <c r="H363" s="19"/>
      <c r="I363" s="19"/>
      <c r="J363" s="19"/>
      <c r="K363" s="228"/>
      <c r="L363" s="19"/>
      <c r="M363" s="19"/>
      <c r="N363" s="19"/>
      <c r="O363" s="19"/>
      <c r="P363" s="19"/>
      <c r="Q363" s="19"/>
      <c r="R363" s="19"/>
      <c r="T363" s="19"/>
      <c r="U363" s="19"/>
      <c r="V363" s="19"/>
      <c r="W363" s="19"/>
      <c r="X363" s="19"/>
      <c r="Y363" s="19"/>
    </row>
    <row r="364" spans="1:25" ht="12" customHeight="1">
      <c r="A364" s="219" t="n" cm="1">
        <f t="array" ref="A364">IFERROR(INDEX('03.Muestra'!$B$8:$B$42,SMALL(IF("Página Web"='03.Muestra'!$D$8:$D$42,ROW('03.Muestra'!$B$8:$B$42)-MIN(ROW('03.Muestra'!$D$8:$D$42))+1,""),ROW()-360)),"")</f>
        <v>1.0</v>
      </c>
      <c r="B364" s="114" t="str" cm="1">
        <f t="array" ref="B364">IFERROR(INDEX('03.Muestra'!$C$8:$C$42,SMALL(IF("Página Web"='03.Muestra'!$D$8:$D$42,ROW('03.Muestra'!$C$8:$C$42)-MIN(ROW('03.Muestra'!$D$8:$D$42))+1,""),ROW()-360)),"")</f>
        <v>Home - PortCastelló</v>
      </c>
      <c r="C364" s="114" t="str" cm="1">
        <f t="array" ref="C364">IFERROR(INDEX('03.Muestra'!$F$8:$F$42,SMALL(IF("Página Web"='03.Muestra'!$D$8:$D$42,ROW('03.Muestra'!$F$8:$F$42)-MIN(ROW('03.Muestra'!$D$8:$D$42))+1,""),ROW()-360)),"")</f>
        <v>https://www.portcastello.com/</v>
      </c>
      <c r="D364" s="130" t="str">
        <f t="shared" si="19"/>
        <v>N/T</v>
      </c>
      <c r="E364" s="107" t="str">
        <f t="shared" si="18"/>
        <v/>
      </c>
      <c r="G364" s="19"/>
      <c r="H364" s="19"/>
      <c r="I364" s="19"/>
      <c r="J364" s="19"/>
      <c r="K364" s="228"/>
      <c r="L364" s="19"/>
      <c r="M364" s="19"/>
      <c r="N364" s="19"/>
      <c r="O364" s="19"/>
      <c r="P364" s="19"/>
      <c r="Q364" s="19"/>
      <c r="R364" s="19"/>
      <c r="T364" s="19"/>
      <c r="U364" s="19"/>
      <c r="V364" s="19"/>
      <c r="W364" s="19"/>
      <c r="X364" s="19"/>
      <c r="Y364" s="19"/>
    </row>
    <row r="365" spans="1:25" ht="12" customHeight="1">
      <c r="A365" s="219" t="n" cm="1">
        <f t="array" ref="A365">IFERROR(INDEX('03.Muestra'!$B$8:$B$42,SMALL(IF("Página Web"='03.Muestra'!$D$8:$D$42,ROW('03.Muestra'!$B$8:$B$42)-MIN(ROW('03.Muestra'!$D$8:$D$42))+1,""),ROW()-360)),"")</f>
        <v>1.0</v>
      </c>
      <c r="B365" s="114" t="str" cm="1">
        <f t="array" ref="B365">IFERROR(INDEX('03.Muestra'!$C$8:$C$42,SMALL(IF("Página Web"='03.Muestra'!$D$8:$D$42,ROW('03.Muestra'!$C$8:$C$42)-MIN(ROW('03.Muestra'!$D$8:$D$42))+1,""),ROW()-360)),"")</f>
        <v>Home - PortCastelló</v>
      </c>
      <c r="C365" s="114" t="str" cm="1">
        <f t="array" ref="C365">IFERROR(INDEX('03.Muestra'!$F$8:$F$42,SMALL(IF("Página Web"='03.Muestra'!$D$8:$D$42,ROW('03.Muestra'!$F$8:$F$42)-MIN(ROW('03.Muestra'!$D$8:$D$42))+1,""),ROW()-360)),"")</f>
        <v>https://www.portcastello.com/</v>
      </c>
      <c r="D365" s="130" t="str">
        <f t="shared" si="19"/>
        <v>N/T</v>
      </c>
      <c r="E365" s="107" t="str">
        <f t="shared" si="18"/>
        <v/>
      </c>
      <c r="G365" s="19"/>
      <c r="H365" s="19"/>
      <c r="I365" s="19"/>
      <c r="J365" s="19"/>
      <c r="K365" s="228"/>
      <c r="L365" s="19"/>
      <c r="M365" s="19"/>
      <c r="N365" s="19"/>
      <c r="O365" s="19"/>
      <c r="P365" s="19"/>
      <c r="Q365" s="19"/>
      <c r="R365" s="19"/>
      <c r="T365" s="19"/>
      <c r="U365" s="19"/>
      <c r="V365" s="19"/>
      <c r="W365" s="19"/>
      <c r="X365" s="19"/>
      <c r="Y365" s="19"/>
    </row>
    <row r="366" spans="1:25" ht="12" customHeight="1">
      <c r="A366" s="219" t="n" cm="1">
        <f t="array" ref="A366">IFERROR(INDEX('03.Muestra'!$B$8:$B$42,SMALL(IF("Página Web"='03.Muestra'!$D$8:$D$42,ROW('03.Muestra'!$B$8:$B$42)-MIN(ROW('03.Muestra'!$D$8:$D$42))+1,""),ROW()-360)),"")</f>
        <v>1.0</v>
      </c>
      <c r="B366" s="114" t="str" cm="1">
        <f t="array" ref="B366">IFERROR(INDEX('03.Muestra'!$C$8:$C$42,SMALL(IF("Página Web"='03.Muestra'!$D$8:$D$42,ROW('03.Muestra'!$C$8:$C$42)-MIN(ROW('03.Muestra'!$D$8:$D$42))+1,""),ROW()-360)),"")</f>
        <v>Home - PortCastelló</v>
      </c>
      <c r="C366" s="114" t="str" cm="1">
        <f t="array" ref="C366">IFERROR(INDEX('03.Muestra'!$F$8:$F$42,SMALL(IF("Página Web"='03.Muestra'!$D$8:$D$42,ROW('03.Muestra'!$F$8:$F$42)-MIN(ROW('03.Muestra'!$D$8:$D$42))+1,""),ROW()-360)),"")</f>
        <v>https://www.portcastello.com/</v>
      </c>
      <c r="D366" s="130" t="str">
        <f t="shared" si="19"/>
        <v>N/T</v>
      </c>
      <c r="E366" s="107" t="str">
        <f t="shared" si="18"/>
        <v/>
      </c>
      <c r="G366" s="19"/>
      <c r="H366" s="19"/>
      <c r="I366" s="19"/>
      <c r="J366" s="19"/>
      <c r="K366" s="228"/>
      <c r="L366" s="19"/>
      <c r="M366" s="19"/>
      <c r="N366" s="19"/>
      <c r="O366" s="19"/>
      <c r="P366" s="19"/>
      <c r="Q366" s="19"/>
      <c r="R366" s="19"/>
      <c r="T366" s="19"/>
      <c r="U366" s="19"/>
      <c r="V366" s="19"/>
      <c r="W366" s="19"/>
      <c r="X366" s="19"/>
      <c r="Y366" s="19"/>
    </row>
    <row r="367" spans="1:25" ht="12" customHeight="1">
      <c r="A367" s="219" t="n" cm="1">
        <f t="array" ref="A367">IFERROR(INDEX('03.Muestra'!$B$8:$B$42,SMALL(IF("Página Web"='03.Muestra'!$D$8:$D$42,ROW('03.Muestra'!$B$8:$B$42)-MIN(ROW('03.Muestra'!$D$8:$D$42))+1,""),ROW()-360)),"")</f>
        <v>1.0</v>
      </c>
      <c r="B367" s="114" t="str" cm="1">
        <f t="array" ref="B367">IFERROR(INDEX('03.Muestra'!$C$8:$C$42,SMALL(IF("Página Web"='03.Muestra'!$D$8:$D$42,ROW('03.Muestra'!$C$8:$C$42)-MIN(ROW('03.Muestra'!$D$8:$D$42))+1,""),ROW()-360)),"")</f>
        <v>Home - PortCastelló</v>
      </c>
      <c r="C367" s="114" t="str" cm="1">
        <f t="array" ref="C367">IFERROR(INDEX('03.Muestra'!$F$8:$F$42,SMALL(IF("Página Web"='03.Muestra'!$D$8:$D$42,ROW('03.Muestra'!$F$8:$F$42)-MIN(ROW('03.Muestra'!$D$8:$D$42))+1,""),ROW()-360)),"")</f>
        <v>https://www.portcastello.com/</v>
      </c>
      <c r="D367" s="130" t="str">
        <f t="shared" si="19"/>
        <v>N/T</v>
      </c>
      <c r="E367" s="107" t="str">
        <f t="shared" si="18"/>
        <v/>
      </c>
      <c r="F367" s="19"/>
      <c r="G367" s="19"/>
      <c r="H367" s="19"/>
      <c r="I367" s="19"/>
      <c r="J367" s="19"/>
      <c r="K367" s="228"/>
      <c r="L367" s="19"/>
      <c r="M367" s="19"/>
      <c r="N367" s="19"/>
      <c r="O367" s="19"/>
      <c r="P367" s="19"/>
      <c r="Q367" s="19"/>
      <c r="R367" s="19"/>
      <c r="S367" s="19"/>
      <c r="T367" s="19"/>
      <c r="U367" s="19"/>
      <c r="V367" s="19"/>
      <c r="W367" s="19"/>
      <c r="X367" s="19"/>
      <c r="Y367" s="19"/>
    </row>
    <row r="368" spans="1:25" ht="12" customHeight="1">
      <c r="A368" s="219" t="n" cm="1">
        <f t="array" ref="A368">IFERROR(INDEX('03.Muestra'!$B$8:$B$42,SMALL(IF("Página Web"='03.Muestra'!$D$8:$D$42,ROW('03.Muestra'!$B$8:$B$42)-MIN(ROW('03.Muestra'!$D$8:$D$42))+1,""),ROW()-360)),"")</f>
        <v>1.0</v>
      </c>
      <c r="B368" s="114" t="str" cm="1">
        <f t="array" ref="B368">IFERROR(INDEX('03.Muestra'!$C$8:$C$42,SMALL(IF("Página Web"='03.Muestra'!$D$8:$D$42,ROW('03.Muestra'!$C$8:$C$42)-MIN(ROW('03.Muestra'!$D$8:$D$42))+1,""),ROW()-360)),"")</f>
        <v>Home - PortCastelló</v>
      </c>
      <c r="C368" s="114" t="str" cm="1">
        <f t="array" ref="C368">IFERROR(INDEX('03.Muestra'!$F$8:$F$42,SMALL(IF("Página Web"='03.Muestra'!$D$8:$D$42,ROW('03.Muestra'!$F$8:$F$42)-MIN(ROW('03.Muestra'!$D$8:$D$42))+1,""),ROW()-360)),"")</f>
        <v>https://www.portcastello.com/</v>
      </c>
      <c r="D368" s="130" t="str">
        <f t="shared" si="19"/>
        <v>N/T</v>
      </c>
      <c r="E368" s="107" t="str">
        <f t="shared" si="18"/>
        <v/>
      </c>
      <c r="F368" s="19"/>
      <c r="G368" s="19"/>
      <c r="H368" s="19"/>
      <c r="I368" s="19"/>
      <c r="J368" s="19"/>
      <c r="K368" s="228"/>
      <c r="L368" s="19"/>
      <c r="M368" s="19"/>
      <c r="N368" s="19"/>
      <c r="O368" s="19"/>
      <c r="P368" s="19"/>
      <c r="Q368" s="19"/>
      <c r="R368" s="19"/>
      <c r="S368" s="19"/>
      <c r="T368" s="19"/>
      <c r="U368" s="19"/>
      <c r="V368" s="19"/>
      <c r="W368" s="19"/>
      <c r="X368" s="19"/>
      <c r="Y368" s="19"/>
    </row>
    <row r="369" spans="1:25" ht="12" customHeight="1">
      <c r="A369" s="219" t="n" cm="1">
        <f t="array" ref="A369">IFERROR(INDEX('03.Muestra'!$B$8:$B$42,SMALL(IF("Página Web"='03.Muestra'!$D$8:$D$42,ROW('03.Muestra'!$B$8:$B$42)-MIN(ROW('03.Muestra'!$D$8:$D$42))+1,""),ROW()-360)),"")</f>
        <v>1.0</v>
      </c>
      <c r="B369" s="114" t="str" cm="1">
        <f t="array" ref="B369">IFERROR(INDEX('03.Muestra'!$C$8:$C$42,SMALL(IF("Página Web"='03.Muestra'!$D$8:$D$42,ROW('03.Muestra'!$C$8:$C$42)-MIN(ROW('03.Muestra'!$D$8:$D$42))+1,""),ROW()-360)),"")</f>
        <v>Home - PortCastelló</v>
      </c>
      <c r="C369" s="114" t="str" cm="1">
        <f t="array" ref="C369">IFERROR(INDEX('03.Muestra'!$F$8:$F$42,SMALL(IF("Página Web"='03.Muestra'!$D$8:$D$42,ROW('03.Muestra'!$F$8:$F$42)-MIN(ROW('03.Muestra'!$D$8:$D$42))+1,""),ROW()-360)),"")</f>
        <v>https://www.portcastello.com/</v>
      </c>
      <c r="D369" s="130" t="str">
        <f t="shared" si="19"/>
        <v>N/T</v>
      </c>
      <c r="E369" s="107" t="str">
        <f t="shared" si="18"/>
        <v/>
      </c>
      <c r="F369" s="19"/>
      <c r="G369" s="19"/>
      <c r="H369" s="19"/>
      <c r="I369" s="19"/>
      <c r="J369" s="19"/>
      <c r="K369" s="228"/>
      <c r="L369" s="19"/>
      <c r="M369" s="19"/>
      <c r="N369" s="19"/>
      <c r="O369" s="19"/>
      <c r="P369" s="19"/>
      <c r="Q369" s="19"/>
      <c r="R369" s="19"/>
      <c r="S369" s="19"/>
      <c r="T369" s="19"/>
      <c r="U369" s="19"/>
      <c r="V369" s="19"/>
      <c r="W369" s="19"/>
      <c r="X369" s="19"/>
      <c r="Y369" s="19"/>
    </row>
    <row r="370" spans="1:25" ht="12" customHeight="1">
      <c r="A370" s="219" t="n" cm="1">
        <f t="array" ref="A370">IFERROR(INDEX('03.Muestra'!$B$8:$B$42,SMALL(IF("Página Web"='03.Muestra'!$D$8:$D$42,ROW('03.Muestra'!$B$8:$B$42)-MIN(ROW('03.Muestra'!$D$8:$D$42))+1,""),ROW()-360)),"")</f>
        <v>1.0</v>
      </c>
      <c r="B370" s="114" t="str" cm="1">
        <f t="array" ref="B370">IFERROR(INDEX('03.Muestra'!$C$8:$C$42,SMALL(IF("Página Web"='03.Muestra'!$D$8:$D$42,ROW('03.Muestra'!$C$8:$C$42)-MIN(ROW('03.Muestra'!$D$8:$D$42))+1,""),ROW()-360)),"")</f>
        <v>Home - PortCastelló</v>
      </c>
      <c r="C370" s="114" t="str" cm="1">
        <f t="array" ref="C370">IFERROR(INDEX('03.Muestra'!$F$8:$F$42,SMALL(IF("Página Web"='03.Muestra'!$D$8:$D$42,ROW('03.Muestra'!$F$8:$F$42)-MIN(ROW('03.Muestra'!$D$8:$D$42))+1,""),ROW()-360)),"")</f>
        <v>https://www.portcastello.com/</v>
      </c>
      <c r="D370" s="130" t="str">
        <f t="shared" si="19"/>
        <v>N/T</v>
      </c>
      <c r="E370" s="107" t="str">
        <f t="shared" si="18"/>
        <v/>
      </c>
      <c r="F370" s="19"/>
      <c r="G370" s="19"/>
      <c r="H370" s="19"/>
      <c r="I370" s="19"/>
      <c r="J370" s="19"/>
      <c r="K370" s="228"/>
      <c r="L370" s="19"/>
      <c r="M370" s="19"/>
      <c r="N370" s="19"/>
      <c r="O370" s="19"/>
      <c r="P370" s="19"/>
      <c r="Q370" s="19"/>
      <c r="R370" s="19"/>
      <c r="S370" s="19"/>
      <c r="T370" s="19"/>
      <c r="U370" s="19"/>
      <c r="V370" s="19"/>
      <c r="W370" s="19"/>
      <c r="X370" s="19"/>
      <c r="Y370" s="19"/>
    </row>
    <row r="371" spans="1:25" ht="12" customHeight="1">
      <c r="A371" s="219" t="n" cm="1">
        <f t="array" ref="A371">IFERROR(INDEX('03.Muestra'!$B$8:$B$42,SMALL(IF("Página Web"='03.Muestra'!$D$8:$D$42,ROW('03.Muestra'!$B$8:$B$42)-MIN(ROW('03.Muestra'!$D$8:$D$42))+1,""),ROW()-360)),"")</f>
        <v>1.0</v>
      </c>
      <c r="B371" s="114" t="str" cm="1">
        <f t="array" ref="B371">IFERROR(INDEX('03.Muestra'!$C$8:$C$42,SMALL(IF("Página Web"='03.Muestra'!$D$8:$D$42,ROW('03.Muestra'!$C$8:$C$42)-MIN(ROW('03.Muestra'!$D$8:$D$42))+1,""),ROW()-360)),"")</f>
        <v>Home - PortCastelló</v>
      </c>
      <c r="C371" s="114" t="str" cm="1">
        <f t="array" ref="C371">IFERROR(INDEX('03.Muestra'!$F$8:$F$42,SMALL(IF("Página Web"='03.Muestra'!$D$8:$D$42,ROW('03.Muestra'!$F$8:$F$42)-MIN(ROW('03.Muestra'!$D$8:$D$42))+1,""),ROW()-360)),"")</f>
        <v>https://www.portcastello.com/</v>
      </c>
      <c r="D371" s="130" t="str">
        <f t="shared" si="19"/>
        <v>N/T</v>
      </c>
      <c r="E371" s="107" t="str">
        <f t="shared" si="18"/>
        <v/>
      </c>
      <c r="F371" s="19"/>
      <c r="G371" s="19"/>
      <c r="H371" s="19"/>
      <c r="I371" s="19"/>
      <c r="J371" s="19"/>
      <c r="K371" s="228"/>
      <c r="L371" s="19"/>
      <c r="M371" s="19"/>
      <c r="N371" s="19"/>
      <c r="O371" s="19"/>
      <c r="P371" s="19"/>
      <c r="Q371" s="19"/>
      <c r="R371" s="19"/>
      <c r="S371" s="19"/>
      <c r="T371" s="19"/>
      <c r="U371" s="19"/>
      <c r="V371" s="19"/>
      <c r="W371" s="19"/>
      <c r="X371" s="19"/>
      <c r="Y371" s="19"/>
    </row>
    <row r="372" spans="1:25" ht="12" customHeight="1">
      <c r="A372" s="219" t="n" cm="1">
        <f t="array" ref="A372">IFERROR(INDEX('03.Muestra'!$B$8:$B$42,SMALL(IF("Página Web"='03.Muestra'!$D$8:$D$42,ROW('03.Muestra'!$B$8:$B$42)-MIN(ROW('03.Muestra'!$D$8:$D$42))+1,""),ROW()-360)),"")</f>
        <v>1.0</v>
      </c>
      <c r="B372" s="114" t="str" cm="1">
        <f t="array" ref="B372">IFERROR(INDEX('03.Muestra'!$C$8:$C$42,SMALL(IF("Página Web"='03.Muestra'!$D$8:$D$42,ROW('03.Muestra'!$C$8:$C$42)-MIN(ROW('03.Muestra'!$D$8:$D$42))+1,""),ROW()-360)),"")</f>
        <v>Home - PortCastelló</v>
      </c>
      <c r="C372" s="114" t="str" cm="1">
        <f t="array" ref="C372">IFERROR(INDEX('03.Muestra'!$F$8:$F$42,SMALL(IF("Página Web"='03.Muestra'!$D$8:$D$42,ROW('03.Muestra'!$F$8:$F$42)-MIN(ROW('03.Muestra'!$D$8:$D$42))+1,""),ROW()-360)),"")</f>
        <v>https://www.portcastello.com/</v>
      </c>
      <c r="D372" s="130" t="str">
        <f t="shared" si="19"/>
        <v>N/T</v>
      </c>
      <c r="E372" s="107" t="str">
        <f t="shared" si="18"/>
        <v/>
      </c>
      <c r="F372" s="19"/>
      <c r="G372" s="19"/>
      <c r="H372" s="19"/>
      <c r="I372" s="19"/>
      <c r="J372" s="19"/>
      <c r="K372" s="228"/>
      <c r="L372" s="19"/>
      <c r="M372" s="19"/>
      <c r="N372" s="19"/>
      <c r="O372" s="19"/>
      <c r="P372" s="19"/>
      <c r="Q372" s="19"/>
      <c r="R372" s="19"/>
      <c r="S372" s="19"/>
      <c r="T372" s="19"/>
      <c r="U372" s="19"/>
      <c r="V372" s="19"/>
      <c r="W372" s="19"/>
      <c r="X372" s="19"/>
      <c r="Y372" s="19"/>
    </row>
    <row r="373" spans="1:25" ht="12" customHeight="1">
      <c r="A373" s="219" t="n" cm="1">
        <f t="array" ref="A373">IFERROR(INDEX('03.Muestra'!$B$8:$B$42,SMALL(IF("Página Web"='03.Muestra'!$D$8:$D$42,ROW('03.Muestra'!$B$8:$B$42)-MIN(ROW('03.Muestra'!$D$8:$D$42))+1,""),ROW()-360)),"")</f>
        <v>1.0</v>
      </c>
      <c r="B373" s="114" t="str" cm="1">
        <f t="array" ref="B373">IFERROR(INDEX('03.Muestra'!$C$8:$C$42,SMALL(IF("Página Web"='03.Muestra'!$D$8:$D$42,ROW('03.Muestra'!$C$8:$C$42)-MIN(ROW('03.Muestra'!$D$8:$D$42))+1,""),ROW()-360)),"")</f>
        <v>Home - PortCastelló</v>
      </c>
      <c r="C373" s="114" t="str" cm="1">
        <f t="array" ref="C373">IFERROR(INDEX('03.Muestra'!$F$8:$F$42,SMALL(IF("Página Web"='03.Muestra'!$D$8:$D$42,ROW('03.Muestra'!$F$8:$F$42)-MIN(ROW('03.Muestra'!$D$8:$D$42))+1,""),ROW()-360)),"")</f>
        <v>https://www.portcastello.com/</v>
      </c>
      <c r="D373" s="130" t="str">
        <f t="shared" si="19"/>
        <v>N/T</v>
      </c>
      <c r="E373" s="107" t="str">
        <f t="shared" si="18"/>
        <v/>
      </c>
      <c r="F373" s="19"/>
      <c r="G373" s="19"/>
      <c r="H373" s="19"/>
      <c r="I373" s="19"/>
      <c r="J373" s="19"/>
      <c r="K373" s="228"/>
      <c r="L373" s="19"/>
      <c r="M373" s="19"/>
      <c r="N373" s="19"/>
      <c r="O373" s="19"/>
      <c r="P373" s="19"/>
      <c r="Q373" s="19"/>
      <c r="R373" s="19"/>
      <c r="S373" s="19"/>
      <c r="T373" s="19"/>
      <c r="U373" s="19"/>
      <c r="V373" s="19"/>
      <c r="W373" s="19"/>
      <c r="X373" s="19"/>
      <c r="Y373" s="19"/>
    </row>
    <row r="374" spans="1:25" ht="12" customHeight="1">
      <c r="A374" s="219" t="n" cm="1">
        <f t="array" ref="A374">IFERROR(INDEX('03.Muestra'!$B$8:$B$42,SMALL(IF("Página Web"='03.Muestra'!$D$8:$D$42,ROW('03.Muestra'!$B$8:$B$42)-MIN(ROW('03.Muestra'!$D$8:$D$42))+1,""),ROW()-360)),"")</f>
        <v>1.0</v>
      </c>
      <c r="B374" s="114" t="str" cm="1">
        <f t="array" ref="B374">IFERROR(INDEX('03.Muestra'!$C$8:$C$42,SMALL(IF("Página Web"='03.Muestra'!$D$8:$D$42,ROW('03.Muestra'!$C$8:$C$42)-MIN(ROW('03.Muestra'!$D$8:$D$42))+1,""),ROW()-360)),"")</f>
        <v>Home - PortCastelló</v>
      </c>
      <c r="C374" s="114" t="str" cm="1">
        <f t="array" ref="C374">IFERROR(INDEX('03.Muestra'!$F$8:$F$42,SMALL(IF("Página Web"='03.Muestra'!$D$8:$D$42,ROW('03.Muestra'!$F$8:$F$42)-MIN(ROW('03.Muestra'!$D$8:$D$42))+1,""),ROW()-360)),"")</f>
        <v>https://www.portcastello.com/</v>
      </c>
      <c r="D374" s="130" t="str">
        <f t="shared" si="19"/>
        <v>N/T</v>
      </c>
      <c r="E374" s="107" t="str">
        <f t="shared" si="18"/>
        <v/>
      </c>
      <c r="F374" s="19"/>
      <c r="G374" s="19"/>
      <c r="H374" s="19"/>
      <c r="I374" s="19"/>
      <c r="J374" s="19"/>
      <c r="K374" s="228"/>
      <c r="L374" s="19"/>
      <c r="M374" s="19"/>
      <c r="N374" s="19"/>
      <c r="O374" s="19"/>
      <c r="P374" s="19"/>
      <c r="Q374" s="19"/>
      <c r="R374" s="19"/>
      <c r="S374" s="19"/>
      <c r="T374" s="19"/>
      <c r="U374" s="19"/>
      <c r="V374" s="19"/>
      <c r="W374" s="19"/>
      <c r="X374" s="19"/>
      <c r="Y374" s="19"/>
    </row>
    <row r="375" spans="1:25" ht="12" customHeight="1">
      <c r="A375" s="219" t="n" cm="1">
        <f t="array" ref="A375">IFERROR(INDEX('03.Muestra'!$B$8:$B$42,SMALL(IF("Página Web"='03.Muestra'!$D$8:$D$42,ROW('03.Muestra'!$B$8:$B$42)-MIN(ROW('03.Muestra'!$D$8:$D$42))+1,""),ROW()-360)),"")</f>
        <v>1.0</v>
      </c>
      <c r="B375" s="114" t="str" cm="1">
        <f t="array" ref="B375">IFERROR(INDEX('03.Muestra'!$C$8:$C$42,SMALL(IF("Página Web"='03.Muestra'!$D$8:$D$42,ROW('03.Muestra'!$C$8:$C$42)-MIN(ROW('03.Muestra'!$D$8:$D$42))+1,""),ROW()-360)),"")</f>
        <v>Home - PortCastelló</v>
      </c>
      <c r="C375" s="114" t="str" cm="1">
        <f t="array" ref="C375">IFERROR(INDEX('03.Muestra'!$F$8:$F$42,SMALL(IF("Página Web"='03.Muestra'!$D$8:$D$42,ROW('03.Muestra'!$F$8:$F$42)-MIN(ROW('03.Muestra'!$D$8:$D$42))+1,""),ROW()-360)),"")</f>
        <v>https://www.portcastello.com/</v>
      </c>
      <c r="D375" s="130" t="str">
        <f t="shared" si="19"/>
        <v>N/T</v>
      </c>
      <c r="E375" s="107" t="str">
        <f t="shared" si="18"/>
        <v/>
      </c>
      <c r="F375" s="19"/>
      <c r="G375" s="19"/>
      <c r="H375" s="19"/>
      <c r="I375" s="19"/>
      <c r="J375" s="19"/>
      <c r="K375" s="228"/>
      <c r="L375" s="19"/>
      <c r="M375" s="19"/>
      <c r="N375" s="19"/>
      <c r="O375" s="19"/>
      <c r="P375" s="19"/>
      <c r="Q375" s="19"/>
      <c r="R375" s="19"/>
      <c r="S375" s="19"/>
      <c r="T375" s="19"/>
      <c r="U375" s="19"/>
      <c r="V375" s="19"/>
      <c r="W375" s="19"/>
      <c r="X375" s="19"/>
      <c r="Y375" s="19"/>
    </row>
    <row r="376" spans="1:25" ht="12" customHeight="1">
      <c r="A376" s="219" t="n" cm="1">
        <f t="array" ref="A376">IFERROR(INDEX('03.Muestra'!$B$8:$B$42,SMALL(IF("Página Web"='03.Muestra'!$D$8:$D$42,ROW('03.Muestra'!$B$8:$B$42)-MIN(ROW('03.Muestra'!$D$8:$D$42))+1,""),ROW()-360)),"")</f>
        <v>1.0</v>
      </c>
      <c r="B376" s="114" t="str" cm="1">
        <f t="array" ref="B376">IFERROR(INDEX('03.Muestra'!$C$8:$C$42,SMALL(IF("Página Web"='03.Muestra'!$D$8:$D$42,ROW('03.Muestra'!$C$8:$C$42)-MIN(ROW('03.Muestra'!$D$8:$D$42))+1,""),ROW()-360)),"")</f>
        <v>Home - PortCastelló</v>
      </c>
      <c r="C376" s="114" t="str" cm="1">
        <f t="array" ref="C376">IFERROR(INDEX('03.Muestra'!$F$8:$F$42,SMALL(IF("Página Web"='03.Muestra'!$D$8:$D$42,ROW('03.Muestra'!$F$8:$F$42)-MIN(ROW('03.Muestra'!$D$8:$D$42))+1,""),ROW()-360)),"")</f>
        <v>https://www.portcastello.com/</v>
      </c>
      <c r="D376" s="130" t="str">
        <f t="shared" si="19"/>
        <v>N/T</v>
      </c>
      <c r="E376" s="107" t="str">
        <f t="shared" si="18"/>
        <v/>
      </c>
      <c r="F376" s="19"/>
      <c r="G376" s="19"/>
      <c r="H376" s="19"/>
      <c r="I376" s="19"/>
      <c r="J376" s="19"/>
      <c r="K376" s="228"/>
      <c r="L376" s="19"/>
      <c r="M376" s="19"/>
      <c r="N376" s="19"/>
      <c r="O376" s="19"/>
      <c r="P376" s="19"/>
      <c r="Q376" s="19"/>
      <c r="R376" s="19"/>
      <c r="S376" s="19"/>
      <c r="T376" s="19"/>
      <c r="U376" s="19"/>
      <c r="V376" s="19"/>
      <c r="W376" s="19"/>
      <c r="X376" s="19"/>
      <c r="Y376" s="19"/>
    </row>
    <row r="377" spans="1:25" ht="12" customHeight="1">
      <c r="A377" s="219" t="n" cm="1">
        <f t="array" ref="A377">IFERROR(INDEX('03.Muestra'!$B$8:$B$42,SMALL(IF("Página Web"='03.Muestra'!$D$8:$D$42,ROW('03.Muestra'!$B$8:$B$42)-MIN(ROW('03.Muestra'!$D$8:$D$42))+1,""),ROW()-360)),"")</f>
        <v>1.0</v>
      </c>
      <c r="B377" s="114" t="str" cm="1">
        <f t="array" ref="B377">IFERROR(INDEX('03.Muestra'!$C$8:$C$42,SMALL(IF("Página Web"='03.Muestra'!$D$8:$D$42,ROW('03.Muestra'!$C$8:$C$42)-MIN(ROW('03.Muestra'!$D$8:$D$42))+1,""),ROW()-360)),"")</f>
        <v>Home - PortCastelló</v>
      </c>
      <c r="C377" s="114" t="str" cm="1">
        <f t="array" ref="C377">IFERROR(INDEX('03.Muestra'!$F$8:$F$42,SMALL(IF("Página Web"='03.Muestra'!$D$8:$D$42,ROW('03.Muestra'!$F$8:$F$42)-MIN(ROW('03.Muestra'!$D$8:$D$42))+1,""),ROW()-360)),"")</f>
        <v>https://www.portcastello.com/</v>
      </c>
      <c r="D377" s="130" t="str">
        <f t="shared" si="19"/>
        <v>N/T</v>
      </c>
      <c r="E377" s="107" t="str">
        <f t="shared" si="18"/>
        <v/>
      </c>
      <c r="F377" s="19"/>
      <c r="G377" s="19"/>
      <c r="H377" s="19"/>
      <c r="I377" s="19"/>
      <c r="J377" s="19"/>
      <c r="K377" s="228"/>
      <c r="L377" s="19"/>
      <c r="M377" s="19"/>
      <c r="N377" s="19"/>
      <c r="O377" s="19"/>
      <c r="P377" s="19"/>
      <c r="Q377" s="19"/>
      <c r="R377" s="19"/>
      <c r="S377" s="19"/>
      <c r="T377" s="19"/>
      <c r="U377" s="19"/>
      <c r="V377" s="19"/>
      <c r="W377" s="19"/>
      <c r="X377" s="19"/>
      <c r="Y377" s="19"/>
    </row>
    <row r="378" spans="1:25" ht="12" customHeight="1">
      <c r="A378" s="219" t="n" cm="1">
        <f t="array" ref="A378">IFERROR(INDEX('03.Muestra'!$B$8:$B$42,SMALL(IF("Página Web"='03.Muestra'!$D$8:$D$42,ROW('03.Muestra'!$B$8:$B$42)-MIN(ROW('03.Muestra'!$D$8:$D$42))+1,""),ROW()-360)),"")</f>
        <v>1.0</v>
      </c>
      <c r="B378" s="114" t="str" cm="1">
        <f t="array" ref="B378">IFERROR(INDEX('03.Muestra'!$C$8:$C$42,SMALL(IF("Página Web"='03.Muestra'!$D$8:$D$42,ROW('03.Muestra'!$C$8:$C$42)-MIN(ROW('03.Muestra'!$D$8:$D$42))+1,""),ROW()-360)),"")</f>
        <v>Home - PortCastelló</v>
      </c>
      <c r="C378" s="114" t="str" cm="1">
        <f t="array" ref="C378">IFERROR(INDEX('03.Muestra'!$F$8:$F$42,SMALL(IF("Página Web"='03.Muestra'!$D$8:$D$42,ROW('03.Muestra'!$F$8:$F$42)-MIN(ROW('03.Muestra'!$D$8:$D$42))+1,""),ROW()-360)),"")</f>
        <v>https://www.portcastello.com/</v>
      </c>
      <c r="D378" s="130" t="str">
        <f t="shared" si="19"/>
        <v>N/T</v>
      </c>
      <c r="E378" s="107" t="str">
        <f t="shared" si="18"/>
        <v/>
      </c>
      <c r="F378" s="19"/>
      <c r="G378" s="19"/>
      <c r="H378" s="19"/>
      <c r="I378" s="19"/>
      <c r="J378" s="19"/>
      <c r="K378" s="228"/>
      <c r="L378" s="19"/>
      <c r="M378" s="19"/>
      <c r="N378" s="19"/>
      <c r="O378" s="19"/>
      <c r="P378" s="19"/>
      <c r="Q378" s="19"/>
      <c r="R378" s="19"/>
      <c r="S378" s="19"/>
      <c r="T378" s="19"/>
      <c r="U378" s="19"/>
      <c r="V378" s="19"/>
      <c r="W378" s="19"/>
      <c r="X378" s="19"/>
      <c r="Y378" s="19"/>
    </row>
    <row r="379" spans="1:25" ht="12" customHeight="1">
      <c r="A379" s="219" t="n" cm="1">
        <f t="array" ref="A379">IFERROR(INDEX('03.Muestra'!$B$8:$B$42,SMALL(IF("Página Web"='03.Muestra'!$D$8:$D$42,ROW('03.Muestra'!$B$8:$B$42)-MIN(ROW('03.Muestra'!$D$8:$D$42))+1,""),ROW()-360)),"")</f>
        <v>1.0</v>
      </c>
      <c r="B379" s="114" t="str" cm="1">
        <f t="array" ref="B379">IFERROR(INDEX('03.Muestra'!$C$8:$C$42,SMALL(IF("Página Web"='03.Muestra'!$D$8:$D$42,ROW('03.Muestra'!$C$8:$C$42)-MIN(ROW('03.Muestra'!$D$8:$D$42))+1,""),ROW()-360)),"")</f>
        <v>Home - PortCastelló</v>
      </c>
      <c r="C379" s="114" t="str" cm="1">
        <f t="array" ref="C379">IFERROR(INDEX('03.Muestra'!$F$8:$F$42,SMALL(IF("Página Web"='03.Muestra'!$D$8:$D$42,ROW('03.Muestra'!$F$8:$F$42)-MIN(ROW('03.Muestra'!$D$8:$D$42))+1,""),ROW()-360)),"")</f>
        <v>https://www.portcastello.com/</v>
      </c>
      <c r="D379" s="130" t="str">
        <f t="shared" si="19"/>
        <v>N/T</v>
      </c>
      <c r="E379" s="107" t="str">
        <f t="shared" si="18"/>
        <v/>
      </c>
      <c r="F379" s="19"/>
      <c r="G379" s="19"/>
      <c r="H379" s="19"/>
      <c r="I379" s="19"/>
      <c r="J379" s="19"/>
      <c r="K379" s="228"/>
      <c r="L379" s="19"/>
      <c r="M379" s="19"/>
      <c r="N379" s="19"/>
      <c r="O379" s="19"/>
      <c r="P379" s="19"/>
      <c r="Q379" s="19"/>
      <c r="R379" s="19"/>
      <c r="S379" s="19"/>
      <c r="T379" s="19"/>
      <c r="U379" s="19"/>
      <c r="V379" s="19"/>
      <c r="W379" s="19"/>
      <c r="X379" s="19"/>
      <c r="Y379" s="19"/>
    </row>
    <row r="380" spans="1:25" ht="12" customHeight="1">
      <c r="A380" s="219" t="n" cm="1">
        <f t="array" ref="A380">IFERROR(INDEX('03.Muestra'!$B$8:$B$42,SMALL(IF("Página Web"='03.Muestra'!$D$8:$D$42,ROW('03.Muestra'!$B$8:$B$42)-MIN(ROW('03.Muestra'!$D$8:$D$42))+1,""),ROW()-360)),"")</f>
        <v>1.0</v>
      </c>
      <c r="B380" s="114" t="str" cm="1">
        <f t="array" ref="B380">IFERROR(INDEX('03.Muestra'!$C$8:$C$42,SMALL(IF("Página Web"='03.Muestra'!$D$8:$D$42,ROW('03.Muestra'!$C$8:$C$42)-MIN(ROW('03.Muestra'!$D$8:$D$42))+1,""),ROW()-360)),"")</f>
        <v>Home - PortCastelló</v>
      </c>
      <c r="C380" s="114" t="str" cm="1">
        <f t="array" ref="C380">IFERROR(INDEX('03.Muestra'!$F$8:$F$42,SMALL(IF("Página Web"='03.Muestra'!$D$8:$D$42,ROW('03.Muestra'!$F$8:$F$42)-MIN(ROW('03.Muestra'!$D$8:$D$42))+1,""),ROW()-360)),"")</f>
        <v>https://www.portcastello.com/</v>
      </c>
      <c r="D380" s="130" t="str">
        <f t="shared" si="19"/>
        <v>N/T</v>
      </c>
      <c r="E380" s="107" t="str">
        <f t="shared" si="18"/>
        <v/>
      </c>
      <c r="F380" s="19"/>
      <c r="G380" s="19"/>
      <c r="H380" s="19"/>
      <c r="I380" s="19"/>
      <c r="J380" s="19"/>
      <c r="K380" s="228"/>
      <c r="L380" s="19"/>
      <c r="M380" s="19"/>
      <c r="N380" s="19"/>
      <c r="O380" s="19"/>
      <c r="P380" s="19"/>
      <c r="Q380" s="19"/>
      <c r="R380" s="19"/>
      <c r="S380" s="19"/>
      <c r="T380" s="19"/>
      <c r="U380" s="19"/>
      <c r="V380" s="19"/>
      <c r="W380" s="19"/>
      <c r="X380" s="19"/>
      <c r="Y380" s="19"/>
    </row>
    <row r="381" spans="1:25" ht="12" customHeight="1">
      <c r="A381" s="219" t="n" cm="1">
        <f t="array" ref="A381">IFERROR(INDEX('03.Muestra'!$B$8:$B$42,SMALL(IF("Página Web"='03.Muestra'!$D$8:$D$42,ROW('03.Muestra'!$B$8:$B$42)-MIN(ROW('03.Muestra'!$D$8:$D$42))+1,""),ROW()-360)),"")</f>
        <v>1.0</v>
      </c>
      <c r="B381" s="114" t="str" cm="1">
        <f t="array" ref="B381">IFERROR(INDEX('03.Muestra'!$C$8:$C$42,SMALL(IF("Página Web"='03.Muestra'!$D$8:$D$42,ROW('03.Muestra'!$C$8:$C$42)-MIN(ROW('03.Muestra'!$D$8:$D$42))+1,""),ROW()-360)),"")</f>
        <v>Home - PortCastelló</v>
      </c>
      <c r="C381" s="114" t="str" cm="1">
        <f t="array" ref="C381">IFERROR(INDEX('03.Muestra'!$F$8:$F$42,SMALL(IF("Página Web"='03.Muestra'!$D$8:$D$42,ROW('03.Muestra'!$F$8:$F$42)-MIN(ROW('03.Muestra'!$D$8:$D$42))+1,""),ROW()-360)),"")</f>
        <v>https://www.portcastello.com/</v>
      </c>
      <c r="D381" s="130" t="str">
        <f t="shared" si="19"/>
        <v>N/T</v>
      </c>
      <c r="E381" s="107" t="str">
        <f t="shared" si="18"/>
        <v/>
      </c>
      <c r="F381" s="19"/>
      <c r="G381" s="19"/>
      <c r="H381" s="19"/>
      <c r="I381" s="19"/>
      <c r="J381" s="19"/>
      <c r="K381" s="228"/>
      <c r="L381" s="19"/>
      <c r="M381" s="19"/>
      <c r="N381" s="19"/>
      <c r="O381" s="19"/>
      <c r="P381" s="19"/>
      <c r="Q381" s="19"/>
      <c r="R381" s="19"/>
      <c r="S381" s="19"/>
      <c r="T381" s="19"/>
      <c r="U381" s="19"/>
      <c r="V381" s="19"/>
      <c r="W381" s="19"/>
      <c r="X381" s="19"/>
      <c r="Y381" s="19"/>
    </row>
    <row r="382" spans="1:25" ht="12" customHeight="1">
      <c r="A382" s="219" t="n" cm="1">
        <f t="array" ref="A382">IFERROR(INDEX('03.Muestra'!$B$8:$B$42,SMALL(IF("Página Web"='03.Muestra'!$D$8:$D$42,ROW('03.Muestra'!$B$8:$B$42)-MIN(ROW('03.Muestra'!$D$8:$D$42))+1,""),ROW()-360)),"")</f>
        <v>1.0</v>
      </c>
      <c r="B382" s="114" t="str" cm="1">
        <f t="array" ref="B382">IFERROR(INDEX('03.Muestra'!$C$8:$C$42,SMALL(IF("Página Web"='03.Muestra'!$D$8:$D$42,ROW('03.Muestra'!$C$8:$C$42)-MIN(ROW('03.Muestra'!$D$8:$D$42))+1,""),ROW()-360)),"")</f>
        <v>Home - PortCastelló</v>
      </c>
      <c r="C382" s="114" t="str" cm="1">
        <f t="array" ref="C382">IFERROR(INDEX('03.Muestra'!$F$8:$F$42,SMALL(IF("Página Web"='03.Muestra'!$D$8:$D$42,ROW('03.Muestra'!$F$8:$F$42)-MIN(ROW('03.Muestra'!$D$8:$D$42))+1,""),ROW()-360)),"")</f>
        <v>https://www.portcastello.com/</v>
      </c>
      <c r="D382" s="130" t="str">
        <f t="shared" si="19"/>
        <v>N/T</v>
      </c>
      <c r="E382" s="107" t="str">
        <f t="shared" si="18"/>
        <v/>
      </c>
      <c r="F382" s="19"/>
      <c r="G382" s="19"/>
      <c r="H382" s="19"/>
      <c r="I382" s="19"/>
      <c r="J382" s="19"/>
      <c r="K382" s="228"/>
      <c r="L382" s="19"/>
      <c r="M382" s="19"/>
      <c r="N382" s="19"/>
      <c r="O382" s="19"/>
      <c r="P382" s="19"/>
      <c r="Q382" s="19"/>
      <c r="R382" s="19"/>
      <c r="S382" s="19"/>
      <c r="T382" s="19"/>
      <c r="U382" s="19"/>
      <c r="V382" s="19"/>
      <c r="W382" s="19"/>
      <c r="X382" s="19"/>
      <c r="Y382" s="19"/>
    </row>
    <row r="383" spans="1:25" ht="12" customHeight="1">
      <c r="A383" s="219" t="n" cm="1">
        <f t="array" ref="A383">IFERROR(INDEX('03.Muestra'!$B$8:$B$42,SMALL(IF("Página Web"='03.Muestra'!$D$8:$D$42,ROW('03.Muestra'!$B$8:$B$42)-MIN(ROW('03.Muestra'!$D$8:$D$42))+1,""),ROW()-360)),"")</f>
        <v>1.0</v>
      </c>
      <c r="B383" s="114" t="str" cm="1">
        <f t="array" ref="B383">IFERROR(INDEX('03.Muestra'!$C$8:$C$42,SMALL(IF("Página Web"='03.Muestra'!$D$8:$D$42,ROW('03.Muestra'!$C$8:$C$42)-MIN(ROW('03.Muestra'!$D$8:$D$42))+1,""),ROW()-360)),"")</f>
        <v>Home - PortCastelló</v>
      </c>
      <c r="C383" s="114" t="str" cm="1">
        <f t="array" ref="C383">IFERROR(INDEX('03.Muestra'!$F$8:$F$42,SMALL(IF("Página Web"='03.Muestra'!$D$8:$D$42,ROW('03.Muestra'!$F$8:$F$42)-MIN(ROW('03.Muestra'!$D$8:$D$42))+1,""),ROW()-360)),"")</f>
        <v>https://www.portcastello.com/</v>
      </c>
      <c r="D383" s="130" t="str">
        <f t="shared" si="19"/>
        <v>N/T</v>
      </c>
      <c r="E383" s="107" t="str">
        <f t="shared" si="18"/>
        <v/>
      </c>
      <c r="F383" s="19"/>
      <c r="G383" s="19"/>
      <c r="H383" s="19"/>
      <c r="I383" s="19"/>
      <c r="J383" s="19"/>
      <c r="K383" s="228"/>
      <c r="L383" s="19"/>
      <c r="M383" s="19"/>
      <c r="N383" s="19"/>
      <c r="O383" s="19"/>
      <c r="P383" s="19"/>
      <c r="Q383" s="19"/>
      <c r="R383" s="19"/>
      <c r="S383" s="19"/>
      <c r="T383" s="19"/>
      <c r="U383" s="19"/>
      <c r="V383" s="19"/>
      <c r="W383" s="19"/>
      <c r="X383" s="19"/>
      <c r="Y383" s="19"/>
    </row>
    <row r="384" spans="1:25" ht="12" customHeight="1">
      <c r="A384" s="219" t="n" cm="1">
        <f t="array" ref="A384">IFERROR(INDEX('03.Muestra'!$B$8:$B$42,SMALL(IF("Página Web"='03.Muestra'!$D$8:$D$42,ROW('03.Muestra'!$B$8:$B$42)-MIN(ROW('03.Muestra'!$D$8:$D$42))+1,""),ROW()-360)),"")</f>
        <v>1.0</v>
      </c>
      <c r="B384" s="114" t="str" cm="1">
        <f t="array" ref="B384">IFERROR(INDEX('03.Muestra'!$C$8:$C$42,SMALL(IF("Página Web"='03.Muestra'!$D$8:$D$42,ROW('03.Muestra'!$C$8:$C$42)-MIN(ROW('03.Muestra'!$D$8:$D$42))+1,""),ROW()-360)),"")</f>
        <v>Home - PortCastelló</v>
      </c>
      <c r="C384" s="114" t="str" cm="1">
        <f t="array" ref="C384">IFERROR(INDEX('03.Muestra'!$F$8:$F$42,SMALL(IF("Página Web"='03.Muestra'!$D$8:$D$42,ROW('03.Muestra'!$F$8:$F$42)-MIN(ROW('03.Muestra'!$D$8:$D$42))+1,""),ROW()-360)),"")</f>
        <v>https://www.portcastello.com/</v>
      </c>
      <c r="D384" s="130" t="str">
        <f t="shared" si="19"/>
        <v>N/T</v>
      </c>
      <c r="E384" s="107" t="str">
        <f t="shared" si="18"/>
        <v/>
      </c>
      <c r="F384" s="19"/>
      <c r="G384" s="19"/>
      <c r="H384" s="19"/>
      <c r="I384" s="19"/>
      <c r="J384" s="19"/>
      <c r="K384" s="228"/>
      <c r="L384" s="19"/>
      <c r="M384" s="19"/>
      <c r="N384" s="19"/>
      <c r="O384" s="19"/>
      <c r="P384" s="19"/>
      <c r="Q384" s="19"/>
      <c r="R384" s="19"/>
      <c r="S384" s="19"/>
      <c r="T384" s="19"/>
      <c r="U384" s="19"/>
      <c r="V384" s="19"/>
      <c r="W384" s="19"/>
      <c r="X384" s="19"/>
      <c r="Y384" s="19"/>
    </row>
    <row r="385" spans="1:25" ht="12" customHeight="1">
      <c r="A385" s="219" t="n" cm="1">
        <f t="array" ref="A385">IFERROR(INDEX('03.Muestra'!$B$8:$B$42,SMALL(IF("Página Web"='03.Muestra'!$D$8:$D$42,ROW('03.Muestra'!$B$8:$B$42)-MIN(ROW('03.Muestra'!$D$8:$D$42))+1,""),ROW()-360)),"")</f>
        <v>1.0</v>
      </c>
      <c r="B385" s="114" t="str" cm="1">
        <f t="array" ref="B385">IFERROR(INDEX('03.Muestra'!$C$8:$C$42,SMALL(IF("Página Web"='03.Muestra'!$D$8:$D$42,ROW('03.Muestra'!$C$8:$C$42)-MIN(ROW('03.Muestra'!$D$8:$D$42))+1,""),ROW()-360)),"")</f>
        <v>Home - PortCastelló</v>
      </c>
      <c r="C385" s="114" t="str" cm="1">
        <f t="array" ref="C385">IFERROR(INDEX('03.Muestra'!$F$8:$F$42,SMALL(IF("Página Web"='03.Muestra'!$D$8:$D$42,ROW('03.Muestra'!$F$8:$F$42)-MIN(ROW('03.Muestra'!$D$8:$D$42))+1,""),ROW()-360)),"")</f>
        <v>https://www.portcastello.com/</v>
      </c>
      <c r="D385" s="130" t="str">
        <f t="shared" si="19"/>
        <v>N/T</v>
      </c>
      <c r="E385" s="107" t="str">
        <f t="shared" si="18"/>
        <v/>
      </c>
      <c r="F385" s="19"/>
      <c r="G385" s="19"/>
      <c r="H385" s="19"/>
      <c r="I385" s="19"/>
      <c r="J385" s="19"/>
      <c r="K385" s="228"/>
      <c r="L385" s="19"/>
      <c r="M385" s="19"/>
      <c r="N385" s="19"/>
      <c r="O385" s="19"/>
      <c r="P385" s="19"/>
      <c r="Q385" s="19"/>
      <c r="R385" s="19"/>
      <c r="S385" s="19"/>
      <c r="T385" s="19"/>
      <c r="U385" s="19"/>
      <c r="V385" s="19"/>
      <c r="W385" s="19"/>
      <c r="X385" s="19"/>
      <c r="Y385" s="19"/>
    </row>
    <row r="386" spans="1:25" ht="12" customHeight="1">
      <c r="A386" s="219" t="n" cm="1">
        <f t="array" ref="A386">IFERROR(INDEX('03.Muestra'!$B$8:$B$42,SMALL(IF("Página Web"='03.Muestra'!$D$8:$D$42,ROW('03.Muestra'!$B$8:$B$42)-MIN(ROW('03.Muestra'!$D$8:$D$42))+1,""),ROW()-360)),"")</f>
        <v>1.0</v>
      </c>
      <c r="B386" s="114" t="str" cm="1">
        <f t="array" ref="B386">IFERROR(INDEX('03.Muestra'!$C$8:$C$42,SMALL(IF("Página Web"='03.Muestra'!$D$8:$D$42,ROW('03.Muestra'!$C$8:$C$42)-MIN(ROW('03.Muestra'!$D$8:$D$42))+1,""),ROW()-360)),"")</f>
        <v>Home - PortCastelló</v>
      </c>
      <c r="C386" s="114" t="str" cm="1">
        <f t="array" ref="C386">IFERROR(INDEX('03.Muestra'!$F$8:$F$42,SMALL(IF("Página Web"='03.Muestra'!$D$8:$D$42,ROW('03.Muestra'!$F$8:$F$42)-MIN(ROW('03.Muestra'!$D$8:$D$42))+1,""),ROW()-360)),"")</f>
        <v>https://www.portcastello.com/</v>
      </c>
      <c r="D386" s="130" t="str">
        <f t="shared" si="19"/>
        <v>N/T</v>
      </c>
      <c r="E386" s="107" t="str">
        <f t="shared" si="18"/>
        <v/>
      </c>
      <c r="F386" s="19"/>
      <c r="G386" s="19"/>
      <c r="H386" s="19"/>
      <c r="I386" s="19"/>
      <c r="J386" s="19"/>
      <c r="K386" s="228"/>
      <c r="L386" s="19"/>
      <c r="M386" s="19"/>
      <c r="N386" s="19"/>
      <c r="O386" s="19"/>
      <c r="P386" s="19"/>
      <c r="Q386" s="19"/>
      <c r="R386" s="19"/>
      <c r="S386" s="19"/>
      <c r="T386" s="19"/>
      <c r="U386" s="19"/>
      <c r="V386" s="19"/>
      <c r="W386" s="19"/>
      <c r="X386" s="19"/>
      <c r="Y386" s="19"/>
    </row>
    <row r="387" spans="1:25" ht="12" customHeight="1">
      <c r="A387" s="219" t="n" cm="1">
        <f t="array" ref="A387">IFERROR(INDEX('03.Muestra'!$B$8:$B$42,SMALL(IF("Página Web"='03.Muestra'!$D$8:$D$42,ROW('03.Muestra'!$B$8:$B$42)-MIN(ROW('03.Muestra'!$D$8:$D$42))+1,""),ROW()-360)),"")</f>
        <v>1.0</v>
      </c>
      <c r="B387" s="114" t="str" cm="1">
        <f t="array" ref="B387">IFERROR(INDEX('03.Muestra'!$C$8:$C$42,SMALL(IF("Página Web"='03.Muestra'!$D$8:$D$42,ROW('03.Muestra'!$C$8:$C$42)-MIN(ROW('03.Muestra'!$D$8:$D$42))+1,""),ROW()-360)),"")</f>
        <v>Home - PortCastelló</v>
      </c>
      <c r="C387" s="114" t="str" cm="1">
        <f t="array" ref="C387">IFERROR(INDEX('03.Muestra'!$F$8:$F$42,SMALL(IF("Página Web"='03.Muestra'!$D$8:$D$42,ROW('03.Muestra'!$F$8:$F$42)-MIN(ROW('03.Muestra'!$D$8:$D$42))+1,""),ROW()-360)),"")</f>
        <v>https://www.portcastello.com/</v>
      </c>
      <c r="D387" s="130" t="str">
        <f t="shared" si="19"/>
        <v>N/T</v>
      </c>
      <c r="E387" s="107" t="str">
        <f t="shared" si="18"/>
        <v/>
      </c>
      <c r="F387" s="19"/>
      <c r="G387" s="19"/>
      <c r="H387" s="19"/>
      <c r="I387" s="19"/>
      <c r="J387" s="19"/>
      <c r="K387" s="228"/>
      <c r="L387" s="19"/>
      <c r="M387" s="19"/>
      <c r="N387" s="19"/>
      <c r="O387" s="19"/>
      <c r="P387" s="19"/>
      <c r="Q387" s="19"/>
      <c r="R387" s="19"/>
      <c r="S387" s="19"/>
      <c r="T387" s="19"/>
      <c r="U387" s="19"/>
      <c r="V387" s="19"/>
      <c r="W387" s="19"/>
      <c r="X387" s="19"/>
      <c r="Y387" s="19"/>
    </row>
    <row r="388" spans="1:25" ht="12" customHeight="1">
      <c r="A388" s="219" t="n" cm="1">
        <f t="array" ref="A388">IFERROR(INDEX('03.Muestra'!$B$8:$B$42,SMALL(IF("Página Web"='03.Muestra'!$D$8:$D$42,ROW('03.Muestra'!$B$8:$B$42)-MIN(ROW('03.Muestra'!$D$8:$D$42))+1,""),ROW()-360)),"")</f>
        <v>1.0</v>
      </c>
      <c r="B388" s="114" t="str" cm="1">
        <f t="array" ref="B388">IFERROR(INDEX('03.Muestra'!$C$8:$C$42,SMALL(IF("Página Web"='03.Muestra'!$D$8:$D$42,ROW('03.Muestra'!$C$8:$C$42)-MIN(ROW('03.Muestra'!$D$8:$D$42))+1,""),ROW()-360)),"")</f>
        <v>Home - PortCastelló</v>
      </c>
      <c r="C388" s="114" t="str" cm="1">
        <f t="array" ref="C388">IFERROR(INDEX('03.Muestra'!$F$8:$F$42,SMALL(IF("Página Web"='03.Muestra'!$D$8:$D$42,ROW('03.Muestra'!$F$8:$F$42)-MIN(ROW('03.Muestra'!$D$8:$D$42))+1,""),ROW()-360)),"")</f>
        <v>https://www.portcastello.com/</v>
      </c>
      <c r="D388" s="130" t="str">
        <f t="shared" si="19"/>
        <v>N/T</v>
      </c>
      <c r="E388" s="107" t="str">
        <f t="shared" si="18"/>
        <v/>
      </c>
      <c r="G388" s="19"/>
      <c r="H388" s="19"/>
      <c r="I388" s="19"/>
      <c r="J388" s="19"/>
      <c r="K388" s="228"/>
      <c r="L388" s="19"/>
      <c r="M388" s="19"/>
      <c r="N388" s="19"/>
      <c r="O388" s="19"/>
      <c r="P388" s="19"/>
      <c r="Q388" s="19"/>
      <c r="R388" s="19"/>
      <c r="S388" s="19"/>
      <c r="T388" s="19"/>
      <c r="U388" s="19"/>
      <c r="V388" s="19"/>
      <c r="W388" s="19"/>
      <c r="X388" s="19"/>
      <c r="Y388" s="19"/>
    </row>
    <row r="389" spans="1:25" ht="12" customHeight="1">
      <c r="A389" s="219" t="n" cm="1">
        <f t="array" ref="A389">IFERROR(INDEX('03.Muestra'!$B$8:$B$42,SMALL(IF("Página Web"='03.Muestra'!$D$8:$D$42,ROW('03.Muestra'!$B$8:$B$42)-MIN(ROW('03.Muestra'!$D$8:$D$42))+1,""),ROW()-360)),"")</f>
        <v>1.0</v>
      </c>
      <c r="B389" s="114" t="str" cm="1">
        <f t="array" ref="B389">IFERROR(INDEX('03.Muestra'!$C$8:$C$42,SMALL(IF("Página Web"='03.Muestra'!$D$8:$D$42,ROW('03.Muestra'!$C$8:$C$42)-MIN(ROW('03.Muestra'!$D$8:$D$42))+1,""),ROW()-360)),"")</f>
        <v>Home - PortCastelló</v>
      </c>
      <c r="C389" s="114" t="str" cm="1">
        <f t="array" ref="C389">IFERROR(INDEX('03.Muestra'!$F$8:$F$42,SMALL(IF("Página Web"='03.Muestra'!$D$8:$D$42,ROW('03.Muestra'!$F$8:$F$42)-MIN(ROW('03.Muestra'!$D$8:$D$42))+1,""),ROW()-360)),"")</f>
        <v>https://www.portcastello.com/</v>
      </c>
      <c r="D389" s="130" t="str">
        <f t="shared" si="19"/>
        <v>N/T</v>
      </c>
      <c r="E389" s="107" t="str">
        <f t="shared" si="18"/>
        <v/>
      </c>
      <c r="G389" s="19"/>
      <c r="H389" s="19"/>
      <c r="I389" s="19"/>
      <c r="J389" s="19"/>
      <c r="K389" s="228"/>
      <c r="L389" s="19"/>
      <c r="M389" s="19"/>
      <c r="N389" s="19"/>
      <c r="O389" s="19"/>
      <c r="P389" s="19"/>
      <c r="Q389" s="19"/>
      <c r="R389" s="19"/>
      <c r="S389" s="19"/>
      <c r="T389" s="19"/>
      <c r="U389" s="19"/>
      <c r="V389" s="19"/>
      <c r="W389" s="19"/>
      <c r="X389" s="19"/>
      <c r="Y389" s="19"/>
    </row>
    <row r="390" spans="1:25" ht="12" customHeight="1">
      <c r="A390" s="219" t="n" cm="1">
        <f t="array" ref="A390">IFERROR(INDEX('03.Muestra'!$B$8:$B$42,SMALL(IF("Página Web"='03.Muestra'!$D$8:$D$42,ROW('03.Muestra'!$B$8:$B$42)-MIN(ROW('03.Muestra'!$D$8:$D$42))+1,""),ROW()-360)),"")</f>
        <v>1.0</v>
      </c>
      <c r="B390" s="114" t="str" cm="1">
        <f t="array" ref="B390">IFERROR(INDEX('03.Muestra'!$C$8:$C$42,SMALL(IF("Página Web"='03.Muestra'!$D$8:$D$42,ROW('03.Muestra'!$C$8:$C$42)-MIN(ROW('03.Muestra'!$D$8:$D$42))+1,""),ROW()-360)),"")</f>
        <v>Home - PortCastelló</v>
      </c>
      <c r="C390" s="114" t="str" cm="1">
        <f t="array" ref="C390">IFERROR(INDEX('03.Muestra'!$F$8:$F$42,SMALL(IF("Página Web"='03.Muestra'!$D$8:$D$42,ROW('03.Muestra'!$F$8:$F$42)-MIN(ROW('03.Muestra'!$D$8:$D$42))+1,""),ROW()-360)),"")</f>
        <v>https://www.portcastello.com/</v>
      </c>
      <c r="D390" s="130" t="str">
        <f t="shared" si="19"/>
        <v>N/T</v>
      </c>
      <c r="E390" s="107" t="str">
        <f t="shared" si="18"/>
        <v/>
      </c>
      <c r="G390" s="19"/>
      <c r="H390" s="19"/>
      <c r="I390" s="19"/>
      <c r="J390" s="19"/>
      <c r="K390" s="228"/>
      <c r="L390" s="19"/>
      <c r="M390" s="19"/>
      <c r="N390" s="19"/>
      <c r="O390" s="19"/>
      <c r="P390" s="19"/>
      <c r="Q390" s="19"/>
      <c r="R390" s="19"/>
      <c r="S390" s="19"/>
      <c r="T390" s="19"/>
      <c r="U390" s="19"/>
      <c r="V390" s="19"/>
      <c r="W390" s="19"/>
      <c r="X390" s="19"/>
      <c r="Y390" s="19"/>
    </row>
    <row r="391" spans="1:25" ht="12" customHeight="1">
      <c r="A391" s="219" t="n" cm="1">
        <f t="array" ref="A391">IFERROR(INDEX('03.Muestra'!$B$8:$B$42,SMALL(IF("Página Web"='03.Muestra'!$D$8:$D$42,ROW('03.Muestra'!$B$8:$B$42)-MIN(ROW('03.Muestra'!$D$8:$D$42))+1,""),ROW()-360)),"")</f>
        <v>1.0</v>
      </c>
      <c r="B391" s="114" t="str" cm="1">
        <f t="array" ref="B391">IFERROR(INDEX('03.Muestra'!$C$8:$C$42,SMALL(IF("Página Web"='03.Muestra'!$D$8:$D$42,ROW('03.Muestra'!$C$8:$C$42)-MIN(ROW('03.Muestra'!$D$8:$D$42))+1,""),ROW()-360)),"")</f>
        <v>Home - PortCastelló</v>
      </c>
      <c r="C391" s="114" t="str" cm="1">
        <f t="array" ref="C391">IFERROR(INDEX('03.Muestra'!$F$8:$F$42,SMALL(IF("Página Web"='03.Muestra'!$D$8:$D$42,ROW('03.Muestra'!$F$8:$F$42)-MIN(ROW('03.Muestra'!$D$8:$D$42))+1,""),ROW()-360)),"")</f>
        <v>https://www.portcastello.com/</v>
      </c>
      <c r="D391" s="130" t="str">
        <f t="shared" si="19"/>
        <v>N/T</v>
      </c>
      <c r="E391" s="107" t="str">
        <f t="shared" si="18"/>
        <v/>
      </c>
      <c r="G391" s="19"/>
      <c r="H391" s="19"/>
      <c r="I391" s="19"/>
      <c r="J391" s="19"/>
      <c r="K391" s="228"/>
      <c r="L391" s="19"/>
      <c r="M391" s="19"/>
      <c r="N391" s="19"/>
      <c r="O391" s="19"/>
      <c r="P391" s="19"/>
      <c r="Q391" s="19"/>
      <c r="R391" s="19"/>
      <c r="S391" s="19"/>
      <c r="T391" s="19"/>
      <c r="U391" s="19"/>
      <c r="V391" s="19"/>
      <c r="W391" s="19"/>
      <c r="X391" s="19"/>
      <c r="Y391" s="19"/>
    </row>
    <row r="392" spans="1:25" ht="12" customHeight="1">
      <c r="A392" s="219" t="n" cm="1">
        <f t="array" ref="A392">IFERROR(INDEX('03.Muestra'!$B$8:$B$42,SMALL(IF("Página Web"='03.Muestra'!$D$8:$D$42,ROW('03.Muestra'!$B$8:$B$42)-MIN(ROW('03.Muestra'!$D$8:$D$42))+1,""),ROW()-360)),"")</f>
        <v>1.0</v>
      </c>
      <c r="B392" s="114" t="str" cm="1">
        <f t="array" ref="B392">IFERROR(INDEX('03.Muestra'!$C$8:$C$42,SMALL(IF("Página Web"='03.Muestra'!$D$8:$D$42,ROW('03.Muestra'!$C$8:$C$42)-MIN(ROW('03.Muestra'!$D$8:$D$42))+1,""),ROW()-360)),"")</f>
        <v>Home - PortCastelló</v>
      </c>
      <c r="C392" s="114" t="str" cm="1">
        <f t="array" ref="C392">IFERROR(INDEX('03.Muestra'!$F$8:$F$42,SMALL(IF("Página Web"='03.Muestra'!$D$8:$D$42,ROW('03.Muestra'!$F$8:$F$42)-MIN(ROW('03.Muestra'!$D$8:$D$42))+1,""),ROW()-360)),"")</f>
        <v>https://www.portcastello.com/</v>
      </c>
      <c r="D392" s="130" t="str">
        <f t="shared" si="19"/>
        <v>N/T</v>
      </c>
      <c r="E392" s="107" t="str">
        <f t="shared" si="18"/>
        <v/>
      </c>
      <c r="G392" s="19"/>
      <c r="H392" s="19"/>
      <c r="I392" s="19"/>
      <c r="J392" s="19"/>
      <c r="K392" s="228"/>
      <c r="L392" s="19"/>
      <c r="M392" s="19"/>
      <c r="N392" s="19"/>
      <c r="O392" s="19"/>
      <c r="P392" s="19"/>
      <c r="Q392" s="19"/>
      <c r="R392" s="19"/>
      <c r="S392" s="19"/>
      <c r="T392" s="19"/>
      <c r="U392" s="19"/>
      <c r="V392" s="19"/>
      <c r="W392" s="19"/>
      <c r="X392" s="19"/>
      <c r="Y392" s="19"/>
    </row>
    <row r="393" spans="1:25" ht="12" customHeight="1">
      <c r="A393" s="219" t="n" cm="1">
        <f t="array" ref="A393">IFERROR(INDEX('03.Muestra'!$B$8:$B$42,SMALL(IF("Página Web"='03.Muestra'!$D$8:$D$42,ROW('03.Muestra'!$B$8:$B$42)-MIN(ROW('03.Muestra'!$D$8:$D$42))+1,""),ROW()-360)),"")</f>
        <v>1.0</v>
      </c>
      <c r="B393" s="114" t="str" cm="1">
        <f t="array" ref="B393">IFERROR(INDEX('03.Muestra'!$C$8:$C$42,SMALL(IF("Página Web"='03.Muestra'!$D$8:$D$42,ROW('03.Muestra'!$C$8:$C$42)-MIN(ROW('03.Muestra'!$D$8:$D$42))+1,""),ROW()-360)),"")</f>
        <v>Home - PortCastelló</v>
      </c>
      <c r="C393" s="114" t="str" cm="1">
        <f t="array" ref="C393">IFERROR(INDEX('03.Muestra'!$F$8:$F$42,SMALL(IF("Página Web"='03.Muestra'!$D$8:$D$42,ROW('03.Muestra'!$F$8:$F$42)-MIN(ROW('03.Muestra'!$D$8:$D$42))+1,""),ROW()-360)),"")</f>
        <v>https://www.portcastello.com/</v>
      </c>
      <c r="D393" s="130" t="str">
        <f t="shared" si="19"/>
        <v>N/T</v>
      </c>
      <c r="E393" s="107" t="str">
        <f t="shared" si="18"/>
        <v/>
      </c>
      <c r="G393" s="19"/>
      <c r="H393" s="19"/>
      <c r="I393" s="19"/>
      <c r="J393" s="19"/>
      <c r="K393" s="228"/>
      <c r="L393" s="19"/>
      <c r="M393" s="19"/>
      <c r="N393" s="19"/>
      <c r="O393" s="19"/>
      <c r="P393" s="19"/>
      <c r="Q393" s="19"/>
      <c r="R393" s="19"/>
      <c r="S393" s="19"/>
      <c r="T393" s="19"/>
      <c r="U393" s="19"/>
      <c r="V393" s="19"/>
      <c r="W393" s="19"/>
      <c r="X393" s="19"/>
      <c r="Y393" s="19"/>
    </row>
    <row r="394" spans="1:25" ht="12" customHeight="1">
      <c r="A394" s="219" t="str" cm="1">
        <f t="array" ref="A394">IFERROR(INDEX('03.Muestra'!$B$8:$B$42,SMALL(IF("Página Web"='03.Muestra'!$D$8:$D$42,ROW('03.Muestra'!$B$8:$B$42)-MIN(ROW('03.Muestra'!$D$8:$D$42))+1,""),ROW()-360)),"")</f>
        <v/>
      </c>
      <c r="B394" s="114" t="str" cm="1">
        <f t="array" ref="B394">IFERROR(INDEX('03.Muestra'!$C$8:$C$42,SMALL(IF("Página Web"='03.Muestra'!$D$8:$D$42,ROW('03.Muestra'!$C$8:$C$42)-MIN(ROW('03.Muestra'!$D$8:$D$42))+1,""),ROW()-360)),"")</f>
        <v/>
      </c>
      <c r="C394" s="114" t="str" cm="1">
        <f t="array" ref="C394">IFERROR(INDEX('03.Muestra'!$F$8:$F$42,SMALL(IF("Página Web"='03.Muestra'!$D$8:$D$42,ROW('03.Muestra'!$F$8:$F$42)-MIN(ROW('03.Muestra'!$D$8:$D$42))+1,""),ROW()-360)),"")</f>
        <v/>
      </c>
      <c r="D394" s="130" t="str">
        <f t="shared" si="19"/>
        <v/>
      </c>
      <c r="E394" s="107" t="str">
        <f t="shared" si="18"/>
        <v/>
      </c>
      <c r="F394" s="124"/>
      <c r="G394" s="19"/>
      <c r="H394" s="19"/>
      <c r="I394" s="19"/>
      <c r="J394" s="19"/>
      <c r="K394" s="228"/>
      <c r="L394" s="19"/>
      <c r="M394" s="19"/>
      <c r="N394" s="19"/>
      <c r="O394" s="19"/>
      <c r="P394" s="19"/>
      <c r="Q394" s="19"/>
      <c r="R394" s="19"/>
      <c r="S394" s="19"/>
      <c r="T394" s="19"/>
      <c r="U394" s="19"/>
      <c r="V394" s="19"/>
      <c r="W394" s="19"/>
      <c r="X394" s="19"/>
      <c r="Y394" s="19"/>
    </row>
    <row r="395" spans="1:25" ht="12" customHeight="1">
      <c r="A395" s="219" t="str" cm="1">
        <f t="array" ref="A395">IFERROR(INDEX('03.Muestra'!$B$8:$B$42,SMALL(IF("Página Web"='03.Muestra'!$D$8:$D$42,ROW('03.Muestra'!$B$8:$B$42)-MIN(ROW('03.Muestra'!$D$8:$D$42))+1,""),ROW()-360)),"")</f>
        <v/>
      </c>
      <c r="B395" s="114" t="str" cm="1">
        <f t="array" ref="B395">IFERROR(INDEX('03.Muestra'!$C$8:$C$42,SMALL(IF("Página Web"='03.Muestra'!$D$8:$D$42,ROW('03.Muestra'!$C$8:$C$42)-MIN(ROW('03.Muestra'!$D$8:$D$42))+1,""),ROW()-360)),"")</f>
        <v/>
      </c>
      <c r="C395" s="114" t="str" cm="1">
        <f t="array" ref="C395">IFERROR(INDEX('03.Muestra'!$F$8:$F$42,SMALL(IF("Página Web"='03.Muestra'!$D$8:$D$42,ROW('03.Muestra'!$F$8:$F$42)-MIN(ROW('03.Muestra'!$D$8:$D$42))+1,""),ROW()-360)),"")</f>
        <v/>
      </c>
      <c r="D395" s="130" t="str">
        <f t="shared" si="19"/>
        <v/>
      </c>
      <c r="E395" s="107" t="str">
        <f t="shared" si="18"/>
        <v/>
      </c>
      <c r="F395" s="19"/>
      <c r="G395" s="19"/>
      <c r="H395" s="19"/>
      <c r="I395" s="19"/>
      <c r="J395" s="19"/>
      <c r="K395" s="228"/>
      <c r="L395" s="19"/>
      <c r="M395" s="19"/>
      <c r="N395" s="19"/>
      <c r="O395" s="19"/>
      <c r="P395" s="19"/>
      <c r="Q395" s="19"/>
      <c r="R395" s="19"/>
      <c r="S395" s="19"/>
      <c r="T395" s="19"/>
      <c r="U395" s="19"/>
      <c r="V395" s="19"/>
      <c r="W395" s="19"/>
      <c r="X395" s="19"/>
      <c r="Y395" s="19"/>
    </row>
    <row r="396" spans="1:25" ht="12" customHeight="1">
      <c r="B396" s="19"/>
      <c r="C396" s="19"/>
      <c r="D396" s="107"/>
      <c r="E396" s="107"/>
      <c r="F396" s="19"/>
      <c r="G396" s="19"/>
      <c r="H396" s="19"/>
      <c r="I396" s="19"/>
      <c r="J396" s="19"/>
      <c r="K396" s="228"/>
      <c r="L396" s="19"/>
      <c r="M396" s="19"/>
      <c r="N396" s="19"/>
      <c r="O396" s="19"/>
      <c r="P396" s="19"/>
      <c r="Q396" s="19"/>
      <c r="R396" s="19"/>
      <c r="S396" s="19"/>
      <c r="T396" s="19"/>
      <c r="U396" s="19"/>
      <c r="V396" s="19"/>
      <c r="W396" s="19"/>
      <c r="X396" s="19"/>
      <c r="Y396" s="19"/>
    </row>
    <row r="397" spans="1:25" ht="12" customHeight="1">
      <c r="B397" s="19"/>
      <c r="C397" s="19"/>
      <c r="D397" s="107"/>
      <c r="E397" s="107"/>
      <c r="F397" s="19"/>
      <c r="G397" s="19"/>
      <c r="H397" s="19"/>
      <c r="I397" s="19"/>
      <c r="J397" s="19"/>
      <c r="K397" s="228"/>
      <c r="L397" s="19"/>
      <c r="M397" s="19"/>
      <c r="N397" s="19"/>
      <c r="O397" s="19"/>
      <c r="P397" s="19"/>
      <c r="Q397" s="19"/>
      <c r="R397" s="19"/>
      <c r="S397" s="19"/>
      <c r="T397" s="19"/>
      <c r="U397" s="19"/>
      <c r="V397" s="19"/>
      <c r="W397" s="19"/>
      <c r="X397" s="19"/>
      <c r="Y397" s="19"/>
    </row>
    <row r="398" spans="1:25" ht="32.25" customHeight="1">
      <c r="A398" s="218" t="s">
        <v>268</v>
      </c>
      <c r="B398" s="24" t="s">
        <v>90</v>
      </c>
      <c r="C398" s="25" t="s">
        <v>368</v>
      </c>
      <c r="D398" s="26" t="s">
        <v>32</v>
      </c>
      <c r="E398" s="123"/>
      <c r="K398" s="228"/>
      <c r="L398" s="19"/>
      <c r="M398" s="19"/>
      <c r="N398" s="19"/>
      <c r="O398" s="19"/>
      <c r="P398" s="19"/>
      <c r="Q398" s="19"/>
      <c r="R398" s="19"/>
      <c r="T398" s="19"/>
      <c r="U398" s="19"/>
      <c r="V398" s="19"/>
      <c r="W398" s="19"/>
      <c r="X398" s="19"/>
      <c r="Y398" s="19"/>
    </row>
    <row r="399" spans="1:25" ht="12" customHeight="1">
      <c r="A399" s="219" t="n" cm="1">
        <f t="array" ref="A399">IFERROR(INDEX('03.Muestra'!$B$8:$B$42,SMALL(IF("Página Web"='03.Muestra'!$D$8:$D$42,ROW('03.Muestra'!$B$8:$B$42)-MIN(ROW('03.Muestra'!$D$8:$D$42))+1,""),ROW()-398)),"")</f>
        <v>1.0</v>
      </c>
      <c r="B399" s="114" t="str" cm="1">
        <f t="array" ref="B399">IFERROR(INDEX('03.Muestra'!$C$8:$C$42,SMALL(IF("Página Web"='03.Muestra'!$D$8:$D$42,ROW('03.Muestra'!$C$8:$C$42)-MIN(ROW('03.Muestra'!$D$8:$D$42))+1,""),ROW()-398)),"")</f>
        <v>Home - PortCastelló</v>
      </c>
      <c r="C399" s="114" t="str" cm="1">
        <f t="array" ref="C399">IFERROR(INDEX('03.Muestra'!$F$8:$F$42,SMALL(IF("Página Web"='03.Muestra'!$D$8:$D$42,ROW('03.Muestra'!$F$8:$F$42)-MIN(ROW('03.Muestra'!$D$8:$D$42))+1,""),ROW()-398)),"")</f>
        <v>https://www.portcastello.com/</v>
      </c>
      <c r="D399" s="130" t="str">
        <f>IF(AND(B399&lt;&gt;"",C399&lt;&gt;""),"N/T","")</f>
        <v>N/T</v>
      </c>
      <c r="E399" s="107" t="str">
        <f t="shared" ref="E399:E433" si="20">IF(D399&lt;&gt;"",IF(AND(B399&lt;&gt;"",C399&lt;&gt;""),"","ERR"),"")</f>
        <v/>
      </c>
      <c r="F399" s="115" t="s">
        <v>33</v>
      </c>
      <c r="G399" s="116" t="s">
        <v>37</v>
      </c>
      <c r="H399" s="117" t="s">
        <v>35</v>
      </c>
      <c r="I399" s="118" t="s">
        <v>28</v>
      </c>
      <c r="J399" s="119" t="s">
        <v>26</v>
      </c>
      <c r="K399" s="229" t="s">
        <v>474</v>
      </c>
      <c r="L399" s="19"/>
      <c r="M399" s="19"/>
      <c r="N399" s="19"/>
      <c r="O399" s="19"/>
      <c r="P399" s="19"/>
      <c r="Q399" s="19"/>
      <c r="R399" s="19"/>
      <c r="T399" s="19"/>
      <c r="U399" s="19"/>
      <c r="V399" s="19"/>
      <c r="W399" s="19"/>
      <c r="X399" s="19"/>
      <c r="Y399" s="19"/>
    </row>
    <row r="400" spans="1:25" ht="12" customHeight="1">
      <c r="A400" s="219" t="n" cm="1">
        <f t="array" ref="A400">IFERROR(INDEX('03.Muestra'!$B$8:$B$42,SMALL(IF("Página Web"='03.Muestra'!$D$8:$D$42,ROW('03.Muestra'!$B$8:$B$42)-MIN(ROW('03.Muestra'!$D$8:$D$42))+1,""),ROW()-398)),"")</f>
        <v>1.0</v>
      </c>
      <c r="B400" s="114" t="str" cm="1">
        <f t="array" ref="B400">IFERROR(INDEX('03.Muestra'!$C$8:$C$42,SMALL(IF("Página Web"='03.Muestra'!$D$8:$D$42,ROW('03.Muestra'!$C$8:$C$42)-MIN(ROW('03.Muestra'!$D$8:$D$42))+1,""),ROW()-398)),"")</f>
        <v>Home - PortCastelló</v>
      </c>
      <c r="C400" s="114" t="str" cm="1">
        <f t="array" ref="C400">IFERROR(INDEX('03.Muestra'!$F$8:$F$42,SMALL(IF("Página Web"='03.Muestra'!$D$8:$D$42,ROW('03.Muestra'!$F$8:$F$42)-MIN(ROW('03.Muestra'!$D$8:$D$42))+1,""),ROW()-398)),"")</f>
        <v>https://www.portcastello.com/</v>
      </c>
      <c r="D400" s="130" t="str">
        <f t="shared" ref="D400:D433" si="21">IF(AND(B400&lt;&gt;"",C400&lt;&gt;""),"N/T","")</f>
        <v>N/T</v>
      </c>
      <c r="E400" s="107" t="str">
        <f t="shared" si="20"/>
        <v/>
      </c>
      <c r="F400" s="120" t="n">
        <f ca="1">COUNTIF($D399:INDIRECT("$D" &amp;  SUM(ROW()-1,'03.Muestra'!$D$45)-1),F399)</f>
        <v>33.0</v>
      </c>
      <c r="G400" s="120" t="n">
        <f ca="1">COUNTIF($D399:INDIRECT("$D" &amp;  SUM(ROW()-1,'03.Muestra'!$D$45)-1),G399)</f>
        <v>0.0</v>
      </c>
      <c r="H400" s="120" t="n">
        <f ca="1">COUNTIF($D399:INDIRECT("$D" &amp;  SUM(ROW()-1,'03.Muestra'!$D$45)-1),H399)</f>
        <v>0.0</v>
      </c>
      <c r="I400" s="120" t="n">
        <f ca="1">COUNTIF($D399:INDIRECT("$D" &amp;  SUM(ROW()-1,'03.Muestra'!$D$45)-1),I399)</f>
        <v>0.0</v>
      </c>
      <c r="J400" s="120" t="n">
        <f ca="1">COUNTIF($D399:INDIRECT("$D" &amp;  SUM(ROW()-1,'03.Muestra'!$D$45)-1),J399)</f>
        <v>0.0</v>
      </c>
      <c r="K400" s="230" t="n">
        <f ca="1">IF(COUNTIF('03.Muestra'!$D$8:$D$42,"Página Web")=0,0,COUNTBLANK($D399:INDIRECT("$D" &amp;  SUM(ROW()-1,COUNTIF('03.Muestra'!$D$8:$D$42,"Página Web"))-1)))</f>
        <v>0.0</v>
      </c>
      <c r="L400" s="19"/>
      <c r="M400" s="19"/>
      <c r="N400" s="19"/>
      <c r="O400" s="19"/>
      <c r="P400" s="19"/>
      <c r="Q400" s="19"/>
      <c r="R400" s="19"/>
      <c r="T400" s="19"/>
      <c r="U400" s="19"/>
      <c r="V400" s="19"/>
      <c r="W400" s="19"/>
      <c r="X400" s="19"/>
      <c r="Y400" s="19"/>
    </row>
    <row r="401" spans="1:25" ht="12" customHeight="1">
      <c r="A401" s="219" t="n" cm="1">
        <f t="array" ref="A401">IFERROR(INDEX('03.Muestra'!$B$8:$B$42,SMALL(IF("Página Web"='03.Muestra'!$D$8:$D$42,ROW('03.Muestra'!$B$8:$B$42)-MIN(ROW('03.Muestra'!$D$8:$D$42))+1,""),ROW()-398)),"")</f>
        <v>1.0</v>
      </c>
      <c r="B401" s="114" t="str" cm="1">
        <f t="array" ref="B401">IFERROR(INDEX('03.Muestra'!$C$8:$C$42,SMALL(IF("Página Web"='03.Muestra'!$D$8:$D$42,ROW('03.Muestra'!$C$8:$C$42)-MIN(ROW('03.Muestra'!$D$8:$D$42))+1,""),ROW()-398)),"")</f>
        <v>Home - PortCastelló</v>
      </c>
      <c r="C401" s="114" t="str" cm="1">
        <f t="array" ref="C401">IFERROR(INDEX('03.Muestra'!$F$8:$F$42,SMALL(IF("Página Web"='03.Muestra'!$D$8:$D$42,ROW('03.Muestra'!$F$8:$F$42)-MIN(ROW('03.Muestra'!$D$8:$D$42))+1,""),ROW()-398)),"")</f>
        <v>https://www.portcastello.com/</v>
      </c>
      <c r="D401" s="130" t="str">
        <f t="shared" si="21"/>
        <v>N/T</v>
      </c>
      <c r="E401" s="107" t="str">
        <f t="shared" si="20"/>
        <v/>
      </c>
      <c r="G401" s="19"/>
      <c r="H401" s="19"/>
      <c r="I401" s="19"/>
      <c r="J401" s="19"/>
      <c r="K401" s="228"/>
      <c r="L401" s="19"/>
      <c r="M401" s="19"/>
      <c r="N401" s="19"/>
      <c r="O401" s="19"/>
      <c r="P401" s="19"/>
      <c r="Q401" s="19"/>
      <c r="R401" s="19"/>
      <c r="T401" s="19"/>
      <c r="U401" s="19"/>
      <c r="V401" s="19"/>
      <c r="W401" s="19"/>
      <c r="X401" s="19"/>
      <c r="Y401" s="19"/>
    </row>
    <row r="402" spans="1:25" ht="12" customHeight="1">
      <c r="A402" s="219" t="n" cm="1">
        <f t="array" ref="A402">IFERROR(INDEX('03.Muestra'!$B$8:$B$42,SMALL(IF("Página Web"='03.Muestra'!$D$8:$D$42,ROW('03.Muestra'!$B$8:$B$42)-MIN(ROW('03.Muestra'!$D$8:$D$42))+1,""),ROW()-398)),"")</f>
        <v>1.0</v>
      </c>
      <c r="B402" s="114" t="str" cm="1">
        <f t="array" ref="B402">IFERROR(INDEX('03.Muestra'!$C$8:$C$42,SMALL(IF("Página Web"='03.Muestra'!$D$8:$D$42,ROW('03.Muestra'!$C$8:$C$42)-MIN(ROW('03.Muestra'!$D$8:$D$42))+1,""),ROW()-398)),"")</f>
        <v>Home - PortCastelló</v>
      </c>
      <c r="C402" s="114" t="str" cm="1">
        <f t="array" ref="C402">IFERROR(INDEX('03.Muestra'!$F$8:$F$42,SMALL(IF("Página Web"='03.Muestra'!$D$8:$D$42,ROW('03.Muestra'!$F$8:$F$42)-MIN(ROW('03.Muestra'!$D$8:$D$42))+1,""),ROW()-398)),"")</f>
        <v>https://www.portcastello.com/</v>
      </c>
      <c r="D402" s="130" t="str">
        <f t="shared" si="21"/>
        <v>N/T</v>
      </c>
      <c r="E402" s="107" t="str">
        <f t="shared" si="20"/>
        <v/>
      </c>
      <c r="G402" s="19"/>
      <c r="H402" s="19"/>
      <c r="I402" s="19"/>
      <c r="J402" s="19"/>
      <c r="K402" s="228"/>
      <c r="L402" s="19"/>
      <c r="M402" s="19"/>
      <c r="N402" s="19"/>
      <c r="O402" s="19"/>
      <c r="P402" s="19"/>
      <c r="Q402" s="19"/>
      <c r="R402" s="19"/>
      <c r="T402" s="19"/>
      <c r="U402" s="19"/>
      <c r="V402" s="19"/>
      <c r="W402" s="19"/>
      <c r="X402" s="19"/>
      <c r="Y402" s="19"/>
    </row>
    <row r="403" spans="1:25" ht="12" customHeight="1">
      <c r="A403" s="219" t="n" cm="1">
        <f t="array" ref="A403">IFERROR(INDEX('03.Muestra'!$B$8:$B$42,SMALL(IF("Página Web"='03.Muestra'!$D$8:$D$42,ROW('03.Muestra'!$B$8:$B$42)-MIN(ROW('03.Muestra'!$D$8:$D$42))+1,""),ROW()-398)),"")</f>
        <v>1.0</v>
      </c>
      <c r="B403" s="114" t="str" cm="1">
        <f t="array" ref="B403">IFERROR(INDEX('03.Muestra'!$C$8:$C$42,SMALL(IF("Página Web"='03.Muestra'!$D$8:$D$42,ROW('03.Muestra'!$C$8:$C$42)-MIN(ROW('03.Muestra'!$D$8:$D$42))+1,""),ROW()-398)),"")</f>
        <v>Home - PortCastelló</v>
      </c>
      <c r="C403" s="114" t="str" cm="1">
        <f t="array" ref="C403">IFERROR(INDEX('03.Muestra'!$F$8:$F$42,SMALL(IF("Página Web"='03.Muestra'!$D$8:$D$42,ROW('03.Muestra'!$F$8:$F$42)-MIN(ROW('03.Muestra'!$D$8:$D$42))+1,""),ROW()-398)),"")</f>
        <v>https://www.portcastello.com/</v>
      </c>
      <c r="D403" s="130" t="str">
        <f t="shared" si="21"/>
        <v>N/T</v>
      </c>
      <c r="E403" s="107" t="str">
        <f t="shared" si="20"/>
        <v/>
      </c>
      <c r="G403" s="19"/>
      <c r="H403" s="19"/>
      <c r="I403" s="19"/>
      <c r="J403" s="19"/>
      <c r="K403" s="228"/>
      <c r="L403" s="19"/>
      <c r="M403" s="19"/>
      <c r="N403" s="19"/>
      <c r="O403" s="19"/>
      <c r="P403" s="19"/>
      <c r="Q403" s="19"/>
      <c r="R403" s="19"/>
      <c r="T403" s="19"/>
      <c r="U403" s="19"/>
      <c r="V403" s="19"/>
      <c r="W403" s="19"/>
      <c r="X403" s="19"/>
      <c r="Y403" s="19"/>
    </row>
    <row r="404" spans="1:25" ht="12" customHeight="1">
      <c r="A404" s="219" t="n" cm="1">
        <f t="array" ref="A404">IFERROR(INDEX('03.Muestra'!$B$8:$B$42,SMALL(IF("Página Web"='03.Muestra'!$D$8:$D$42,ROW('03.Muestra'!$B$8:$B$42)-MIN(ROW('03.Muestra'!$D$8:$D$42))+1,""),ROW()-398)),"")</f>
        <v>1.0</v>
      </c>
      <c r="B404" s="114" t="str" cm="1">
        <f t="array" ref="B404">IFERROR(INDEX('03.Muestra'!$C$8:$C$42,SMALL(IF("Página Web"='03.Muestra'!$D$8:$D$42,ROW('03.Muestra'!$C$8:$C$42)-MIN(ROW('03.Muestra'!$D$8:$D$42))+1,""),ROW()-398)),"")</f>
        <v>Home - PortCastelló</v>
      </c>
      <c r="C404" s="114" t="str" cm="1">
        <f t="array" ref="C404">IFERROR(INDEX('03.Muestra'!$F$8:$F$42,SMALL(IF("Página Web"='03.Muestra'!$D$8:$D$42,ROW('03.Muestra'!$F$8:$F$42)-MIN(ROW('03.Muestra'!$D$8:$D$42))+1,""),ROW()-398)),"")</f>
        <v>https://www.portcastello.com/</v>
      </c>
      <c r="D404" s="130" t="str">
        <f t="shared" si="21"/>
        <v>N/T</v>
      </c>
      <c r="E404" s="107" t="str">
        <f t="shared" si="20"/>
        <v/>
      </c>
      <c r="G404" s="19"/>
      <c r="H404" s="19"/>
      <c r="I404" s="19"/>
      <c r="J404" s="19"/>
      <c r="K404" s="228"/>
      <c r="L404" s="19"/>
      <c r="M404" s="19"/>
      <c r="N404" s="19"/>
      <c r="O404" s="19"/>
      <c r="P404" s="19"/>
      <c r="Q404" s="19"/>
      <c r="R404" s="19"/>
      <c r="T404" s="19"/>
      <c r="U404" s="19"/>
      <c r="V404" s="19"/>
      <c r="W404" s="19"/>
      <c r="X404" s="19"/>
      <c r="Y404" s="19"/>
    </row>
    <row r="405" spans="1:25" ht="12" customHeight="1">
      <c r="A405" s="219" t="n" cm="1">
        <f t="array" ref="A405">IFERROR(INDEX('03.Muestra'!$B$8:$B$42,SMALL(IF("Página Web"='03.Muestra'!$D$8:$D$42,ROW('03.Muestra'!$B$8:$B$42)-MIN(ROW('03.Muestra'!$D$8:$D$42))+1,""),ROW()-398)),"")</f>
        <v>1.0</v>
      </c>
      <c r="B405" s="114" t="str" cm="1">
        <f t="array" ref="B405">IFERROR(INDEX('03.Muestra'!$C$8:$C$42,SMALL(IF("Página Web"='03.Muestra'!$D$8:$D$42,ROW('03.Muestra'!$C$8:$C$42)-MIN(ROW('03.Muestra'!$D$8:$D$42))+1,""),ROW()-398)),"")</f>
        <v>Home - PortCastelló</v>
      </c>
      <c r="C405" s="114" t="str" cm="1">
        <f t="array" ref="C405">IFERROR(INDEX('03.Muestra'!$F$8:$F$42,SMALL(IF("Página Web"='03.Muestra'!$D$8:$D$42,ROW('03.Muestra'!$F$8:$F$42)-MIN(ROW('03.Muestra'!$D$8:$D$42))+1,""),ROW()-398)),"")</f>
        <v>https://www.portcastello.com/</v>
      </c>
      <c r="D405" s="130" t="str">
        <f t="shared" si="21"/>
        <v>N/T</v>
      </c>
      <c r="E405" s="107" t="str">
        <f t="shared" si="20"/>
        <v/>
      </c>
      <c r="F405" s="19"/>
      <c r="G405" s="19"/>
      <c r="H405" s="19"/>
      <c r="I405" s="19"/>
      <c r="J405" s="19"/>
      <c r="K405" s="228"/>
      <c r="L405" s="19"/>
      <c r="M405" s="19"/>
      <c r="N405" s="19"/>
      <c r="O405" s="19"/>
      <c r="P405" s="19"/>
      <c r="Q405" s="19"/>
      <c r="R405" s="19"/>
      <c r="S405" s="19"/>
      <c r="T405" s="19"/>
      <c r="U405" s="19"/>
      <c r="V405" s="19"/>
      <c r="W405" s="19"/>
      <c r="X405" s="19"/>
      <c r="Y405" s="19"/>
    </row>
    <row r="406" spans="1:25" ht="12" customHeight="1">
      <c r="A406" s="219" t="n" cm="1">
        <f t="array" ref="A406">IFERROR(INDEX('03.Muestra'!$B$8:$B$42,SMALL(IF("Página Web"='03.Muestra'!$D$8:$D$42,ROW('03.Muestra'!$B$8:$B$42)-MIN(ROW('03.Muestra'!$D$8:$D$42))+1,""),ROW()-398)),"")</f>
        <v>1.0</v>
      </c>
      <c r="B406" s="114" t="str" cm="1">
        <f t="array" ref="B406">IFERROR(INDEX('03.Muestra'!$C$8:$C$42,SMALL(IF("Página Web"='03.Muestra'!$D$8:$D$42,ROW('03.Muestra'!$C$8:$C$42)-MIN(ROW('03.Muestra'!$D$8:$D$42))+1,""),ROW()-398)),"")</f>
        <v>Home - PortCastelló</v>
      </c>
      <c r="C406" s="114" t="str" cm="1">
        <f t="array" ref="C406">IFERROR(INDEX('03.Muestra'!$F$8:$F$42,SMALL(IF("Página Web"='03.Muestra'!$D$8:$D$42,ROW('03.Muestra'!$F$8:$F$42)-MIN(ROW('03.Muestra'!$D$8:$D$42))+1,""),ROW()-398)),"")</f>
        <v>https://www.portcastello.com/</v>
      </c>
      <c r="D406" s="130" t="str">
        <f t="shared" si="21"/>
        <v>N/T</v>
      </c>
      <c r="E406" s="107" t="str">
        <f t="shared" si="20"/>
        <v/>
      </c>
      <c r="F406" s="19"/>
      <c r="G406" s="19"/>
      <c r="H406" s="19"/>
      <c r="I406" s="19"/>
      <c r="J406" s="19"/>
      <c r="K406" s="228"/>
      <c r="L406" s="19"/>
      <c r="M406" s="19"/>
      <c r="N406" s="19"/>
      <c r="O406" s="19"/>
      <c r="P406" s="19"/>
      <c r="Q406" s="19"/>
      <c r="R406" s="19"/>
      <c r="S406" s="19"/>
      <c r="T406" s="19"/>
      <c r="U406" s="19"/>
      <c r="V406" s="19"/>
      <c r="W406" s="19"/>
      <c r="X406" s="19"/>
      <c r="Y406" s="19"/>
    </row>
    <row r="407" spans="1:25" ht="12" customHeight="1">
      <c r="A407" s="219" t="n" cm="1">
        <f t="array" ref="A407">IFERROR(INDEX('03.Muestra'!$B$8:$B$42,SMALL(IF("Página Web"='03.Muestra'!$D$8:$D$42,ROW('03.Muestra'!$B$8:$B$42)-MIN(ROW('03.Muestra'!$D$8:$D$42))+1,""),ROW()-398)),"")</f>
        <v>1.0</v>
      </c>
      <c r="B407" s="114" t="str" cm="1">
        <f t="array" ref="B407">IFERROR(INDEX('03.Muestra'!$C$8:$C$42,SMALL(IF("Página Web"='03.Muestra'!$D$8:$D$42,ROW('03.Muestra'!$C$8:$C$42)-MIN(ROW('03.Muestra'!$D$8:$D$42))+1,""),ROW()-398)),"")</f>
        <v>Home - PortCastelló</v>
      </c>
      <c r="C407" s="114" t="str" cm="1">
        <f t="array" ref="C407">IFERROR(INDEX('03.Muestra'!$F$8:$F$42,SMALL(IF("Página Web"='03.Muestra'!$D$8:$D$42,ROW('03.Muestra'!$F$8:$F$42)-MIN(ROW('03.Muestra'!$D$8:$D$42))+1,""),ROW()-398)),"")</f>
        <v>https://www.portcastello.com/</v>
      </c>
      <c r="D407" s="130" t="str">
        <f t="shared" si="21"/>
        <v>N/T</v>
      </c>
      <c r="E407" s="107" t="str">
        <f t="shared" si="20"/>
        <v/>
      </c>
      <c r="F407" s="19"/>
      <c r="G407" s="19"/>
      <c r="H407" s="19"/>
      <c r="I407" s="19"/>
      <c r="J407" s="19"/>
      <c r="K407" s="228"/>
      <c r="L407" s="19"/>
      <c r="M407" s="19"/>
      <c r="N407" s="19"/>
      <c r="O407" s="19"/>
      <c r="P407" s="19"/>
      <c r="Q407" s="19"/>
      <c r="R407" s="19"/>
      <c r="S407" s="19"/>
      <c r="T407" s="19"/>
      <c r="U407" s="19"/>
      <c r="V407" s="19"/>
      <c r="W407" s="19"/>
      <c r="X407" s="19"/>
      <c r="Y407" s="19"/>
    </row>
    <row r="408" spans="1:25" ht="12" customHeight="1">
      <c r="A408" s="219" t="n" cm="1">
        <f t="array" ref="A408">IFERROR(INDEX('03.Muestra'!$B$8:$B$42,SMALL(IF("Página Web"='03.Muestra'!$D$8:$D$42,ROW('03.Muestra'!$B$8:$B$42)-MIN(ROW('03.Muestra'!$D$8:$D$42))+1,""),ROW()-398)),"")</f>
        <v>1.0</v>
      </c>
      <c r="B408" s="114" t="str" cm="1">
        <f t="array" ref="B408">IFERROR(INDEX('03.Muestra'!$C$8:$C$42,SMALL(IF("Página Web"='03.Muestra'!$D$8:$D$42,ROW('03.Muestra'!$C$8:$C$42)-MIN(ROW('03.Muestra'!$D$8:$D$42))+1,""),ROW()-398)),"")</f>
        <v>Home - PortCastelló</v>
      </c>
      <c r="C408" s="114" t="str" cm="1">
        <f t="array" ref="C408">IFERROR(INDEX('03.Muestra'!$F$8:$F$42,SMALL(IF("Página Web"='03.Muestra'!$D$8:$D$42,ROW('03.Muestra'!$F$8:$F$42)-MIN(ROW('03.Muestra'!$D$8:$D$42))+1,""),ROW()-398)),"")</f>
        <v>https://www.portcastello.com/</v>
      </c>
      <c r="D408" s="130" t="str">
        <f t="shared" si="21"/>
        <v>N/T</v>
      </c>
      <c r="E408" s="107" t="str">
        <f t="shared" si="20"/>
        <v/>
      </c>
      <c r="F408" s="19"/>
      <c r="G408" s="19"/>
      <c r="H408" s="19"/>
      <c r="I408" s="19"/>
      <c r="J408" s="19"/>
      <c r="K408" s="228"/>
      <c r="L408" s="19"/>
      <c r="M408" s="19"/>
      <c r="N408" s="19"/>
      <c r="O408" s="19"/>
      <c r="P408" s="19"/>
      <c r="Q408" s="19"/>
      <c r="R408" s="19"/>
      <c r="S408" s="19"/>
      <c r="T408" s="19"/>
      <c r="U408" s="19"/>
      <c r="V408" s="19"/>
      <c r="W408" s="19"/>
      <c r="X408" s="19"/>
      <c r="Y408" s="19"/>
    </row>
    <row r="409" spans="1:25" ht="12" customHeight="1">
      <c r="A409" s="219" t="n" cm="1">
        <f t="array" ref="A409">IFERROR(INDEX('03.Muestra'!$B$8:$B$42,SMALL(IF("Página Web"='03.Muestra'!$D$8:$D$42,ROW('03.Muestra'!$B$8:$B$42)-MIN(ROW('03.Muestra'!$D$8:$D$42))+1,""),ROW()-398)),"")</f>
        <v>1.0</v>
      </c>
      <c r="B409" s="114" t="str" cm="1">
        <f t="array" ref="B409">IFERROR(INDEX('03.Muestra'!$C$8:$C$42,SMALL(IF("Página Web"='03.Muestra'!$D$8:$D$42,ROW('03.Muestra'!$C$8:$C$42)-MIN(ROW('03.Muestra'!$D$8:$D$42))+1,""),ROW()-398)),"")</f>
        <v>Home - PortCastelló</v>
      </c>
      <c r="C409" s="114" t="str" cm="1">
        <f t="array" ref="C409">IFERROR(INDEX('03.Muestra'!$F$8:$F$42,SMALL(IF("Página Web"='03.Muestra'!$D$8:$D$42,ROW('03.Muestra'!$F$8:$F$42)-MIN(ROW('03.Muestra'!$D$8:$D$42))+1,""),ROW()-398)),"")</f>
        <v>https://www.portcastello.com/</v>
      </c>
      <c r="D409" s="130" t="str">
        <f t="shared" si="21"/>
        <v>N/T</v>
      </c>
      <c r="E409" s="107" t="str">
        <f t="shared" si="20"/>
        <v/>
      </c>
      <c r="F409" s="19"/>
      <c r="G409" s="19"/>
      <c r="H409" s="19"/>
      <c r="I409" s="19"/>
      <c r="J409" s="19"/>
      <c r="K409" s="228"/>
      <c r="L409" s="19"/>
      <c r="M409" s="19"/>
      <c r="N409" s="19"/>
      <c r="O409" s="19"/>
      <c r="P409" s="19"/>
      <c r="Q409" s="19"/>
      <c r="R409" s="19"/>
      <c r="S409" s="19"/>
      <c r="T409" s="19"/>
      <c r="U409" s="19"/>
      <c r="V409" s="19"/>
      <c r="W409" s="19"/>
      <c r="X409" s="19"/>
      <c r="Y409" s="19"/>
    </row>
    <row r="410" spans="1:25" ht="12" customHeight="1">
      <c r="A410" s="219" t="n" cm="1">
        <f t="array" ref="A410">IFERROR(INDEX('03.Muestra'!$B$8:$B$42,SMALL(IF("Página Web"='03.Muestra'!$D$8:$D$42,ROW('03.Muestra'!$B$8:$B$42)-MIN(ROW('03.Muestra'!$D$8:$D$42))+1,""),ROW()-398)),"")</f>
        <v>1.0</v>
      </c>
      <c r="B410" s="114" t="str" cm="1">
        <f t="array" ref="B410">IFERROR(INDEX('03.Muestra'!$C$8:$C$42,SMALL(IF("Página Web"='03.Muestra'!$D$8:$D$42,ROW('03.Muestra'!$C$8:$C$42)-MIN(ROW('03.Muestra'!$D$8:$D$42))+1,""),ROW()-398)),"")</f>
        <v>Home - PortCastelló</v>
      </c>
      <c r="C410" s="114" t="str" cm="1">
        <f t="array" ref="C410">IFERROR(INDEX('03.Muestra'!$F$8:$F$42,SMALL(IF("Página Web"='03.Muestra'!$D$8:$D$42,ROW('03.Muestra'!$F$8:$F$42)-MIN(ROW('03.Muestra'!$D$8:$D$42))+1,""),ROW()-398)),"")</f>
        <v>https://www.portcastello.com/</v>
      </c>
      <c r="D410" s="130" t="str">
        <f t="shared" si="21"/>
        <v>N/T</v>
      </c>
      <c r="E410" s="107" t="str">
        <f t="shared" si="20"/>
        <v/>
      </c>
      <c r="F410" s="19"/>
      <c r="G410" s="19"/>
      <c r="H410" s="19"/>
      <c r="I410" s="19"/>
      <c r="J410" s="19"/>
      <c r="K410" s="228"/>
      <c r="L410" s="19"/>
      <c r="M410" s="19"/>
      <c r="N410" s="19"/>
      <c r="O410" s="19"/>
      <c r="P410" s="19"/>
      <c r="Q410" s="19"/>
      <c r="R410" s="19"/>
      <c r="S410" s="19"/>
      <c r="T410" s="19"/>
      <c r="U410" s="19"/>
      <c r="V410" s="19"/>
      <c r="W410" s="19"/>
      <c r="X410" s="19"/>
      <c r="Y410" s="19"/>
    </row>
    <row r="411" spans="1:25" ht="12" customHeight="1">
      <c r="A411" s="219" t="n" cm="1">
        <f t="array" ref="A411">IFERROR(INDEX('03.Muestra'!$B$8:$B$42,SMALL(IF("Página Web"='03.Muestra'!$D$8:$D$42,ROW('03.Muestra'!$B$8:$B$42)-MIN(ROW('03.Muestra'!$D$8:$D$42))+1,""),ROW()-398)),"")</f>
        <v>1.0</v>
      </c>
      <c r="B411" s="114" t="str" cm="1">
        <f t="array" ref="B411">IFERROR(INDEX('03.Muestra'!$C$8:$C$42,SMALL(IF("Página Web"='03.Muestra'!$D$8:$D$42,ROW('03.Muestra'!$C$8:$C$42)-MIN(ROW('03.Muestra'!$D$8:$D$42))+1,""),ROW()-398)),"")</f>
        <v>Home - PortCastelló</v>
      </c>
      <c r="C411" s="114" t="str" cm="1">
        <f t="array" ref="C411">IFERROR(INDEX('03.Muestra'!$F$8:$F$42,SMALL(IF("Página Web"='03.Muestra'!$D$8:$D$42,ROW('03.Muestra'!$F$8:$F$42)-MIN(ROW('03.Muestra'!$D$8:$D$42))+1,""),ROW()-398)),"")</f>
        <v>https://www.portcastello.com/</v>
      </c>
      <c r="D411" s="130" t="str">
        <f t="shared" si="21"/>
        <v>N/T</v>
      </c>
      <c r="E411" s="107" t="str">
        <f t="shared" si="20"/>
        <v/>
      </c>
      <c r="F411" s="19"/>
      <c r="G411" s="19"/>
      <c r="H411" s="19"/>
      <c r="I411" s="19"/>
      <c r="J411" s="19"/>
      <c r="K411" s="228"/>
      <c r="L411" s="19"/>
      <c r="M411" s="19"/>
      <c r="N411" s="19"/>
      <c r="O411" s="19"/>
      <c r="P411" s="19"/>
      <c r="Q411" s="19"/>
      <c r="R411" s="19"/>
      <c r="S411" s="19"/>
      <c r="T411" s="19"/>
      <c r="U411" s="19"/>
      <c r="V411" s="19"/>
      <c r="W411" s="19"/>
      <c r="X411" s="19"/>
      <c r="Y411" s="19"/>
    </row>
    <row r="412" spans="1:25" ht="12" customHeight="1">
      <c r="A412" s="219" t="n" cm="1">
        <f t="array" ref="A412">IFERROR(INDEX('03.Muestra'!$B$8:$B$42,SMALL(IF("Página Web"='03.Muestra'!$D$8:$D$42,ROW('03.Muestra'!$B$8:$B$42)-MIN(ROW('03.Muestra'!$D$8:$D$42))+1,""),ROW()-398)),"")</f>
        <v>1.0</v>
      </c>
      <c r="B412" s="114" t="str" cm="1">
        <f t="array" ref="B412">IFERROR(INDEX('03.Muestra'!$C$8:$C$42,SMALL(IF("Página Web"='03.Muestra'!$D$8:$D$42,ROW('03.Muestra'!$C$8:$C$42)-MIN(ROW('03.Muestra'!$D$8:$D$42))+1,""),ROW()-398)),"")</f>
        <v>Home - PortCastelló</v>
      </c>
      <c r="C412" s="114" t="str" cm="1">
        <f t="array" ref="C412">IFERROR(INDEX('03.Muestra'!$F$8:$F$42,SMALL(IF("Página Web"='03.Muestra'!$D$8:$D$42,ROW('03.Muestra'!$F$8:$F$42)-MIN(ROW('03.Muestra'!$D$8:$D$42))+1,""),ROW()-398)),"")</f>
        <v>https://www.portcastello.com/</v>
      </c>
      <c r="D412" s="130" t="str">
        <f t="shared" si="21"/>
        <v>N/T</v>
      </c>
      <c r="E412" s="107" t="str">
        <f t="shared" si="20"/>
        <v/>
      </c>
      <c r="F412" s="19"/>
      <c r="G412" s="19"/>
      <c r="H412" s="19"/>
      <c r="I412" s="19"/>
      <c r="J412" s="19"/>
      <c r="K412" s="228"/>
      <c r="L412" s="19"/>
      <c r="M412" s="19"/>
      <c r="N412" s="19"/>
      <c r="O412" s="19"/>
      <c r="P412" s="19"/>
      <c r="Q412" s="19"/>
      <c r="R412" s="19"/>
      <c r="S412" s="19"/>
      <c r="T412" s="19"/>
      <c r="U412" s="19"/>
      <c r="V412" s="19"/>
      <c r="W412" s="19"/>
      <c r="X412" s="19"/>
      <c r="Y412" s="19"/>
    </row>
    <row r="413" spans="1:25" ht="12" customHeight="1">
      <c r="A413" s="219" t="n" cm="1">
        <f t="array" ref="A413">IFERROR(INDEX('03.Muestra'!$B$8:$B$42,SMALL(IF("Página Web"='03.Muestra'!$D$8:$D$42,ROW('03.Muestra'!$B$8:$B$42)-MIN(ROW('03.Muestra'!$D$8:$D$42))+1,""),ROW()-398)),"")</f>
        <v>1.0</v>
      </c>
      <c r="B413" s="114" t="str" cm="1">
        <f t="array" ref="B413">IFERROR(INDEX('03.Muestra'!$C$8:$C$42,SMALL(IF("Página Web"='03.Muestra'!$D$8:$D$42,ROW('03.Muestra'!$C$8:$C$42)-MIN(ROW('03.Muestra'!$D$8:$D$42))+1,""),ROW()-398)),"")</f>
        <v>Home - PortCastelló</v>
      </c>
      <c r="C413" s="114" t="str" cm="1">
        <f t="array" ref="C413">IFERROR(INDEX('03.Muestra'!$F$8:$F$42,SMALL(IF("Página Web"='03.Muestra'!$D$8:$D$42,ROW('03.Muestra'!$F$8:$F$42)-MIN(ROW('03.Muestra'!$D$8:$D$42))+1,""),ROW()-398)),"")</f>
        <v>https://www.portcastello.com/</v>
      </c>
      <c r="D413" s="130" t="str">
        <f t="shared" si="21"/>
        <v>N/T</v>
      </c>
      <c r="E413" s="107" t="str">
        <f t="shared" si="20"/>
        <v/>
      </c>
      <c r="F413" s="19"/>
      <c r="G413" s="19"/>
      <c r="H413" s="19"/>
      <c r="I413" s="19"/>
      <c r="J413" s="19"/>
      <c r="K413" s="228"/>
      <c r="L413" s="19"/>
      <c r="M413" s="19"/>
      <c r="N413" s="19"/>
      <c r="O413" s="19"/>
      <c r="P413" s="19"/>
      <c r="Q413" s="19"/>
      <c r="R413" s="19"/>
      <c r="S413" s="19"/>
      <c r="T413" s="19"/>
      <c r="U413" s="19"/>
      <c r="V413" s="19"/>
      <c r="W413" s="19"/>
      <c r="X413" s="19"/>
      <c r="Y413" s="19"/>
    </row>
    <row r="414" spans="1:25" ht="12" customHeight="1">
      <c r="A414" s="219" t="n" cm="1">
        <f t="array" ref="A414">IFERROR(INDEX('03.Muestra'!$B$8:$B$42,SMALL(IF("Página Web"='03.Muestra'!$D$8:$D$42,ROW('03.Muestra'!$B$8:$B$42)-MIN(ROW('03.Muestra'!$D$8:$D$42))+1,""),ROW()-398)),"")</f>
        <v>1.0</v>
      </c>
      <c r="B414" s="114" t="str" cm="1">
        <f t="array" ref="B414">IFERROR(INDEX('03.Muestra'!$C$8:$C$42,SMALL(IF("Página Web"='03.Muestra'!$D$8:$D$42,ROW('03.Muestra'!$C$8:$C$42)-MIN(ROW('03.Muestra'!$D$8:$D$42))+1,""),ROW()-398)),"")</f>
        <v>Home - PortCastelló</v>
      </c>
      <c r="C414" s="114" t="str" cm="1">
        <f t="array" ref="C414">IFERROR(INDEX('03.Muestra'!$F$8:$F$42,SMALL(IF("Página Web"='03.Muestra'!$D$8:$D$42,ROW('03.Muestra'!$F$8:$F$42)-MIN(ROW('03.Muestra'!$D$8:$D$42))+1,""),ROW()-398)),"")</f>
        <v>https://www.portcastello.com/</v>
      </c>
      <c r="D414" s="130" t="str">
        <f t="shared" si="21"/>
        <v>N/T</v>
      </c>
      <c r="E414" s="107" t="str">
        <f t="shared" si="20"/>
        <v/>
      </c>
      <c r="F414" s="19"/>
      <c r="G414" s="19"/>
      <c r="H414" s="19"/>
      <c r="I414" s="19"/>
      <c r="J414" s="19"/>
      <c r="K414" s="228"/>
      <c r="L414" s="19"/>
      <c r="M414" s="19"/>
      <c r="N414" s="19"/>
      <c r="O414" s="19"/>
      <c r="P414" s="19"/>
      <c r="Q414" s="19"/>
      <c r="R414" s="19"/>
      <c r="S414" s="19"/>
      <c r="T414" s="19"/>
      <c r="U414" s="19"/>
      <c r="V414" s="19"/>
      <c r="W414" s="19"/>
      <c r="X414" s="19"/>
      <c r="Y414" s="19"/>
    </row>
    <row r="415" spans="1:25" ht="12" customHeight="1">
      <c r="A415" s="219" t="n" cm="1">
        <f t="array" ref="A415">IFERROR(INDEX('03.Muestra'!$B$8:$B$42,SMALL(IF("Página Web"='03.Muestra'!$D$8:$D$42,ROW('03.Muestra'!$B$8:$B$42)-MIN(ROW('03.Muestra'!$D$8:$D$42))+1,""),ROW()-398)),"")</f>
        <v>1.0</v>
      </c>
      <c r="B415" s="114" t="str" cm="1">
        <f t="array" ref="B415">IFERROR(INDEX('03.Muestra'!$C$8:$C$42,SMALL(IF("Página Web"='03.Muestra'!$D$8:$D$42,ROW('03.Muestra'!$C$8:$C$42)-MIN(ROW('03.Muestra'!$D$8:$D$42))+1,""),ROW()-398)),"")</f>
        <v>Home - PortCastelló</v>
      </c>
      <c r="C415" s="114" t="str" cm="1">
        <f t="array" ref="C415">IFERROR(INDEX('03.Muestra'!$F$8:$F$42,SMALL(IF("Página Web"='03.Muestra'!$D$8:$D$42,ROW('03.Muestra'!$F$8:$F$42)-MIN(ROW('03.Muestra'!$D$8:$D$42))+1,""),ROW()-398)),"")</f>
        <v>https://www.portcastello.com/</v>
      </c>
      <c r="D415" s="130" t="str">
        <f t="shared" si="21"/>
        <v>N/T</v>
      </c>
      <c r="E415" s="107" t="str">
        <f t="shared" si="20"/>
        <v/>
      </c>
      <c r="F415" s="19"/>
      <c r="G415" s="19"/>
      <c r="H415" s="19"/>
      <c r="I415" s="19"/>
      <c r="J415" s="19"/>
      <c r="K415" s="228"/>
      <c r="L415" s="19"/>
      <c r="M415" s="19"/>
      <c r="N415" s="19"/>
      <c r="O415" s="19"/>
      <c r="P415" s="19"/>
      <c r="Q415" s="19"/>
      <c r="R415" s="19"/>
      <c r="S415" s="19"/>
      <c r="T415" s="19"/>
      <c r="U415" s="19"/>
      <c r="V415" s="19"/>
      <c r="W415" s="19"/>
      <c r="X415" s="19"/>
      <c r="Y415" s="19"/>
    </row>
    <row r="416" spans="1:25" ht="12" customHeight="1">
      <c r="A416" s="219" t="n" cm="1">
        <f t="array" ref="A416">IFERROR(INDEX('03.Muestra'!$B$8:$B$42,SMALL(IF("Página Web"='03.Muestra'!$D$8:$D$42,ROW('03.Muestra'!$B$8:$B$42)-MIN(ROW('03.Muestra'!$D$8:$D$42))+1,""),ROW()-398)),"")</f>
        <v>1.0</v>
      </c>
      <c r="B416" s="114" t="str" cm="1">
        <f t="array" ref="B416">IFERROR(INDEX('03.Muestra'!$C$8:$C$42,SMALL(IF("Página Web"='03.Muestra'!$D$8:$D$42,ROW('03.Muestra'!$C$8:$C$42)-MIN(ROW('03.Muestra'!$D$8:$D$42))+1,""),ROW()-398)),"")</f>
        <v>Home - PortCastelló</v>
      </c>
      <c r="C416" s="114" t="str" cm="1">
        <f t="array" ref="C416">IFERROR(INDEX('03.Muestra'!$F$8:$F$42,SMALL(IF("Página Web"='03.Muestra'!$D$8:$D$42,ROW('03.Muestra'!$F$8:$F$42)-MIN(ROW('03.Muestra'!$D$8:$D$42))+1,""),ROW()-398)),"")</f>
        <v>https://www.portcastello.com/</v>
      </c>
      <c r="D416" s="130" t="str">
        <f t="shared" si="21"/>
        <v>N/T</v>
      </c>
      <c r="E416" s="107" t="str">
        <f t="shared" si="20"/>
        <v/>
      </c>
      <c r="F416" s="19"/>
      <c r="G416" s="19"/>
      <c r="H416" s="19"/>
      <c r="I416" s="19"/>
      <c r="J416" s="19"/>
      <c r="K416" s="228"/>
      <c r="L416" s="19"/>
      <c r="M416" s="19"/>
      <c r="N416" s="19"/>
      <c r="O416" s="19"/>
      <c r="P416" s="19"/>
      <c r="Q416" s="19"/>
      <c r="R416" s="19"/>
      <c r="S416" s="19"/>
      <c r="T416" s="19"/>
      <c r="U416" s="19"/>
      <c r="V416" s="19"/>
      <c r="W416" s="19"/>
      <c r="X416" s="19"/>
      <c r="Y416" s="19"/>
    </row>
    <row r="417" spans="1:25" ht="12" customHeight="1">
      <c r="A417" s="219" t="n" cm="1">
        <f t="array" ref="A417">IFERROR(INDEX('03.Muestra'!$B$8:$B$42,SMALL(IF("Página Web"='03.Muestra'!$D$8:$D$42,ROW('03.Muestra'!$B$8:$B$42)-MIN(ROW('03.Muestra'!$D$8:$D$42))+1,""),ROW()-398)),"")</f>
        <v>1.0</v>
      </c>
      <c r="B417" s="114" t="str" cm="1">
        <f t="array" ref="B417">IFERROR(INDEX('03.Muestra'!$C$8:$C$42,SMALL(IF("Página Web"='03.Muestra'!$D$8:$D$42,ROW('03.Muestra'!$C$8:$C$42)-MIN(ROW('03.Muestra'!$D$8:$D$42))+1,""),ROW()-398)),"")</f>
        <v>Home - PortCastelló</v>
      </c>
      <c r="C417" s="114" t="str" cm="1">
        <f t="array" ref="C417">IFERROR(INDEX('03.Muestra'!$F$8:$F$42,SMALL(IF("Página Web"='03.Muestra'!$D$8:$D$42,ROW('03.Muestra'!$F$8:$F$42)-MIN(ROW('03.Muestra'!$D$8:$D$42))+1,""),ROW()-398)),"")</f>
        <v>https://www.portcastello.com/</v>
      </c>
      <c r="D417" s="130" t="str">
        <f t="shared" si="21"/>
        <v>N/T</v>
      </c>
      <c r="E417" s="107" t="str">
        <f t="shared" si="20"/>
        <v/>
      </c>
      <c r="F417" s="19"/>
      <c r="G417" s="19"/>
      <c r="H417" s="19"/>
      <c r="I417" s="19"/>
      <c r="J417" s="19"/>
      <c r="K417" s="228"/>
      <c r="L417" s="19"/>
      <c r="M417" s="19"/>
      <c r="N417" s="19"/>
      <c r="O417" s="19"/>
      <c r="P417" s="19"/>
      <c r="Q417" s="19"/>
      <c r="R417" s="19"/>
      <c r="S417" s="19"/>
      <c r="T417" s="19"/>
      <c r="U417" s="19"/>
      <c r="V417" s="19"/>
      <c r="W417" s="19"/>
      <c r="X417" s="19"/>
      <c r="Y417" s="19"/>
    </row>
    <row r="418" spans="1:25" ht="12" customHeight="1">
      <c r="A418" s="219" t="n" cm="1">
        <f t="array" ref="A418">IFERROR(INDEX('03.Muestra'!$B$8:$B$42,SMALL(IF("Página Web"='03.Muestra'!$D$8:$D$42,ROW('03.Muestra'!$B$8:$B$42)-MIN(ROW('03.Muestra'!$D$8:$D$42))+1,""),ROW()-398)),"")</f>
        <v>1.0</v>
      </c>
      <c r="B418" s="114" t="str" cm="1">
        <f t="array" ref="B418">IFERROR(INDEX('03.Muestra'!$C$8:$C$42,SMALL(IF("Página Web"='03.Muestra'!$D$8:$D$42,ROW('03.Muestra'!$C$8:$C$42)-MIN(ROW('03.Muestra'!$D$8:$D$42))+1,""),ROW()-398)),"")</f>
        <v>Home - PortCastelló</v>
      </c>
      <c r="C418" s="114" t="str" cm="1">
        <f t="array" ref="C418">IFERROR(INDEX('03.Muestra'!$F$8:$F$42,SMALL(IF("Página Web"='03.Muestra'!$D$8:$D$42,ROW('03.Muestra'!$F$8:$F$42)-MIN(ROW('03.Muestra'!$D$8:$D$42))+1,""),ROW()-398)),"")</f>
        <v>https://www.portcastello.com/</v>
      </c>
      <c r="D418" s="130" t="str">
        <f t="shared" si="21"/>
        <v>N/T</v>
      </c>
      <c r="E418" s="107" t="str">
        <f t="shared" si="20"/>
        <v/>
      </c>
      <c r="F418" s="19"/>
      <c r="G418" s="19"/>
      <c r="H418" s="19"/>
      <c r="I418" s="19"/>
      <c r="J418" s="19"/>
      <c r="K418" s="228"/>
      <c r="L418" s="19"/>
      <c r="M418" s="19"/>
      <c r="N418" s="19"/>
      <c r="O418" s="19"/>
      <c r="P418" s="19"/>
      <c r="Q418" s="19"/>
      <c r="R418" s="19"/>
      <c r="S418" s="19"/>
      <c r="T418" s="19"/>
      <c r="U418" s="19"/>
      <c r="V418" s="19"/>
      <c r="W418" s="19"/>
      <c r="X418" s="19"/>
      <c r="Y418" s="19"/>
    </row>
    <row r="419" spans="1:25" ht="12" customHeight="1">
      <c r="A419" s="219" t="n" cm="1">
        <f t="array" ref="A419">IFERROR(INDEX('03.Muestra'!$B$8:$B$42,SMALL(IF("Página Web"='03.Muestra'!$D$8:$D$42,ROW('03.Muestra'!$B$8:$B$42)-MIN(ROW('03.Muestra'!$D$8:$D$42))+1,""),ROW()-398)),"")</f>
        <v>1.0</v>
      </c>
      <c r="B419" s="114" t="str" cm="1">
        <f t="array" ref="B419">IFERROR(INDEX('03.Muestra'!$C$8:$C$42,SMALL(IF("Página Web"='03.Muestra'!$D$8:$D$42,ROW('03.Muestra'!$C$8:$C$42)-MIN(ROW('03.Muestra'!$D$8:$D$42))+1,""),ROW()-398)),"")</f>
        <v>Home - PortCastelló</v>
      </c>
      <c r="C419" s="114" t="str" cm="1">
        <f t="array" ref="C419">IFERROR(INDEX('03.Muestra'!$F$8:$F$42,SMALL(IF("Página Web"='03.Muestra'!$D$8:$D$42,ROW('03.Muestra'!$F$8:$F$42)-MIN(ROW('03.Muestra'!$D$8:$D$42))+1,""),ROW()-398)),"")</f>
        <v>https://www.portcastello.com/</v>
      </c>
      <c r="D419" s="130" t="str">
        <f t="shared" si="21"/>
        <v>N/T</v>
      </c>
      <c r="E419" s="107" t="str">
        <f t="shared" si="20"/>
        <v/>
      </c>
      <c r="F419" s="19"/>
      <c r="G419" s="19"/>
      <c r="H419" s="19"/>
      <c r="I419" s="19"/>
      <c r="J419" s="19"/>
      <c r="K419" s="228"/>
      <c r="L419" s="19"/>
      <c r="M419" s="19"/>
      <c r="N419" s="19"/>
      <c r="O419" s="19"/>
      <c r="P419" s="19"/>
      <c r="Q419" s="19"/>
      <c r="R419" s="19"/>
      <c r="S419" s="19"/>
      <c r="T419" s="19"/>
      <c r="U419" s="19"/>
      <c r="V419" s="19"/>
      <c r="W419" s="19"/>
      <c r="X419" s="19"/>
      <c r="Y419" s="19"/>
    </row>
    <row r="420" spans="1:25" ht="12" customHeight="1">
      <c r="A420" s="219" t="n" cm="1">
        <f t="array" ref="A420">IFERROR(INDEX('03.Muestra'!$B$8:$B$42,SMALL(IF("Página Web"='03.Muestra'!$D$8:$D$42,ROW('03.Muestra'!$B$8:$B$42)-MIN(ROW('03.Muestra'!$D$8:$D$42))+1,""),ROW()-398)),"")</f>
        <v>1.0</v>
      </c>
      <c r="B420" s="114" t="str" cm="1">
        <f t="array" ref="B420">IFERROR(INDEX('03.Muestra'!$C$8:$C$42,SMALL(IF("Página Web"='03.Muestra'!$D$8:$D$42,ROW('03.Muestra'!$C$8:$C$42)-MIN(ROW('03.Muestra'!$D$8:$D$42))+1,""),ROW()-398)),"")</f>
        <v>Home - PortCastelló</v>
      </c>
      <c r="C420" s="114" t="str" cm="1">
        <f t="array" ref="C420">IFERROR(INDEX('03.Muestra'!$F$8:$F$42,SMALL(IF("Página Web"='03.Muestra'!$D$8:$D$42,ROW('03.Muestra'!$F$8:$F$42)-MIN(ROW('03.Muestra'!$D$8:$D$42))+1,""),ROW()-398)),"")</f>
        <v>https://www.portcastello.com/</v>
      </c>
      <c r="D420" s="130" t="str">
        <f t="shared" si="21"/>
        <v>N/T</v>
      </c>
      <c r="E420" s="107" t="str">
        <f t="shared" si="20"/>
        <v/>
      </c>
      <c r="F420" s="19"/>
      <c r="G420" s="19"/>
      <c r="H420" s="19"/>
      <c r="I420" s="19"/>
      <c r="J420" s="19"/>
      <c r="K420" s="228"/>
      <c r="L420" s="19"/>
      <c r="M420" s="19"/>
      <c r="N420" s="19"/>
      <c r="O420" s="19"/>
      <c r="P420" s="19"/>
      <c r="Q420" s="19"/>
      <c r="R420" s="19"/>
      <c r="S420" s="19"/>
      <c r="T420" s="19"/>
      <c r="U420" s="19"/>
      <c r="V420" s="19"/>
      <c r="W420" s="19"/>
      <c r="X420" s="19"/>
      <c r="Y420" s="19"/>
    </row>
    <row r="421" spans="1:25" ht="12" customHeight="1">
      <c r="A421" s="219" t="n" cm="1">
        <f t="array" ref="A421">IFERROR(INDEX('03.Muestra'!$B$8:$B$42,SMALL(IF("Página Web"='03.Muestra'!$D$8:$D$42,ROW('03.Muestra'!$B$8:$B$42)-MIN(ROW('03.Muestra'!$D$8:$D$42))+1,""),ROW()-398)),"")</f>
        <v>1.0</v>
      </c>
      <c r="B421" s="114" t="str" cm="1">
        <f t="array" ref="B421">IFERROR(INDEX('03.Muestra'!$C$8:$C$42,SMALL(IF("Página Web"='03.Muestra'!$D$8:$D$42,ROW('03.Muestra'!$C$8:$C$42)-MIN(ROW('03.Muestra'!$D$8:$D$42))+1,""),ROW()-398)),"")</f>
        <v>Home - PortCastelló</v>
      </c>
      <c r="C421" s="114" t="str" cm="1">
        <f t="array" ref="C421">IFERROR(INDEX('03.Muestra'!$F$8:$F$42,SMALL(IF("Página Web"='03.Muestra'!$D$8:$D$42,ROW('03.Muestra'!$F$8:$F$42)-MIN(ROW('03.Muestra'!$D$8:$D$42))+1,""),ROW()-398)),"")</f>
        <v>https://www.portcastello.com/</v>
      </c>
      <c r="D421" s="130" t="str">
        <f t="shared" si="21"/>
        <v>N/T</v>
      </c>
      <c r="E421" s="107" t="str">
        <f t="shared" si="20"/>
        <v/>
      </c>
      <c r="F421" s="19"/>
      <c r="G421" s="19"/>
      <c r="H421" s="19"/>
      <c r="I421" s="19"/>
      <c r="J421" s="19"/>
      <c r="K421" s="228"/>
      <c r="L421" s="19"/>
      <c r="M421" s="19"/>
      <c r="N421" s="19"/>
      <c r="O421" s="19"/>
      <c r="P421" s="19"/>
      <c r="Q421" s="19"/>
      <c r="R421" s="19"/>
      <c r="S421" s="19"/>
      <c r="T421" s="19"/>
      <c r="U421" s="19"/>
      <c r="V421" s="19"/>
      <c r="W421" s="19"/>
      <c r="X421" s="19"/>
      <c r="Y421" s="19"/>
    </row>
    <row r="422" spans="1:25" ht="12" customHeight="1">
      <c r="A422" s="219" t="n" cm="1">
        <f t="array" ref="A422">IFERROR(INDEX('03.Muestra'!$B$8:$B$42,SMALL(IF("Página Web"='03.Muestra'!$D$8:$D$42,ROW('03.Muestra'!$B$8:$B$42)-MIN(ROW('03.Muestra'!$D$8:$D$42))+1,""),ROW()-398)),"")</f>
        <v>1.0</v>
      </c>
      <c r="B422" s="114" t="str" cm="1">
        <f t="array" ref="B422">IFERROR(INDEX('03.Muestra'!$C$8:$C$42,SMALL(IF("Página Web"='03.Muestra'!$D$8:$D$42,ROW('03.Muestra'!$C$8:$C$42)-MIN(ROW('03.Muestra'!$D$8:$D$42))+1,""),ROW()-398)),"")</f>
        <v>Home - PortCastelló</v>
      </c>
      <c r="C422" s="114" t="str" cm="1">
        <f t="array" ref="C422">IFERROR(INDEX('03.Muestra'!$F$8:$F$42,SMALL(IF("Página Web"='03.Muestra'!$D$8:$D$42,ROW('03.Muestra'!$F$8:$F$42)-MIN(ROW('03.Muestra'!$D$8:$D$42))+1,""),ROW()-398)),"")</f>
        <v>https://www.portcastello.com/</v>
      </c>
      <c r="D422" s="130" t="str">
        <f t="shared" si="21"/>
        <v>N/T</v>
      </c>
      <c r="E422" s="107" t="str">
        <f t="shared" si="20"/>
        <v/>
      </c>
      <c r="F422" s="19"/>
      <c r="G422" s="19"/>
      <c r="H422" s="19"/>
      <c r="I422" s="19"/>
      <c r="J422" s="19"/>
      <c r="K422" s="228"/>
      <c r="L422" s="19"/>
      <c r="M422" s="19"/>
      <c r="N422" s="19"/>
      <c r="O422" s="19"/>
      <c r="P422" s="19"/>
      <c r="Q422" s="19"/>
      <c r="R422" s="19"/>
      <c r="S422" s="19"/>
      <c r="T422" s="19"/>
      <c r="U422" s="19"/>
      <c r="V422" s="19"/>
      <c r="W422" s="19"/>
      <c r="X422" s="19"/>
      <c r="Y422" s="19"/>
    </row>
    <row r="423" spans="1:25" ht="12" customHeight="1">
      <c r="A423" s="219" t="n" cm="1">
        <f t="array" ref="A423">IFERROR(INDEX('03.Muestra'!$B$8:$B$42,SMALL(IF("Página Web"='03.Muestra'!$D$8:$D$42,ROW('03.Muestra'!$B$8:$B$42)-MIN(ROW('03.Muestra'!$D$8:$D$42))+1,""),ROW()-398)),"")</f>
        <v>1.0</v>
      </c>
      <c r="B423" s="114" t="str" cm="1">
        <f t="array" ref="B423">IFERROR(INDEX('03.Muestra'!$C$8:$C$42,SMALL(IF("Página Web"='03.Muestra'!$D$8:$D$42,ROW('03.Muestra'!$C$8:$C$42)-MIN(ROW('03.Muestra'!$D$8:$D$42))+1,""),ROW()-398)),"")</f>
        <v>Home - PortCastelló</v>
      </c>
      <c r="C423" s="114" t="str" cm="1">
        <f t="array" ref="C423">IFERROR(INDEX('03.Muestra'!$F$8:$F$42,SMALL(IF("Página Web"='03.Muestra'!$D$8:$D$42,ROW('03.Muestra'!$F$8:$F$42)-MIN(ROW('03.Muestra'!$D$8:$D$42))+1,""),ROW()-398)),"")</f>
        <v>https://www.portcastello.com/</v>
      </c>
      <c r="D423" s="130" t="str">
        <f t="shared" si="21"/>
        <v>N/T</v>
      </c>
      <c r="E423" s="107" t="str">
        <f t="shared" si="20"/>
        <v/>
      </c>
      <c r="F423" s="19"/>
      <c r="G423" s="19"/>
      <c r="H423" s="19"/>
      <c r="I423" s="19"/>
      <c r="J423" s="19"/>
      <c r="K423" s="228"/>
      <c r="L423" s="19"/>
      <c r="M423" s="19"/>
      <c r="N423" s="19"/>
      <c r="O423" s="19"/>
      <c r="P423" s="19"/>
      <c r="Q423" s="19"/>
      <c r="R423" s="19"/>
      <c r="S423" s="19"/>
      <c r="T423" s="19"/>
      <c r="U423" s="19"/>
      <c r="V423" s="19"/>
      <c r="W423" s="19"/>
      <c r="X423" s="19"/>
      <c r="Y423" s="19"/>
    </row>
    <row r="424" spans="1:25" ht="12" customHeight="1">
      <c r="A424" s="219" t="n" cm="1">
        <f t="array" ref="A424">IFERROR(INDEX('03.Muestra'!$B$8:$B$42,SMALL(IF("Página Web"='03.Muestra'!$D$8:$D$42,ROW('03.Muestra'!$B$8:$B$42)-MIN(ROW('03.Muestra'!$D$8:$D$42))+1,""),ROW()-398)),"")</f>
        <v>1.0</v>
      </c>
      <c r="B424" s="114" t="str" cm="1">
        <f t="array" ref="B424">IFERROR(INDEX('03.Muestra'!$C$8:$C$42,SMALL(IF("Página Web"='03.Muestra'!$D$8:$D$42,ROW('03.Muestra'!$C$8:$C$42)-MIN(ROW('03.Muestra'!$D$8:$D$42))+1,""),ROW()-398)),"")</f>
        <v>Home - PortCastelló</v>
      </c>
      <c r="C424" s="114" t="str" cm="1">
        <f t="array" ref="C424">IFERROR(INDEX('03.Muestra'!$F$8:$F$42,SMALL(IF("Página Web"='03.Muestra'!$D$8:$D$42,ROW('03.Muestra'!$F$8:$F$42)-MIN(ROW('03.Muestra'!$D$8:$D$42))+1,""),ROW()-398)),"")</f>
        <v>https://www.portcastello.com/</v>
      </c>
      <c r="D424" s="130" t="str">
        <f t="shared" si="21"/>
        <v>N/T</v>
      </c>
      <c r="E424" s="107" t="str">
        <f t="shared" si="20"/>
        <v/>
      </c>
      <c r="F424" s="19"/>
      <c r="G424" s="19"/>
      <c r="H424" s="19"/>
      <c r="I424" s="19"/>
      <c r="J424" s="19"/>
      <c r="K424" s="228"/>
      <c r="L424" s="19"/>
      <c r="M424" s="19"/>
      <c r="N424" s="19"/>
      <c r="O424" s="19"/>
      <c r="P424" s="19"/>
      <c r="Q424" s="19"/>
      <c r="R424" s="19"/>
      <c r="S424" s="19"/>
      <c r="T424" s="19"/>
      <c r="U424" s="19"/>
      <c r="V424" s="19"/>
      <c r="W424" s="19"/>
      <c r="X424" s="19"/>
      <c r="Y424" s="19"/>
    </row>
    <row r="425" spans="1:25" ht="12" customHeight="1">
      <c r="A425" s="219" t="n" cm="1">
        <f t="array" ref="A425">IFERROR(INDEX('03.Muestra'!$B$8:$B$42,SMALL(IF("Página Web"='03.Muestra'!$D$8:$D$42,ROW('03.Muestra'!$B$8:$B$42)-MIN(ROW('03.Muestra'!$D$8:$D$42))+1,""),ROW()-398)),"")</f>
        <v>1.0</v>
      </c>
      <c r="B425" s="114" t="str" cm="1">
        <f t="array" ref="B425">IFERROR(INDEX('03.Muestra'!$C$8:$C$42,SMALL(IF("Página Web"='03.Muestra'!$D$8:$D$42,ROW('03.Muestra'!$C$8:$C$42)-MIN(ROW('03.Muestra'!$D$8:$D$42))+1,""),ROW()-398)),"")</f>
        <v>Home - PortCastelló</v>
      </c>
      <c r="C425" s="114" t="str" cm="1">
        <f t="array" ref="C425">IFERROR(INDEX('03.Muestra'!$F$8:$F$42,SMALL(IF("Página Web"='03.Muestra'!$D$8:$D$42,ROW('03.Muestra'!$F$8:$F$42)-MIN(ROW('03.Muestra'!$D$8:$D$42))+1,""),ROW()-398)),"")</f>
        <v>https://www.portcastello.com/</v>
      </c>
      <c r="D425" s="130" t="str">
        <f t="shared" si="21"/>
        <v>N/T</v>
      </c>
      <c r="E425" s="107" t="str">
        <f t="shared" si="20"/>
        <v/>
      </c>
      <c r="F425" s="19"/>
      <c r="G425" s="19"/>
      <c r="H425" s="19"/>
      <c r="I425" s="19"/>
      <c r="J425" s="19"/>
      <c r="K425" s="228"/>
      <c r="L425" s="19"/>
      <c r="M425" s="19"/>
      <c r="N425" s="19"/>
      <c r="O425" s="19"/>
      <c r="P425" s="19"/>
      <c r="Q425" s="19"/>
      <c r="R425" s="19"/>
      <c r="S425" s="19"/>
      <c r="T425" s="19"/>
      <c r="U425" s="19"/>
      <c r="V425" s="19"/>
      <c r="W425" s="19"/>
      <c r="X425" s="19"/>
      <c r="Y425" s="19"/>
    </row>
    <row r="426" spans="1:25" ht="12" customHeight="1">
      <c r="A426" s="219" t="n" cm="1">
        <f t="array" ref="A426">IFERROR(INDEX('03.Muestra'!$B$8:$B$42,SMALL(IF("Página Web"='03.Muestra'!$D$8:$D$42,ROW('03.Muestra'!$B$8:$B$42)-MIN(ROW('03.Muestra'!$D$8:$D$42))+1,""),ROW()-398)),"")</f>
        <v>1.0</v>
      </c>
      <c r="B426" s="114" t="str" cm="1">
        <f t="array" ref="B426">IFERROR(INDEX('03.Muestra'!$C$8:$C$42,SMALL(IF("Página Web"='03.Muestra'!$D$8:$D$42,ROW('03.Muestra'!$C$8:$C$42)-MIN(ROW('03.Muestra'!$D$8:$D$42))+1,""),ROW()-398)),"")</f>
        <v>Home - PortCastelló</v>
      </c>
      <c r="C426" s="114" t="str" cm="1">
        <f t="array" ref="C426">IFERROR(INDEX('03.Muestra'!$F$8:$F$42,SMALL(IF("Página Web"='03.Muestra'!$D$8:$D$42,ROW('03.Muestra'!$F$8:$F$42)-MIN(ROW('03.Muestra'!$D$8:$D$42))+1,""),ROW()-398)),"")</f>
        <v>https://www.portcastello.com/</v>
      </c>
      <c r="D426" s="130" t="str">
        <f t="shared" si="21"/>
        <v>N/T</v>
      </c>
      <c r="E426" s="107" t="str">
        <f t="shared" si="20"/>
        <v/>
      </c>
      <c r="G426" s="19"/>
      <c r="H426" s="19"/>
      <c r="I426" s="19"/>
      <c r="J426" s="19"/>
      <c r="K426" s="228"/>
      <c r="L426" s="19"/>
      <c r="M426" s="19"/>
      <c r="N426" s="19"/>
      <c r="O426" s="19"/>
      <c r="P426" s="19"/>
      <c r="Q426" s="19"/>
      <c r="R426" s="19"/>
      <c r="S426" s="19"/>
      <c r="T426" s="19"/>
      <c r="U426" s="19"/>
      <c r="V426" s="19"/>
      <c r="W426" s="19"/>
      <c r="X426" s="19"/>
      <c r="Y426" s="19"/>
    </row>
    <row r="427" spans="1:25" ht="12" customHeight="1">
      <c r="A427" s="219" t="n" cm="1">
        <f t="array" ref="A427">IFERROR(INDEX('03.Muestra'!$B$8:$B$42,SMALL(IF("Página Web"='03.Muestra'!$D$8:$D$42,ROW('03.Muestra'!$B$8:$B$42)-MIN(ROW('03.Muestra'!$D$8:$D$42))+1,""),ROW()-398)),"")</f>
        <v>1.0</v>
      </c>
      <c r="B427" s="114" t="str" cm="1">
        <f t="array" ref="B427">IFERROR(INDEX('03.Muestra'!$C$8:$C$42,SMALL(IF("Página Web"='03.Muestra'!$D$8:$D$42,ROW('03.Muestra'!$C$8:$C$42)-MIN(ROW('03.Muestra'!$D$8:$D$42))+1,""),ROW()-398)),"")</f>
        <v>Home - PortCastelló</v>
      </c>
      <c r="C427" s="114" t="str" cm="1">
        <f t="array" ref="C427">IFERROR(INDEX('03.Muestra'!$F$8:$F$42,SMALL(IF("Página Web"='03.Muestra'!$D$8:$D$42,ROW('03.Muestra'!$F$8:$F$42)-MIN(ROW('03.Muestra'!$D$8:$D$42))+1,""),ROW()-398)),"")</f>
        <v>https://www.portcastello.com/</v>
      </c>
      <c r="D427" s="130" t="str">
        <f t="shared" si="21"/>
        <v>N/T</v>
      </c>
      <c r="E427" s="107" t="str">
        <f t="shared" si="20"/>
        <v/>
      </c>
      <c r="G427" s="19"/>
      <c r="H427" s="19"/>
      <c r="I427" s="19"/>
      <c r="J427" s="19"/>
      <c r="K427" s="228"/>
      <c r="L427" s="19"/>
      <c r="M427" s="19"/>
      <c r="N427" s="19"/>
      <c r="O427" s="19"/>
      <c r="P427" s="19"/>
      <c r="Q427" s="19"/>
      <c r="R427" s="19"/>
      <c r="S427" s="19"/>
      <c r="T427" s="19"/>
      <c r="U427" s="19"/>
      <c r="V427" s="19"/>
      <c r="W427" s="19"/>
      <c r="X427" s="19"/>
      <c r="Y427" s="19"/>
    </row>
    <row r="428" spans="1:25" ht="12" customHeight="1">
      <c r="A428" s="219" t="n" cm="1">
        <f t="array" ref="A428">IFERROR(INDEX('03.Muestra'!$B$8:$B$42,SMALL(IF("Página Web"='03.Muestra'!$D$8:$D$42,ROW('03.Muestra'!$B$8:$B$42)-MIN(ROW('03.Muestra'!$D$8:$D$42))+1,""),ROW()-398)),"")</f>
        <v>1.0</v>
      </c>
      <c r="B428" s="114" t="str" cm="1">
        <f t="array" ref="B428">IFERROR(INDEX('03.Muestra'!$C$8:$C$42,SMALL(IF("Página Web"='03.Muestra'!$D$8:$D$42,ROW('03.Muestra'!$C$8:$C$42)-MIN(ROW('03.Muestra'!$D$8:$D$42))+1,""),ROW()-398)),"")</f>
        <v>Home - PortCastelló</v>
      </c>
      <c r="C428" s="114" t="str" cm="1">
        <f t="array" ref="C428">IFERROR(INDEX('03.Muestra'!$F$8:$F$42,SMALL(IF("Página Web"='03.Muestra'!$D$8:$D$42,ROW('03.Muestra'!$F$8:$F$42)-MIN(ROW('03.Muestra'!$D$8:$D$42))+1,""),ROW()-398)),"")</f>
        <v>https://www.portcastello.com/</v>
      </c>
      <c r="D428" s="130" t="str">
        <f t="shared" si="21"/>
        <v>N/T</v>
      </c>
      <c r="E428" s="107" t="str">
        <f t="shared" si="20"/>
        <v/>
      </c>
      <c r="G428" s="19"/>
      <c r="H428" s="19"/>
      <c r="I428" s="19"/>
      <c r="J428" s="19"/>
      <c r="K428" s="228"/>
      <c r="L428" s="19"/>
      <c r="M428" s="19"/>
      <c r="N428" s="19"/>
      <c r="O428" s="19"/>
      <c r="P428" s="19"/>
      <c r="Q428" s="19"/>
      <c r="R428" s="19"/>
      <c r="S428" s="19"/>
      <c r="T428" s="19"/>
      <c r="U428" s="19"/>
      <c r="V428" s="19"/>
      <c r="W428" s="19"/>
      <c r="X428" s="19"/>
      <c r="Y428" s="19"/>
    </row>
    <row r="429" spans="1:25" ht="12" customHeight="1">
      <c r="A429" s="219" t="n" cm="1">
        <f t="array" ref="A429">IFERROR(INDEX('03.Muestra'!$B$8:$B$42,SMALL(IF("Página Web"='03.Muestra'!$D$8:$D$42,ROW('03.Muestra'!$B$8:$B$42)-MIN(ROW('03.Muestra'!$D$8:$D$42))+1,""),ROW()-398)),"")</f>
        <v>1.0</v>
      </c>
      <c r="B429" s="114" t="str" cm="1">
        <f t="array" ref="B429">IFERROR(INDEX('03.Muestra'!$C$8:$C$42,SMALL(IF("Página Web"='03.Muestra'!$D$8:$D$42,ROW('03.Muestra'!$C$8:$C$42)-MIN(ROW('03.Muestra'!$D$8:$D$42))+1,""),ROW()-398)),"")</f>
        <v>Home - PortCastelló</v>
      </c>
      <c r="C429" s="114" t="str" cm="1">
        <f t="array" ref="C429">IFERROR(INDEX('03.Muestra'!$F$8:$F$42,SMALL(IF("Página Web"='03.Muestra'!$D$8:$D$42,ROW('03.Muestra'!$F$8:$F$42)-MIN(ROW('03.Muestra'!$D$8:$D$42))+1,""),ROW()-398)),"")</f>
        <v>https://www.portcastello.com/</v>
      </c>
      <c r="D429" s="130" t="str">
        <f t="shared" si="21"/>
        <v>N/T</v>
      </c>
      <c r="E429" s="107" t="str">
        <f t="shared" si="20"/>
        <v/>
      </c>
      <c r="G429" s="19"/>
      <c r="H429" s="19"/>
      <c r="I429" s="19"/>
      <c r="J429" s="19"/>
      <c r="K429" s="228"/>
      <c r="L429" s="19"/>
      <c r="M429" s="19"/>
      <c r="N429" s="19"/>
      <c r="O429" s="19"/>
      <c r="P429" s="19"/>
      <c r="Q429" s="19"/>
      <c r="R429" s="19"/>
      <c r="S429" s="19"/>
      <c r="T429" s="19"/>
      <c r="U429" s="19"/>
      <c r="V429" s="19"/>
      <c r="W429" s="19"/>
      <c r="X429" s="19"/>
      <c r="Y429" s="19"/>
    </row>
    <row r="430" spans="1:25" ht="12" customHeight="1">
      <c r="A430" s="219" t="n" cm="1">
        <f t="array" ref="A430">IFERROR(INDEX('03.Muestra'!$B$8:$B$42,SMALL(IF("Página Web"='03.Muestra'!$D$8:$D$42,ROW('03.Muestra'!$B$8:$B$42)-MIN(ROW('03.Muestra'!$D$8:$D$42))+1,""),ROW()-398)),"")</f>
        <v>1.0</v>
      </c>
      <c r="B430" s="114" t="str" cm="1">
        <f t="array" ref="B430">IFERROR(INDEX('03.Muestra'!$C$8:$C$42,SMALL(IF("Página Web"='03.Muestra'!$D$8:$D$42,ROW('03.Muestra'!$C$8:$C$42)-MIN(ROW('03.Muestra'!$D$8:$D$42))+1,""),ROW()-398)),"")</f>
        <v>Home - PortCastelló</v>
      </c>
      <c r="C430" s="114" t="str" cm="1">
        <f t="array" ref="C430">IFERROR(INDEX('03.Muestra'!$F$8:$F$42,SMALL(IF("Página Web"='03.Muestra'!$D$8:$D$42,ROW('03.Muestra'!$F$8:$F$42)-MIN(ROW('03.Muestra'!$D$8:$D$42))+1,""),ROW()-398)),"")</f>
        <v>https://www.portcastello.com/</v>
      </c>
      <c r="D430" s="130" t="str">
        <f t="shared" si="21"/>
        <v>N/T</v>
      </c>
      <c r="E430" s="107" t="str">
        <f t="shared" si="20"/>
        <v/>
      </c>
      <c r="G430" s="19"/>
      <c r="H430" s="19"/>
      <c r="I430" s="19"/>
      <c r="J430" s="19"/>
      <c r="K430" s="228"/>
      <c r="L430" s="19"/>
      <c r="M430" s="19"/>
      <c r="N430" s="19"/>
      <c r="O430" s="19"/>
      <c r="P430" s="19"/>
      <c r="Q430" s="19"/>
      <c r="R430" s="19"/>
      <c r="S430" s="19"/>
      <c r="T430" s="19"/>
      <c r="U430" s="19"/>
      <c r="V430" s="19"/>
      <c r="W430" s="19"/>
      <c r="X430" s="19"/>
      <c r="Y430" s="19"/>
    </row>
    <row r="431" spans="1:25" ht="12" customHeight="1">
      <c r="A431" s="219" t="n" cm="1">
        <f t="array" ref="A431">IFERROR(INDEX('03.Muestra'!$B$8:$B$42,SMALL(IF("Página Web"='03.Muestra'!$D$8:$D$42,ROW('03.Muestra'!$B$8:$B$42)-MIN(ROW('03.Muestra'!$D$8:$D$42))+1,""),ROW()-398)),"")</f>
        <v>1.0</v>
      </c>
      <c r="B431" s="114" t="str" cm="1">
        <f t="array" ref="B431">IFERROR(INDEX('03.Muestra'!$C$8:$C$42,SMALL(IF("Página Web"='03.Muestra'!$D$8:$D$42,ROW('03.Muestra'!$C$8:$C$42)-MIN(ROW('03.Muestra'!$D$8:$D$42))+1,""),ROW()-398)),"")</f>
        <v>Home - PortCastelló</v>
      </c>
      <c r="C431" s="114" t="str" cm="1">
        <f t="array" ref="C431">IFERROR(INDEX('03.Muestra'!$F$8:$F$42,SMALL(IF("Página Web"='03.Muestra'!$D$8:$D$42,ROW('03.Muestra'!$F$8:$F$42)-MIN(ROW('03.Muestra'!$D$8:$D$42))+1,""),ROW()-398)),"")</f>
        <v>https://www.portcastello.com/</v>
      </c>
      <c r="D431" s="130" t="str">
        <f t="shared" si="21"/>
        <v>N/T</v>
      </c>
      <c r="E431" s="107" t="str">
        <f t="shared" si="20"/>
        <v/>
      </c>
      <c r="G431" s="19"/>
      <c r="H431" s="19"/>
      <c r="I431" s="19"/>
      <c r="J431" s="19"/>
      <c r="K431" s="228"/>
      <c r="L431" s="19"/>
      <c r="M431" s="19"/>
      <c r="N431" s="19"/>
      <c r="O431" s="19"/>
      <c r="P431" s="19"/>
      <c r="Q431" s="19"/>
      <c r="R431" s="19"/>
      <c r="S431" s="19"/>
      <c r="T431" s="19"/>
      <c r="U431" s="19"/>
      <c r="V431" s="19"/>
      <c r="W431" s="19"/>
      <c r="X431" s="19"/>
      <c r="Y431" s="19"/>
    </row>
    <row r="432" spans="1:25" ht="12" customHeight="1">
      <c r="A432" s="219" t="str" cm="1">
        <f t="array" ref="A432">IFERROR(INDEX('03.Muestra'!$B$8:$B$42,SMALL(IF("Página Web"='03.Muestra'!$D$8:$D$42,ROW('03.Muestra'!$B$8:$B$42)-MIN(ROW('03.Muestra'!$D$8:$D$42))+1,""),ROW()-398)),"")</f>
        <v/>
      </c>
      <c r="B432" s="114" t="str" cm="1">
        <f t="array" ref="B432">IFERROR(INDEX('03.Muestra'!$C$8:$C$42,SMALL(IF("Página Web"='03.Muestra'!$D$8:$D$42,ROW('03.Muestra'!$C$8:$C$42)-MIN(ROW('03.Muestra'!$D$8:$D$42))+1,""),ROW()-398)),"")</f>
        <v/>
      </c>
      <c r="C432" s="114" t="str" cm="1">
        <f t="array" ref="C432">IFERROR(INDEX('03.Muestra'!$F$8:$F$42,SMALL(IF("Página Web"='03.Muestra'!$D$8:$D$42,ROW('03.Muestra'!$F$8:$F$42)-MIN(ROW('03.Muestra'!$D$8:$D$42))+1,""),ROW()-398)),"")</f>
        <v/>
      </c>
      <c r="D432" s="130" t="str">
        <f t="shared" si="21"/>
        <v/>
      </c>
      <c r="E432" s="107" t="str">
        <f t="shared" si="20"/>
        <v/>
      </c>
      <c r="F432" s="124"/>
      <c r="G432" s="19"/>
      <c r="H432" s="19"/>
      <c r="I432" s="19"/>
      <c r="J432" s="19"/>
      <c r="K432" s="228"/>
      <c r="L432" s="19"/>
      <c r="M432" s="19"/>
      <c r="N432" s="19"/>
      <c r="O432" s="19"/>
      <c r="P432" s="19"/>
      <c r="Q432" s="19"/>
      <c r="R432" s="19"/>
      <c r="S432" s="19"/>
      <c r="T432" s="19"/>
      <c r="U432" s="19"/>
      <c r="V432" s="19"/>
      <c r="W432" s="19"/>
      <c r="X432" s="19"/>
      <c r="Y432" s="19"/>
    </row>
    <row r="433" spans="1:25" ht="12" customHeight="1">
      <c r="A433" s="219" t="str" cm="1">
        <f t="array" ref="A433">IFERROR(INDEX('03.Muestra'!$B$8:$B$42,SMALL(IF("Página Web"='03.Muestra'!$D$8:$D$42,ROW('03.Muestra'!$B$8:$B$42)-MIN(ROW('03.Muestra'!$D$8:$D$42))+1,""),ROW()-398)),"")</f>
        <v/>
      </c>
      <c r="B433" s="114" t="str" cm="1">
        <f t="array" ref="B433">IFERROR(INDEX('03.Muestra'!$C$8:$C$42,SMALL(IF("Página Web"='03.Muestra'!$D$8:$D$42,ROW('03.Muestra'!$C$8:$C$42)-MIN(ROW('03.Muestra'!$D$8:$D$42))+1,""),ROW()-398)),"")</f>
        <v/>
      </c>
      <c r="C433" s="114" t="str" cm="1">
        <f t="array" ref="C433">IFERROR(INDEX('03.Muestra'!$F$8:$F$42,SMALL(IF("Página Web"='03.Muestra'!$D$8:$D$42,ROW('03.Muestra'!$F$8:$F$42)-MIN(ROW('03.Muestra'!$D$8:$D$42))+1,""),ROW()-398)),"")</f>
        <v/>
      </c>
      <c r="D433" s="130" t="str">
        <f t="shared" si="21"/>
        <v/>
      </c>
      <c r="E433" s="107" t="str">
        <f t="shared" si="20"/>
        <v/>
      </c>
      <c r="F433" s="19"/>
      <c r="G433" s="19"/>
      <c r="H433" s="19"/>
      <c r="I433" s="19"/>
      <c r="J433" s="19"/>
      <c r="K433" s="228"/>
      <c r="L433" s="19"/>
      <c r="M433" s="19"/>
      <c r="N433" s="19"/>
      <c r="O433" s="19"/>
      <c r="P433" s="19"/>
      <c r="Q433" s="19"/>
      <c r="R433" s="19"/>
      <c r="S433" s="19"/>
      <c r="T433" s="19"/>
      <c r="U433" s="19"/>
      <c r="V433" s="19"/>
      <c r="W433" s="19"/>
      <c r="X433" s="19"/>
      <c r="Y433" s="19"/>
    </row>
    <row r="434" spans="1:25" ht="12" customHeight="1">
      <c r="B434" s="19"/>
      <c r="C434" s="19"/>
      <c r="D434" s="107"/>
      <c r="E434" s="107"/>
      <c r="F434" s="19"/>
      <c r="G434" s="19"/>
      <c r="H434" s="19"/>
      <c r="I434" s="19"/>
      <c r="J434" s="19"/>
      <c r="K434" s="228"/>
      <c r="L434" s="19"/>
      <c r="M434" s="19"/>
      <c r="N434" s="19"/>
      <c r="O434" s="19"/>
      <c r="P434" s="19"/>
      <c r="Q434" s="19"/>
      <c r="R434" s="19"/>
      <c r="S434" s="19"/>
      <c r="T434" s="19"/>
      <c r="U434" s="19"/>
      <c r="V434" s="19"/>
      <c r="W434" s="19"/>
      <c r="X434" s="19"/>
      <c r="Y434" s="19"/>
    </row>
    <row r="435" spans="1:25" ht="12" customHeight="1">
      <c r="B435" s="19"/>
      <c r="C435" s="19"/>
      <c r="D435" s="107"/>
      <c r="E435" s="112"/>
      <c r="F435" s="19"/>
      <c r="G435" s="19"/>
      <c r="H435" s="19"/>
      <c r="I435" s="19"/>
      <c r="J435" s="19"/>
      <c r="K435" s="228"/>
      <c r="L435" s="19"/>
      <c r="M435" s="19"/>
      <c r="N435" s="19"/>
      <c r="O435" s="19"/>
      <c r="P435" s="19"/>
      <c r="Q435" s="19"/>
      <c r="R435" s="19"/>
      <c r="S435" s="19"/>
      <c r="T435" s="19"/>
      <c r="U435" s="19"/>
      <c r="V435" s="19"/>
      <c r="W435" s="19"/>
      <c r="X435" s="19"/>
      <c r="Y435" s="19"/>
    </row>
    <row r="436" spans="1:25" ht="32.25" customHeight="1">
      <c r="A436" s="218" t="s">
        <v>268</v>
      </c>
      <c r="B436" s="24" t="s">
        <v>90</v>
      </c>
      <c r="C436" s="25" t="s">
        <v>356</v>
      </c>
      <c r="D436" s="26" t="s">
        <v>32</v>
      </c>
      <c r="E436" s="123"/>
      <c r="K436" s="228"/>
      <c r="L436" s="19"/>
      <c r="M436" s="19"/>
      <c r="N436" s="19"/>
      <c r="O436" s="19"/>
      <c r="P436" s="19"/>
      <c r="Q436" s="19"/>
      <c r="R436" s="19"/>
      <c r="S436" s="19"/>
      <c r="T436" s="19"/>
      <c r="U436" s="19"/>
      <c r="V436" s="19"/>
      <c r="W436" s="19"/>
      <c r="X436" s="19"/>
      <c r="Y436" s="19"/>
    </row>
    <row r="437" spans="1:25" ht="12" customHeight="1">
      <c r="A437" s="219" t="n" cm="1">
        <f t="array" ref="A437">IFERROR(INDEX('03.Muestra'!$B$8:$B$42,SMALL(IF("Página Web"='03.Muestra'!$D$8:$D$42,ROW('03.Muestra'!$B$8:$B$42)-MIN(ROW('03.Muestra'!$D$8:$D$42))+1,""),ROW()-436)),"")</f>
        <v>1.0</v>
      </c>
      <c r="B437" s="114" t="str" cm="1">
        <f t="array" ref="B437">IFERROR(INDEX('03.Muestra'!$C$8:$C$42,SMALL(IF("Página Web"='03.Muestra'!$D$8:$D$42,ROW('03.Muestra'!$C$8:$C$42)-MIN(ROW('03.Muestra'!$D$8:$D$42))+1,""),ROW()-436)),"")</f>
        <v>Home - PortCastelló</v>
      </c>
      <c r="C437" s="114" t="str" cm="1">
        <f t="array" ref="C437">IFERROR(INDEX('03.Muestra'!$F$8:$F$42,SMALL(IF("Página Web"='03.Muestra'!$D$8:$D$42,ROW('03.Muestra'!$F$8:$F$42)-MIN(ROW('03.Muestra'!$D$8:$D$42))+1,""),ROW()-436)),"")</f>
        <v>https://www.portcastello.com/</v>
      </c>
      <c r="D437" s="130" t="str">
        <f>IF(AND(B437&lt;&gt;"",C437&lt;&gt;""),"N/T","")</f>
        <v>N/T</v>
      </c>
      <c r="E437" s="107" t="str">
        <f t="shared" ref="E437:E471" si="22">IF(D437&lt;&gt;"",IF(AND(B437&lt;&gt;"",C437&lt;&gt;""),"","ERR"),"")</f>
        <v/>
      </c>
      <c r="F437" s="115" t="s">
        <v>33</v>
      </c>
      <c r="G437" s="116" t="s">
        <v>37</v>
      </c>
      <c r="H437" s="117" t="s">
        <v>35</v>
      </c>
      <c r="I437" s="118" t="s">
        <v>28</v>
      </c>
      <c r="J437" s="119" t="s">
        <v>26</v>
      </c>
      <c r="K437" s="229" t="s">
        <v>474</v>
      </c>
      <c r="L437" s="19"/>
      <c r="M437" s="19"/>
      <c r="N437" s="19"/>
      <c r="O437" s="19"/>
      <c r="P437" s="19"/>
      <c r="Q437" s="19"/>
      <c r="R437" s="19"/>
      <c r="S437" s="19"/>
      <c r="T437" s="19"/>
      <c r="U437" s="19"/>
      <c r="V437" s="19"/>
      <c r="W437" s="19"/>
      <c r="X437" s="19"/>
      <c r="Y437" s="19"/>
    </row>
    <row r="438" spans="1:25" ht="12" customHeight="1">
      <c r="A438" s="219" t="n" cm="1">
        <f t="array" ref="A438">IFERROR(INDEX('03.Muestra'!$B$8:$B$42,SMALL(IF("Página Web"='03.Muestra'!$D$8:$D$42,ROW('03.Muestra'!$B$8:$B$42)-MIN(ROW('03.Muestra'!$D$8:$D$42))+1,""),ROW()-436)),"")</f>
        <v>1.0</v>
      </c>
      <c r="B438" s="114" t="str" cm="1">
        <f t="array" ref="B438">IFERROR(INDEX('03.Muestra'!$C$8:$C$42,SMALL(IF("Página Web"='03.Muestra'!$D$8:$D$42,ROW('03.Muestra'!$C$8:$C$42)-MIN(ROW('03.Muestra'!$D$8:$D$42))+1,""),ROW()-436)),"")</f>
        <v>Home - PortCastelló</v>
      </c>
      <c r="C438" s="114" t="str" cm="1">
        <f t="array" ref="C438">IFERROR(INDEX('03.Muestra'!$F$8:$F$42,SMALL(IF("Página Web"='03.Muestra'!$D$8:$D$42,ROW('03.Muestra'!$F$8:$F$42)-MIN(ROW('03.Muestra'!$D$8:$D$42))+1,""),ROW()-436)),"")</f>
        <v>https://www.portcastello.com/</v>
      </c>
      <c r="D438" s="130" t="str">
        <f t="shared" ref="D438:D471" si="23">IF(AND(B438&lt;&gt;"",C438&lt;&gt;""),"N/T","")</f>
        <v>N/T</v>
      </c>
      <c r="E438" s="107" t="str">
        <f t="shared" si="22"/>
        <v/>
      </c>
      <c r="F438" s="120" t="n">
        <f ca="1">COUNTIF($D437:INDIRECT("$D" &amp;  SUM(ROW()-1,'03.Muestra'!$D$45)-1),F437)</f>
        <v>33.0</v>
      </c>
      <c r="G438" s="120" t="n">
        <f ca="1">COUNTIF($D437:INDIRECT("$D" &amp;  SUM(ROW()-1,'03.Muestra'!$D$45)-1),G437)</f>
        <v>0.0</v>
      </c>
      <c r="H438" s="120" t="n">
        <f ca="1">COUNTIF($D437:INDIRECT("$D" &amp;  SUM(ROW()-1,'03.Muestra'!$D$45)-1),H437)</f>
        <v>0.0</v>
      </c>
      <c r="I438" s="120" t="n">
        <f ca="1">COUNTIF($D437:INDIRECT("$D" &amp;  SUM(ROW()-1,'03.Muestra'!$D$45)-1),I437)</f>
        <v>0.0</v>
      </c>
      <c r="J438" s="120" t="n">
        <f ca="1">COUNTIF($D437:INDIRECT("$D" &amp;  SUM(ROW()-1,'03.Muestra'!$D$45)-1),J437)</f>
        <v>0.0</v>
      </c>
      <c r="K438" s="230" t="n">
        <f ca="1">IF(COUNTIF('03.Muestra'!$D$8:$D$42,"Página Web")=0,0,COUNTBLANK($D437:INDIRECT("$D" &amp;  SUM(ROW()-1,COUNTIF('03.Muestra'!$D$8:$D$42,"Página Web"))-1)))</f>
        <v>0.0</v>
      </c>
      <c r="L438" s="19"/>
      <c r="M438" s="19"/>
      <c r="N438" s="19"/>
      <c r="O438" s="19"/>
      <c r="P438" s="19"/>
      <c r="Q438" s="19"/>
      <c r="R438" s="19"/>
      <c r="S438" s="19"/>
      <c r="T438" s="19"/>
      <c r="U438" s="19"/>
      <c r="V438" s="19"/>
      <c r="W438" s="19"/>
      <c r="X438" s="19"/>
      <c r="Y438" s="19"/>
    </row>
    <row r="439" spans="1:25" ht="12" customHeight="1">
      <c r="A439" s="219" t="n" cm="1">
        <f t="array" ref="A439">IFERROR(INDEX('03.Muestra'!$B$8:$B$42,SMALL(IF("Página Web"='03.Muestra'!$D$8:$D$42,ROW('03.Muestra'!$B$8:$B$42)-MIN(ROW('03.Muestra'!$D$8:$D$42))+1,""),ROW()-436)),"")</f>
        <v>1.0</v>
      </c>
      <c r="B439" s="114" t="str" cm="1">
        <f t="array" ref="B439">IFERROR(INDEX('03.Muestra'!$C$8:$C$42,SMALL(IF("Página Web"='03.Muestra'!$D$8:$D$42,ROW('03.Muestra'!$C$8:$C$42)-MIN(ROW('03.Muestra'!$D$8:$D$42))+1,""),ROW()-436)),"")</f>
        <v>Home - PortCastelló</v>
      </c>
      <c r="C439" s="114" t="str" cm="1">
        <f t="array" ref="C439">IFERROR(INDEX('03.Muestra'!$F$8:$F$42,SMALL(IF("Página Web"='03.Muestra'!$D$8:$D$42,ROW('03.Muestra'!$F$8:$F$42)-MIN(ROW('03.Muestra'!$D$8:$D$42))+1,""),ROW()-436)),"")</f>
        <v>https://www.portcastello.com/</v>
      </c>
      <c r="D439" s="130" t="str">
        <f t="shared" si="23"/>
        <v>N/T</v>
      </c>
      <c r="E439" s="107" t="str">
        <f t="shared" si="22"/>
        <v/>
      </c>
      <c r="G439" s="19"/>
      <c r="H439" s="19"/>
      <c r="I439" s="19"/>
      <c r="J439" s="19"/>
      <c r="K439" s="228"/>
      <c r="L439" s="19"/>
      <c r="M439" s="19"/>
      <c r="N439" s="19"/>
      <c r="O439" s="19"/>
      <c r="P439" s="19"/>
      <c r="Q439" s="19"/>
      <c r="R439" s="19"/>
      <c r="S439" s="19"/>
      <c r="T439" s="19"/>
      <c r="U439" s="19"/>
      <c r="V439" s="19"/>
      <c r="W439" s="19"/>
      <c r="X439" s="19"/>
      <c r="Y439" s="19"/>
    </row>
    <row r="440" spans="1:25" ht="12" customHeight="1">
      <c r="A440" s="219" t="n" cm="1">
        <f t="array" ref="A440">IFERROR(INDEX('03.Muestra'!$B$8:$B$42,SMALL(IF("Página Web"='03.Muestra'!$D$8:$D$42,ROW('03.Muestra'!$B$8:$B$42)-MIN(ROW('03.Muestra'!$D$8:$D$42))+1,""),ROW()-436)),"")</f>
        <v>1.0</v>
      </c>
      <c r="B440" s="114" t="str" cm="1">
        <f t="array" ref="B440">IFERROR(INDEX('03.Muestra'!$C$8:$C$42,SMALL(IF("Página Web"='03.Muestra'!$D$8:$D$42,ROW('03.Muestra'!$C$8:$C$42)-MIN(ROW('03.Muestra'!$D$8:$D$42))+1,""),ROW()-436)),"")</f>
        <v>Home - PortCastelló</v>
      </c>
      <c r="C440" s="114" t="str" cm="1">
        <f t="array" ref="C440">IFERROR(INDEX('03.Muestra'!$F$8:$F$42,SMALL(IF("Página Web"='03.Muestra'!$D$8:$D$42,ROW('03.Muestra'!$F$8:$F$42)-MIN(ROW('03.Muestra'!$D$8:$D$42))+1,""),ROW()-436)),"")</f>
        <v>https://www.portcastello.com/</v>
      </c>
      <c r="D440" s="130" t="str">
        <f t="shared" si="23"/>
        <v>N/T</v>
      </c>
      <c r="E440" s="107" t="str">
        <f t="shared" si="22"/>
        <v/>
      </c>
      <c r="G440" s="19"/>
      <c r="H440" s="19"/>
      <c r="I440" s="19"/>
      <c r="J440" s="19"/>
      <c r="K440" s="228"/>
      <c r="L440" s="19"/>
      <c r="M440" s="19"/>
      <c r="N440" s="19"/>
      <c r="O440" s="19"/>
      <c r="P440" s="19"/>
      <c r="Q440" s="19"/>
      <c r="R440" s="19"/>
      <c r="S440" s="19"/>
      <c r="T440" s="19"/>
      <c r="U440" s="19"/>
      <c r="V440" s="19"/>
      <c r="W440" s="19"/>
      <c r="X440" s="19"/>
      <c r="Y440" s="19"/>
    </row>
    <row r="441" spans="1:25" ht="12" customHeight="1">
      <c r="A441" s="219" t="n" cm="1">
        <f t="array" ref="A441">IFERROR(INDEX('03.Muestra'!$B$8:$B$42,SMALL(IF("Página Web"='03.Muestra'!$D$8:$D$42,ROW('03.Muestra'!$B$8:$B$42)-MIN(ROW('03.Muestra'!$D$8:$D$42))+1,""),ROW()-436)),"")</f>
        <v>1.0</v>
      </c>
      <c r="B441" s="114" t="str" cm="1">
        <f t="array" ref="B441">IFERROR(INDEX('03.Muestra'!$C$8:$C$42,SMALL(IF("Página Web"='03.Muestra'!$D$8:$D$42,ROW('03.Muestra'!$C$8:$C$42)-MIN(ROW('03.Muestra'!$D$8:$D$42))+1,""),ROW()-436)),"")</f>
        <v>Home - PortCastelló</v>
      </c>
      <c r="C441" s="114" t="str" cm="1">
        <f t="array" ref="C441">IFERROR(INDEX('03.Muestra'!$F$8:$F$42,SMALL(IF("Página Web"='03.Muestra'!$D$8:$D$42,ROW('03.Muestra'!$F$8:$F$42)-MIN(ROW('03.Muestra'!$D$8:$D$42))+1,""),ROW()-436)),"")</f>
        <v>https://www.portcastello.com/</v>
      </c>
      <c r="D441" s="130" t="str">
        <f t="shared" si="23"/>
        <v>N/T</v>
      </c>
      <c r="E441" s="107" t="str">
        <f t="shared" si="22"/>
        <v/>
      </c>
      <c r="G441" s="19"/>
      <c r="H441" s="19"/>
      <c r="I441" s="19"/>
      <c r="J441" s="19"/>
      <c r="K441" s="228"/>
      <c r="L441" s="19"/>
      <c r="M441" s="19"/>
      <c r="N441" s="19"/>
      <c r="O441" s="19"/>
      <c r="P441" s="19"/>
      <c r="Q441" s="19"/>
      <c r="R441" s="19"/>
      <c r="S441" s="19"/>
      <c r="T441" s="19"/>
      <c r="U441" s="19"/>
      <c r="V441" s="19"/>
      <c r="W441" s="19"/>
      <c r="X441" s="19"/>
      <c r="Y441" s="19"/>
    </row>
    <row r="442" spans="1:25" ht="12" customHeight="1">
      <c r="A442" s="219" t="n" cm="1">
        <f t="array" ref="A442">IFERROR(INDEX('03.Muestra'!$B$8:$B$42,SMALL(IF("Página Web"='03.Muestra'!$D$8:$D$42,ROW('03.Muestra'!$B$8:$B$42)-MIN(ROW('03.Muestra'!$D$8:$D$42))+1,""),ROW()-436)),"")</f>
        <v>1.0</v>
      </c>
      <c r="B442" s="114" t="str" cm="1">
        <f t="array" ref="B442">IFERROR(INDEX('03.Muestra'!$C$8:$C$42,SMALL(IF("Página Web"='03.Muestra'!$D$8:$D$42,ROW('03.Muestra'!$C$8:$C$42)-MIN(ROW('03.Muestra'!$D$8:$D$42))+1,""),ROW()-436)),"")</f>
        <v>Home - PortCastelló</v>
      </c>
      <c r="C442" s="114" t="str" cm="1">
        <f t="array" ref="C442">IFERROR(INDEX('03.Muestra'!$F$8:$F$42,SMALL(IF("Página Web"='03.Muestra'!$D$8:$D$42,ROW('03.Muestra'!$F$8:$F$42)-MIN(ROW('03.Muestra'!$D$8:$D$42))+1,""),ROW()-436)),"")</f>
        <v>https://www.portcastello.com/</v>
      </c>
      <c r="D442" s="130" t="str">
        <f t="shared" si="23"/>
        <v>N/T</v>
      </c>
      <c r="E442" s="107" t="str">
        <f t="shared" si="22"/>
        <v/>
      </c>
      <c r="G442" s="19"/>
      <c r="H442" s="19"/>
      <c r="I442" s="19"/>
      <c r="J442" s="19"/>
      <c r="K442" s="228"/>
      <c r="L442" s="19"/>
      <c r="M442" s="19"/>
      <c r="N442" s="19"/>
      <c r="O442" s="19"/>
      <c r="P442" s="19"/>
      <c r="Q442" s="19"/>
      <c r="R442" s="19"/>
      <c r="S442" s="19"/>
      <c r="T442" s="19"/>
      <c r="U442" s="19"/>
      <c r="V442" s="19"/>
      <c r="W442" s="19"/>
      <c r="X442" s="19"/>
      <c r="Y442" s="19"/>
    </row>
    <row r="443" spans="1:25" ht="12" customHeight="1">
      <c r="A443" s="219" t="n" cm="1">
        <f t="array" ref="A443">IFERROR(INDEX('03.Muestra'!$B$8:$B$42,SMALL(IF("Página Web"='03.Muestra'!$D$8:$D$42,ROW('03.Muestra'!$B$8:$B$42)-MIN(ROW('03.Muestra'!$D$8:$D$42))+1,""),ROW()-436)),"")</f>
        <v>1.0</v>
      </c>
      <c r="B443" s="114" t="str" cm="1">
        <f t="array" ref="B443">IFERROR(INDEX('03.Muestra'!$C$8:$C$42,SMALL(IF("Página Web"='03.Muestra'!$D$8:$D$42,ROW('03.Muestra'!$C$8:$C$42)-MIN(ROW('03.Muestra'!$D$8:$D$42))+1,""),ROW()-436)),"")</f>
        <v>Home - PortCastelló</v>
      </c>
      <c r="C443" s="114" t="str" cm="1">
        <f t="array" ref="C443">IFERROR(INDEX('03.Muestra'!$F$8:$F$42,SMALL(IF("Página Web"='03.Muestra'!$D$8:$D$42,ROW('03.Muestra'!$F$8:$F$42)-MIN(ROW('03.Muestra'!$D$8:$D$42))+1,""),ROW()-436)),"")</f>
        <v>https://www.portcastello.com/</v>
      </c>
      <c r="D443" s="130" t="str">
        <f t="shared" si="23"/>
        <v>N/T</v>
      </c>
      <c r="E443" s="107" t="str">
        <f t="shared" si="22"/>
        <v/>
      </c>
      <c r="F443" s="19"/>
      <c r="G443" s="19"/>
      <c r="H443" s="19"/>
      <c r="I443" s="19"/>
      <c r="J443" s="19"/>
      <c r="K443" s="228"/>
      <c r="L443" s="19"/>
      <c r="M443" s="19"/>
      <c r="N443" s="19"/>
      <c r="O443" s="19"/>
      <c r="P443" s="19"/>
      <c r="Q443" s="19"/>
      <c r="R443" s="19"/>
      <c r="S443" s="19"/>
      <c r="T443" s="19"/>
      <c r="U443" s="19"/>
      <c r="V443" s="19"/>
      <c r="W443" s="19"/>
      <c r="X443" s="19"/>
      <c r="Y443" s="19"/>
    </row>
    <row r="444" spans="1:25" ht="12" customHeight="1">
      <c r="A444" s="219" t="n" cm="1">
        <f t="array" ref="A444">IFERROR(INDEX('03.Muestra'!$B$8:$B$42,SMALL(IF("Página Web"='03.Muestra'!$D$8:$D$42,ROW('03.Muestra'!$B$8:$B$42)-MIN(ROW('03.Muestra'!$D$8:$D$42))+1,""),ROW()-436)),"")</f>
        <v>1.0</v>
      </c>
      <c r="B444" s="114" t="str" cm="1">
        <f t="array" ref="B444">IFERROR(INDEX('03.Muestra'!$C$8:$C$42,SMALL(IF("Página Web"='03.Muestra'!$D$8:$D$42,ROW('03.Muestra'!$C$8:$C$42)-MIN(ROW('03.Muestra'!$D$8:$D$42))+1,""),ROW()-436)),"")</f>
        <v>Home - PortCastelló</v>
      </c>
      <c r="C444" s="114" t="str" cm="1">
        <f t="array" ref="C444">IFERROR(INDEX('03.Muestra'!$F$8:$F$42,SMALL(IF("Página Web"='03.Muestra'!$D$8:$D$42,ROW('03.Muestra'!$F$8:$F$42)-MIN(ROW('03.Muestra'!$D$8:$D$42))+1,""),ROW()-436)),"")</f>
        <v>https://www.portcastello.com/</v>
      </c>
      <c r="D444" s="130" t="str">
        <f t="shared" si="23"/>
        <v>N/T</v>
      </c>
      <c r="E444" s="107" t="str">
        <f t="shared" si="22"/>
        <v/>
      </c>
      <c r="F444" s="19"/>
      <c r="G444" s="19"/>
      <c r="H444" s="19"/>
      <c r="I444" s="19"/>
      <c r="J444" s="19"/>
      <c r="K444" s="228"/>
      <c r="L444" s="19"/>
      <c r="M444" s="19"/>
      <c r="N444" s="19"/>
      <c r="O444" s="19"/>
      <c r="P444" s="19"/>
      <c r="Q444" s="19"/>
      <c r="R444" s="19"/>
      <c r="S444" s="19"/>
      <c r="T444" s="19"/>
      <c r="U444" s="19"/>
      <c r="V444" s="19"/>
      <c r="W444" s="19"/>
      <c r="X444" s="19"/>
      <c r="Y444" s="19"/>
    </row>
    <row r="445" spans="1:25" ht="12" customHeight="1">
      <c r="A445" s="219" t="n" cm="1">
        <f t="array" ref="A445">IFERROR(INDEX('03.Muestra'!$B$8:$B$42,SMALL(IF("Página Web"='03.Muestra'!$D$8:$D$42,ROW('03.Muestra'!$B$8:$B$42)-MIN(ROW('03.Muestra'!$D$8:$D$42))+1,""),ROW()-436)),"")</f>
        <v>1.0</v>
      </c>
      <c r="B445" s="114" t="str" cm="1">
        <f t="array" ref="B445">IFERROR(INDEX('03.Muestra'!$C$8:$C$42,SMALL(IF("Página Web"='03.Muestra'!$D$8:$D$42,ROW('03.Muestra'!$C$8:$C$42)-MIN(ROW('03.Muestra'!$D$8:$D$42))+1,""),ROW()-436)),"")</f>
        <v>Home - PortCastelló</v>
      </c>
      <c r="C445" s="114" t="str" cm="1">
        <f t="array" ref="C445">IFERROR(INDEX('03.Muestra'!$F$8:$F$42,SMALL(IF("Página Web"='03.Muestra'!$D$8:$D$42,ROW('03.Muestra'!$F$8:$F$42)-MIN(ROW('03.Muestra'!$D$8:$D$42))+1,""),ROW()-436)),"")</f>
        <v>https://www.portcastello.com/</v>
      </c>
      <c r="D445" s="130" t="str">
        <f t="shared" si="23"/>
        <v>N/T</v>
      </c>
      <c r="E445" s="107" t="str">
        <f t="shared" si="22"/>
        <v/>
      </c>
      <c r="F445" s="19"/>
      <c r="G445" s="19"/>
      <c r="H445" s="19"/>
      <c r="I445" s="19"/>
      <c r="J445" s="19"/>
      <c r="K445" s="228"/>
      <c r="L445" s="19"/>
      <c r="M445" s="19"/>
      <c r="N445" s="19"/>
      <c r="O445" s="19"/>
      <c r="P445" s="19"/>
      <c r="Q445" s="19"/>
      <c r="R445" s="19"/>
      <c r="S445" s="19"/>
      <c r="T445" s="19"/>
      <c r="U445" s="19"/>
      <c r="V445" s="19"/>
      <c r="W445" s="19"/>
      <c r="X445" s="19"/>
      <c r="Y445" s="19"/>
    </row>
    <row r="446" spans="1:25" ht="12" customHeight="1">
      <c r="A446" s="219" t="n" cm="1">
        <f t="array" ref="A446">IFERROR(INDEX('03.Muestra'!$B$8:$B$42,SMALL(IF("Página Web"='03.Muestra'!$D$8:$D$42,ROW('03.Muestra'!$B$8:$B$42)-MIN(ROW('03.Muestra'!$D$8:$D$42))+1,""),ROW()-436)),"")</f>
        <v>1.0</v>
      </c>
      <c r="B446" s="114" t="str" cm="1">
        <f t="array" ref="B446">IFERROR(INDEX('03.Muestra'!$C$8:$C$42,SMALL(IF("Página Web"='03.Muestra'!$D$8:$D$42,ROW('03.Muestra'!$C$8:$C$42)-MIN(ROW('03.Muestra'!$D$8:$D$42))+1,""),ROW()-436)),"")</f>
        <v>Home - PortCastelló</v>
      </c>
      <c r="C446" s="114" t="str" cm="1">
        <f t="array" ref="C446">IFERROR(INDEX('03.Muestra'!$F$8:$F$42,SMALL(IF("Página Web"='03.Muestra'!$D$8:$D$42,ROW('03.Muestra'!$F$8:$F$42)-MIN(ROW('03.Muestra'!$D$8:$D$42))+1,""),ROW()-436)),"")</f>
        <v>https://www.portcastello.com/</v>
      </c>
      <c r="D446" s="130" t="str">
        <f t="shared" si="23"/>
        <v>N/T</v>
      </c>
      <c r="E446" s="107" t="str">
        <f t="shared" si="22"/>
        <v/>
      </c>
      <c r="F446" s="19"/>
      <c r="G446" s="19"/>
      <c r="H446" s="19"/>
      <c r="I446" s="19"/>
      <c r="J446" s="19"/>
      <c r="K446" s="228"/>
      <c r="L446" s="19"/>
      <c r="M446" s="19"/>
      <c r="N446" s="19"/>
      <c r="O446" s="19"/>
      <c r="P446" s="19"/>
      <c r="Q446" s="19"/>
      <c r="R446" s="19"/>
      <c r="S446" s="19"/>
      <c r="T446" s="19"/>
      <c r="U446" s="19"/>
      <c r="V446" s="19"/>
      <c r="W446" s="19"/>
      <c r="X446" s="19"/>
      <c r="Y446" s="19"/>
    </row>
    <row r="447" spans="1:25" ht="12" customHeight="1">
      <c r="A447" s="219" t="n" cm="1">
        <f t="array" ref="A447">IFERROR(INDEX('03.Muestra'!$B$8:$B$42,SMALL(IF("Página Web"='03.Muestra'!$D$8:$D$42,ROW('03.Muestra'!$B$8:$B$42)-MIN(ROW('03.Muestra'!$D$8:$D$42))+1,""),ROW()-436)),"")</f>
        <v>1.0</v>
      </c>
      <c r="B447" s="114" t="str" cm="1">
        <f t="array" ref="B447">IFERROR(INDEX('03.Muestra'!$C$8:$C$42,SMALL(IF("Página Web"='03.Muestra'!$D$8:$D$42,ROW('03.Muestra'!$C$8:$C$42)-MIN(ROW('03.Muestra'!$D$8:$D$42))+1,""),ROW()-436)),"")</f>
        <v>Home - PortCastelló</v>
      </c>
      <c r="C447" s="114" t="str" cm="1">
        <f t="array" ref="C447">IFERROR(INDEX('03.Muestra'!$F$8:$F$42,SMALL(IF("Página Web"='03.Muestra'!$D$8:$D$42,ROW('03.Muestra'!$F$8:$F$42)-MIN(ROW('03.Muestra'!$D$8:$D$42))+1,""),ROW()-436)),"")</f>
        <v>https://www.portcastello.com/</v>
      </c>
      <c r="D447" s="130" t="str">
        <f t="shared" si="23"/>
        <v>N/T</v>
      </c>
      <c r="E447" s="107" t="str">
        <f t="shared" si="22"/>
        <v/>
      </c>
      <c r="F447" s="19"/>
      <c r="G447" s="19"/>
      <c r="H447" s="19"/>
      <c r="I447" s="19"/>
      <c r="J447" s="19"/>
      <c r="K447" s="228"/>
      <c r="L447" s="19"/>
      <c r="M447" s="19"/>
      <c r="N447" s="19"/>
      <c r="O447" s="19"/>
      <c r="P447" s="19"/>
      <c r="Q447" s="19"/>
      <c r="R447" s="19"/>
      <c r="S447" s="19"/>
      <c r="T447" s="19"/>
      <c r="U447" s="19"/>
      <c r="V447" s="19"/>
      <c r="W447" s="19"/>
      <c r="X447" s="19"/>
      <c r="Y447" s="19"/>
    </row>
    <row r="448" spans="1:25" ht="12" customHeight="1">
      <c r="A448" s="219" t="n" cm="1">
        <f t="array" ref="A448">IFERROR(INDEX('03.Muestra'!$B$8:$B$42,SMALL(IF("Página Web"='03.Muestra'!$D$8:$D$42,ROW('03.Muestra'!$B$8:$B$42)-MIN(ROW('03.Muestra'!$D$8:$D$42))+1,""),ROW()-436)),"")</f>
        <v>1.0</v>
      </c>
      <c r="B448" s="114" t="str" cm="1">
        <f t="array" ref="B448">IFERROR(INDEX('03.Muestra'!$C$8:$C$42,SMALL(IF("Página Web"='03.Muestra'!$D$8:$D$42,ROW('03.Muestra'!$C$8:$C$42)-MIN(ROW('03.Muestra'!$D$8:$D$42))+1,""),ROW()-436)),"")</f>
        <v>Home - PortCastelló</v>
      </c>
      <c r="C448" s="114" t="str" cm="1">
        <f t="array" ref="C448">IFERROR(INDEX('03.Muestra'!$F$8:$F$42,SMALL(IF("Página Web"='03.Muestra'!$D$8:$D$42,ROW('03.Muestra'!$F$8:$F$42)-MIN(ROW('03.Muestra'!$D$8:$D$42))+1,""),ROW()-436)),"")</f>
        <v>https://www.portcastello.com/</v>
      </c>
      <c r="D448" s="130" t="str">
        <f t="shared" si="23"/>
        <v>N/T</v>
      </c>
      <c r="E448" s="107" t="str">
        <f t="shared" si="22"/>
        <v/>
      </c>
      <c r="F448" s="19"/>
      <c r="G448" s="19"/>
      <c r="H448" s="19"/>
      <c r="I448" s="19"/>
      <c r="J448" s="19"/>
      <c r="K448" s="228"/>
      <c r="L448" s="19"/>
      <c r="M448" s="19"/>
      <c r="N448" s="19"/>
      <c r="O448" s="19"/>
      <c r="P448" s="19"/>
      <c r="Q448" s="19"/>
      <c r="R448" s="19"/>
      <c r="S448" s="19"/>
      <c r="T448" s="19"/>
      <c r="U448" s="19"/>
      <c r="V448" s="19"/>
      <c r="W448" s="19"/>
      <c r="X448" s="19"/>
      <c r="Y448" s="19"/>
    </row>
    <row r="449" spans="1:25" ht="14.1" customHeight="1">
      <c r="A449" s="219" t="n" cm="1">
        <f t="array" ref="A449">IFERROR(INDEX('03.Muestra'!$B$8:$B$42,SMALL(IF("Página Web"='03.Muestra'!$D$8:$D$42,ROW('03.Muestra'!$B$8:$B$42)-MIN(ROW('03.Muestra'!$D$8:$D$42))+1,""),ROW()-436)),"")</f>
        <v>1.0</v>
      </c>
      <c r="B449" s="114" t="str" cm="1">
        <f t="array" ref="B449">IFERROR(INDEX('03.Muestra'!$C$8:$C$42,SMALL(IF("Página Web"='03.Muestra'!$D$8:$D$42,ROW('03.Muestra'!$C$8:$C$42)-MIN(ROW('03.Muestra'!$D$8:$D$42))+1,""),ROW()-436)),"")</f>
        <v>Home - PortCastelló</v>
      </c>
      <c r="C449" s="114" t="str" cm="1">
        <f t="array" ref="C449">IFERROR(INDEX('03.Muestra'!$F$8:$F$42,SMALL(IF("Página Web"='03.Muestra'!$D$8:$D$42,ROW('03.Muestra'!$F$8:$F$42)-MIN(ROW('03.Muestra'!$D$8:$D$42))+1,""),ROW()-436)),"")</f>
        <v>https://www.portcastello.com/</v>
      </c>
      <c r="D449" s="130" t="str">
        <f t="shared" si="23"/>
        <v>N/T</v>
      </c>
      <c r="E449" s="107" t="str">
        <f t="shared" si="22"/>
        <v/>
      </c>
      <c r="F449" s="19"/>
      <c r="G449" s="19"/>
      <c r="H449" s="19"/>
      <c r="I449" s="19"/>
      <c r="J449" s="19"/>
      <c r="K449" s="228"/>
      <c r="L449" s="19"/>
      <c r="M449" s="19"/>
      <c r="N449" s="19"/>
      <c r="O449" s="19"/>
      <c r="P449" s="19"/>
      <c r="Q449" s="19"/>
      <c r="R449" s="19"/>
      <c r="S449" s="19"/>
      <c r="T449" s="19"/>
      <c r="U449" s="19"/>
      <c r="V449" s="19"/>
      <c r="W449" s="19"/>
      <c r="X449" s="19"/>
      <c r="Y449" s="19"/>
    </row>
    <row r="450" spans="1:25" ht="14.1" customHeight="1">
      <c r="A450" s="219" t="n" cm="1">
        <f t="array" ref="A450">IFERROR(INDEX('03.Muestra'!$B$8:$B$42,SMALL(IF("Página Web"='03.Muestra'!$D$8:$D$42,ROW('03.Muestra'!$B$8:$B$42)-MIN(ROW('03.Muestra'!$D$8:$D$42))+1,""),ROW()-436)),"")</f>
        <v>1.0</v>
      </c>
      <c r="B450" s="114" t="str" cm="1">
        <f t="array" ref="B450">IFERROR(INDEX('03.Muestra'!$C$8:$C$42,SMALL(IF("Página Web"='03.Muestra'!$D$8:$D$42,ROW('03.Muestra'!$C$8:$C$42)-MIN(ROW('03.Muestra'!$D$8:$D$42))+1,""),ROW()-436)),"")</f>
        <v>Home - PortCastelló</v>
      </c>
      <c r="C450" s="114" t="str" cm="1">
        <f t="array" ref="C450">IFERROR(INDEX('03.Muestra'!$F$8:$F$42,SMALL(IF("Página Web"='03.Muestra'!$D$8:$D$42,ROW('03.Muestra'!$F$8:$F$42)-MIN(ROW('03.Muestra'!$D$8:$D$42))+1,""),ROW()-436)),"")</f>
        <v>https://www.portcastello.com/</v>
      </c>
      <c r="D450" s="130" t="str">
        <f t="shared" si="23"/>
        <v>N/T</v>
      </c>
      <c r="E450" s="107" t="str">
        <f t="shared" si="22"/>
        <v/>
      </c>
      <c r="F450" s="19"/>
      <c r="G450" s="19"/>
      <c r="H450" s="19"/>
      <c r="I450" s="19"/>
      <c r="J450" s="19"/>
      <c r="K450" s="228"/>
      <c r="L450" s="19"/>
      <c r="M450" s="19"/>
      <c r="N450" s="19"/>
      <c r="O450" s="19"/>
      <c r="P450" s="19"/>
      <c r="Q450" s="19"/>
      <c r="R450" s="19"/>
      <c r="S450" s="19"/>
      <c r="T450" s="19"/>
      <c r="U450" s="19"/>
      <c r="V450" s="19"/>
      <c r="W450" s="19"/>
      <c r="X450" s="19"/>
      <c r="Y450" s="19"/>
    </row>
    <row r="451" spans="1:25" ht="14.1" customHeight="1">
      <c r="A451" s="219" t="n" cm="1">
        <f t="array" ref="A451">IFERROR(INDEX('03.Muestra'!$B$8:$B$42,SMALL(IF("Página Web"='03.Muestra'!$D$8:$D$42,ROW('03.Muestra'!$B$8:$B$42)-MIN(ROW('03.Muestra'!$D$8:$D$42))+1,""),ROW()-436)),"")</f>
        <v>1.0</v>
      </c>
      <c r="B451" s="114" t="str" cm="1">
        <f t="array" ref="B451">IFERROR(INDEX('03.Muestra'!$C$8:$C$42,SMALL(IF("Página Web"='03.Muestra'!$D$8:$D$42,ROW('03.Muestra'!$C$8:$C$42)-MIN(ROW('03.Muestra'!$D$8:$D$42))+1,""),ROW()-436)),"")</f>
        <v>Home - PortCastelló</v>
      </c>
      <c r="C451" s="114" t="str" cm="1">
        <f t="array" ref="C451">IFERROR(INDEX('03.Muestra'!$F$8:$F$42,SMALL(IF("Página Web"='03.Muestra'!$D$8:$D$42,ROW('03.Muestra'!$F$8:$F$42)-MIN(ROW('03.Muestra'!$D$8:$D$42))+1,""),ROW()-436)),"")</f>
        <v>https://www.portcastello.com/</v>
      </c>
      <c r="D451" s="130" t="str">
        <f t="shared" si="23"/>
        <v>N/T</v>
      </c>
      <c r="E451" s="107" t="str">
        <f t="shared" si="22"/>
        <v/>
      </c>
      <c r="F451" s="19"/>
      <c r="G451" s="19"/>
      <c r="H451" s="19"/>
      <c r="I451" s="19"/>
      <c r="J451" s="19"/>
      <c r="K451" s="228"/>
      <c r="L451" s="19"/>
      <c r="M451" s="19"/>
      <c r="N451" s="19"/>
      <c r="O451" s="19"/>
      <c r="P451" s="19"/>
      <c r="Q451" s="19"/>
      <c r="R451" s="19"/>
      <c r="S451" s="19"/>
      <c r="T451" s="19"/>
      <c r="U451" s="19"/>
      <c r="V451" s="19"/>
      <c r="W451" s="19"/>
      <c r="X451" s="19"/>
      <c r="Y451" s="19"/>
    </row>
    <row r="452" spans="1:25" ht="14.1" customHeight="1">
      <c r="A452" s="219" t="n" cm="1">
        <f t="array" ref="A452">IFERROR(INDEX('03.Muestra'!$B$8:$B$42,SMALL(IF("Página Web"='03.Muestra'!$D$8:$D$42,ROW('03.Muestra'!$B$8:$B$42)-MIN(ROW('03.Muestra'!$D$8:$D$42))+1,""),ROW()-436)),"")</f>
        <v>1.0</v>
      </c>
      <c r="B452" s="114" t="str" cm="1">
        <f t="array" ref="B452">IFERROR(INDEX('03.Muestra'!$C$8:$C$42,SMALL(IF("Página Web"='03.Muestra'!$D$8:$D$42,ROW('03.Muestra'!$C$8:$C$42)-MIN(ROW('03.Muestra'!$D$8:$D$42))+1,""),ROW()-436)),"")</f>
        <v>Home - PortCastelló</v>
      </c>
      <c r="C452" s="114" t="str" cm="1">
        <f t="array" ref="C452">IFERROR(INDEX('03.Muestra'!$F$8:$F$42,SMALL(IF("Página Web"='03.Muestra'!$D$8:$D$42,ROW('03.Muestra'!$F$8:$F$42)-MIN(ROW('03.Muestra'!$D$8:$D$42))+1,""),ROW()-436)),"")</f>
        <v>https://www.portcastello.com/</v>
      </c>
      <c r="D452" s="130" t="str">
        <f t="shared" si="23"/>
        <v>N/T</v>
      </c>
      <c r="E452" s="107" t="str">
        <f t="shared" si="22"/>
        <v/>
      </c>
      <c r="F452" s="19"/>
      <c r="G452" s="19"/>
      <c r="H452" s="19"/>
      <c r="I452" s="19"/>
      <c r="J452" s="19"/>
      <c r="K452" s="228"/>
      <c r="L452" s="19"/>
      <c r="M452" s="19"/>
      <c r="N452" s="19"/>
      <c r="O452" s="19"/>
      <c r="P452" s="19"/>
      <c r="Q452" s="19"/>
      <c r="R452" s="19"/>
      <c r="S452" s="19"/>
      <c r="T452" s="19"/>
      <c r="U452" s="19"/>
      <c r="V452" s="19"/>
      <c r="W452" s="19"/>
      <c r="X452" s="19"/>
      <c r="Y452" s="19"/>
    </row>
    <row r="453" spans="1:25" ht="14.1" customHeight="1">
      <c r="A453" s="219" t="n" cm="1">
        <f t="array" ref="A453">IFERROR(INDEX('03.Muestra'!$B$8:$B$42,SMALL(IF("Página Web"='03.Muestra'!$D$8:$D$42,ROW('03.Muestra'!$B$8:$B$42)-MIN(ROW('03.Muestra'!$D$8:$D$42))+1,""),ROW()-436)),"")</f>
        <v>1.0</v>
      </c>
      <c r="B453" s="114" t="str" cm="1">
        <f t="array" ref="B453">IFERROR(INDEX('03.Muestra'!$C$8:$C$42,SMALL(IF("Página Web"='03.Muestra'!$D$8:$D$42,ROW('03.Muestra'!$C$8:$C$42)-MIN(ROW('03.Muestra'!$D$8:$D$42))+1,""),ROW()-436)),"")</f>
        <v>Home - PortCastelló</v>
      </c>
      <c r="C453" s="114" t="str" cm="1">
        <f t="array" ref="C453">IFERROR(INDEX('03.Muestra'!$F$8:$F$42,SMALL(IF("Página Web"='03.Muestra'!$D$8:$D$42,ROW('03.Muestra'!$F$8:$F$42)-MIN(ROW('03.Muestra'!$D$8:$D$42))+1,""),ROW()-436)),"")</f>
        <v>https://www.portcastello.com/</v>
      </c>
      <c r="D453" s="130" t="str">
        <f t="shared" si="23"/>
        <v>N/T</v>
      </c>
      <c r="E453" s="107" t="str">
        <f t="shared" si="22"/>
        <v/>
      </c>
      <c r="F453" s="19"/>
      <c r="G453" s="19"/>
      <c r="H453" s="19"/>
      <c r="I453" s="19"/>
      <c r="J453" s="19"/>
      <c r="K453" s="228"/>
      <c r="L453" s="19"/>
      <c r="M453" s="19"/>
      <c r="N453" s="19"/>
      <c r="O453" s="19"/>
      <c r="P453" s="19"/>
      <c r="Q453" s="19"/>
      <c r="R453" s="19"/>
      <c r="S453" s="19"/>
      <c r="T453" s="19"/>
      <c r="U453" s="19"/>
      <c r="V453" s="19"/>
      <c r="W453" s="19"/>
      <c r="X453" s="19"/>
      <c r="Y453" s="19"/>
    </row>
    <row r="454" spans="1:25" ht="14.1" customHeight="1">
      <c r="A454" s="219" t="n" cm="1">
        <f t="array" ref="A454">IFERROR(INDEX('03.Muestra'!$B$8:$B$42,SMALL(IF("Página Web"='03.Muestra'!$D$8:$D$42,ROW('03.Muestra'!$B$8:$B$42)-MIN(ROW('03.Muestra'!$D$8:$D$42))+1,""),ROW()-436)),"")</f>
        <v>1.0</v>
      </c>
      <c r="B454" s="114" t="str" cm="1">
        <f t="array" ref="B454">IFERROR(INDEX('03.Muestra'!$C$8:$C$42,SMALL(IF("Página Web"='03.Muestra'!$D$8:$D$42,ROW('03.Muestra'!$C$8:$C$42)-MIN(ROW('03.Muestra'!$D$8:$D$42))+1,""),ROW()-436)),"")</f>
        <v>Home - PortCastelló</v>
      </c>
      <c r="C454" s="114" t="str" cm="1">
        <f t="array" ref="C454">IFERROR(INDEX('03.Muestra'!$F$8:$F$42,SMALL(IF("Página Web"='03.Muestra'!$D$8:$D$42,ROW('03.Muestra'!$F$8:$F$42)-MIN(ROW('03.Muestra'!$D$8:$D$42))+1,""),ROW()-436)),"")</f>
        <v>https://www.portcastello.com/</v>
      </c>
      <c r="D454" s="130" t="str">
        <f t="shared" si="23"/>
        <v>N/T</v>
      </c>
      <c r="E454" s="107" t="str">
        <f t="shared" si="22"/>
        <v/>
      </c>
      <c r="F454" s="19"/>
      <c r="G454" s="19"/>
      <c r="H454" s="19"/>
      <c r="I454" s="19"/>
      <c r="J454" s="19"/>
      <c r="K454" s="228"/>
      <c r="L454" s="19"/>
      <c r="M454" s="19"/>
      <c r="N454" s="19"/>
      <c r="O454" s="19"/>
      <c r="P454" s="19"/>
      <c r="Q454" s="19"/>
      <c r="R454" s="19"/>
      <c r="S454" s="19"/>
      <c r="T454" s="19"/>
      <c r="U454" s="19"/>
      <c r="V454" s="19"/>
      <c r="W454" s="19"/>
      <c r="X454" s="19"/>
      <c r="Y454" s="19"/>
    </row>
    <row r="455" spans="1:25" ht="14.1" customHeight="1">
      <c r="A455" s="219" t="n" cm="1">
        <f t="array" ref="A455">IFERROR(INDEX('03.Muestra'!$B$8:$B$42,SMALL(IF("Página Web"='03.Muestra'!$D$8:$D$42,ROW('03.Muestra'!$B$8:$B$42)-MIN(ROW('03.Muestra'!$D$8:$D$42))+1,""),ROW()-436)),"")</f>
        <v>1.0</v>
      </c>
      <c r="B455" s="114" t="str" cm="1">
        <f t="array" ref="B455">IFERROR(INDEX('03.Muestra'!$C$8:$C$42,SMALL(IF("Página Web"='03.Muestra'!$D$8:$D$42,ROW('03.Muestra'!$C$8:$C$42)-MIN(ROW('03.Muestra'!$D$8:$D$42))+1,""),ROW()-436)),"")</f>
        <v>Home - PortCastelló</v>
      </c>
      <c r="C455" s="114" t="str" cm="1">
        <f t="array" ref="C455">IFERROR(INDEX('03.Muestra'!$F$8:$F$42,SMALL(IF("Página Web"='03.Muestra'!$D$8:$D$42,ROW('03.Muestra'!$F$8:$F$42)-MIN(ROW('03.Muestra'!$D$8:$D$42))+1,""),ROW()-436)),"")</f>
        <v>https://www.portcastello.com/</v>
      </c>
      <c r="D455" s="130" t="str">
        <f t="shared" si="23"/>
        <v>N/T</v>
      </c>
      <c r="E455" s="107" t="str">
        <f t="shared" si="22"/>
        <v/>
      </c>
      <c r="F455" s="19"/>
      <c r="G455" s="19"/>
      <c r="H455" s="19"/>
      <c r="I455" s="19"/>
      <c r="J455" s="19"/>
      <c r="K455" s="228"/>
      <c r="L455" s="19"/>
      <c r="M455" s="19"/>
      <c r="N455" s="19"/>
      <c r="O455" s="19"/>
      <c r="P455" s="19"/>
      <c r="Q455" s="19"/>
      <c r="R455" s="19"/>
      <c r="S455" s="19"/>
      <c r="T455" s="19"/>
      <c r="U455" s="19"/>
      <c r="V455" s="19"/>
      <c r="W455" s="19"/>
      <c r="X455" s="19"/>
      <c r="Y455" s="19"/>
    </row>
    <row r="456" spans="1:25" ht="14.1" customHeight="1">
      <c r="A456" s="219" t="n" cm="1">
        <f t="array" ref="A456">IFERROR(INDEX('03.Muestra'!$B$8:$B$42,SMALL(IF("Página Web"='03.Muestra'!$D$8:$D$42,ROW('03.Muestra'!$B$8:$B$42)-MIN(ROW('03.Muestra'!$D$8:$D$42))+1,""),ROW()-436)),"")</f>
        <v>1.0</v>
      </c>
      <c r="B456" s="114" t="str" cm="1">
        <f t="array" ref="B456">IFERROR(INDEX('03.Muestra'!$C$8:$C$42,SMALL(IF("Página Web"='03.Muestra'!$D$8:$D$42,ROW('03.Muestra'!$C$8:$C$42)-MIN(ROW('03.Muestra'!$D$8:$D$42))+1,""),ROW()-436)),"")</f>
        <v>Home - PortCastelló</v>
      </c>
      <c r="C456" s="114" t="str" cm="1">
        <f t="array" ref="C456">IFERROR(INDEX('03.Muestra'!$F$8:$F$42,SMALL(IF("Página Web"='03.Muestra'!$D$8:$D$42,ROW('03.Muestra'!$F$8:$F$42)-MIN(ROW('03.Muestra'!$D$8:$D$42))+1,""),ROW()-436)),"")</f>
        <v>https://www.portcastello.com/</v>
      </c>
      <c r="D456" s="130" t="str">
        <f t="shared" si="23"/>
        <v>N/T</v>
      </c>
      <c r="E456" s="107" t="str">
        <f t="shared" si="22"/>
        <v/>
      </c>
      <c r="F456" s="19"/>
      <c r="G456" s="19"/>
      <c r="H456" s="19"/>
      <c r="I456" s="19"/>
      <c r="J456" s="19"/>
      <c r="K456" s="228"/>
      <c r="L456" s="19"/>
      <c r="M456" s="19"/>
      <c r="N456" s="19"/>
      <c r="O456" s="19"/>
      <c r="P456" s="19"/>
      <c r="Q456" s="19"/>
      <c r="R456" s="19"/>
      <c r="S456" s="19"/>
      <c r="T456" s="19"/>
      <c r="U456" s="19"/>
      <c r="V456" s="19"/>
      <c r="W456" s="19"/>
      <c r="X456" s="19"/>
      <c r="Y456" s="19"/>
    </row>
    <row r="457" spans="1:25" ht="14.1" customHeight="1">
      <c r="A457" s="219" t="n" cm="1">
        <f t="array" ref="A457">IFERROR(INDEX('03.Muestra'!$B$8:$B$42,SMALL(IF("Página Web"='03.Muestra'!$D$8:$D$42,ROW('03.Muestra'!$B$8:$B$42)-MIN(ROW('03.Muestra'!$D$8:$D$42))+1,""),ROW()-436)),"")</f>
        <v>1.0</v>
      </c>
      <c r="B457" s="114" t="str" cm="1">
        <f t="array" ref="B457">IFERROR(INDEX('03.Muestra'!$C$8:$C$42,SMALL(IF("Página Web"='03.Muestra'!$D$8:$D$42,ROW('03.Muestra'!$C$8:$C$42)-MIN(ROW('03.Muestra'!$D$8:$D$42))+1,""),ROW()-436)),"")</f>
        <v>Home - PortCastelló</v>
      </c>
      <c r="C457" s="114" t="str" cm="1">
        <f t="array" ref="C457">IFERROR(INDEX('03.Muestra'!$F$8:$F$42,SMALL(IF("Página Web"='03.Muestra'!$D$8:$D$42,ROW('03.Muestra'!$F$8:$F$42)-MIN(ROW('03.Muestra'!$D$8:$D$42))+1,""),ROW()-436)),"")</f>
        <v>https://www.portcastello.com/</v>
      </c>
      <c r="D457" s="130" t="str">
        <f t="shared" si="23"/>
        <v>N/T</v>
      </c>
      <c r="E457" s="107" t="str">
        <f t="shared" si="22"/>
        <v/>
      </c>
      <c r="F457" s="19"/>
      <c r="G457" s="19"/>
      <c r="H457" s="19"/>
      <c r="I457" s="19"/>
      <c r="J457" s="19"/>
      <c r="K457" s="228"/>
      <c r="L457" s="19"/>
      <c r="M457" s="19"/>
      <c r="N457" s="19"/>
      <c r="O457" s="19"/>
      <c r="P457" s="19"/>
      <c r="Q457" s="19"/>
      <c r="R457" s="19"/>
      <c r="S457" s="19"/>
      <c r="T457" s="19"/>
      <c r="U457" s="19"/>
      <c r="V457" s="19"/>
      <c r="W457" s="19"/>
      <c r="X457" s="19"/>
      <c r="Y457" s="19"/>
    </row>
    <row r="458" spans="1:25" ht="14.1" customHeight="1">
      <c r="A458" s="219" t="n" cm="1">
        <f t="array" ref="A458">IFERROR(INDEX('03.Muestra'!$B$8:$B$42,SMALL(IF("Página Web"='03.Muestra'!$D$8:$D$42,ROW('03.Muestra'!$B$8:$B$42)-MIN(ROW('03.Muestra'!$D$8:$D$42))+1,""),ROW()-436)),"")</f>
        <v>1.0</v>
      </c>
      <c r="B458" s="114" t="str" cm="1">
        <f t="array" ref="B458">IFERROR(INDEX('03.Muestra'!$C$8:$C$42,SMALL(IF("Página Web"='03.Muestra'!$D$8:$D$42,ROW('03.Muestra'!$C$8:$C$42)-MIN(ROW('03.Muestra'!$D$8:$D$42))+1,""),ROW()-436)),"")</f>
        <v>Home - PortCastelló</v>
      </c>
      <c r="C458" s="114" t="str" cm="1">
        <f t="array" ref="C458">IFERROR(INDEX('03.Muestra'!$F$8:$F$42,SMALL(IF("Página Web"='03.Muestra'!$D$8:$D$42,ROW('03.Muestra'!$F$8:$F$42)-MIN(ROW('03.Muestra'!$D$8:$D$42))+1,""),ROW()-436)),"")</f>
        <v>https://www.portcastello.com/</v>
      </c>
      <c r="D458" s="130" t="str">
        <f t="shared" si="23"/>
        <v>N/T</v>
      </c>
      <c r="E458" s="107" t="str">
        <f t="shared" si="22"/>
        <v/>
      </c>
      <c r="F458" s="19"/>
      <c r="G458" s="19"/>
      <c r="H458" s="19"/>
      <c r="I458" s="19"/>
      <c r="J458" s="19"/>
      <c r="K458" s="228"/>
      <c r="L458" s="19"/>
      <c r="M458" s="19"/>
      <c r="N458" s="19"/>
      <c r="O458" s="19"/>
      <c r="P458" s="19"/>
      <c r="Q458" s="19"/>
      <c r="R458" s="19"/>
      <c r="S458" s="19"/>
      <c r="T458" s="19"/>
      <c r="U458" s="19"/>
      <c r="V458" s="19"/>
      <c r="W458" s="19"/>
      <c r="X458" s="19"/>
      <c r="Y458" s="19"/>
    </row>
    <row r="459" spans="1:25" ht="14.1" customHeight="1">
      <c r="A459" s="219" t="n" cm="1">
        <f t="array" ref="A459">IFERROR(INDEX('03.Muestra'!$B$8:$B$42,SMALL(IF("Página Web"='03.Muestra'!$D$8:$D$42,ROW('03.Muestra'!$B$8:$B$42)-MIN(ROW('03.Muestra'!$D$8:$D$42))+1,""),ROW()-436)),"")</f>
        <v>1.0</v>
      </c>
      <c r="B459" s="114" t="str" cm="1">
        <f t="array" ref="B459">IFERROR(INDEX('03.Muestra'!$C$8:$C$42,SMALL(IF("Página Web"='03.Muestra'!$D$8:$D$42,ROW('03.Muestra'!$C$8:$C$42)-MIN(ROW('03.Muestra'!$D$8:$D$42))+1,""),ROW()-436)),"")</f>
        <v>Home - PortCastelló</v>
      </c>
      <c r="C459" s="114" t="str" cm="1">
        <f t="array" ref="C459">IFERROR(INDEX('03.Muestra'!$F$8:$F$42,SMALL(IF("Página Web"='03.Muestra'!$D$8:$D$42,ROW('03.Muestra'!$F$8:$F$42)-MIN(ROW('03.Muestra'!$D$8:$D$42))+1,""),ROW()-436)),"")</f>
        <v>https://www.portcastello.com/</v>
      </c>
      <c r="D459" s="130" t="str">
        <f t="shared" si="23"/>
        <v>N/T</v>
      </c>
      <c r="E459" s="107" t="str">
        <f t="shared" si="22"/>
        <v/>
      </c>
      <c r="F459" s="19"/>
      <c r="G459" s="19"/>
      <c r="H459" s="19"/>
      <c r="I459" s="19"/>
      <c r="J459" s="19"/>
      <c r="K459" s="228"/>
      <c r="L459" s="19"/>
      <c r="M459" s="19"/>
      <c r="N459" s="19"/>
      <c r="O459" s="19"/>
      <c r="P459" s="19"/>
      <c r="Q459" s="19"/>
      <c r="R459" s="19"/>
      <c r="S459" s="19"/>
      <c r="T459" s="19"/>
      <c r="U459" s="19"/>
      <c r="V459" s="19"/>
      <c r="W459" s="19"/>
      <c r="X459" s="19"/>
      <c r="Y459" s="19"/>
    </row>
    <row r="460" spans="1:25" ht="12" customHeight="1">
      <c r="A460" s="219" t="n" cm="1">
        <f t="array" ref="A460">IFERROR(INDEX('03.Muestra'!$B$8:$B$42,SMALL(IF("Página Web"='03.Muestra'!$D$8:$D$42,ROW('03.Muestra'!$B$8:$B$42)-MIN(ROW('03.Muestra'!$D$8:$D$42))+1,""),ROW()-436)),"")</f>
        <v>1.0</v>
      </c>
      <c r="B460" s="114" t="str" cm="1">
        <f t="array" ref="B460">IFERROR(INDEX('03.Muestra'!$C$8:$C$42,SMALL(IF("Página Web"='03.Muestra'!$D$8:$D$42,ROW('03.Muestra'!$C$8:$C$42)-MIN(ROW('03.Muestra'!$D$8:$D$42))+1,""),ROW()-436)),"")</f>
        <v>Home - PortCastelló</v>
      </c>
      <c r="C460" s="114" t="str" cm="1">
        <f t="array" ref="C460">IFERROR(INDEX('03.Muestra'!$F$8:$F$42,SMALL(IF("Página Web"='03.Muestra'!$D$8:$D$42,ROW('03.Muestra'!$F$8:$F$42)-MIN(ROW('03.Muestra'!$D$8:$D$42))+1,""),ROW()-436)),"")</f>
        <v>https://www.portcastello.com/</v>
      </c>
      <c r="D460" s="130" t="str">
        <f t="shared" si="23"/>
        <v>N/T</v>
      </c>
      <c r="E460" s="107" t="str">
        <f t="shared" si="22"/>
        <v/>
      </c>
      <c r="F460" s="19"/>
      <c r="G460" s="19"/>
      <c r="H460" s="19"/>
      <c r="I460" s="19"/>
      <c r="J460" s="19"/>
      <c r="K460" s="228"/>
      <c r="L460" s="19"/>
      <c r="M460" s="19"/>
      <c r="N460" s="19"/>
      <c r="O460" s="19"/>
      <c r="P460" s="19"/>
      <c r="Q460" s="19"/>
      <c r="R460" s="19"/>
      <c r="S460" s="19"/>
      <c r="T460" s="19"/>
      <c r="U460" s="19"/>
      <c r="V460" s="19"/>
      <c r="W460" s="19"/>
      <c r="X460" s="19"/>
      <c r="Y460" s="19"/>
    </row>
    <row r="461" spans="1:25" ht="12" customHeight="1">
      <c r="A461" s="219" t="n" cm="1">
        <f t="array" ref="A461">IFERROR(INDEX('03.Muestra'!$B$8:$B$42,SMALL(IF("Página Web"='03.Muestra'!$D$8:$D$42,ROW('03.Muestra'!$B$8:$B$42)-MIN(ROW('03.Muestra'!$D$8:$D$42))+1,""),ROW()-436)),"")</f>
        <v>1.0</v>
      </c>
      <c r="B461" s="114" t="str" cm="1">
        <f t="array" ref="B461">IFERROR(INDEX('03.Muestra'!$C$8:$C$42,SMALL(IF("Página Web"='03.Muestra'!$D$8:$D$42,ROW('03.Muestra'!$C$8:$C$42)-MIN(ROW('03.Muestra'!$D$8:$D$42))+1,""),ROW()-436)),"")</f>
        <v>Home - PortCastelló</v>
      </c>
      <c r="C461" s="114" t="str" cm="1">
        <f t="array" ref="C461">IFERROR(INDEX('03.Muestra'!$F$8:$F$42,SMALL(IF("Página Web"='03.Muestra'!$D$8:$D$42,ROW('03.Muestra'!$F$8:$F$42)-MIN(ROW('03.Muestra'!$D$8:$D$42))+1,""),ROW()-436)),"")</f>
        <v>https://www.portcastello.com/</v>
      </c>
      <c r="D461" s="130" t="str">
        <f t="shared" si="23"/>
        <v>N/T</v>
      </c>
      <c r="E461" s="107" t="str">
        <f t="shared" si="22"/>
        <v/>
      </c>
      <c r="F461" s="19"/>
      <c r="G461" s="19"/>
      <c r="H461" s="19"/>
      <c r="I461" s="19"/>
      <c r="J461" s="19"/>
      <c r="K461" s="228"/>
      <c r="L461" s="19"/>
      <c r="M461" s="19"/>
      <c r="N461" s="19"/>
      <c r="O461" s="19"/>
      <c r="P461" s="19"/>
      <c r="Q461" s="19"/>
      <c r="R461" s="19"/>
      <c r="S461" s="19"/>
      <c r="T461" s="19"/>
      <c r="U461" s="19"/>
      <c r="V461" s="19"/>
      <c r="W461" s="19"/>
      <c r="X461" s="19"/>
      <c r="Y461" s="19"/>
    </row>
    <row r="462" spans="1:25" ht="12" customHeight="1">
      <c r="A462" s="219" t="n" cm="1">
        <f t="array" ref="A462">IFERROR(INDEX('03.Muestra'!$B$8:$B$42,SMALL(IF("Página Web"='03.Muestra'!$D$8:$D$42,ROW('03.Muestra'!$B$8:$B$42)-MIN(ROW('03.Muestra'!$D$8:$D$42))+1,""),ROW()-436)),"")</f>
        <v>1.0</v>
      </c>
      <c r="B462" s="114" t="str" cm="1">
        <f t="array" ref="B462">IFERROR(INDEX('03.Muestra'!$C$8:$C$42,SMALL(IF("Página Web"='03.Muestra'!$D$8:$D$42,ROW('03.Muestra'!$C$8:$C$42)-MIN(ROW('03.Muestra'!$D$8:$D$42))+1,""),ROW()-436)),"")</f>
        <v>Home - PortCastelló</v>
      </c>
      <c r="C462" s="114" t="str" cm="1">
        <f t="array" ref="C462">IFERROR(INDEX('03.Muestra'!$F$8:$F$42,SMALL(IF("Página Web"='03.Muestra'!$D$8:$D$42,ROW('03.Muestra'!$F$8:$F$42)-MIN(ROW('03.Muestra'!$D$8:$D$42))+1,""),ROW()-436)),"")</f>
        <v>https://www.portcastello.com/</v>
      </c>
      <c r="D462" s="130" t="str">
        <f t="shared" si="23"/>
        <v>N/T</v>
      </c>
      <c r="E462" s="107" t="str">
        <f t="shared" si="22"/>
        <v/>
      </c>
      <c r="F462" s="19"/>
      <c r="G462" s="19"/>
      <c r="H462" s="19"/>
      <c r="I462" s="19"/>
      <c r="J462" s="19"/>
      <c r="K462" s="228"/>
      <c r="L462" s="19"/>
      <c r="M462" s="19"/>
      <c r="N462" s="19"/>
      <c r="O462" s="19"/>
      <c r="P462" s="19"/>
      <c r="Q462" s="19"/>
      <c r="R462" s="19"/>
      <c r="S462" s="19"/>
      <c r="T462" s="19"/>
      <c r="U462" s="19"/>
      <c r="V462" s="19"/>
      <c r="W462" s="19"/>
      <c r="X462" s="19"/>
      <c r="Y462" s="19"/>
    </row>
    <row r="463" spans="1:25" ht="12" customHeight="1">
      <c r="A463" s="219" t="n" cm="1">
        <f t="array" ref="A463">IFERROR(INDEX('03.Muestra'!$B$8:$B$42,SMALL(IF("Página Web"='03.Muestra'!$D$8:$D$42,ROW('03.Muestra'!$B$8:$B$42)-MIN(ROW('03.Muestra'!$D$8:$D$42))+1,""),ROW()-436)),"")</f>
        <v>1.0</v>
      </c>
      <c r="B463" s="114" t="str" cm="1">
        <f t="array" ref="B463">IFERROR(INDEX('03.Muestra'!$C$8:$C$42,SMALL(IF("Página Web"='03.Muestra'!$D$8:$D$42,ROW('03.Muestra'!$C$8:$C$42)-MIN(ROW('03.Muestra'!$D$8:$D$42))+1,""),ROW()-436)),"")</f>
        <v>Home - PortCastelló</v>
      </c>
      <c r="C463" s="114" t="str" cm="1">
        <f t="array" ref="C463">IFERROR(INDEX('03.Muestra'!$F$8:$F$42,SMALL(IF("Página Web"='03.Muestra'!$D$8:$D$42,ROW('03.Muestra'!$F$8:$F$42)-MIN(ROW('03.Muestra'!$D$8:$D$42))+1,""),ROW()-436)),"")</f>
        <v>https://www.portcastello.com/</v>
      </c>
      <c r="D463" s="130" t="str">
        <f t="shared" si="23"/>
        <v>N/T</v>
      </c>
      <c r="E463" s="107" t="str">
        <f t="shared" si="22"/>
        <v/>
      </c>
      <c r="F463" s="19"/>
      <c r="G463" s="19"/>
      <c r="H463" s="19"/>
      <c r="I463" s="19"/>
      <c r="J463" s="19"/>
      <c r="K463" s="228"/>
      <c r="L463" s="19"/>
      <c r="M463" s="19"/>
      <c r="N463" s="19"/>
      <c r="O463" s="19"/>
      <c r="P463" s="19"/>
      <c r="Q463" s="19"/>
      <c r="R463" s="19"/>
      <c r="S463" s="19"/>
      <c r="T463" s="19"/>
      <c r="U463" s="19"/>
      <c r="V463" s="19"/>
      <c r="W463" s="19"/>
      <c r="X463" s="19"/>
      <c r="Y463" s="19"/>
    </row>
    <row r="464" spans="1:25" ht="12" customHeight="1">
      <c r="A464" s="219" t="n" cm="1">
        <f t="array" ref="A464">IFERROR(INDEX('03.Muestra'!$B$8:$B$42,SMALL(IF("Página Web"='03.Muestra'!$D$8:$D$42,ROW('03.Muestra'!$B$8:$B$42)-MIN(ROW('03.Muestra'!$D$8:$D$42))+1,""),ROW()-436)),"")</f>
        <v>1.0</v>
      </c>
      <c r="B464" s="114" t="str" cm="1">
        <f t="array" ref="B464">IFERROR(INDEX('03.Muestra'!$C$8:$C$42,SMALL(IF("Página Web"='03.Muestra'!$D$8:$D$42,ROW('03.Muestra'!$C$8:$C$42)-MIN(ROW('03.Muestra'!$D$8:$D$42))+1,""),ROW()-436)),"")</f>
        <v>Home - PortCastelló</v>
      </c>
      <c r="C464" s="114" t="str" cm="1">
        <f t="array" ref="C464">IFERROR(INDEX('03.Muestra'!$F$8:$F$42,SMALL(IF("Página Web"='03.Muestra'!$D$8:$D$42,ROW('03.Muestra'!$F$8:$F$42)-MIN(ROW('03.Muestra'!$D$8:$D$42))+1,""),ROW()-436)),"")</f>
        <v>https://www.portcastello.com/</v>
      </c>
      <c r="D464" s="130" t="str">
        <f t="shared" si="23"/>
        <v>N/T</v>
      </c>
      <c r="E464" s="107" t="str">
        <f t="shared" si="22"/>
        <v/>
      </c>
      <c r="G464" s="19"/>
      <c r="H464" s="19"/>
      <c r="I464" s="19"/>
      <c r="J464" s="19"/>
      <c r="K464" s="228"/>
      <c r="L464" s="19"/>
      <c r="M464" s="19"/>
      <c r="N464" s="19"/>
      <c r="O464" s="19"/>
      <c r="P464" s="19"/>
      <c r="Q464" s="19"/>
      <c r="R464" s="19"/>
      <c r="S464" s="19"/>
      <c r="T464" s="19"/>
      <c r="U464" s="19"/>
      <c r="V464" s="19"/>
      <c r="W464" s="19"/>
      <c r="X464" s="19"/>
      <c r="Y464" s="19"/>
    </row>
    <row r="465" spans="1:25" ht="12" customHeight="1">
      <c r="A465" s="219" t="n" cm="1">
        <f t="array" ref="A465">IFERROR(INDEX('03.Muestra'!$B$8:$B$42,SMALL(IF("Página Web"='03.Muestra'!$D$8:$D$42,ROW('03.Muestra'!$B$8:$B$42)-MIN(ROW('03.Muestra'!$D$8:$D$42))+1,""),ROW()-436)),"")</f>
        <v>1.0</v>
      </c>
      <c r="B465" s="114" t="str" cm="1">
        <f t="array" ref="B465">IFERROR(INDEX('03.Muestra'!$C$8:$C$42,SMALL(IF("Página Web"='03.Muestra'!$D$8:$D$42,ROW('03.Muestra'!$C$8:$C$42)-MIN(ROW('03.Muestra'!$D$8:$D$42))+1,""),ROW()-436)),"")</f>
        <v>Home - PortCastelló</v>
      </c>
      <c r="C465" s="114" t="str" cm="1">
        <f t="array" ref="C465">IFERROR(INDEX('03.Muestra'!$F$8:$F$42,SMALL(IF("Página Web"='03.Muestra'!$D$8:$D$42,ROW('03.Muestra'!$F$8:$F$42)-MIN(ROW('03.Muestra'!$D$8:$D$42))+1,""),ROW()-436)),"")</f>
        <v>https://www.portcastello.com/</v>
      </c>
      <c r="D465" s="130" t="str">
        <f t="shared" si="23"/>
        <v>N/T</v>
      </c>
      <c r="E465" s="107" t="str">
        <f t="shared" si="22"/>
        <v/>
      </c>
      <c r="F465" s="124"/>
      <c r="G465" s="19"/>
      <c r="H465" s="19"/>
      <c r="I465" s="19"/>
      <c r="J465" s="19"/>
      <c r="K465" s="228"/>
      <c r="L465" s="19"/>
      <c r="M465" s="19"/>
      <c r="N465" s="19"/>
      <c r="O465" s="19"/>
      <c r="P465" s="19"/>
      <c r="Q465" s="19"/>
      <c r="R465" s="19"/>
      <c r="S465" s="19"/>
      <c r="T465" s="19"/>
      <c r="U465" s="19"/>
      <c r="V465" s="19"/>
      <c r="W465" s="19"/>
      <c r="X465" s="19"/>
      <c r="Y465" s="19"/>
    </row>
    <row r="466" spans="1:25" ht="12" customHeight="1">
      <c r="A466" s="219" t="n" cm="1">
        <f t="array" ref="A466">IFERROR(INDEX('03.Muestra'!$B$8:$B$42,SMALL(IF("Página Web"='03.Muestra'!$D$8:$D$42,ROW('03.Muestra'!$B$8:$B$42)-MIN(ROW('03.Muestra'!$D$8:$D$42))+1,""),ROW()-436)),"")</f>
        <v>1.0</v>
      </c>
      <c r="B466" s="114" t="str" cm="1">
        <f t="array" ref="B466">IFERROR(INDEX('03.Muestra'!$C$8:$C$42,SMALL(IF("Página Web"='03.Muestra'!$D$8:$D$42,ROW('03.Muestra'!$C$8:$C$42)-MIN(ROW('03.Muestra'!$D$8:$D$42))+1,""),ROW()-436)),"")</f>
        <v>Home - PortCastelló</v>
      </c>
      <c r="C466" s="114" t="str" cm="1">
        <f t="array" ref="C466">IFERROR(INDEX('03.Muestra'!$F$8:$F$42,SMALL(IF("Página Web"='03.Muestra'!$D$8:$D$42,ROW('03.Muestra'!$F$8:$F$42)-MIN(ROW('03.Muestra'!$D$8:$D$42))+1,""),ROW()-436)),"")</f>
        <v>https://www.portcastello.com/</v>
      </c>
      <c r="D466" s="130" t="str">
        <f t="shared" si="23"/>
        <v>N/T</v>
      </c>
      <c r="E466" s="107" t="str">
        <f t="shared" si="22"/>
        <v/>
      </c>
      <c r="F466" s="124"/>
      <c r="G466" s="19"/>
      <c r="H466" s="19"/>
      <c r="I466" s="19"/>
      <c r="J466" s="19"/>
      <c r="K466" s="228"/>
      <c r="L466" s="19"/>
      <c r="M466" s="19"/>
      <c r="N466" s="19"/>
      <c r="O466" s="19"/>
      <c r="P466" s="19"/>
      <c r="Q466" s="19"/>
      <c r="R466" s="19"/>
      <c r="S466" s="19"/>
      <c r="T466" s="19"/>
      <c r="U466" s="19"/>
      <c r="V466" s="19"/>
      <c r="W466" s="19"/>
      <c r="X466" s="19"/>
      <c r="Y466" s="19"/>
    </row>
    <row r="467" spans="1:25" ht="12" customHeight="1">
      <c r="A467" s="219" t="n" cm="1">
        <f t="array" ref="A467">IFERROR(INDEX('03.Muestra'!$B$8:$B$42,SMALL(IF("Página Web"='03.Muestra'!$D$8:$D$42,ROW('03.Muestra'!$B$8:$B$42)-MIN(ROW('03.Muestra'!$D$8:$D$42))+1,""),ROW()-436)),"")</f>
        <v>1.0</v>
      </c>
      <c r="B467" s="114" t="str" cm="1">
        <f t="array" ref="B467">IFERROR(INDEX('03.Muestra'!$C$8:$C$42,SMALL(IF("Página Web"='03.Muestra'!$D$8:$D$42,ROW('03.Muestra'!$C$8:$C$42)-MIN(ROW('03.Muestra'!$D$8:$D$42))+1,""),ROW()-436)),"")</f>
        <v>Home - PortCastelló</v>
      </c>
      <c r="C467" s="114" t="str" cm="1">
        <f t="array" ref="C467">IFERROR(INDEX('03.Muestra'!$F$8:$F$42,SMALL(IF("Página Web"='03.Muestra'!$D$8:$D$42,ROW('03.Muestra'!$F$8:$F$42)-MIN(ROW('03.Muestra'!$D$8:$D$42))+1,""),ROW()-436)),"")</f>
        <v>https://www.portcastello.com/</v>
      </c>
      <c r="D467" s="130" t="str">
        <f t="shared" si="23"/>
        <v>N/T</v>
      </c>
      <c r="E467" s="107" t="str">
        <f t="shared" si="22"/>
        <v/>
      </c>
      <c r="F467" s="124"/>
      <c r="G467" s="19"/>
      <c r="H467" s="19"/>
      <c r="I467" s="19"/>
      <c r="J467" s="19"/>
      <c r="K467" s="228"/>
      <c r="L467" s="19"/>
      <c r="M467" s="19"/>
      <c r="N467" s="19"/>
      <c r="O467" s="19"/>
      <c r="P467" s="19"/>
      <c r="Q467" s="19"/>
      <c r="R467" s="19"/>
      <c r="S467" s="19"/>
      <c r="T467" s="19"/>
      <c r="U467" s="19"/>
      <c r="V467" s="19"/>
      <c r="W467" s="19"/>
      <c r="X467" s="19"/>
      <c r="Y467" s="19"/>
    </row>
    <row r="468" spans="1:25" ht="12" customHeight="1">
      <c r="A468" s="219" t="n" cm="1">
        <f t="array" ref="A468">IFERROR(INDEX('03.Muestra'!$B$8:$B$42,SMALL(IF("Página Web"='03.Muestra'!$D$8:$D$42,ROW('03.Muestra'!$B$8:$B$42)-MIN(ROW('03.Muestra'!$D$8:$D$42))+1,""),ROW()-436)),"")</f>
        <v>1.0</v>
      </c>
      <c r="B468" s="114" t="str" cm="1">
        <f t="array" ref="B468">IFERROR(INDEX('03.Muestra'!$C$8:$C$42,SMALL(IF("Página Web"='03.Muestra'!$D$8:$D$42,ROW('03.Muestra'!$C$8:$C$42)-MIN(ROW('03.Muestra'!$D$8:$D$42))+1,""),ROW()-436)),"")</f>
        <v>Home - PortCastelló</v>
      </c>
      <c r="C468" s="114" t="str" cm="1">
        <f t="array" ref="C468">IFERROR(INDEX('03.Muestra'!$F$8:$F$42,SMALL(IF("Página Web"='03.Muestra'!$D$8:$D$42,ROW('03.Muestra'!$F$8:$F$42)-MIN(ROW('03.Muestra'!$D$8:$D$42))+1,""),ROW()-436)),"")</f>
        <v>https://www.portcastello.com/</v>
      </c>
      <c r="D468" s="130" t="str">
        <f t="shared" si="23"/>
        <v>N/T</v>
      </c>
      <c r="E468" s="107" t="str">
        <f t="shared" si="22"/>
        <v/>
      </c>
      <c r="F468" s="124"/>
      <c r="G468" s="19"/>
      <c r="H468" s="19"/>
      <c r="I468" s="19"/>
      <c r="J468" s="19"/>
      <c r="K468" s="228"/>
      <c r="L468" s="19"/>
      <c r="M468" s="19"/>
      <c r="N468" s="19"/>
      <c r="O468" s="19"/>
      <c r="P468" s="19"/>
      <c r="Q468" s="19"/>
      <c r="R468" s="19"/>
      <c r="S468" s="19"/>
      <c r="T468" s="19"/>
      <c r="U468" s="19"/>
      <c r="V468" s="19"/>
      <c r="W468" s="19"/>
      <c r="X468" s="19"/>
      <c r="Y468" s="19"/>
    </row>
    <row r="469" spans="1:25" ht="12" customHeight="1">
      <c r="A469" s="219" t="n" cm="1">
        <f t="array" ref="A469">IFERROR(INDEX('03.Muestra'!$B$8:$B$42,SMALL(IF("Página Web"='03.Muestra'!$D$8:$D$42,ROW('03.Muestra'!$B$8:$B$42)-MIN(ROW('03.Muestra'!$D$8:$D$42))+1,""),ROW()-436)),"")</f>
        <v>1.0</v>
      </c>
      <c r="B469" s="114" t="str" cm="1">
        <f t="array" ref="B469">IFERROR(INDEX('03.Muestra'!$C$8:$C$42,SMALL(IF("Página Web"='03.Muestra'!$D$8:$D$42,ROW('03.Muestra'!$C$8:$C$42)-MIN(ROW('03.Muestra'!$D$8:$D$42))+1,""),ROW()-436)),"")</f>
        <v>Home - PortCastelló</v>
      </c>
      <c r="C469" s="114" t="str" cm="1">
        <f t="array" ref="C469">IFERROR(INDEX('03.Muestra'!$F$8:$F$42,SMALL(IF("Página Web"='03.Muestra'!$D$8:$D$42,ROW('03.Muestra'!$F$8:$F$42)-MIN(ROW('03.Muestra'!$D$8:$D$42))+1,""),ROW()-436)),"")</f>
        <v>https://www.portcastello.com/</v>
      </c>
      <c r="D469" s="130" t="str">
        <f t="shared" si="23"/>
        <v>N/T</v>
      </c>
      <c r="E469" s="107" t="str">
        <f t="shared" si="22"/>
        <v/>
      </c>
      <c r="F469" s="124"/>
      <c r="G469" s="19"/>
      <c r="H469" s="19"/>
      <c r="I469" s="19"/>
      <c r="J469" s="19"/>
      <c r="K469" s="228"/>
      <c r="L469" s="19"/>
      <c r="M469" s="19"/>
      <c r="N469" s="19"/>
      <c r="O469" s="19"/>
      <c r="P469" s="19"/>
      <c r="Q469" s="19"/>
      <c r="R469" s="19"/>
      <c r="S469" s="19"/>
      <c r="T469" s="19"/>
      <c r="U469" s="19"/>
      <c r="V469" s="19"/>
      <c r="W469" s="19"/>
      <c r="X469" s="19"/>
      <c r="Y469" s="19"/>
    </row>
    <row r="470" spans="1:25" ht="12" customHeight="1">
      <c r="A470" s="219" t="str" cm="1">
        <f t="array" ref="A470">IFERROR(INDEX('03.Muestra'!$B$8:$B$42,SMALL(IF("Página Web"='03.Muestra'!$D$8:$D$42,ROW('03.Muestra'!$B$8:$B$42)-MIN(ROW('03.Muestra'!$D$8:$D$42))+1,""),ROW()-436)),"")</f>
        <v/>
      </c>
      <c r="B470" s="114" t="str" cm="1">
        <f t="array" ref="B470">IFERROR(INDEX('03.Muestra'!$C$8:$C$42,SMALL(IF("Página Web"='03.Muestra'!$D$8:$D$42,ROW('03.Muestra'!$C$8:$C$42)-MIN(ROW('03.Muestra'!$D$8:$D$42))+1,""),ROW()-436)),"")</f>
        <v/>
      </c>
      <c r="C470" s="114" t="str" cm="1">
        <f t="array" ref="C470">IFERROR(INDEX('03.Muestra'!$F$8:$F$42,SMALL(IF("Página Web"='03.Muestra'!$D$8:$D$42,ROW('03.Muestra'!$F$8:$F$42)-MIN(ROW('03.Muestra'!$D$8:$D$42))+1,""),ROW()-436)),"")</f>
        <v/>
      </c>
      <c r="D470" s="130" t="str">
        <f t="shared" si="23"/>
        <v/>
      </c>
      <c r="E470" s="107" t="str">
        <f t="shared" si="22"/>
        <v/>
      </c>
      <c r="F470" s="124"/>
      <c r="G470" s="19"/>
      <c r="H470" s="19"/>
      <c r="I470" s="19"/>
      <c r="J470" s="19"/>
      <c r="K470" s="228"/>
      <c r="L470" s="19"/>
      <c r="M470" s="19"/>
      <c r="N470" s="19"/>
      <c r="O470" s="19"/>
      <c r="P470" s="19"/>
      <c r="Q470" s="19"/>
      <c r="R470" s="19"/>
      <c r="S470" s="19"/>
      <c r="T470" s="19"/>
      <c r="U470" s="19"/>
      <c r="V470" s="19"/>
      <c r="W470" s="19"/>
      <c r="X470" s="19"/>
      <c r="Y470" s="19"/>
    </row>
    <row r="471" spans="1:25" ht="12" customHeight="1">
      <c r="A471" s="219" t="str" cm="1">
        <f t="array" ref="A471">IFERROR(INDEX('03.Muestra'!$B$8:$B$42,SMALL(IF("Página Web"='03.Muestra'!$D$8:$D$42,ROW('03.Muestra'!$B$8:$B$42)-MIN(ROW('03.Muestra'!$D$8:$D$42))+1,""),ROW()-436)),"")</f>
        <v/>
      </c>
      <c r="B471" s="114" t="str" cm="1">
        <f t="array" ref="B471">IFERROR(INDEX('03.Muestra'!$C$8:$C$42,SMALL(IF("Página Web"='03.Muestra'!$D$8:$D$42,ROW('03.Muestra'!$C$8:$C$42)-MIN(ROW('03.Muestra'!$D$8:$D$42))+1,""),ROW()-436)),"")</f>
        <v/>
      </c>
      <c r="C471" s="114" t="str" cm="1">
        <f t="array" ref="C471">IFERROR(INDEX('03.Muestra'!$F$8:$F$42,SMALL(IF("Página Web"='03.Muestra'!$D$8:$D$42,ROW('03.Muestra'!$F$8:$F$42)-MIN(ROW('03.Muestra'!$D$8:$D$42))+1,""),ROW()-436)),"")</f>
        <v/>
      </c>
      <c r="D471" s="130" t="str">
        <f t="shared" si="23"/>
        <v/>
      </c>
      <c r="E471" s="107" t="str">
        <f t="shared" si="22"/>
        <v/>
      </c>
      <c r="F471" s="19"/>
      <c r="G471" s="19"/>
      <c r="H471" s="19"/>
      <c r="I471" s="19"/>
      <c r="J471" s="19"/>
      <c r="K471" s="228"/>
      <c r="L471" s="19"/>
      <c r="M471" s="19"/>
      <c r="N471" s="19"/>
      <c r="O471" s="19"/>
      <c r="P471" s="19"/>
      <c r="Q471" s="19"/>
      <c r="R471" s="19"/>
      <c r="S471" s="19"/>
      <c r="T471" s="19"/>
      <c r="U471" s="19"/>
      <c r="V471" s="19"/>
      <c r="W471" s="19"/>
      <c r="X471" s="19"/>
      <c r="Y471" s="19"/>
    </row>
    <row r="472" spans="1:25" ht="12" customHeight="1">
      <c r="B472" s="19"/>
      <c r="C472" s="19"/>
      <c r="D472" s="107"/>
      <c r="E472" s="107"/>
      <c r="F472" s="19"/>
      <c r="G472" s="19"/>
      <c r="H472" s="19"/>
      <c r="I472" s="19"/>
      <c r="J472" s="19"/>
      <c r="K472" s="228"/>
      <c r="L472" s="19"/>
      <c r="M472" s="19"/>
      <c r="N472" s="19"/>
      <c r="O472" s="19"/>
      <c r="P472" s="19"/>
      <c r="Q472" s="19"/>
      <c r="R472" s="19"/>
      <c r="S472" s="19"/>
      <c r="T472" s="19"/>
      <c r="U472" s="19"/>
      <c r="V472" s="19"/>
      <c r="W472" s="19"/>
      <c r="X472" s="19"/>
      <c r="Y472" s="19"/>
    </row>
    <row r="473" spans="1:25" ht="12" customHeight="1">
      <c r="B473" s="19"/>
      <c r="C473" s="19"/>
      <c r="D473" s="107"/>
      <c r="E473" s="112"/>
      <c r="F473" s="19"/>
      <c r="G473" s="19"/>
      <c r="H473" s="19"/>
      <c r="I473" s="19"/>
      <c r="J473" s="19"/>
      <c r="K473" s="228"/>
      <c r="L473" s="19"/>
      <c r="M473" s="19"/>
      <c r="N473" s="19"/>
      <c r="O473" s="19"/>
      <c r="P473" s="19"/>
      <c r="Q473" s="19"/>
      <c r="R473" s="19"/>
      <c r="S473" s="19"/>
      <c r="T473" s="19"/>
      <c r="U473" s="19"/>
      <c r="V473" s="19"/>
      <c r="W473" s="19"/>
      <c r="X473" s="19"/>
      <c r="Y473" s="19"/>
    </row>
    <row r="474" spans="1:25" ht="32.25" customHeight="1">
      <c r="A474" s="218" t="s">
        <v>268</v>
      </c>
      <c r="B474" s="24" t="s">
        <v>90</v>
      </c>
      <c r="C474" s="25" t="s">
        <v>254</v>
      </c>
      <c r="D474" s="26" t="s">
        <v>32</v>
      </c>
      <c r="E474" s="123"/>
      <c r="K474" s="228"/>
      <c r="L474" s="19"/>
      <c r="M474" s="19"/>
      <c r="N474" s="19"/>
      <c r="O474" s="19"/>
      <c r="P474" s="19"/>
      <c r="Q474" s="19"/>
      <c r="R474" s="19"/>
      <c r="S474" s="19"/>
      <c r="T474" s="19"/>
      <c r="U474" s="19"/>
      <c r="V474" s="19"/>
      <c r="W474" s="19"/>
      <c r="X474" s="19"/>
      <c r="Y474" s="19"/>
    </row>
    <row r="475" spans="1:25" ht="12" customHeight="1">
      <c r="A475" s="219" t="n" cm="1">
        <f t="array" ref="A475">IFERROR(INDEX('03.Muestra'!$B$8:$B$42,SMALL(IF("Página Web"='03.Muestra'!$D$8:$D$42,ROW('03.Muestra'!$B$8:$B$42)-MIN(ROW('03.Muestra'!$D$8:$D$42))+1,""),ROW()-474)),"")</f>
        <v>1.0</v>
      </c>
      <c r="B475" s="114" t="str" cm="1">
        <f t="array" ref="B475">IFERROR(INDEX('03.Muestra'!$C$8:$C$42,SMALL(IF("Página Web"='03.Muestra'!$D$8:$D$42,ROW('03.Muestra'!$C$8:$C$42)-MIN(ROW('03.Muestra'!$D$8:$D$42))+1,""),ROW()-474)),"")</f>
        <v>Home - PortCastelló</v>
      </c>
      <c r="C475" s="114" t="str" cm="1">
        <f t="array" ref="C475">IFERROR(INDEX('03.Muestra'!$F$8:$F$42,SMALL(IF("Página Web"='03.Muestra'!$D$8:$D$42,ROW('03.Muestra'!$F$8:$F$42)-MIN(ROW('03.Muestra'!$D$8:$D$42))+1,""),ROW()-474)),"")</f>
        <v>https://www.portcastello.com/</v>
      </c>
      <c r="D475" s="130" t="str">
        <f>IF(AND(B475&lt;&gt;"",C475&lt;&gt;""),"N/T","")</f>
        <v>N/T</v>
      </c>
      <c r="E475" s="107" t="str">
        <f t="shared" ref="E475:E509" si="24">IF(D475&lt;&gt;"",IF(AND(B475&lt;&gt;"",C475&lt;&gt;""),"","ERR"),"")</f>
        <v/>
      </c>
      <c r="F475" s="115" t="s">
        <v>33</v>
      </c>
      <c r="G475" s="116" t="s">
        <v>37</v>
      </c>
      <c r="H475" s="117" t="s">
        <v>35</v>
      </c>
      <c r="I475" s="118" t="s">
        <v>28</v>
      </c>
      <c r="J475" s="119" t="s">
        <v>26</v>
      </c>
      <c r="K475" s="229" t="s">
        <v>474</v>
      </c>
      <c r="L475" s="19"/>
      <c r="M475" s="19"/>
      <c r="N475" s="19"/>
      <c r="O475" s="19"/>
      <c r="P475" s="19"/>
      <c r="Q475" s="19"/>
      <c r="R475" s="19"/>
      <c r="S475" s="19"/>
      <c r="T475" s="19"/>
      <c r="U475" s="19"/>
      <c r="V475" s="19"/>
      <c r="W475" s="19"/>
      <c r="X475" s="19"/>
      <c r="Y475" s="19"/>
    </row>
    <row r="476" spans="1:25" ht="12" customHeight="1">
      <c r="A476" s="219" t="n" cm="1">
        <f t="array" ref="A476">IFERROR(INDEX('03.Muestra'!$B$8:$B$42,SMALL(IF("Página Web"='03.Muestra'!$D$8:$D$42,ROW('03.Muestra'!$B$8:$B$42)-MIN(ROW('03.Muestra'!$D$8:$D$42))+1,""),ROW()-474)),"")</f>
        <v>1.0</v>
      </c>
      <c r="B476" s="114" t="str" cm="1">
        <f t="array" ref="B476">IFERROR(INDEX('03.Muestra'!$C$8:$C$42,SMALL(IF("Página Web"='03.Muestra'!$D$8:$D$42,ROW('03.Muestra'!$C$8:$C$42)-MIN(ROW('03.Muestra'!$D$8:$D$42))+1,""),ROW()-474)),"")</f>
        <v>Home - PortCastelló</v>
      </c>
      <c r="C476" s="114" t="str" cm="1">
        <f t="array" ref="C476">IFERROR(INDEX('03.Muestra'!$F$8:$F$42,SMALL(IF("Página Web"='03.Muestra'!$D$8:$D$42,ROW('03.Muestra'!$F$8:$F$42)-MIN(ROW('03.Muestra'!$D$8:$D$42))+1,""),ROW()-474)),"")</f>
        <v>https://www.portcastello.com/</v>
      </c>
      <c r="D476" s="130" t="str">
        <f t="shared" ref="D476:D509" si="25">IF(AND(B476&lt;&gt;"",C476&lt;&gt;""),"N/T","")</f>
        <v>N/T</v>
      </c>
      <c r="E476" s="107" t="str">
        <f t="shared" si="24"/>
        <v/>
      </c>
      <c r="F476" s="120" t="n">
        <f ca="1">COUNTIF($D475:INDIRECT("$D" &amp;  SUM(ROW()-1,'03.Muestra'!$D$45)-1),F475)</f>
        <v>33.0</v>
      </c>
      <c r="G476" s="120" t="n">
        <f ca="1">COUNTIF($D475:INDIRECT("$D" &amp;  SUM(ROW()-1,'03.Muestra'!$D$45)-1),G475)</f>
        <v>0.0</v>
      </c>
      <c r="H476" s="120" t="n">
        <f ca="1">COUNTIF($D475:INDIRECT("$D" &amp;  SUM(ROW()-1,'03.Muestra'!$D$45)-1),H475)</f>
        <v>0.0</v>
      </c>
      <c r="I476" s="120" t="n">
        <f ca="1">COUNTIF($D475:INDIRECT("$D" &amp;  SUM(ROW()-1,'03.Muestra'!$D$45)-1),I475)</f>
        <v>0.0</v>
      </c>
      <c r="J476" s="120" t="n">
        <f ca="1">COUNTIF($D475:INDIRECT("$D" &amp;  SUM(ROW()-1,'03.Muestra'!$D$45)-1),J475)</f>
        <v>0.0</v>
      </c>
      <c r="K476" s="230" t="n">
        <f ca="1">IF(COUNTIF('03.Muestra'!$D$8:$D$42,"Página Web")=0,0,COUNTBLANK($D475:INDIRECT("$D" &amp;  SUM(ROW()-1,COUNTIF('03.Muestra'!$D$8:$D$42,"Página Web"))-1)))</f>
        <v>0.0</v>
      </c>
      <c r="L476" s="19"/>
      <c r="M476" s="19"/>
      <c r="N476" s="19"/>
      <c r="O476" s="19"/>
      <c r="P476" s="19"/>
      <c r="Q476" s="19"/>
      <c r="R476" s="19"/>
      <c r="S476" s="19"/>
      <c r="T476" s="19"/>
      <c r="U476" s="19"/>
      <c r="V476" s="19"/>
      <c r="W476" s="19"/>
      <c r="X476" s="19"/>
      <c r="Y476" s="19"/>
    </row>
    <row r="477" spans="1:25" ht="12" customHeight="1">
      <c r="A477" s="219" t="n" cm="1">
        <f t="array" ref="A477">IFERROR(INDEX('03.Muestra'!$B$8:$B$42,SMALL(IF("Página Web"='03.Muestra'!$D$8:$D$42,ROW('03.Muestra'!$B$8:$B$42)-MIN(ROW('03.Muestra'!$D$8:$D$42))+1,""),ROW()-474)),"")</f>
        <v>1.0</v>
      </c>
      <c r="B477" s="114" t="str" cm="1">
        <f t="array" ref="B477">IFERROR(INDEX('03.Muestra'!$C$8:$C$42,SMALL(IF("Página Web"='03.Muestra'!$D$8:$D$42,ROW('03.Muestra'!$C$8:$C$42)-MIN(ROW('03.Muestra'!$D$8:$D$42))+1,""),ROW()-474)),"")</f>
        <v>Home - PortCastelló</v>
      </c>
      <c r="C477" s="114" t="str" cm="1">
        <f t="array" ref="C477">IFERROR(INDEX('03.Muestra'!$F$8:$F$42,SMALL(IF("Página Web"='03.Muestra'!$D$8:$D$42,ROW('03.Muestra'!$F$8:$F$42)-MIN(ROW('03.Muestra'!$D$8:$D$42))+1,""),ROW()-474)),"")</f>
        <v>https://www.portcastello.com/</v>
      </c>
      <c r="D477" s="130" t="str">
        <f t="shared" si="25"/>
        <v>N/T</v>
      </c>
      <c r="E477" s="107" t="str">
        <f t="shared" si="24"/>
        <v/>
      </c>
      <c r="K477" s="228"/>
      <c r="L477" s="19"/>
      <c r="M477" s="19"/>
      <c r="N477" s="19"/>
      <c r="O477" s="19"/>
      <c r="P477" s="19"/>
      <c r="Q477" s="19"/>
      <c r="R477" s="19"/>
      <c r="S477" s="19"/>
      <c r="T477" s="19"/>
      <c r="U477" s="19"/>
      <c r="V477" s="19"/>
      <c r="W477" s="19"/>
      <c r="X477" s="19"/>
      <c r="Y477" s="19"/>
    </row>
    <row r="478" spans="1:25" ht="12" customHeight="1">
      <c r="A478" s="219" t="n" cm="1">
        <f t="array" ref="A478">IFERROR(INDEX('03.Muestra'!$B$8:$B$42,SMALL(IF("Página Web"='03.Muestra'!$D$8:$D$42,ROW('03.Muestra'!$B$8:$B$42)-MIN(ROW('03.Muestra'!$D$8:$D$42))+1,""),ROW()-474)),"")</f>
        <v>1.0</v>
      </c>
      <c r="B478" s="114" t="str" cm="1">
        <f t="array" ref="B478">IFERROR(INDEX('03.Muestra'!$C$8:$C$42,SMALL(IF("Página Web"='03.Muestra'!$D$8:$D$42,ROW('03.Muestra'!$C$8:$C$42)-MIN(ROW('03.Muestra'!$D$8:$D$42))+1,""),ROW()-474)),"")</f>
        <v>Home - PortCastelló</v>
      </c>
      <c r="C478" s="114" t="str" cm="1">
        <f t="array" ref="C478">IFERROR(INDEX('03.Muestra'!$F$8:$F$42,SMALL(IF("Página Web"='03.Muestra'!$D$8:$D$42,ROW('03.Muestra'!$F$8:$F$42)-MIN(ROW('03.Muestra'!$D$8:$D$42))+1,""),ROW()-474)),"")</f>
        <v>https://www.portcastello.com/</v>
      </c>
      <c r="D478" s="130" t="str">
        <f t="shared" si="25"/>
        <v>N/T</v>
      </c>
      <c r="E478" s="107" t="str">
        <f t="shared" si="24"/>
        <v/>
      </c>
      <c r="G478" s="19"/>
      <c r="H478" s="19"/>
      <c r="I478" s="19"/>
      <c r="J478" s="19"/>
      <c r="K478" s="228"/>
      <c r="L478" s="19"/>
      <c r="M478" s="19"/>
      <c r="N478" s="19"/>
      <c r="O478" s="19"/>
      <c r="P478" s="19"/>
      <c r="Q478" s="19"/>
      <c r="R478" s="19"/>
      <c r="S478" s="19"/>
      <c r="T478" s="19"/>
      <c r="U478" s="19"/>
      <c r="V478" s="19"/>
      <c r="W478" s="19"/>
      <c r="X478" s="19"/>
      <c r="Y478" s="19"/>
    </row>
    <row r="479" spans="1:25" ht="12" customHeight="1">
      <c r="A479" s="219" t="n" cm="1">
        <f t="array" ref="A479">IFERROR(INDEX('03.Muestra'!$B$8:$B$42,SMALL(IF("Página Web"='03.Muestra'!$D$8:$D$42,ROW('03.Muestra'!$B$8:$B$42)-MIN(ROW('03.Muestra'!$D$8:$D$42))+1,""),ROW()-474)),"")</f>
        <v>1.0</v>
      </c>
      <c r="B479" s="114" t="str" cm="1">
        <f t="array" ref="B479">IFERROR(INDEX('03.Muestra'!$C$8:$C$42,SMALL(IF("Página Web"='03.Muestra'!$D$8:$D$42,ROW('03.Muestra'!$C$8:$C$42)-MIN(ROW('03.Muestra'!$D$8:$D$42))+1,""),ROW()-474)),"")</f>
        <v>Home - PortCastelló</v>
      </c>
      <c r="C479" s="114" t="str" cm="1">
        <f t="array" ref="C479">IFERROR(INDEX('03.Muestra'!$F$8:$F$42,SMALL(IF("Página Web"='03.Muestra'!$D$8:$D$42,ROW('03.Muestra'!$F$8:$F$42)-MIN(ROW('03.Muestra'!$D$8:$D$42))+1,""),ROW()-474)),"")</f>
        <v>https://www.portcastello.com/</v>
      </c>
      <c r="D479" s="130" t="str">
        <f t="shared" si="25"/>
        <v>N/T</v>
      </c>
      <c r="E479" s="107" t="str">
        <f t="shared" si="24"/>
        <v/>
      </c>
      <c r="G479" s="19"/>
      <c r="H479" s="19"/>
      <c r="I479" s="19"/>
      <c r="J479" s="19"/>
      <c r="K479" s="228"/>
      <c r="L479" s="19"/>
      <c r="M479" s="19"/>
      <c r="N479" s="19"/>
      <c r="O479" s="19"/>
      <c r="P479" s="19"/>
      <c r="Q479" s="19"/>
      <c r="R479" s="19"/>
      <c r="S479" s="19"/>
      <c r="T479" s="19"/>
      <c r="U479" s="19"/>
      <c r="V479" s="19"/>
      <c r="W479" s="19"/>
      <c r="X479" s="19"/>
      <c r="Y479" s="19"/>
    </row>
    <row r="480" spans="1:25" ht="12" customHeight="1">
      <c r="A480" s="219" t="n" cm="1">
        <f t="array" ref="A480">IFERROR(INDEX('03.Muestra'!$B$8:$B$42,SMALL(IF("Página Web"='03.Muestra'!$D$8:$D$42,ROW('03.Muestra'!$B$8:$B$42)-MIN(ROW('03.Muestra'!$D$8:$D$42))+1,""),ROW()-474)),"")</f>
        <v>1.0</v>
      </c>
      <c r="B480" s="114" t="str" cm="1">
        <f t="array" ref="B480">IFERROR(INDEX('03.Muestra'!$C$8:$C$42,SMALL(IF("Página Web"='03.Muestra'!$D$8:$D$42,ROW('03.Muestra'!$C$8:$C$42)-MIN(ROW('03.Muestra'!$D$8:$D$42))+1,""),ROW()-474)),"")</f>
        <v>Home - PortCastelló</v>
      </c>
      <c r="C480" s="114" t="str" cm="1">
        <f t="array" ref="C480">IFERROR(INDEX('03.Muestra'!$F$8:$F$42,SMALL(IF("Página Web"='03.Muestra'!$D$8:$D$42,ROW('03.Muestra'!$F$8:$F$42)-MIN(ROW('03.Muestra'!$D$8:$D$42))+1,""),ROW()-474)),"")</f>
        <v>https://www.portcastello.com/</v>
      </c>
      <c r="D480" s="130" t="str">
        <f t="shared" si="25"/>
        <v>N/T</v>
      </c>
      <c r="E480" s="107" t="str">
        <f t="shared" si="24"/>
        <v/>
      </c>
      <c r="G480" s="19"/>
      <c r="H480" s="19"/>
      <c r="I480" s="19"/>
      <c r="J480" s="19"/>
      <c r="K480" s="228"/>
      <c r="L480" s="19"/>
      <c r="M480" s="19"/>
      <c r="N480" s="19"/>
      <c r="O480" s="19"/>
      <c r="P480" s="19"/>
      <c r="Q480" s="19"/>
      <c r="R480" s="19"/>
      <c r="S480" s="19"/>
      <c r="T480" s="19"/>
      <c r="U480" s="19"/>
      <c r="V480" s="19"/>
      <c r="W480" s="19"/>
      <c r="X480" s="19"/>
      <c r="Y480" s="19"/>
    </row>
    <row r="481" spans="1:25" ht="12" customHeight="1">
      <c r="A481" s="219" t="n" cm="1">
        <f t="array" ref="A481">IFERROR(INDEX('03.Muestra'!$B$8:$B$42,SMALL(IF("Página Web"='03.Muestra'!$D$8:$D$42,ROW('03.Muestra'!$B$8:$B$42)-MIN(ROW('03.Muestra'!$D$8:$D$42))+1,""),ROW()-474)),"")</f>
        <v>1.0</v>
      </c>
      <c r="B481" s="114" t="str" cm="1">
        <f t="array" ref="B481">IFERROR(INDEX('03.Muestra'!$C$8:$C$42,SMALL(IF("Página Web"='03.Muestra'!$D$8:$D$42,ROW('03.Muestra'!$C$8:$C$42)-MIN(ROW('03.Muestra'!$D$8:$D$42))+1,""),ROW()-474)),"")</f>
        <v>Home - PortCastelló</v>
      </c>
      <c r="C481" s="114" t="str" cm="1">
        <f t="array" ref="C481">IFERROR(INDEX('03.Muestra'!$F$8:$F$42,SMALL(IF("Página Web"='03.Muestra'!$D$8:$D$42,ROW('03.Muestra'!$F$8:$F$42)-MIN(ROW('03.Muestra'!$D$8:$D$42))+1,""),ROW()-474)),"")</f>
        <v>https://www.portcastello.com/</v>
      </c>
      <c r="D481" s="130" t="str">
        <f t="shared" si="25"/>
        <v>N/T</v>
      </c>
      <c r="E481" s="107" t="str">
        <f t="shared" si="24"/>
        <v/>
      </c>
      <c r="F481" s="19"/>
      <c r="G481" s="19"/>
      <c r="H481" s="19"/>
      <c r="I481" s="19"/>
      <c r="J481" s="19"/>
      <c r="K481" s="228"/>
      <c r="L481" s="19"/>
      <c r="M481" s="19"/>
      <c r="N481" s="19"/>
      <c r="O481" s="19"/>
      <c r="P481" s="19"/>
      <c r="Q481" s="19"/>
      <c r="R481" s="19"/>
      <c r="S481" s="19"/>
      <c r="T481" s="19"/>
      <c r="U481" s="19"/>
      <c r="V481" s="19"/>
      <c r="W481" s="19"/>
      <c r="X481" s="19"/>
      <c r="Y481" s="19"/>
    </row>
    <row r="482" spans="1:25" ht="12" customHeight="1">
      <c r="A482" s="219" t="n" cm="1">
        <f t="array" ref="A482">IFERROR(INDEX('03.Muestra'!$B$8:$B$42,SMALL(IF("Página Web"='03.Muestra'!$D$8:$D$42,ROW('03.Muestra'!$B$8:$B$42)-MIN(ROW('03.Muestra'!$D$8:$D$42))+1,""),ROW()-474)),"")</f>
        <v>1.0</v>
      </c>
      <c r="B482" s="114" t="str" cm="1">
        <f t="array" ref="B482">IFERROR(INDEX('03.Muestra'!$C$8:$C$42,SMALL(IF("Página Web"='03.Muestra'!$D$8:$D$42,ROW('03.Muestra'!$C$8:$C$42)-MIN(ROW('03.Muestra'!$D$8:$D$42))+1,""),ROW()-474)),"")</f>
        <v>Home - PortCastelló</v>
      </c>
      <c r="C482" s="114" t="str" cm="1">
        <f t="array" ref="C482">IFERROR(INDEX('03.Muestra'!$F$8:$F$42,SMALL(IF("Página Web"='03.Muestra'!$D$8:$D$42,ROW('03.Muestra'!$F$8:$F$42)-MIN(ROW('03.Muestra'!$D$8:$D$42))+1,""),ROW()-474)),"")</f>
        <v>https://www.portcastello.com/</v>
      </c>
      <c r="D482" s="130" t="str">
        <f t="shared" si="25"/>
        <v>N/T</v>
      </c>
      <c r="E482" s="107" t="str">
        <f t="shared" si="24"/>
        <v/>
      </c>
      <c r="F482" s="19"/>
      <c r="G482" s="19"/>
      <c r="H482" s="19"/>
      <c r="I482" s="19"/>
      <c r="J482" s="19"/>
      <c r="K482" s="228"/>
      <c r="L482" s="19"/>
      <c r="M482" s="19"/>
      <c r="N482" s="19"/>
      <c r="O482" s="19"/>
      <c r="P482" s="19"/>
      <c r="Q482" s="19"/>
      <c r="R482" s="19"/>
      <c r="S482" s="19"/>
      <c r="T482" s="19"/>
      <c r="U482" s="19"/>
      <c r="V482" s="19"/>
      <c r="W482" s="19"/>
      <c r="X482" s="19"/>
      <c r="Y482" s="19"/>
    </row>
    <row r="483" spans="1:25" ht="12" customHeight="1">
      <c r="A483" s="219" t="n" cm="1">
        <f t="array" ref="A483">IFERROR(INDEX('03.Muestra'!$B$8:$B$42,SMALL(IF("Página Web"='03.Muestra'!$D$8:$D$42,ROW('03.Muestra'!$B$8:$B$42)-MIN(ROW('03.Muestra'!$D$8:$D$42))+1,""),ROW()-474)),"")</f>
        <v>1.0</v>
      </c>
      <c r="B483" s="114" t="str" cm="1">
        <f t="array" ref="B483">IFERROR(INDEX('03.Muestra'!$C$8:$C$42,SMALL(IF("Página Web"='03.Muestra'!$D$8:$D$42,ROW('03.Muestra'!$C$8:$C$42)-MIN(ROW('03.Muestra'!$D$8:$D$42))+1,""),ROW()-474)),"")</f>
        <v>Home - PortCastelló</v>
      </c>
      <c r="C483" s="114" t="str" cm="1">
        <f t="array" ref="C483">IFERROR(INDEX('03.Muestra'!$F$8:$F$42,SMALL(IF("Página Web"='03.Muestra'!$D$8:$D$42,ROW('03.Muestra'!$F$8:$F$42)-MIN(ROW('03.Muestra'!$D$8:$D$42))+1,""),ROW()-474)),"")</f>
        <v>https://www.portcastello.com/</v>
      </c>
      <c r="D483" s="130" t="str">
        <f t="shared" si="25"/>
        <v>N/T</v>
      </c>
      <c r="E483" s="107" t="str">
        <f t="shared" si="24"/>
        <v/>
      </c>
      <c r="F483" s="19"/>
      <c r="G483" s="19"/>
      <c r="H483" s="19"/>
      <c r="I483" s="19"/>
      <c r="J483" s="19"/>
      <c r="K483" s="228"/>
      <c r="L483" s="19"/>
      <c r="M483" s="19"/>
      <c r="N483" s="19"/>
      <c r="O483" s="19"/>
      <c r="P483" s="19"/>
      <c r="Q483" s="19"/>
      <c r="R483" s="19"/>
      <c r="S483" s="19"/>
      <c r="T483" s="19"/>
      <c r="U483" s="19"/>
      <c r="V483" s="19"/>
      <c r="W483" s="19"/>
      <c r="X483" s="19"/>
      <c r="Y483" s="19"/>
    </row>
    <row r="484" spans="1:25" ht="12" customHeight="1">
      <c r="A484" s="219" t="n" cm="1">
        <f t="array" ref="A484">IFERROR(INDEX('03.Muestra'!$B$8:$B$42,SMALL(IF("Página Web"='03.Muestra'!$D$8:$D$42,ROW('03.Muestra'!$B$8:$B$42)-MIN(ROW('03.Muestra'!$D$8:$D$42))+1,""),ROW()-474)),"")</f>
        <v>1.0</v>
      </c>
      <c r="B484" s="114" t="str" cm="1">
        <f t="array" ref="B484">IFERROR(INDEX('03.Muestra'!$C$8:$C$42,SMALL(IF("Página Web"='03.Muestra'!$D$8:$D$42,ROW('03.Muestra'!$C$8:$C$42)-MIN(ROW('03.Muestra'!$D$8:$D$42))+1,""),ROW()-474)),"")</f>
        <v>Home - PortCastelló</v>
      </c>
      <c r="C484" s="114" t="str" cm="1">
        <f t="array" ref="C484">IFERROR(INDEX('03.Muestra'!$F$8:$F$42,SMALL(IF("Página Web"='03.Muestra'!$D$8:$D$42,ROW('03.Muestra'!$F$8:$F$42)-MIN(ROW('03.Muestra'!$D$8:$D$42))+1,""),ROW()-474)),"")</f>
        <v>https://www.portcastello.com/</v>
      </c>
      <c r="D484" s="130" t="str">
        <f t="shared" si="25"/>
        <v>N/T</v>
      </c>
      <c r="E484" s="107" t="str">
        <f t="shared" si="24"/>
        <v/>
      </c>
      <c r="F484" s="19"/>
      <c r="G484" s="19"/>
      <c r="H484" s="19"/>
      <c r="I484" s="19"/>
      <c r="J484" s="19"/>
      <c r="K484" s="228"/>
      <c r="L484" s="19"/>
      <c r="M484" s="19"/>
      <c r="N484" s="19"/>
      <c r="O484" s="19"/>
      <c r="P484" s="19"/>
      <c r="Q484" s="19"/>
      <c r="R484" s="19"/>
      <c r="S484" s="19"/>
      <c r="T484" s="19"/>
      <c r="U484" s="19"/>
      <c r="V484" s="19"/>
      <c r="W484" s="19"/>
      <c r="X484" s="19"/>
      <c r="Y484" s="19"/>
    </row>
    <row r="485" spans="1:25" ht="12" customHeight="1">
      <c r="A485" s="219" t="n" cm="1">
        <f t="array" ref="A485">IFERROR(INDEX('03.Muestra'!$B$8:$B$42,SMALL(IF("Página Web"='03.Muestra'!$D$8:$D$42,ROW('03.Muestra'!$B$8:$B$42)-MIN(ROW('03.Muestra'!$D$8:$D$42))+1,""),ROW()-474)),"")</f>
        <v>1.0</v>
      </c>
      <c r="B485" s="114" t="str" cm="1">
        <f t="array" ref="B485">IFERROR(INDEX('03.Muestra'!$C$8:$C$42,SMALL(IF("Página Web"='03.Muestra'!$D$8:$D$42,ROW('03.Muestra'!$C$8:$C$42)-MIN(ROW('03.Muestra'!$D$8:$D$42))+1,""),ROW()-474)),"")</f>
        <v>Home - PortCastelló</v>
      </c>
      <c r="C485" s="114" t="str" cm="1">
        <f t="array" ref="C485">IFERROR(INDEX('03.Muestra'!$F$8:$F$42,SMALL(IF("Página Web"='03.Muestra'!$D$8:$D$42,ROW('03.Muestra'!$F$8:$F$42)-MIN(ROW('03.Muestra'!$D$8:$D$42))+1,""),ROW()-474)),"")</f>
        <v>https://www.portcastello.com/</v>
      </c>
      <c r="D485" s="130" t="str">
        <f t="shared" si="25"/>
        <v>N/T</v>
      </c>
      <c r="E485" s="107" t="str">
        <f t="shared" si="24"/>
        <v/>
      </c>
      <c r="F485" s="19"/>
      <c r="G485" s="19"/>
      <c r="H485" s="19"/>
      <c r="I485" s="19"/>
      <c r="J485" s="19"/>
      <c r="K485" s="228"/>
      <c r="L485" s="19"/>
      <c r="M485" s="19"/>
      <c r="N485" s="19"/>
      <c r="O485" s="19"/>
      <c r="P485" s="19"/>
      <c r="Q485" s="19"/>
      <c r="R485" s="19"/>
      <c r="S485" s="19"/>
      <c r="T485" s="19"/>
      <c r="U485" s="19"/>
      <c r="V485" s="19"/>
      <c r="W485" s="19"/>
      <c r="X485" s="19"/>
      <c r="Y485" s="19"/>
    </row>
    <row r="486" spans="1:25" ht="12" customHeight="1">
      <c r="A486" s="219" t="n" cm="1">
        <f t="array" ref="A486">IFERROR(INDEX('03.Muestra'!$B$8:$B$42,SMALL(IF("Página Web"='03.Muestra'!$D$8:$D$42,ROW('03.Muestra'!$B$8:$B$42)-MIN(ROW('03.Muestra'!$D$8:$D$42))+1,""),ROW()-474)),"")</f>
        <v>1.0</v>
      </c>
      <c r="B486" s="114" t="str" cm="1">
        <f t="array" ref="B486">IFERROR(INDEX('03.Muestra'!$C$8:$C$42,SMALL(IF("Página Web"='03.Muestra'!$D$8:$D$42,ROW('03.Muestra'!$C$8:$C$42)-MIN(ROW('03.Muestra'!$D$8:$D$42))+1,""),ROW()-474)),"")</f>
        <v>Home - PortCastelló</v>
      </c>
      <c r="C486" s="114" t="str" cm="1">
        <f t="array" ref="C486">IFERROR(INDEX('03.Muestra'!$F$8:$F$42,SMALL(IF("Página Web"='03.Muestra'!$D$8:$D$42,ROW('03.Muestra'!$F$8:$F$42)-MIN(ROW('03.Muestra'!$D$8:$D$42))+1,""),ROW()-474)),"")</f>
        <v>https://www.portcastello.com/</v>
      </c>
      <c r="D486" s="130" t="str">
        <f t="shared" si="25"/>
        <v>N/T</v>
      </c>
      <c r="E486" s="107" t="str">
        <f t="shared" si="24"/>
        <v/>
      </c>
      <c r="F486" s="19"/>
      <c r="G486" s="19"/>
      <c r="H486" s="19"/>
      <c r="I486" s="19"/>
      <c r="J486" s="19"/>
      <c r="K486" s="228"/>
      <c r="L486" s="19"/>
      <c r="M486" s="19"/>
      <c r="N486" s="19"/>
      <c r="O486" s="19"/>
      <c r="P486" s="19"/>
      <c r="Q486" s="19"/>
      <c r="R486" s="19"/>
      <c r="S486" s="19"/>
      <c r="T486" s="19"/>
      <c r="U486" s="19"/>
      <c r="V486" s="19"/>
      <c r="W486" s="19"/>
      <c r="X486" s="19"/>
      <c r="Y486" s="19"/>
    </row>
    <row r="487" spans="1:25" ht="14.1" customHeight="1">
      <c r="A487" s="219" t="n" cm="1">
        <f t="array" ref="A487">IFERROR(INDEX('03.Muestra'!$B$8:$B$42,SMALL(IF("Página Web"='03.Muestra'!$D$8:$D$42,ROW('03.Muestra'!$B$8:$B$42)-MIN(ROW('03.Muestra'!$D$8:$D$42))+1,""),ROW()-474)),"")</f>
        <v>1.0</v>
      </c>
      <c r="B487" s="114" t="str" cm="1">
        <f t="array" ref="B487">IFERROR(INDEX('03.Muestra'!$C$8:$C$42,SMALL(IF("Página Web"='03.Muestra'!$D$8:$D$42,ROW('03.Muestra'!$C$8:$C$42)-MIN(ROW('03.Muestra'!$D$8:$D$42))+1,""),ROW()-474)),"")</f>
        <v>Home - PortCastelló</v>
      </c>
      <c r="C487" s="114" t="str" cm="1">
        <f t="array" ref="C487">IFERROR(INDEX('03.Muestra'!$F$8:$F$42,SMALL(IF("Página Web"='03.Muestra'!$D$8:$D$42,ROW('03.Muestra'!$F$8:$F$42)-MIN(ROW('03.Muestra'!$D$8:$D$42))+1,""),ROW()-474)),"")</f>
        <v>https://www.portcastello.com/</v>
      </c>
      <c r="D487" s="130" t="str">
        <f t="shared" si="25"/>
        <v>N/T</v>
      </c>
      <c r="E487" s="107" t="str">
        <f t="shared" si="24"/>
        <v/>
      </c>
      <c r="F487" s="19"/>
      <c r="G487" s="19"/>
      <c r="H487" s="19"/>
      <c r="I487" s="19"/>
      <c r="J487" s="19"/>
      <c r="K487" s="228"/>
      <c r="L487" s="19"/>
      <c r="M487" s="19"/>
      <c r="N487" s="19"/>
      <c r="O487" s="19"/>
      <c r="P487" s="19"/>
      <c r="Q487" s="19"/>
      <c r="R487" s="19"/>
      <c r="S487" s="19"/>
      <c r="T487" s="19"/>
      <c r="U487" s="19"/>
      <c r="V487" s="19"/>
      <c r="W487" s="19"/>
      <c r="X487" s="19"/>
      <c r="Y487" s="19"/>
    </row>
    <row r="488" spans="1:25" ht="14.1" customHeight="1">
      <c r="A488" s="219" t="n" cm="1">
        <f t="array" ref="A488">IFERROR(INDEX('03.Muestra'!$B$8:$B$42,SMALL(IF("Página Web"='03.Muestra'!$D$8:$D$42,ROW('03.Muestra'!$B$8:$B$42)-MIN(ROW('03.Muestra'!$D$8:$D$42))+1,""),ROW()-474)),"")</f>
        <v>1.0</v>
      </c>
      <c r="B488" s="114" t="str" cm="1">
        <f t="array" ref="B488">IFERROR(INDEX('03.Muestra'!$C$8:$C$42,SMALL(IF("Página Web"='03.Muestra'!$D$8:$D$42,ROW('03.Muestra'!$C$8:$C$42)-MIN(ROW('03.Muestra'!$D$8:$D$42))+1,""),ROW()-474)),"")</f>
        <v>Home - PortCastelló</v>
      </c>
      <c r="C488" s="114" t="str" cm="1">
        <f t="array" ref="C488">IFERROR(INDEX('03.Muestra'!$F$8:$F$42,SMALL(IF("Página Web"='03.Muestra'!$D$8:$D$42,ROW('03.Muestra'!$F$8:$F$42)-MIN(ROW('03.Muestra'!$D$8:$D$42))+1,""),ROW()-474)),"")</f>
        <v>https://www.portcastello.com/</v>
      </c>
      <c r="D488" s="130" t="str">
        <f t="shared" si="25"/>
        <v>N/T</v>
      </c>
      <c r="E488" s="107" t="str">
        <f t="shared" si="24"/>
        <v/>
      </c>
      <c r="F488" s="19"/>
      <c r="G488" s="19"/>
      <c r="H488" s="19"/>
      <c r="I488" s="19"/>
      <c r="J488" s="19"/>
      <c r="K488" s="228"/>
      <c r="L488" s="19"/>
      <c r="M488" s="19"/>
      <c r="N488" s="19"/>
      <c r="O488" s="19"/>
      <c r="P488" s="19"/>
      <c r="Q488" s="19"/>
      <c r="R488" s="19"/>
      <c r="S488" s="19"/>
      <c r="T488" s="19"/>
      <c r="U488" s="19"/>
      <c r="V488" s="19"/>
      <c r="W488" s="19"/>
      <c r="X488" s="19"/>
      <c r="Y488" s="19"/>
    </row>
    <row r="489" spans="1:25" ht="14.1" customHeight="1">
      <c r="A489" s="219" t="n" cm="1">
        <f t="array" ref="A489">IFERROR(INDEX('03.Muestra'!$B$8:$B$42,SMALL(IF("Página Web"='03.Muestra'!$D$8:$D$42,ROW('03.Muestra'!$B$8:$B$42)-MIN(ROW('03.Muestra'!$D$8:$D$42))+1,""),ROW()-474)),"")</f>
        <v>1.0</v>
      </c>
      <c r="B489" s="114" t="str" cm="1">
        <f t="array" ref="B489">IFERROR(INDEX('03.Muestra'!$C$8:$C$42,SMALL(IF("Página Web"='03.Muestra'!$D$8:$D$42,ROW('03.Muestra'!$C$8:$C$42)-MIN(ROW('03.Muestra'!$D$8:$D$42))+1,""),ROW()-474)),"")</f>
        <v>Home - PortCastelló</v>
      </c>
      <c r="C489" s="114" t="str" cm="1">
        <f t="array" ref="C489">IFERROR(INDEX('03.Muestra'!$F$8:$F$42,SMALL(IF("Página Web"='03.Muestra'!$D$8:$D$42,ROW('03.Muestra'!$F$8:$F$42)-MIN(ROW('03.Muestra'!$D$8:$D$42))+1,""),ROW()-474)),"")</f>
        <v>https://www.portcastello.com/</v>
      </c>
      <c r="D489" s="130" t="str">
        <f t="shared" si="25"/>
        <v>N/T</v>
      </c>
      <c r="E489" s="107" t="str">
        <f t="shared" si="24"/>
        <v/>
      </c>
      <c r="F489" s="19"/>
      <c r="G489" s="19"/>
      <c r="H489" s="19"/>
      <c r="I489" s="19"/>
      <c r="J489" s="19"/>
      <c r="K489" s="228"/>
      <c r="L489" s="19"/>
      <c r="M489" s="19"/>
      <c r="N489" s="19"/>
      <c r="O489" s="19"/>
      <c r="P489" s="19"/>
      <c r="Q489" s="19"/>
      <c r="R489" s="19"/>
      <c r="S489" s="19"/>
      <c r="T489" s="19"/>
      <c r="U489" s="19"/>
      <c r="V489" s="19"/>
      <c r="W489" s="19"/>
      <c r="X489" s="19"/>
      <c r="Y489" s="19"/>
    </row>
    <row r="490" spans="1:25" ht="14.1" customHeight="1">
      <c r="A490" s="219" t="n" cm="1">
        <f t="array" ref="A490">IFERROR(INDEX('03.Muestra'!$B$8:$B$42,SMALL(IF("Página Web"='03.Muestra'!$D$8:$D$42,ROW('03.Muestra'!$B$8:$B$42)-MIN(ROW('03.Muestra'!$D$8:$D$42))+1,""),ROW()-474)),"")</f>
        <v>1.0</v>
      </c>
      <c r="B490" s="114" t="str" cm="1">
        <f t="array" ref="B490">IFERROR(INDEX('03.Muestra'!$C$8:$C$42,SMALL(IF("Página Web"='03.Muestra'!$D$8:$D$42,ROW('03.Muestra'!$C$8:$C$42)-MIN(ROW('03.Muestra'!$D$8:$D$42))+1,""),ROW()-474)),"")</f>
        <v>Home - PortCastelló</v>
      </c>
      <c r="C490" s="114" t="str" cm="1">
        <f t="array" ref="C490">IFERROR(INDEX('03.Muestra'!$F$8:$F$42,SMALL(IF("Página Web"='03.Muestra'!$D$8:$D$42,ROW('03.Muestra'!$F$8:$F$42)-MIN(ROW('03.Muestra'!$D$8:$D$42))+1,""),ROW()-474)),"")</f>
        <v>https://www.portcastello.com/</v>
      </c>
      <c r="D490" s="130" t="str">
        <f t="shared" si="25"/>
        <v>N/T</v>
      </c>
      <c r="E490" s="107" t="str">
        <f t="shared" si="24"/>
        <v/>
      </c>
      <c r="F490" s="19"/>
      <c r="G490" s="19"/>
      <c r="H490" s="19"/>
      <c r="I490" s="19"/>
      <c r="J490" s="19"/>
      <c r="K490" s="228"/>
      <c r="L490" s="19"/>
      <c r="M490" s="19"/>
      <c r="N490" s="19"/>
      <c r="O490" s="19"/>
      <c r="P490" s="19"/>
      <c r="Q490" s="19"/>
      <c r="R490" s="19"/>
      <c r="S490" s="19"/>
      <c r="T490" s="19"/>
      <c r="U490" s="19"/>
      <c r="V490" s="19"/>
      <c r="W490" s="19"/>
      <c r="X490" s="19"/>
      <c r="Y490" s="19"/>
    </row>
    <row r="491" spans="1:25" ht="14.1" customHeight="1">
      <c r="A491" s="219" t="n" cm="1">
        <f t="array" ref="A491">IFERROR(INDEX('03.Muestra'!$B$8:$B$42,SMALL(IF("Página Web"='03.Muestra'!$D$8:$D$42,ROW('03.Muestra'!$B$8:$B$42)-MIN(ROW('03.Muestra'!$D$8:$D$42))+1,""),ROW()-474)),"")</f>
        <v>1.0</v>
      </c>
      <c r="B491" s="114" t="str" cm="1">
        <f t="array" ref="B491">IFERROR(INDEX('03.Muestra'!$C$8:$C$42,SMALL(IF("Página Web"='03.Muestra'!$D$8:$D$42,ROW('03.Muestra'!$C$8:$C$42)-MIN(ROW('03.Muestra'!$D$8:$D$42))+1,""),ROW()-474)),"")</f>
        <v>Home - PortCastelló</v>
      </c>
      <c r="C491" s="114" t="str" cm="1">
        <f t="array" ref="C491">IFERROR(INDEX('03.Muestra'!$F$8:$F$42,SMALL(IF("Página Web"='03.Muestra'!$D$8:$D$42,ROW('03.Muestra'!$F$8:$F$42)-MIN(ROW('03.Muestra'!$D$8:$D$42))+1,""),ROW()-474)),"")</f>
        <v>https://www.portcastello.com/</v>
      </c>
      <c r="D491" s="130" t="str">
        <f t="shared" si="25"/>
        <v>N/T</v>
      </c>
      <c r="E491" s="107" t="str">
        <f t="shared" si="24"/>
        <v/>
      </c>
      <c r="F491" s="19"/>
      <c r="G491" s="19"/>
      <c r="H491" s="19"/>
      <c r="I491" s="19"/>
      <c r="J491" s="19"/>
      <c r="K491" s="228"/>
      <c r="L491" s="19"/>
      <c r="M491" s="19"/>
      <c r="N491" s="19"/>
      <c r="O491" s="19"/>
      <c r="P491" s="19"/>
      <c r="Q491" s="19"/>
      <c r="R491" s="19"/>
      <c r="S491" s="19"/>
      <c r="T491" s="19"/>
      <c r="U491" s="19"/>
      <c r="V491" s="19"/>
      <c r="W491" s="19"/>
      <c r="X491" s="19"/>
      <c r="Y491" s="19"/>
    </row>
    <row r="492" spans="1:25" ht="14.1" customHeight="1">
      <c r="A492" s="219" t="n" cm="1">
        <f t="array" ref="A492">IFERROR(INDEX('03.Muestra'!$B$8:$B$42,SMALL(IF("Página Web"='03.Muestra'!$D$8:$D$42,ROW('03.Muestra'!$B$8:$B$42)-MIN(ROW('03.Muestra'!$D$8:$D$42))+1,""),ROW()-474)),"")</f>
        <v>1.0</v>
      </c>
      <c r="B492" s="114" t="str" cm="1">
        <f t="array" ref="B492">IFERROR(INDEX('03.Muestra'!$C$8:$C$42,SMALL(IF("Página Web"='03.Muestra'!$D$8:$D$42,ROW('03.Muestra'!$C$8:$C$42)-MIN(ROW('03.Muestra'!$D$8:$D$42))+1,""),ROW()-474)),"")</f>
        <v>Home - PortCastelló</v>
      </c>
      <c r="C492" s="114" t="str" cm="1">
        <f t="array" ref="C492">IFERROR(INDEX('03.Muestra'!$F$8:$F$42,SMALL(IF("Página Web"='03.Muestra'!$D$8:$D$42,ROW('03.Muestra'!$F$8:$F$42)-MIN(ROW('03.Muestra'!$D$8:$D$42))+1,""),ROW()-474)),"")</f>
        <v>https://www.portcastello.com/</v>
      </c>
      <c r="D492" s="130" t="str">
        <f t="shared" si="25"/>
        <v>N/T</v>
      </c>
      <c r="E492" s="107" t="str">
        <f t="shared" si="24"/>
        <v/>
      </c>
      <c r="F492" s="19"/>
      <c r="G492" s="19"/>
      <c r="H492" s="19"/>
      <c r="I492" s="19"/>
      <c r="J492" s="19"/>
      <c r="K492" s="228"/>
      <c r="L492" s="19"/>
      <c r="M492" s="19"/>
      <c r="N492" s="19"/>
      <c r="O492" s="19"/>
      <c r="P492" s="19"/>
      <c r="Q492" s="19"/>
      <c r="R492" s="19"/>
      <c r="S492" s="19"/>
      <c r="T492" s="19"/>
      <c r="U492" s="19"/>
      <c r="V492" s="19"/>
      <c r="W492" s="19"/>
      <c r="X492" s="19"/>
      <c r="Y492" s="19"/>
    </row>
    <row r="493" spans="1:25" ht="14.1" customHeight="1">
      <c r="A493" s="219" t="n" cm="1">
        <f t="array" ref="A493">IFERROR(INDEX('03.Muestra'!$B$8:$B$42,SMALL(IF("Página Web"='03.Muestra'!$D$8:$D$42,ROW('03.Muestra'!$B$8:$B$42)-MIN(ROW('03.Muestra'!$D$8:$D$42))+1,""),ROW()-474)),"")</f>
        <v>1.0</v>
      </c>
      <c r="B493" s="114" t="str" cm="1">
        <f t="array" ref="B493">IFERROR(INDEX('03.Muestra'!$C$8:$C$42,SMALL(IF("Página Web"='03.Muestra'!$D$8:$D$42,ROW('03.Muestra'!$C$8:$C$42)-MIN(ROW('03.Muestra'!$D$8:$D$42))+1,""),ROW()-474)),"")</f>
        <v>Home - PortCastelló</v>
      </c>
      <c r="C493" s="114" t="str" cm="1">
        <f t="array" ref="C493">IFERROR(INDEX('03.Muestra'!$F$8:$F$42,SMALL(IF("Página Web"='03.Muestra'!$D$8:$D$42,ROW('03.Muestra'!$F$8:$F$42)-MIN(ROW('03.Muestra'!$D$8:$D$42))+1,""),ROW()-474)),"")</f>
        <v>https://www.portcastello.com/</v>
      </c>
      <c r="D493" s="130" t="str">
        <f t="shared" si="25"/>
        <v>N/T</v>
      </c>
      <c r="E493" s="107" t="str">
        <f t="shared" si="24"/>
        <v/>
      </c>
      <c r="F493" s="19"/>
      <c r="G493" s="19"/>
      <c r="H493" s="19"/>
      <c r="I493" s="19"/>
      <c r="J493" s="19"/>
      <c r="K493" s="228"/>
      <c r="L493" s="19"/>
      <c r="M493" s="19"/>
      <c r="N493" s="19"/>
      <c r="O493" s="19"/>
      <c r="P493" s="19"/>
      <c r="Q493" s="19"/>
      <c r="R493" s="19"/>
      <c r="S493" s="19"/>
      <c r="T493" s="19"/>
      <c r="U493" s="19"/>
      <c r="V493" s="19"/>
      <c r="W493" s="19"/>
      <c r="X493" s="19"/>
      <c r="Y493" s="19"/>
    </row>
    <row r="494" spans="1:25" ht="14.1" customHeight="1">
      <c r="A494" s="219" t="n" cm="1">
        <f t="array" ref="A494">IFERROR(INDEX('03.Muestra'!$B$8:$B$42,SMALL(IF("Página Web"='03.Muestra'!$D$8:$D$42,ROW('03.Muestra'!$B$8:$B$42)-MIN(ROW('03.Muestra'!$D$8:$D$42))+1,""),ROW()-474)),"")</f>
        <v>1.0</v>
      </c>
      <c r="B494" s="114" t="str" cm="1">
        <f t="array" ref="B494">IFERROR(INDEX('03.Muestra'!$C$8:$C$42,SMALL(IF("Página Web"='03.Muestra'!$D$8:$D$42,ROW('03.Muestra'!$C$8:$C$42)-MIN(ROW('03.Muestra'!$D$8:$D$42))+1,""),ROW()-474)),"")</f>
        <v>Home - PortCastelló</v>
      </c>
      <c r="C494" s="114" t="str" cm="1">
        <f t="array" ref="C494">IFERROR(INDEX('03.Muestra'!$F$8:$F$42,SMALL(IF("Página Web"='03.Muestra'!$D$8:$D$42,ROW('03.Muestra'!$F$8:$F$42)-MIN(ROW('03.Muestra'!$D$8:$D$42))+1,""),ROW()-474)),"")</f>
        <v>https://www.portcastello.com/</v>
      </c>
      <c r="D494" s="130" t="str">
        <f t="shared" si="25"/>
        <v>N/T</v>
      </c>
      <c r="E494" s="107" t="str">
        <f t="shared" si="24"/>
        <v/>
      </c>
      <c r="F494" s="19"/>
      <c r="G494" s="19"/>
      <c r="H494" s="19"/>
      <c r="I494" s="19"/>
      <c r="J494" s="19"/>
      <c r="K494" s="228"/>
      <c r="L494" s="19"/>
      <c r="M494" s="19"/>
      <c r="N494" s="19"/>
      <c r="O494" s="19"/>
      <c r="P494" s="19"/>
      <c r="Q494" s="19"/>
      <c r="R494" s="19"/>
      <c r="S494" s="19"/>
      <c r="T494" s="19"/>
      <c r="U494" s="19"/>
      <c r="V494" s="19"/>
      <c r="W494" s="19"/>
      <c r="X494" s="19"/>
      <c r="Y494" s="19"/>
    </row>
    <row r="495" spans="1:25" ht="14.1" customHeight="1">
      <c r="A495" s="219" t="n" cm="1">
        <f t="array" ref="A495">IFERROR(INDEX('03.Muestra'!$B$8:$B$42,SMALL(IF("Página Web"='03.Muestra'!$D$8:$D$42,ROW('03.Muestra'!$B$8:$B$42)-MIN(ROW('03.Muestra'!$D$8:$D$42))+1,""),ROW()-474)),"")</f>
        <v>1.0</v>
      </c>
      <c r="B495" s="114" t="str" cm="1">
        <f t="array" ref="B495">IFERROR(INDEX('03.Muestra'!$C$8:$C$42,SMALL(IF("Página Web"='03.Muestra'!$D$8:$D$42,ROW('03.Muestra'!$C$8:$C$42)-MIN(ROW('03.Muestra'!$D$8:$D$42))+1,""),ROW()-474)),"")</f>
        <v>Home - PortCastelló</v>
      </c>
      <c r="C495" s="114" t="str" cm="1">
        <f t="array" ref="C495">IFERROR(INDEX('03.Muestra'!$F$8:$F$42,SMALL(IF("Página Web"='03.Muestra'!$D$8:$D$42,ROW('03.Muestra'!$F$8:$F$42)-MIN(ROW('03.Muestra'!$D$8:$D$42))+1,""),ROW()-474)),"")</f>
        <v>https://www.portcastello.com/</v>
      </c>
      <c r="D495" s="130" t="str">
        <f t="shared" si="25"/>
        <v>N/T</v>
      </c>
      <c r="E495" s="107" t="str">
        <f t="shared" si="24"/>
        <v/>
      </c>
      <c r="F495" s="19"/>
      <c r="G495" s="19"/>
      <c r="H495" s="19"/>
      <c r="I495" s="19"/>
      <c r="J495" s="19"/>
      <c r="K495" s="228"/>
      <c r="L495" s="19"/>
      <c r="M495" s="19"/>
      <c r="N495" s="19"/>
      <c r="O495" s="19"/>
      <c r="P495" s="19"/>
      <c r="Q495" s="19"/>
      <c r="R495" s="19"/>
      <c r="S495" s="19"/>
      <c r="T495" s="19"/>
      <c r="U495" s="19"/>
      <c r="V495" s="19"/>
      <c r="W495" s="19"/>
      <c r="X495" s="19"/>
      <c r="Y495" s="19"/>
    </row>
    <row r="496" spans="1:25" ht="14.1" customHeight="1">
      <c r="A496" s="219" t="n" cm="1">
        <f t="array" ref="A496">IFERROR(INDEX('03.Muestra'!$B$8:$B$42,SMALL(IF("Página Web"='03.Muestra'!$D$8:$D$42,ROW('03.Muestra'!$B$8:$B$42)-MIN(ROW('03.Muestra'!$D$8:$D$42))+1,""),ROW()-474)),"")</f>
        <v>1.0</v>
      </c>
      <c r="B496" s="114" t="str" cm="1">
        <f t="array" ref="B496">IFERROR(INDEX('03.Muestra'!$C$8:$C$42,SMALL(IF("Página Web"='03.Muestra'!$D$8:$D$42,ROW('03.Muestra'!$C$8:$C$42)-MIN(ROW('03.Muestra'!$D$8:$D$42))+1,""),ROW()-474)),"")</f>
        <v>Home - PortCastelló</v>
      </c>
      <c r="C496" s="114" t="str" cm="1">
        <f t="array" ref="C496">IFERROR(INDEX('03.Muestra'!$F$8:$F$42,SMALL(IF("Página Web"='03.Muestra'!$D$8:$D$42,ROW('03.Muestra'!$F$8:$F$42)-MIN(ROW('03.Muestra'!$D$8:$D$42))+1,""),ROW()-474)),"")</f>
        <v>https://www.portcastello.com/</v>
      </c>
      <c r="D496" s="130" t="str">
        <f t="shared" si="25"/>
        <v>N/T</v>
      </c>
      <c r="E496" s="107" t="str">
        <f t="shared" si="24"/>
        <v/>
      </c>
      <c r="F496" s="19"/>
      <c r="G496" s="19"/>
      <c r="H496" s="19"/>
      <c r="I496" s="19"/>
      <c r="J496" s="19"/>
      <c r="K496" s="228"/>
      <c r="L496" s="19"/>
      <c r="M496" s="19"/>
      <c r="N496" s="19"/>
      <c r="O496" s="19"/>
      <c r="P496" s="19"/>
      <c r="Q496" s="19"/>
      <c r="R496" s="19"/>
      <c r="S496" s="19"/>
      <c r="T496" s="19"/>
      <c r="U496" s="19"/>
      <c r="V496" s="19"/>
      <c r="W496" s="19"/>
      <c r="X496" s="19"/>
      <c r="Y496" s="19"/>
    </row>
    <row r="497" spans="1:25" ht="14.1" customHeight="1">
      <c r="A497" s="219" t="n" cm="1">
        <f t="array" ref="A497">IFERROR(INDEX('03.Muestra'!$B$8:$B$42,SMALL(IF("Página Web"='03.Muestra'!$D$8:$D$42,ROW('03.Muestra'!$B$8:$B$42)-MIN(ROW('03.Muestra'!$D$8:$D$42))+1,""),ROW()-474)),"")</f>
        <v>1.0</v>
      </c>
      <c r="B497" s="114" t="str" cm="1">
        <f t="array" ref="B497">IFERROR(INDEX('03.Muestra'!$C$8:$C$42,SMALL(IF("Página Web"='03.Muestra'!$D$8:$D$42,ROW('03.Muestra'!$C$8:$C$42)-MIN(ROW('03.Muestra'!$D$8:$D$42))+1,""),ROW()-474)),"")</f>
        <v>Home - PortCastelló</v>
      </c>
      <c r="C497" s="114" t="str" cm="1">
        <f t="array" ref="C497">IFERROR(INDEX('03.Muestra'!$F$8:$F$42,SMALL(IF("Página Web"='03.Muestra'!$D$8:$D$42,ROW('03.Muestra'!$F$8:$F$42)-MIN(ROW('03.Muestra'!$D$8:$D$42))+1,""),ROW()-474)),"")</f>
        <v>https://www.portcastello.com/</v>
      </c>
      <c r="D497" s="130" t="str">
        <f t="shared" si="25"/>
        <v>N/T</v>
      </c>
      <c r="E497" s="107" t="str">
        <f t="shared" si="24"/>
        <v/>
      </c>
      <c r="F497" s="19"/>
      <c r="G497" s="19"/>
      <c r="H497" s="19"/>
      <c r="I497" s="19"/>
      <c r="J497" s="19"/>
      <c r="K497" s="228"/>
      <c r="L497" s="19"/>
      <c r="M497" s="19"/>
      <c r="N497" s="19"/>
      <c r="O497" s="19"/>
      <c r="P497" s="19"/>
      <c r="Q497" s="19"/>
      <c r="R497" s="19"/>
      <c r="S497" s="19"/>
      <c r="T497" s="19"/>
      <c r="U497" s="19"/>
      <c r="V497" s="19"/>
      <c r="W497" s="19"/>
      <c r="X497" s="19"/>
      <c r="Y497" s="19"/>
    </row>
    <row r="498" spans="1:25" ht="12" customHeight="1">
      <c r="A498" s="219" t="n" cm="1">
        <f t="array" ref="A498">IFERROR(INDEX('03.Muestra'!$B$8:$B$42,SMALL(IF("Página Web"='03.Muestra'!$D$8:$D$42,ROW('03.Muestra'!$B$8:$B$42)-MIN(ROW('03.Muestra'!$D$8:$D$42))+1,""),ROW()-474)),"")</f>
        <v>1.0</v>
      </c>
      <c r="B498" s="114" t="str" cm="1">
        <f t="array" ref="B498">IFERROR(INDEX('03.Muestra'!$C$8:$C$42,SMALL(IF("Página Web"='03.Muestra'!$D$8:$D$42,ROW('03.Muestra'!$C$8:$C$42)-MIN(ROW('03.Muestra'!$D$8:$D$42))+1,""),ROW()-474)),"")</f>
        <v>Home - PortCastelló</v>
      </c>
      <c r="C498" s="114" t="str" cm="1">
        <f t="array" ref="C498">IFERROR(INDEX('03.Muestra'!$F$8:$F$42,SMALL(IF("Página Web"='03.Muestra'!$D$8:$D$42,ROW('03.Muestra'!$F$8:$F$42)-MIN(ROW('03.Muestra'!$D$8:$D$42))+1,""),ROW()-474)),"")</f>
        <v>https://www.portcastello.com/</v>
      </c>
      <c r="D498" s="130" t="str">
        <f t="shared" si="25"/>
        <v>N/T</v>
      </c>
      <c r="E498" s="107" t="str">
        <f t="shared" si="24"/>
        <v/>
      </c>
      <c r="F498" s="19"/>
      <c r="G498" s="19"/>
      <c r="H498" s="19"/>
      <c r="I498" s="19"/>
      <c r="J498" s="19"/>
      <c r="K498" s="228"/>
      <c r="L498" s="19"/>
      <c r="M498" s="19"/>
      <c r="N498" s="19"/>
      <c r="O498" s="19"/>
      <c r="P498" s="19"/>
      <c r="Q498" s="19"/>
      <c r="R498" s="19"/>
      <c r="S498" s="19"/>
      <c r="T498" s="19"/>
      <c r="U498" s="19"/>
      <c r="V498" s="19"/>
      <c r="W498" s="19"/>
      <c r="X498" s="19"/>
      <c r="Y498" s="19"/>
    </row>
    <row r="499" spans="1:25" ht="12" customHeight="1">
      <c r="A499" s="219" t="n" cm="1">
        <f t="array" ref="A499">IFERROR(INDEX('03.Muestra'!$B$8:$B$42,SMALL(IF("Página Web"='03.Muestra'!$D$8:$D$42,ROW('03.Muestra'!$B$8:$B$42)-MIN(ROW('03.Muestra'!$D$8:$D$42))+1,""),ROW()-474)),"")</f>
        <v>1.0</v>
      </c>
      <c r="B499" s="114" t="str" cm="1">
        <f t="array" ref="B499">IFERROR(INDEX('03.Muestra'!$C$8:$C$42,SMALL(IF("Página Web"='03.Muestra'!$D$8:$D$42,ROW('03.Muestra'!$C$8:$C$42)-MIN(ROW('03.Muestra'!$D$8:$D$42))+1,""),ROW()-474)),"")</f>
        <v>Home - PortCastelló</v>
      </c>
      <c r="C499" s="114" t="str" cm="1">
        <f t="array" ref="C499">IFERROR(INDEX('03.Muestra'!$F$8:$F$42,SMALL(IF("Página Web"='03.Muestra'!$D$8:$D$42,ROW('03.Muestra'!$F$8:$F$42)-MIN(ROW('03.Muestra'!$D$8:$D$42))+1,""),ROW()-474)),"")</f>
        <v>https://www.portcastello.com/</v>
      </c>
      <c r="D499" s="130" t="str">
        <f t="shared" si="25"/>
        <v>N/T</v>
      </c>
      <c r="E499" s="107" t="str">
        <f t="shared" si="24"/>
        <v/>
      </c>
      <c r="F499" s="19"/>
      <c r="G499" s="19"/>
      <c r="H499" s="19"/>
      <c r="I499" s="19"/>
      <c r="J499" s="19"/>
      <c r="K499" s="228"/>
      <c r="L499" s="19"/>
      <c r="M499" s="19"/>
      <c r="N499" s="19"/>
      <c r="O499" s="19"/>
      <c r="P499" s="19"/>
      <c r="Q499" s="19"/>
      <c r="R499" s="19"/>
      <c r="S499" s="19"/>
      <c r="T499" s="19"/>
      <c r="U499" s="19"/>
      <c r="V499" s="19"/>
      <c r="W499" s="19"/>
      <c r="X499" s="19"/>
      <c r="Y499" s="19"/>
    </row>
    <row r="500" spans="1:25" ht="12" customHeight="1">
      <c r="A500" s="219" t="n" cm="1">
        <f t="array" ref="A500">IFERROR(INDEX('03.Muestra'!$B$8:$B$42,SMALL(IF("Página Web"='03.Muestra'!$D$8:$D$42,ROW('03.Muestra'!$B$8:$B$42)-MIN(ROW('03.Muestra'!$D$8:$D$42))+1,""),ROW()-474)),"")</f>
        <v>1.0</v>
      </c>
      <c r="B500" s="114" t="str" cm="1">
        <f t="array" ref="B500">IFERROR(INDEX('03.Muestra'!$C$8:$C$42,SMALL(IF("Página Web"='03.Muestra'!$D$8:$D$42,ROW('03.Muestra'!$C$8:$C$42)-MIN(ROW('03.Muestra'!$D$8:$D$42))+1,""),ROW()-474)),"")</f>
        <v>Home - PortCastelló</v>
      </c>
      <c r="C500" s="114" t="str" cm="1">
        <f t="array" ref="C500">IFERROR(INDEX('03.Muestra'!$F$8:$F$42,SMALL(IF("Página Web"='03.Muestra'!$D$8:$D$42,ROW('03.Muestra'!$F$8:$F$42)-MIN(ROW('03.Muestra'!$D$8:$D$42))+1,""),ROW()-474)),"")</f>
        <v>https://www.portcastello.com/</v>
      </c>
      <c r="D500" s="130" t="str">
        <f t="shared" si="25"/>
        <v>N/T</v>
      </c>
      <c r="E500" s="107" t="str">
        <f t="shared" si="24"/>
        <v/>
      </c>
      <c r="F500" s="19"/>
      <c r="G500" s="19"/>
      <c r="H500" s="19"/>
      <c r="I500" s="19"/>
      <c r="J500" s="19"/>
      <c r="K500" s="228"/>
      <c r="L500" s="19"/>
      <c r="M500" s="19"/>
      <c r="N500" s="19"/>
      <c r="O500" s="19"/>
      <c r="P500" s="19"/>
      <c r="Q500" s="19"/>
      <c r="R500" s="19"/>
      <c r="S500" s="19"/>
      <c r="T500" s="19"/>
      <c r="U500" s="19"/>
      <c r="V500" s="19"/>
      <c r="W500" s="19"/>
      <c r="X500" s="19"/>
      <c r="Y500" s="19"/>
    </row>
    <row r="501" spans="1:25" ht="12" customHeight="1">
      <c r="A501" s="219" t="n" cm="1">
        <f t="array" ref="A501">IFERROR(INDEX('03.Muestra'!$B$8:$B$42,SMALL(IF("Página Web"='03.Muestra'!$D$8:$D$42,ROW('03.Muestra'!$B$8:$B$42)-MIN(ROW('03.Muestra'!$D$8:$D$42))+1,""),ROW()-474)),"")</f>
        <v>1.0</v>
      </c>
      <c r="B501" s="114" t="str" cm="1">
        <f t="array" ref="B501">IFERROR(INDEX('03.Muestra'!$C$8:$C$42,SMALL(IF("Página Web"='03.Muestra'!$D$8:$D$42,ROW('03.Muestra'!$C$8:$C$42)-MIN(ROW('03.Muestra'!$D$8:$D$42))+1,""),ROW()-474)),"")</f>
        <v>Home - PortCastelló</v>
      </c>
      <c r="C501" s="114" t="str" cm="1">
        <f t="array" ref="C501">IFERROR(INDEX('03.Muestra'!$F$8:$F$42,SMALL(IF("Página Web"='03.Muestra'!$D$8:$D$42,ROW('03.Muestra'!$F$8:$F$42)-MIN(ROW('03.Muestra'!$D$8:$D$42))+1,""),ROW()-474)),"")</f>
        <v>https://www.portcastello.com/</v>
      </c>
      <c r="D501" s="130" t="str">
        <f t="shared" si="25"/>
        <v>N/T</v>
      </c>
      <c r="E501" s="107" t="str">
        <f t="shared" si="24"/>
        <v/>
      </c>
      <c r="F501" s="19"/>
      <c r="G501" s="19"/>
      <c r="H501" s="19"/>
      <c r="I501" s="19"/>
      <c r="J501" s="19"/>
      <c r="K501" s="228"/>
      <c r="L501" s="19"/>
      <c r="M501" s="19"/>
      <c r="N501" s="19"/>
      <c r="O501" s="19"/>
      <c r="P501" s="19"/>
      <c r="Q501" s="19"/>
      <c r="R501" s="19"/>
      <c r="S501" s="19"/>
      <c r="T501" s="19"/>
      <c r="U501" s="19"/>
      <c r="V501" s="19"/>
      <c r="W501" s="19"/>
      <c r="X501" s="19"/>
      <c r="Y501" s="19"/>
    </row>
    <row r="502" spans="1:25" ht="12" customHeight="1">
      <c r="A502" s="219" t="n" cm="1">
        <f t="array" ref="A502">IFERROR(INDEX('03.Muestra'!$B$8:$B$42,SMALL(IF("Página Web"='03.Muestra'!$D$8:$D$42,ROW('03.Muestra'!$B$8:$B$42)-MIN(ROW('03.Muestra'!$D$8:$D$42))+1,""),ROW()-474)),"")</f>
        <v>1.0</v>
      </c>
      <c r="B502" s="114" t="str" cm="1">
        <f t="array" ref="B502">IFERROR(INDEX('03.Muestra'!$C$8:$C$42,SMALL(IF("Página Web"='03.Muestra'!$D$8:$D$42,ROW('03.Muestra'!$C$8:$C$42)-MIN(ROW('03.Muestra'!$D$8:$D$42))+1,""),ROW()-474)),"")</f>
        <v>Home - PortCastelló</v>
      </c>
      <c r="C502" s="114" t="str" cm="1">
        <f t="array" ref="C502">IFERROR(INDEX('03.Muestra'!$F$8:$F$42,SMALL(IF("Página Web"='03.Muestra'!$D$8:$D$42,ROW('03.Muestra'!$F$8:$F$42)-MIN(ROW('03.Muestra'!$D$8:$D$42))+1,""),ROW()-474)),"")</f>
        <v>https://www.portcastello.com/</v>
      </c>
      <c r="D502" s="130" t="str">
        <f t="shared" si="25"/>
        <v>N/T</v>
      </c>
      <c r="E502" s="107" t="str">
        <f t="shared" si="24"/>
        <v/>
      </c>
      <c r="G502" s="19"/>
      <c r="H502" s="19"/>
      <c r="I502" s="19"/>
      <c r="J502" s="19"/>
      <c r="K502" s="228"/>
      <c r="L502" s="19"/>
      <c r="M502" s="19"/>
      <c r="N502" s="19"/>
      <c r="O502" s="19"/>
      <c r="P502" s="19"/>
      <c r="Q502" s="19"/>
      <c r="R502" s="19"/>
      <c r="S502" s="19"/>
      <c r="T502" s="19"/>
      <c r="U502" s="19"/>
      <c r="V502" s="19"/>
      <c r="W502" s="19"/>
      <c r="X502" s="19"/>
      <c r="Y502" s="19"/>
    </row>
    <row r="503" spans="1:25" ht="12" customHeight="1">
      <c r="A503" s="219" t="n" cm="1">
        <f t="array" ref="A503">IFERROR(INDEX('03.Muestra'!$B$8:$B$42,SMALL(IF("Página Web"='03.Muestra'!$D$8:$D$42,ROW('03.Muestra'!$B$8:$B$42)-MIN(ROW('03.Muestra'!$D$8:$D$42))+1,""),ROW()-474)),"")</f>
        <v>1.0</v>
      </c>
      <c r="B503" s="114" t="str" cm="1">
        <f t="array" ref="B503">IFERROR(INDEX('03.Muestra'!$C$8:$C$42,SMALL(IF("Página Web"='03.Muestra'!$D$8:$D$42,ROW('03.Muestra'!$C$8:$C$42)-MIN(ROW('03.Muestra'!$D$8:$D$42))+1,""),ROW()-474)),"")</f>
        <v>Home - PortCastelló</v>
      </c>
      <c r="C503" s="114" t="str" cm="1">
        <f t="array" ref="C503">IFERROR(INDEX('03.Muestra'!$F$8:$F$42,SMALL(IF("Página Web"='03.Muestra'!$D$8:$D$42,ROW('03.Muestra'!$F$8:$F$42)-MIN(ROW('03.Muestra'!$D$8:$D$42))+1,""),ROW()-474)),"")</f>
        <v>https://www.portcastello.com/</v>
      </c>
      <c r="D503" s="130" t="str">
        <f t="shared" si="25"/>
        <v>N/T</v>
      </c>
      <c r="E503" s="107" t="str">
        <f t="shared" si="24"/>
        <v/>
      </c>
      <c r="F503" s="124"/>
      <c r="G503" s="19"/>
      <c r="H503" s="19"/>
      <c r="I503" s="19"/>
      <c r="J503" s="19"/>
      <c r="K503" s="228"/>
      <c r="L503" s="19"/>
      <c r="M503" s="19"/>
      <c r="N503" s="19"/>
      <c r="O503" s="19"/>
      <c r="P503" s="19"/>
      <c r="Q503" s="19"/>
      <c r="R503" s="19"/>
      <c r="S503" s="19"/>
      <c r="T503" s="19"/>
      <c r="U503" s="19"/>
      <c r="V503" s="19"/>
      <c r="W503" s="19"/>
      <c r="X503" s="19"/>
      <c r="Y503" s="19"/>
    </row>
    <row r="504" spans="1:25" ht="12" customHeight="1">
      <c r="A504" s="219" t="n" cm="1">
        <f t="array" ref="A504">IFERROR(INDEX('03.Muestra'!$B$8:$B$42,SMALL(IF("Página Web"='03.Muestra'!$D$8:$D$42,ROW('03.Muestra'!$B$8:$B$42)-MIN(ROW('03.Muestra'!$D$8:$D$42))+1,""),ROW()-474)),"")</f>
        <v>1.0</v>
      </c>
      <c r="B504" s="114" t="str" cm="1">
        <f t="array" ref="B504">IFERROR(INDEX('03.Muestra'!$C$8:$C$42,SMALL(IF("Página Web"='03.Muestra'!$D$8:$D$42,ROW('03.Muestra'!$C$8:$C$42)-MIN(ROW('03.Muestra'!$D$8:$D$42))+1,""),ROW()-474)),"")</f>
        <v>Home - PortCastelló</v>
      </c>
      <c r="C504" s="114" t="str" cm="1">
        <f t="array" ref="C504">IFERROR(INDEX('03.Muestra'!$F$8:$F$42,SMALL(IF("Página Web"='03.Muestra'!$D$8:$D$42,ROW('03.Muestra'!$F$8:$F$42)-MIN(ROW('03.Muestra'!$D$8:$D$42))+1,""),ROW()-474)),"")</f>
        <v>https://www.portcastello.com/</v>
      </c>
      <c r="D504" s="130" t="str">
        <f t="shared" si="25"/>
        <v>N/T</v>
      </c>
      <c r="E504" s="107" t="str">
        <f t="shared" si="24"/>
        <v/>
      </c>
      <c r="F504" s="124"/>
      <c r="G504" s="19"/>
      <c r="H504" s="19"/>
      <c r="I504" s="19"/>
      <c r="J504" s="19"/>
      <c r="K504" s="228"/>
      <c r="L504" s="19"/>
      <c r="M504" s="19"/>
      <c r="N504" s="19"/>
      <c r="O504" s="19"/>
      <c r="P504" s="19"/>
      <c r="Q504" s="19"/>
      <c r="R504" s="19"/>
      <c r="S504" s="19"/>
      <c r="T504" s="19"/>
      <c r="U504" s="19"/>
      <c r="V504" s="19"/>
      <c r="W504" s="19"/>
      <c r="X504" s="19"/>
      <c r="Y504" s="19"/>
    </row>
    <row r="505" spans="1:25" ht="12" customHeight="1">
      <c r="A505" s="219" t="n" cm="1">
        <f t="array" ref="A505">IFERROR(INDEX('03.Muestra'!$B$8:$B$42,SMALL(IF("Página Web"='03.Muestra'!$D$8:$D$42,ROW('03.Muestra'!$B$8:$B$42)-MIN(ROW('03.Muestra'!$D$8:$D$42))+1,""),ROW()-474)),"")</f>
        <v>1.0</v>
      </c>
      <c r="B505" s="114" t="str" cm="1">
        <f t="array" ref="B505">IFERROR(INDEX('03.Muestra'!$C$8:$C$42,SMALL(IF("Página Web"='03.Muestra'!$D$8:$D$42,ROW('03.Muestra'!$C$8:$C$42)-MIN(ROW('03.Muestra'!$D$8:$D$42))+1,""),ROW()-474)),"")</f>
        <v>Home - PortCastelló</v>
      </c>
      <c r="C505" s="114" t="str" cm="1">
        <f t="array" ref="C505">IFERROR(INDEX('03.Muestra'!$F$8:$F$42,SMALL(IF("Página Web"='03.Muestra'!$D$8:$D$42,ROW('03.Muestra'!$F$8:$F$42)-MIN(ROW('03.Muestra'!$D$8:$D$42))+1,""),ROW()-474)),"")</f>
        <v>https://www.portcastello.com/</v>
      </c>
      <c r="D505" s="130" t="str">
        <f t="shared" si="25"/>
        <v>N/T</v>
      </c>
      <c r="E505" s="107" t="str">
        <f t="shared" si="24"/>
        <v/>
      </c>
      <c r="F505" s="124"/>
      <c r="G505" s="19"/>
      <c r="H505" s="19"/>
      <c r="I505" s="19"/>
      <c r="J505" s="19"/>
      <c r="K505" s="228"/>
      <c r="L505" s="19"/>
      <c r="M505" s="19"/>
      <c r="N505" s="19"/>
      <c r="O505" s="19"/>
      <c r="P505" s="19"/>
      <c r="Q505" s="19"/>
      <c r="R505" s="19"/>
      <c r="S505" s="19"/>
      <c r="T505" s="19"/>
      <c r="U505" s="19"/>
      <c r="V505" s="19"/>
      <c r="W505" s="19"/>
      <c r="X505" s="19"/>
      <c r="Y505" s="19"/>
    </row>
    <row r="506" spans="1:25" ht="12" customHeight="1">
      <c r="A506" s="219" t="n" cm="1">
        <f t="array" ref="A506">IFERROR(INDEX('03.Muestra'!$B$8:$B$42,SMALL(IF("Página Web"='03.Muestra'!$D$8:$D$42,ROW('03.Muestra'!$B$8:$B$42)-MIN(ROW('03.Muestra'!$D$8:$D$42))+1,""),ROW()-474)),"")</f>
        <v>1.0</v>
      </c>
      <c r="B506" s="114" t="str" cm="1">
        <f t="array" ref="B506">IFERROR(INDEX('03.Muestra'!$C$8:$C$42,SMALL(IF("Página Web"='03.Muestra'!$D$8:$D$42,ROW('03.Muestra'!$C$8:$C$42)-MIN(ROW('03.Muestra'!$D$8:$D$42))+1,""),ROW()-474)),"")</f>
        <v>Home - PortCastelló</v>
      </c>
      <c r="C506" s="114" t="str" cm="1">
        <f t="array" ref="C506">IFERROR(INDEX('03.Muestra'!$F$8:$F$42,SMALL(IF("Página Web"='03.Muestra'!$D$8:$D$42,ROW('03.Muestra'!$F$8:$F$42)-MIN(ROW('03.Muestra'!$D$8:$D$42))+1,""),ROW()-474)),"")</f>
        <v>https://www.portcastello.com/</v>
      </c>
      <c r="D506" s="130" t="str">
        <f t="shared" si="25"/>
        <v>N/T</v>
      </c>
      <c r="E506" s="107" t="str">
        <f t="shared" si="24"/>
        <v/>
      </c>
      <c r="F506" s="124"/>
      <c r="G506" s="19"/>
      <c r="H506" s="19"/>
      <c r="I506" s="19"/>
      <c r="J506" s="19"/>
      <c r="K506" s="228"/>
      <c r="L506" s="19"/>
      <c r="M506" s="19"/>
      <c r="N506" s="19"/>
      <c r="O506" s="19"/>
      <c r="P506" s="19"/>
      <c r="Q506" s="19"/>
      <c r="R506" s="19"/>
      <c r="S506" s="19"/>
      <c r="T506" s="19"/>
      <c r="U506" s="19"/>
      <c r="V506" s="19"/>
      <c r="W506" s="19"/>
      <c r="X506" s="19"/>
      <c r="Y506" s="19"/>
    </row>
    <row r="507" spans="1:25" ht="12" customHeight="1">
      <c r="A507" s="219" t="n" cm="1">
        <f t="array" ref="A507">IFERROR(INDEX('03.Muestra'!$B$8:$B$42,SMALL(IF("Página Web"='03.Muestra'!$D$8:$D$42,ROW('03.Muestra'!$B$8:$B$42)-MIN(ROW('03.Muestra'!$D$8:$D$42))+1,""),ROW()-474)),"")</f>
        <v>1.0</v>
      </c>
      <c r="B507" s="114" t="str" cm="1">
        <f t="array" ref="B507">IFERROR(INDEX('03.Muestra'!$C$8:$C$42,SMALL(IF("Página Web"='03.Muestra'!$D$8:$D$42,ROW('03.Muestra'!$C$8:$C$42)-MIN(ROW('03.Muestra'!$D$8:$D$42))+1,""),ROW()-474)),"")</f>
        <v>Home - PortCastelló</v>
      </c>
      <c r="C507" s="114" t="str" cm="1">
        <f t="array" ref="C507">IFERROR(INDEX('03.Muestra'!$F$8:$F$42,SMALL(IF("Página Web"='03.Muestra'!$D$8:$D$42,ROW('03.Muestra'!$F$8:$F$42)-MIN(ROW('03.Muestra'!$D$8:$D$42))+1,""),ROW()-474)),"")</f>
        <v>https://www.portcastello.com/</v>
      </c>
      <c r="D507" s="130" t="str">
        <f t="shared" si="25"/>
        <v>N/T</v>
      </c>
      <c r="E507" s="107" t="str">
        <f t="shared" si="24"/>
        <v/>
      </c>
      <c r="F507" s="124"/>
      <c r="G507" s="19"/>
      <c r="H507" s="19"/>
      <c r="I507" s="19"/>
      <c r="J507" s="19"/>
      <c r="K507" s="228"/>
      <c r="L507" s="19"/>
      <c r="M507" s="19"/>
      <c r="N507" s="19"/>
      <c r="O507" s="19"/>
      <c r="P507" s="19"/>
      <c r="Q507" s="19"/>
      <c r="R507" s="19"/>
      <c r="S507" s="19"/>
      <c r="T507" s="19"/>
      <c r="U507" s="19"/>
      <c r="V507" s="19"/>
      <c r="W507" s="19"/>
      <c r="X507" s="19"/>
      <c r="Y507" s="19"/>
    </row>
    <row r="508" spans="1:25" ht="12" customHeight="1">
      <c r="A508" s="219" t="str" cm="1">
        <f t="array" ref="A508">IFERROR(INDEX('03.Muestra'!$B$8:$B$42,SMALL(IF("Página Web"='03.Muestra'!$D$8:$D$42,ROW('03.Muestra'!$B$8:$B$42)-MIN(ROW('03.Muestra'!$D$8:$D$42))+1,""),ROW()-474)),"")</f>
        <v/>
      </c>
      <c r="B508" s="114" t="str" cm="1">
        <f t="array" ref="B508">IFERROR(INDEX('03.Muestra'!$C$8:$C$42,SMALL(IF("Página Web"='03.Muestra'!$D$8:$D$42,ROW('03.Muestra'!$C$8:$C$42)-MIN(ROW('03.Muestra'!$D$8:$D$42))+1,""),ROW()-474)),"")</f>
        <v/>
      </c>
      <c r="C508" s="114" t="str" cm="1">
        <f t="array" ref="C508">IFERROR(INDEX('03.Muestra'!$F$8:$F$42,SMALL(IF("Página Web"='03.Muestra'!$D$8:$D$42,ROW('03.Muestra'!$F$8:$F$42)-MIN(ROW('03.Muestra'!$D$8:$D$42))+1,""),ROW()-474)),"")</f>
        <v/>
      </c>
      <c r="D508" s="130" t="str">
        <f t="shared" si="25"/>
        <v/>
      </c>
      <c r="E508" s="107" t="str">
        <f t="shared" si="24"/>
        <v/>
      </c>
      <c r="F508" s="124"/>
      <c r="G508" s="19"/>
      <c r="H508" s="19"/>
      <c r="I508" s="19"/>
      <c r="J508" s="19"/>
      <c r="K508" s="228"/>
      <c r="L508" s="19"/>
      <c r="M508" s="19"/>
      <c r="N508" s="19"/>
      <c r="O508" s="19"/>
      <c r="P508" s="19"/>
      <c r="Q508" s="19"/>
      <c r="R508" s="19"/>
      <c r="S508" s="19"/>
      <c r="T508" s="19"/>
      <c r="U508" s="19"/>
      <c r="V508" s="19"/>
      <c r="W508" s="19"/>
      <c r="X508" s="19"/>
      <c r="Y508" s="19"/>
    </row>
    <row r="509" spans="1:25" ht="12" customHeight="1">
      <c r="A509" s="219" t="str" cm="1">
        <f t="array" ref="A509">IFERROR(INDEX('03.Muestra'!$B$8:$B$42,SMALL(IF("Página Web"='03.Muestra'!$D$8:$D$42,ROW('03.Muestra'!$B$8:$B$42)-MIN(ROW('03.Muestra'!$D$8:$D$42))+1,""),ROW()-474)),"")</f>
        <v/>
      </c>
      <c r="B509" s="114" t="str" cm="1">
        <f t="array" ref="B509">IFERROR(INDEX('03.Muestra'!$C$8:$C$42,SMALL(IF("Página Web"='03.Muestra'!$D$8:$D$42,ROW('03.Muestra'!$C$8:$C$42)-MIN(ROW('03.Muestra'!$D$8:$D$42))+1,""),ROW()-474)),"")</f>
        <v/>
      </c>
      <c r="C509" s="114" t="str" cm="1">
        <f t="array" ref="C509">IFERROR(INDEX('03.Muestra'!$F$8:$F$42,SMALL(IF("Página Web"='03.Muestra'!$D$8:$D$42,ROW('03.Muestra'!$F$8:$F$42)-MIN(ROW('03.Muestra'!$D$8:$D$42))+1,""),ROW()-474)),"")</f>
        <v/>
      </c>
      <c r="D509" s="130" t="str">
        <f t="shared" si="25"/>
        <v/>
      </c>
      <c r="E509" s="107" t="str">
        <f t="shared" si="24"/>
        <v/>
      </c>
      <c r="F509" s="19"/>
      <c r="G509" s="19"/>
      <c r="H509" s="19"/>
      <c r="I509" s="19"/>
      <c r="J509" s="19"/>
      <c r="K509" s="228"/>
      <c r="L509" s="19"/>
      <c r="M509" s="19"/>
      <c r="N509" s="19"/>
      <c r="O509" s="19"/>
      <c r="P509" s="19"/>
      <c r="Q509" s="19"/>
      <c r="R509" s="19"/>
      <c r="S509" s="19"/>
      <c r="T509" s="19"/>
      <c r="U509" s="19"/>
      <c r="V509" s="19"/>
      <c r="W509" s="19"/>
      <c r="X509" s="19"/>
      <c r="Y509" s="19"/>
    </row>
    <row r="510" spans="1:25" ht="12" customHeight="1">
      <c r="B510" s="19"/>
      <c r="C510" s="19"/>
      <c r="D510" s="107"/>
      <c r="E510" s="107"/>
      <c r="F510" s="19"/>
      <c r="G510" s="19"/>
      <c r="H510" s="19"/>
      <c r="I510" s="19"/>
      <c r="J510" s="19"/>
      <c r="K510" s="228"/>
      <c r="L510" s="19"/>
      <c r="M510" s="19"/>
      <c r="N510" s="19"/>
      <c r="O510" s="19"/>
      <c r="P510" s="19"/>
      <c r="Q510" s="19"/>
      <c r="R510" s="19"/>
      <c r="S510" s="19"/>
      <c r="T510" s="19"/>
      <c r="U510" s="19"/>
      <c r="V510" s="19"/>
      <c r="W510" s="19"/>
      <c r="X510" s="19"/>
      <c r="Y510" s="19"/>
    </row>
    <row r="511" spans="1:25" ht="12" customHeight="1">
      <c r="B511" s="19"/>
      <c r="C511" s="19"/>
      <c r="D511" s="107"/>
      <c r="E511" s="112"/>
      <c r="F511" s="19"/>
      <c r="G511" s="19"/>
      <c r="H511" s="19"/>
      <c r="I511" s="19"/>
      <c r="J511" s="19"/>
      <c r="K511" s="228"/>
      <c r="L511" s="19"/>
      <c r="M511" s="19"/>
      <c r="N511" s="19"/>
      <c r="O511" s="19"/>
      <c r="P511" s="19"/>
      <c r="Q511" s="19"/>
      <c r="R511" s="19"/>
      <c r="S511" s="19"/>
      <c r="T511" s="19"/>
      <c r="U511" s="19"/>
      <c r="V511" s="19"/>
      <c r="W511" s="19"/>
      <c r="X511" s="19"/>
      <c r="Y511" s="19"/>
    </row>
    <row r="512" spans="1:25" ht="32.25" customHeight="1">
      <c r="A512" s="218" t="s">
        <v>268</v>
      </c>
      <c r="B512" s="24" t="s">
        <v>90</v>
      </c>
      <c r="C512" s="25" t="s">
        <v>315</v>
      </c>
      <c r="D512" s="26" t="s">
        <v>32</v>
      </c>
      <c r="E512" s="123"/>
      <c r="K512" s="228"/>
      <c r="L512" s="19"/>
      <c r="M512" s="19"/>
      <c r="N512" s="19"/>
      <c r="O512" s="19"/>
      <c r="P512" s="19"/>
      <c r="Q512" s="19"/>
      <c r="R512" s="19"/>
      <c r="S512" s="19"/>
      <c r="T512" s="19"/>
      <c r="U512" s="19"/>
      <c r="V512" s="19"/>
      <c r="W512" s="19"/>
      <c r="X512" s="19"/>
      <c r="Y512" s="19"/>
    </row>
    <row r="513" spans="1:25" ht="12" customHeight="1">
      <c r="A513" s="219" t="n" cm="1">
        <f t="array" ref="A513">IFERROR(INDEX('03.Muestra'!$B$8:$B$42,SMALL(IF("Página Web"='03.Muestra'!$D$8:$D$42,ROW('03.Muestra'!$B$8:$B$42)-MIN(ROW('03.Muestra'!$D$8:$D$42))+1,""),ROW()-512)),"")</f>
        <v>1.0</v>
      </c>
      <c r="B513" s="114" t="str" cm="1">
        <f t="array" ref="B513">IFERROR(INDEX('03.Muestra'!$C$8:$C$42,SMALL(IF("Página Web"='03.Muestra'!$D$8:$D$42,ROW('03.Muestra'!$C$8:$C$42)-MIN(ROW('03.Muestra'!$D$8:$D$42))+1,""),ROW()-512)),"")</f>
        <v>Home - PortCastelló</v>
      </c>
      <c r="C513" s="114" t="str" cm="1">
        <f t="array" ref="C513">IFERROR(INDEX('03.Muestra'!$F$8:$F$42,SMALL(IF("Página Web"='03.Muestra'!$D$8:$D$42,ROW('03.Muestra'!$F$8:$F$42)-MIN(ROW('03.Muestra'!$D$8:$D$42))+1,""),ROW()-512)),"")</f>
        <v>https://www.portcastello.com/</v>
      </c>
      <c r="D513" s="130" t="str">
        <f>IF(AND(B513&lt;&gt;"",C513&lt;&gt;""),"N/T","")</f>
        <v>N/T</v>
      </c>
      <c r="E513" s="107" t="str">
        <f t="shared" ref="E513:E547" si="26">IF(D513&lt;&gt;"",IF(AND(B513&lt;&gt;"",C513&lt;&gt;""),"","ERR"),"")</f>
        <v/>
      </c>
      <c r="F513" s="115" t="s">
        <v>33</v>
      </c>
      <c r="G513" s="116" t="s">
        <v>37</v>
      </c>
      <c r="H513" s="117" t="s">
        <v>35</v>
      </c>
      <c r="I513" s="118" t="s">
        <v>28</v>
      </c>
      <c r="J513" s="119" t="s">
        <v>26</v>
      </c>
      <c r="K513" s="229" t="s">
        <v>474</v>
      </c>
      <c r="L513" s="19"/>
      <c r="M513" s="19"/>
      <c r="N513" s="19"/>
      <c r="O513" s="19"/>
      <c r="P513" s="19"/>
      <c r="Q513" s="19"/>
      <c r="R513" s="19"/>
      <c r="S513" s="19"/>
      <c r="T513" s="19"/>
      <c r="U513" s="19"/>
      <c r="V513" s="19"/>
      <c r="W513" s="19"/>
      <c r="X513" s="19"/>
      <c r="Y513" s="19"/>
    </row>
    <row r="514" spans="1:25" ht="12" customHeight="1">
      <c r="A514" s="219" t="n" cm="1">
        <f t="array" ref="A514">IFERROR(INDEX('03.Muestra'!$B$8:$B$42,SMALL(IF("Página Web"='03.Muestra'!$D$8:$D$42,ROW('03.Muestra'!$B$8:$B$42)-MIN(ROW('03.Muestra'!$D$8:$D$42))+1,""),ROW()-512)),"")</f>
        <v>1.0</v>
      </c>
      <c r="B514" s="114" t="str" cm="1">
        <f t="array" ref="B514">IFERROR(INDEX('03.Muestra'!$C$8:$C$42,SMALL(IF("Página Web"='03.Muestra'!$D$8:$D$42,ROW('03.Muestra'!$C$8:$C$42)-MIN(ROW('03.Muestra'!$D$8:$D$42))+1,""),ROW()-512)),"")</f>
        <v>Home - PortCastelló</v>
      </c>
      <c r="C514" s="114" t="str" cm="1">
        <f t="array" ref="C514">IFERROR(INDEX('03.Muestra'!$F$8:$F$42,SMALL(IF("Página Web"='03.Muestra'!$D$8:$D$42,ROW('03.Muestra'!$F$8:$F$42)-MIN(ROW('03.Muestra'!$D$8:$D$42))+1,""),ROW()-512)),"")</f>
        <v>https://www.portcastello.com/</v>
      </c>
      <c r="D514" s="130" t="str">
        <f t="shared" ref="D514:D547" si="27">IF(AND(B514&lt;&gt;"",C514&lt;&gt;""),"N/T","")</f>
        <v>N/T</v>
      </c>
      <c r="E514" s="107" t="str">
        <f t="shared" si="26"/>
        <v/>
      </c>
      <c r="F514" s="120" t="n">
        <f ca="1">COUNTIF($D513:INDIRECT("$D" &amp;  SUM(ROW()-1,'03.Muestra'!$D$45)-1),F513)</f>
        <v>33.0</v>
      </c>
      <c r="G514" s="120" t="n">
        <f ca="1">COUNTIF($D513:INDIRECT("$D" &amp;  SUM(ROW()-1,'03.Muestra'!$D$45)-1),G513)</f>
        <v>0.0</v>
      </c>
      <c r="H514" s="120" t="n">
        <f ca="1">COUNTIF($D513:INDIRECT("$D" &amp;  SUM(ROW()-1,'03.Muestra'!$D$45)-1),H513)</f>
        <v>0.0</v>
      </c>
      <c r="I514" s="120" t="n">
        <f ca="1">COUNTIF($D513:INDIRECT("$D" &amp;  SUM(ROW()-1,'03.Muestra'!$D$45)-1),I513)</f>
        <v>0.0</v>
      </c>
      <c r="J514" s="120" t="n">
        <f ca="1">COUNTIF($D513:INDIRECT("$D" &amp;  SUM(ROW()-1,'03.Muestra'!$D$45)-1),J513)</f>
        <v>0.0</v>
      </c>
      <c r="K514" s="230" t="n">
        <f ca="1">IF(COUNTIF('03.Muestra'!$D$8:$D$42,"Página Web")=0,0,COUNTBLANK($D513:INDIRECT("$D" &amp;  SUM(ROW()-1,COUNTIF('03.Muestra'!$D$8:$D$42,"Página Web"))-1)))</f>
        <v>0.0</v>
      </c>
      <c r="L514" s="19"/>
      <c r="M514" s="19"/>
      <c r="N514" s="19"/>
      <c r="O514" s="19"/>
      <c r="P514" s="19"/>
      <c r="Q514" s="19"/>
      <c r="R514" s="19"/>
      <c r="S514" s="19"/>
      <c r="T514" s="19"/>
      <c r="U514" s="19"/>
      <c r="V514" s="19"/>
      <c r="W514" s="19"/>
      <c r="X514" s="19"/>
      <c r="Y514" s="19"/>
    </row>
    <row r="515" spans="1:25" ht="12" customHeight="1">
      <c r="A515" s="219" t="n" cm="1">
        <f t="array" ref="A515">IFERROR(INDEX('03.Muestra'!$B$8:$B$42,SMALL(IF("Página Web"='03.Muestra'!$D$8:$D$42,ROW('03.Muestra'!$B$8:$B$42)-MIN(ROW('03.Muestra'!$D$8:$D$42))+1,""),ROW()-512)),"")</f>
        <v>1.0</v>
      </c>
      <c r="B515" s="114" t="str" cm="1">
        <f t="array" ref="B515">IFERROR(INDEX('03.Muestra'!$C$8:$C$42,SMALL(IF("Página Web"='03.Muestra'!$D$8:$D$42,ROW('03.Muestra'!$C$8:$C$42)-MIN(ROW('03.Muestra'!$D$8:$D$42))+1,""),ROW()-512)),"")</f>
        <v>Home - PortCastelló</v>
      </c>
      <c r="C515" s="114" t="str" cm="1">
        <f t="array" ref="C515">IFERROR(INDEX('03.Muestra'!$F$8:$F$42,SMALL(IF("Página Web"='03.Muestra'!$D$8:$D$42,ROW('03.Muestra'!$F$8:$F$42)-MIN(ROW('03.Muestra'!$D$8:$D$42))+1,""),ROW()-512)),"")</f>
        <v>https://www.portcastello.com/</v>
      </c>
      <c r="D515" s="130" t="str">
        <f t="shared" si="27"/>
        <v>N/T</v>
      </c>
      <c r="E515" s="107" t="str">
        <f t="shared" si="26"/>
        <v/>
      </c>
      <c r="K515" s="228"/>
      <c r="L515" s="19"/>
      <c r="M515" s="19"/>
      <c r="N515" s="19"/>
      <c r="O515" s="19"/>
      <c r="P515" s="19"/>
      <c r="Q515" s="19"/>
      <c r="R515" s="19"/>
      <c r="S515" s="19"/>
      <c r="T515" s="19"/>
      <c r="U515" s="19"/>
      <c r="V515" s="19"/>
      <c r="W515" s="19"/>
      <c r="X515" s="19"/>
      <c r="Y515" s="19"/>
    </row>
    <row r="516" spans="1:25" ht="12" customHeight="1">
      <c r="A516" s="219" t="n" cm="1">
        <f t="array" ref="A516">IFERROR(INDEX('03.Muestra'!$B$8:$B$42,SMALL(IF("Página Web"='03.Muestra'!$D$8:$D$42,ROW('03.Muestra'!$B$8:$B$42)-MIN(ROW('03.Muestra'!$D$8:$D$42))+1,""),ROW()-512)),"")</f>
        <v>1.0</v>
      </c>
      <c r="B516" s="114" t="str" cm="1">
        <f t="array" ref="B516">IFERROR(INDEX('03.Muestra'!$C$8:$C$42,SMALL(IF("Página Web"='03.Muestra'!$D$8:$D$42,ROW('03.Muestra'!$C$8:$C$42)-MIN(ROW('03.Muestra'!$D$8:$D$42))+1,""),ROW()-512)),"")</f>
        <v>Home - PortCastelló</v>
      </c>
      <c r="C516" s="114" t="str" cm="1">
        <f t="array" ref="C516">IFERROR(INDEX('03.Muestra'!$F$8:$F$42,SMALL(IF("Página Web"='03.Muestra'!$D$8:$D$42,ROW('03.Muestra'!$F$8:$F$42)-MIN(ROW('03.Muestra'!$D$8:$D$42))+1,""),ROW()-512)),"")</f>
        <v>https://www.portcastello.com/</v>
      </c>
      <c r="D516" s="130" t="str">
        <f t="shared" si="27"/>
        <v>N/T</v>
      </c>
      <c r="E516" s="107" t="str">
        <f t="shared" si="26"/>
        <v/>
      </c>
      <c r="G516" s="19"/>
      <c r="H516" s="19"/>
      <c r="I516" s="19"/>
      <c r="J516" s="19"/>
      <c r="K516" s="228"/>
      <c r="L516" s="19"/>
      <c r="M516" s="19"/>
      <c r="N516" s="19"/>
      <c r="O516" s="19"/>
      <c r="P516" s="19"/>
      <c r="Q516" s="19"/>
      <c r="R516" s="19"/>
      <c r="S516" s="19"/>
      <c r="T516" s="19"/>
      <c r="U516" s="19"/>
      <c r="V516" s="19"/>
      <c r="W516" s="19"/>
      <c r="X516" s="19"/>
      <c r="Y516" s="19"/>
    </row>
    <row r="517" spans="1:25" ht="12" customHeight="1">
      <c r="A517" s="219" t="n" cm="1">
        <f t="array" ref="A517">IFERROR(INDEX('03.Muestra'!$B$8:$B$42,SMALL(IF("Página Web"='03.Muestra'!$D$8:$D$42,ROW('03.Muestra'!$B$8:$B$42)-MIN(ROW('03.Muestra'!$D$8:$D$42))+1,""),ROW()-512)),"")</f>
        <v>1.0</v>
      </c>
      <c r="B517" s="114" t="str" cm="1">
        <f t="array" ref="B517">IFERROR(INDEX('03.Muestra'!$C$8:$C$42,SMALL(IF("Página Web"='03.Muestra'!$D$8:$D$42,ROW('03.Muestra'!$C$8:$C$42)-MIN(ROW('03.Muestra'!$D$8:$D$42))+1,""),ROW()-512)),"")</f>
        <v>Home - PortCastelló</v>
      </c>
      <c r="C517" s="114" t="str" cm="1">
        <f t="array" ref="C517">IFERROR(INDEX('03.Muestra'!$F$8:$F$42,SMALL(IF("Página Web"='03.Muestra'!$D$8:$D$42,ROW('03.Muestra'!$F$8:$F$42)-MIN(ROW('03.Muestra'!$D$8:$D$42))+1,""),ROW()-512)),"")</f>
        <v>https://www.portcastello.com/</v>
      </c>
      <c r="D517" s="130" t="str">
        <f t="shared" si="27"/>
        <v>N/T</v>
      </c>
      <c r="E517" s="107" t="str">
        <f t="shared" si="26"/>
        <v/>
      </c>
      <c r="G517" s="19"/>
      <c r="H517" s="19"/>
      <c r="I517" s="19"/>
      <c r="J517" s="19"/>
      <c r="K517" s="228"/>
      <c r="L517" s="19"/>
      <c r="M517" s="19"/>
      <c r="N517" s="19"/>
      <c r="O517" s="19"/>
      <c r="P517" s="19"/>
      <c r="Q517" s="19"/>
      <c r="R517" s="19"/>
      <c r="S517" s="19"/>
      <c r="T517" s="19"/>
      <c r="U517" s="19"/>
      <c r="V517" s="19"/>
      <c r="W517" s="19"/>
      <c r="X517" s="19"/>
      <c r="Y517" s="19"/>
    </row>
    <row r="518" spans="1:25" ht="12" customHeight="1">
      <c r="A518" s="219" t="n" cm="1">
        <f t="array" ref="A518">IFERROR(INDEX('03.Muestra'!$B$8:$B$42,SMALL(IF("Página Web"='03.Muestra'!$D$8:$D$42,ROW('03.Muestra'!$B$8:$B$42)-MIN(ROW('03.Muestra'!$D$8:$D$42))+1,""),ROW()-512)),"")</f>
        <v>1.0</v>
      </c>
      <c r="B518" s="114" t="str" cm="1">
        <f t="array" ref="B518">IFERROR(INDEX('03.Muestra'!$C$8:$C$42,SMALL(IF("Página Web"='03.Muestra'!$D$8:$D$42,ROW('03.Muestra'!$C$8:$C$42)-MIN(ROW('03.Muestra'!$D$8:$D$42))+1,""),ROW()-512)),"")</f>
        <v>Home - PortCastelló</v>
      </c>
      <c r="C518" s="114" t="str" cm="1">
        <f t="array" ref="C518">IFERROR(INDEX('03.Muestra'!$F$8:$F$42,SMALL(IF("Página Web"='03.Muestra'!$D$8:$D$42,ROW('03.Muestra'!$F$8:$F$42)-MIN(ROW('03.Muestra'!$D$8:$D$42))+1,""),ROW()-512)),"")</f>
        <v>https://www.portcastello.com/</v>
      </c>
      <c r="D518" s="130" t="str">
        <f t="shared" si="27"/>
        <v>N/T</v>
      </c>
      <c r="E518" s="107" t="str">
        <f t="shared" si="26"/>
        <v/>
      </c>
      <c r="G518" s="19"/>
      <c r="H518" s="19"/>
      <c r="I518" s="19"/>
      <c r="J518" s="19"/>
      <c r="K518" s="228"/>
      <c r="L518" s="19"/>
      <c r="M518" s="19"/>
      <c r="N518" s="19"/>
      <c r="O518" s="19"/>
      <c r="P518" s="19"/>
      <c r="Q518" s="19"/>
      <c r="R518" s="19"/>
      <c r="S518" s="19"/>
      <c r="T518" s="19"/>
      <c r="U518" s="19"/>
      <c r="V518" s="19"/>
      <c r="W518" s="19"/>
      <c r="X518" s="19"/>
      <c r="Y518" s="19"/>
    </row>
    <row r="519" spans="1:25" ht="12" customHeight="1">
      <c r="A519" s="219" t="n" cm="1">
        <f t="array" ref="A519">IFERROR(INDEX('03.Muestra'!$B$8:$B$42,SMALL(IF("Página Web"='03.Muestra'!$D$8:$D$42,ROW('03.Muestra'!$B$8:$B$42)-MIN(ROW('03.Muestra'!$D$8:$D$42))+1,""),ROW()-512)),"")</f>
        <v>1.0</v>
      </c>
      <c r="B519" s="114" t="str" cm="1">
        <f t="array" ref="B519">IFERROR(INDEX('03.Muestra'!$C$8:$C$42,SMALL(IF("Página Web"='03.Muestra'!$D$8:$D$42,ROW('03.Muestra'!$C$8:$C$42)-MIN(ROW('03.Muestra'!$D$8:$D$42))+1,""),ROW()-512)),"")</f>
        <v>Home - PortCastelló</v>
      </c>
      <c r="C519" s="114" t="str" cm="1">
        <f t="array" ref="C519">IFERROR(INDEX('03.Muestra'!$F$8:$F$42,SMALL(IF("Página Web"='03.Muestra'!$D$8:$D$42,ROW('03.Muestra'!$F$8:$F$42)-MIN(ROW('03.Muestra'!$D$8:$D$42))+1,""),ROW()-512)),"")</f>
        <v>https://www.portcastello.com/</v>
      </c>
      <c r="D519" s="130" t="str">
        <f t="shared" si="27"/>
        <v>N/T</v>
      </c>
      <c r="E519" s="107" t="str">
        <f t="shared" si="26"/>
        <v/>
      </c>
      <c r="F519" s="19"/>
      <c r="G519" s="19"/>
      <c r="H519" s="19"/>
      <c r="I519" s="19"/>
      <c r="J519" s="19"/>
      <c r="K519" s="228"/>
      <c r="L519" s="19"/>
      <c r="M519" s="19"/>
      <c r="N519" s="19"/>
      <c r="O519" s="19"/>
      <c r="P519" s="19"/>
      <c r="Q519" s="19"/>
      <c r="R519" s="19"/>
      <c r="S519" s="19"/>
      <c r="T519" s="19"/>
      <c r="U519" s="19"/>
      <c r="V519" s="19"/>
      <c r="W519" s="19"/>
      <c r="X519" s="19"/>
      <c r="Y519" s="19"/>
    </row>
    <row r="520" spans="1:25" ht="12" customHeight="1">
      <c r="A520" s="219" t="n" cm="1">
        <f t="array" ref="A520">IFERROR(INDEX('03.Muestra'!$B$8:$B$42,SMALL(IF("Página Web"='03.Muestra'!$D$8:$D$42,ROW('03.Muestra'!$B$8:$B$42)-MIN(ROW('03.Muestra'!$D$8:$D$42))+1,""),ROW()-512)),"")</f>
        <v>1.0</v>
      </c>
      <c r="B520" s="114" t="str" cm="1">
        <f t="array" ref="B520">IFERROR(INDEX('03.Muestra'!$C$8:$C$42,SMALL(IF("Página Web"='03.Muestra'!$D$8:$D$42,ROW('03.Muestra'!$C$8:$C$42)-MIN(ROW('03.Muestra'!$D$8:$D$42))+1,""),ROW()-512)),"")</f>
        <v>Home - PortCastelló</v>
      </c>
      <c r="C520" s="114" t="str" cm="1">
        <f t="array" ref="C520">IFERROR(INDEX('03.Muestra'!$F$8:$F$42,SMALL(IF("Página Web"='03.Muestra'!$D$8:$D$42,ROW('03.Muestra'!$F$8:$F$42)-MIN(ROW('03.Muestra'!$D$8:$D$42))+1,""),ROW()-512)),"")</f>
        <v>https://www.portcastello.com/</v>
      </c>
      <c r="D520" s="130" t="str">
        <f t="shared" si="27"/>
        <v>N/T</v>
      </c>
      <c r="E520" s="107" t="str">
        <f t="shared" si="26"/>
        <v/>
      </c>
      <c r="F520" s="19"/>
      <c r="G520" s="19"/>
      <c r="H520" s="19"/>
      <c r="I520" s="19"/>
      <c r="J520" s="19"/>
      <c r="K520" s="228"/>
      <c r="L520" s="19"/>
      <c r="M520" s="19"/>
      <c r="N520" s="19"/>
      <c r="O520" s="19"/>
      <c r="P520" s="19"/>
      <c r="Q520" s="19"/>
      <c r="R520" s="19"/>
      <c r="S520" s="19"/>
      <c r="T520" s="19"/>
      <c r="U520" s="19"/>
      <c r="V520" s="19"/>
      <c r="W520" s="19"/>
      <c r="X520" s="19"/>
      <c r="Y520" s="19"/>
    </row>
    <row r="521" spans="1:25" ht="12" customHeight="1">
      <c r="A521" s="219" t="n" cm="1">
        <f t="array" ref="A521">IFERROR(INDEX('03.Muestra'!$B$8:$B$42,SMALL(IF("Página Web"='03.Muestra'!$D$8:$D$42,ROW('03.Muestra'!$B$8:$B$42)-MIN(ROW('03.Muestra'!$D$8:$D$42))+1,""),ROW()-512)),"")</f>
        <v>1.0</v>
      </c>
      <c r="B521" s="114" t="str" cm="1">
        <f t="array" ref="B521">IFERROR(INDEX('03.Muestra'!$C$8:$C$42,SMALL(IF("Página Web"='03.Muestra'!$D$8:$D$42,ROW('03.Muestra'!$C$8:$C$42)-MIN(ROW('03.Muestra'!$D$8:$D$42))+1,""),ROW()-512)),"")</f>
        <v>Home - PortCastelló</v>
      </c>
      <c r="C521" s="114" t="str" cm="1">
        <f t="array" ref="C521">IFERROR(INDEX('03.Muestra'!$F$8:$F$42,SMALL(IF("Página Web"='03.Muestra'!$D$8:$D$42,ROW('03.Muestra'!$F$8:$F$42)-MIN(ROW('03.Muestra'!$D$8:$D$42))+1,""),ROW()-512)),"")</f>
        <v>https://www.portcastello.com/</v>
      </c>
      <c r="D521" s="130" t="str">
        <f t="shared" si="27"/>
        <v>N/T</v>
      </c>
      <c r="E521" s="107" t="str">
        <f t="shared" si="26"/>
        <v/>
      </c>
      <c r="F521" s="19"/>
      <c r="G521" s="19"/>
      <c r="H521" s="19"/>
      <c r="I521" s="19"/>
      <c r="J521" s="19"/>
      <c r="K521" s="228"/>
      <c r="L521" s="19"/>
      <c r="M521" s="19"/>
      <c r="N521" s="19"/>
      <c r="O521" s="19"/>
      <c r="P521" s="19"/>
      <c r="Q521" s="19"/>
      <c r="R521" s="19"/>
      <c r="S521" s="19"/>
      <c r="T521" s="19"/>
      <c r="U521" s="19"/>
      <c r="V521" s="19"/>
      <c r="W521" s="19"/>
      <c r="X521" s="19"/>
      <c r="Y521" s="19"/>
    </row>
    <row r="522" spans="1:25" ht="12" customHeight="1">
      <c r="A522" s="219" t="n" cm="1">
        <f t="array" ref="A522">IFERROR(INDEX('03.Muestra'!$B$8:$B$42,SMALL(IF("Página Web"='03.Muestra'!$D$8:$D$42,ROW('03.Muestra'!$B$8:$B$42)-MIN(ROW('03.Muestra'!$D$8:$D$42))+1,""),ROW()-512)),"")</f>
        <v>1.0</v>
      </c>
      <c r="B522" s="114" t="str" cm="1">
        <f t="array" ref="B522">IFERROR(INDEX('03.Muestra'!$C$8:$C$42,SMALL(IF("Página Web"='03.Muestra'!$D$8:$D$42,ROW('03.Muestra'!$C$8:$C$42)-MIN(ROW('03.Muestra'!$D$8:$D$42))+1,""),ROW()-512)),"")</f>
        <v>Home - PortCastelló</v>
      </c>
      <c r="C522" s="114" t="str" cm="1">
        <f t="array" ref="C522">IFERROR(INDEX('03.Muestra'!$F$8:$F$42,SMALL(IF("Página Web"='03.Muestra'!$D$8:$D$42,ROW('03.Muestra'!$F$8:$F$42)-MIN(ROW('03.Muestra'!$D$8:$D$42))+1,""),ROW()-512)),"")</f>
        <v>https://www.portcastello.com/</v>
      </c>
      <c r="D522" s="130" t="str">
        <f t="shared" si="27"/>
        <v>N/T</v>
      </c>
      <c r="E522" s="107" t="str">
        <f t="shared" si="26"/>
        <v/>
      </c>
      <c r="F522" s="19"/>
      <c r="G522" s="19"/>
      <c r="H522" s="19"/>
      <c r="I522" s="19"/>
      <c r="J522" s="19"/>
      <c r="K522" s="228"/>
      <c r="L522" s="19"/>
      <c r="M522" s="19"/>
      <c r="N522" s="19"/>
      <c r="O522" s="19"/>
      <c r="P522" s="19"/>
      <c r="Q522" s="19"/>
      <c r="R522" s="19"/>
      <c r="S522" s="19"/>
      <c r="T522" s="19"/>
      <c r="U522" s="19"/>
      <c r="V522" s="19"/>
      <c r="W522" s="19"/>
      <c r="X522" s="19"/>
      <c r="Y522" s="19"/>
    </row>
    <row r="523" spans="1:25" ht="12" customHeight="1">
      <c r="A523" s="219" t="n" cm="1">
        <f t="array" ref="A523">IFERROR(INDEX('03.Muestra'!$B$8:$B$42,SMALL(IF("Página Web"='03.Muestra'!$D$8:$D$42,ROW('03.Muestra'!$B$8:$B$42)-MIN(ROW('03.Muestra'!$D$8:$D$42))+1,""),ROW()-512)),"")</f>
        <v>1.0</v>
      </c>
      <c r="B523" s="114" t="str" cm="1">
        <f t="array" ref="B523">IFERROR(INDEX('03.Muestra'!$C$8:$C$42,SMALL(IF("Página Web"='03.Muestra'!$D$8:$D$42,ROW('03.Muestra'!$C$8:$C$42)-MIN(ROW('03.Muestra'!$D$8:$D$42))+1,""),ROW()-512)),"")</f>
        <v>Home - PortCastelló</v>
      </c>
      <c r="C523" s="114" t="str" cm="1">
        <f t="array" ref="C523">IFERROR(INDEX('03.Muestra'!$F$8:$F$42,SMALL(IF("Página Web"='03.Muestra'!$D$8:$D$42,ROW('03.Muestra'!$F$8:$F$42)-MIN(ROW('03.Muestra'!$D$8:$D$42))+1,""),ROW()-512)),"")</f>
        <v>https://www.portcastello.com/</v>
      </c>
      <c r="D523" s="130" t="str">
        <f t="shared" si="27"/>
        <v>N/T</v>
      </c>
      <c r="E523" s="107" t="str">
        <f t="shared" si="26"/>
        <v/>
      </c>
      <c r="F523" s="19"/>
      <c r="G523" s="19"/>
      <c r="H523" s="19"/>
      <c r="I523" s="19"/>
      <c r="J523" s="19"/>
      <c r="K523" s="228"/>
      <c r="L523" s="19"/>
      <c r="M523" s="19"/>
      <c r="N523" s="19"/>
      <c r="O523" s="19"/>
      <c r="P523" s="19"/>
      <c r="Q523" s="19"/>
      <c r="R523" s="19"/>
      <c r="S523" s="19"/>
      <c r="T523" s="19"/>
      <c r="U523" s="19"/>
      <c r="V523" s="19"/>
      <c r="W523" s="19"/>
      <c r="X523" s="19"/>
      <c r="Y523" s="19"/>
    </row>
    <row r="524" spans="1:25" ht="12" customHeight="1">
      <c r="A524" s="219" t="n" cm="1">
        <f t="array" ref="A524">IFERROR(INDEX('03.Muestra'!$B$8:$B$42,SMALL(IF("Página Web"='03.Muestra'!$D$8:$D$42,ROW('03.Muestra'!$B$8:$B$42)-MIN(ROW('03.Muestra'!$D$8:$D$42))+1,""),ROW()-512)),"")</f>
        <v>1.0</v>
      </c>
      <c r="B524" s="114" t="str" cm="1">
        <f t="array" ref="B524">IFERROR(INDEX('03.Muestra'!$C$8:$C$42,SMALL(IF("Página Web"='03.Muestra'!$D$8:$D$42,ROW('03.Muestra'!$C$8:$C$42)-MIN(ROW('03.Muestra'!$D$8:$D$42))+1,""),ROW()-512)),"")</f>
        <v>Home - PortCastelló</v>
      </c>
      <c r="C524" s="114" t="str" cm="1">
        <f t="array" ref="C524">IFERROR(INDEX('03.Muestra'!$F$8:$F$42,SMALL(IF("Página Web"='03.Muestra'!$D$8:$D$42,ROW('03.Muestra'!$F$8:$F$42)-MIN(ROW('03.Muestra'!$D$8:$D$42))+1,""),ROW()-512)),"")</f>
        <v>https://www.portcastello.com/</v>
      </c>
      <c r="D524" s="130" t="str">
        <f t="shared" si="27"/>
        <v>N/T</v>
      </c>
      <c r="E524" s="107" t="str">
        <f t="shared" si="26"/>
        <v/>
      </c>
      <c r="F524" s="19"/>
      <c r="G524" s="19"/>
      <c r="H524" s="19"/>
      <c r="I524" s="19"/>
      <c r="J524" s="19"/>
      <c r="K524" s="228"/>
      <c r="L524" s="19"/>
      <c r="M524" s="19"/>
      <c r="N524" s="19"/>
      <c r="O524" s="19"/>
      <c r="P524" s="19"/>
      <c r="Q524" s="19"/>
      <c r="R524" s="19"/>
      <c r="S524" s="19"/>
      <c r="T524" s="19"/>
      <c r="U524" s="19"/>
      <c r="V524" s="19"/>
      <c r="W524" s="19"/>
      <c r="X524" s="19"/>
      <c r="Y524" s="19"/>
    </row>
    <row r="525" spans="1:25" ht="14.1" customHeight="1">
      <c r="A525" s="219" t="n" cm="1">
        <f t="array" ref="A525">IFERROR(INDEX('03.Muestra'!$B$8:$B$42,SMALL(IF("Página Web"='03.Muestra'!$D$8:$D$42,ROW('03.Muestra'!$B$8:$B$42)-MIN(ROW('03.Muestra'!$D$8:$D$42))+1,""),ROW()-512)),"")</f>
        <v>1.0</v>
      </c>
      <c r="B525" s="114" t="str" cm="1">
        <f t="array" ref="B525">IFERROR(INDEX('03.Muestra'!$C$8:$C$42,SMALL(IF("Página Web"='03.Muestra'!$D$8:$D$42,ROW('03.Muestra'!$C$8:$C$42)-MIN(ROW('03.Muestra'!$D$8:$D$42))+1,""),ROW()-512)),"")</f>
        <v>Home - PortCastelló</v>
      </c>
      <c r="C525" s="114" t="str" cm="1">
        <f t="array" ref="C525">IFERROR(INDEX('03.Muestra'!$F$8:$F$42,SMALL(IF("Página Web"='03.Muestra'!$D$8:$D$42,ROW('03.Muestra'!$F$8:$F$42)-MIN(ROW('03.Muestra'!$D$8:$D$42))+1,""),ROW()-512)),"")</f>
        <v>https://www.portcastello.com/</v>
      </c>
      <c r="D525" s="130" t="str">
        <f t="shared" si="27"/>
        <v>N/T</v>
      </c>
      <c r="E525" s="107" t="str">
        <f t="shared" si="26"/>
        <v/>
      </c>
      <c r="F525" s="19"/>
      <c r="G525" s="19"/>
      <c r="H525" s="19"/>
      <c r="I525" s="19"/>
      <c r="J525" s="19"/>
      <c r="K525" s="228"/>
      <c r="L525" s="19"/>
      <c r="M525" s="19"/>
      <c r="N525" s="19"/>
      <c r="O525" s="19"/>
      <c r="P525" s="19"/>
      <c r="Q525" s="19"/>
      <c r="R525" s="19"/>
      <c r="S525" s="19"/>
      <c r="T525" s="19"/>
      <c r="U525" s="19"/>
      <c r="V525" s="19"/>
      <c r="W525" s="19"/>
      <c r="X525" s="19"/>
      <c r="Y525" s="19"/>
    </row>
    <row r="526" spans="1:25" ht="14.1" customHeight="1">
      <c r="A526" s="219" t="n" cm="1">
        <f t="array" ref="A526">IFERROR(INDEX('03.Muestra'!$B$8:$B$42,SMALL(IF("Página Web"='03.Muestra'!$D$8:$D$42,ROW('03.Muestra'!$B$8:$B$42)-MIN(ROW('03.Muestra'!$D$8:$D$42))+1,""),ROW()-512)),"")</f>
        <v>1.0</v>
      </c>
      <c r="B526" s="114" t="str" cm="1">
        <f t="array" ref="B526">IFERROR(INDEX('03.Muestra'!$C$8:$C$42,SMALL(IF("Página Web"='03.Muestra'!$D$8:$D$42,ROW('03.Muestra'!$C$8:$C$42)-MIN(ROW('03.Muestra'!$D$8:$D$42))+1,""),ROW()-512)),"")</f>
        <v>Home - PortCastelló</v>
      </c>
      <c r="C526" s="114" t="str" cm="1">
        <f t="array" ref="C526">IFERROR(INDEX('03.Muestra'!$F$8:$F$42,SMALL(IF("Página Web"='03.Muestra'!$D$8:$D$42,ROW('03.Muestra'!$F$8:$F$42)-MIN(ROW('03.Muestra'!$D$8:$D$42))+1,""),ROW()-512)),"")</f>
        <v>https://www.portcastello.com/</v>
      </c>
      <c r="D526" s="130" t="str">
        <f t="shared" si="27"/>
        <v>N/T</v>
      </c>
      <c r="E526" s="107" t="str">
        <f t="shared" si="26"/>
        <v/>
      </c>
      <c r="F526" s="19"/>
      <c r="G526" s="19"/>
      <c r="H526" s="19"/>
      <c r="I526" s="19"/>
      <c r="J526" s="19"/>
      <c r="K526" s="228"/>
      <c r="L526" s="19"/>
      <c r="M526" s="19"/>
      <c r="N526" s="19"/>
      <c r="O526" s="19"/>
      <c r="P526" s="19"/>
      <c r="Q526" s="19"/>
      <c r="R526" s="19"/>
      <c r="S526" s="19"/>
      <c r="T526" s="19"/>
      <c r="U526" s="19"/>
      <c r="V526" s="19"/>
      <c r="W526" s="19"/>
      <c r="X526" s="19"/>
      <c r="Y526" s="19"/>
    </row>
    <row r="527" spans="1:25" ht="14.1" customHeight="1">
      <c r="A527" s="219" t="n" cm="1">
        <f t="array" ref="A527">IFERROR(INDEX('03.Muestra'!$B$8:$B$42,SMALL(IF("Página Web"='03.Muestra'!$D$8:$D$42,ROW('03.Muestra'!$B$8:$B$42)-MIN(ROW('03.Muestra'!$D$8:$D$42))+1,""),ROW()-512)),"")</f>
        <v>1.0</v>
      </c>
      <c r="B527" s="114" t="str" cm="1">
        <f t="array" ref="B527">IFERROR(INDEX('03.Muestra'!$C$8:$C$42,SMALL(IF("Página Web"='03.Muestra'!$D$8:$D$42,ROW('03.Muestra'!$C$8:$C$42)-MIN(ROW('03.Muestra'!$D$8:$D$42))+1,""),ROW()-512)),"")</f>
        <v>Home - PortCastelló</v>
      </c>
      <c r="C527" s="114" t="str" cm="1">
        <f t="array" ref="C527">IFERROR(INDEX('03.Muestra'!$F$8:$F$42,SMALL(IF("Página Web"='03.Muestra'!$D$8:$D$42,ROW('03.Muestra'!$F$8:$F$42)-MIN(ROW('03.Muestra'!$D$8:$D$42))+1,""),ROW()-512)),"")</f>
        <v>https://www.portcastello.com/</v>
      </c>
      <c r="D527" s="130" t="str">
        <f t="shared" si="27"/>
        <v>N/T</v>
      </c>
      <c r="E527" s="107" t="str">
        <f t="shared" si="26"/>
        <v/>
      </c>
      <c r="F527" s="19"/>
      <c r="G527" s="19"/>
      <c r="H527" s="19"/>
      <c r="I527" s="19"/>
      <c r="J527" s="19"/>
      <c r="K527" s="228"/>
      <c r="L527" s="19"/>
      <c r="M527" s="19"/>
      <c r="N527" s="19"/>
      <c r="O527" s="19"/>
      <c r="P527" s="19"/>
      <c r="Q527" s="19"/>
      <c r="R527" s="19"/>
      <c r="S527" s="19"/>
      <c r="T527" s="19"/>
      <c r="U527" s="19"/>
      <c r="V527" s="19"/>
      <c r="W527" s="19"/>
      <c r="X527" s="19"/>
      <c r="Y527" s="19"/>
    </row>
    <row r="528" spans="1:25" ht="14.1" customHeight="1">
      <c r="A528" s="219" t="n" cm="1">
        <f t="array" ref="A528">IFERROR(INDEX('03.Muestra'!$B$8:$B$42,SMALL(IF("Página Web"='03.Muestra'!$D$8:$D$42,ROW('03.Muestra'!$B$8:$B$42)-MIN(ROW('03.Muestra'!$D$8:$D$42))+1,""),ROW()-512)),"")</f>
        <v>1.0</v>
      </c>
      <c r="B528" s="114" t="str" cm="1">
        <f t="array" ref="B528">IFERROR(INDEX('03.Muestra'!$C$8:$C$42,SMALL(IF("Página Web"='03.Muestra'!$D$8:$D$42,ROW('03.Muestra'!$C$8:$C$42)-MIN(ROW('03.Muestra'!$D$8:$D$42))+1,""),ROW()-512)),"")</f>
        <v>Home - PortCastelló</v>
      </c>
      <c r="C528" s="114" t="str" cm="1">
        <f t="array" ref="C528">IFERROR(INDEX('03.Muestra'!$F$8:$F$42,SMALL(IF("Página Web"='03.Muestra'!$D$8:$D$42,ROW('03.Muestra'!$F$8:$F$42)-MIN(ROW('03.Muestra'!$D$8:$D$42))+1,""),ROW()-512)),"")</f>
        <v>https://www.portcastello.com/</v>
      </c>
      <c r="D528" s="130" t="str">
        <f t="shared" si="27"/>
        <v>N/T</v>
      </c>
      <c r="E528" s="107" t="str">
        <f t="shared" si="26"/>
        <v/>
      </c>
      <c r="F528" s="19"/>
      <c r="G528" s="19"/>
      <c r="H528" s="19"/>
      <c r="I528" s="19"/>
      <c r="J528" s="19"/>
      <c r="K528" s="228"/>
      <c r="L528" s="19"/>
      <c r="M528" s="19"/>
      <c r="N528" s="19"/>
      <c r="O528" s="19"/>
      <c r="P528" s="19"/>
      <c r="Q528" s="19"/>
      <c r="R528" s="19"/>
      <c r="S528" s="19"/>
      <c r="T528" s="19"/>
      <c r="U528" s="19"/>
      <c r="V528" s="19"/>
      <c r="W528" s="19"/>
      <c r="X528" s="19"/>
      <c r="Y528" s="19"/>
    </row>
    <row r="529" spans="1:25" ht="14.1" customHeight="1">
      <c r="A529" s="219" t="n" cm="1">
        <f t="array" ref="A529">IFERROR(INDEX('03.Muestra'!$B$8:$B$42,SMALL(IF("Página Web"='03.Muestra'!$D$8:$D$42,ROW('03.Muestra'!$B$8:$B$42)-MIN(ROW('03.Muestra'!$D$8:$D$42))+1,""),ROW()-512)),"")</f>
        <v>1.0</v>
      </c>
      <c r="B529" s="114" t="str" cm="1">
        <f t="array" ref="B529">IFERROR(INDEX('03.Muestra'!$C$8:$C$42,SMALL(IF("Página Web"='03.Muestra'!$D$8:$D$42,ROW('03.Muestra'!$C$8:$C$42)-MIN(ROW('03.Muestra'!$D$8:$D$42))+1,""),ROW()-512)),"")</f>
        <v>Home - PortCastelló</v>
      </c>
      <c r="C529" s="114" t="str" cm="1">
        <f t="array" ref="C529">IFERROR(INDEX('03.Muestra'!$F$8:$F$42,SMALL(IF("Página Web"='03.Muestra'!$D$8:$D$42,ROW('03.Muestra'!$F$8:$F$42)-MIN(ROW('03.Muestra'!$D$8:$D$42))+1,""),ROW()-512)),"")</f>
        <v>https://www.portcastello.com/</v>
      </c>
      <c r="D529" s="130" t="str">
        <f t="shared" si="27"/>
        <v>N/T</v>
      </c>
      <c r="E529" s="107" t="str">
        <f t="shared" si="26"/>
        <v/>
      </c>
      <c r="F529" s="19"/>
      <c r="G529" s="19"/>
      <c r="H529" s="19"/>
      <c r="I529" s="19"/>
      <c r="J529" s="19"/>
      <c r="K529" s="228"/>
      <c r="L529" s="19"/>
      <c r="M529" s="19"/>
      <c r="N529" s="19"/>
      <c r="O529" s="19"/>
      <c r="P529" s="19"/>
      <c r="Q529" s="19"/>
      <c r="R529" s="19"/>
      <c r="S529" s="19"/>
      <c r="T529" s="19"/>
      <c r="U529" s="19"/>
      <c r="V529" s="19"/>
      <c r="W529" s="19"/>
      <c r="X529" s="19"/>
      <c r="Y529" s="19"/>
    </row>
    <row r="530" spans="1:25" ht="14.1" customHeight="1">
      <c r="A530" s="219" t="n" cm="1">
        <f t="array" ref="A530">IFERROR(INDEX('03.Muestra'!$B$8:$B$42,SMALL(IF("Página Web"='03.Muestra'!$D$8:$D$42,ROW('03.Muestra'!$B$8:$B$42)-MIN(ROW('03.Muestra'!$D$8:$D$42))+1,""),ROW()-512)),"")</f>
        <v>1.0</v>
      </c>
      <c r="B530" s="114" t="str" cm="1">
        <f t="array" ref="B530">IFERROR(INDEX('03.Muestra'!$C$8:$C$42,SMALL(IF("Página Web"='03.Muestra'!$D$8:$D$42,ROW('03.Muestra'!$C$8:$C$42)-MIN(ROW('03.Muestra'!$D$8:$D$42))+1,""),ROW()-512)),"")</f>
        <v>Home - PortCastelló</v>
      </c>
      <c r="C530" s="114" t="str" cm="1">
        <f t="array" ref="C530">IFERROR(INDEX('03.Muestra'!$F$8:$F$42,SMALL(IF("Página Web"='03.Muestra'!$D$8:$D$42,ROW('03.Muestra'!$F$8:$F$42)-MIN(ROW('03.Muestra'!$D$8:$D$42))+1,""),ROW()-512)),"")</f>
        <v>https://www.portcastello.com/</v>
      </c>
      <c r="D530" s="130" t="str">
        <f t="shared" si="27"/>
        <v>N/T</v>
      </c>
      <c r="E530" s="107" t="str">
        <f t="shared" si="26"/>
        <v/>
      </c>
      <c r="F530" s="19"/>
      <c r="G530" s="19"/>
      <c r="H530" s="19"/>
      <c r="I530" s="19"/>
      <c r="J530" s="19"/>
      <c r="K530" s="228"/>
      <c r="L530" s="19"/>
      <c r="M530" s="19"/>
      <c r="N530" s="19"/>
      <c r="O530" s="19"/>
      <c r="P530" s="19"/>
      <c r="Q530" s="19"/>
      <c r="R530" s="19"/>
      <c r="S530" s="19"/>
      <c r="T530" s="19"/>
      <c r="U530" s="19"/>
      <c r="V530" s="19"/>
      <c r="W530" s="19"/>
      <c r="X530" s="19"/>
      <c r="Y530" s="19"/>
    </row>
    <row r="531" spans="1:25" ht="14.1" customHeight="1">
      <c r="A531" s="219" t="n" cm="1">
        <f t="array" ref="A531">IFERROR(INDEX('03.Muestra'!$B$8:$B$42,SMALL(IF("Página Web"='03.Muestra'!$D$8:$D$42,ROW('03.Muestra'!$B$8:$B$42)-MIN(ROW('03.Muestra'!$D$8:$D$42))+1,""),ROW()-512)),"")</f>
        <v>1.0</v>
      </c>
      <c r="B531" s="114" t="str" cm="1">
        <f t="array" ref="B531">IFERROR(INDEX('03.Muestra'!$C$8:$C$42,SMALL(IF("Página Web"='03.Muestra'!$D$8:$D$42,ROW('03.Muestra'!$C$8:$C$42)-MIN(ROW('03.Muestra'!$D$8:$D$42))+1,""),ROW()-512)),"")</f>
        <v>Home - PortCastelló</v>
      </c>
      <c r="C531" s="114" t="str" cm="1">
        <f t="array" ref="C531">IFERROR(INDEX('03.Muestra'!$F$8:$F$42,SMALL(IF("Página Web"='03.Muestra'!$D$8:$D$42,ROW('03.Muestra'!$F$8:$F$42)-MIN(ROW('03.Muestra'!$D$8:$D$42))+1,""),ROW()-512)),"")</f>
        <v>https://www.portcastello.com/</v>
      </c>
      <c r="D531" s="130" t="str">
        <f t="shared" si="27"/>
        <v>N/T</v>
      </c>
      <c r="E531" s="107" t="str">
        <f t="shared" si="26"/>
        <v/>
      </c>
      <c r="F531" s="19"/>
      <c r="G531" s="19"/>
      <c r="H531" s="19"/>
      <c r="I531" s="19"/>
      <c r="J531" s="19"/>
      <c r="K531" s="228"/>
      <c r="L531" s="19"/>
      <c r="M531" s="19"/>
      <c r="N531" s="19"/>
      <c r="O531" s="19"/>
      <c r="P531" s="19"/>
      <c r="Q531" s="19"/>
      <c r="R531" s="19"/>
      <c r="S531" s="19"/>
      <c r="T531" s="19"/>
      <c r="U531" s="19"/>
      <c r="V531" s="19"/>
      <c r="W531" s="19"/>
      <c r="X531" s="19"/>
      <c r="Y531" s="19"/>
    </row>
    <row r="532" spans="1:25" ht="14.1" customHeight="1">
      <c r="A532" s="219" t="n" cm="1">
        <f t="array" ref="A532">IFERROR(INDEX('03.Muestra'!$B$8:$B$42,SMALL(IF("Página Web"='03.Muestra'!$D$8:$D$42,ROW('03.Muestra'!$B$8:$B$42)-MIN(ROW('03.Muestra'!$D$8:$D$42))+1,""),ROW()-512)),"")</f>
        <v>1.0</v>
      </c>
      <c r="B532" s="114" t="str" cm="1">
        <f t="array" ref="B532">IFERROR(INDEX('03.Muestra'!$C$8:$C$42,SMALL(IF("Página Web"='03.Muestra'!$D$8:$D$42,ROW('03.Muestra'!$C$8:$C$42)-MIN(ROW('03.Muestra'!$D$8:$D$42))+1,""),ROW()-512)),"")</f>
        <v>Home - PortCastelló</v>
      </c>
      <c r="C532" s="114" t="str" cm="1">
        <f t="array" ref="C532">IFERROR(INDEX('03.Muestra'!$F$8:$F$42,SMALL(IF("Página Web"='03.Muestra'!$D$8:$D$42,ROW('03.Muestra'!$F$8:$F$42)-MIN(ROW('03.Muestra'!$D$8:$D$42))+1,""),ROW()-512)),"")</f>
        <v>https://www.portcastello.com/</v>
      </c>
      <c r="D532" s="130" t="str">
        <f t="shared" si="27"/>
        <v>N/T</v>
      </c>
      <c r="E532" s="107" t="str">
        <f t="shared" si="26"/>
        <v/>
      </c>
      <c r="F532" s="19"/>
      <c r="G532" s="19"/>
      <c r="H532" s="19"/>
      <c r="I532" s="19"/>
      <c r="J532" s="19"/>
      <c r="K532" s="228"/>
      <c r="L532" s="19"/>
      <c r="M532" s="19"/>
      <c r="N532" s="19"/>
      <c r="O532" s="19"/>
      <c r="P532" s="19"/>
      <c r="Q532" s="19"/>
      <c r="R532" s="19"/>
      <c r="S532" s="19"/>
      <c r="T532" s="19"/>
      <c r="U532" s="19"/>
      <c r="V532" s="19"/>
      <c r="W532" s="19"/>
      <c r="X532" s="19"/>
      <c r="Y532" s="19"/>
    </row>
    <row r="533" spans="1:25" ht="14.1" customHeight="1">
      <c r="A533" s="219" t="n" cm="1">
        <f t="array" ref="A533">IFERROR(INDEX('03.Muestra'!$B$8:$B$42,SMALL(IF("Página Web"='03.Muestra'!$D$8:$D$42,ROW('03.Muestra'!$B$8:$B$42)-MIN(ROW('03.Muestra'!$D$8:$D$42))+1,""),ROW()-512)),"")</f>
        <v>1.0</v>
      </c>
      <c r="B533" s="114" t="str" cm="1">
        <f t="array" ref="B533">IFERROR(INDEX('03.Muestra'!$C$8:$C$42,SMALL(IF("Página Web"='03.Muestra'!$D$8:$D$42,ROW('03.Muestra'!$C$8:$C$42)-MIN(ROW('03.Muestra'!$D$8:$D$42))+1,""),ROW()-512)),"")</f>
        <v>Home - PortCastelló</v>
      </c>
      <c r="C533" s="114" t="str" cm="1">
        <f t="array" ref="C533">IFERROR(INDEX('03.Muestra'!$F$8:$F$42,SMALL(IF("Página Web"='03.Muestra'!$D$8:$D$42,ROW('03.Muestra'!$F$8:$F$42)-MIN(ROW('03.Muestra'!$D$8:$D$42))+1,""),ROW()-512)),"")</f>
        <v>https://www.portcastello.com/</v>
      </c>
      <c r="D533" s="130" t="str">
        <f t="shared" si="27"/>
        <v>N/T</v>
      </c>
      <c r="E533" s="107" t="str">
        <f t="shared" si="26"/>
        <v/>
      </c>
      <c r="F533" s="19"/>
      <c r="G533" s="19"/>
      <c r="H533" s="19"/>
      <c r="I533" s="19"/>
      <c r="J533" s="19"/>
      <c r="K533" s="228"/>
      <c r="L533" s="19"/>
      <c r="M533" s="19"/>
      <c r="N533" s="19"/>
      <c r="O533" s="19"/>
      <c r="P533" s="19"/>
      <c r="Q533" s="19"/>
      <c r="R533" s="19"/>
      <c r="S533" s="19"/>
      <c r="T533" s="19"/>
      <c r="U533" s="19"/>
      <c r="V533" s="19"/>
      <c r="W533" s="19"/>
      <c r="X533" s="19"/>
      <c r="Y533" s="19"/>
    </row>
    <row r="534" spans="1:25" ht="14.1" customHeight="1">
      <c r="A534" s="219" t="n" cm="1">
        <f t="array" ref="A534">IFERROR(INDEX('03.Muestra'!$B$8:$B$42,SMALL(IF("Página Web"='03.Muestra'!$D$8:$D$42,ROW('03.Muestra'!$B$8:$B$42)-MIN(ROW('03.Muestra'!$D$8:$D$42))+1,""),ROW()-512)),"")</f>
        <v>1.0</v>
      </c>
      <c r="B534" s="114" t="str" cm="1">
        <f t="array" ref="B534">IFERROR(INDEX('03.Muestra'!$C$8:$C$42,SMALL(IF("Página Web"='03.Muestra'!$D$8:$D$42,ROW('03.Muestra'!$C$8:$C$42)-MIN(ROW('03.Muestra'!$D$8:$D$42))+1,""),ROW()-512)),"")</f>
        <v>Home - PortCastelló</v>
      </c>
      <c r="C534" s="114" t="str" cm="1">
        <f t="array" ref="C534">IFERROR(INDEX('03.Muestra'!$F$8:$F$42,SMALL(IF("Página Web"='03.Muestra'!$D$8:$D$42,ROW('03.Muestra'!$F$8:$F$42)-MIN(ROW('03.Muestra'!$D$8:$D$42))+1,""),ROW()-512)),"")</f>
        <v>https://www.portcastello.com/</v>
      </c>
      <c r="D534" s="130" t="str">
        <f t="shared" si="27"/>
        <v>N/T</v>
      </c>
      <c r="E534" s="107" t="str">
        <f t="shared" si="26"/>
        <v/>
      </c>
      <c r="F534" s="19"/>
      <c r="G534" s="19"/>
      <c r="H534" s="19"/>
      <c r="I534" s="19"/>
      <c r="J534" s="19"/>
      <c r="K534" s="228"/>
      <c r="L534" s="19"/>
      <c r="M534" s="19"/>
      <c r="N534" s="19"/>
      <c r="O534" s="19"/>
      <c r="P534" s="19"/>
      <c r="Q534" s="19"/>
      <c r="R534" s="19"/>
      <c r="S534" s="19"/>
      <c r="T534" s="19"/>
      <c r="U534" s="19"/>
      <c r="V534" s="19"/>
      <c r="W534" s="19"/>
      <c r="X534" s="19"/>
      <c r="Y534" s="19"/>
    </row>
    <row r="535" spans="1:25" ht="14.1" customHeight="1">
      <c r="A535" s="219" t="n" cm="1">
        <f t="array" ref="A535">IFERROR(INDEX('03.Muestra'!$B$8:$B$42,SMALL(IF("Página Web"='03.Muestra'!$D$8:$D$42,ROW('03.Muestra'!$B$8:$B$42)-MIN(ROW('03.Muestra'!$D$8:$D$42))+1,""),ROW()-512)),"")</f>
        <v>1.0</v>
      </c>
      <c r="B535" s="114" t="str" cm="1">
        <f t="array" ref="B535">IFERROR(INDEX('03.Muestra'!$C$8:$C$42,SMALL(IF("Página Web"='03.Muestra'!$D$8:$D$42,ROW('03.Muestra'!$C$8:$C$42)-MIN(ROW('03.Muestra'!$D$8:$D$42))+1,""),ROW()-512)),"")</f>
        <v>Home - PortCastelló</v>
      </c>
      <c r="C535" s="114" t="str" cm="1">
        <f t="array" ref="C535">IFERROR(INDEX('03.Muestra'!$F$8:$F$42,SMALL(IF("Página Web"='03.Muestra'!$D$8:$D$42,ROW('03.Muestra'!$F$8:$F$42)-MIN(ROW('03.Muestra'!$D$8:$D$42))+1,""),ROW()-512)),"")</f>
        <v>https://www.portcastello.com/</v>
      </c>
      <c r="D535" s="130" t="str">
        <f t="shared" si="27"/>
        <v>N/T</v>
      </c>
      <c r="E535" s="107" t="str">
        <f t="shared" si="26"/>
        <v/>
      </c>
      <c r="F535" s="19"/>
      <c r="G535" s="19"/>
      <c r="H535" s="19"/>
      <c r="I535" s="19"/>
      <c r="J535" s="19"/>
      <c r="K535" s="228"/>
      <c r="L535" s="19"/>
      <c r="M535" s="19"/>
      <c r="N535" s="19"/>
      <c r="O535" s="19"/>
      <c r="P535" s="19"/>
      <c r="Q535" s="19"/>
      <c r="R535" s="19"/>
      <c r="S535" s="19"/>
      <c r="T535" s="19"/>
      <c r="U535" s="19"/>
      <c r="V535" s="19"/>
      <c r="W535" s="19"/>
      <c r="X535" s="19"/>
      <c r="Y535" s="19"/>
    </row>
    <row r="536" spans="1:25" ht="12" customHeight="1">
      <c r="A536" s="219" t="n" cm="1">
        <f t="array" ref="A536">IFERROR(INDEX('03.Muestra'!$B$8:$B$42,SMALL(IF("Página Web"='03.Muestra'!$D$8:$D$42,ROW('03.Muestra'!$B$8:$B$42)-MIN(ROW('03.Muestra'!$D$8:$D$42))+1,""),ROW()-512)),"")</f>
        <v>1.0</v>
      </c>
      <c r="B536" s="114" t="str" cm="1">
        <f t="array" ref="B536">IFERROR(INDEX('03.Muestra'!$C$8:$C$42,SMALL(IF("Página Web"='03.Muestra'!$D$8:$D$42,ROW('03.Muestra'!$C$8:$C$42)-MIN(ROW('03.Muestra'!$D$8:$D$42))+1,""),ROW()-512)),"")</f>
        <v>Home - PortCastelló</v>
      </c>
      <c r="C536" s="114" t="str" cm="1">
        <f t="array" ref="C536">IFERROR(INDEX('03.Muestra'!$F$8:$F$42,SMALL(IF("Página Web"='03.Muestra'!$D$8:$D$42,ROW('03.Muestra'!$F$8:$F$42)-MIN(ROW('03.Muestra'!$D$8:$D$42))+1,""),ROW()-512)),"")</f>
        <v>https://www.portcastello.com/</v>
      </c>
      <c r="D536" s="130" t="str">
        <f t="shared" si="27"/>
        <v>N/T</v>
      </c>
      <c r="E536" s="107" t="str">
        <f t="shared" si="26"/>
        <v/>
      </c>
      <c r="F536" s="19"/>
      <c r="G536" s="19"/>
      <c r="H536" s="19"/>
      <c r="I536" s="19"/>
      <c r="J536" s="19"/>
      <c r="K536" s="228"/>
      <c r="L536" s="19"/>
      <c r="M536" s="19"/>
      <c r="N536" s="19"/>
      <c r="O536" s="19"/>
      <c r="P536" s="19"/>
      <c r="Q536" s="19"/>
      <c r="R536" s="19"/>
      <c r="S536" s="19"/>
      <c r="T536" s="19"/>
      <c r="U536" s="19"/>
      <c r="V536" s="19"/>
      <c r="W536" s="19"/>
      <c r="X536" s="19"/>
      <c r="Y536" s="19"/>
    </row>
    <row r="537" spans="1:25" ht="12" customHeight="1">
      <c r="A537" s="219" t="n" cm="1">
        <f t="array" ref="A537">IFERROR(INDEX('03.Muestra'!$B$8:$B$42,SMALL(IF("Página Web"='03.Muestra'!$D$8:$D$42,ROW('03.Muestra'!$B$8:$B$42)-MIN(ROW('03.Muestra'!$D$8:$D$42))+1,""),ROW()-512)),"")</f>
        <v>1.0</v>
      </c>
      <c r="B537" s="114" t="str" cm="1">
        <f t="array" ref="B537">IFERROR(INDEX('03.Muestra'!$C$8:$C$42,SMALL(IF("Página Web"='03.Muestra'!$D$8:$D$42,ROW('03.Muestra'!$C$8:$C$42)-MIN(ROW('03.Muestra'!$D$8:$D$42))+1,""),ROW()-512)),"")</f>
        <v>Home - PortCastelló</v>
      </c>
      <c r="C537" s="114" t="str" cm="1">
        <f t="array" ref="C537">IFERROR(INDEX('03.Muestra'!$F$8:$F$42,SMALL(IF("Página Web"='03.Muestra'!$D$8:$D$42,ROW('03.Muestra'!$F$8:$F$42)-MIN(ROW('03.Muestra'!$D$8:$D$42))+1,""),ROW()-512)),"")</f>
        <v>https://www.portcastello.com/</v>
      </c>
      <c r="D537" s="130" t="str">
        <f t="shared" si="27"/>
        <v>N/T</v>
      </c>
      <c r="E537" s="107" t="str">
        <f t="shared" si="26"/>
        <v/>
      </c>
      <c r="F537" s="19"/>
      <c r="G537" s="19"/>
      <c r="H537" s="19"/>
      <c r="I537" s="19"/>
      <c r="J537" s="19"/>
      <c r="K537" s="228"/>
      <c r="L537" s="19"/>
      <c r="M537" s="19"/>
      <c r="N537" s="19"/>
      <c r="O537" s="19"/>
      <c r="P537" s="19"/>
      <c r="Q537" s="19"/>
      <c r="R537" s="19"/>
      <c r="S537" s="19"/>
      <c r="T537" s="19"/>
      <c r="U537" s="19"/>
      <c r="V537" s="19"/>
      <c r="W537" s="19"/>
      <c r="X537" s="19"/>
      <c r="Y537" s="19"/>
    </row>
    <row r="538" spans="1:25" ht="12" customHeight="1">
      <c r="A538" s="219" t="n" cm="1">
        <f t="array" ref="A538">IFERROR(INDEX('03.Muestra'!$B$8:$B$42,SMALL(IF("Página Web"='03.Muestra'!$D$8:$D$42,ROW('03.Muestra'!$B$8:$B$42)-MIN(ROW('03.Muestra'!$D$8:$D$42))+1,""),ROW()-512)),"")</f>
        <v>1.0</v>
      </c>
      <c r="B538" s="114" t="str" cm="1">
        <f t="array" ref="B538">IFERROR(INDEX('03.Muestra'!$C$8:$C$42,SMALL(IF("Página Web"='03.Muestra'!$D$8:$D$42,ROW('03.Muestra'!$C$8:$C$42)-MIN(ROW('03.Muestra'!$D$8:$D$42))+1,""),ROW()-512)),"")</f>
        <v>Home - PortCastelló</v>
      </c>
      <c r="C538" s="114" t="str" cm="1">
        <f t="array" ref="C538">IFERROR(INDEX('03.Muestra'!$F$8:$F$42,SMALL(IF("Página Web"='03.Muestra'!$D$8:$D$42,ROW('03.Muestra'!$F$8:$F$42)-MIN(ROW('03.Muestra'!$D$8:$D$42))+1,""),ROW()-512)),"")</f>
        <v>https://www.portcastello.com/</v>
      </c>
      <c r="D538" s="130" t="str">
        <f t="shared" si="27"/>
        <v>N/T</v>
      </c>
      <c r="E538" s="107" t="str">
        <f t="shared" si="26"/>
        <v/>
      </c>
      <c r="F538" s="19"/>
      <c r="G538" s="19"/>
      <c r="H538" s="19"/>
      <c r="I538" s="19"/>
      <c r="J538" s="19"/>
      <c r="K538" s="228"/>
      <c r="L538" s="19"/>
      <c r="M538" s="19"/>
      <c r="N538" s="19"/>
      <c r="O538" s="19"/>
      <c r="P538" s="19"/>
      <c r="Q538" s="19"/>
      <c r="R538" s="19"/>
      <c r="S538" s="19"/>
      <c r="T538" s="19"/>
      <c r="U538" s="19"/>
      <c r="V538" s="19"/>
      <c r="W538" s="19"/>
      <c r="X538" s="19"/>
      <c r="Y538" s="19"/>
    </row>
    <row r="539" spans="1:25" ht="12" customHeight="1">
      <c r="A539" s="219" t="n" cm="1">
        <f t="array" ref="A539">IFERROR(INDEX('03.Muestra'!$B$8:$B$42,SMALL(IF("Página Web"='03.Muestra'!$D$8:$D$42,ROW('03.Muestra'!$B$8:$B$42)-MIN(ROW('03.Muestra'!$D$8:$D$42))+1,""),ROW()-512)),"")</f>
        <v>1.0</v>
      </c>
      <c r="B539" s="114" t="str" cm="1">
        <f t="array" ref="B539">IFERROR(INDEX('03.Muestra'!$C$8:$C$42,SMALL(IF("Página Web"='03.Muestra'!$D$8:$D$42,ROW('03.Muestra'!$C$8:$C$42)-MIN(ROW('03.Muestra'!$D$8:$D$42))+1,""),ROW()-512)),"")</f>
        <v>Home - PortCastelló</v>
      </c>
      <c r="C539" s="114" t="str" cm="1">
        <f t="array" ref="C539">IFERROR(INDEX('03.Muestra'!$F$8:$F$42,SMALL(IF("Página Web"='03.Muestra'!$D$8:$D$42,ROW('03.Muestra'!$F$8:$F$42)-MIN(ROW('03.Muestra'!$D$8:$D$42))+1,""),ROW()-512)),"")</f>
        <v>https://www.portcastello.com/</v>
      </c>
      <c r="D539" s="130" t="str">
        <f t="shared" si="27"/>
        <v>N/T</v>
      </c>
      <c r="E539" s="107" t="str">
        <f t="shared" si="26"/>
        <v/>
      </c>
      <c r="F539" s="19"/>
      <c r="G539" s="19"/>
      <c r="H539" s="19"/>
      <c r="I539" s="19"/>
      <c r="J539" s="19"/>
      <c r="K539" s="228"/>
      <c r="L539" s="19"/>
      <c r="M539" s="19"/>
      <c r="N539" s="19"/>
      <c r="O539" s="19"/>
      <c r="P539" s="19"/>
      <c r="Q539" s="19"/>
      <c r="R539" s="19"/>
      <c r="S539" s="19"/>
      <c r="T539" s="19"/>
      <c r="U539" s="19"/>
      <c r="V539" s="19"/>
      <c r="W539" s="19"/>
      <c r="X539" s="19"/>
      <c r="Y539" s="19"/>
    </row>
    <row r="540" spans="1:25" ht="12" customHeight="1">
      <c r="A540" s="219" t="n" cm="1">
        <f t="array" ref="A540">IFERROR(INDEX('03.Muestra'!$B$8:$B$42,SMALL(IF("Página Web"='03.Muestra'!$D$8:$D$42,ROW('03.Muestra'!$B$8:$B$42)-MIN(ROW('03.Muestra'!$D$8:$D$42))+1,""),ROW()-512)),"")</f>
        <v>1.0</v>
      </c>
      <c r="B540" s="114" t="str" cm="1">
        <f t="array" ref="B540">IFERROR(INDEX('03.Muestra'!$C$8:$C$42,SMALL(IF("Página Web"='03.Muestra'!$D$8:$D$42,ROW('03.Muestra'!$C$8:$C$42)-MIN(ROW('03.Muestra'!$D$8:$D$42))+1,""),ROW()-512)),"")</f>
        <v>Home - PortCastelló</v>
      </c>
      <c r="C540" s="114" t="str" cm="1">
        <f t="array" ref="C540">IFERROR(INDEX('03.Muestra'!$F$8:$F$42,SMALL(IF("Página Web"='03.Muestra'!$D$8:$D$42,ROW('03.Muestra'!$F$8:$F$42)-MIN(ROW('03.Muestra'!$D$8:$D$42))+1,""),ROW()-512)),"")</f>
        <v>https://www.portcastello.com/</v>
      </c>
      <c r="D540" s="130" t="str">
        <f t="shared" si="27"/>
        <v>N/T</v>
      </c>
      <c r="E540" s="107" t="str">
        <f t="shared" si="26"/>
        <v/>
      </c>
      <c r="G540" s="19"/>
      <c r="H540" s="19"/>
      <c r="I540" s="19"/>
      <c r="J540" s="19"/>
      <c r="K540" s="228"/>
      <c r="L540" s="19"/>
      <c r="M540" s="19"/>
      <c r="N540" s="19"/>
      <c r="O540" s="19"/>
      <c r="P540" s="19"/>
      <c r="Q540" s="19"/>
      <c r="R540" s="19"/>
      <c r="S540" s="19"/>
      <c r="T540" s="19"/>
      <c r="U540" s="19"/>
      <c r="V540" s="19"/>
      <c r="W540" s="19"/>
      <c r="X540" s="19"/>
      <c r="Y540" s="19"/>
    </row>
    <row r="541" spans="1:25" ht="12" customHeight="1">
      <c r="A541" s="219" t="n" cm="1">
        <f t="array" ref="A541">IFERROR(INDEX('03.Muestra'!$B$8:$B$42,SMALL(IF("Página Web"='03.Muestra'!$D$8:$D$42,ROW('03.Muestra'!$B$8:$B$42)-MIN(ROW('03.Muestra'!$D$8:$D$42))+1,""),ROW()-512)),"")</f>
        <v>1.0</v>
      </c>
      <c r="B541" s="114" t="str" cm="1">
        <f t="array" ref="B541">IFERROR(INDEX('03.Muestra'!$C$8:$C$42,SMALL(IF("Página Web"='03.Muestra'!$D$8:$D$42,ROW('03.Muestra'!$C$8:$C$42)-MIN(ROW('03.Muestra'!$D$8:$D$42))+1,""),ROW()-512)),"")</f>
        <v>Home - PortCastelló</v>
      </c>
      <c r="C541" s="114" t="str" cm="1">
        <f t="array" ref="C541">IFERROR(INDEX('03.Muestra'!$F$8:$F$42,SMALL(IF("Página Web"='03.Muestra'!$D$8:$D$42,ROW('03.Muestra'!$F$8:$F$42)-MIN(ROW('03.Muestra'!$D$8:$D$42))+1,""),ROW()-512)),"")</f>
        <v>https://www.portcastello.com/</v>
      </c>
      <c r="D541" s="130" t="str">
        <f t="shared" si="27"/>
        <v>N/T</v>
      </c>
      <c r="E541" s="107" t="str">
        <f t="shared" si="26"/>
        <v/>
      </c>
      <c r="F541" s="124"/>
      <c r="G541" s="19"/>
      <c r="H541" s="19"/>
      <c r="I541" s="19"/>
      <c r="J541" s="19"/>
      <c r="K541" s="228"/>
      <c r="L541" s="19"/>
      <c r="M541" s="19"/>
      <c r="N541" s="19"/>
      <c r="O541" s="19"/>
      <c r="P541" s="19"/>
      <c r="Q541" s="19"/>
      <c r="R541" s="19"/>
      <c r="S541" s="19"/>
      <c r="T541" s="19"/>
      <c r="U541" s="19"/>
      <c r="V541" s="19"/>
      <c r="W541" s="19"/>
      <c r="X541" s="19"/>
      <c r="Y541" s="19"/>
    </row>
    <row r="542" spans="1:25" ht="12" customHeight="1">
      <c r="A542" s="219" t="n" cm="1">
        <f t="array" ref="A542">IFERROR(INDEX('03.Muestra'!$B$8:$B$42,SMALL(IF("Página Web"='03.Muestra'!$D$8:$D$42,ROW('03.Muestra'!$B$8:$B$42)-MIN(ROW('03.Muestra'!$D$8:$D$42))+1,""),ROW()-512)),"")</f>
        <v>1.0</v>
      </c>
      <c r="B542" s="114" t="str" cm="1">
        <f t="array" ref="B542">IFERROR(INDEX('03.Muestra'!$C$8:$C$42,SMALL(IF("Página Web"='03.Muestra'!$D$8:$D$42,ROW('03.Muestra'!$C$8:$C$42)-MIN(ROW('03.Muestra'!$D$8:$D$42))+1,""),ROW()-512)),"")</f>
        <v>Home - PortCastelló</v>
      </c>
      <c r="C542" s="114" t="str" cm="1">
        <f t="array" ref="C542">IFERROR(INDEX('03.Muestra'!$F$8:$F$42,SMALL(IF("Página Web"='03.Muestra'!$D$8:$D$42,ROW('03.Muestra'!$F$8:$F$42)-MIN(ROW('03.Muestra'!$D$8:$D$42))+1,""),ROW()-512)),"")</f>
        <v>https://www.portcastello.com/</v>
      </c>
      <c r="D542" s="130" t="str">
        <f t="shared" si="27"/>
        <v>N/T</v>
      </c>
      <c r="E542" s="107" t="str">
        <f t="shared" si="26"/>
        <v/>
      </c>
      <c r="F542" s="124"/>
      <c r="G542" s="19"/>
      <c r="H542" s="19"/>
      <c r="I542" s="19"/>
      <c r="J542" s="19"/>
      <c r="K542" s="228"/>
      <c r="L542" s="19"/>
      <c r="M542" s="19"/>
      <c r="N542" s="19"/>
      <c r="O542" s="19"/>
      <c r="P542" s="19"/>
      <c r="Q542" s="19"/>
      <c r="R542" s="19"/>
      <c r="S542" s="19"/>
      <c r="T542" s="19"/>
      <c r="U542" s="19"/>
      <c r="V542" s="19"/>
      <c r="W542" s="19"/>
      <c r="X542" s="19"/>
      <c r="Y542" s="19"/>
    </row>
    <row r="543" spans="1:25" ht="12" customHeight="1">
      <c r="A543" s="219" t="n" cm="1">
        <f t="array" ref="A543">IFERROR(INDEX('03.Muestra'!$B$8:$B$42,SMALL(IF("Página Web"='03.Muestra'!$D$8:$D$42,ROW('03.Muestra'!$B$8:$B$42)-MIN(ROW('03.Muestra'!$D$8:$D$42))+1,""),ROW()-512)),"")</f>
        <v>1.0</v>
      </c>
      <c r="B543" s="114" t="str" cm="1">
        <f t="array" ref="B543">IFERROR(INDEX('03.Muestra'!$C$8:$C$42,SMALL(IF("Página Web"='03.Muestra'!$D$8:$D$42,ROW('03.Muestra'!$C$8:$C$42)-MIN(ROW('03.Muestra'!$D$8:$D$42))+1,""),ROW()-512)),"")</f>
        <v>Home - PortCastelló</v>
      </c>
      <c r="C543" s="114" t="str" cm="1">
        <f t="array" ref="C543">IFERROR(INDEX('03.Muestra'!$F$8:$F$42,SMALL(IF("Página Web"='03.Muestra'!$D$8:$D$42,ROW('03.Muestra'!$F$8:$F$42)-MIN(ROW('03.Muestra'!$D$8:$D$42))+1,""),ROW()-512)),"")</f>
        <v>https://www.portcastello.com/</v>
      </c>
      <c r="D543" s="130" t="str">
        <f t="shared" si="27"/>
        <v>N/T</v>
      </c>
      <c r="E543" s="107" t="str">
        <f t="shared" si="26"/>
        <v/>
      </c>
      <c r="F543" s="124"/>
      <c r="G543" s="19"/>
      <c r="H543" s="19"/>
      <c r="I543" s="19"/>
      <c r="J543" s="19"/>
      <c r="K543" s="228"/>
      <c r="L543" s="19"/>
      <c r="M543" s="19"/>
      <c r="N543" s="19"/>
      <c r="O543" s="19"/>
      <c r="P543" s="19"/>
      <c r="Q543" s="19"/>
      <c r="R543" s="19"/>
      <c r="S543" s="19"/>
      <c r="T543" s="19"/>
      <c r="U543" s="19"/>
      <c r="V543" s="19"/>
      <c r="W543" s="19"/>
      <c r="X543" s="19"/>
      <c r="Y543" s="19"/>
    </row>
    <row r="544" spans="1:25" ht="12" customHeight="1">
      <c r="A544" s="219" t="n" cm="1">
        <f t="array" ref="A544">IFERROR(INDEX('03.Muestra'!$B$8:$B$42,SMALL(IF("Página Web"='03.Muestra'!$D$8:$D$42,ROW('03.Muestra'!$B$8:$B$42)-MIN(ROW('03.Muestra'!$D$8:$D$42))+1,""),ROW()-512)),"")</f>
        <v>1.0</v>
      </c>
      <c r="B544" s="114" t="str" cm="1">
        <f t="array" ref="B544">IFERROR(INDEX('03.Muestra'!$C$8:$C$42,SMALL(IF("Página Web"='03.Muestra'!$D$8:$D$42,ROW('03.Muestra'!$C$8:$C$42)-MIN(ROW('03.Muestra'!$D$8:$D$42))+1,""),ROW()-512)),"")</f>
        <v>Home - PortCastelló</v>
      </c>
      <c r="C544" s="114" t="str" cm="1">
        <f t="array" ref="C544">IFERROR(INDEX('03.Muestra'!$F$8:$F$42,SMALL(IF("Página Web"='03.Muestra'!$D$8:$D$42,ROW('03.Muestra'!$F$8:$F$42)-MIN(ROW('03.Muestra'!$D$8:$D$42))+1,""),ROW()-512)),"")</f>
        <v>https://www.portcastello.com/</v>
      </c>
      <c r="D544" s="130" t="str">
        <f t="shared" si="27"/>
        <v>N/T</v>
      </c>
      <c r="E544" s="107" t="str">
        <f t="shared" si="26"/>
        <v/>
      </c>
      <c r="F544" s="124"/>
      <c r="G544" s="19"/>
      <c r="H544" s="19"/>
      <c r="I544" s="19"/>
      <c r="J544" s="19"/>
      <c r="K544" s="228"/>
      <c r="L544" s="19"/>
      <c r="M544" s="19"/>
      <c r="N544" s="19"/>
      <c r="O544" s="19"/>
      <c r="P544" s="19"/>
      <c r="Q544" s="19"/>
      <c r="R544" s="19"/>
      <c r="S544" s="19"/>
      <c r="T544" s="19"/>
      <c r="U544" s="19"/>
      <c r="V544" s="19"/>
      <c r="W544" s="19"/>
      <c r="X544" s="19"/>
      <c r="Y544" s="19"/>
    </row>
    <row r="545" spans="1:25" ht="12" customHeight="1">
      <c r="A545" s="219" t="n" cm="1">
        <f t="array" ref="A545">IFERROR(INDEX('03.Muestra'!$B$8:$B$42,SMALL(IF("Página Web"='03.Muestra'!$D$8:$D$42,ROW('03.Muestra'!$B$8:$B$42)-MIN(ROW('03.Muestra'!$D$8:$D$42))+1,""),ROW()-512)),"")</f>
        <v>1.0</v>
      </c>
      <c r="B545" s="114" t="str" cm="1">
        <f t="array" ref="B545">IFERROR(INDEX('03.Muestra'!$C$8:$C$42,SMALL(IF("Página Web"='03.Muestra'!$D$8:$D$42,ROW('03.Muestra'!$C$8:$C$42)-MIN(ROW('03.Muestra'!$D$8:$D$42))+1,""),ROW()-512)),"")</f>
        <v>Home - PortCastelló</v>
      </c>
      <c r="C545" s="114" t="str" cm="1">
        <f t="array" ref="C545">IFERROR(INDEX('03.Muestra'!$F$8:$F$42,SMALL(IF("Página Web"='03.Muestra'!$D$8:$D$42,ROW('03.Muestra'!$F$8:$F$42)-MIN(ROW('03.Muestra'!$D$8:$D$42))+1,""),ROW()-512)),"")</f>
        <v>https://www.portcastello.com/</v>
      </c>
      <c r="D545" s="130" t="str">
        <f t="shared" si="27"/>
        <v>N/T</v>
      </c>
      <c r="E545" s="107" t="str">
        <f t="shared" si="26"/>
        <v/>
      </c>
      <c r="F545" s="124"/>
      <c r="G545" s="19"/>
      <c r="H545" s="19"/>
      <c r="I545" s="19"/>
      <c r="J545" s="19"/>
      <c r="K545" s="228"/>
      <c r="L545" s="19"/>
      <c r="M545" s="19"/>
      <c r="N545" s="19"/>
      <c r="O545" s="19"/>
      <c r="P545" s="19"/>
      <c r="Q545" s="19"/>
      <c r="R545" s="19"/>
      <c r="S545" s="19"/>
      <c r="T545" s="19"/>
      <c r="U545" s="19"/>
      <c r="V545" s="19"/>
      <c r="W545" s="19"/>
      <c r="X545" s="19"/>
      <c r="Y545" s="19"/>
    </row>
    <row r="546" spans="1:25" ht="12" customHeight="1">
      <c r="A546" s="219" t="str" cm="1">
        <f t="array" ref="A546">IFERROR(INDEX('03.Muestra'!$B$8:$B$42,SMALL(IF("Página Web"='03.Muestra'!$D$8:$D$42,ROW('03.Muestra'!$B$8:$B$42)-MIN(ROW('03.Muestra'!$D$8:$D$42))+1,""),ROW()-512)),"")</f>
        <v/>
      </c>
      <c r="B546" s="114" t="str" cm="1">
        <f t="array" ref="B546">IFERROR(INDEX('03.Muestra'!$C$8:$C$42,SMALL(IF("Página Web"='03.Muestra'!$D$8:$D$42,ROW('03.Muestra'!$C$8:$C$42)-MIN(ROW('03.Muestra'!$D$8:$D$42))+1,""),ROW()-512)),"")</f>
        <v/>
      </c>
      <c r="C546" s="114" t="str" cm="1">
        <f t="array" ref="C546">IFERROR(INDEX('03.Muestra'!$F$8:$F$42,SMALL(IF("Página Web"='03.Muestra'!$D$8:$D$42,ROW('03.Muestra'!$F$8:$F$42)-MIN(ROW('03.Muestra'!$D$8:$D$42))+1,""),ROW()-512)),"")</f>
        <v/>
      </c>
      <c r="D546" s="130" t="str">
        <f t="shared" si="27"/>
        <v/>
      </c>
      <c r="E546" s="107" t="str">
        <f t="shared" si="26"/>
        <v/>
      </c>
      <c r="F546" s="124"/>
      <c r="G546" s="19"/>
      <c r="H546" s="19"/>
      <c r="I546" s="19"/>
      <c r="J546" s="19"/>
      <c r="K546" s="228"/>
      <c r="L546" s="19"/>
      <c r="M546" s="19"/>
      <c r="N546" s="19"/>
      <c r="O546" s="19"/>
      <c r="P546" s="19"/>
      <c r="Q546" s="19"/>
      <c r="R546" s="19"/>
      <c r="S546" s="19"/>
      <c r="T546" s="19"/>
      <c r="U546" s="19"/>
      <c r="V546" s="19"/>
      <c r="W546" s="19"/>
      <c r="X546" s="19"/>
      <c r="Y546" s="19"/>
    </row>
    <row r="547" spans="1:25" ht="12" customHeight="1">
      <c r="A547" s="219" t="str" cm="1">
        <f t="array" ref="A547">IFERROR(INDEX('03.Muestra'!$B$8:$B$42,SMALL(IF("Página Web"='03.Muestra'!$D$8:$D$42,ROW('03.Muestra'!$B$8:$B$42)-MIN(ROW('03.Muestra'!$D$8:$D$42))+1,""),ROW()-512)),"")</f>
        <v/>
      </c>
      <c r="B547" s="114" t="str" cm="1">
        <f t="array" ref="B547">IFERROR(INDEX('03.Muestra'!$C$8:$C$42,SMALL(IF("Página Web"='03.Muestra'!$D$8:$D$42,ROW('03.Muestra'!$C$8:$C$42)-MIN(ROW('03.Muestra'!$D$8:$D$42))+1,""),ROW()-512)),"")</f>
        <v/>
      </c>
      <c r="C547" s="114" t="str" cm="1">
        <f t="array" ref="C547">IFERROR(INDEX('03.Muestra'!$F$8:$F$42,SMALL(IF("Página Web"='03.Muestra'!$D$8:$D$42,ROW('03.Muestra'!$F$8:$F$42)-MIN(ROW('03.Muestra'!$D$8:$D$42))+1,""),ROW()-512)),"")</f>
        <v/>
      </c>
      <c r="D547" s="130" t="str">
        <f t="shared" si="27"/>
        <v/>
      </c>
      <c r="E547" s="107" t="str">
        <f t="shared" si="26"/>
        <v/>
      </c>
      <c r="F547" s="19"/>
      <c r="G547" s="19"/>
      <c r="H547" s="19"/>
      <c r="I547" s="19"/>
      <c r="J547" s="19"/>
      <c r="K547" s="228"/>
      <c r="L547" s="19"/>
      <c r="M547" s="19"/>
      <c r="N547" s="19"/>
      <c r="O547" s="19"/>
      <c r="P547" s="19"/>
      <c r="Q547" s="19"/>
      <c r="R547" s="19"/>
      <c r="S547" s="19"/>
      <c r="T547" s="19"/>
      <c r="U547" s="19"/>
      <c r="V547" s="19"/>
      <c r="W547" s="19"/>
      <c r="X547" s="19"/>
      <c r="Y547" s="19"/>
    </row>
    <row r="548" spans="1:25" ht="12" customHeight="1">
      <c r="B548" s="19"/>
      <c r="C548" s="19"/>
      <c r="D548" s="107"/>
      <c r="E548" s="107"/>
      <c r="F548" s="19"/>
      <c r="G548" s="19"/>
      <c r="H548" s="19"/>
      <c r="I548" s="19"/>
      <c r="J548" s="19"/>
      <c r="K548" s="228"/>
      <c r="L548" s="19"/>
      <c r="M548" s="19"/>
      <c r="N548" s="19"/>
      <c r="O548" s="19"/>
      <c r="P548" s="19"/>
      <c r="Q548" s="19"/>
      <c r="R548" s="19"/>
      <c r="S548" s="19"/>
      <c r="T548" s="19"/>
      <c r="U548" s="19"/>
      <c r="V548" s="19"/>
      <c r="W548" s="19"/>
      <c r="X548" s="19"/>
      <c r="Y548" s="19"/>
    </row>
    <row r="549" spans="1:25" ht="12" customHeight="1">
      <c r="B549" s="19"/>
      <c r="C549" s="19"/>
      <c r="D549" s="107"/>
      <c r="E549" s="112"/>
      <c r="F549" s="19"/>
      <c r="G549" s="19"/>
      <c r="H549" s="19"/>
      <c r="I549" s="19"/>
      <c r="J549" s="19"/>
      <c r="K549" s="228"/>
      <c r="L549" s="19"/>
      <c r="M549" s="19"/>
      <c r="N549" s="19"/>
      <c r="O549" s="19"/>
      <c r="P549" s="19"/>
      <c r="Q549" s="19"/>
      <c r="R549" s="19"/>
      <c r="S549" s="19"/>
      <c r="T549" s="19"/>
      <c r="U549" s="19"/>
      <c r="V549" s="19"/>
      <c r="W549" s="19"/>
      <c r="X549" s="19"/>
      <c r="Y549" s="19"/>
    </row>
    <row r="550" spans="1:25" ht="32.25" customHeight="1">
      <c r="A550" s="218" t="s">
        <v>268</v>
      </c>
      <c r="B550" s="24" t="s">
        <v>90</v>
      </c>
      <c r="C550" s="25" t="s">
        <v>369</v>
      </c>
      <c r="D550" s="26" t="s">
        <v>32</v>
      </c>
      <c r="E550" s="123"/>
      <c r="K550" s="228"/>
      <c r="L550" s="19"/>
      <c r="M550" s="19"/>
      <c r="N550" s="19"/>
      <c r="O550" s="19"/>
      <c r="P550" s="19"/>
      <c r="Q550" s="19"/>
      <c r="R550" s="19"/>
      <c r="S550" s="19"/>
      <c r="T550" s="19"/>
      <c r="U550" s="19"/>
      <c r="V550" s="19"/>
      <c r="W550" s="19"/>
      <c r="X550" s="19"/>
      <c r="Y550" s="19"/>
    </row>
    <row r="551" spans="1:25" ht="12" customHeight="1">
      <c r="A551" s="219" t="n" cm="1">
        <f t="array" ref="A551">IFERROR(INDEX('03.Muestra'!$B$8:$B$42,SMALL(IF("Página Web"='03.Muestra'!$D$8:$D$42,ROW('03.Muestra'!$B$8:$B$42)-MIN(ROW('03.Muestra'!$D$8:$D$42))+1,""),ROW()-550)),"")</f>
        <v>1.0</v>
      </c>
      <c r="B551" s="114" t="str" cm="1">
        <f t="array" ref="B551">IFERROR(INDEX('03.Muestra'!$C$8:$C$42,SMALL(IF("Página Web"='03.Muestra'!$D$8:$D$42,ROW('03.Muestra'!$C$8:$C$42)-MIN(ROW('03.Muestra'!$D$8:$D$42))+1,""),ROW()-550)),"")</f>
        <v>Home - PortCastelló</v>
      </c>
      <c r="C551" s="114" t="str" cm="1">
        <f t="array" ref="C551">IFERROR(INDEX('03.Muestra'!$F$8:$F$42,SMALL(IF("Página Web"='03.Muestra'!$D$8:$D$42,ROW('03.Muestra'!$F$8:$F$42)-MIN(ROW('03.Muestra'!$D$8:$D$42))+1,""),ROW()-550)),"")</f>
        <v>https://www.portcastello.com/</v>
      </c>
      <c r="D551" s="130" t="str">
        <f>IF(AND(B551&lt;&gt;"",C551&lt;&gt;""),"N/T","")</f>
        <v>N/T</v>
      </c>
      <c r="E551" s="107" t="str">
        <f t="shared" ref="E551:E585" si="28">IF(D551&lt;&gt;"",IF(AND(B551&lt;&gt;"",C551&lt;&gt;""),"","ERR"),"")</f>
        <v/>
      </c>
      <c r="F551" s="115" t="s">
        <v>33</v>
      </c>
      <c r="G551" s="116" t="s">
        <v>37</v>
      </c>
      <c r="H551" s="117" t="s">
        <v>35</v>
      </c>
      <c r="I551" s="118" t="s">
        <v>28</v>
      </c>
      <c r="J551" s="119" t="s">
        <v>26</v>
      </c>
      <c r="K551" s="229" t="s">
        <v>474</v>
      </c>
      <c r="L551" s="19"/>
      <c r="M551" s="19"/>
      <c r="N551" s="19"/>
      <c r="O551" s="19"/>
      <c r="P551" s="19"/>
      <c r="Q551" s="19"/>
      <c r="R551" s="19"/>
      <c r="S551" s="19"/>
      <c r="T551" s="19"/>
      <c r="U551" s="19"/>
      <c r="V551" s="19"/>
      <c r="W551" s="19"/>
      <c r="X551" s="19"/>
      <c r="Y551" s="19"/>
    </row>
    <row r="552" spans="1:25" ht="12" customHeight="1">
      <c r="A552" s="219" t="n" cm="1">
        <f t="array" ref="A552">IFERROR(INDEX('03.Muestra'!$B$8:$B$42,SMALL(IF("Página Web"='03.Muestra'!$D$8:$D$42,ROW('03.Muestra'!$B$8:$B$42)-MIN(ROW('03.Muestra'!$D$8:$D$42))+1,""),ROW()-550)),"")</f>
        <v>1.0</v>
      </c>
      <c r="B552" s="114" t="str" cm="1">
        <f t="array" ref="B552">IFERROR(INDEX('03.Muestra'!$C$8:$C$42,SMALL(IF("Página Web"='03.Muestra'!$D$8:$D$42,ROW('03.Muestra'!$C$8:$C$42)-MIN(ROW('03.Muestra'!$D$8:$D$42))+1,""),ROW()-550)),"")</f>
        <v>Home - PortCastelló</v>
      </c>
      <c r="C552" s="114" t="str" cm="1">
        <f t="array" ref="C552">IFERROR(INDEX('03.Muestra'!$F$8:$F$42,SMALL(IF("Página Web"='03.Muestra'!$D$8:$D$42,ROW('03.Muestra'!$F$8:$F$42)-MIN(ROW('03.Muestra'!$D$8:$D$42))+1,""),ROW()-550)),"")</f>
        <v>https://www.portcastello.com/</v>
      </c>
      <c r="D552" s="130" t="str">
        <f t="shared" ref="D552:D585" si="29">IF(AND(B552&lt;&gt;"",C552&lt;&gt;""),"N/T","")</f>
        <v>N/T</v>
      </c>
      <c r="E552" s="107" t="str">
        <f t="shared" si="28"/>
        <v/>
      </c>
      <c r="F552" s="120" t="n">
        <f ca="1">COUNTIF($D551:INDIRECT("$D" &amp;  SUM(ROW()-1,'03.Muestra'!$D$45)-1),F551)</f>
        <v>33.0</v>
      </c>
      <c r="G552" s="120" t="n">
        <f ca="1">COUNTIF($D551:INDIRECT("$D" &amp;  SUM(ROW()-1,'03.Muestra'!$D$45)-1),G551)</f>
        <v>0.0</v>
      </c>
      <c r="H552" s="120" t="n">
        <f ca="1">COUNTIF($D551:INDIRECT("$D" &amp;  SUM(ROW()-1,'03.Muestra'!$D$45)-1),H551)</f>
        <v>0.0</v>
      </c>
      <c r="I552" s="120" t="n">
        <f ca="1">COUNTIF($D551:INDIRECT("$D" &amp;  SUM(ROW()-1,'03.Muestra'!$D$45)-1),I551)</f>
        <v>0.0</v>
      </c>
      <c r="J552" s="120" t="n">
        <f ca="1">COUNTIF($D551:INDIRECT("$D" &amp;  SUM(ROW()-1,'03.Muestra'!$D$45)-1),J551)</f>
        <v>0.0</v>
      </c>
      <c r="K552" s="230" t="n">
        <f ca="1">IF(COUNTIF('03.Muestra'!$D$8:$D$42,"Página Web")=0,0,COUNTBLANK($D551:INDIRECT("$D" &amp;  SUM(ROW()-1,COUNTIF('03.Muestra'!$D$8:$D$42,"Página Web"))-1)))</f>
        <v>0.0</v>
      </c>
      <c r="L552" s="19"/>
      <c r="M552" s="19"/>
      <c r="N552" s="19"/>
      <c r="O552" s="19"/>
      <c r="P552" s="19"/>
      <c r="Q552" s="19"/>
      <c r="R552" s="19"/>
      <c r="S552" s="19"/>
      <c r="T552" s="19"/>
      <c r="U552" s="19"/>
      <c r="V552" s="19"/>
      <c r="W552" s="19"/>
      <c r="X552" s="19"/>
      <c r="Y552" s="19"/>
    </row>
    <row r="553" spans="1:25" ht="12" customHeight="1">
      <c r="A553" s="219" t="n" cm="1">
        <f t="array" ref="A553">IFERROR(INDEX('03.Muestra'!$B$8:$B$42,SMALL(IF("Página Web"='03.Muestra'!$D$8:$D$42,ROW('03.Muestra'!$B$8:$B$42)-MIN(ROW('03.Muestra'!$D$8:$D$42))+1,""),ROW()-550)),"")</f>
        <v>1.0</v>
      </c>
      <c r="B553" s="114" t="str" cm="1">
        <f t="array" ref="B553">IFERROR(INDEX('03.Muestra'!$C$8:$C$42,SMALL(IF("Página Web"='03.Muestra'!$D$8:$D$42,ROW('03.Muestra'!$C$8:$C$42)-MIN(ROW('03.Muestra'!$D$8:$D$42))+1,""),ROW()-550)),"")</f>
        <v>Home - PortCastelló</v>
      </c>
      <c r="C553" s="114" t="str" cm="1">
        <f t="array" ref="C553">IFERROR(INDEX('03.Muestra'!$F$8:$F$42,SMALL(IF("Página Web"='03.Muestra'!$D$8:$D$42,ROW('03.Muestra'!$F$8:$F$42)-MIN(ROW('03.Muestra'!$D$8:$D$42))+1,""),ROW()-550)),"")</f>
        <v>https://www.portcastello.com/</v>
      </c>
      <c r="D553" s="130" t="str">
        <f t="shared" si="29"/>
        <v>N/T</v>
      </c>
      <c r="E553" s="107" t="str">
        <f t="shared" si="28"/>
        <v/>
      </c>
      <c r="G553" s="19"/>
      <c r="H553" s="19"/>
      <c r="I553" s="19"/>
      <c r="J553" s="19"/>
      <c r="K553" s="228"/>
      <c r="L553" s="19"/>
      <c r="M553" s="19"/>
      <c r="N553" s="19"/>
      <c r="O553" s="19"/>
      <c r="P553" s="19"/>
      <c r="Q553" s="19"/>
      <c r="R553" s="19"/>
      <c r="S553" s="19"/>
      <c r="T553" s="19"/>
      <c r="U553" s="19"/>
      <c r="V553" s="19"/>
      <c r="W553" s="19"/>
      <c r="X553" s="19"/>
      <c r="Y553" s="19"/>
    </row>
    <row r="554" spans="1:25" ht="12" customHeight="1">
      <c r="A554" s="219" t="n" cm="1">
        <f t="array" ref="A554">IFERROR(INDEX('03.Muestra'!$B$8:$B$42,SMALL(IF("Página Web"='03.Muestra'!$D$8:$D$42,ROW('03.Muestra'!$B$8:$B$42)-MIN(ROW('03.Muestra'!$D$8:$D$42))+1,""),ROW()-550)),"")</f>
        <v>1.0</v>
      </c>
      <c r="B554" s="114" t="str" cm="1">
        <f t="array" ref="B554">IFERROR(INDEX('03.Muestra'!$C$8:$C$42,SMALL(IF("Página Web"='03.Muestra'!$D$8:$D$42,ROW('03.Muestra'!$C$8:$C$42)-MIN(ROW('03.Muestra'!$D$8:$D$42))+1,""),ROW()-550)),"")</f>
        <v>Home - PortCastelló</v>
      </c>
      <c r="C554" s="114" t="str" cm="1">
        <f t="array" ref="C554">IFERROR(INDEX('03.Muestra'!$F$8:$F$42,SMALL(IF("Página Web"='03.Muestra'!$D$8:$D$42,ROW('03.Muestra'!$F$8:$F$42)-MIN(ROW('03.Muestra'!$D$8:$D$42))+1,""),ROW()-550)),"")</f>
        <v>https://www.portcastello.com/</v>
      </c>
      <c r="D554" s="130" t="str">
        <f t="shared" si="29"/>
        <v>N/T</v>
      </c>
      <c r="E554" s="107" t="str">
        <f t="shared" si="28"/>
        <v/>
      </c>
      <c r="G554" s="19"/>
      <c r="H554" s="19"/>
      <c r="I554" s="19"/>
      <c r="J554" s="19"/>
      <c r="K554" s="228"/>
      <c r="L554" s="19"/>
      <c r="M554" s="19"/>
      <c r="N554" s="19"/>
      <c r="O554" s="19"/>
      <c r="P554" s="19"/>
      <c r="Q554" s="19"/>
      <c r="R554" s="19"/>
      <c r="S554" s="19"/>
      <c r="T554" s="19"/>
      <c r="U554" s="19"/>
      <c r="V554" s="19"/>
      <c r="W554" s="19"/>
      <c r="X554" s="19"/>
      <c r="Y554" s="19"/>
    </row>
    <row r="555" spans="1:25" ht="12" customHeight="1">
      <c r="A555" s="219" t="n" cm="1">
        <f t="array" ref="A555">IFERROR(INDEX('03.Muestra'!$B$8:$B$42,SMALL(IF("Página Web"='03.Muestra'!$D$8:$D$42,ROW('03.Muestra'!$B$8:$B$42)-MIN(ROW('03.Muestra'!$D$8:$D$42))+1,""),ROW()-550)),"")</f>
        <v>1.0</v>
      </c>
      <c r="B555" s="114" t="str" cm="1">
        <f t="array" ref="B555">IFERROR(INDEX('03.Muestra'!$C$8:$C$42,SMALL(IF("Página Web"='03.Muestra'!$D$8:$D$42,ROW('03.Muestra'!$C$8:$C$42)-MIN(ROW('03.Muestra'!$D$8:$D$42))+1,""),ROW()-550)),"")</f>
        <v>Home - PortCastelló</v>
      </c>
      <c r="C555" s="114" t="str" cm="1">
        <f t="array" ref="C555">IFERROR(INDEX('03.Muestra'!$F$8:$F$42,SMALL(IF("Página Web"='03.Muestra'!$D$8:$D$42,ROW('03.Muestra'!$F$8:$F$42)-MIN(ROW('03.Muestra'!$D$8:$D$42))+1,""),ROW()-550)),"")</f>
        <v>https://www.portcastello.com/</v>
      </c>
      <c r="D555" s="130" t="str">
        <f t="shared" si="29"/>
        <v>N/T</v>
      </c>
      <c r="E555" s="107" t="str">
        <f t="shared" si="28"/>
        <v/>
      </c>
      <c r="G555" s="19"/>
      <c r="H555" s="19"/>
      <c r="I555" s="19"/>
      <c r="J555" s="19"/>
      <c r="K555" s="228"/>
      <c r="L555" s="19"/>
      <c r="M555" s="19"/>
      <c r="N555" s="19"/>
      <c r="O555" s="19"/>
      <c r="P555" s="19"/>
      <c r="Q555" s="19"/>
      <c r="R555" s="19"/>
      <c r="S555" s="19"/>
      <c r="T555" s="19"/>
      <c r="U555" s="19"/>
      <c r="V555" s="19"/>
      <c r="W555" s="19"/>
      <c r="X555" s="19"/>
      <c r="Y555" s="19"/>
    </row>
    <row r="556" spans="1:25" ht="12" customHeight="1">
      <c r="A556" s="219" t="n" cm="1">
        <f t="array" ref="A556">IFERROR(INDEX('03.Muestra'!$B$8:$B$42,SMALL(IF("Página Web"='03.Muestra'!$D$8:$D$42,ROW('03.Muestra'!$B$8:$B$42)-MIN(ROW('03.Muestra'!$D$8:$D$42))+1,""),ROW()-550)),"")</f>
        <v>1.0</v>
      </c>
      <c r="B556" s="114" t="str" cm="1">
        <f t="array" ref="B556">IFERROR(INDEX('03.Muestra'!$C$8:$C$42,SMALL(IF("Página Web"='03.Muestra'!$D$8:$D$42,ROW('03.Muestra'!$C$8:$C$42)-MIN(ROW('03.Muestra'!$D$8:$D$42))+1,""),ROW()-550)),"")</f>
        <v>Home - PortCastelló</v>
      </c>
      <c r="C556" s="114" t="str" cm="1">
        <f t="array" ref="C556">IFERROR(INDEX('03.Muestra'!$F$8:$F$42,SMALL(IF("Página Web"='03.Muestra'!$D$8:$D$42,ROW('03.Muestra'!$F$8:$F$42)-MIN(ROW('03.Muestra'!$D$8:$D$42))+1,""),ROW()-550)),"")</f>
        <v>https://www.portcastello.com/</v>
      </c>
      <c r="D556" s="130" t="str">
        <f t="shared" si="29"/>
        <v>N/T</v>
      </c>
      <c r="E556" s="107" t="str">
        <f t="shared" si="28"/>
        <v/>
      </c>
      <c r="G556" s="19"/>
      <c r="H556" s="19"/>
      <c r="I556" s="19"/>
      <c r="J556" s="19"/>
      <c r="K556" s="228"/>
      <c r="L556" s="19"/>
      <c r="M556" s="19"/>
      <c r="N556" s="19"/>
      <c r="O556" s="19"/>
      <c r="P556" s="19"/>
      <c r="Q556" s="19"/>
      <c r="R556" s="19"/>
      <c r="S556" s="19"/>
      <c r="T556" s="19"/>
      <c r="U556" s="19"/>
      <c r="V556" s="19"/>
      <c r="W556" s="19"/>
      <c r="X556" s="19"/>
      <c r="Y556" s="19"/>
    </row>
    <row r="557" spans="1:25" ht="12" customHeight="1">
      <c r="A557" s="219" t="n" cm="1">
        <f t="array" ref="A557">IFERROR(INDEX('03.Muestra'!$B$8:$B$42,SMALL(IF("Página Web"='03.Muestra'!$D$8:$D$42,ROW('03.Muestra'!$B$8:$B$42)-MIN(ROW('03.Muestra'!$D$8:$D$42))+1,""),ROW()-550)),"")</f>
        <v>1.0</v>
      </c>
      <c r="B557" s="114" t="str" cm="1">
        <f t="array" ref="B557">IFERROR(INDEX('03.Muestra'!$C$8:$C$42,SMALL(IF("Página Web"='03.Muestra'!$D$8:$D$42,ROW('03.Muestra'!$C$8:$C$42)-MIN(ROW('03.Muestra'!$D$8:$D$42))+1,""),ROW()-550)),"")</f>
        <v>Home - PortCastelló</v>
      </c>
      <c r="C557" s="114" t="str" cm="1">
        <f t="array" ref="C557">IFERROR(INDEX('03.Muestra'!$F$8:$F$42,SMALL(IF("Página Web"='03.Muestra'!$D$8:$D$42,ROW('03.Muestra'!$F$8:$F$42)-MIN(ROW('03.Muestra'!$D$8:$D$42))+1,""),ROW()-550)),"")</f>
        <v>https://www.portcastello.com/</v>
      </c>
      <c r="D557" s="130" t="str">
        <f t="shared" si="29"/>
        <v>N/T</v>
      </c>
      <c r="E557" s="107" t="str">
        <f t="shared" si="28"/>
        <v/>
      </c>
      <c r="F557" s="19"/>
      <c r="G557" s="19"/>
      <c r="H557" s="19"/>
      <c r="I557" s="19"/>
      <c r="J557" s="19"/>
      <c r="K557" s="228"/>
      <c r="L557" s="19"/>
      <c r="M557" s="19"/>
      <c r="N557" s="19"/>
      <c r="O557" s="19"/>
      <c r="P557" s="19"/>
      <c r="Q557" s="19"/>
      <c r="R557" s="19"/>
      <c r="S557" s="19"/>
      <c r="T557" s="19"/>
      <c r="U557" s="19"/>
      <c r="V557" s="19"/>
      <c r="W557" s="19"/>
      <c r="X557" s="19"/>
      <c r="Y557" s="19"/>
    </row>
    <row r="558" spans="1:25" ht="12" customHeight="1">
      <c r="A558" s="219" t="n" cm="1">
        <f t="array" ref="A558">IFERROR(INDEX('03.Muestra'!$B$8:$B$42,SMALL(IF("Página Web"='03.Muestra'!$D$8:$D$42,ROW('03.Muestra'!$B$8:$B$42)-MIN(ROW('03.Muestra'!$D$8:$D$42))+1,""),ROW()-550)),"")</f>
        <v>1.0</v>
      </c>
      <c r="B558" s="114" t="str" cm="1">
        <f t="array" ref="B558">IFERROR(INDEX('03.Muestra'!$C$8:$C$42,SMALL(IF("Página Web"='03.Muestra'!$D$8:$D$42,ROW('03.Muestra'!$C$8:$C$42)-MIN(ROW('03.Muestra'!$D$8:$D$42))+1,""),ROW()-550)),"")</f>
        <v>Home - PortCastelló</v>
      </c>
      <c r="C558" s="114" t="str" cm="1">
        <f t="array" ref="C558">IFERROR(INDEX('03.Muestra'!$F$8:$F$42,SMALL(IF("Página Web"='03.Muestra'!$D$8:$D$42,ROW('03.Muestra'!$F$8:$F$42)-MIN(ROW('03.Muestra'!$D$8:$D$42))+1,""),ROW()-550)),"")</f>
        <v>https://www.portcastello.com/</v>
      </c>
      <c r="D558" s="130" t="str">
        <f t="shared" si="29"/>
        <v>N/T</v>
      </c>
      <c r="E558" s="107" t="str">
        <f t="shared" si="28"/>
        <v/>
      </c>
      <c r="F558" s="19"/>
      <c r="G558" s="19"/>
      <c r="H558" s="19"/>
      <c r="I558" s="19"/>
      <c r="J558" s="19"/>
      <c r="K558" s="228"/>
      <c r="L558" s="19"/>
      <c r="M558" s="19"/>
      <c r="N558" s="19"/>
      <c r="O558" s="19"/>
      <c r="P558" s="19"/>
      <c r="Q558" s="19"/>
      <c r="R558" s="19"/>
      <c r="S558" s="19"/>
      <c r="T558" s="19"/>
      <c r="U558" s="19"/>
      <c r="V558" s="19"/>
      <c r="W558" s="19"/>
      <c r="X558" s="19"/>
      <c r="Y558" s="19"/>
    </row>
    <row r="559" spans="1:25" ht="12" customHeight="1">
      <c r="A559" s="219" t="n" cm="1">
        <f t="array" ref="A559">IFERROR(INDEX('03.Muestra'!$B$8:$B$42,SMALL(IF("Página Web"='03.Muestra'!$D$8:$D$42,ROW('03.Muestra'!$B$8:$B$42)-MIN(ROW('03.Muestra'!$D$8:$D$42))+1,""),ROW()-550)),"")</f>
        <v>1.0</v>
      </c>
      <c r="B559" s="114" t="str" cm="1">
        <f t="array" ref="B559">IFERROR(INDEX('03.Muestra'!$C$8:$C$42,SMALL(IF("Página Web"='03.Muestra'!$D$8:$D$42,ROW('03.Muestra'!$C$8:$C$42)-MIN(ROW('03.Muestra'!$D$8:$D$42))+1,""),ROW()-550)),"")</f>
        <v>Home - PortCastelló</v>
      </c>
      <c r="C559" s="114" t="str" cm="1">
        <f t="array" ref="C559">IFERROR(INDEX('03.Muestra'!$F$8:$F$42,SMALL(IF("Página Web"='03.Muestra'!$D$8:$D$42,ROW('03.Muestra'!$F$8:$F$42)-MIN(ROW('03.Muestra'!$D$8:$D$42))+1,""),ROW()-550)),"")</f>
        <v>https://www.portcastello.com/</v>
      </c>
      <c r="D559" s="130" t="str">
        <f t="shared" si="29"/>
        <v>N/T</v>
      </c>
      <c r="E559" s="107" t="str">
        <f t="shared" si="28"/>
        <v/>
      </c>
      <c r="F559" s="19"/>
      <c r="G559" s="19"/>
      <c r="H559" s="19"/>
      <c r="I559" s="19"/>
      <c r="J559" s="19"/>
      <c r="K559" s="228"/>
      <c r="L559" s="19"/>
      <c r="M559" s="19"/>
      <c r="N559" s="19"/>
      <c r="O559" s="19"/>
      <c r="P559" s="19"/>
      <c r="Q559" s="19"/>
      <c r="R559" s="19"/>
      <c r="S559" s="19"/>
      <c r="T559" s="19"/>
      <c r="U559" s="19"/>
      <c r="V559" s="19"/>
      <c r="W559" s="19"/>
      <c r="X559" s="19"/>
      <c r="Y559" s="19"/>
    </row>
    <row r="560" spans="1:25" ht="12" customHeight="1">
      <c r="A560" s="219" t="n" cm="1">
        <f t="array" ref="A560">IFERROR(INDEX('03.Muestra'!$B$8:$B$42,SMALL(IF("Página Web"='03.Muestra'!$D$8:$D$42,ROW('03.Muestra'!$B$8:$B$42)-MIN(ROW('03.Muestra'!$D$8:$D$42))+1,""),ROW()-550)),"")</f>
        <v>1.0</v>
      </c>
      <c r="B560" s="114" t="str" cm="1">
        <f t="array" ref="B560">IFERROR(INDEX('03.Muestra'!$C$8:$C$42,SMALL(IF("Página Web"='03.Muestra'!$D$8:$D$42,ROW('03.Muestra'!$C$8:$C$42)-MIN(ROW('03.Muestra'!$D$8:$D$42))+1,""),ROW()-550)),"")</f>
        <v>Home - PortCastelló</v>
      </c>
      <c r="C560" s="114" t="str" cm="1">
        <f t="array" ref="C560">IFERROR(INDEX('03.Muestra'!$F$8:$F$42,SMALL(IF("Página Web"='03.Muestra'!$D$8:$D$42,ROW('03.Muestra'!$F$8:$F$42)-MIN(ROW('03.Muestra'!$D$8:$D$42))+1,""),ROW()-550)),"")</f>
        <v>https://www.portcastello.com/</v>
      </c>
      <c r="D560" s="130" t="str">
        <f t="shared" si="29"/>
        <v>N/T</v>
      </c>
      <c r="E560" s="107" t="str">
        <f t="shared" si="28"/>
        <v/>
      </c>
      <c r="F560" s="19"/>
      <c r="G560" s="19"/>
      <c r="H560" s="19"/>
      <c r="I560" s="19"/>
      <c r="J560" s="19"/>
      <c r="K560" s="228"/>
      <c r="L560" s="19"/>
      <c r="M560" s="19"/>
      <c r="N560" s="19"/>
      <c r="O560" s="19"/>
      <c r="P560" s="19"/>
      <c r="Q560" s="19"/>
      <c r="R560" s="19"/>
      <c r="S560" s="19"/>
      <c r="T560" s="19"/>
      <c r="U560" s="19"/>
      <c r="V560" s="19"/>
      <c r="W560" s="19"/>
      <c r="X560" s="19"/>
      <c r="Y560" s="19"/>
    </row>
    <row r="561" spans="1:25" ht="12" customHeight="1">
      <c r="A561" s="219" t="n" cm="1">
        <f t="array" ref="A561">IFERROR(INDEX('03.Muestra'!$B$8:$B$42,SMALL(IF("Página Web"='03.Muestra'!$D$8:$D$42,ROW('03.Muestra'!$B$8:$B$42)-MIN(ROW('03.Muestra'!$D$8:$D$42))+1,""),ROW()-550)),"")</f>
        <v>1.0</v>
      </c>
      <c r="B561" s="114" t="str" cm="1">
        <f t="array" ref="B561">IFERROR(INDEX('03.Muestra'!$C$8:$C$42,SMALL(IF("Página Web"='03.Muestra'!$D$8:$D$42,ROW('03.Muestra'!$C$8:$C$42)-MIN(ROW('03.Muestra'!$D$8:$D$42))+1,""),ROW()-550)),"")</f>
        <v>Home - PortCastelló</v>
      </c>
      <c r="C561" s="114" t="str" cm="1">
        <f t="array" ref="C561">IFERROR(INDEX('03.Muestra'!$F$8:$F$42,SMALL(IF("Página Web"='03.Muestra'!$D$8:$D$42,ROW('03.Muestra'!$F$8:$F$42)-MIN(ROW('03.Muestra'!$D$8:$D$42))+1,""),ROW()-550)),"")</f>
        <v>https://www.portcastello.com/</v>
      </c>
      <c r="D561" s="130" t="str">
        <f t="shared" si="29"/>
        <v>N/T</v>
      </c>
      <c r="E561" s="107" t="str">
        <f t="shared" si="28"/>
        <v/>
      </c>
      <c r="F561" s="19"/>
      <c r="G561" s="19"/>
      <c r="H561" s="19"/>
      <c r="I561" s="19"/>
      <c r="J561" s="19"/>
      <c r="K561" s="228"/>
      <c r="L561" s="19"/>
      <c r="M561" s="19"/>
      <c r="N561" s="19"/>
      <c r="O561" s="19"/>
      <c r="P561" s="19"/>
      <c r="Q561" s="19"/>
      <c r="R561" s="19"/>
      <c r="S561" s="19"/>
      <c r="T561" s="19"/>
      <c r="U561" s="19"/>
      <c r="V561" s="19"/>
      <c r="W561" s="19"/>
      <c r="X561" s="19"/>
      <c r="Y561" s="19"/>
    </row>
    <row r="562" spans="1:25" ht="12" customHeight="1">
      <c r="A562" s="219" t="n" cm="1">
        <f t="array" ref="A562">IFERROR(INDEX('03.Muestra'!$B$8:$B$42,SMALL(IF("Página Web"='03.Muestra'!$D$8:$D$42,ROW('03.Muestra'!$B$8:$B$42)-MIN(ROW('03.Muestra'!$D$8:$D$42))+1,""),ROW()-550)),"")</f>
        <v>1.0</v>
      </c>
      <c r="B562" s="114" t="str" cm="1">
        <f t="array" ref="B562">IFERROR(INDEX('03.Muestra'!$C$8:$C$42,SMALL(IF("Página Web"='03.Muestra'!$D$8:$D$42,ROW('03.Muestra'!$C$8:$C$42)-MIN(ROW('03.Muestra'!$D$8:$D$42))+1,""),ROW()-550)),"")</f>
        <v>Home - PortCastelló</v>
      </c>
      <c r="C562" s="114" t="str" cm="1">
        <f t="array" ref="C562">IFERROR(INDEX('03.Muestra'!$F$8:$F$42,SMALL(IF("Página Web"='03.Muestra'!$D$8:$D$42,ROW('03.Muestra'!$F$8:$F$42)-MIN(ROW('03.Muestra'!$D$8:$D$42))+1,""),ROW()-550)),"")</f>
        <v>https://www.portcastello.com/</v>
      </c>
      <c r="D562" s="130" t="str">
        <f t="shared" si="29"/>
        <v>N/T</v>
      </c>
      <c r="E562" s="107" t="str">
        <f t="shared" si="28"/>
        <v/>
      </c>
      <c r="F562" s="19"/>
      <c r="G562" s="19"/>
      <c r="H562" s="19"/>
      <c r="I562" s="19"/>
      <c r="J562" s="19"/>
      <c r="K562" s="228"/>
      <c r="L562" s="19"/>
      <c r="M562" s="19"/>
      <c r="N562" s="19"/>
      <c r="O562" s="19"/>
      <c r="P562" s="19"/>
      <c r="Q562" s="19"/>
      <c r="R562" s="19"/>
      <c r="S562" s="19"/>
      <c r="T562" s="19"/>
      <c r="U562" s="19"/>
      <c r="V562" s="19"/>
      <c r="W562" s="19"/>
      <c r="X562" s="19"/>
      <c r="Y562" s="19"/>
    </row>
    <row r="563" spans="1:25" ht="14.1" customHeight="1">
      <c r="A563" s="219" t="n" cm="1">
        <f t="array" ref="A563">IFERROR(INDEX('03.Muestra'!$B$8:$B$42,SMALL(IF("Página Web"='03.Muestra'!$D$8:$D$42,ROW('03.Muestra'!$B$8:$B$42)-MIN(ROW('03.Muestra'!$D$8:$D$42))+1,""),ROW()-550)),"")</f>
        <v>1.0</v>
      </c>
      <c r="B563" s="114" t="str" cm="1">
        <f t="array" ref="B563">IFERROR(INDEX('03.Muestra'!$C$8:$C$42,SMALL(IF("Página Web"='03.Muestra'!$D$8:$D$42,ROW('03.Muestra'!$C$8:$C$42)-MIN(ROW('03.Muestra'!$D$8:$D$42))+1,""),ROW()-550)),"")</f>
        <v>Home - PortCastelló</v>
      </c>
      <c r="C563" s="114" t="str" cm="1">
        <f t="array" ref="C563">IFERROR(INDEX('03.Muestra'!$F$8:$F$42,SMALL(IF("Página Web"='03.Muestra'!$D$8:$D$42,ROW('03.Muestra'!$F$8:$F$42)-MIN(ROW('03.Muestra'!$D$8:$D$42))+1,""),ROW()-550)),"")</f>
        <v>https://www.portcastello.com/</v>
      </c>
      <c r="D563" s="130" t="str">
        <f t="shared" si="29"/>
        <v>N/T</v>
      </c>
      <c r="E563" s="107" t="str">
        <f t="shared" si="28"/>
        <v/>
      </c>
      <c r="F563" s="19"/>
      <c r="G563" s="19"/>
      <c r="H563" s="19"/>
      <c r="I563" s="19"/>
      <c r="J563" s="19"/>
      <c r="K563" s="228"/>
      <c r="L563" s="19"/>
      <c r="M563" s="19"/>
      <c r="N563" s="19"/>
      <c r="O563" s="19"/>
      <c r="P563" s="19"/>
      <c r="Q563" s="19"/>
      <c r="R563" s="19"/>
      <c r="S563" s="19"/>
      <c r="T563" s="19"/>
      <c r="U563" s="19"/>
      <c r="V563" s="19"/>
      <c r="W563" s="19"/>
      <c r="X563" s="19"/>
      <c r="Y563" s="19"/>
    </row>
    <row r="564" spans="1:25" ht="14.1" customHeight="1">
      <c r="A564" s="219" t="n" cm="1">
        <f t="array" ref="A564">IFERROR(INDEX('03.Muestra'!$B$8:$B$42,SMALL(IF("Página Web"='03.Muestra'!$D$8:$D$42,ROW('03.Muestra'!$B$8:$B$42)-MIN(ROW('03.Muestra'!$D$8:$D$42))+1,""),ROW()-550)),"")</f>
        <v>1.0</v>
      </c>
      <c r="B564" s="114" t="str" cm="1">
        <f t="array" ref="B564">IFERROR(INDEX('03.Muestra'!$C$8:$C$42,SMALL(IF("Página Web"='03.Muestra'!$D$8:$D$42,ROW('03.Muestra'!$C$8:$C$42)-MIN(ROW('03.Muestra'!$D$8:$D$42))+1,""),ROW()-550)),"")</f>
        <v>Home - PortCastelló</v>
      </c>
      <c r="C564" s="114" t="str" cm="1">
        <f t="array" ref="C564">IFERROR(INDEX('03.Muestra'!$F$8:$F$42,SMALL(IF("Página Web"='03.Muestra'!$D$8:$D$42,ROW('03.Muestra'!$F$8:$F$42)-MIN(ROW('03.Muestra'!$D$8:$D$42))+1,""),ROW()-550)),"")</f>
        <v>https://www.portcastello.com/</v>
      </c>
      <c r="D564" s="130" t="str">
        <f t="shared" si="29"/>
        <v>N/T</v>
      </c>
      <c r="E564" s="107" t="str">
        <f t="shared" si="28"/>
        <v/>
      </c>
      <c r="F564" s="19"/>
      <c r="G564" s="19"/>
      <c r="H564" s="19"/>
      <c r="I564" s="19"/>
      <c r="J564" s="19"/>
      <c r="K564" s="228"/>
      <c r="L564" s="19"/>
      <c r="M564" s="19"/>
      <c r="N564" s="19"/>
      <c r="O564" s="19"/>
      <c r="P564" s="19"/>
      <c r="Q564" s="19"/>
      <c r="R564" s="19"/>
      <c r="S564" s="19"/>
      <c r="T564" s="19"/>
      <c r="U564" s="19"/>
      <c r="V564" s="19"/>
      <c r="W564" s="19"/>
      <c r="X564" s="19"/>
      <c r="Y564" s="19"/>
    </row>
    <row r="565" spans="1:25" ht="14.1" customHeight="1">
      <c r="A565" s="219" t="n" cm="1">
        <f t="array" ref="A565">IFERROR(INDEX('03.Muestra'!$B$8:$B$42,SMALL(IF("Página Web"='03.Muestra'!$D$8:$D$42,ROW('03.Muestra'!$B$8:$B$42)-MIN(ROW('03.Muestra'!$D$8:$D$42))+1,""),ROW()-550)),"")</f>
        <v>1.0</v>
      </c>
      <c r="B565" s="114" t="str" cm="1">
        <f t="array" ref="B565">IFERROR(INDEX('03.Muestra'!$C$8:$C$42,SMALL(IF("Página Web"='03.Muestra'!$D$8:$D$42,ROW('03.Muestra'!$C$8:$C$42)-MIN(ROW('03.Muestra'!$D$8:$D$42))+1,""),ROW()-550)),"")</f>
        <v>Home - PortCastelló</v>
      </c>
      <c r="C565" s="114" t="str" cm="1">
        <f t="array" ref="C565">IFERROR(INDEX('03.Muestra'!$F$8:$F$42,SMALL(IF("Página Web"='03.Muestra'!$D$8:$D$42,ROW('03.Muestra'!$F$8:$F$42)-MIN(ROW('03.Muestra'!$D$8:$D$42))+1,""),ROW()-550)),"")</f>
        <v>https://www.portcastello.com/</v>
      </c>
      <c r="D565" s="130" t="str">
        <f t="shared" si="29"/>
        <v>N/T</v>
      </c>
      <c r="E565" s="107" t="str">
        <f t="shared" si="28"/>
        <v/>
      </c>
      <c r="F565" s="19"/>
      <c r="G565" s="19"/>
      <c r="H565" s="19"/>
      <c r="I565" s="19"/>
      <c r="J565" s="19"/>
      <c r="K565" s="228"/>
      <c r="L565" s="19"/>
      <c r="M565" s="19"/>
      <c r="N565" s="19"/>
      <c r="O565" s="19"/>
      <c r="P565" s="19"/>
      <c r="Q565" s="19"/>
      <c r="R565" s="19"/>
      <c r="S565" s="19"/>
      <c r="T565" s="19"/>
      <c r="U565" s="19"/>
      <c r="V565" s="19"/>
      <c r="W565" s="19"/>
      <c r="X565" s="19"/>
      <c r="Y565" s="19"/>
    </row>
    <row r="566" spans="1:25" ht="14.1" customHeight="1">
      <c r="A566" s="219" t="n" cm="1">
        <f t="array" ref="A566">IFERROR(INDEX('03.Muestra'!$B$8:$B$42,SMALL(IF("Página Web"='03.Muestra'!$D$8:$D$42,ROW('03.Muestra'!$B$8:$B$42)-MIN(ROW('03.Muestra'!$D$8:$D$42))+1,""),ROW()-550)),"")</f>
        <v>1.0</v>
      </c>
      <c r="B566" s="114" t="str" cm="1">
        <f t="array" ref="B566">IFERROR(INDEX('03.Muestra'!$C$8:$C$42,SMALL(IF("Página Web"='03.Muestra'!$D$8:$D$42,ROW('03.Muestra'!$C$8:$C$42)-MIN(ROW('03.Muestra'!$D$8:$D$42))+1,""),ROW()-550)),"")</f>
        <v>Home - PortCastelló</v>
      </c>
      <c r="C566" s="114" t="str" cm="1">
        <f t="array" ref="C566">IFERROR(INDEX('03.Muestra'!$F$8:$F$42,SMALL(IF("Página Web"='03.Muestra'!$D$8:$D$42,ROW('03.Muestra'!$F$8:$F$42)-MIN(ROW('03.Muestra'!$D$8:$D$42))+1,""),ROW()-550)),"")</f>
        <v>https://www.portcastello.com/</v>
      </c>
      <c r="D566" s="130" t="str">
        <f t="shared" si="29"/>
        <v>N/T</v>
      </c>
      <c r="E566" s="107" t="str">
        <f t="shared" si="28"/>
        <v/>
      </c>
      <c r="F566" s="19"/>
      <c r="G566" s="19"/>
      <c r="H566" s="19"/>
      <c r="I566" s="19"/>
      <c r="J566" s="19"/>
      <c r="K566" s="228"/>
      <c r="L566" s="19"/>
      <c r="M566" s="19"/>
      <c r="N566" s="19"/>
      <c r="O566" s="19"/>
      <c r="P566" s="19"/>
      <c r="Q566" s="19"/>
      <c r="R566" s="19"/>
      <c r="S566" s="19"/>
      <c r="T566" s="19"/>
      <c r="U566" s="19"/>
      <c r="V566" s="19"/>
      <c r="W566" s="19"/>
      <c r="X566" s="19"/>
      <c r="Y566" s="19"/>
    </row>
    <row r="567" spans="1:25" ht="14.1" customHeight="1">
      <c r="A567" s="219" t="n" cm="1">
        <f t="array" ref="A567">IFERROR(INDEX('03.Muestra'!$B$8:$B$42,SMALL(IF("Página Web"='03.Muestra'!$D$8:$D$42,ROW('03.Muestra'!$B$8:$B$42)-MIN(ROW('03.Muestra'!$D$8:$D$42))+1,""),ROW()-550)),"")</f>
        <v>1.0</v>
      </c>
      <c r="B567" s="114" t="str" cm="1">
        <f t="array" ref="B567">IFERROR(INDEX('03.Muestra'!$C$8:$C$42,SMALL(IF("Página Web"='03.Muestra'!$D$8:$D$42,ROW('03.Muestra'!$C$8:$C$42)-MIN(ROW('03.Muestra'!$D$8:$D$42))+1,""),ROW()-550)),"")</f>
        <v>Home - PortCastelló</v>
      </c>
      <c r="C567" s="114" t="str" cm="1">
        <f t="array" ref="C567">IFERROR(INDEX('03.Muestra'!$F$8:$F$42,SMALL(IF("Página Web"='03.Muestra'!$D$8:$D$42,ROW('03.Muestra'!$F$8:$F$42)-MIN(ROW('03.Muestra'!$D$8:$D$42))+1,""),ROW()-550)),"")</f>
        <v>https://www.portcastello.com/</v>
      </c>
      <c r="D567" s="130" t="str">
        <f t="shared" si="29"/>
        <v>N/T</v>
      </c>
      <c r="E567" s="107" t="str">
        <f t="shared" si="28"/>
        <v/>
      </c>
      <c r="F567" s="19"/>
      <c r="G567" s="19"/>
      <c r="H567" s="19"/>
      <c r="I567" s="19"/>
      <c r="J567" s="19"/>
      <c r="K567" s="228"/>
      <c r="L567" s="19"/>
      <c r="M567" s="19"/>
      <c r="N567" s="19"/>
      <c r="O567" s="19"/>
      <c r="P567" s="19"/>
      <c r="Q567" s="19"/>
      <c r="R567" s="19"/>
      <c r="S567" s="19"/>
      <c r="T567" s="19"/>
      <c r="U567" s="19"/>
      <c r="V567" s="19"/>
      <c r="W567" s="19"/>
      <c r="X567" s="19"/>
      <c r="Y567" s="19"/>
    </row>
    <row r="568" spans="1:25" ht="14.1" customHeight="1">
      <c r="A568" s="219" t="n" cm="1">
        <f t="array" ref="A568">IFERROR(INDEX('03.Muestra'!$B$8:$B$42,SMALL(IF("Página Web"='03.Muestra'!$D$8:$D$42,ROW('03.Muestra'!$B$8:$B$42)-MIN(ROW('03.Muestra'!$D$8:$D$42))+1,""),ROW()-550)),"")</f>
        <v>1.0</v>
      </c>
      <c r="B568" s="114" t="str" cm="1">
        <f t="array" ref="B568">IFERROR(INDEX('03.Muestra'!$C$8:$C$42,SMALL(IF("Página Web"='03.Muestra'!$D$8:$D$42,ROW('03.Muestra'!$C$8:$C$42)-MIN(ROW('03.Muestra'!$D$8:$D$42))+1,""),ROW()-550)),"")</f>
        <v>Home - PortCastelló</v>
      </c>
      <c r="C568" s="114" t="str" cm="1">
        <f t="array" ref="C568">IFERROR(INDEX('03.Muestra'!$F$8:$F$42,SMALL(IF("Página Web"='03.Muestra'!$D$8:$D$42,ROW('03.Muestra'!$F$8:$F$42)-MIN(ROW('03.Muestra'!$D$8:$D$42))+1,""),ROW()-550)),"")</f>
        <v>https://www.portcastello.com/</v>
      </c>
      <c r="D568" s="130" t="str">
        <f t="shared" si="29"/>
        <v>N/T</v>
      </c>
      <c r="E568" s="107" t="str">
        <f t="shared" si="28"/>
        <v/>
      </c>
      <c r="F568" s="19"/>
      <c r="G568" s="19"/>
      <c r="H568" s="19"/>
      <c r="I568" s="19"/>
      <c r="J568" s="19"/>
      <c r="K568" s="228"/>
      <c r="L568" s="19"/>
      <c r="M568" s="19"/>
      <c r="N568" s="19"/>
      <c r="O568" s="19"/>
      <c r="P568" s="19"/>
      <c r="Q568" s="19"/>
      <c r="R568" s="19"/>
      <c r="S568" s="19"/>
      <c r="T568" s="19"/>
      <c r="U568" s="19"/>
      <c r="V568" s="19"/>
      <c r="W568" s="19"/>
      <c r="X568" s="19"/>
      <c r="Y568" s="19"/>
    </row>
    <row r="569" spans="1:25" ht="14.1" customHeight="1">
      <c r="A569" s="219" t="n" cm="1">
        <f t="array" ref="A569">IFERROR(INDEX('03.Muestra'!$B$8:$B$42,SMALL(IF("Página Web"='03.Muestra'!$D$8:$D$42,ROW('03.Muestra'!$B$8:$B$42)-MIN(ROW('03.Muestra'!$D$8:$D$42))+1,""),ROW()-550)),"")</f>
        <v>1.0</v>
      </c>
      <c r="B569" s="114" t="str" cm="1">
        <f t="array" ref="B569">IFERROR(INDEX('03.Muestra'!$C$8:$C$42,SMALL(IF("Página Web"='03.Muestra'!$D$8:$D$42,ROW('03.Muestra'!$C$8:$C$42)-MIN(ROW('03.Muestra'!$D$8:$D$42))+1,""),ROW()-550)),"")</f>
        <v>Home - PortCastelló</v>
      </c>
      <c r="C569" s="114" t="str" cm="1">
        <f t="array" ref="C569">IFERROR(INDEX('03.Muestra'!$F$8:$F$42,SMALL(IF("Página Web"='03.Muestra'!$D$8:$D$42,ROW('03.Muestra'!$F$8:$F$42)-MIN(ROW('03.Muestra'!$D$8:$D$42))+1,""),ROW()-550)),"")</f>
        <v>https://www.portcastello.com/</v>
      </c>
      <c r="D569" s="130" t="str">
        <f t="shared" si="29"/>
        <v>N/T</v>
      </c>
      <c r="E569" s="107" t="str">
        <f t="shared" si="28"/>
        <v/>
      </c>
      <c r="F569" s="19"/>
      <c r="G569" s="19"/>
      <c r="H569" s="19"/>
      <c r="I569" s="19"/>
      <c r="J569" s="19"/>
      <c r="K569" s="228"/>
      <c r="L569" s="19"/>
      <c r="M569" s="19"/>
      <c r="N569" s="19"/>
      <c r="O569" s="19"/>
      <c r="P569" s="19"/>
      <c r="Q569" s="19"/>
      <c r="R569" s="19"/>
      <c r="S569" s="19"/>
      <c r="T569" s="19"/>
      <c r="U569" s="19"/>
      <c r="V569" s="19"/>
      <c r="W569" s="19"/>
      <c r="X569" s="19"/>
      <c r="Y569" s="19"/>
    </row>
    <row r="570" spans="1:25" ht="14.1" customHeight="1">
      <c r="A570" s="219" t="n" cm="1">
        <f t="array" ref="A570">IFERROR(INDEX('03.Muestra'!$B$8:$B$42,SMALL(IF("Página Web"='03.Muestra'!$D$8:$D$42,ROW('03.Muestra'!$B$8:$B$42)-MIN(ROW('03.Muestra'!$D$8:$D$42))+1,""),ROW()-550)),"")</f>
        <v>1.0</v>
      </c>
      <c r="B570" s="114" t="str" cm="1">
        <f t="array" ref="B570">IFERROR(INDEX('03.Muestra'!$C$8:$C$42,SMALL(IF("Página Web"='03.Muestra'!$D$8:$D$42,ROW('03.Muestra'!$C$8:$C$42)-MIN(ROW('03.Muestra'!$D$8:$D$42))+1,""),ROW()-550)),"")</f>
        <v>Home - PortCastelló</v>
      </c>
      <c r="C570" s="114" t="str" cm="1">
        <f t="array" ref="C570">IFERROR(INDEX('03.Muestra'!$F$8:$F$42,SMALL(IF("Página Web"='03.Muestra'!$D$8:$D$42,ROW('03.Muestra'!$F$8:$F$42)-MIN(ROW('03.Muestra'!$D$8:$D$42))+1,""),ROW()-550)),"")</f>
        <v>https://www.portcastello.com/</v>
      </c>
      <c r="D570" s="130" t="str">
        <f t="shared" si="29"/>
        <v>N/T</v>
      </c>
      <c r="E570" s="107" t="str">
        <f t="shared" si="28"/>
        <v/>
      </c>
      <c r="F570" s="19"/>
      <c r="G570" s="19"/>
      <c r="H570" s="19"/>
      <c r="I570" s="19"/>
      <c r="J570" s="19"/>
      <c r="K570" s="228"/>
      <c r="L570" s="19"/>
      <c r="M570" s="19"/>
      <c r="N570" s="19"/>
      <c r="O570" s="19"/>
      <c r="P570" s="19"/>
      <c r="Q570" s="19"/>
      <c r="R570" s="19"/>
      <c r="S570" s="19"/>
      <c r="T570" s="19"/>
      <c r="U570" s="19"/>
      <c r="V570" s="19"/>
      <c r="W570" s="19"/>
      <c r="X570" s="19"/>
      <c r="Y570" s="19"/>
    </row>
    <row r="571" spans="1:25" ht="14.1" customHeight="1">
      <c r="A571" s="219" t="n" cm="1">
        <f t="array" ref="A571">IFERROR(INDEX('03.Muestra'!$B$8:$B$42,SMALL(IF("Página Web"='03.Muestra'!$D$8:$D$42,ROW('03.Muestra'!$B$8:$B$42)-MIN(ROW('03.Muestra'!$D$8:$D$42))+1,""),ROW()-550)),"")</f>
        <v>1.0</v>
      </c>
      <c r="B571" s="114" t="str" cm="1">
        <f t="array" ref="B571">IFERROR(INDEX('03.Muestra'!$C$8:$C$42,SMALL(IF("Página Web"='03.Muestra'!$D$8:$D$42,ROW('03.Muestra'!$C$8:$C$42)-MIN(ROW('03.Muestra'!$D$8:$D$42))+1,""),ROW()-550)),"")</f>
        <v>Home - PortCastelló</v>
      </c>
      <c r="C571" s="114" t="str" cm="1">
        <f t="array" ref="C571">IFERROR(INDEX('03.Muestra'!$F$8:$F$42,SMALL(IF("Página Web"='03.Muestra'!$D$8:$D$42,ROW('03.Muestra'!$F$8:$F$42)-MIN(ROW('03.Muestra'!$D$8:$D$42))+1,""),ROW()-550)),"")</f>
        <v>https://www.portcastello.com/</v>
      </c>
      <c r="D571" s="130" t="str">
        <f t="shared" si="29"/>
        <v>N/T</v>
      </c>
      <c r="E571" s="107" t="str">
        <f t="shared" si="28"/>
        <v/>
      </c>
      <c r="F571" s="19"/>
      <c r="G571" s="19"/>
      <c r="H571" s="19"/>
      <c r="I571" s="19"/>
      <c r="J571" s="19"/>
      <c r="K571" s="228"/>
      <c r="L571" s="19"/>
      <c r="M571" s="19"/>
      <c r="N571" s="19"/>
      <c r="O571" s="19"/>
      <c r="P571" s="19"/>
      <c r="Q571" s="19"/>
      <c r="R571" s="19"/>
      <c r="S571" s="19"/>
      <c r="T571" s="19"/>
      <c r="U571" s="19"/>
      <c r="V571" s="19"/>
      <c r="W571" s="19"/>
      <c r="X571" s="19"/>
      <c r="Y571" s="19"/>
    </row>
    <row r="572" spans="1:25" ht="14.1" customHeight="1">
      <c r="A572" s="219" t="n" cm="1">
        <f t="array" ref="A572">IFERROR(INDEX('03.Muestra'!$B$8:$B$42,SMALL(IF("Página Web"='03.Muestra'!$D$8:$D$42,ROW('03.Muestra'!$B$8:$B$42)-MIN(ROW('03.Muestra'!$D$8:$D$42))+1,""),ROW()-550)),"")</f>
        <v>1.0</v>
      </c>
      <c r="B572" s="114" t="str" cm="1">
        <f t="array" ref="B572">IFERROR(INDEX('03.Muestra'!$C$8:$C$42,SMALL(IF("Página Web"='03.Muestra'!$D$8:$D$42,ROW('03.Muestra'!$C$8:$C$42)-MIN(ROW('03.Muestra'!$D$8:$D$42))+1,""),ROW()-550)),"")</f>
        <v>Home - PortCastelló</v>
      </c>
      <c r="C572" s="114" t="str" cm="1">
        <f t="array" ref="C572">IFERROR(INDEX('03.Muestra'!$F$8:$F$42,SMALL(IF("Página Web"='03.Muestra'!$D$8:$D$42,ROW('03.Muestra'!$F$8:$F$42)-MIN(ROW('03.Muestra'!$D$8:$D$42))+1,""),ROW()-550)),"")</f>
        <v>https://www.portcastello.com/</v>
      </c>
      <c r="D572" s="130" t="str">
        <f t="shared" si="29"/>
        <v>N/T</v>
      </c>
      <c r="E572" s="107" t="str">
        <f t="shared" si="28"/>
        <v/>
      </c>
      <c r="F572" s="19"/>
      <c r="G572" s="19"/>
      <c r="H572" s="19"/>
      <c r="I572" s="19"/>
      <c r="J572" s="19"/>
      <c r="K572" s="228"/>
      <c r="L572" s="19"/>
      <c r="M572" s="19"/>
      <c r="N572" s="19"/>
      <c r="O572" s="19"/>
      <c r="P572" s="19"/>
      <c r="Q572" s="19"/>
      <c r="R572" s="19"/>
      <c r="S572" s="19"/>
      <c r="T572" s="19"/>
      <c r="U572" s="19"/>
      <c r="V572" s="19"/>
      <c r="W572" s="19"/>
      <c r="X572" s="19"/>
      <c r="Y572" s="19"/>
    </row>
    <row r="573" spans="1:25" ht="14.1" customHeight="1">
      <c r="A573" s="219" t="n" cm="1">
        <f t="array" ref="A573">IFERROR(INDEX('03.Muestra'!$B$8:$B$42,SMALL(IF("Página Web"='03.Muestra'!$D$8:$D$42,ROW('03.Muestra'!$B$8:$B$42)-MIN(ROW('03.Muestra'!$D$8:$D$42))+1,""),ROW()-550)),"")</f>
        <v>1.0</v>
      </c>
      <c r="B573" s="114" t="str" cm="1">
        <f t="array" ref="B573">IFERROR(INDEX('03.Muestra'!$C$8:$C$42,SMALL(IF("Página Web"='03.Muestra'!$D$8:$D$42,ROW('03.Muestra'!$C$8:$C$42)-MIN(ROW('03.Muestra'!$D$8:$D$42))+1,""),ROW()-550)),"")</f>
        <v>Home - PortCastelló</v>
      </c>
      <c r="C573" s="114" t="str" cm="1">
        <f t="array" ref="C573">IFERROR(INDEX('03.Muestra'!$F$8:$F$42,SMALL(IF("Página Web"='03.Muestra'!$D$8:$D$42,ROW('03.Muestra'!$F$8:$F$42)-MIN(ROW('03.Muestra'!$D$8:$D$42))+1,""),ROW()-550)),"")</f>
        <v>https://www.portcastello.com/</v>
      </c>
      <c r="D573" s="130" t="str">
        <f t="shared" si="29"/>
        <v>N/T</v>
      </c>
      <c r="E573" s="107" t="str">
        <f t="shared" si="28"/>
        <v/>
      </c>
      <c r="F573" s="19"/>
      <c r="G573" s="19"/>
      <c r="H573" s="19"/>
      <c r="I573" s="19"/>
      <c r="J573" s="19"/>
      <c r="K573" s="228"/>
      <c r="L573" s="19"/>
      <c r="M573" s="19"/>
      <c r="N573" s="19"/>
      <c r="O573" s="19"/>
      <c r="P573" s="19"/>
      <c r="Q573" s="19"/>
      <c r="R573" s="19"/>
      <c r="S573" s="19"/>
      <c r="T573" s="19"/>
      <c r="U573" s="19"/>
      <c r="V573" s="19"/>
      <c r="W573" s="19"/>
      <c r="X573" s="19"/>
      <c r="Y573" s="19"/>
    </row>
    <row r="574" spans="1:25" ht="12" customHeight="1">
      <c r="A574" s="219" t="n" cm="1">
        <f t="array" ref="A574">IFERROR(INDEX('03.Muestra'!$B$8:$B$42,SMALL(IF("Página Web"='03.Muestra'!$D$8:$D$42,ROW('03.Muestra'!$B$8:$B$42)-MIN(ROW('03.Muestra'!$D$8:$D$42))+1,""),ROW()-550)),"")</f>
        <v>1.0</v>
      </c>
      <c r="B574" s="114" t="str" cm="1">
        <f t="array" ref="B574">IFERROR(INDEX('03.Muestra'!$C$8:$C$42,SMALL(IF("Página Web"='03.Muestra'!$D$8:$D$42,ROW('03.Muestra'!$C$8:$C$42)-MIN(ROW('03.Muestra'!$D$8:$D$42))+1,""),ROW()-550)),"")</f>
        <v>Home - PortCastelló</v>
      </c>
      <c r="C574" s="114" t="str" cm="1">
        <f t="array" ref="C574">IFERROR(INDEX('03.Muestra'!$F$8:$F$42,SMALL(IF("Página Web"='03.Muestra'!$D$8:$D$42,ROW('03.Muestra'!$F$8:$F$42)-MIN(ROW('03.Muestra'!$D$8:$D$42))+1,""),ROW()-550)),"")</f>
        <v>https://www.portcastello.com/</v>
      </c>
      <c r="D574" s="130" t="str">
        <f t="shared" si="29"/>
        <v>N/T</v>
      </c>
      <c r="E574" s="107" t="str">
        <f t="shared" si="28"/>
        <v/>
      </c>
      <c r="F574" s="19"/>
      <c r="G574" s="19"/>
      <c r="H574" s="19"/>
      <c r="I574" s="19"/>
      <c r="J574" s="19"/>
      <c r="K574" s="228"/>
      <c r="L574" s="19"/>
      <c r="M574" s="19"/>
      <c r="N574" s="19"/>
      <c r="O574" s="19"/>
      <c r="P574" s="19"/>
      <c r="Q574" s="19"/>
      <c r="R574" s="19"/>
      <c r="S574" s="19"/>
      <c r="T574" s="19"/>
      <c r="U574" s="19"/>
      <c r="V574" s="19"/>
      <c r="W574" s="19"/>
      <c r="X574" s="19"/>
      <c r="Y574" s="19"/>
    </row>
    <row r="575" spans="1:25" ht="12" customHeight="1">
      <c r="A575" s="219" t="n" cm="1">
        <f t="array" ref="A575">IFERROR(INDEX('03.Muestra'!$B$8:$B$42,SMALL(IF("Página Web"='03.Muestra'!$D$8:$D$42,ROW('03.Muestra'!$B$8:$B$42)-MIN(ROW('03.Muestra'!$D$8:$D$42))+1,""),ROW()-550)),"")</f>
        <v>1.0</v>
      </c>
      <c r="B575" s="114" t="str" cm="1">
        <f t="array" ref="B575">IFERROR(INDEX('03.Muestra'!$C$8:$C$42,SMALL(IF("Página Web"='03.Muestra'!$D$8:$D$42,ROW('03.Muestra'!$C$8:$C$42)-MIN(ROW('03.Muestra'!$D$8:$D$42))+1,""),ROW()-550)),"")</f>
        <v>Home - PortCastelló</v>
      </c>
      <c r="C575" s="114" t="str" cm="1">
        <f t="array" ref="C575">IFERROR(INDEX('03.Muestra'!$F$8:$F$42,SMALL(IF("Página Web"='03.Muestra'!$D$8:$D$42,ROW('03.Muestra'!$F$8:$F$42)-MIN(ROW('03.Muestra'!$D$8:$D$42))+1,""),ROW()-550)),"")</f>
        <v>https://www.portcastello.com/</v>
      </c>
      <c r="D575" s="130" t="str">
        <f t="shared" si="29"/>
        <v>N/T</v>
      </c>
      <c r="E575" s="107" t="str">
        <f t="shared" si="28"/>
        <v/>
      </c>
      <c r="F575" s="19"/>
      <c r="G575" s="19"/>
      <c r="H575" s="19"/>
      <c r="I575" s="19"/>
      <c r="J575" s="19"/>
      <c r="K575" s="228"/>
      <c r="L575" s="19"/>
      <c r="M575" s="19"/>
      <c r="N575" s="19"/>
      <c r="O575" s="19"/>
      <c r="P575" s="19"/>
      <c r="Q575" s="19"/>
      <c r="R575" s="19"/>
      <c r="S575" s="19"/>
      <c r="T575" s="19"/>
      <c r="U575" s="19"/>
      <c r="V575" s="19"/>
      <c r="W575" s="19"/>
      <c r="X575" s="19"/>
      <c r="Y575" s="19"/>
    </row>
    <row r="576" spans="1:25" ht="12" customHeight="1">
      <c r="A576" s="219" t="n" cm="1">
        <f t="array" ref="A576">IFERROR(INDEX('03.Muestra'!$B$8:$B$42,SMALL(IF("Página Web"='03.Muestra'!$D$8:$D$42,ROW('03.Muestra'!$B$8:$B$42)-MIN(ROW('03.Muestra'!$D$8:$D$42))+1,""),ROW()-550)),"")</f>
        <v>1.0</v>
      </c>
      <c r="B576" s="114" t="str" cm="1">
        <f t="array" ref="B576">IFERROR(INDEX('03.Muestra'!$C$8:$C$42,SMALL(IF("Página Web"='03.Muestra'!$D$8:$D$42,ROW('03.Muestra'!$C$8:$C$42)-MIN(ROW('03.Muestra'!$D$8:$D$42))+1,""),ROW()-550)),"")</f>
        <v>Home - PortCastelló</v>
      </c>
      <c r="C576" s="114" t="str" cm="1">
        <f t="array" ref="C576">IFERROR(INDEX('03.Muestra'!$F$8:$F$42,SMALL(IF("Página Web"='03.Muestra'!$D$8:$D$42,ROW('03.Muestra'!$F$8:$F$42)-MIN(ROW('03.Muestra'!$D$8:$D$42))+1,""),ROW()-550)),"")</f>
        <v>https://www.portcastello.com/</v>
      </c>
      <c r="D576" s="130" t="str">
        <f t="shared" si="29"/>
        <v>N/T</v>
      </c>
      <c r="E576" s="107" t="str">
        <f t="shared" si="28"/>
        <v/>
      </c>
      <c r="F576" s="19"/>
      <c r="G576" s="19"/>
      <c r="H576" s="19"/>
      <c r="I576" s="19"/>
      <c r="J576" s="19"/>
      <c r="K576" s="228"/>
      <c r="L576" s="19"/>
      <c r="M576" s="19"/>
      <c r="N576" s="19"/>
      <c r="O576" s="19"/>
      <c r="P576" s="19"/>
      <c r="Q576" s="19"/>
      <c r="R576" s="19"/>
      <c r="S576" s="19"/>
      <c r="T576" s="19"/>
      <c r="U576" s="19"/>
      <c r="V576" s="19"/>
      <c r="W576" s="19"/>
      <c r="X576" s="19"/>
      <c r="Y576" s="19"/>
    </row>
    <row r="577" spans="1:25" ht="12" customHeight="1">
      <c r="A577" s="219" t="n" cm="1">
        <f t="array" ref="A577">IFERROR(INDEX('03.Muestra'!$B$8:$B$42,SMALL(IF("Página Web"='03.Muestra'!$D$8:$D$42,ROW('03.Muestra'!$B$8:$B$42)-MIN(ROW('03.Muestra'!$D$8:$D$42))+1,""),ROW()-550)),"")</f>
        <v>1.0</v>
      </c>
      <c r="B577" s="114" t="str" cm="1">
        <f t="array" ref="B577">IFERROR(INDEX('03.Muestra'!$C$8:$C$42,SMALL(IF("Página Web"='03.Muestra'!$D$8:$D$42,ROW('03.Muestra'!$C$8:$C$42)-MIN(ROW('03.Muestra'!$D$8:$D$42))+1,""),ROW()-550)),"")</f>
        <v>Home - PortCastelló</v>
      </c>
      <c r="C577" s="114" t="str" cm="1">
        <f t="array" ref="C577">IFERROR(INDEX('03.Muestra'!$F$8:$F$42,SMALL(IF("Página Web"='03.Muestra'!$D$8:$D$42,ROW('03.Muestra'!$F$8:$F$42)-MIN(ROW('03.Muestra'!$D$8:$D$42))+1,""),ROW()-550)),"")</f>
        <v>https://www.portcastello.com/</v>
      </c>
      <c r="D577" s="130" t="str">
        <f t="shared" si="29"/>
        <v>N/T</v>
      </c>
      <c r="E577" s="107" t="str">
        <f t="shared" si="28"/>
        <v/>
      </c>
      <c r="F577" s="19"/>
      <c r="G577" s="19"/>
      <c r="H577" s="19"/>
      <c r="I577" s="19"/>
      <c r="J577" s="19"/>
      <c r="K577" s="228"/>
      <c r="L577" s="19"/>
      <c r="M577" s="19"/>
      <c r="N577" s="19"/>
      <c r="O577" s="19"/>
      <c r="P577" s="19"/>
      <c r="Q577" s="19"/>
      <c r="R577" s="19"/>
      <c r="S577" s="19"/>
      <c r="T577" s="19"/>
      <c r="U577" s="19"/>
      <c r="V577" s="19"/>
      <c r="W577" s="19"/>
      <c r="X577" s="19"/>
      <c r="Y577" s="19"/>
    </row>
    <row r="578" spans="1:25" ht="12" customHeight="1">
      <c r="A578" s="219" t="n" cm="1">
        <f t="array" ref="A578">IFERROR(INDEX('03.Muestra'!$B$8:$B$42,SMALL(IF("Página Web"='03.Muestra'!$D$8:$D$42,ROW('03.Muestra'!$B$8:$B$42)-MIN(ROW('03.Muestra'!$D$8:$D$42))+1,""),ROW()-550)),"")</f>
        <v>1.0</v>
      </c>
      <c r="B578" s="114" t="str" cm="1">
        <f t="array" ref="B578">IFERROR(INDEX('03.Muestra'!$C$8:$C$42,SMALL(IF("Página Web"='03.Muestra'!$D$8:$D$42,ROW('03.Muestra'!$C$8:$C$42)-MIN(ROW('03.Muestra'!$D$8:$D$42))+1,""),ROW()-550)),"")</f>
        <v>Home - PortCastelló</v>
      </c>
      <c r="C578" s="114" t="str" cm="1">
        <f t="array" ref="C578">IFERROR(INDEX('03.Muestra'!$F$8:$F$42,SMALL(IF("Página Web"='03.Muestra'!$D$8:$D$42,ROW('03.Muestra'!$F$8:$F$42)-MIN(ROW('03.Muestra'!$D$8:$D$42))+1,""),ROW()-550)),"")</f>
        <v>https://www.portcastello.com/</v>
      </c>
      <c r="D578" s="130" t="str">
        <f t="shared" si="29"/>
        <v>N/T</v>
      </c>
      <c r="E578" s="107" t="str">
        <f t="shared" si="28"/>
        <v/>
      </c>
      <c r="G578" s="19"/>
      <c r="H578" s="19"/>
      <c r="I578" s="19"/>
      <c r="J578" s="19"/>
      <c r="K578" s="228"/>
      <c r="L578" s="19"/>
      <c r="M578" s="19"/>
      <c r="N578" s="19"/>
      <c r="O578" s="19"/>
      <c r="P578" s="19"/>
      <c r="Q578" s="19"/>
      <c r="R578" s="19"/>
      <c r="S578" s="19"/>
      <c r="T578" s="19"/>
      <c r="U578" s="19"/>
      <c r="V578" s="19"/>
      <c r="W578" s="19"/>
      <c r="X578" s="19"/>
      <c r="Y578" s="19"/>
    </row>
    <row r="579" spans="1:25" ht="12" customHeight="1">
      <c r="A579" s="219" t="n" cm="1">
        <f t="array" ref="A579">IFERROR(INDEX('03.Muestra'!$B$8:$B$42,SMALL(IF("Página Web"='03.Muestra'!$D$8:$D$42,ROW('03.Muestra'!$B$8:$B$42)-MIN(ROW('03.Muestra'!$D$8:$D$42))+1,""),ROW()-550)),"")</f>
        <v>1.0</v>
      </c>
      <c r="B579" s="114" t="str" cm="1">
        <f t="array" ref="B579">IFERROR(INDEX('03.Muestra'!$C$8:$C$42,SMALL(IF("Página Web"='03.Muestra'!$D$8:$D$42,ROW('03.Muestra'!$C$8:$C$42)-MIN(ROW('03.Muestra'!$D$8:$D$42))+1,""),ROW()-550)),"")</f>
        <v>Home - PortCastelló</v>
      </c>
      <c r="C579" s="114" t="str" cm="1">
        <f t="array" ref="C579">IFERROR(INDEX('03.Muestra'!$F$8:$F$42,SMALL(IF("Página Web"='03.Muestra'!$D$8:$D$42,ROW('03.Muestra'!$F$8:$F$42)-MIN(ROW('03.Muestra'!$D$8:$D$42))+1,""),ROW()-550)),"")</f>
        <v>https://www.portcastello.com/</v>
      </c>
      <c r="D579" s="130" t="str">
        <f t="shared" si="29"/>
        <v>N/T</v>
      </c>
      <c r="E579" s="107" t="str">
        <f t="shared" si="28"/>
        <v/>
      </c>
      <c r="F579" s="124"/>
      <c r="G579" s="19"/>
      <c r="H579" s="19"/>
      <c r="I579" s="19"/>
      <c r="J579" s="19"/>
      <c r="K579" s="228"/>
      <c r="L579" s="19"/>
      <c r="M579" s="19"/>
      <c r="N579" s="19"/>
      <c r="O579" s="19"/>
      <c r="P579" s="19"/>
      <c r="Q579" s="19"/>
      <c r="R579" s="19"/>
      <c r="S579" s="19"/>
      <c r="T579" s="19"/>
      <c r="U579" s="19"/>
      <c r="V579" s="19"/>
      <c r="W579" s="19"/>
      <c r="X579" s="19"/>
      <c r="Y579" s="19"/>
    </row>
    <row r="580" spans="1:25" ht="12" customHeight="1">
      <c r="A580" s="219" t="n" cm="1">
        <f t="array" ref="A580">IFERROR(INDEX('03.Muestra'!$B$8:$B$42,SMALL(IF("Página Web"='03.Muestra'!$D$8:$D$42,ROW('03.Muestra'!$B$8:$B$42)-MIN(ROW('03.Muestra'!$D$8:$D$42))+1,""),ROW()-550)),"")</f>
        <v>1.0</v>
      </c>
      <c r="B580" s="114" t="str" cm="1">
        <f t="array" ref="B580">IFERROR(INDEX('03.Muestra'!$C$8:$C$42,SMALL(IF("Página Web"='03.Muestra'!$D$8:$D$42,ROW('03.Muestra'!$C$8:$C$42)-MIN(ROW('03.Muestra'!$D$8:$D$42))+1,""),ROW()-550)),"")</f>
        <v>Home - PortCastelló</v>
      </c>
      <c r="C580" s="114" t="str" cm="1">
        <f t="array" ref="C580">IFERROR(INDEX('03.Muestra'!$F$8:$F$42,SMALL(IF("Página Web"='03.Muestra'!$D$8:$D$42,ROW('03.Muestra'!$F$8:$F$42)-MIN(ROW('03.Muestra'!$D$8:$D$42))+1,""),ROW()-550)),"")</f>
        <v>https://www.portcastello.com/</v>
      </c>
      <c r="D580" s="130" t="str">
        <f t="shared" si="29"/>
        <v>N/T</v>
      </c>
      <c r="E580" s="107" t="str">
        <f t="shared" si="28"/>
        <v/>
      </c>
      <c r="F580" s="124"/>
      <c r="G580" s="19"/>
      <c r="H580" s="19"/>
      <c r="I580" s="19"/>
      <c r="J580" s="19"/>
      <c r="K580" s="228"/>
      <c r="L580" s="19"/>
      <c r="M580" s="19"/>
      <c r="N580" s="19"/>
      <c r="O580" s="19"/>
      <c r="P580" s="19"/>
      <c r="Q580" s="19"/>
      <c r="R580" s="19"/>
      <c r="S580" s="19"/>
      <c r="T580" s="19"/>
      <c r="U580" s="19"/>
      <c r="V580" s="19"/>
      <c r="W580" s="19"/>
      <c r="X580" s="19"/>
      <c r="Y580" s="19"/>
    </row>
    <row r="581" spans="1:25" ht="12" customHeight="1">
      <c r="A581" s="219" t="n" cm="1">
        <f t="array" ref="A581">IFERROR(INDEX('03.Muestra'!$B$8:$B$42,SMALL(IF("Página Web"='03.Muestra'!$D$8:$D$42,ROW('03.Muestra'!$B$8:$B$42)-MIN(ROW('03.Muestra'!$D$8:$D$42))+1,""),ROW()-550)),"")</f>
        <v>1.0</v>
      </c>
      <c r="B581" s="114" t="str" cm="1">
        <f t="array" ref="B581">IFERROR(INDEX('03.Muestra'!$C$8:$C$42,SMALL(IF("Página Web"='03.Muestra'!$D$8:$D$42,ROW('03.Muestra'!$C$8:$C$42)-MIN(ROW('03.Muestra'!$D$8:$D$42))+1,""),ROW()-550)),"")</f>
        <v>Home - PortCastelló</v>
      </c>
      <c r="C581" s="114" t="str" cm="1">
        <f t="array" ref="C581">IFERROR(INDEX('03.Muestra'!$F$8:$F$42,SMALL(IF("Página Web"='03.Muestra'!$D$8:$D$42,ROW('03.Muestra'!$F$8:$F$42)-MIN(ROW('03.Muestra'!$D$8:$D$42))+1,""),ROW()-550)),"")</f>
        <v>https://www.portcastello.com/</v>
      </c>
      <c r="D581" s="130" t="str">
        <f t="shared" si="29"/>
        <v>N/T</v>
      </c>
      <c r="E581" s="107" t="str">
        <f t="shared" si="28"/>
        <v/>
      </c>
      <c r="F581" s="124"/>
      <c r="G581" s="19"/>
      <c r="H581" s="19"/>
      <c r="I581" s="19"/>
      <c r="J581" s="19"/>
      <c r="K581" s="228"/>
      <c r="L581" s="19"/>
      <c r="M581" s="19"/>
      <c r="N581" s="19"/>
      <c r="O581" s="19"/>
      <c r="P581" s="19"/>
      <c r="Q581" s="19"/>
      <c r="R581" s="19"/>
      <c r="S581" s="19"/>
      <c r="T581" s="19"/>
      <c r="U581" s="19"/>
      <c r="V581" s="19"/>
      <c r="W581" s="19"/>
      <c r="X581" s="19"/>
      <c r="Y581" s="19"/>
    </row>
    <row r="582" spans="1:25" ht="12" customHeight="1">
      <c r="A582" s="219" t="n" cm="1">
        <f t="array" ref="A582">IFERROR(INDEX('03.Muestra'!$B$8:$B$42,SMALL(IF("Página Web"='03.Muestra'!$D$8:$D$42,ROW('03.Muestra'!$B$8:$B$42)-MIN(ROW('03.Muestra'!$D$8:$D$42))+1,""),ROW()-550)),"")</f>
        <v>1.0</v>
      </c>
      <c r="B582" s="114" t="str" cm="1">
        <f t="array" ref="B582">IFERROR(INDEX('03.Muestra'!$C$8:$C$42,SMALL(IF("Página Web"='03.Muestra'!$D$8:$D$42,ROW('03.Muestra'!$C$8:$C$42)-MIN(ROW('03.Muestra'!$D$8:$D$42))+1,""),ROW()-550)),"")</f>
        <v>Home - PortCastelló</v>
      </c>
      <c r="C582" s="114" t="str" cm="1">
        <f t="array" ref="C582">IFERROR(INDEX('03.Muestra'!$F$8:$F$42,SMALL(IF("Página Web"='03.Muestra'!$D$8:$D$42,ROW('03.Muestra'!$F$8:$F$42)-MIN(ROW('03.Muestra'!$D$8:$D$42))+1,""),ROW()-550)),"")</f>
        <v>https://www.portcastello.com/</v>
      </c>
      <c r="D582" s="130" t="str">
        <f t="shared" si="29"/>
        <v>N/T</v>
      </c>
      <c r="E582" s="107" t="str">
        <f t="shared" si="28"/>
        <v/>
      </c>
      <c r="F582" s="124"/>
      <c r="G582" s="19"/>
      <c r="H582" s="19"/>
      <c r="I582" s="19"/>
      <c r="J582" s="19"/>
      <c r="K582" s="228"/>
      <c r="L582" s="19"/>
      <c r="M582" s="19"/>
      <c r="N582" s="19"/>
      <c r="O582" s="19"/>
      <c r="P582" s="19"/>
      <c r="Q582" s="19"/>
      <c r="R582" s="19"/>
      <c r="S582" s="19"/>
      <c r="T582" s="19"/>
      <c r="U582" s="19"/>
      <c r="V582" s="19"/>
      <c r="W582" s="19"/>
      <c r="X582" s="19"/>
      <c r="Y582" s="19"/>
    </row>
    <row r="583" spans="1:25" ht="12" customHeight="1">
      <c r="A583" s="219" t="n" cm="1">
        <f t="array" ref="A583">IFERROR(INDEX('03.Muestra'!$B$8:$B$42,SMALL(IF("Página Web"='03.Muestra'!$D$8:$D$42,ROW('03.Muestra'!$B$8:$B$42)-MIN(ROW('03.Muestra'!$D$8:$D$42))+1,""),ROW()-550)),"")</f>
        <v>1.0</v>
      </c>
      <c r="B583" s="114" t="str" cm="1">
        <f t="array" ref="B583">IFERROR(INDEX('03.Muestra'!$C$8:$C$42,SMALL(IF("Página Web"='03.Muestra'!$D$8:$D$42,ROW('03.Muestra'!$C$8:$C$42)-MIN(ROW('03.Muestra'!$D$8:$D$42))+1,""),ROW()-550)),"")</f>
        <v>Home - PortCastelló</v>
      </c>
      <c r="C583" s="114" t="str" cm="1">
        <f t="array" ref="C583">IFERROR(INDEX('03.Muestra'!$F$8:$F$42,SMALL(IF("Página Web"='03.Muestra'!$D$8:$D$42,ROW('03.Muestra'!$F$8:$F$42)-MIN(ROW('03.Muestra'!$D$8:$D$42))+1,""),ROW()-550)),"")</f>
        <v>https://www.portcastello.com/</v>
      </c>
      <c r="D583" s="130" t="str">
        <f t="shared" si="29"/>
        <v>N/T</v>
      </c>
      <c r="E583" s="107" t="str">
        <f t="shared" si="28"/>
        <v/>
      </c>
      <c r="F583" s="124"/>
      <c r="G583" s="19"/>
      <c r="H583" s="19"/>
      <c r="I583" s="19"/>
      <c r="J583" s="19"/>
      <c r="K583" s="228"/>
      <c r="L583" s="19"/>
      <c r="M583" s="19"/>
      <c r="N583" s="19"/>
      <c r="O583" s="19"/>
      <c r="P583" s="19"/>
      <c r="Q583" s="19"/>
      <c r="R583" s="19"/>
      <c r="S583" s="19"/>
      <c r="T583" s="19"/>
      <c r="U583" s="19"/>
      <c r="V583" s="19"/>
      <c r="W583" s="19"/>
      <c r="X583" s="19"/>
      <c r="Y583" s="19"/>
    </row>
    <row r="584" spans="1:25" ht="12" customHeight="1">
      <c r="A584" s="219" t="str" cm="1">
        <f t="array" ref="A584">IFERROR(INDEX('03.Muestra'!$B$8:$B$42,SMALL(IF("Página Web"='03.Muestra'!$D$8:$D$42,ROW('03.Muestra'!$B$8:$B$42)-MIN(ROW('03.Muestra'!$D$8:$D$42))+1,""),ROW()-550)),"")</f>
        <v/>
      </c>
      <c r="B584" s="114" t="str" cm="1">
        <f t="array" ref="B584">IFERROR(INDEX('03.Muestra'!$C$8:$C$42,SMALL(IF("Página Web"='03.Muestra'!$D$8:$D$42,ROW('03.Muestra'!$C$8:$C$42)-MIN(ROW('03.Muestra'!$D$8:$D$42))+1,""),ROW()-550)),"")</f>
        <v/>
      </c>
      <c r="C584" s="114" t="str" cm="1">
        <f t="array" ref="C584">IFERROR(INDEX('03.Muestra'!$F$8:$F$42,SMALL(IF("Página Web"='03.Muestra'!$D$8:$D$42,ROW('03.Muestra'!$F$8:$F$42)-MIN(ROW('03.Muestra'!$D$8:$D$42))+1,""),ROW()-550)),"")</f>
        <v/>
      </c>
      <c r="D584" s="130" t="str">
        <f t="shared" si="29"/>
        <v/>
      </c>
      <c r="E584" s="107" t="str">
        <f t="shared" si="28"/>
        <v/>
      </c>
      <c r="F584" s="124"/>
      <c r="G584" s="19"/>
      <c r="H584" s="19"/>
      <c r="I584" s="19"/>
      <c r="J584" s="19"/>
      <c r="K584" s="228"/>
      <c r="L584" s="19"/>
      <c r="M584" s="19"/>
      <c r="N584" s="19"/>
      <c r="O584" s="19"/>
      <c r="P584" s="19"/>
      <c r="Q584" s="19"/>
      <c r="R584" s="19"/>
      <c r="S584" s="19"/>
      <c r="T584" s="19"/>
      <c r="U584" s="19"/>
      <c r="V584" s="19"/>
      <c r="W584" s="19"/>
      <c r="X584" s="19"/>
      <c r="Y584" s="19"/>
    </row>
    <row r="585" spans="1:25" ht="12" customHeight="1">
      <c r="A585" s="219" t="str" cm="1">
        <f t="array" ref="A585">IFERROR(INDEX('03.Muestra'!$B$8:$B$42,SMALL(IF("Página Web"='03.Muestra'!$D$8:$D$42,ROW('03.Muestra'!$B$8:$B$42)-MIN(ROW('03.Muestra'!$D$8:$D$42))+1,""),ROW()-550)),"")</f>
        <v/>
      </c>
      <c r="B585" s="114" t="str" cm="1">
        <f t="array" ref="B585">IFERROR(INDEX('03.Muestra'!$C$8:$C$42,SMALL(IF("Página Web"='03.Muestra'!$D$8:$D$42,ROW('03.Muestra'!$C$8:$C$42)-MIN(ROW('03.Muestra'!$D$8:$D$42))+1,""),ROW()-550)),"")</f>
        <v/>
      </c>
      <c r="C585" s="114" t="str" cm="1">
        <f t="array" ref="C585">IFERROR(INDEX('03.Muestra'!$F$8:$F$42,SMALL(IF("Página Web"='03.Muestra'!$D$8:$D$42,ROW('03.Muestra'!$F$8:$F$42)-MIN(ROW('03.Muestra'!$D$8:$D$42))+1,""),ROW()-550)),"")</f>
        <v/>
      </c>
      <c r="D585" s="130" t="str">
        <f t="shared" si="29"/>
        <v/>
      </c>
      <c r="E585" s="107" t="str">
        <f t="shared" si="28"/>
        <v/>
      </c>
      <c r="F585" s="19"/>
      <c r="G585" s="19"/>
      <c r="H585" s="19"/>
      <c r="I585" s="19"/>
      <c r="J585" s="19"/>
      <c r="K585" s="228"/>
      <c r="L585" s="19"/>
      <c r="M585" s="19"/>
      <c r="N585" s="19"/>
      <c r="O585" s="19"/>
      <c r="P585" s="19"/>
      <c r="Q585" s="19"/>
      <c r="R585" s="19"/>
      <c r="S585" s="19"/>
      <c r="T585" s="19"/>
      <c r="U585" s="19"/>
      <c r="V585" s="19"/>
      <c r="W585" s="19"/>
      <c r="X585" s="19"/>
      <c r="Y585" s="19"/>
    </row>
    <row r="586" spans="1:25" ht="12" customHeight="1">
      <c r="B586" s="19"/>
      <c r="C586" s="19"/>
      <c r="D586" s="107"/>
      <c r="E586" s="107"/>
      <c r="F586" s="19"/>
      <c r="G586" s="19"/>
      <c r="H586" s="19"/>
      <c r="I586" s="19"/>
      <c r="J586" s="19"/>
      <c r="K586" s="228"/>
      <c r="L586" s="19"/>
      <c r="M586" s="19"/>
      <c r="N586" s="19"/>
      <c r="O586" s="19"/>
      <c r="P586" s="19"/>
      <c r="Q586" s="19"/>
      <c r="R586" s="19"/>
      <c r="S586" s="19"/>
      <c r="T586" s="19"/>
      <c r="U586" s="19"/>
      <c r="V586" s="19"/>
      <c r="W586" s="19"/>
      <c r="X586" s="19"/>
      <c r="Y586" s="19"/>
    </row>
    <row r="587" spans="1:25" ht="12" customHeight="1">
      <c r="B587" s="19"/>
      <c r="C587" s="19"/>
      <c r="D587" s="107"/>
      <c r="E587" s="112"/>
      <c r="F587" s="19"/>
      <c r="G587" s="19"/>
      <c r="H587" s="19"/>
      <c r="I587" s="19"/>
      <c r="J587" s="19"/>
      <c r="K587" s="228"/>
      <c r="L587" s="19"/>
      <c r="M587" s="19"/>
      <c r="N587" s="19"/>
      <c r="O587" s="19"/>
      <c r="P587" s="19"/>
      <c r="Q587" s="19"/>
      <c r="R587" s="19"/>
      <c r="S587" s="19"/>
      <c r="T587" s="19"/>
      <c r="U587" s="19"/>
      <c r="V587" s="19"/>
      <c r="W587" s="19"/>
      <c r="X587" s="19"/>
      <c r="Y587" s="19"/>
    </row>
    <row r="588" spans="1:25" ht="32.25" customHeight="1">
      <c r="A588" s="218" t="s">
        <v>268</v>
      </c>
      <c r="B588" s="24" t="s">
        <v>90</v>
      </c>
      <c r="C588" s="25" t="s">
        <v>370</v>
      </c>
      <c r="D588" s="26" t="s">
        <v>32</v>
      </c>
      <c r="E588" s="123"/>
      <c r="K588" s="228"/>
      <c r="L588" s="19"/>
      <c r="M588" s="19"/>
      <c r="N588" s="19"/>
      <c r="O588" s="19"/>
      <c r="P588" s="19"/>
      <c r="Q588" s="19"/>
      <c r="R588" s="19"/>
      <c r="S588" s="19"/>
      <c r="T588" s="19"/>
      <c r="U588" s="19"/>
      <c r="V588" s="19"/>
      <c r="W588" s="19"/>
      <c r="X588" s="19"/>
      <c r="Y588" s="19"/>
    </row>
    <row r="589" spans="1:25" ht="12" customHeight="1">
      <c r="A589" s="219" t="n" cm="1">
        <f t="array" ref="A589">IFERROR(INDEX('03.Muestra'!$B$8:$B$42,SMALL(IF("Página Web"='03.Muestra'!$D$8:$D$42,ROW('03.Muestra'!$B$8:$B$42)-MIN(ROW('03.Muestra'!$D$8:$D$42))+1,""),ROW()-588)),"")</f>
        <v>1.0</v>
      </c>
      <c r="B589" s="114" t="str" cm="1">
        <f t="array" ref="B589">IFERROR(INDEX('03.Muestra'!$C$8:$C$42,SMALL(IF("Página Web"='03.Muestra'!$D$8:$D$42,ROW('03.Muestra'!$C$8:$C$42)-MIN(ROW('03.Muestra'!$D$8:$D$42))+1,""),ROW()-588)),"")</f>
        <v>Home - PortCastelló</v>
      </c>
      <c r="C589" s="114" t="str" cm="1">
        <f t="array" ref="C589">IFERROR(INDEX('03.Muestra'!$F$8:$F$42,SMALL(IF("Página Web"='03.Muestra'!$D$8:$D$42,ROW('03.Muestra'!$F$8:$F$42)-MIN(ROW('03.Muestra'!$D$8:$D$42))+1,""),ROW()-588)),"")</f>
        <v>https://www.portcastello.com/</v>
      </c>
      <c r="D589" s="130" t="str">
        <f>IF(AND(B589&lt;&gt;"",C589&lt;&gt;""),"N/T","")</f>
        <v>N/T</v>
      </c>
      <c r="E589" s="107" t="str">
        <f t="shared" ref="E589:E623" si="30">IF(D589&lt;&gt;"",IF(AND(B589&lt;&gt;"",C589&lt;&gt;""),"","ERR"),"")</f>
        <v/>
      </c>
      <c r="F589" s="115" t="s">
        <v>33</v>
      </c>
      <c r="G589" s="116" t="s">
        <v>37</v>
      </c>
      <c r="H589" s="117" t="s">
        <v>35</v>
      </c>
      <c r="I589" s="118" t="s">
        <v>28</v>
      </c>
      <c r="J589" s="119" t="s">
        <v>26</v>
      </c>
      <c r="K589" s="229" t="s">
        <v>474</v>
      </c>
      <c r="L589" s="19"/>
      <c r="M589" s="19"/>
      <c r="N589" s="19"/>
      <c r="O589" s="19"/>
      <c r="P589" s="19"/>
      <c r="Q589" s="19"/>
      <c r="R589" s="19"/>
      <c r="S589" s="19"/>
      <c r="T589" s="19"/>
      <c r="U589" s="19"/>
      <c r="V589" s="19"/>
      <c r="W589" s="19"/>
      <c r="X589" s="19"/>
      <c r="Y589" s="19"/>
    </row>
    <row r="590" spans="1:25" ht="12" customHeight="1">
      <c r="A590" s="219" t="n" cm="1">
        <f t="array" ref="A590">IFERROR(INDEX('03.Muestra'!$B$8:$B$42,SMALL(IF("Página Web"='03.Muestra'!$D$8:$D$42,ROW('03.Muestra'!$B$8:$B$42)-MIN(ROW('03.Muestra'!$D$8:$D$42))+1,""),ROW()-588)),"")</f>
        <v>1.0</v>
      </c>
      <c r="B590" s="114" t="str" cm="1">
        <f t="array" ref="B590">IFERROR(INDEX('03.Muestra'!$C$8:$C$42,SMALL(IF("Página Web"='03.Muestra'!$D$8:$D$42,ROW('03.Muestra'!$C$8:$C$42)-MIN(ROW('03.Muestra'!$D$8:$D$42))+1,""),ROW()-588)),"")</f>
        <v>Home - PortCastelló</v>
      </c>
      <c r="C590" s="114" t="str" cm="1">
        <f t="array" ref="C590">IFERROR(INDEX('03.Muestra'!$F$8:$F$42,SMALL(IF("Página Web"='03.Muestra'!$D$8:$D$42,ROW('03.Muestra'!$F$8:$F$42)-MIN(ROW('03.Muestra'!$D$8:$D$42))+1,""),ROW()-588)),"")</f>
        <v>https://www.portcastello.com/</v>
      </c>
      <c r="D590" s="130" t="str">
        <f t="shared" ref="D590:D623" si="31">IF(AND(B590&lt;&gt;"",C590&lt;&gt;""),"N/T","")</f>
        <v>N/T</v>
      </c>
      <c r="E590" s="107" t="str">
        <f t="shared" si="30"/>
        <v/>
      </c>
      <c r="F590" s="120" t="n">
        <f ca="1">COUNTIF($D589:INDIRECT("$D" &amp;  SUM(ROW()-1,'03.Muestra'!$D$45)-1),F589)</f>
        <v>33.0</v>
      </c>
      <c r="G590" s="120" t="n">
        <f ca="1">COUNTIF($D589:INDIRECT("$D" &amp;  SUM(ROW()-1,'03.Muestra'!$D$45)-1),G589)</f>
        <v>0.0</v>
      </c>
      <c r="H590" s="120" t="n">
        <f ca="1">COUNTIF($D589:INDIRECT("$D" &amp;  SUM(ROW()-1,'03.Muestra'!$D$45)-1),H589)</f>
        <v>0.0</v>
      </c>
      <c r="I590" s="120" t="n">
        <f ca="1">COUNTIF($D589:INDIRECT("$D" &amp;  SUM(ROW()-1,'03.Muestra'!$D$45)-1),I589)</f>
        <v>0.0</v>
      </c>
      <c r="J590" s="120" t="n">
        <f ca="1">COUNTIF($D589:INDIRECT("$D" &amp;  SUM(ROW()-1,'03.Muestra'!$D$45)-1),J589)</f>
        <v>0.0</v>
      </c>
      <c r="K590" s="230" t="n">
        <f ca="1">IF(COUNTIF('03.Muestra'!$D$8:$D$42,"Página Web")=0,0,COUNTBLANK($D589:INDIRECT("$D" &amp;  SUM(ROW()-1,COUNTIF('03.Muestra'!$D$8:$D$42,"Página Web"))-1)))</f>
        <v>0.0</v>
      </c>
      <c r="L590" s="19"/>
      <c r="M590" s="19"/>
      <c r="N590" s="19"/>
      <c r="O590" s="19"/>
      <c r="P590" s="19"/>
      <c r="Q590" s="19"/>
      <c r="R590" s="19"/>
      <c r="S590" s="19"/>
      <c r="T590" s="19"/>
      <c r="U590" s="19"/>
      <c r="V590" s="19"/>
      <c r="W590" s="19"/>
      <c r="X590" s="19"/>
      <c r="Y590" s="19"/>
    </row>
    <row r="591" spans="1:25" ht="12" customHeight="1">
      <c r="A591" s="219" t="n" cm="1">
        <f t="array" ref="A591">IFERROR(INDEX('03.Muestra'!$B$8:$B$42,SMALL(IF("Página Web"='03.Muestra'!$D$8:$D$42,ROW('03.Muestra'!$B$8:$B$42)-MIN(ROW('03.Muestra'!$D$8:$D$42))+1,""),ROW()-588)),"")</f>
        <v>1.0</v>
      </c>
      <c r="B591" s="114" t="str" cm="1">
        <f t="array" ref="B591">IFERROR(INDEX('03.Muestra'!$C$8:$C$42,SMALL(IF("Página Web"='03.Muestra'!$D$8:$D$42,ROW('03.Muestra'!$C$8:$C$42)-MIN(ROW('03.Muestra'!$D$8:$D$42))+1,""),ROW()-588)),"")</f>
        <v>Home - PortCastelló</v>
      </c>
      <c r="C591" s="114" t="str" cm="1">
        <f t="array" ref="C591">IFERROR(INDEX('03.Muestra'!$F$8:$F$42,SMALL(IF("Página Web"='03.Muestra'!$D$8:$D$42,ROW('03.Muestra'!$F$8:$F$42)-MIN(ROW('03.Muestra'!$D$8:$D$42))+1,""),ROW()-588)),"")</f>
        <v>https://www.portcastello.com/</v>
      </c>
      <c r="D591" s="130" t="str">
        <f t="shared" si="31"/>
        <v>N/T</v>
      </c>
      <c r="E591" s="107" t="str">
        <f t="shared" si="30"/>
        <v/>
      </c>
      <c r="G591" s="19"/>
      <c r="H591" s="19"/>
      <c r="I591" s="19"/>
      <c r="J591" s="19"/>
      <c r="K591" s="228"/>
      <c r="L591" s="19"/>
      <c r="M591" s="19"/>
      <c r="N591" s="19"/>
      <c r="O591" s="19"/>
      <c r="P591" s="19"/>
      <c r="Q591" s="19"/>
      <c r="R591" s="19"/>
      <c r="S591" s="19"/>
      <c r="T591" s="19"/>
      <c r="U591" s="19"/>
      <c r="V591" s="19"/>
      <c r="W591" s="19"/>
      <c r="X591" s="19"/>
      <c r="Y591" s="19"/>
    </row>
    <row r="592" spans="1:25" ht="12" customHeight="1">
      <c r="A592" s="219" t="n" cm="1">
        <f t="array" ref="A592">IFERROR(INDEX('03.Muestra'!$B$8:$B$42,SMALL(IF("Página Web"='03.Muestra'!$D$8:$D$42,ROW('03.Muestra'!$B$8:$B$42)-MIN(ROW('03.Muestra'!$D$8:$D$42))+1,""),ROW()-588)),"")</f>
        <v>1.0</v>
      </c>
      <c r="B592" s="114" t="str" cm="1">
        <f t="array" ref="B592">IFERROR(INDEX('03.Muestra'!$C$8:$C$42,SMALL(IF("Página Web"='03.Muestra'!$D$8:$D$42,ROW('03.Muestra'!$C$8:$C$42)-MIN(ROW('03.Muestra'!$D$8:$D$42))+1,""),ROW()-588)),"")</f>
        <v>Home - PortCastelló</v>
      </c>
      <c r="C592" s="114" t="str" cm="1">
        <f t="array" ref="C592">IFERROR(INDEX('03.Muestra'!$F$8:$F$42,SMALL(IF("Página Web"='03.Muestra'!$D$8:$D$42,ROW('03.Muestra'!$F$8:$F$42)-MIN(ROW('03.Muestra'!$D$8:$D$42))+1,""),ROW()-588)),"")</f>
        <v>https://www.portcastello.com/</v>
      </c>
      <c r="D592" s="130" t="str">
        <f t="shared" si="31"/>
        <v>N/T</v>
      </c>
      <c r="E592" s="107" t="str">
        <f t="shared" si="30"/>
        <v/>
      </c>
      <c r="G592" s="19"/>
      <c r="H592" s="19"/>
      <c r="I592" s="19"/>
      <c r="J592" s="19"/>
      <c r="K592" s="228"/>
      <c r="L592" s="19"/>
      <c r="M592" s="19"/>
      <c r="N592" s="19"/>
      <c r="O592" s="19"/>
      <c r="P592" s="19"/>
      <c r="Q592" s="19"/>
      <c r="R592" s="19"/>
      <c r="S592" s="19"/>
      <c r="T592" s="19"/>
      <c r="U592" s="19"/>
      <c r="V592" s="19"/>
      <c r="W592" s="19"/>
      <c r="X592" s="19"/>
      <c r="Y592" s="19"/>
    </row>
    <row r="593" spans="1:25" ht="12" customHeight="1">
      <c r="A593" s="219" t="n" cm="1">
        <f t="array" ref="A593">IFERROR(INDEX('03.Muestra'!$B$8:$B$42,SMALL(IF("Página Web"='03.Muestra'!$D$8:$D$42,ROW('03.Muestra'!$B$8:$B$42)-MIN(ROW('03.Muestra'!$D$8:$D$42))+1,""),ROW()-588)),"")</f>
        <v>1.0</v>
      </c>
      <c r="B593" s="114" t="str" cm="1">
        <f t="array" ref="B593">IFERROR(INDEX('03.Muestra'!$C$8:$C$42,SMALL(IF("Página Web"='03.Muestra'!$D$8:$D$42,ROW('03.Muestra'!$C$8:$C$42)-MIN(ROW('03.Muestra'!$D$8:$D$42))+1,""),ROW()-588)),"")</f>
        <v>Home - PortCastelló</v>
      </c>
      <c r="C593" s="114" t="str" cm="1">
        <f t="array" ref="C593">IFERROR(INDEX('03.Muestra'!$F$8:$F$42,SMALL(IF("Página Web"='03.Muestra'!$D$8:$D$42,ROW('03.Muestra'!$F$8:$F$42)-MIN(ROW('03.Muestra'!$D$8:$D$42))+1,""),ROW()-588)),"")</f>
        <v>https://www.portcastello.com/</v>
      </c>
      <c r="D593" s="130" t="str">
        <f t="shared" si="31"/>
        <v>N/T</v>
      </c>
      <c r="E593" s="107" t="str">
        <f t="shared" si="30"/>
        <v/>
      </c>
      <c r="G593" s="19"/>
      <c r="H593" s="19"/>
      <c r="I593" s="19"/>
      <c r="J593" s="19"/>
      <c r="K593" s="228"/>
      <c r="L593" s="19"/>
      <c r="M593" s="19"/>
      <c r="N593" s="19"/>
      <c r="O593" s="19"/>
      <c r="P593" s="19"/>
      <c r="Q593" s="19"/>
      <c r="R593" s="19"/>
      <c r="S593" s="19"/>
      <c r="T593" s="19"/>
      <c r="U593" s="19"/>
      <c r="V593" s="19"/>
      <c r="W593" s="19"/>
      <c r="X593" s="19"/>
      <c r="Y593" s="19"/>
    </row>
    <row r="594" spans="1:25" ht="12" customHeight="1">
      <c r="A594" s="219" t="n" cm="1">
        <f t="array" ref="A594">IFERROR(INDEX('03.Muestra'!$B$8:$B$42,SMALL(IF("Página Web"='03.Muestra'!$D$8:$D$42,ROW('03.Muestra'!$B$8:$B$42)-MIN(ROW('03.Muestra'!$D$8:$D$42))+1,""),ROW()-588)),"")</f>
        <v>1.0</v>
      </c>
      <c r="B594" s="114" t="str" cm="1">
        <f t="array" ref="B594">IFERROR(INDEX('03.Muestra'!$C$8:$C$42,SMALL(IF("Página Web"='03.Muestra'!$D$8:$D$42,ROW('03.Muestra'!$C$8:$C$42)-MIN(ROW('03.Muestra'!$D$8:$D$42))+1,""),ROW()-588)),"")</f>
        <v>Home - PortCastelló</v>
      </c>
      <c r="C594" s="114" t="str" cm="1">
        <f t="array" ref="C594">IFERROR(INDEX('03.Muestra'!$F$8:$F$42,SMALL(IF("Página Web"='03.Muestra'!$D$8:$D$42,ROW('03.Muestra'!$F$8:$F$42)-MIN(ROW('03.Muestra'!$D$8:$D$42))+1,""),ROW()-588)),"")</f>
        <v>https://www.portcastello.com/</v>
      </c>
      <c r="D594" s="130" t="str">
        <f t="shared" si="31"/>
        <v>N/T</v>
      </c>
      <c r="E594" s="107" t="str">
        <f t="shared" si="30"/>
        <v/>
      </c>
      <c r="G594" s="19"/>
      <c r="H594" s="19"/>
      <c r="I594" s="19"/>
      <c r="J594" s="19"/>
      <c r="K594" s="228"/>
      <c r="L594" s="19"/>
      <c r="M594" s="19"/>
      <c r="N594" s="19"/>
      <c r="O594" s="19"/>
      <c r="P594" s="19"/>
      <c r="Q594" s="19"/>
      <c r="R594" s="19"/>
      <c r="S594" s="19"/>
      <c r="T594" s="19"/>
      <c r="U594" s="19"/>
      <c r="V594" s="19"/>
      <c r="W594" s="19"/>
      <c r="X594" s="19"/>
      <c r="Y594" s="19"/>
    </row>
    <row r="595" spans="1:25" ht="12" customHeight="1">
      <c r="A595" s="219" t="n" cm="1">
        <f t="array" ref="A595">IFERROR(INDEX('03.Muestra'!$B$8:$B$42,SMALL(IF("Página Web"='03.Muestra'!$D$8:$D$42,ROW('03.Muestra'!$B$8:$B$42)-MIN(ROW('03.Muestra'!$D$8:$D$42))+1,""),ROW()-588)),"")</f>
        <v>1.0</v>
      </c>
      <c r="B595" s="114" t="str" cm="1">
        <f t="array" ref="B595">IFERROR(INDEX('03.Muestra'!$C$8:$C$42,SMALL(IF("Página Web"='03.Muestra'!$D$8:$D$42,ROW('03.Muestra'!$C$8:$C$42)-MIN(ROW('03.Muestra'!$D$8:$D$42))+1,""),ROW()-588)),"")</f>
        <v>Home - PortCastelló</v>
      </c>
      <c r="C595" s="114" t="str" cm="1">
        <f t="array" ref="C595">IFERROR(INDEX('03.Muestra'!$F$8:$F$42,SMALL(IF("Página Web"='03.Muestra'!$D$8:$D$42,ROW('03.Muestra'!$F$8:$F$42)-MIN(ROW('03.Muestra'!$D$8:$D$42))+1,""),ROW()-588)),"")</f>
        <v>https://www.portcastello.com/</v>
      </c>
      <c r="D595" s="130" t="str">
        <f t="shared" si="31"/>
        <v>N/T</v>
      </c>
      <c r="E595" s="107" t="str">
        <f t="shared" si="30"/>
        <v/>
      </c>
      <c r="F595" s="19"/>
      <c r="G595" s="19"/>
      <c r="H595" s="19"/>
      <c r="I595" s="19"/>
      <c r="J595" s="19"/>
      <c r="K595" s="228"/>
      <c r="L595" s="19"/>
      <c r="M595" s="19"/>
      <c r="N595" s="19"/>
      <c r="O595" s="19"/>
      <c r="P595" s="19"/>
      <c r="Q595" s="19"/>
      <c r="R595" s="19"/>
      <c r="S595" s="19"/>
      <c r="T595" s="19"/>
      <c r="U595" s="19"/>
      <c r="V595" s="19"/>
      <c r="W595" s="19"/>
      <c r="X595" s="19"/>
      <c r="Y595" s="19"/>
    </row>
    <row r="596" spans="1:25" ht="12" customHeight="1">
      <c r="A596" s="219" t="n" cm="1">
        <f t="array" ref="A596">IFERROR(INDEX('03.Muestra'!$B$8:$B$42,SMALL(IF("Página Web"='03.Muestra'!$D$8:$D$42,ROW('03.Muestra'!$B$8:$B$42)-MIN(ROW('03.Muestra'!$D$8:$D$42))+1,""),ROW()-588)),"")</f>
        <v>1.0</v>
      </c>
      <c r="B596" s="114" t="str" cm="1">
        <f t="array" ref="B596">IFERROR(INDEX('03.Muestra'!$C$8:$C$42,SMALL(IF("Página Web"='03.Muestra'!$D$8:$D$42,ROW('03.Muestra'!$C$8:$C$42)-MIN(ROW('03.Muestra'!$D$8:$D$42))+1,""),ROW()-588)),"")</f>
        <v>Home - PortCastelló</v>
      </c>
      <c r="C596" s="114" t="str" cm="1">
        <f t="array" ref="C596">IFERROR(INDEX('03.Muestra'!$F$8:$F$42,SMALL(IF("Página Web"='03.Muestra'!$D$8:$D$42,ROW('03.Muestra'!$F$8:$F$42)-MIN(ROW('03.Muestra'!$D$8:$D$42))+1,""),ROW()-588)),"")</f>
        <v>https://www.portcastello.com/</v>
      </c>
      <c r="D596" s="130" t="str">
        <f t="shared" si="31"/>
        <v>N/T</v>
      </c>
      <c r="E596" s="107" t="str">
        <f t="shared" si="30"/>
        <v/>
      </c>
      <c r="F596" s="19"/>
      <c r="G596" s="19"/>
      <c r="H596" s="19"/>
      <c r="I596" s="19"/>
      <c r="J596" s="19"/>
      <c r="K596" s="228"/>
      <c r="L596" s="19"/>
      <c r="M596" s="19"/>
      <c r="N596" s="19"/>
      <c r="O596" s="19"/>
      <c r="P596" s="19"/>
      <c r="Q596" s="19"/>
      <c r="R596" s="19"/>
      <c r="S596" s="19"/>
      <c r="T596" s="19"/>
      <c r="U596" s="19"/>
      <c r="V596" s="19"/>
      <c r="W596" s="19"/>
      <c r="X596" s="19"/>
      <c r="Y596" s="19"/>
    </row>
    <row r="597" spans="1:25" ht="12" customHeight="1">
      <c r="A597" s="219" t="n" cm="1">
        <f t="array" ref="A597">IFERROR(INDEX('03.Muestra'!$B$8:$B$42,SMALL(IF("Página Web"='03.Muestra'!$D$8:$D$42,ROW('03.Muestra'!$B$8:$B$42)-MIN(ROW('03.Muestra'!$D$8:$D$42))+1,""),ROW()-588)),"")</f>
        <v>1.0</v>
      </c>
      <c r="B597" s="114" t="str" cm="1">
        <f t="array" ref="B597">IFERROR(INDEX('03.Muestra'!$C$8:$C$42,SMALL(IF("Página Web"='03.Muestra'!$D$8:$D$42,ROW('03.Muestra'!$C$8:$C$42)-MIN(ROW('03.Muestra'!$D$8:$D$42))+1,""),ROW()-588)),"")</f>
        <v>Home - PortCastelló</v>
      </c>
      <c r="C597" s="114" t="str" cm="1">
        <f t="array" ref="C597">IFERROR(INDEX('03.Muestra'!$F$8:$F$42,SMALL(IF("Página Web"='03.Muestra'!$D$8:$D$42,ROW('03.Muestra'!$F$8:$F$42)-MIN(ROW('03.Muestra'!$D$8:$D$42))+1,""),ROW()-588)),"")</f>
        <v>https://www.portcastello.com/</v>
      </c>
      <c r="D597" s="130" t="str">
        <f t="shared" si="31"/>
        <v>N/T</v>
      </c>
      <c r="E597" s="107" t="str">
        <f t="shared" si="30"/>
        <v/>
      </c>
      <c r="F597" s="19"/>
      <c r="G597" s="19"/>
      <c r="H597" s="19"/>
      <c r="I597" s="19"/>
      <c r="J597" s="19"/>
      <c r="K597" s="228"/>
      <c r="L597" s="19"/>
      <c r="M597" s="19"/>
      <c r="N597" s="19"/>
      <c r="O597" s="19"/>
      <c r="P597" s="19"/>
      <c r="Q597" s="19"/>
      <c r="R597" s="19"/>
      <c r="S597" s="19"/>
      <c r="T597" s="19"/>
      <c r="U597" s="19"/>
      <c r="V597" s="19"/>
      <c r="W597" s="19"/>
      <c r="X597" s="19"/>
      <c r="Y597" s="19"/>
    </row>
    <row r="598" spans="1:25" ht="12" customHeight="1">
      <c r="A598" s="219" t="n" cm="1">
        <f t="array" ref="A598">IFERROR(INDEX('03.Muestra'!$B$8:$B$42,SMALL(IF("Página Web"='03.Muestra'!$D$8:$D$42,ROW('03.Muestra'!$B$8:$B$42)-MIN(ROW('03.Muestra'!$D$8:$D$42))+1,""),ROW()-588)),"")</f>
        <v>1.0</v>
      </c>
      <c r="B598" s="114" t="str" cm="1">
        <f t="array" ref="B598">IFERROR(INDEX('03.Muestra'!$C$8:$C$42,SMALL(IF("Página Web"='03.Muestra'!$D$8:$D$42,ROW('03.Muestra'!$C$8:$C$42)-MIN(ROW('03.Muestra'!$D$8:$D$42))+1,""),ROW()-588)),"")</f>
        <v>Home - PortCastelló</v>
      </c>
      <c r="C598" s="114" t="str" cm="1">
        <f t="array" ref="C598">IFERROR(INDEX('03.Muestra'!$F$8:$F$42,SMALL(IF("Página Web"='03.Muestra'!$D$8:$D$42,ROW('03.Muestra'!$F$8:$F$42)-MIN(ROW('03.Muestra'!$D$8:$D$42))+1,""),ROW()-588)),"")</f>
        <v>https://www.portcastello.com/</v>
      </c>
      <c r="D598" s="130" t="str">
        <f t="shared" si="31"/>
        <v>N/T</v>
      </c>
      <c r="E598" s="107" t="str">
        <f t="shared" si="30"/>
        <v/>
      </c>
      <c r="F598" s="19"/>
      <c r="G598" s="19"/>
      <c r="H598" s="19"/>
      <c r="I598" s="19"/>
      <c r="J598" s="19"/>
      <c r="K598" s="228"/>
      <c r="L598" s="19"/>
      <c r="M598" s="19"/>
      <c r="N598" s="19"/>
      <c r="O598" s="19"/>
      <c r="P598" s="19"/>
      <c r="Q598" s="19"/>
      <c r="R598" s="19"/>
      <c r="S598" s="19"/>
      <c r="T598" s="19"/>
      <c r="U598" s="19"/>
      <c r="V598" s="19"/>
      <c r="W598" s="19"/>
      <c r="X598" s="19"/>
      <c r="Y598" s="19"/>
    </row>
    <row r="599" spans="1:25" ht="12" customHeight="1">
      <c r="A599" s="219" t="n" cm="1">
        <f t="array" ref="A599">IFERROR(INDEX('03.Muestra'!$B$8:$B$42,SMALL(IF("Página Web"='03.Muestra'!$D$8:$D$42,ROW('03.Muestra'!$B$8:$B$42)-MIN(ROW('03.Muestra'!$D$8:$D$42))+1,""),ROW()-588)),"")</f>
        <v>1.0</v>
      </c>
      <c r="B599" s="114" t="str" cm="1">
        <f t="array" ref="B599">IFERROR(INDEX('03.Muestra'!$C$8:$C$42,SMALL(IF("Página Web"='03.Muestra'!$D$8:$D$42,ROW('03.Muestra'!$C$8:$C$42)-MIN(ROW('03.Muestra'!$D$8:$D$42))+1,""),ROW()-588)),"")</f>
        <v>Home - PortCastelló</v>
      </c>
      <c r="C599" s="114" t="str" cm="1">
        <f t="array" ref="C599">IFERROR(INDEX('03.Muestra'!$F$8:$F$42,SMALL(IF("Página Web"='03.Muestra'!$D$8:$D$42,ROW('03.Muestra'!$F$8:$F$42)-MIN(ROW('03.Muestra'!$D$8:$D$42))+1,""),ROW()-588)),"")</f>
        <v>https://www.portcastello.com/</v>
      </c>
      <c r="D599" s="130" t="str">
        <f t="shared" si="31"/>
        <v>N/T</v>
      </c>
      <c r="E599" s="107" t="str">
        <f t="shared" si="30"/>
        <v/>
      </c>
      <c r="F599" s="19"/>
      <c r="G599" s="19"/>
      <c r="H599" s="19"/>
      <c r="I599" s="19"/>
      <c r="J599" s="19"/>
      <c r="K599" s="228"/>
      <c r="L599" s="19"/>
      <c r="M599" s="19"/>
      <c r="N599" s="19"/>
      <c r="O599" s="19"/>
      <c r="P599" s="19"/>
      <c r="Q599" s="19"/>
      <c r="R599" s="19"/>
      <c r="S599" s="19"/>
      <c r="T599" s="19"/>
      <c r="U599" s="19"/>
      <c r="V599" s="19"/>
      <c r="W599" s="19"/>
      <c r="X599" s="19"/>
      <c r="Y599" s="19"/>
    </row>
    <row r="600" spans="1:25" ht="12" customHeight="1">
      <c r="A600" s="219" t="n" cm="1">
        <f t="array" ref="A600">IFERROR(INDEX('03.Muestra'!$B$8:$B$42,SMALL(IF("Página Web"='03.Muestra'!$D$8:$D$42,ROW('03.Muestra'!$B$8:$B$42)-MIN(ROW('03.Muestra'!$D$8:$D$42))+1,""),ROW()-588)),"")</f>
        <v>1.0</v>
      </c>
      <c r="B600" s="114" t="str" cm="1">
        <f t="array" ref="B600">IFERROR(INDEX('03.Muestra'!$C$8:$C$42,SMALL(IF("Página Web"='03.Muestra'!$D$8:$D$42,ROW('03.Muestra'!$C$8:$C$42)-MIN(ROW('03.Muestra'!$D$8:$D$42))+1,""),ROW()-588)),"")</f>
        <v>Home - PortCastelló</v>
      </c>
      <c r="C600" s="114" t="str" cm="1">
        <f t="array" ref="C600">IFERROR(INDEX('03.Muestra'!$F$8:$F$42,SMALL(IF("Página Web"='03.Muestra'!$D$8:$D$42,ROW('03.Muestra'!$F$8:$F$42)-MIN(ROW('03.Muestra'!$D$8:$D$42))+1,""),ROW()-588)),"")</f>
        <v>https://www.portcastello.com/</v>
      </c>
      <c r="D600" s="130" t="str">
        <f t="shared" si="31"/>
        <v>N/T</v>
      </c>
      <c r="E600" s="107" t="str">
        <f t="shared" si="30"/>
        <v/>
      </c>
      <c r="F600" s="19"/>
      <c r="G600" s="19"/>
      <c r="H600" s="19"/>
      <c r="I600" s="19"/>
      <c r="J600" s="19"/>
      <c r="K600" s="228"/>
      <c r="L600" s="19"/>
      <c r="M600" s="19"/>
      <c r="N600" s="19"/>
      <c r="O600" s="19"/>
      <c r="P600" s="19"/>
      <c r="Q600" s="19"/>
      <c r="R600" s="19"/>
      <c r="S600" s="19"/>
      <c r="T600" s="19"/>
      <c r="U600" s="19"/>
      <c r="V600" s="19"/>
      <c r="W600" s="19"/>
      <c r="X600" s="19"/>
      <c r="Y600" s="19"/>
    </row>
    <row r="601" spans="1:25" ht="14.1" customHeight="1">
      <c r="A601" s="219" t="n" cm="1">
        <f t="array" ref="A601">IFERROR(INDEX('03.Muestra'!$B$8:$B$42,SMALL(IF("Página Web"='03.Muestra'!$D$8:$D$42,ROW('03.Muestra'!$B$8:$B$42)-MIN(ROW('03.Muestra'!$D$8:$D$42))+1,""),ROW()-588)),"")</f>
        <v>1.0</v>
      </c>
      <c r="B601" s="114" t="str" cm="1">
        <f t="array" ref="B601">IFERROR(INDEX('03.Muestra'!$C$8:$C$42,SMALL(IF("Página Web"='03.Muestra'!$D$8:$D$42,ROW('03.Muestra'!$C$8:$C$42)-MIN(ROW('03.Muestra'!$D$8:$D$42))+1,""),ROW()-588)),"")</f>
        <v>Home - PortCastelló</v>
      </c>
      <c r="C601" s="114" t="str" cm="1">
        <f t="array" ref="C601">IFERROR(INDEX('03.Muestra'!$F$8:$F$42,SMALL(IF("Página Web"='03.Muestra'!$D$8:$D$42,ROW('03.Muestra'!$F$8:$F$42)-MIN(ROW('03.Muestra'!$D$8:$D$42))+1,""),ROW()-588)),"")</f>
        <v>https://www.portcastello.com/</v>
      </c>
      <c r="D601" s="130" t="str">
        <f t="shared" si="31"/>
        <v>N/T</v>
      </c>
      <c r="E601" s="107" t="str">
        <f t="shared" si="30"/>
        <v/>
      </c>
      <c r="F601" s="19"/>
      <c r="G601" s="19"/>
      <c r="H601" s="19"/>
      <c r="I601" s="19"/>
      <c r="J601" s="19"/>
      <c r="K601" s="228"/>
      <c r="L601" s="19"/>
      <c r="M601" s="19"/>
      <c r="N601" s="19"/>
      <c r="O601" s="19"/>
      <c r="P601" s="19"/>
      <c r="Q601" s="19"/>
      <c r="R601" s="19"/>
      <c r="S601" s="19"/>
      <c r="T601" s="19"/>
      <c r="U601" s="19"/>
      <c r="V601" s="19"/>
      <c r="W601" s="19"/>
      <c r="X601" s="19"/>
      <c r="Y601" s="19"/>
    </row>
    <row r="602" spans="1:25" ht="14.1" customHeight="1">
      <c r="A602" s="219" t="n" cm="1">
        <f t="array" ref="A602">IFERROR(INDEX('03.Muestra'!$B$8:$B$42,SMALL(IF("Página Web"='03.Muestra'!$D$8:$D$42,ROW('03.Muestra'!$B$8:$B$42)-MIN(ROW('03.Muestra'!$D$8:$D$42))+1,""),ROW()-588)),"")</f>
        <v>1.0</v>
      </c>
      <c r="B602" s="114" t="str" cm="1">
        <f t="array" ref="B602">IFERROR(INDEX('03.Muestra'!$C$8:$C$42,SMALL(IF("Página Web"='03.Muestra'!$D$8:$D$42,ROW('03.Muestra'!$C$8:$C$42)-MIN(ROW('03.Muestra'!$D$8:$D$42))+1,""),ROW()-588)),"")</f>
        <v>Home - PortCastelló</v>
      </c>
      <c r="C602" s="114" t="str" cm="1">
        <f t="array" ref="C602">IFERROR(INDEX('03.Muestra'!$F$8:$F$42,SMALL(IF("Página Web"='03.Muestra'!$D$8:$D$42,ROW('03.Muestra'!$F$8:$F$42)-MIN(ROW('03.Muestra'!$D$8:$D$42))+1,""),ROW()-588)),"")</f>
        <v>https://www.portcastello.com/</v>
      </c>
      <c r="D602" s="130" t="str">
        <f t="shared" si="31"/>
        <v>N/T</v>
      </c>
      <c r="E602" s="107" t="str">
        <f t="shared" si="30"/>
        <v/>
      </c>
      <c r="F602" s="19"/>
      <c r="G602" s="19"/>
      <c r="H602" s="19"/>
      <c r="I602" s="19"/>
      <c r="J602" s="19"/>
      <c r="K602" s="228"/>
      <c r="L602" s="19"/>
      <c r="M602" s="19"/>
      <c r="N602" s="19"/>
      <c r="O602" s="19"/>
      <c r="P602" s="19"/>
      <c r="Q602" s="19"/>
      <c r="R602" s="19"/>
      <c r="S602" s="19"/>
      <c r="T602" s="19"/>
      <c r="U602" s="19"/>
      <c r="V602" s="19"/>
      <c r="W602" s="19"/>
      <c r="X602" s="19"/>
      <c r="Y602" s="19"/>
    </row>
    <row r="603" spans="1:25" ht="14.1" customHeight="1">
      <c r="A603" s="219" t="n" cm="1">
        <f t="array" ref="A603">IFERROR(INDEX('03.Muestra'!$B$8:$B$42,SMALL(IF("Página Web"='03.Muestra'!$D$8:$D$42,ROW('03.Muestra'!$B$8:$B$42)-MIN(ROW('03.Muestra'!$D$8:$D$42))+1,""),ROW()-588)),"")</f>
        <v>1.0</v>
      </c>
      <c r="B603" s="114" t="str" cm="1">
        <f t="array" ref="B603">IFERROR(INDEX('03.Muestra'!$C$8:$C$42,SMALL(IF("Página Web"='03.Muestra'!$D$8:$D$42,ROW('03.Muestra'!$C$8:$C$42)-MIN(ROW('03.Muestra'!$D$8:$D$42))+1,""),ROW()-588)),"")</f>
        <v>Home - PortCastelló</v>
      </c>
      <c r="C603" s="114" t="str" cm="1">
        <f t="array" ref="C603">IFERROR(INDEX('03.Muestra'!$F$8:$F$42,SMALL(IF("Página Web"='03.Muestra'!$D$8:$D$42,ROW('03.Muestra'!$F$8:$F$42)-MIN(ROW('03.Muestra'!$D$8:$D$42))+1,""),ROW()-588)),"")</f>
        <v>https://www.portcastello.com/</v>
      </c>
      <c r="D603" s="130" t="str">
        <f t="shared" si="31"/>
        <v>N/T</v>
      </c>
      <c r="E603" s="107" t="str">
        <f t="shared" si="30"/>
        <v/>
      </c>
      <c r="F603" s="19"/>
      <c r="G603" s="19"/>
      <c r="H603" s="19"/>
      <c r="I603" s="19"/>
      <c r="J603" s="19"/>
      <c r="K603" s="228"/>
      <c r="L603" s="19"/>
      <c r="M603" s="19"/>
      <c r="N603" s="19"/>
      <c r="O603" s="19"/>
      <c r="P603" s="19"/>
      <c r="Q603" s="19"/>
      <c r="R603" s="19"/>
      <c r="S603" s="19"/>
      <c r="T603" s="19"/>
      <c r="U603" s="19"/>
      <c r="V603" s="19"/>
      <c r="W603" s="19"/>
      <c r="X603" s="19"/>
      <c r="Y603" s="19"/>
    </row>
    <row r="604" spans="1:25" ht="14.1" customHeight="1">
      <c r="A604" s="219" t="n" cm="1">
        <f t="array" ref="A604">IFERROR(INDEX('03.Muestra'!$B$8:$B$42,SMALL(IF("Página Web"='03.Muestra'!$D$8:$D$42,ROW('03.Muestra'!$B$8:$B$42)-MIN(ROW('03.Muestra'!$D$8:$D$42))+1,""),ROW()-588)),"")</f>
        <v>1.0</v>
      </c>
      <c r="B604" s="114" t="str" cm="1">
        <f t="array" ref="B604">IFERROR(INDEX('03.Muestra'!$C$8:$C$42,SMALL(IF("Página Web"='03.Muestra'!$D$8:$D$42,ROW('03.Muestra'!$C$8:$C$42)-MIN(ROW('03.Muestra'!$D$8:$D$42))+1,""),ROW()-588)),"")</f>
        <v>Home - PortCastelló</v>
      </c>
      <c r="C604" s="114" t="str" cm="1">
        <f t="array" ref="C604">IFERROR(INDEX('03.Muestra'!$F$8:$F$42,SMALL(IF("Página Web"='03.Muestra'!$D$8:$D$42,ROW('03.Muestra'!$F$8:$F$42)-MIN(ROW('03.Muestra'!$D$8:$D$42))+1,""),ROW()-588)),"")</f>
        <v>https://www.portcastello.com/</v>
      </c>
      <c r="D604" s="130" t="str">
        <f t="shared" si="31"/>
        <v>N/T</v>
      </c>
      <c r="E604" s="107" t="str">
        <f t="shared" si="30"/>
        <v/>
      </c>
      <c r="F604" s="19"/>
      <c r="G604" s="19"/>
      <c r="H604" s="19"/>
      <c r="I604" s="19"/>
      <c r="J604" s="19"/>
      <c r="K604" s="228"/>
      <c r="L604" s="19"/>
      <c r="M604" s="19"/>
      <c r="N604" s="19"/>
      <c r="O604" s="19"/>
      <c r="P604" s="19"/>
      <c r="Q604" s="19"/>
      <c r="R604" s="19"/>
      <c r="S604" s="19"/>
      <c r="T604" s="19"/>
      <c r="U604" s="19"/>
      <c r="V604" s="19"/>
      <c r="W604" s="19"/>
      <c r="X604" s="19"/>
      <c r="Y604" s="19"/>
    </row>
    <row r="605" spans="1:25" ht="14.1" customHeight="1">
      <c r="A605" s="219" t="n" cm="1">
        <f t="array" ref="A605">IFERROR(INDEX('03.Muestra'!$B$8:$B$42,SMALL(IF("Página Web"='03.Muestra'!$D$8:$D$42,ROW('03.Muestra'!$B$8:$B$42)-MIN(ROW('03.Muestra'!$D$8:$D$42))+1,""),ROW()-588)),"")</f>
        <v>1.0</v>
      </c>
      <c r="B605" s="114" t="str" cm="1">
        <f t="array" ref="B605">IFERROR(INDEX('03.Muestra'!$C$8:$C$42,SMALL(IF("Página Web"='03.Muestra'!$D$8:$D$42,ROW('03.Muestra'!$C$8:$C$42)-MIN(ROW('03.Muestra'!$D$8:$D$42))+1,""),ROW()-588)),"")</f>
        <v>Home - PortCastelló</v>
      </c>
      <c r="C605" s="114" t="str" cm="1">
        <f t="array" ref="C605">IFERROR(INDEX('03.Muestra'!$F$8:$F$42,SMALL(IF("Página Web"='03.Muestra'!$D$8:$D$42,ROW('03.Muestra'!$F$8:$F$42)-MIN(ROW('03.Muestra'!$D$8:$D$42))+1,""),ROW()-588)),"")</f>
        <v>https://www.portcastello.com/</v>
      </c>
      <c r="D605" s="130" t="str">
        <f t="shared" si="31"/>
        <v>N/T</v>
      </c>
      <c r="E605" s="107" t="str">
        <f t="shared" si="30"/>
        <v/>
      </c>
      <c r="F605" s="19"/>
      <c r="G605" s="19"/>
      <c r="H605" s="19"/>
      <c r="I605" s="19"/>
      <c r="J605" s="19"/>
      <c r="K605" s="228"/>
      <c r="L605" s="19"/>
      <c r="M605" s="19"/>
      <c r="N605" s="19"/>
      <c r="O605" s="19"/>
      <c r="P605" s="19"/>
      <c r="Q605" s="19"/>
      <c r="R605" s="19"/>
      <c r="S605" s="19"/>
      <c r="T605" s="19"/>
      <c r="U605" s="19"/>
      <c r="V605" s="19"/>
      <c r="W605" s="19"/>
      <c r="X605" s="19"/>
      <c r="Y605" s="19"/>
    </row>
    <row r="606" spans="1:25" ht="14.1" customHeight="1">
      <c r="A606" s="219" t="n" cm="1">
        <f t="array" ref="A606">IFERROR(INDEX('03.Muestra'!$B$8:$B$42,SMALL(IF("Página Web"='03.Muestra'!$D$8:$D$42,ROW('03.Muestra'!$B$8:$B$42)-MIN(ROW('03.Muestra'!$D$8:$D$42))+1,""),ROW()-588)),"")</f>
        <v>1.0</v>
      </c>
      <c r="B606" s="114" t="str" cm="1">
        <f t="array" ref="B606">IFERROR(INDEX('03.Muestra'!$C$8:$C$42,SMALL(IF("Página Web"='03.Muestra'!$D$8:$D$42,ROW('03.Muestra'!$C$8:$C$42)-MIN(ROW('03.Muestra'!$D$8:$D$42))+1,""),ROW()-588)),"")</f>
        <v>Home - PortCastelló</v>
      </c>
      <c r="C606" s="114" t="str" cm="1">
        <f t="array" ref="C606">IFERROR(INDEX('03.Muestra'!$F$8:$F$42,SMALL(IF("Página Web"='03.Muestra'!$D$8:$D$42,ROW('03.Muestra'!$F$8:$F$42)-MIN(ROW('03.Muestra'!$D$8:$D$42))+1,""),ROW()-588)),"")</f>
        <v>https://www.portcastello.com/</v>
      </c>
      <c r="D606" s="130" t="str">
        <f t="shared" si="31"/>
        <v>N/T</v>
      </c>
      <c r="E606" s="107" t="str">
        <f t="shared" si="30"/>
        <v/>
      </c>
      <c r="F606" s="19"/>
      <c r="G606" s="19"/>
      <c r="H606" s="19"/>
      <c r="I606" s="19"/>
      <c r="J606" s="19"/>
      <c r="K606" s="228"/>
      <c r="L606" s="19"/>
      <c r="M606" s="19"/>
      <c r="N606" s="19"/>
      <c r="O606" s="19"/>
      <c r="P606" s="19"/>
      <c r="Q606" s="19"/>
      <c r="R606" s="19"/>
      <c r="S606" s="19"/>
      <c r="T606" s="19"/>
      <c r="U606" s="19"/>
      <c r="V606" s="19"/>
      <c r="W606" s="19"/>
      <c r="X606" s="19"/>
      <c r="Y606" s="19"/>
    </row>
    <row r="607" spans="1:25" ht="14.1" customHeight="1">
      <c r="A607" s="219" t="n" cm="1">
        <f t="array" ref="A607">IFERROR(INDEX('03.Muestra'!$B$8:$B$42,SMALL(IF("Página Web"='03.Muestra'!$D$8:$D$42,ROW('03.Muestra'!$B$8:$B$42)-MIN(ROW('03.Muestra'!$D$8:$D$42))+1,""),ROW()-588)),"")</f>
        <v>1.0</v>
      </c>
      <c r="B607" s="114" t="str" cm="1">
        <f t="array" ref="B607">IFERROR(INDEX('03.Muestra'!$C$8:$C$42,SMALL(IF("Página Web"='03.Muestra'!$D$8:$D$42,ROW('03.Muestra'!$C$8:$C$42)-MIN(ROW('03.Muestra'!$D$8:$D$42))+1,""),ROW()-588)),"")</f>
        <v>Home - PortCastelló</v>
      </c>
      <c r="C607" s="114" t="str" cm="1">
        <f t="array" ref="C607">IFERROR(INDEX('03.Muestra'!$F$8:$F$42,SMALL(IF("Página Web"='03.Muestra'!$D$8:$D$42,ROW('03.Muestra'!$F$8:$F$42)-MIN(ROW('03.Muestra'!$D$8:$D$42))+1,""),ROW()-588)),"")</f>
        <v>https://www.portcastello.com/</v>
      </c>
      <c r="D607" s="130" t="str">
        <f t="shared" si="31"/>
        <v>N/T</v>
      </c>
      <c r="E607" s="107" t="str">
        <f t="shared" si="30"/>
        <v/>
      </c>
      <c r="F607" s="19"/>
      <c r="G607" s="19"/>
      <c r="H607" s="19"/>
      <c r="I607" s="19"/>
      <c r="J607" s="19"/>
      <c r="K607" s="228"/>
      <c r="L607" s="19"/>
      <c r="M607" s="19"/>
      <c r="N607" s="19"/>
      <c r="O607" s="19"/>
      <c r="P607" s="19"/>
      <c r="Q607" s="19"/>
      <c r="R607" s="19"/>
      <c r="S607" s="19"/>
      <c r="T607" s="19"/>
      <c r="U607" s="19"/>
      <c r="V607" s="19"/>
      <c r="W607" s="19"/>
      <c r="X607" s="19"/>
      <c r="Y607" s="19"/>
    </row>
    <row r="608" spans="1:25" ht="14.1" customHeight="1">
      <c r="A608" s="219" t="n" cm="1">
        <f t="array" ref="A608">IFERROR(INDEX('03.Muestra'!$B$8:$B$42,SMALL(IF("Página Web"='03.Muestra'!$D$8:$D$42,ROW('03.Muestra'!$B$8:$B$42)-MIN(ROW('03.Muestra'!$D$8:$D$42))+1,""),ROW()-588)),"")</f>
        <v>1.0</v>
      </c>
      <c r="B608" s="114" t="str" cm="1">
        <f t="array" ref="B608">IFERROR(INDEX('03.Muestra'!$C$8:$C$42,SMALL(IF("Página Web"='03.Muestra'!$D$8:$D$42,ROW('03.Muestra'!$C$8:$C$42)-MIN(ROW('03.Muestra'!$D$8:$D$42))+1,""),ROW()-588)),"")</f>
        <v>Home - PortCastelló</v>
      </c>
      <c r="C608" s="114" t="str" cm="1">
        <f t="array" ref="C608">IFERROR(INDEX('03.Muestra'!$F$8:$F$42,SMALL(IF("Página Web"='03.Muestra'!$D$8:$D$42,ROW('03.Muestra'!$F$8:$F$42)-MIN(ROW('03.Muestra'!$D$8:$D$42))+1,""),ROW()-588)),"")</f>
        <v>https://www.portcastello.com/</v>
      </c>
      <c r="D608" s="130" t="str">
        <f t="shared" si="31"/>
        <v>N/T</v>
      </c>
      <c r="E608" s="107" t="str">
        <f t="shared" si="30"/>
        <v/>
      </c>
      <c r="F608" s="19"/>
      <c r="G608" s="19"/>
      <c r="H608" s="19"/>
      <c r="I608" s="19"/>
      <c r="J608" s="19"/>
      <c r="K608" s="228"/>
      <c r="L608" s="19"/>
      <c r="M608" s="19"/>
      <c r="N608" s="19"/>
      <c r="O608" s="19"/>
      <c r="P608" s="19"/>
      <c r="Q608" s="19"/>
      <c r="R608" s="19"/>
      <c r="S608" s="19"/>
      <c r="T608" s="19"/>
      <c r="U608" s="19"/>
      <c r="V608" s="19"/>
      <c r="W608" s="19"/>
      <c r="X608" s="19"/>
      <c r="Y608" s="19"/>
    </row>
    <row r="609" spans="1:25" ht="14.1" customHeight="1">
      <c r="A609" s="219" t="n" cm="1">
        <f t="array" ref="A609">IFERROR(INDEX('03.Muestra'!$B$8:$B$42,SMALL(IF("Página Web"='03.Muestra'!$D$8:$D$42,ROW('03.Muestra'!$B$8:$B$42)-MIN(ROW('03.Muestra'!$D$8:$D$42))+1,""),ROW()-588)),"")</f>
        <v>1.0</v>
      </c>
      <c r="B609" s="114" t="str" cm="1">
        <f t="array" ref="B609">IFERROR(INDEX('03.Muestra'!$C$8:$C$42,SMALL(IF("Página Web"='03.Muestra'!$D$8:$D$42,ROW('03.Muestra'!$C$8:$C$42)-MIN(ROW('03.Muestra'!$D$8:$D$42))+1,""),ROW()-588)),"")</f>
        <v>Home - PortCastelló</v>
      </c>
      <c r="C609" s="114" t="str" cm="1">
        <f t="array" ref="C609">IFERROR(INDEX('03.Muestra'!$F$8:$F$42,SMALL(IF("Página Web"='03.Muestra'!$D$8:$D$42,ROW('03.Muestra'!$F$8:$F$42)-MIN(ROW('03.Muestra'!$D$8:$D$42))+1,""),ROW()-588)),"")</f>
        <v>https://www.portcastello.com/</v>
      </c>
      <c r="D609" s="130" t="str">
        <f t="shared" si="31"/>
        <v>N/T</v>
      </c>
      <c r="E609" s="107" t="str">
        <f t="shared" si="30"/>
        <v/>
      </c>
      <c r="F609" s="19"/>
      <c r="G609" s="19"/>
      <c r="H609" s="19"/>
      <c r="I609" s="19"/>
      <c r="J609" s="19"/>
      <c r="K609" s="228"/>
      <c r="L609" s="19"/>
      <c r="M609" s="19"/>
      <c r="N609" s="19"/>
      <c r="O609" s="19"/>
      <c r="P609" s="19"/>
      <c r="Q609" s="19"/>
      <c r="R609" s="19"/>
      <c r="S609" s="19"/>
      <c r="T609" s="19"/>
      <c r="U609" s="19"/>
      <c r="V609" s="19"/>
      <c r="W609" s="19"/>
      <c r="X609" s="19"/>
      <c r="Y609" s="19"/>
    </row>
    <row r="610" spans="1:25" ht="14.1" customHeight="1">
      <c r="A610" s="219" t="n" cm="1">
        <f t="array" ref="A610">IFERROR(INDEX('03.Muestra'!$B$8:$B$42,SMALL(IF("Página Web"='03.Muestra'!$D$8:$D$42,ROW('03.Muestra'!$B$8:$B$42)-MIN(ROW('03.Muestra'!$D$8:$D$42))+1,""),ROW()-588)),"")</f>
        <v>1.0</v>
      </c>
      <c r="B610" s="114" t="str" cm="1">
        <f t="array" ref="B610">IFERROR(INDEX('03.Muestra'!$C$8:$C$42,SMALL(IF("Página Web"='03.Muestra'!$D$8:$D$42,ROW('03.Muestra'!$C$8:$C$42)-MIN(ROW('03.Muestra'!$D$8:$D$42))+1,""),ROW()-588)),"")</f>
        <v>Home - PortCastelló</v>
      </c>
      <c r="C610" s="114" t="str" cm="1">
        <f t="array" ref="C610">IFERROR(INDEX('03.Muestra'!$F$8:$F$42,SMALL(IF("Página Web"='03.Muestra'!$D$8:$D$42,ROW('03.Muestra'!$F$8:$F$42)-MIN(ROW('03.Muestra'!$D$8:$D$42))+1,""),ROW()-588)),"")</f>
        <v>https://www.portcastello.com/</v>
      </c>
      <c r="D610" s="130" t="str">
        <f t="shared" si="31"/>
        <v>N/T</v>
      </c>
      <c r="E610" s="107" t="str">
        <f t="shared" si="30"/>
        <v/>
      </c>
      <c r="F610" s="19"/>
      <c r="G610" s="19"/>
      <c r="H610" s="19"/>
      <c r="I610" s="19"/>
      <c r="J610" s="19"/>
      <c r="K610" s="228"/>
      <c r="L610" s="19"/>
      <c r="M610" s="19"/>
      <c r="N610" s="19"/>
      <c r="O610" s="19"/>
      <c r="P610" s="19"/>
      <c r="Q610" s="19"/>
      <c r="R610" s="19"/>
      <c r="S610" s="19"/>
      <c r="T610" s="19"/>
      <c r="U610" s="19"/>
      <c r="V610" s="19"/>
      <c r="W610" s="19"/>
      <c r="X610" s="19"/>
      <c r="Y610" s="19"/>
    </row>
    <row r="611" spans="1:25" ht="14.1" customHeight="1">
      <c r="A611" s="219" t="n" cm="1">
        <f t="array" ref="A611">IFERROR(INDEX('03.Muestra'!$B$8:$B$42,SMALL(IF("Página Web"='03.Muestra'!$D$8:$D$42,ROW('03.Muestra'!$B$8:$B$42)-MIN(ROW('03.Muestra'!$D$8:$D$42))+1,""),ROW()-588)),"")</f>
        <v>1.0</v>
      </c>
      <c r="B611" s="114" t="str" cm="1">
        <f t="array" ref="B611">IFERROR(INDEX('03.Muestra'!$C$8:$C$42,SMALL(IF("Página Web"='03.Muestra'!$D$8:$D$42,ROW('03.Muestra'!$C$8:$C$42)-MIN(ROW('03.Muestra'!$D$8:$D$42))+1,""),ROW()-588)),"")</f>
        <v>Home - PortCastelló</v>
      </c>
      <c r="C611" s="114" t="str" cm="1">
        <f t="array" ref="C611">IFERROR(INDEX('03.Muestra'!$F$8:$F$42,SMALL(IF("Página Web"='03.Muestra'!$D$8:$D$42,ROW('03.Muestra'!$F$8:$F$42)-MIN(ROW('03.Muestra'!$D$8:$D$42))+1,""),ROW()-588)),"")</f>
        <v>https://www.portcastello.com/</v>
      </c>
      <c r="D611" s="130" t="str">
        <f t="shared" si="31"/>
        <v>N/T</v>
      </c>
      <c r="E611" s="107" t="str">
        <f t="shared" si="30"/>
        <v/>
      </c>
      <c r="F611" s="19"/>
      <c r="G611" s="19"/>
      <c r="H611" s="19"/>
      <c r="I611" s="19"/>
      <c r="J611" s="19"/>
      <c r="K611" s="228"/>
      <c r="L611" s="19"/>
      <c r="M611" s="19"/>
      <c r="N611" s="19"/>
      <c r="O611" s="19"/>
      <c r="P611" s="19"/>
      <c r="Q611" s="19"/>
      <c r="R611" s="19"/>
      <c r="S611" s="19"/>
      <c r="T611" s="19"/>
      <c r="U611" s="19"/>
      <c r="V611" s="19"/>
      <c r="W611" s="19"/>
      <c r="X611" s="19"/>
      <c r="Y611" s="19"/>
    </row>
    <row r="612" spans="1:25" ht="12" customHeight="1">
      <c r="A612" s="219" t="n" cm="1">
        <f t="array" ref="A612">IFERROR(INDEX('03.Muestra'!$B$8:$B$42,SMALL(IF("Página Web"='03.Muestra'!$D$8:$D$42,ROW('03.Muestra'!$B$8:$B$42)-MIN(ROW('03.Muestra'!$D$8:$D$42))+1,""),ROW()-588)),"")</f>
        <v>1.0</v>
      </c>
      <c r="B612" s="114" t="str" cm="1">
        <f t="array" ref="B612">IFERROR(INDEX('03.Muestra'!$C$8:$C$42,SMALL(IF("Página Web"='03.Muestra'!$D$8:$D$42,ROW('03.Muestra'!$C$8:$C$42)-MIN(ROW('03.Muestra'!$D$8:$D$42))+1,""),ROW()-588)),"")</f>
        <v>Home - PortCastelló</v>
      </c>
      <c r="C612" s="114" t="str" cm="1">
        <f t="array" ref="C612">IFERROR(INDEX('03.Muestra'!$F$8:$F$42,SMALL(IF("Página Web"='03.Muestra'!$D$8:$D$42,ROW('03.Muestra'!$F$8:$F$42)-MIN(ROW('03.Muestra'!$D$8:$D$42))+1,""),ROW()-588)),"")</f>
        <v>https://www.portcastello.com/</v>
      </c>
      <c r="D612" s="130" t="str">
        <f t="shared" si="31"/>
        <v>N/T</v>
      </c>
      <c r="E612" s="107" t="str">
        <f t="shared" si="30"/>
        <v/>
      </c>
      <c r="F612" s="19"/>
      <c r="G612" s="19"/>
      <c r="H612" s="19"/>
      <c r="I612" s="19"/>
      <c r="J612" s="19"/>
      <c r="K612" s="228"/>
      <c r="L612" s="19"/>
      <c r="M612" s="19"/>
      <c r="N612" s="19"/>
      <c r="O612" s="19"/>
      <c r="P612" s="19"/>
      <c r="Q612" s="19"/>
      <c r="R612" s="19"/>
      <c r="S612" s="19"/>
      <c r="T612" s="19"/>
      <c r="U612" s="19"/>
      <c r="V612" s="19"/>
      <c r="W612" s="19"/>
      <c r="X612" s="19"/>
      <c r="Y612" s="19"/>
    </row>
    <row r="613" spans="1:25" ht="12" customHeight="1">
      <c r="A613" s="219" t="n" cm="1">
        <f t="array" ref="A613">IFERROR(INDEX('03.Muestra'!$B$8:$B$42,SMALL(IF("Página Web"='03.Muestra'!$D$8:$D$42,ROW('03.Muestra'!$B$8:$B$42)-MIN(ROW('03.Muestra'!$D$8:$D$42))+1,""),ROW()-588)),"")</f>
        <v>1.0</v>
      </c>
      <c r="B613" s="114" t="str" cm="1">
        <f t="array" ref="B613">IFERROR(INDEX('03.Muestra'!$C$8:$C$42,SMALL(IF("Página Web"='03.Muestra'!$D$8:$D$42,ROW('03.Muestra'!$C$8:$C$42)-MIN(ROW('03.Muestra'!$D$8:$D$42))+1,""),ROW()-588)),"")</f>
        <v>Home - PortCastelló</v>
      </c>
      <c r="C613" s="114" t="str" cm="1">
        <f t="array" ref="C613">IFERROR(INDEX('03.Muestra'!$F$8:$F$42,SMALL(IF("Página Web"='03.Muestra'!$D$8:$D$42,ROW('03.Muestra'!$F$8:$F$42)-MIN(ROW('03.Muestra'!$D$8:$D$42))+1,""),ROW()-588)),"")</f>
        <v>https://www.portcastello.com/</v>
      </c>
      <c r="D613" s="130" t="str">
        <f t="shared" si="31"/>
        <v>N/T</v>
      </c>
      <c r="E613" s="107" t="str">
        <f t="shared" si="30"/>
        <v/>
      </c>
      <c r="F613" s="19"/>
      <c r="G613" s="19"/>
      <c r="H613" s="19"/>
      <c r="I613" s="19"/>
      <c r="J613" s="19"/>
      <c r="K613" s="228"/>
      <c r="L613" s="19"/>
      <c r="M613" s="19"/>
      <c r="N613" s="19"/>
      <c r="O613" s="19"/>
      <c r="P613" s="19"/>
      <c r="Q613" s="19"/>
      <c r="R613" s="19"/>
      <c r="S613" s="19"/>
      <c r="T613" s="19"/>
      <c r="U613" s="19"/>
      <c r="V613" s="19"/>
      <c r="W613" s="19"/>
      <c r="X613" s="19"/>
      <c r="Y613" s="19"/>
    </row>
    <row r="614" spans="1:25" ht="12" customHeight="1">
      <c r="A614" s="219" t="n" cm="1">
        <f t="array" ref="A614">IFERROR(INDEX('03.Muestra'!$B$8:$B$42,SMALL(IF("Página Web"='03.Muestra'!$D$8:$D$42,ROW('03.Muestra'!$B$8:$B$42)-MIN(ROW('03.Muestra'!$D$8:$D$42))+1,""),ROW()-588)),"")</f>
        <v>1.0</v>
      </c>
      <c r="B614" s="114" t="str" cm="1">
        <f t="array" ref="B614">IFERROR(INDEX('03.Muestra'!$C$8:$C$42,SMALL(IF("Página Web"='03.Muestra'!$D$8:$D$42,ROW('03.Muestra'!$C$8:$C$42)-MIN(ROW('03.Muestra'!$D$8:$D$42))+1,""),ROW()-588)),"")</f>
        <v>Home - PortCastelló</v>
      </c>
      <c r="C614" s="114" t="str" cm="1">
        <f t="array" ref="C614">IFERROR(INDEX('03.Muestra'!$F$8:$F$42,SMALL(IF("Página Web"='03.Muestra'!$D$8:$D$42,ROW('03.Muestra'!$F$8:$F$42)-MIN(ROW('03.Muestra'!$D$8:$D$42))+1,""),ROW()-588)),"")</f>
        <v>https://www.portcastello.com/</v>
      </c>
      <c r="D614" s="130" t="str">
        <f t="shared" si="31"/>
        <v>N/T</v>
      </c>
      <c r="E614" s="107" t="str">
        <f t="shared" si="30"/>
        <v/>
      </c>
      <c r="F614" s="19"/>
      <c r="G614" s="19"/>
      <c r="H614" s="19"/>
      <c r="I614" s="19"/>
      <c r="J614" s="19"/>
      <c r="K614" s="228"/>
      <c r="L614" s="19"/>
      <c r="M614" s="19"/>
      <c r="N614" s="19"/>
      <c r="O614" s="19"/>
      <c r="P614" s="19"/>
      <c r="Q614" s="19"/>
      <c r="R614" s="19"/>
      <c r="S614" s="19"/>
      <c r="T614" s="19"/>
      <c r="U614" s="19"/>
      <c r="V614" s="19"/>
      <c r="W614" s="19"/>
      <c r="X614" s="19"/>
      <c r="Y614" s="19"/>
    </row>
    <row r="615" spans="1:25" ht="12" customHeight="1">
      <c r="A615" s="219" t="n" cm="1">
        <f t="array" ref="A615">IFERROR(INDEX('03.Muestra'!$B$8:$B$42,SMALL(IF("Página Web"='03.Muestra'!$D$8:$D$42,ROW('03.Muestra'!$B$8:$B$42)-MIN(ROW('03.Muestra'!$D$8:$D$42))+1,""),ROW()-588)),"")</f>
        <v>1.0</v>
      </c>
      <c r="B615" s="114" t="str" cm="1">
        <f t="array" ref="B615">IFERROR(INDEX('03.Muestra'!$C$8:$C$42,SMALL(IF("Página Web"='03.Muestra'!$D$8:$D$42,ROW('03.Muestra'!$C$8:$C$42)-MIN(ROW('03.Muestra'!$D$8:$D$42))+1,""),ROW()-588)),"")</f>
        <v>Home - PortCastelló</v>
      </c>
      <c r="C615" s="114" t="str" cm="1">
        <f t="array" ref="C615">IFERROR(INDEX('03.Muestra'!$F$8:$F$42,SMALL(IF("Página Web"='03.Muestra'!$D$8:$D$42,ROW('03.Muestra'!$F$8:$F$42)-MIN(ROW('03.Muestra'!$D$8:$D$42))+1,""),ROW()-588)),"")</f>
        <v>https://www.portcastello.com/</v>
      </c>
      <c r="D615" s="130" t="str">
        <f t="shared" si="31"/>
        <v>N/T</v>
      </c>
      <c r="E615" s="107" t="str">
        <f t="shared" si="30"/>
        <v/>
      </c>
      <c r="F615" s="19"/>
      <c r="G615" s="19"/>
      <c r="H615" s="19"/>
      <c r="I615" s="19"/>
      <c r="J615" s="19"/>
      <c r="K615" s="228"/>
      <c r="L615" s="19"/>
      <c r="M615" s="19"/>
      <c r="N615" s="19"/>
      <c r="O615" s="19"/>
      <c r="P615" s="19"/>
      <c r="Q615" s="19"/>
      <c r="R615" s="19"/>
      <c r="S615" s="19"/>
      <c r="T615" s="19"/>
      <c r="U615" s="19"/>
      <c r="V615" s="19"/>
      <c r="W615" s="19"/>
      <c r="X615" s="19"/>
      <c r="Y615" s="19"/>
    </row>
    <row r="616" spans="1:25" ht="12" customHeight="1">
      <c r="A616" s="219" t="n" cm="1">
        <f t="array" ref="A616">IFERROR(INDEX('03.Muestra'!$B$8:$B$42,SMALL(IF("Página Web"='03.Muestra'!$D$8:$D$42,ROW('03.Muestra'!$B$8:$B$42)-MIN(ROW('03.Muestra'!$D$8:$D$42))+1,""),ROW()-588)),"")</f>
        <v>1.0</v>
      </c>
      <c r="B616" s="114" t="str" cm="1">
        <f t="array" ref="B616">IFERROR(INDEX('03.Muestra'!$C$8:$C$42,SMALL(IF("Página Web"='03.Muestra'!$D$8:$D$42,ROW('03.Muestra'!$C$8:$C$42)-MIN(ROW('03.Muestra'!$D$8:$D$42))+1,""),ROW()-588)),"")</f>
        <v>Home - PortCastelló</v>
      </c>
      <c r="C616" s="114" t="str" cm="1">
        <f t="array" ref="C616">IFERROR(INDEX('03.Muestra'!$F$8:$F$42,SMALL(IF("Página Web"='03.Muestra'!$D$8:$D$42,ROW('03.Muestra'!$F$8:$F$42)-MIN(ROW('03.Muestra'!$D$8:$D$42))+1,""),ROW()-588)),"")</f>
        <v>https://www.portcastello.com/</v>
      </c>
      <c r="D616" s="130" t="str">
        <f t="shared" si="31"/>
        <v>N/T</v>
      </c>
      <c r="E616" s="107" t="str">
        <f t="shared" si="30"/>
        <v/>
      </c>
      <c r="G616" s="19"/>
      <c r="H616" s="19"/>
      <c r="I616" s="19"/>
      <c r="J616" s="19"/>
      <c r="K616" s="228"/>
      <c r="L616" s="19"/>
      <c r="M616" s="19"/>
      <c r="N616" s="19"/>
      <c r="O616" s="19"/>
      <c r="P616" s="19"/>
      <c r="Q616" s="19"/>
      <c r="R616" s="19"/>
      <c r="S616" s="19"/>
      <c r="T616" s="19"/>
      <c r="U616" s="19"/>
      <c r="V616" s="19"/>
      <c r="W616" s="19"/>
      <c r="X616" s="19"/>
      <c r="Y616" s="19"/>
    </row>
    <row r="617" spans="1:25" ht="12" customHeight="1">
      <c r="A617" s="219" t="n" cm="1">
        <f t="array" ref="A617">IFERROR(INDEX('03.Muestra'!$B$8:$B$42,SMALL(IF("Página Web"='03.Muestra'!$D$8:$D$42,ROW('03.Muestra'!$B$8:$B$42)-MIN(ROW('03.Muestra'!$D$8:$D$42))+1,""),ROW()-588)),"")</f>
        <v>1.0</v>
      </c>
      <c r="B617" s="114" t="str" cm="1">
        <f t="array" ref="B617">IFERROR(INDEX('03.Muestra'!$C$8:$C$42,SMALL(IF("Página Web"='03.Muestra'!$D$8:$D$42,ROW('03.Muestra'!$C$8:$C$42)-MIN(ROW('03.Muestra'!$D$8:$D$42))+1,""),ROW()-588)),"")</f>
        <v>Home - PortCastelló</v>
      </c>
      <c r="C617" s="114" t="str" cm="1">
        <f t="array" ref="C617">IFERROR(INDEX('03.Muestra'!$F$8:$F$42,SMALL(IF("Página Web"='03.Muestra'!$D$8:$D$42,ROW('03.Muestra'!$F$8:$F$42)-MIN(ROW('03.Muestra'!$D$8:$D$42))+1,""),ROW()-588)),"")</f>
        <v>https://www.portcastello.com/</v>
      </c>
      <c r="D617" s="130" t="str">
        <f t="shared" si="31"/>
        <v>N/T</v>
      </c>
      <c r="E617" s="107" t="str">
        <f t="shared" si="30"/>
        <v/>
      </c>
      <c r="F617" s="124"/>
      <c r="G617" s="19"/>
      <c r="H617" s="19"/>
      <c r="I617" s="19"/>
      <c r="J617" s="19"/>
      <c r="K617" s="228"/>
      <c r="L617" s="19"/>
      <c r="M617" s="19"/>
      <c r="N617" s="19"/>
      <c r="O617" s="19"/>
      <c r="P617" s="19"/>
      <c r="Q617" s="19"/>
      <c r="R617" s="19"/>
      <c r="S617" s="19"/>
      <c r="T617" s="19"/>
      <c r="U617" s="19"/>
      <c r="V617" s="19"/>
      <c r="W617" s="19"/>
      <c r="X617" s="19"/>
      <c r="Y617" s="19"/>
    </row>
    <row r="618" spans="1:25" ht="12" customHeight="1">
      <c r="A618" s="219" t="n" cm="1">
        <f t="array" ref="A618">IFERROR(INDEX('03.Muestra'!$B$8:$B$42,SMALL(IF("Página Web"='03.Muestra'!$D$8:$D$42,ROW('03.Muestra'!$B$8:$B$42)-MIN(ROW('03.Muestra'!$D$8:$D$42))+1,""),ROW()-588)),"")</f>
        <v>1.0</v>
      </c>
      <c r="B618" s="114" t="str" cm="1">
        <f t="array" ref="B618">IFERROR(INDEX('03.Muestra'!$C$8:$C$42,SMALL(IF("Página Web"='03.Muestra'!$D$8:$D$42,ROW('03.Muestra'!$C$8:$C$42)-MIN(ROW('03.Muestra'!$D$8:$D$42))+1,""),ROW()-588)),"")</f>
        <v>Home - PortCastelló</v>
      </c>
      <c r="C618" s="114" t="str" cm="1">
        <f t="array" ref="C618">IFERROR(INDEX('03.Muestra'!$F$8:$F$42,SMALL(IF("Página Web"='03.Muestra'!$D$8:$D$42,ROW('03.Muestra'!$F$8:$F$42)-MIN(ROW('03.Muestra'!$D$8:$D$42))+1,""),ROW()-588)),"")</f>
        <v>https://www.portcastello.com/</v>
      </c>
      <c r="D618" s="130" t="str">
        <f t="shared" si="31"/>
        <v>N/T</v>
      </c>
      <c r="E618" s="107" t="str">
        <f t="shared" si="30"/>
        <v/>
      </c>
      <c r="F618" s="124"/>
      <c r="G618" s="19"/>
      <c r="H618" s="19"/>
      <c r="I618" s="19"/>
      <c r="J618" s="19"/>
      <c r="K618" s="228"/>
      <c r="L618" s="19"/>
      <c r="M618" s="19"/>
      <c r="N618" s="19"/>
      <c r="O618" s="19"/>
      <c r="P618" s="19"/>
      <c r="Q618" s="19"/>
      <c r="R618" s="19"/>
      <c r="S618" s="19"/>
      <c r="T618" s="19"/>
      <c r="U618" s="19"/>
      <c r="V618" s="19"/>
      <c r="W618" s="19"/>
      <c r="X618" s="19"/>
      <c r="Y618" s="19"/>
    </row>
    <row r="619" spans="1:25" ht="12" customHeight="1">
      <c r="A619" s="219" t="n" cm="1">
        <f t="array" ref="A619">IFERROR(INDEX('03.Muestra'!$B$8:$B$42,SMALL(IF("Página Web"='03.Muestra'!$D$8:$D$42,ROW('03.Muestra'!$B$8:$B$42)-MIN(ROW('03.Muestra'!$D$8:$D$42))+1,""),ROW()-588)),"")</f>
        <v>1.0</v>
      </c>
      <c r="B619" s="114" t="str" cm="1">
        <f t="array" ref="B619">IFERROR(INDEX('03.Muestra'!$C$8:$C$42,SMALL(IF("Página Web"='03.Muestra'!$D$8:$D$42,ROW('03.Muestra'!$C$8:$C$42)-MIN(ROW('03.Muestra'!$D$8:$D$42))+1,""),ROW()-588)),"")</f>
        <v>Home - PortCastelló</v>
      </c>
      <c r="C619" s="114" t="str" cm="1">
        <f t="array" ref="C619">IFERROR(INDEX('03.Muestra'!$F$8:$F$42,SMALL(IF("Página Web"='03.Muestra'!$D$8:$D$42,ROW('03.Muestra'!$F$8:$F$42)-MIN(ROW('03.Muestra'!$D$8:$D$42))+1,""),ROW()-588)),"")</f>
        <v>https://www.portcastello.com/</v>
      </c>
      <c r="D619" s="130" t="str">
        <f t="shared" si="31"/>
        <v>N/T</v>
      </c>
      <c r="E619" s="107" t="str">
        <f t="shared" si="30"/>
        <v/>
      </c>
      <c r="F619" s="124"/>
      <c r="G619" s="19"/>
      <c r="H619" s="19"/>
      <c r="I619" s="19"/>
      <c r="J619" s="19"/>
      <c r="K619" s="228"/>
      <c r="L619" s="19"/>
      <c r="M619" s="19"/>
      <c r="N619" s="19"/>
      <c r="O619" s="19"/>
      <c r="P619" s="19"/>
      <c r="Q619" s="19"/>
      <c r="R619" s="19"/>
      <c r="S619" s="19"/>
      <c r="T619" s="19"/>
      <c r="U619" s="19"/>
      <c r="V619" s="19"/>
      <c r="W619" s="19"/>
      <c r="X619" s="19"/>
      <c r="Y619" s="19"/>
    </row>
    <row r="620" spans="1:25" ht="12" customHeight="1">
      <c r="A620" s="219" t="n" cm="1">
        <f t="array" ref="A620">IFERROR(INDEX('03.Muestra'!$B$8:$B$42,SMALL(IF("Página Web"='03.Muestra'!$D$8:$D$42,ROW('03.Muestra'!$B$8:$B$42)-MIN(ROW('03.Muestra'!$D$8:$D$42))+1,""),ROW()-588)),"")</f>
        <v>1.0</v>
      </c>
      <c r="B620" s="114" t="str" cm="1">
        <f t="array" ref="B620">IFERROR(INDEX('03.Muestra'!$C$8:$C$42,SMALL(IF("Página Web"='03.Muestra'!$D$8:$D$42,ROW('03.Muestra'!$C$8:$C$42)-MIN(ROW('03.Muestra'!$D$8:$D$42))+1,""),ROW()-588)),"")</f>
        <v>Home - PortCastelló</v>
      </c>
      <c r="C620" s="114" t="str" cm="1">
        <f t="array" ref="C620">IFERROR(INDEX('03.Muestra'!$F$8:$F$42,SMALL(IF("Página Web"='03.Muestra'!$D$8:$D$42,ROW('03.Muestra'!$F$8:$F$42)-MIN(ROW('03.Muestra'!$D$8:$D$42))+1,""),ROW()-588)),"")</f>
        <v>https://www.portcastello.com/</v>
      </c>
      <c r="D620" s="130" t="str">
        <f t="shared" si="31"/>
        <v>N/T</v>
      </c>
      <c r="E620" s="107" t="str">
        <f t="shared" si="30"/>
        <v/>
      </c>
      <c r="F620" s="124"/>
      <c r="G620" s="19"/>
      <c r="H620" s="19"/>
      <c r="I620" s="19"/>
      <c r="J620" s="19"/>
      <c r="K620" s="228"/>
      <c r="L620" s="19"/>
      <c r="M620" s="19"/>
      <c r="N620" s="19"/>
      <c r="O620" s="19"/>
      <c r="P620" s="19"/>
      <c r="Q620" s="19"/>
      <c r="R620" s="19"/>
      <c r="S620" s="19"/>
      <c r="T620" s="19"/>
      <c r="U620" s="19"/>
      <c r="V620" s="19"/>
      <c r="W620" s="19"/>
      <c r="X620" s="19"/>
      <c r="Y620" s="19"/>
    </row>
    <row r="621" spans="1:25" ht="12" customHeight="1">
      <c r="A621" s="219" t="n" cm="1">
        <f t="array" ref="A621">IFERROR(INDEX('03.Muestra'!$B$8:$B$42,SMALL(IF("Página Web"='03.Muestra'!$D$8:$D$42,ROW('03.Muestra'!$B$8:$B$42)-MIN(ROW('03.Muestra'!$D$8:$D$42))+1,""),ROW()-588)),"")</f>
        <v>1.0</v>
      </c>
      <c r="B621" s="114" t="str" cm="1">
        <f t="array" ref="B621">IFERROR(INDEX('03.Muestra'!$C$8:$C$42,SMALL(IF("Página Web"='03.Muestra'!$D$8:$D$42,ROW('03.Muestra'!$C$8:$C$42)-MIN(ROW('03.Muestra'!$D$8:$D$42))+1,""),ROW()-588)),"")</f>
        <v>Home - PortCastelló</v>
      </c>
      <c r="C621" s="114" t="str" cm="1">
        <f t="array" ref="C621">IFERROR(INDEX('03.Muestra'!$F$8:$F$42,SMALL(IF("Página Web"='03.Muestra'!$D$8:$D$42,ROW('03.Muestra'!$F$8:$F$42)-MIN(ROW('03.Muestra'!$D$8:$D$42))+1,""),ROW()-588)),"")</f>
        <v>https://www.portcastello.com/</v>
      </c>
      <c r="D621" s="130" t="str">
        <f t="shared" si="31"/>
        <v>N/T</v>
      </c>
      <c r="E621" s="107" t="str">
        <f t="shared" si="30"/>
        <v/>
      </c>
      <c r="F621" s="124"/>
      <c r="G621" s="19"/>
      <c r="H621" s="19"/>
      <c r="I621" s="19"/>
      <c r="J621" s="19"/>
      <c r="K621" s="228"/>
      <c r="L621" s="19"/>
      <c r="M621" s="19"/>
      <c r="N621" s="19"/>
      <c r="O621" s="19"/>
      <c r="P621" s="19"/>
      <c r="Q621" s="19"/>
      <c r="R621" s="19"/>
      <c r="S621" s="19"/>
      <c r="T621" s="19"/>
      <c r="U621" s="19"/>
      <c r="V621" s="19"/>
      <c r="W621" s="19"/>
      <c r="X621" s="19"/>
      <c r="Y621" s="19"/>
    </row>
    <row r="622" spans="1:25" ht="12" customHeight="1">
      <c r="A622" s="219" t="str" cm="1">
        <f t="array" ref="A622">IFERROR(INDEX('03.Muestra'!$B$8:$B$42,SMALL(IF("Página Web"='03.Muestra'!$D$8:$D$42,ROW('03.Muestra'!$B$8:$B$42)-MIN(ROW('03.Muestra'!$D$8:$D$42))+1,""),ROW()-588)),"")</f>
        <v/>
      </c>
      <c r="B622" s="114" t="str" cm="1">
        <f t="array" ref="B622">IFERROR(INDEX('03.Muestra'!$C$8:$C$42,SMALL(IF("Página Web"='03.Muestra'!$D$8:$D$42,ROW('03.Muestra'!$C$8:$C$42)-MIN(ROW('03.Muestra'!$D$8:$D$42))+1,""),ROW()-588)),"")</f>
        <v/>
      </c>
      <c r="C622" s="114" t="str" cm="1">
        <f t="array" ref="C622">IFERROR(INDEX('03.Muestra'!$F$8:$F$42,SMALL(IF("Página Web"='03.Muestra'!$D$8:$D$42,ROW('03.Muestra'!$F$8:$F$42)-MIN(ROW('03.Muestra'!$D$8:$D$42))+1,""),ROW()-588)),"")</f>
        <v/>
      </c>
      <c r="D622" s="130" t="str">
        <f t="shared" si="31"/>
        <v/>
      </c>
      <c r="E622" s="107" t="str">
        <f t="shared" si="30"/>
        <v/>
      </c>
      <c r="F622" s="124"/>
      <c r="G622" s="19"/>
      <c r="H622" s="19"/>
      <c r="I622" s="19"/>
      <c r="J622" s="19"/>
      <c r="K622" s="228"/>
      <c r="L622" s="19"/>
      <c r="M622" s="19"/>
      <c r="N622" s="19"/>
      <c r="O622" s="19"/>
      <c r="P622" s="19"/>
      <c r="Q622" s="19"/>
      <c r="R622" s="19"/>
      <c r="S622" s="19"/>
      <c r="T622" s="19"/>
      <c r="U622" s="19"/>
      <c r="V622" s="19"/>
      <c r="W622" s="19"/>
      <c r="X622" s="19"/>
      <c r="Y622" s="19"/>
    </row>
    <row r="623" spans="1:25" ht="12" customHeight="1">
      <c r="A623" s="219" t="str" cm="1">
        <f t="array" ref="A623">IFERROR(INDEX('03.Muestra'!$B$8:$B$42,SMALL(IF("Página Web"='03.Muestra'!$D$8:$D$42,ROW('03.Muestra'!$B$8:$B$42)-MIN(ROW('03.Muestra'!$D$8:$D$42))+1,""),ROW()-588)),"")</f>
        <v/>
      </c>
      <c r="B623" s="114" t="str" cm="1">
        <f t="array" ref="B623">IFERROR(INDEX('03.Muestra'!$C$8:$C$42,SMALL(IF("Página Web"='03.Muestra'!$D$8:$D$42,ROW('03.Muestra'!$C$8:$C$42)-MIN(ROW('03.Muestra'!$D$8:$D$42))+1,""),ROW()-588)),"")</f>
        <v/>
      </c>
      <c r="C623" s="114" t="str" cm="1">
        <f t="array" ref="C623">IFERROR(INDEX('03.Muestra'!$F$8:$F$42,SMALL(IF("Página Web"='03.Muestra'!$D$8:$D$42,ROW('03.Muestra'!$F$8:$F$42)-MIN(ROW('03.Muestra'!$D$8:$D$42))+1,""),ROW()-588)),"")</f>
        <v/>
      </c>
      <c r="D623" s="130" t="str">
        <f t="shared" si="31"/>
        <v/>
      </c>
      <c r="E623" s="107" t="str">
        <f t="shared" si="30"/>
        <v/>
      </c>
      <c r="F623" s="19"/>
      <c r="G623" s="19"/>
      <c r="H623" s="19"/>
      <c r="I623" s="19"/>
      <c r="J623" s="19"/>
      <c r="K623" s="228"/>
      <c r="L623" s="19"/>
      <c r="M623" s="19"/>
      <c r="N623" s="19"/>
      <c r="O623" s="19"/>
      <c r="P623" s="19"/>
      <c r="Q623" s="19"/>
      <c r="R623" s="19"/>
      <c r="S623" s="19"/>
      <c r="T623" s="19"/>
      <c r="U623" s="19"/>
      <c r="V623" s="19"/>
      <c r="W623" s="19"/>
      <c r="X623" s="19"/>
      <c r="Y623" s="19"/>
    </row>
    <row r="624" spans="1:25" ht="12" customHeight="1">
      <c r="B624" s="19"/>
      <c r="C624" s="19"/>
      <c r="D624" s="107"/>
      <c r="E624" s="107"/>
      <c r="F624" s="19"/>
      <c r="G624" s="19"/>
      <c r="H624" s="19"/>
      <c r="I624" s="19"/>
      <c r="J624" s="19"/>
      <c r="K624" s="228"/>
      <c r="L624" s="19"/>
      <c r="M624" s="19"/>
      <c r="N624" s="19"/>
      <c r="O624" s="19"/>
      <c r="P624" s="19"/>
      <c r="Q624" s="19"/>
      <c r="R624" s="19"/>
      <c r="S624" s="19"/>
      <c r="T624" s="19"/>
      <c r="U624" s="19"/>
      <c r="V624" s="19"/>
      <c r="W624" s="19"/>
      <c r="X624" s="19"/>
      <c r="Y624" s="19"/>
    </row>
    <row r="625" spans="1:25" ht="12" customHeight="1">
      <c r="B625" s="19"/>
      <c r="C625" s="19"/>
      <c r="D625" s="107"/>
      <c r="E625" s="112"/>
      <c r="F625" s="19"/>
      <c r="G625" s="19"/>
      <c r="H625" s="19"/>
      <c r="I625" s="19"/>
      <c r="J625" s="19"/>
      <c r="K625" s="228"/>
      <c r="L625" s="19"/>
      <c r="M625" s="19"/>
      <c r="N625" s="19"/>
      <c r="O625" s="19"/>
      <c r="P625" s="19"/>
      <c r="Q625" s="19"/>
      <c r="R625" s="19"/>
      <c r="S625" s="19"/>
      <c r="T625" s="19"/>
      <c r="U625" s="19"/>
      <c r="V625" s="19"/>
      <c r="W625" s="19"/>
      <c r="X625" s="19"/>
      <c r="Y625" s="19"/>
    </row>
    <row r="626" spans="1:25" ht="32.25" customHeight="1">
      <c r="A626" s="218" t="s">
        <v>268</v>
      </c>
      <c r="B626" s="24" t="s">
        <v>90</v>
      </c>
      <c r="C626" s="25" t="s">
        <v>316</v>
      </c>
      <c r="D626" s="26" t="s">
        <v>32</v>
      </c>
      <c r="E626" s="123"/>
      <c r="K626" s="228"/>
      <c r="L626" s="19"/>
      <c r="M626" s="19"/>
      <c r="N626" s="19"/>
      <c r="O626" s="19"/>
      <c r="P626" s="19"/>
      <c r="Q626" s="19"/>
      <c r="R626" s="19"/>
      <c r="S626" s="19"/>
      <c r="T626" s="19"/>
      <c r="U626" s="19"/>
      <c r="V626" s="19"/>
      <c r="W626" s="19"/>
      <c r="X626" s="19"/>
      <c r="Y626" s="19"/>
    </row>
    <row r="627" spans="1:25" ht="12" customHeight="1">
      <c r="A627" s="219" t="n" cm="1">
        <f t="array" ref="A627">IFERROR(INDEX('03.Muestra'!$B$8:$B$42,SMALL(IF("Página Web"='03.Muestra'!$D$8:$D$42,ROW('03.Muestra'!$B$8:$B$42)-MIN(ROW('03.Muestra'!$D$8:$D$42))+1,""),ROW()-626)),"")</f>
        <v>1.0</v>
      </c>
      <c r="B627" s="114" t="str" cm="1">
        <f t="array" ref="B627">IFERROR(INDEX('03.Muestra'!$C$8:$C$42,SMALL(IF("Página Web"='03.Muestra'!$D$8:$D$42,ROW('03.Muestra'!$C$8:$C$42)-MIN(ROW('03.Muestra'!$D$8:$D$42))+1,""),ROW()-626)),"")</f>
        <v>Home - PortCastelló</v>
      </c>
      <c r="C627" s="114" t="str" cm="1">
        <f t="array" ref="C627">IFERROR(INDEX('03.Muestra'!$F$8:$F$42,SMALL(IF("Página Web"='03.Muestra'!$D$8:$D$42,ROW('03.Muestra'!$F$8:$F$42)-MIN(ROW('03.Muestra'!$D$8:$D$42))+1,""),ROW()-626)),"")</f>
        <v>https://www.portcastello.com/</v>
      </c>
      <c r="D627" s="130" t="str">
        <f>IF(AND(B627&lt;&gt;"",C627&lt;&gt;""),"N/T","")</f>
        <v>N/T</v>
      </c>
      <c r="E627" s="107" t="str">
        <f t="shared" ref="E627:E661" si="32">IF(D627&lt;&gt;"",IF(AND(B627&lt;&gt;"",C627&lt;&gt;""),"","ERR"),"")</f>
        <v/>
      </c>
      <c r="F627" s="115" t="s">
        <v>33</v>
      </c>
      <c r="G627" s="116" t="s">
        <v>37</v>
      </c>
      <c r="H627" s="117" t="s">
        <v>35</v>
      </c>
      <c r="I627" s="118" t="s">
        <v>28</v>
      </c>
      <c r="J627" s="119" t="s">
        <v>26</v>
      </c>
      <c r="K627" s="229" t="s">
        <v>474</v>
      </c>
      <c r="L627" s="19"/>
      <c r="M627" s="19"/>
      <c r="N627" s="19"/>
      <c r="O627" s="19"/>
      <c r="P627" s="19"/>
      <c r="Q627" s="19"/>
      <c r="R627" s="19"/>
      <c r="S627" s="19"/>
      <c r="T627" s="19"/>
      <c r="U627" s="19"/>
      <c r="V627" s="19"/>
      <c r="W627" s="19"/>
      <c r="X627" s="19"/>
      <c r="Y627" s="19"/>
    </row>
    <row r="628" spans="1:25" ht="12" customHeight="1">
      <c r="A628" s="219" t="n" cm="1">
        <f t="array" ref="A628">IFERROR(INDEX('03.Muestra'!$B$8:$B$42,SMALL(IF("Página Web"='03.Muestra'!$D$8:$D$42,ROW('03.Muestra'!$B$8:$B$42)-MIN(ROW('03.Muestra'!$D$8:$D$42))+1,""),ROW()-626)),"")</f>
        <v>1.0</v>
      </c>
      <c r="B628" s="114" t="str" cm="1">
        <f t="array" ref="B628">IFERROR(INDEX('03.Muestra'!$C$8:$C$42,SMALL(IF("Página Web"='03.Muestra'!$D$8:$D$42,ROW('03.Muestra'!$C$8:$C$42)-MIN(ROW('03.Muestra'!$D$8:$D$42))+1,""),ROW()-626)),"")</f>
        <v>Home - PortCastelló</v>
      </c>
      <c r="C628" s="114" t="str" cm="1">
        <f t="array" ref="C628">IFERROR(INDEX('03.Muestra'!$F$8:$F$42,SMALL(IF("Página Web"='03.Muestra'!$D$8:$D$42,ROW('03.Muestra'!$F$8:$F$42)-MIN(ROW('03.Muestra'!$D$8:$D$42))+1,""),ROW()-626)),"")</f>
        <v>https://www.portcastello.com/</v>
      </c>
      <c r="D628" s="130" t="str">
        <f t="shared" ref="D628:D661" si="33">IF(AND(B628&lt;&gt;"",C628&lt;&gt;""),"N/T","")</f>
        <v>N/T</v>
      </c>
      <c r="E628" s="107" t="str">
        <f t="shared" si="32"/>
        <v/>
      </c>
      <c r="F628" s="120" t="n">
        <f ca="1">COUNTIF($D627:INDIRECT("$D" &amp;  SUM(ROW()-1,'03.Muestra'!$D$45)-1),F627)</f>
        <v>33.0</v>
      </c>
      <c r="G628" s="120" t="n">
        <f ca="1">COUNTIF($D627:INDIRECT("$D" &amp;  SUM(ROW()-1,'03.Muestra'!$D$45)-1),G627)</f>
        <v>0.0</v>
      </c>
      <c r="H628" s="120" t="n">
        <f ca="1">COUNTIF($D627:INDIRECT("$D" &amp;  SUM(ROW()-1,'03.Muestra'!$D$45)-1),H627)</f>
        <v>0.0</v>
      </c>
      <c r="I628" s="120" t="n">
        <f ca="1">COUNTIF($D627:INDIRECT("$D" &amp;  SUM(ROW()-1,'03.Muestra'!$D$45)-1),I627)</f>
        <v>0.0</v>
      </c>
      <c r="J628" s="120" t="n">
        <f ca="1">COUNTIF($D627:INDIRECT("$D" &amp;  SUM(ROW()-1,'03.Muestra'!$D$45)-1),J627)</f>
        <v>0.0</v>
      </c>
      <c r="K628" s="230" t="n">
        <f ca="1">IF(COUNTIF('03.Muestra'!$D$8:$D$42,"Página Web")=0,0,COUNTBLANK($D627:INDIRECT("$D" &amp;  SUM(ROW()-1,COUNTIF('03.Muestra'!$D$8:$D$42,"Página Web"))-1)))</f>
        <v>0.0</v>
      </c>
      <c r="L628" s="19"/>
      <c r="M628" s="19"/>
      <c r="N628" s="19"/>
      <c r="O628" s="19"/>
      <c r="P628" s="19"/>
      <c r="Q628" s="19"/>
      <c r="R628" s="19"/>
      <c r="S628" s="19"/>
      <c r="T628" s="19"/>
      <c r="U628" s="19"/>
      <c r="V628" s="19"/>
      <c r="W628" s="19"/>
      <c r="X628" s="19"/>
      <c r="Y628" s="19"/>
    </row>
    <row r="629" spans="1:25" ht="12" customHeight="1">
      <c r="A629" s="219" t="n" cm="1">
        <f t="array" ref="A629">IFERROR(INDEX('03.Muestra'!$B$8:$B$42,SMALL(IF("Página Web"='03.Muestra'!$D$8:$D$42,ROW('03.Muestra'!$B$8:$B$42)-MIN(ROW('03.Muestra'!$D$8:$D$42))+1,""),ROW()-626)),"")</f>
        <v>1.0</v>
      </c>
      <c r="B629" s="114" t="str" cm="1">
        <f t="array" ref="B629">IFERROR(INDEX('03.Muestra'!$C$8:$C$42,SMALL(IF("Página Web"='03.Muestra'!$D$8:$D$42,ROW('03.Muestra'!$C$8:$C$42)-MIN(ROW('03.Muestra'!$D$8:$D$42))+1,""),ROW()-626)),"")</f>
        <v>Home - PortCastelló</v>
      </c>
      <c r="C629" s="114" t="str" cm="1">
        <f t="array" ref="C629">IFERROR(INDEX('03.Muestra'!$F$8:$F$42,SMALL(IF("Página Web"='03.Muestra'!$D$8:$D$42,ROW('03.Muestra'!$F$8:$F$42)-MIN(ROW('03.Muestra'!$D$8:$D$42))+1,""),ROW()-626)),"")</f>
        <v>https://www.portcastello.com/</v>
      </c>
      <c r="D629" s="130" t="str">
        <f t="shared" si="33"/>
        <v>N/T</v>
      </c>
      <c r="E629" s="107" t="str">
        <f t="shared" si="32"/>
        <v/>
      </c>
      <c r="G629" s="19"/>
      <c r="H629" s="19"/>
      <c r="I629" s="19"/>
      <c r="J629" s="19"/>
      <c r="K629" s="228"/>
      <c r="L629" s="19"/>
      <c r="M629" s="19"/>
      <c r="N629" s="19"/>
      <c r="O629" s="19"/>
      <c r="P629" s="19"/>
      <c r="Q629" s="19"/>
      <c r="R629" s="19"/>
      <c r="S629" s="19"/>
      <c r="T629" s="19"/>
      <c r="U629" s="19"/>
      <c r="V629" s="19"/>
      <c r="W629" s="19"/>
      <c r="X629" s="19"/>
      <c r="Y629" s="19"/>
    </row>
    <row r="630" spans="1:25" ht="12" customHeight="1">
      <c r="A630" s="219" t="n" cm="1">
        <f t="array" ref="A630">IFERROR(INDEX('03.Muestra'!$B$8:$B$42,SMALL(IF("Página Web"='03.Muestra'!$D$8:$D$42,ROW('03.Muestra'!$B$8:$B$42)-MIN(ROW('03.Muestra'!$D$8:$D$42))+1,""),ROW()-626)),"")</f>
        <v>1.0</v>
      </c>
      <c r="B630" s="114" t="str" cm="1">
        <f t="array" ref="B630">IFERROR(INDEX('03.Muestra'!$C$8:$C$42,SMALL(IF("Página Web"='03.Muestra'!$D$8:$D$42,ROW('03.Muestra'!$C$8:$C$42)-MIN(ROW('03.Muestra'!$D$8:$D$42))+1,""),ROW()-626)),"")</f>
        <v>Home - PortCastelló</v>
      </c>
      <c r="C630" s="114" t="str" cm="1">
        <f t="array" ref="C630">IFERROR(INDEX('03.Muestra'!$F$8:$F$42,SMALL(IF("Página Web"='03.Muestra'!$D$8:$D$42,ROW('03.Muestra'!$F$8:$F$42)-MIN(ROW('03.Muestra'!$D$8:$D$42))+1,""),ROW()-626)),"")</f>
        <v>https://www.portcastello.com/</v>
      </c>
      <c r="D630" s="130" t="str">
        <f t="shared" si="33"/>
        <v>N/T</v>
      </c>
      <c r="E630" s="107" t="str">
        <f t="shared" si="32"/>
        <v/>
      </c>
      <c r="G630" s="19"/>
      <c r="H630" s="19"/>
      <c r="I630" s="19"/>
      <c r="J630" s="19"/>
      <c r="K630" s="228"/>
      <c r="L630" s="19"/>
      <c r="M630" s="19"/>
      <c r="N630" s="19"/>
      <c r="O630" s="19"/>
      <c r="P630" s="19"/>
      <c r="Q630" s="19"/>
      <c r="R630" s="19"/>
      <c r="S630" s="19"/>
      <c r="T630" s="19"/>
      <c r="U630" s="19"/>
      <c r="V630" s="19"/>
      <c r="W630" s="19"/>
      <c r="X630" s="19"/>
      <c r="Y630" s="19"/>
    </row>
    <row r="631" spans="1:25" ht="12" customHeight="1">
      <c r="A631" s="219" t="n" cm="1">
        <f t="array" ref="A631">IFERROR(INDEX('03.Muestra'!$B$8:$B$42,SMALL(IF("Página Web"='03.Muestra'!$D$8:$D$42,ROW('03.Muestra'!$B$8:$B$42)-MIN(ROW('03.Muestra'!$D$8:$D$42))+1,""),ROW()-626)),"")</f>
        <v>1.0</v>
      </c>
      <c r="B631" s="114" t="str" cm="1">
        <f t="array" ref="B631">IFERROR(INDEX('03.Muestra'!$C$8:$C$42,SMALL(IF("Página Web"='03.Muestra'!$D$8:$D$42,ROW('03.Muestra'!$C$8:$C$42)-MIN(ROW('03.Muestra'!$D$8:$D$42))+1,""),ROW()-626)),"")</f>
        <v>Home - PortCastelló</v>
      </c>
      <c r="C631" s="114" t="str" cm="1">
        <f t="array" ref="C631">IFERROR(INDEX('03.Muestra'!$F$8:$F$42,SMALL(IF("Página Web"='03.Muestra'!$D$8:$D$42,ROW('03.Muestra'!$F$8:$F$42)-MIN(ROW('03.Muestra'!$D$8:$D$42))+1,""),ROW()-626)),"")</f>
        <v>https://www.portcastello.com/</v>
      </c>
      <c r="D631" s="130" t="str">
        <f t="shared" si="33"/>
        <v>N/T</v>
      </c>
      <c r="E631" s="107" t="str">
        <f t="shared" si="32"/>
        <v/>
      </c>
      <c r="G631" s="19"/>
      <c r="H631" s="19"/>
      <c r="I631" s="19"/>
      <c r="J631" s="19"/>
      <c r="K631" s="228"/>
      <c r="L631" s="19"/>
      <c r="M631" s="19"/>
      <c r="N631" s="19"/>
      <c r="O631" s="19"/>
      <c r="P631" s="19"/>
      <c r="Q631" s="19"/>
      <c r="R631" s="19"/>
      <c r="S631" s="19"/>
      <c r="T631" s="19"/>
      <c r="U631" s="19"/>
      <c r="V631" s="19"/>
      <c r="W631" s="19"/>
      <c r="X631" s="19"/>
      <c r="Y631" s="19"/>
    </row>
    <row r="632" spans="1:25" ht="12" customHeight="1">
      <c r="A632" s="219" t="n" cm="1">
        <f t="array" ref="A632">IFERROR(INDEX('03.Muestra'!$B$8:$B$42,SMALL(IF("Página Web"='03.Muestra'!$D$8:$D$42,ROW('03.Muestra'!$B$8:$B$42)-MIN(ROW('03.Muestra'!$D$8:$D$42))+1,""),ROW()-626)),"")</f>
        <v>1.0</v>
      </c>
      <c r="B632" s="114" t="str" cm="1">
        <f t="array" ref="B632">IFERROR(INDEX('03.Muestra'!$C$8:$C$42,SMALL(IF("Página Web"='03.Muestra'!$D$8:$D$42,ROW('03.Muestra'!$C$8:$C$42)-MIN(ROW('03.Muestra'!$D$8:$D$42))+1,""),ROW()-626)),"")</f>
        <v>Home - PortCastelló</v>
      </c>
      <c r="C632" s="114" t="str" cm="1">
        <f t="array" ref="C632">IFERROR(INDEX('03.Muestra'!$F$8:$F$42,SMALL(IF("Página Web"='03.Muestra'!$D$8:$D$42,ROW('03.Muestra'!$F$8:$F$42)-MIN(ROW('03.Muestra'!$D$8:$D$42))+1,""),ROW()-626)),"")</f>
        <v>https://www.portcastello.com/</v>
      </c>
      <c r="D632" s="130" t="str">
        <f t="shared" si="33"/>
        <v>N/T</v>
      </c>
      <c r="E632" s="107" t="str">
        <f t="shared" si="32"/>
        <v/>
      </c>
      <c r="G632" s="19"/>
      <c r="H632" s="19"/>
      <c r="I632" s="19"/>
      <c r="J632" s="19"/>
      <c r="K632" s="228"/>
      <c r="L632" s="19"/>
      <c r="M632" s="19"/>
      <c r="N632" s="19"/>
      <c r="O632" s="19"/>
      <c r="P632" s="19"/>
      <c r="Q632" s="19"/>
      <c r="R632" s="19"/>
      <c r="S632" s="19"/>
      <c r="T632" s="19"/>
      <c r="U632" s="19"/>
      <c r="V632" s="19"/>
      <c r="W632" s="19"/>
      <c r="X632" s="19"/>
      <c r="Y632" s="19"/>
    </row>
    <row r="633" spans="1:25" ht="12" customHeight="1">
      <c r="A633" s="219" t="n" cm="1">
        <f t="array" ref="A633">IFERROR(INDEX('03.Muestra'!$B$8:$B$42,SMALL(IF("Página Web"='03.Muestra'!$D$8:$D$42,ROW('03.Muestra'!$B$8:$B$42)-MIN(ROW('03.Muestra'!$D$8:$D$42))+1,""),ROW()-626)),"")</f>
        <v>1.0</v>
      </c>
      <c r="B633" s="114" t="str" cm="1">
        <f t="array" ref="B633">IFERROR(INDEX('03.Muestra'!$C$8:$C$42,SMALL(IF("Página Web"='03.Muestra'!$D$8:$D$42,ROW('03.Muestra'!$C$8:$C$42)-MIN(ROW('03.Muestra'!$D$8:$D$42))+1,""),ROW()-626)),"")</f>
        <v>Home - PortCastelló</v>
      </c>
      <c r="C633" s="114" t="str" cm="1">
        <f t="array" ref="C633">IFERROR(INDEX('03.Muestra'!$F$8:$F$42,SMALL(IF("Página Web"='03.Muestra'!$D$8:$D$42,ROW('03.Muestra'!$F$8:$F$42)-MIN(ROW('03.Muestra'!$D$8:$D$42))+1,""),ROW()-626)),"")</f>
        <v>https://www.portcastello.com/</v>
      </c>
      <c r="D633" s="130" t="str">
        <f t="shared" si="33"/>
        <v>N/T</v>
      </c>
      <c r="E633" s="107" t="str">
        <f t="shared" si="32"/>
        <v/>
      </c>
      <c r="F633" s="19"/>
      <c r="G633" s="19"/>
      <c r="H633" s="19"/>
      <c r="I633" s="19"/>
      <c r="J633" s="19"/>
      <c r="K633" s="228"/>
      <c r="L633" s="19"/>
      <c r="M633" s="19"/>
      <c r="N633" s="19"/>
      <c r="O633" s="19"/>
      <c r="P633" s="19"/>
      <c r="Q633" s="19"/>
      <c r="R633" s="19"/>
      <c r="S633" s="19"/>
      <c r="T633" s="19"/>
      <c r="U633" s="19"/>
      <c r="V633" s="19"/>
      <c r="W633" s="19"/>
      <c r="X633" s="19"/>
      <c r="Y633" s="19"/>
    </row>
    <row r="634" spans="1:25" ht="12" customHeight="1">
      <c r="A634" s="219" t="n" cm="1">
        <f t="array" ref="A634">IFERROR(INDEX('03.Muestra'!$B$8:$B$42,SMALL(IF("Página Web"='03.Muestra'!$D$8:$D$42,ROW('03.Muestra'!$B$8:$B$42)-MIN(ROW('03.Muestra'!$D$8:$D$42))+1,""),ROW()-626)),"")</f>
        <v>1.0</v>
      </c>
      <c r="B634" s="114" t="str" cm="1">
        <f t="array" ref="B634">IFERROR(INDEX('03.Muestra'!$C$8:$C$42,SMALL(IF("Página Web"='03.Muestra'!$D$8:$D$42,ROW('03.Muestra'!$C$8:$C$42)-MIN(ROW('03.Muestra'!$D$8:$D$42))+1,""),ROW()-626)),"")</f>
        <v>Home - PortCastelló</v>
      </c>
      <c r="C634" s="114" t="str" cm="1">
        <f t="array" ref="C634">IFERROR(INDEX('03.Muestra'!$F$8:$F$42,SMALL(IF("Página Web"='03.Muestra'!$D$8:$D$42,ROW('03.Muestra'!$F$8:$F$42)-MIN(ROW('03.Muestra'!$D$8:$D$42))+1,""),ROW()-626)),"")</f>
        <v>https://www.portcastello.com/</v>
      </c>
      <c r="D634" s="130" t="str">
        <f t="shared" si="33"/>
        <v>N/T</v>
      </c>
      <c r="E634" s="107" t="str">
        <f t="shared" si="32"/>
        <v/>
      </c>
      <c r="F634" s="19"/>
      <c r="G634" s="19"/>
      <c r="H634" s="19"/>
      <c r="I634" s="19"/>
      <c r="J634" s="19"/>
      <c r="K634" s="228"/>
      <c r="L634" s="19"/>
      <c r="M634" s="19"/>
      <c r="N634" s="19"/>
      <c r="O634" s="19"/>
      <c r="P634" s="19"/>
      <c r="Q634" s="19"/>
      <c r="R634" s="19"/>
      <c r="S634" s="19"/>
      <c r="T634" s="19"/>
      <c r="U634" s="19"/>
      <c r="V634" s="19"/>
      <c r="W634" s="19"/>
      <c r="X634" s="19"/>
      <c r="Y634" s="19"/>
    </row>
    <row r="635" spans="1:25" ht="12" customHeight="1">
      <c r="A635" s="219" t="n" cm="1">
        <f t="array" ref="A635">IFERROR(INDEX('03.Muestra'!$B$8:$B$42,SMALL(IF("Página Web"='03.Muestra'!$D$8:$D$42,ROW('03.Muestra'!$B$8:$B$42)-MIN(ROW('03.Muestra'!$D$8:$D$42))+1,""),ROW()-626)),"")</f>
        <v>1.0</v>
      </c>
      <c r="B635" s="114" t="str" cm="1">
        <f t="array" ref="B635">IFERROR(INDEX('03.Muestra'!$C$8:$C$42,SMALL(IF("Página Web"='03.Muestra'!$D$8:$D$42,ROW('03.Muestra'!$C$8:$C$42)-MIN(ROW('03.Muestra'!$D$8:$D$42))+1,""),ROW()-626)),"")</f>
        <v>Home - PortCastelló</v>
      </c>
      <c r="C635" s="114" t="str" cm="1">
        <f t="array" ref="C635">IFERROR(INDEX('03.Muestra'!$F$8:$F$42,SMALL(IF("Página Web"='03.Muestra'!$D$8:$D$42,ROW('03.Muestra'!$F$8:$F$42)-MIN(ROW('03.Muestra'!$D$8:$D$42))+1,""),ROW()-626)),"")</f>
        <v>https://www.portcastello.com/</v>
      </c>
      <c r="D635" s="130" t="str">
        <f t="shared" si="33"/>
        <v>N/T</v>
      </c>
      <c r="E635" s="107" t="str">
        <f t="shared" si="32"/>
        <v/>
      </c>
      <c r="F635" s="19"/>
      <c r="G635" s="19"/>
      <c r="H635" s="19"/>
      <c r="I635" s="19"/>
      <c r="J635" s="19"/>
      <c r="K635" s="228"/>
      <c r="L635" s="19"/>
      <c r="M635" s="19"/>
      <c r="N635" s="19"/>
      <c r="O635" s="19"/>
      <c r="P635" s="19"/>
      <c r="Q635" s="19"/>
      <c r="R635" s="19"/>
      <c r="S635" s="19"/>
      <c r="T635" s="19"/>
      <c r="U635" s="19"/>
      <c r="V635" s="19"/>
      <c r="W635" s="19"/>
      <c r="X635" s="19"/>
      <c r="Y635" s="19"/>
    </row>
    <row r="636" spans="1:25" ht="12" customHeight="1">
      <c r="A636" s="219" t="n" cm="1">
        <f t="array" ref="A636">IFERROR(INDEX('03.Muestra'!$B$8:$B$42,SMALL(IF("Página Web"='03.Muestra'!$D$8:$D$42,ROW('03.Muestra'!$B$8:$B$42)-MIN(ROW('03.Muestra'!$D$8:$D$42))+1,""),ROW()-626)),"")</f>
        <v>1.0</v>
      </c>
      <c r="B636" s="114" t="str" cm="1">
        <f t="array" ref="B636">IFERROR(INDEX('03.Muestra'!$C$8:$C$42,SMALL(IF("Página Web"='03.Muestra'!$D$8:$D$42,ROW('03.Muestra'!$C$8:$C$42)-MIN(ROW('03.Muestra'!$D$8:$D$42))+1,""),ROW()-626)),"")</f>
        <v>Home - PortCastelló</v>
      </c>
      <c r="C636" s="114" t="str" cm="1">
        <f t="array" ref="C636">IFERROR(INDEX('03.Muestra'!$F$8:$F$42,SMALL(IF("Página Web"='03.Muestra'!$D$8:$D$42,ROW('03.Muestra'!$F$8:$F$42)-MIN(ROW('03.Muestra'!$D$8:$D$42))+1,""),ROW()-626)),"")</f>
        <v>https://www.portcastello.com/</v>
      </c>
      <c r="D636" s="130" t="str">
        <f t="shared" si="33"/>
        <v>N/T</v>
      </c>
      <c r="E636" s="107" t="str">
        <f t="shared" si="32"/>
        <v/>
      </c>
      <c r="F636" s="19"/>
      <c r="G636" s="19"/>
      <c r="H636" s="19"/>
      <c r="I636" s="19"/>
      <c r="J636" s="19"/>
      <c r="K636" s="228"/>
      <c r="L636" s="19"/>
      <c r="M636" s="19"/>
      <c r="N636" s="19"/>
      <c r="O636" s="19"/>
      <c r="P636" s="19"/>
      <c r="Q636" s="19"/>
      <c r="R636" s="19"/>
      <c r="S636" s="19"/>
      <c r="T636" s="19"/>
      <c r="U636" s="19"/>
      <c r="V636" s="19"/>
      <c r="W636" s="19"/>
      <c r="X636" s="19"/>
      <c r="Y636" s="19"/>
    </row>
    <row r="637" spans="1:25" ht="12" customHeight="1">
      <c r="A637" s="219" t="n" cm="1">
        <f t="array" ref="A637">IFERROR(INDEX('03.Muestra'!$B$8:$B$42,SMALL(IF("Página Web"='03.Muestra'!$D$8:$D$42,ROW('03.Muestra'!$B$8:$B$42)-MIN(ROW('03.Muestra'!$D$8:$D$42))+1,""),ROW()-626)),"")</f>
        <v>1.0</v>
      </c>
      <c r="B637" s="114" t="str" cm="1">
        <f t="array" ref="B637">IFERROR(INDEX('03.Muestra'!$C$8:$C$42,SMALL(IF("Página Web"='03.Muestra'!$D$8:$D$42,ROW('03.Muestra'!$C$8:$C$42)-MIN(ROW('03.Muestra'!$D$8:$D$42))+1,""),ROW()-626)),"")</f>
        <v>Home - PortCastelló</v>
      </c>
      <c r="C637" s="114" t="str" cm="1">
        <f t="array" ref="C637">IFERROR(INDEX('03.Muestra'!$F$8:$F$42,SMALL(IF("Página Web"='03.Muestra'!$D$8:$D$42,ROW('03.Muestra'!$F$8:$F$42)-MIN(ROW('03.Muestra'!$D$8:$D$42))+1,""),ROW()-626)),"")</f>
        <v>https://www.portcastello.com/</v>
      </c>
      <c r="D637" s="130" t="str">
        <f t="shared" si="33"/>
        <v>N/T</v>
      </c>
      <c r="E637" s="107" t="str">
        <f t="shared" si="32"/>
        <v/>
      </c>
      <c r="F637" s="19"/>
      <c r="G637" s="19"/>
      <c r="H637" s="19"/>
      <c r="I637" s="19"/>
      <c r="J637" s="19"/>
      <c r="K637" s="228"/>
      <c r="L637" s="19"/>
      <c r="M637" s="19"/>
      <c r="N637" s="19"/>
      <c r="O637" s="19"/>
      <c r="P637" s="19"/>
      <c r="Q637" s="19"/>
      <c r="R637" s="19"/>
      <c r="S637" s="19"/>
      <c r="T637" s="19"/>
      <c r="U637" s="19"/>
      <c r="V637" s="19"/>
      <c r="W637" s="19"/>
      <c r="X637" s="19"/>
      <c r="Y637" s="19"/>
    </row>
    <row r="638" spans="1:25" ht="12" customHeight="1">
      <c r="A638" s="219" t="n" cm="1">
        <f t="array" ref="A638">IFERROR(INDEX('03.Muestra'!$B$8:$B$42,SMALL(IF("Página Web"='03.Muestra'!$D$8:$D$42,ROW('03.Muestra'!$B$8:$B$42)-MIN(ROW('03.Muestra'!$D$8:$D$42))+1,""),ROW()-626)),"")</f>
        <v>1.0</v>
      </c>
      <c r="B638" s="114" t="str" cm="1">
        <f t="array" ref="B638">IFERROR(INDEX('03.Muestra'!$C$8:$C$42,SMALL(IF("Página Web"='03.Muestra'!$D$8:$D$42,ROW('03.Muestra'!$C$8:$C$42)-MIN(ROW('03.Muestra'!$D$8:$D$42))+1,""),ROW()-626)),"")</f>
        <v>Home - PortCastelló</v>
      </c>
      <c r="C638" s="114" t="str" cm="1">
        <f t="array" ref="C638">IFERROR(INDEX('03.Muestra'!$F$8:$F$42,SMALL(IF("Página Web"='03.Muestra'!$D$8:$D$42,ROW('03.Muestra'!$F$8:$F$42)-MIN(ROW('03.Muestra'!$D$8:$D$42))+1,""),ROW()-626)),"")</f>
        <v>https://www.portcastello.com/</v>
      </c>
      <c r="D638" s="130" t="str">
        <f t="shared" si="33"/>
        <v>N/T</v>
      </c>
      <c r="E638" s="107" t="str">
        <f t="shared" si="32"/>
        <v/>
      </c>
      <c r="F638" s="19"/>
      <c r="G638" s="19"/>
      <c r="H638" s="19"/>
      <c r="I638" s="19"/>
      <c r="J638" s="19"/>
      <c r="K638" s="228"/>
      <c r="L638" s="19"/>
      <c r="M638" s="19"/>
      <c r="N638" s="19"/>
      <c r="O638" s="19"/>
      <c r="P638" s="19"/>
      <c r="Q638" s="19"/>
      <c r="R638" s="19"/>
      <c r="S638" s="19"/>
      <c r="T638" s="19"/>
      <c r="U638" s="19"/>
      <c r="V638" s="19"/>
      <c r="W638" s="19"/>
      <c r="X638" s="19"/>
      <c r="Y638" s="19"/>
    </row>
    <row r="639" spans="1:25" ht="14.1" customHeight="1">
      <c r="A639" s="219" t="n" cm="1">
        <f t="array" ref="A639">IFERROR(INDEX('03.Muestra'!$B$8:$B$42,SMALL(IF("Página Web"='03.Muestra'!$D$8:$D$42,ROW('03.Muestra'!$B$8:$B$42)-MIN(ROW('03.Muestra'!$D$8:$D$42))+1,""),ROW()-626)),"")</f>
        <v>1.0</v>
      </c>
      <c r="B639" s="114" t="str" cm="1">
        <f t="array" ref="B639">IFERROR(INDEX('03.Muestra'!$C$8:$C$42,SMALL(IF("Página Web"='03.Muestra'!$D$8:$D$42,ROW('03.Muestra'!$C$8:$C$42)-MIN(ROW('03.Muestra'!$D$8:$D$42))+1,""),ROW()-626)),"")</f>
        <v>Home - PortCastelló</v>
      </c>
      <c r="C639" s="114" t="str" cm="1">
        <f t="array" ref="C639">IFERROR(INDEX('03.Muestra'!$F$8:$F$42,SMALL(IF("Página Web"='03.Muestra'!$D$8:$D$42,ROW('03.Muestra'!$F$8:$F$42)-MIN(ROW('03.Muestra'!$D$8:$D$42))+1,""),ROW()-626)),"")</f>
        <v>https://www.portcastello.com/</v>
      </c>
      <c r="D639" s="130" t="str">
        <f t="shared" si="33"/>
        <v>N/T</v>
      </c>
      <c r="E639" s="107" t="str">
        <f t="shared" si="32"/>
        <v/>
      </c>
      <c r="F639" s="19"/>
      <c r="G639" s="19"/>
      <c r="H639" s="19"/>
      <c r="I639" s="19"/>
      <c r="J639" s="19"/>
      <c r="K639" s="228"/>
      <c r="L639" s="19"/>
      <c r="M639" s="19"/>
      <c r="N639" s="19"/>
      <c r="O639" s="19"/>
      <c r="P639" s="19"/>
      <c r="Q639" s="19"/>
      <c r="R639" s="19"/>
      <c r="S639" s="19"/>
      <c r="T639" s="19"/>
      <c r="U639" s="19"/>
      <c r="V639" s="19"/>
      <c r="W639" s="19"/>
      <c r="X639" s="19"/>
      <c r="Y639" s="19"/>
    </row>
    <row r="640" spans="1:25" ht="14.1" customHeight="1">
      <c r="A640" s="219" t="n" cm="1">
        <f t="array" ref="A640">IFERROR(INDEX('03.Muestra'!$B$8:$B$42,SMALL(IF("Página Web"='03.Muestra'!$D$8:$D$42,ROW('03.Muestra'!$B$8:$B$42)-MIN(ROW('03.Muestra'!$D$8:$D$42))+1,""),ROW()-626)),"")</f>
        <v>1.0</v>
      </c>
      <c r="B640" s="114" t="str" cm="1">
        <f t="array" ref="B640">IFERROR(INDEX('03.Muestra'!$C$8:$C$42,SMALL(IF("Página Web"='03.Muestra'!$D$8:$D$42,ROW('03.Muestra'!$C$8:$C$42)-MIN(ROW('03.Muestra'!$D$8:$D$42))+1,""),ROW()-626)),"")</f>
        <v>Home - PortCastelló</v>
      </c>
      <c r="C640" s="114" t="str" cm="1">
        <f t="array" ref="C640">IFERROR(INDEX('03.Muestra'!$F$8:$F$42,SMALL(IF("Página Web"='03.Muestra'!$D$8:$D$42,ROW('03.Muestra'!$F$8:$F$42)-MIN(ROW('03.Muestra'!$D$8:$D$42))+1,""),ROW()-626)),"")</f>
        <v>https://www.portcastello.com/</v>
      </c>
      <c r="D640" s="130" t="str">
        <f t="shared" si="33"/>
        <v>N/T</v>
      </c>
      <c r="E640" s="107" t="str">
        <f t="shared" si="32"/>
        <v/>
      </c>
      <c r="F640" s="19"/>
      <c r="G640" s="19"/>
      <c r="H640" s="19"/>
      <c r="I640" s="19"/>
      <c r="J640" s="19"/>
      <c r="K640" s="228"/>
      <c r="L640" s="19"/>
      <c r="M640" s="19"/>
      <c r="N640" s="19"/>
      <c r="O640" s="19"/>
      <c r="P640" s="19"/>
      <c r="Q640" s="19"/>
      <c r="R640" s="19"/>
      <c r="S640" s="19"/>
      <c r="T640" s="19"/>
      <c r="U640" s="19"/>
      <c r="V640" s="19"/>
      <c r="W640" s="19"/>
      <c r="X640" s="19"/>
      <c r="Y640" s="19"/>
    </row>
    <row r="641" spans="1:25" ht="14.1" customHeight="1">
      <c r="A641" s="219" t="n" cm="1">
        <f t="array" ref="A641">IFERROR(INDEX('03.Muestra'!$B$8:$B$42,SMALL(IF("Página Web"='03.Muestra'!$D$8:$D$42,ROW('03.Muestra'!$B$8:$B$42)-MIN(ROW('03.Muestra'!$D$8:$D$42))+1,""),ROW()-626)),"")</f>
        <v>1.0</v>
      </c>
      <c r="B641" s="114" t="str" cm="1">
        <f t="array" ref="B641">IFERROR(INDEX('03.Muestra'!$C$8:$C$42,SMALL(IF("Página Web"='03.Muestra'!$D$8:$D$42,ROW('03.Muestra'!$C$8:$C$42)-MIN(ROW('03.Muestra'!$D$8:$D$42))+1,""),ROW()-626)),"")</f>
        <v>Home - PortCastelló</v>
      </c>
      <c r="C641" s="114" t="str" cm="1">
        <f t="array" ref="C641">IFERROR(INDEX('03.Muestra'!$F$8:$F$42,SMALL(IF("Página Web"='03.Muestra'!$D$8:$D$42,ROW('03.Muestra'!$F$8:$F$42)-MIN(ROW('03.Muestra'!$D$8:$D$42))+1,""),ROW()-626)),"")</f>
        <v>https://www.portcastello.com/</v>
      </c>
      <c r="D641" s="130" t="str">
        <f t="shared" si="33"/>
        <v>N/T</v>
      </c>
      <c r="E641" s="107" t="str">
        <f t="shared" si="32"/>
        <v/>
      </c>
      <c r="F641" s="19"/>
      <c r="G641" s="19"/>
      <c r="H641" s="19"/>
      <c r="I641" s="19"/>
      <c r="J641" s="19"/>
      <c r="K641" s="228"/>
      <c r="L641" s="19"/>
      <c r="M641" s="19"/>
      <c r="N641" s="19"/>
      <c r="O641" s="19"/>
      <c r="P641" s="19"/>
      <c r="Q641" s="19"/>
      <c r="R641" s="19"/>
      <c r="S641" s="19"/>
      <c r="T641" s="19"/>
      <c r="U641" s="19"/>
      <c r="V641" s="19"/>
      <c r="W641" s="19"/>
      <c r="X641" s="19"/>
      <c r="Y641" s="19"/>
    </row>
    <row r="642" spans="1:25" ht="14.1" customHeight="1">
      <c r="A642" s="219" t="n" cm="1">
        <f t="array" ref="A642">IFERROR(INDEX('03.Muestra'!$B$8:$B$42,SMALL(IF("Página Web"='03.Muestra'!$D$8:$D$42,ROW('03.Muestra'!$B$8:$B$42)-MIN(ROW('03.Muestra'!$D$8:$D$42))+1,""),ROW()-626)),"")</f>
        <v>1.0</v>
      </c>
      <c r="B642" s="114" t="str" cm="1">
        <f t="array" ref="B642">IFERROR(INDEX('03.Muestra'!$C$8:$C$42,SMALL(IF("Página Web"='03.Muestra'!$D$8:$D$42,ROW('03.Muestra'!$C$8:$C$42)-MIN(ROW('03.Muestra'!$D$8:$D$42))+1,""),ROW()-626)),"")</f>
        <v>Home - PortCastelló</v>
      </c>
      <c r="C642" s="114" t="str" cm="1">
        <f t="array" ref="C642">IFERROR(INDEX('03.Muestra'!$F$8:$F$42,SMALL(IF("Página Web"='03.Muestra'!$D$8:$D$42,ROW('03.Muestra'!$F$8:$F$42)-MIN(ROW('03.Muestra'!$D$8:$D$42))+1,""),ROW()-626)),"")</f>
        <v>https://www.portcastello.com/</v>
      </c>
      <c r="D642" s="130" t="str">
        <f t="shared" si="33"/>
        <v>N/T</v>
      </c>
      <c r="E642" s="107" t="str">
        <f t="shared" si="32"/>
        <v/>
      </c>
      <c r="F642" s="19"/>
      <c r="G642" s="19"/>
      <c r="H642" s="19"/>
      <c r="I642" s="19"/>
      <c r="J642" s="19"/>
      <c r="K642" s="228"/>
      <c r="L642" s="19"/>
      <c r="M642" s="19"/>
      <c r="N642" s="19"/>
      <c r="O642" s="19"/>
      <c r="P642" s="19"/>
      <c r="Q642" s="19"/>
      <c r="R642" s="19"/>
      <c r="S642" s="19"/>
      <c r="T642" s="19"/>
      <c r="U642" s="19"/>
      <c r="V642" s="19"/>
      <c r="W642" s="19"/>
      <c r="X642" s="19"/>
      <c r="Y642" s="19"/>
    </row>
    <row r="643" spans="1:25" ht="14.1" customHeight="1">
      <c r="A643" s="219" t="n" cm="1">
        <f t="array" ref="A643">IFERROR(INDEX('03.Muestra'!$B$8:$B$42,SMALL(IF("Página Web"='03.Muestra'!$D$8:$D$42,ROW('03.Muestra'!$B$8:$B$42)-MIN(ROW('03.Muestra'!$D$8:$D$42))+1,""),ROW()-626)),"")</f>
        <v>1.0</v>
      </c>
      <c r="B643" s="114" t="str" cm="1">
        <f t="array" ref="B643">IFERROR(INDEX('03.Muestra'!$C$8:$C$42,SMALL(IF("Página Web"='03.Muestra'!$D$8:$D$42,ROW('03.Muestra'!$C$8:$C$42)-MIN(ROW('03.Muestra'!$D$8:$D$42))+1,""),ROW()-626)),"")</f>
        <v>Home - PortCastelló</v>
      </c>
      <c r="C643" s="114" t="str" cm="1">
        <f t="array" ref="C643">IFERROR(INDEX('03.Muestra'!$F$8:$F$42,SMALL(IF("Página Web"='03.Muestra'!$D$8:$D$42,ROW('03.Muestra'!$F$8:$F$42)-MIN(ROW('03.Muestra'!$D$8:$D$42))+1,""),ROW()-626)),"")</f>
        <v>https://www.portcastello.com/</v>
      </c>
      <c r="D643" s="130" t="str">
        <f t="shared" si="33"/>
        <v>N/T</v>
      </c>
      <c r="E643" s="107" t="str">
        <f t="shared" si="32"/>
        <v/>
      </c>
      <c r="F643" s="19"/>
      <c r="G643" s="19"/>
      <c r="H643" s="19"/>
      <c r="I643" s="19"/>
      <c r="J643" s="19"/>
      <c r="K643" s="228"/>
      <c r="L643" s="19"/>
      <c r="M643" s="19"/>
      <c r="N643" s="19"/>
      <c r="O643" s="19"/>
      <c r="P643" s="19"/>
      <c r="Q643" s="19"/>
      <c r="R643" s="19"/>
      <c r="S643" s="19"/>
      <c r="T643" s="19"/>
      <c r="U643" s="19"/>
      <c r="V643" s="19"/>
      <c r="W643" s="19"/>
      <c r="X643" s="19"/>
      <c r="Y643" s="19"/>
    </row>
    <row r="644" spans="1:25" ht="14.1" customHeight="1">
      <c r="A644" s="219" t="n" cm="1">
        <f t="array" ref="A644">IFERROR(INDEX('03.Muestra'!$B$8:$B$42,SMALL(IF("Página Web"='03.Muestra'!$D$8:$D$42,ROW('03.Muestra'!$B$8:$B$42)-MIN(ROW('03.Muestra'!$D$8:$D$42))+1,""),ROW()-626)),"")</f>
        <v>1.0</v>
      </c>
      <c r="B644" s="114" t="str" cm="1">
        <f t="array" ref="B644">IFERROR(INDEX('03.Muestra'!$C$8:$C$42,SMALL(IF("Página Web"='03.Muestra'!$D$8:$D$42,ROW('03.Muestra'!$C$8:$C$42)-MIN(ROW('03.Muestra'!$D$8:$D$42))+1,""),ROW()-626)),"")</f>
        <v>Home - PortCastelló</v>
      </c>
      <c r="C644" s="114" t="str" cm="1">
        <f t="array" ref="C644">IFERROR(INDEX('03.Muestra'!$F$8:$F$42,SMALL(IF("Página Web"='03.Muestra'!$D$8:$D$42,ROW('03.Muestra'!$F$8:$F$42)-MIN(ROW('03.Muestra'!$D$8:$D$42))+1,""),ROW()-626)),"")</f>
        <v>https://www.portcastello.com/</v>
      </c>
      <c r="D644" s="130" t="str">
        <f t="shared" si="33"/>
        <v>N/T</v>
      </c>
      <c r="E644" s="107" t="str">
        <f t="shared" si="32"/>
        <v/>
      </c>
      <c r="F644" s="19"/>
      <c r="G644" s="19"/>
      <c r="H644" s="19"/>
      <c r="I644" s="19"/>
      <c r="J644" s="19"/>
      <c r="K644" s="228"/>
      <c r="L644" s="19"/>
      <c r="M644" s="19"/>
      <c r="N644" s="19"/>
      <c r="O644" s="19"/>
      <c r="P644" s="19"/>
      <c r="Q644" s="19"/>
      <c r="R644" s="19"/>
      <c r="S644" s="19"/>
      <c r="T644" s="19"/>
      <c r="U644" s="19"/>
      <c r="V644" s="19"/>
      <c r="W644" s="19"/>
      <c r="X644" s="19"/>
      <c r="Y644" s="19"/>
    </row>
    <row r="645" spans="1:25" ht="14.1" customHeight="1">
      <c r="A645" s="219" t="n" cm="1">
        <f t="array" ref="A645">IFERROR(INDEX('03.Muestra'!$B$8:$B$42,SMALL(IF("Página Web"='03.Muestra'!$D$8:$D$42,ROW('03.Muestra'!$B$8:$B$42)-MIN(ROW('03.Muestra'!$D$8:$D$42))+1,""),ROW()-626)),"")</f>
        <v>1.0</v>
      </c>
      <c r="B645" s="114" t="str" cm="1">
        <f t="array" ref="B645">IFERROR(INDEX('03.Muestra'!$C$8:$C$42,SMALL(IF("Página Web"='03.Muestra'!$D$8:$D$42,ROW('03.Muestra'!$C$8:$C$42)-MIN(ROW('03.Muestra'!$D$8:$D$42))+1,""),ROW()-626)),"")</f>
        <v>Home - PortCastelló</v>
      </c>
      <c r="C645" s="114" t="str" cm="1">
        <f t="array" ref="C645">IFERROR(INDEX('03.Muestra'!$F$8:$F$42,SMALL(IF("Página Web"='03.Muestra'!$D$8:$D$42,ROW('03.Muestra'!$F$8:$F$42)-MIN(ROW('03.Muestra'!$D$8:$D$42))+1,""),ROW()-626)),"")</f>
        <v>https://www.portcastello.com/</v>
      </c>
      <c r="D645" s="130" t="str">
        <f t="shared" si="33"/>
        <v>N/T</v>
      </c>
      <c r="E645" s="107" t="str">
        <f t="shared" si="32"/>
        <v/>
      </c>
      <c r="F645" s="19"/>
      <c r="G645" s="19"/>
      <c r="H645" s="19"/>
      <c r="I645" s="19"/>
      <c r="J645" s="19"/>
      <c r="K645" s="228"/>
      <c r="L645" s="19"/>
      <c r="M645" s="19"/>
      <c r="N645" s="19"/>
      <c r="O645" s="19"/>
      <c r="P645" s="19"/>
      <c r="Q645" s="19"/>
      <c r="R645" s="19"/>
      <c r="S645" s="19"/>
      <c r="T645" s="19"/>
      <c r="U645" s="19"/>
      <c r="V645" s="19"/>
      <c r="W645" s="19"/>
      <c r="X645" s="19"/>
      <c r="Y645" s="19"/>
    </row>
    <row r="646" spans="1:25" ht="14.1" customHeight="1">
      <c r="A646" s="219" t="n" cm="1">
        <f t="array" ref="A646">IFERROR(INDEX('03.Muestra'!$B$8:$B$42,SMALL(IF("Página Web"='03.Muestra'!$D$8:$D$42,ROW('03.Muestra'!$B$8:$B$42)-MIN(ROW('03.Muestra'!$D$8:$D$42))+1,""),ROW()-626)),"")</f>
        <v>1.0</v>
      </c>
      <c r="B646" s="114" t="str" cm="1">
        <f t="array" ref="B646">IFERROR(INDEX('03.Muestra'!$C$8:$C$42,SMALL(IF("Página Web"='03.Muestra'!$D$8:$D$42,ROW('03.Muestra'!$C$8:$C$42)-MIN(ROW('03.Muestra'!$D$8:$D$42))+1,""),ROW()-626)),"")</f>
        <v>Home - PortCastelló</v>
      </c>
      <c r="C646" s="114" t="str" cm="1">
        <f t="array" ref="C646">IFERROR(INDEX('03.Muestra'!$F$8:$F$42,SMALL(IF("Página Web"='03.Muestra'!$D$8:$D$42,ROW('03.Muestra'!$F$8:$F$42)-MIN(ROW('03.Muestra'!$D$8:$D$42))+1,""),ROW()-626)),"")</f>
        <v>https://www.portcastello.com/</v>
      </c>
      <c r="D646" s="130" t="str">
        <f t="shared" si="33"/>
        <v>N/T</v>
      </c>
      <c r="E646" s="107" t="str">
        <f t="shared" si="32"/>
        <v/>
      </c>
      <c r="F646" s="19"/>
      <c r="G646" s="19"/>
      <c r="H646" s="19"/>
      <c r="I646" s="19"/>
      <c r="J646" s="19"/>
      <c r="K646" s="228"/>
      <c r="L646" s="19"/>
      <c r="M646" s="19"/>
      <c r="N646" s="19"/>
      <c r="O646" s="19"/>
      <c r="P646" s="19"/>
      <c r="Q646" s="19"/>
      <c r="R646" s="19"/>
      <c r="S646" s="19"/>
      <c r="T646" s="19"/>
      <c r="U646" s="19"/>
      <c r="V646" s="19"/>
      <c r="W646" s="19"/>
      <c r="X646" s="19"/>
      <c r="Y646" s="19"/>
    </row>
    <row r="647" spans="1:25" ht="14.1" customHeight="1">
      <c r="A647" s="219" t="n" cm="1">
        <f t="array" ref="A647">IFERROR(INDEX('03.Muestra'!$B$8:$B$42,SMALL(IF("Página Web"='03.Muestra'!$D$8:$D$42,ROW('03.Muestra'!$B$8:$B$42)-MIN(ROW('03.Muestra'!$D$8:$D$42))+1,""),ROW()-626)),"")</f>
        <v>1.0</v>
      </c>
      <c r="B647" s="114" t="str" cm="1">
        <f t="array" ref="B647">IFERROR(INDEX('03.Muestra'!$C$8:$C$42,SMALL(IF("Página Web"='03.Muestra'!$D$8:$D$42,ROW('03.Muestra'!$C$8:$C$42)-MIN(ROW('03.Muestra'!$D$8:$D$42))+1,""),ROW()-626)),"")</f>
        <v>Home - PortCastelló</v>
      </c>
      <c r="C647" s="114" t="str" cm="1">
        <f t="array" ref="C647">IFERROR(INDEX('03.Muestra'!$F$8:$F$42,SMALL(IF("Página Web"='03.Muestra'!$D$8:$D$42,ROW('03.Muestra'!$F$8:$F$42)-MIN(ROW('03.Muestra'!$D$8:$D$42))+1,""),ROW()-626)),"")</f>
        <v>https://www.portcastello.com/</v>
      </c>
      <c r="D647" s="130" t="str">
        <f t="shared" si="33"/>
        <v>N/T</v>
      </c>
      <c r="E647" s="107" t="str">
        <f t="shared" si="32"/>
        <v/>
      </c>
      <c r="F647" s="19"/>
      <c r="G647" s="19"/>
      <c r="H647" s="19"/>
      <c r="I647" s="19"/>
      <c r="J647" s="19"/>
      <c r="K647" s="228"/>
      <c r="L647" s="19"/>
      <c r="M647" s="19"/>
      <c r="N647" s="19"/>
      <c r="O647" s="19"/>
      <c r="P647" s="19"/>
      <c r="Q647" s="19"/>
      <c r="R647" s="19"/>
      <c r="S647" s="19"/>
      <c r="T647" s="19"/>
      <c r="U647" s="19"/>
      <c r="V647" s="19"/>
      <c r="W647" s="19"/>
      <c r="X647" s="19"/>
      <c r="Y647" s="19"/>
    </row>
    <row r="648" spans="1:25" ht="14.1" customHeight="1">
      <c r="A648" s="219" t="n" cm="1">
        <f t="array" ref="A648">IFERROR(INDEX('03.Muestra'!$B$8:$B$42,SMALL(IF("Página Web"='03.Muestra'!$D$8:$D$42,ROW('03.Muestra'!$B$8:$B$42)-MIN(ROW('03.Muestra'!$D$8:$D$42))+1,""),ROW()-626)),"")</f>
        <v>1.0</v>
      </c>
      <c r="B648" s="114" t="str" cm="1">
        <f t="array" ref="B648">IFERROR(INDEX('03.Muestra'!$C$8:$C$42,SMALL(IF("Página Web"='03.Muestra'!$D$8:$D$42,ROW('03.Muestra'!$C$8:$C$42)-MIN(ROW('03.Muestra'!$D$8:$D$42))+1,""),ROW()-626)),"")</f>
        <v>Home - PortCastelló</v>
      </c>
      <c r="C648" s="114" t="str" cm="1">
        <f t="array" ref="C648">IFERROR(INDEX('03.Muestra'!$F$8:$F$42,SMALL(IF("Página Web"='03.Muestra'!$D$8:$D$42,ROW('03.Muestra'!$F$8:$F$42)-MIN(ROW('03.Muestra'!$D$8:$D$42))+1,""),ROW()-626)),"")</f>
        <v>https://www.portcastello.com/</v>
      </c>
      <c r="D648" s="130" t="str">
        <f t="shared" si="33"/>
        <v>N/T</v>
      </c>
      <c r="E648" s="107" t="str">
        <f t="shared" si="32"/>
        <v/>
      </c>
      <c r="F648" s="19"/>
      <c r="G648" s="19"/>
      <c r="H648" s="19"/>
      <c r="I648" s="19"/>
      <c r="J648" s="19"/>
      <c r="K648" s="228"/>
      <c r="L648" s="19"/>
      <c r="M648" s="19"/>
      <c r="N648" s="19"/>
      <c r="O648" s="19"/>
      <c r="P648" s="19"/>
      <c r="Q648" s="19"/>
      <c r="R648" s="19"/>
      <c r="S648" s="19"/>
      <c r="T648" s="19"/>
      <c r="U648" s="19"/>
      <c r="V648" s="19"/>
      <c r="W648" s="19"/>
      <c r="X648" s="19"/>
      <c r="Y648" s="19"/>
    </row>
    <row r="649" spans="1:25" ht="14.1" customHeight="1">
      <c r="A649" s="219" t="n" cm="1">
        <f t="array" ref="A649">IFERROR(INDEX('03.Muestra'!$B$8:$B$42,SMALL(IF("Página Web"='03.Muestra'!$D$8:$D$42,ROW('03.Muestra'!$B$8:$B$42)-MIN(ROW('03.Muestra'!$D$8:$D$42))+1,""),ROW()-626)),"")</f>
        <v>1.0</v>
      </c>
      <c r="B649" s="114" t="str" cm="1">
        <f t="array" ref="B649">IFERROR(INDEX('03.Muestra'!$C$8:$C$42,SMALL(IF("Página Web"='03.Muestra'!$D$8:$D$42,ROW('03.Muestra'!$C$8:$C$42)-MIN(ROW('03.Muestra'!$D$8:$D$42))+1,""),ROW()-626)),"")</f>
        <v>Home - PortCastelló</v>
      </c>
      <c r="C649" s="114" t="str" cm="1">
        <f t="array" ref="C649">IFERROR(INDEX('03.Muestra'!$F$8:$F$42,SMALL(IF("Página Web"='03.Muestra'!$D$8:$D$42,ROW('03.Muestra'!$F$8:$F$42)-MIN(ROW('03.Muestra'!$D$8:$D$42))+1,""),ROW()-626)),"")</f>
        <v>https://www.portcastello.com/</v>
      </c>
      <c r="D649" s="130" t="str">
        <f t="shared" si="33"/>
        <v>N/T</v>
      </c>
      <c r="E649" s="107" t="str">
        <f t="shared" si="32"/>
        <v/>
      </c>
      <c r="F649" s="19"/>
      <c r="G649" s="19"/>
      <c r="H649" s="19"/>
      <c r="I649" s="19"/>
      <c r="J649" s="19"/>
      <c r="K649" s="228"/>
      <c r="L649" s="19"/>
      <c r="M649" s="19"/>
      <c r="N649" s="19"/>
      <c r="O649" s="19"/>
      <c r="P649" s="19"/>
      <c r="Q649" s="19"/>
      <c r="R649" s="19"/>
      <c r="S649" s="19"/>
      <c r="T649" s="19"/>
      <c r="U649" s="19"/>
      <c r="V649" s="19"/>
      <c r="W649" s="19"/>
      <c r="X649" s="19"/>
      <c r="Y649" s="19"/>
    </row>
    <row r="650" spans="1:25" ht="12" customHeight="1">
      <c r="A650" s="219" t="n" cm="1">
        <f t="array" ref="A650">IFERROR(INDEX('03.Muestra'!$B$8:$B$42,SMALL(IF("Página Web"='03.Muestra'!$D$8:$D$42,ROW('03.Muestra'!$B$8:$B$42)-MIN(ROW('03.Muestra'!$D$8:$D$42))+1,""),ROW()-626)),"")</f>
        <v>1.0</v>
      </c>
      <c r="B650" s="114" t="str" cm="1">
        <f t="array" ref="B650">IFERROR(INDEX('03.Muestra'!$C$8:$C$42,SMALL(IF("Página Web"='03.Muestra'!$D$8:$D$42,ROW('03.Muestra'!$C$8:$C$42)-MIN(ROW('03.Muestra'!$D$8:$D$42))+1,""),ROW()-626)),"")</f>
        <v>Home - PortCastelló</v>
      </c>
      <c r="C650" s="114" t="str" cm="1">
        <f t="array" ref="C650">IFERROR(INDEX('03.Muestra'!$F$8:$F$42,SMALL(IF("Página Web"='03.Muestra'!$D$8:$D$42,ROW('03.Muestra'!$F$8:$F$42)-MIN(ROW('03.Muestra'!$D$8:$D$42))+1,""),ROW()-626)),"")</f>
        <v>https://www.portcastello.com/</v>
      </c>
      <c r="D650" s="130" t="str">
        <f t="shared" si="33"/>
        <v>N/T</v>
      </c>
      <c r="E650" s="107" t="str">
        <f t="shared" si="32"/>
        <v/>
      </c>
      <c r="F650" s="19"/>
      <c r="G650" s="19"/>
      <c r="H650" s="19"/>
      <c r="I650" s="19"/>
      <c r="J650" s="19"/>
      <c r="K650" s="228"/>
      <c r="L650" s="19"/>
      <c r="M650" s="19"/>
      <c r="N650" s="19"/>
      <c r="O650" s="19"/>
      <c r="P650" s="19"/>
      <c r="Q650" s="19"/>
      <c r="R650" s="19"/>
      <c r="S650" s="19"/>
      <c r="T650" s="19"/>
      <c r="U650" s="19"/>
      <c r="V650" s="19"/>
      <c r="W650" s="19"/>
      <c r="X650" s="19"/>
      <c r="Y650" s="19"/>
    </row>
    <row r="651" spans="1:25" ht="12" customHeight="1">
      <c r="A651" s="219" t="n" cm="1">
        <f t="array" ref="A651">IFERROR(INDEX('03.Muestra'!$B$8:$B$42,SMALL(IF("Página Web"='03.Muestra'!$D$8:$D$42,ROW('03.Muestra'!$B$8:$B$42)-MIN(ROW('03.Muestra'!$D$8:$D$42))+1,""),ROW()-626)),"")</f>
        <v>1.0</v>
      </c>
      <c r="B651" s="114" t="str" cm="1">
        <f t="array" ref="B651">IFERROR(INDEX('03.Muestra'!$C$8:$C$42,SMALL(IF("Página Web"='03.Muestra'!$D$8:$D$42,ROW('03.Muestra'!$C$8:$C$42)-MIN(ROW('03.Muestra'!$D$8:$D$42))+1,""),ROW()-626)),"")</f>
        <v>Home - PortCastelló</v>
      </c>
      <c r="C651" s="114" t="str" cm="1">
        <f t="array" ref="C651">IFERROR(INDEX('03.Muestra'!$F$8:$F$42,SMALL(IF("Página Web"='03.Muestra'!$D$8:$D$42,ROW('03.Muestra'!$F$8:$F$42)-MIN(ROW('03.Muestra'!$D$8:$D$42))+1,""),ROW()-626)),"")</f>
        <v>https://www.portcastello.com/</v>
      </c>
      <c r="D651" s="130" t="str">
        <f t="shared" si="33"/>
        <v>N/T</v>
      </c>
      <c r="E651" s="107" t="str">
        <f t="shared" si="32"/>
        <v/>
      </c>
      <c r="F651" s="19"/>
      <c r="G651" s="19"/>
      <c r="H651" s="19"/>
      <c r="I651" s="19"/>
      <c r="J651" s="19"/>
      <c r="K651" s="228"/>
      <c r="L651" s="19"/>
      <c r="M651" s="19"/>
      <c r="N651" s="19"/>
      <c r="O651" s="19"/>
      <c r="P651" s="19"/>
      <c r="Q651" s="19"/>
      <c r="R651" s="19"/>
      <c r="S651" s="19"/>
      <c r="T651" s="19"/>
      <c r="U651" s="19"/>
      <c r="V651" s="19"/>
      <c r="W651" s="19"/>
      <c r="X651" s="19"/>
      <c r="Y651" s="19"/>
    </row>
    <row r="652" spans="1:25" ht="12" customHeight="1">
      <c r="A652" s="219" t="n" cm="1">
        <f t="array" ref="A652">IFERROR(INDEX('03.Muestra'!$B$8:$B$42,SMALL(IF("Página Web"='03.Muestra'!$D$8:$D$42,ROW('03.Muestra'!$B$8:$B$42)-MIN(ROW('03.Muestra'!$D$8:$D$42))+1,""),ROW()-626)),"")</f>
        <v>1.0</v>
      </c>
      <c r="B652" s="114" t="str" cm="1">
        <f t="array" ref="B652">IFERROR(INDEX('03.Muestra'!$C$8:$C$42,SMALL(IF("Página Web"='03.Muestra'!$D$8:$D$42,ROW('03.Muestra'!$C$8:$C$42)-MIN(ROW('03.Muestra'!$D$8:$D$42))+1,""),ROW()-626)),"")</f>
        <v>Home - PortCastelló</v>
      </c>
      <c r="C652" s="114" t="str" cm="1">
        <f t="array" ref="C652">IFERROR(INDEX('03.Muestra'!$F$8:$F$42,SMALL(IF("Página Web"='03.Muestra'!$D$8:$D$42,ROW('03.Muestra'!$F$8:$F$42)-MIN(ROW('03.Muestra'!$D$8:$D$42))+1,""),ROW()-626)),"")</f>
        <v>https://www.portcastello.com/</v>
      </c>
      <c r="D652" s="130" t="str">
        <f t="shared" si="33"/>
        <v>N/T</v>
      </c>
      <c r="E652" s="107" t="str">
        <f t="shared" si="32"/>
        <v/>
      </c>
      <c r="F652" s="19"/>
      <c r="G652" s="19"/>
      <c r="H652" s="19"/>
      <c r="I652" s="19"/>
      <c r="J652" s="19"/>
      <c r="K652" s="228"/>
      <c r="L652" s="19"/>
      <c r="M652" s="19"/>
      <c r="N652" s="19"/>
      <c r="O652" s="19"/>
      <c r="P652" s="19"/>
      <c r="Q652" s="19"/>
      <c r="R652" s="19"/>
      <c r="S652" s="19"/>
      <c r="T652" s="19"/>
      <c r="U652" s="19"/>
      <c r="V652" s="19"/>
      <c r="W652" s="19"/>
      <c r="X652" s="19"/>
      <c r="Y652" s="19"/>
    </row>
    <row r="653" spans="1:25" ht="12" customHeight="1">
      <c r="A653" s="219" t="n" cm="1">
        <f t="array" ref="A653">IFERROR(INDEX('03.Muestra'!$B$8:$B$42,SMALL(IF("Página Web"='03.Muestra'!$D$8:$D$42,ROW('03.Muestra'!$B$8:$B$42)-MIN(ROW('03.Muestra'!$D$8:$D$42))+1,""),ROW()-626)),"")</f>
        <v>1.0</v>
      </c>
      <c r="B653" s="114" t="str" cm="1">
        <f t="array" ref="B653">IFERROR(INDEX('03.Muestra'!$C$8:$C$42,SMALL(IF("Página Web"='03.Muestra'!$D$8:$D$42,ROW('03.Muestra'!$C$8:$C$42)-MIN(ROW('03.Muestra'!$D$8:$D$42))+1,""),ROW()-626)),"")</f>
        <v>Home - PortCastelló</v>
      </c>
      <c r="C653" s="114" t="str" cm="1">
        <f t="array" ref="C653">IFERROR(INDEX('03.Muestra'!$F$8:$F$42,SMALL(IF("Página Web"='03.Muestra'!$D$8:$D$42,ROW('03.Muestra'!$F$8:$F$42)-MIN(ROW('03.Muestra'!$D$8:$D$42))+1,""),ROW()-626)),"")</f>
        <v>https://www.portcastello.com/</v>
      </c>
      <c r="D653" s="130" t="str">
        <f t="shared" si="33"/>
        <v>N/T</v>
      </c>
      <c r="E653" s="107" t="str">
        <f t="shared" si="32"/>
        <v/>
      </c>
      <c r="F653" s="19"/>
      <c r="G653" s="19"/>
      <c r="H653" s="19"/>
      <c r="I653" s="19"/>
      <c r="J653" s="19"/>
      <c r="K653" s="228"/>
      <c r="L653" s="19"/>
      <c r="M653" s="19"/>
      <c r="N653" s="19"/>
      <c r="O653" s="19"/>
      <c r="P653" s="19"/>
      <c r="Q653" s="19"/>
      <c r="R653" s="19"/>
      <c r="S653" s="19"/>
      <c r="T653" s="19"/>
      <c r="U653" s="19"/>
      <c r="V653" s="19"/>
      <c r="W653" s="19"/>
      <c r="X653" s="19"/>
      <c r="Y653" s="19"/>
    </row>
    <row r="654" spans="1:25" ht="12" customHeight="1">
      <c r="A654" s="219" t="n" cm="1">
        <f t="array" ref="A654">IFERROR(INDEX('03.Muestra'!$B$8:$B$42,SMALL(IF("Página Web"='03.Muestra'!$D$8:$D$42,ROW('03.Muestra'!$B$8:$B$42)-MIN(ROW('03.Muestra'!$D$8:$D$42))+1,""),ROW()-626)),"")</f>
        <v>1.0</v>
      </c>
      <c r="B654" s="114" t="str" cm="1">
        <f t="array" ref="B654">IFERROR(INDEX('03.Muestra'!$C$8:$C$42,SMALL(IF("Página Web"='03.Muestra'!$D$8:$D$42,ROW('03.Muestra'!$C$8:$C$42)-MIN(ROW('03.Muestra'!$D$8:$D$42))+1,""),ROW()-626)),"")</f>
        <v>Home - PortCastelló</v>
      </c>
      <c r="C654" s="114" t="str" cm="1">
        <f t="array" ref="C654">IFERROR(INDEX('03.Muestra'!$F$8:$F$42,SMALL(IF("Página Web"='03.Muestra'!$D$8:$D$42,ROW('03.Muestra'!$F$8:$F$42)-MIN(ROW('03.Muestra'!$D$8:$D$42))+1,""),ROW()-626)),"")</f>
        <v>https://www.portcastello.com/</v>
      </c>
      <c r="D654" s="130" t="str">
        <f t="shared" si="33"/>
        <v>N/T</v>
      </c>
      <c r="E654" s="107" t="str">
        <f t="shared" si="32"/>
        <v/>
      </c>
      <c r="G654" s="19"/>
      <c r="H654" s="19"/>
      <c r="I654" s="19"/>
      <c r="J654" s="19"/>
      <c r="K654" s="228"/>
      <c r="L654" s="19"/>
      <c r="M654" s="19"/>
      <c r="N654" s="19"/>
      <c r="O654" s="19"/>
      <c r="P654" s="19"/>
      <c r="Q654" s="19"/>
      <c r="R654" s="19"/>
      <c r="S654" s="19"/>
      <c r="T654" s="19"/>
      <c r="U654" s="19"/>
      <c r="V654" s="19"/>
      <c r="W654" s="19"/>
      <c r="X654" s="19"/>
      <c r="Y654" s="19"/>
    </row>
    <row r="655" spans="1:25" ht="12" customHeight="1">
      <c r="A655" s="219" t="n" cm="1">
        <f t="array" ref="A655">IFERROR(INDEX('03.Muestra'!$B$8:$B$42,SMALL(IF("Página Web"='03.Muestra'!$D$8:$D$42,ROW('03.Muestra'!$B$8:$B$42)-MIN(ROW('03.Muestra'!$D$8:$D$42))+1,""),ROW()-626)),"")</f>
        <v>1.0</v>
      </c>
      <c r="B655" s="114" t="str" cm="1">
        <f t="array" ref="B655">IFERROR(INDEX('03.Muestra'!$C$8:$C$42,SMALL(IF("Página Web"='03.Muestra'!$D$8:$D$42,ROW('03.Muestra'!$C$8:$C$42)-MIN(ROW('03.Muestra'!$D$8:$D$42))+1,""),ROW()-626)),"")</f>
        <v>Home - PortCastelló</v>
      </c>
      <c r="C655" s="114" t="str" cm="1">
        <f t="array" ref="C655">IFERROR(INDEX('03.Muestra'!$F$8:$F$42,SMALL(IF("Página Web"='03.Muestra'!$D$8:$D$42,ROW('03.Muestra'!$F$8:$F$42)-MIN(ROW('03.Muestra'!$D$8:$D$42))+1,""),ROW()-626)),"")</f>
        <v>https://www.portcastello.com/</v>
      </c>
      <c r="D655" s="130" t="str">
        <f t="shared" si="33"/>
        <v>N/T</v>
      </c>
      <c r="E655" s="107" t="str">
        <f t="shared" si="32"/>
        <v/>
      </c>
      <c r="F655" s="124"/>
      <c r="G655" s="19"/>
      <c r="H655" s="19"/>
      <c r="I655" s="19"/>
      <c r="J655" s="19"/>
      <c r="K655" s="228"/>
      <c r="L655" s="19"/>
      <c r="M655" s="19"/>
      <c r="N655" s="19"/>
      <c r="O655" s="19"/>
      <c r="P655" s="19"/>
      <c r="Q655" s="19"/>
      <c r="R655" s="19"/>
      <c r="S655" s="19"/>
      <c r="T655" s="19"/>
      <c r="U655" s="19"/>
      <c r="V655" s="19"/>
      <c r="W655" s="19"/>
      <c r="X655" s="19"/>
      <c r="Y655" s="19"/>
    </row>
    <row r="656" spans="1:25" ht="12" customHeight="1">
      <c r="A656" s="219" t="n" cm="1">
        <f t="array" ref="A656">IFERROR(INDEX('03.Muestra'!$B$8:$B$42,SMALL(IF("Página Web"='03.Muestra'!$D$8:$D$42,ROW('03.Muestra'!$B$8:$B$42)-MIN(ROW('03.Muestra'!$D$8:$D$42))+1,""),ROW()-626)),"")</f>
        <v>1.0</v>
      </c>
      <c r="B656" s="114" t="str" cm="1">
        <f t="array" ref="B656">IFERROR(INDEX('03.Muestra'!$C$8:$C$42,SMALL(IF("Página Web"='03.Muestra'!$D$8:$D$42,ROW('03.Muestra'!$C$8:$C$42)-MIN(ROW('03.Muestra'!$D$8:$D$42))+1,""),ROW()-626)),"")</f>
        <v>Home - PortCastelló</v>
      </c>
      <c r="C656" s="114" t="str" cm="1">
        <f t="array" ref="C656">IFERROR(INDEX('03.Muestra'!$F$8:$F$42,SMALL(IF("Página Web"='03.Muestra'!$D$8:$D$42,ROW('03.Muestra'!$F$8:$F$42)-MIN(ROW('03.Muestra'!$D$8:$D$42))+1,""),ROW()-626)),"")</f>
        <v>https://www.portcastello.com/</v>
      </c>
      <c r="D656" s="130" t="str">
        <f t="shared" si="33"/>
        <v>N/T</v>
      </c>
      <c r="E656" s="107" t="str">
        <f t="shared" si="32"/>
        <v/>
      </c>
      <c r="F656" s="124"/>
      <c r="G656" s="19"/>
      <c r="H656" s="19"/>
      <c r="I656" s="19"/>
      <c r="J656" s="19"/>
      <c r="K656" s="228"/>
      <c r="L656" s="19"/>
      <c r="M656" s="19"/>
      <c r="N656" s="19"/>
      <c r="O656" s="19"/>
      <c r="P656" s="19"/>
      <c r="Q656" s="19"/>
      <c r="R656" s="19"/>
      <c r="S656" s="19"/>
      <c r="T656" s="19"/>
      <c r="U656" s="19"/>
      <c r="V656" s="19"/>
      <c r="W656" s="19"/>
      <c r="X656" s="19"/>
      <c r="Y656" s="19"/>
    </row>
    <row r="657" spans="1:25" ht="12" customHeight="1">
      <c r="A657" s="219" t="n" cm="1">
        <f t="array" ref="A657">IFERROR(INDEX('03.Muestra'!$B$8:$B$42,SMALL(IF("Página Web"='03.Muestra'!$D$8:$D$42,ROW('03.Muestra'!$B$8:$B$42)-MIN(ROW('03.Muestra'!$D$8:$D$42))+1,""),ROW()-626)),"")</f>
        <v>1.0</v>
      </c>
      <c r="B657" s="114" t="str" cm="1">
        <f t="array" ref="B657">IFERROR(INDEX('03.Muestra'!$C$8:$C$42,SMALL(IF("Página Web"='03.Muestra'!$D$8:$D$42,ROW('03.Muestra'!$C$8:$C$42)-MIN(ROW('03.Muestra'!$D$8:$D$42))+1,""),ROW()-626)),"")</f>
        <v>Home - PortCastelló</v>
      </c>
      <c r="C657" s="114" t="str" cm="1">
        <f t="array" ref="C657">IFERROR(INDEX('03.Muestra'!$F$8:$F$42,SMALL(IF("Página Web"='03.Muestra'!$D$8:$D$42,ROW('03.Muestra'!$F$8:$F$42)-MIN(ROW('03.Muestra'!$D$8:$D$42))+1,""),ROW()-626)),"")</f>
        <v>https://www.portcastello.com/</v>
      </c>
      <c r="D657" s="130" t="str">
        <f t="shared" si="33"/>
        <v>N/T</v>
      </c>
      <c r="E657" s="107" t="str">
        <f t="shared" si="32"/>
        <v/>
      </c>
      <c r="F657" s="124"/>
      <c r="G657" s="19"/>
      <c r="H657" s="19"/>
      <c r="I657" s="19"/>
      <c r="J657" s="19"/>
      <c r="K657" s="228"/>
      <c r="L657" s="19"/>
      <c r="M657" s="19"/>
      <c r="N657" s="19"/>
      <c r="O657" s="19"/>
      <c r="P657" s="19"/>
      <c r="Q657" s="19"/>
      <c r="R657" s="19"/>
      <c r="S657" s="19"/>
      <c r="T657" s="19"/>
      <c r="U657" s="19"/>
      <c r="V657" s="19"/>
      <c r="W657" s="19"/>
      <c r="X657" s="19"/>
      <c r="Y657" s="19"/>
    </row>
    <row r="658" spans="1:25" ht="12" customHeight="1">
      <c r="A658" s="219" t="n" cm="1">
        <f t="array" ref="A658">IFERROR(INDEX('03.Muestra'!$B$8:$B$42,SMALL(IF("Página Web"='03.Muestra'!$D$8:$D$42,ROW('03.Muestra'!$B$8:$B$42)-MIN(ROW('03.Muestra'!$D$8:$D$42))+1,""),ROW()-626)),"")</f>
        <v>1.0</v>
      </c>
      <c r="B658" s="114" t="str" cm="1">
        <f t="array" ref="B658">IFERROR(INDEX('03.Muestra'!$C$8:$C$42,SMALL(IF("Página Web"='03.Muestra'!$D$8:$D$42,ROW('03.Muestra'!$C$8:$C$42)-MIN(ROW('03.Muestra'!$D$8:$D$42))+1,""),ROW()-626)),"")</f>
        <v>Home - PortCastelló</v>
      </c>
      <c r="C658" s="114" t="str" cm="1">
        <f t="array" ref="C658">IFERROR(INDEX('03.Muestra'!$F$8:$F$42,SMALL(IF("Página Web"='03.Muestra'!$D$8:$D$42,ROW('03.Muestra'!$F$8:$F$42)-MIN(ROW('03.Muestra'!$D$8:$D$42))+1,""),ROW()-626)),"")</f>
        <v>https://www.portcastello.com/</v>
      </c>
      <c r="D658" s="130" t="str">
        <f t="shared" si="33"/>
        <v>N/T</v>
      </c>
      <c r="E658" s="107" t="str">
        <f t="shared" si="32"/>
        <v/>
      </c>
      <c r="F658" s="124"/>
      <c r="G658" s="19"/>
      <c r="H658" s="19"/>
      <c r="I658" s="19"/>
      <c r="J658" s="19"/>
      <c r="K658" s="228"/>
      <c r="L658" s="19"/>
      <c r="M658" s="19"/>
      <c r="N658" s="19"/>
      <c r="O658" s="19"/>
      <c r="P658" s="19"/>
      <c r="Q658" s="19"/>
      <c r="R658" s="19"/>
      <c r="S658" s="19"/>
      <c r="T658" s="19"/>
      <c r="U658" s="19"/>
      <c r="V658" s="19"/>
      <c r="W658" s="19"/>
      <c r="X658" s="19"/>
      <c r="Y658" s="19"/>
    </row>
    <row r="659" spans="1:25" ht="12" customHeight="1">
      <c r="A659" s="219" t="n" cm="1">
        <f t="array" ref="A659">IFERROR(INDEX('03.Muestra'!$B$8:$B$42,SMALL(IF("Página Web"='03.Muestra'!$D$8:$D$42,ROW('03.Muestra'!$B$8:$B$42)-MIN(ROW('03.Muestra'!$D$8:$D$42))+1,""),ROW()-626)),"")</f>
        <v>1.0</v>
      </c>
      <c r="B659" s="114" t="str" cm="1">
        <f t="array" ref="B659">IFERROR(INDEX('03.Muestra'!$C$8:$C$42,SMALL(IF("Página Web"='03.Muestra'!$D$8:$D$42,ROW('03.Muestra'!$C$8:$C$42)-MIN(ROW('03.Muestra'!$D$8:$D$42))+1,""),ROW()-626)),"")</f>
        <v>Home - PortCastelló</v>
      </c>
      <c r="C659" s="114" t="str" cm="1">
        <f t="array" ref="C659">IFERROR(INDEX('03.Muestra'!$F$8:$F$42,SMALL(IF("Página Web"='03.Muestra'!$D$8:$D$42,ROW('03.Muestra'!$F$8:$F$42)-MIN(ROW('03.Muestra'!$D$8:$D$42))+1,""),ROW()-626)),"")</f>
        <v>https://www.portcastello.com/</v>
      </c>
      <c r="D659" s="130" t="str">
        <f t="shared" si="33"/>
        <v>N/T</v>
      </c>
      <c r="E659" s="107" t="str">
        <f t="shared" si="32"/>
        <v/>
      </c>
      <c r="F659" s="124"/>
      <c r="G659" s="19"/>
      <c r="H659" s="19"/>
      <c r="I659" s="19"/>
      <c r="J659" s="19"/>
      <c r="K659" s="228"/>
      <c r="L659" s="19"/>
      <c r="M659" s="19"/>
      <c r="N659" s="19"/>
      <c r="O659" s="19"/>
      <c r="P659" s="19"/>
      <c r="Q659" s="19"/>
      <c r="R659" s="19"/>
      <c r="S659" s="19"/>
      <c r="T659" s="19"/>
      <c r="U659" s="19"/>
      <c r="V659" s="19"/>
      <c r="W659" s="19"/>
      <c r="X659" s="19"/>
      <c r="Y659" s="19"/>
    </row>
    <row r="660" spans="1:25" ht="12" customHeight="1">
      <c r="A660" s="219" t="str" cm="1">
        <f t="array" ref="A660">IFERROR(INDEX('03.Muestra'!$B$8:$B$42,SMALL(IF("Página Web"='03.Muestra'!$D$8:$D$42,ROW('03.Muestra'!$B$8:$B$42)-MIN(ROW('03.Muestra'!$D$8:$D$42))+1,""),ROW()-626)),"")</f>
        <v/>
      </c>
      <c r="B660" s="114" t="str" cm="1">
        <f t="array" ref="B660">IFERROR(INDEX('03.Muestra'!$C$8:$C$42,SMALL(IF("Página Web"='03.Muestra'!$D$8:$D$42,ROW('03.Muestra'!$C$8:$C$42)-MIN(ROW('03.Muestra'!$D$8:$D$42))+1,""),ROW()-626)),"")</f>
        <v/>
      </c>
      <c r="C660" s="114" t="str" cm="1">
        <f t="array" ref="C660">IFERROR(INDEX('03.Muestra'!$F$8:$F$42,SMALL(IF("Página Web"='03.Muestra'!$D$8:$D$42,ROW('03.Muestra'!$F$8:$F$42)-MIN(ROW('03.Muestra'!$D$8:$D$42))+1,""),ROW()-626)),"")</f>
        <v/>
      </c>
      <c r="D660" s="130" t="str">
        <f t="shared" si="33"/>
        <v/>
      </c>
      <c r="E660" s="107" t="str">
        <f t="shared" si="32"/>
        <v/>
      </c>
      <c r="F660" s="124"/>
      <c r="G660" s="19"/>
      <c r="H660" s="19"/>
      <c r="I660" s="19"/>
      <c r="J660" s="19"/>
      <c r="K660" s="228"/>
      <c r="L660" s="19"/>
      <c r="M660" s="19"/>
      <c r="N660" s="19"/>
      <c r="O660" s="19"/>
      <c r="P660" s="19"/>
      <c r="Q660" s="19"/>
      <c r="R660" s="19"/>
      <c r="S660" s="19"/>
      <c r="T660" s="19"/>
      <c r="U660" s="19"/>
      <c r="V660" s="19"/>
      <c r="W660" s="19"/>
      <c r="X660" s="19"/>
      <c r="Y660" s="19"/>
    </row>
    <row r="661" spans="1:25" ht="12" customHeight="1">
      <c r="A661" s="219" t="str" cm="1">
        <f t="array" ref="A661">IFERROR(INDEX('03.Muestra'!$B$8:$B$42,SMALL(IF("Página Web"='03.Muestra'!$D$8:$D$42,ROW('03.Muestra'!$B$8:$B$42)-MIN(ROW('03.Muestra'!$D$8:$D$42))+1,""),ROW()-626)),"")</f>
        <v/>
      </c>
      <c r="B661" s="114" t="str" cm="1">
        <f t="array" ref="B661">IFERROR(INDEX('03.Muestra'!$C$8:$C$42,SMALL(IF("Página Web"='03.Muestra'!$D$8:$D$42,ROW('03.Muestra'!$C$8:$C$42)-MIN(ROW('03.Muestra'!$D$8:$D$42))+1,""),ROW()-626)),"")</f>
        <v/>
      </c>
      <c r="C661" s="114" t="str" cm="1">
        <f t="array" ref="C661">IFERROR(INDEX('03.Muestra'!$F$8:$F$42,SMALL(IF("Página Web"='03.Muestra'!$D$8:$D$42,ROW('03.Muestra'!$F$8:$F$42)-MIN(ROW('03.Muestra'!$D$8:$D$42))+1,""),ROW()-626)),"")</f>
        <v/>
      </c>
      <c r="D661" s="130" t="str">
        <f t="shared" si="33"/>
        <v/>
      </c>
      <c r="E661" s="107" t="str">
        <f t="shared" si="32"/>
        <v/>
      </c>
      <c r="F661" s="19"/>
      <c r="G661" s="19"/>
      <c r="H661" s="19"/>
      <c r="I661" s="19"/>
      <c r="J661" s="19"/>
      <c r="K661" s="228"/>
      <c r="L661" s="19"/>
      <c r="M661" s="19"/>
      <c r="N661" s="19"/>
      <c r="O661" s="19"/>
      <c r="P661" s="19"/>
      <c r="Q661" s="19"/>
      <c r="R661" s="19"/>
      <c r="S661" s="19"/>
      <c r="T661" s="19"/>
      <c r="U661" s="19"/>
      <c r="V661" s="19"/>
      <c r="W661" s="19"/>
      <c r="X661" s="19"/>
      <c r="Y661" s="19"/>
    </row>
    <row r="662" spans="1:25" ht="12" customHeight="1">
      <c r="B662" s="19"/>
      <c r="C662" s="19"/>
      <c r="D662" s="107"/>
      <c r="E662" s="107"/>
      <c r="F662" s="19"/>
      <c r="G662" s="19"/>
      <c r="H662" s="19"/>
      <c r="I662" s="19"/>
      <c r="J662" s="19"/>
      <c r="K662" s="228"/>
      <c r="L662" s="19"/>
      <c r="M662" s="19"/>
      <c r="N662" s="19"/>
      <c r="O662" s="19"/>
      <c r="P662" s="19"/>
      <c r="Q662" s="19"/>
      <c r="R662" s="19"/>
      <c r="S662" s="19"/>
      <c r="T662" s="19"/>
      <c r="U662" s="19"/>
      <c r="V662" s="19"/>
      <c r="W662" s="19"/>
      <c r="X662" s="19"/>
      <c r="Y662" s="19"/>
    </row>
    <row r="663" spans="1:25" ht="12" customHeight="1">
      <c r="B663" s="19"/>
      <c r="C663" s="19"/>
      <c r="D663" s="107"/>
      <c r="E663" s="112"/>
      <c r="F663" s="19"/>
      <c r="G663" s="19"/>
      <c r="H663" s="19"/>
      <c r="I663" s="19"/>
      <c r="J663" s="19"/>
      <c r="K663" s="228"/>
      <c r="L663" s="19"/>
      <c r="M663" s="19"/>
      <c r="N663" s="19"/>
      <c r="O663" s="19"/>
      <c r="P663" s="19"/>
      <c r="Q663" s="19"/>
      <c r="R663" s="19"/>
      <c r="S663" s="19"/>
      <c r="T663" s="19"/>
      <c r="U663" s="19"/>
      <c r="V663" s="19"/>
      <c r="W663" s="19"/>
      <c r="X663" s="19"/>
      <c r="Y663" s="19"/>
    </row>
    <row r="664" spans="1:25" ht="32.25" customHeight="1">
      <c r="A664" s="218" t="s">
        <v>268</v>
      </c>
      <c r="B664" s="24" t="s">
        <v>90</v>
      </c>
      <c r="C664" s="217" t="s">
        <v>317</v>
      </c>
      <c r="D664" s="26" t="s">
        <v>32</v>
      </c>
      <c r="E664" s="123"/>
      <c r="K664" s="228"/>
      <c r="L664" s="19"/>
      <c r="M664" s="19"/>
      <c r="N664" s="19"/>
      <c r="O664" s="19"/>
      <c r="P664" s="19"/>
      <c r="Q664" s="19"/>
      <c r="R664" s="19"/>
      <c r="S664" s="19"/>
      <c r="T664" s="19"/>
      <c r="U664" s="19"/>
      <c r="V664" s="19"/>
      <c r="W664" s="19"/>
      <c r="X664" s="19"/>
      <c r="Y664" s="19"/>
    </row>
    <row r="665" spans="1:25" ht="12" customHeight="1">
      <c r="A665" s="219" t="n" cm="1">
        <f t="array" ref="A665">IFERROR(INDEX('03.Muestra'!$B$8:$B$42,SMALL(IF("Página Web"='03.Muestra'!$D$8:$D$42,ROW('03.Muestra'!$B$8:$B$42)-MIN(ROW('03.Muestra'!$D$8:$D$42))+1,""),ROW()-664)),"")</f>
        <v>1.0</v>
      </c>
      <c r="B665" s="114" t="str" cm="1">
        <f t="array" ref="B665">IFERROR(INDEX('03.Muestra'!$C$8:$C$42,SMALL(IF("Página Web"='03.Muestra'!$D$8:$D$42,ROW('03.Muestra'!$C$8:$C$42)-MIN(ROW('03.Muestra'!$D$8:$D$42))+1,""),ROW()-664)),"")</f>
        <v>Home - PortCastelló</v>
      </c>
      <c r="C665" s="114" t="str" cm="1">
        <f t="array" ref="C665">IFERROR(INDEX('03.Muestra'!$F$8:$F$42,SMALL(IF("Página Web"='03.Muestra'!$D$8:$D$42,ROW('03.Muestra'!$F$8:$F$42)-MIN(ROW('03.Muestra'!$D$8:$D$42))+1,""),ROW()-664)),"")</f>
        <v>https://www.portcastello.com/</v>
      </c>
      <c r="D665" s="130" t="str">
        <f>IF(AND(B665&lt;&gt;"",C665&lt;&gt;""),"N/T","")</f>
        <v>N/T</v>
      </c>
      <c r="E665" s="107" t="str">
        <f t="shared" ref="E665:E699" si="34">IF(D665&lt;&gt;"",IF(AND(B665&lt;&gt;"",C665&lt;&gt;""),"","ERR"),"")</f>
        <v/>
      </c>
      <c r="F665" s="115" t="s">
        <v>33</v>
      </c>
      <c r="G665" s="116" t="s">
        <v>37</v>
      </c>
      <c r="H665" s="117" t="s">
        <v>35</v>
      </c>
      <c r="I665" s="118" t="s">
        <v>28</v>
      </c>
      <c r="J665" s="119" t="s">
        <v>26</v>
      </c>
      <c r="K665" s="229" t="s">
        <v>474</v>
      </c>
      <c r="L665" s="19"/>
      <c r="M665" s="19"/>
      <c r="N665" s="19"/>
      <c r="O665" s="19"/>
      <c r="P665" s="19"/>
      <c r="Q665" s="19"/>
      <c r="R665" s="19"/>
      <c r="S665" s="19"/>
      <c r="T665" s="19"/>
      <c r="U665" s="19"/>
      <c r="V665" s="19"/>
      <c r="W665" s="19"/>
      <c r="X665" s="19"/>
      <c r="Y665" s="19"/>
    </row>
    <row r="666" spans="1:25" ht="12" customHeight="1">
      <c r="A666" s="219" t="n" cm="1">
        <f t="array" ref="A666">IFERROR(INDEX('03.Muestra'!$B$8:$B$42,SMALL(IF("Página Web"='03.Muestra'!$D$8:$D$42,ROW('03.Muestra'!$B$8:$B$42)-MIN(ROW('03.Muestra'!$D$8:$D$42))+1,""),ROW()-664)),"")</f>
        <v>1.0</v>
      </c>
      <c r="B666" s="114" t="str" cm="1">
        <f t="array" ref="B666">IFERROR(INDEX('03.Muestra'!$C$8:$C$42,SMALL(IF("Página Web"='03.Muestra'!$D$8:$D$42,ROW('03.Muestra'!$C$8:$C$42)-MIN(ROW('03.Muestra'!$D$8:$D$42))+1,""),ROW()-664)),"")</f>
        <v>Home - PortCastelló</v>
      </c>
      <c r="C666" s="114" t="str" cm="1">
        <f t="array" ref="C666">IFERROR(INDEX('03.Muestra'!$F$8:$F$42,SMALL(IF("Página Web"='03.Muestra'!$D$8:$D$42,ROW('03.Muestra'!$F$8:$F$42)-MIN(ROW('03.Muestra'!$D$8:$D$42))+1,""),ROW()-664)),"")</f>
        <v>https://www.portcastello.com/</v>
      </c>
      <c r="D666" s="130" t="str">
        <f t="shared" ref="D666:D699" si="35">IF(AND(B666&lt;&gt;"",C666&lt;&gt;""),"N/T","")</f>
        <v>N/T</v>
      </c>
      <c r="E666" s="107" t="str">
        <f t="shared" si="34"/>
        <v/>
      </c>
      <c r="F666" s="120" t="n">
        <f ca="1">COUNTIF($D665:INDIRECT("$D" &amp;  SUM(ROW()-1,'03.Muestra'!$D$45)-1),F665)</f>
        <v>33.0</v>
      </c>
      <c r="G666" s="120" t="n">
        <f ca="1">COUNTIF($D665:INDIRECT("$D" &amp;  SUM(ROW()-1,'03.Muestra'!$D$45)-1),G665)</f>
        <v>0.0</v>
      </c>
      <c r="H666" s="120" t="n">
        <f ca="1">COUNTIF($D665:INDIRECT("$D" &amp;  SUM(ROW()-1,'03.Muestra'!$D$45)-1),H665)</f>
        <v>0.0</v>
      </c>
      <c r="I666" s="120" t="n">
        <f ca="1">COUNTIF($D665:INDIRECT("$D" &amp;  SUM(ROW()-1,'03.Muestra'!$D$45)-1),I665)</f>
        <v>0.0</v>
      </c>
      <c r="J666" s="120" t="n">
        <f ca="1">COUNTIF($D665:INDIRECT("$D" &amp;  SUM(ROW()-1,'03.Muestra'!$D$45)-1),J665)</f>
        <v>0.0</v>
      </c>
      <c r="K666" s="230" t="n">
        <f ca="1">IF(COUNTIF('03.Muestra'!$D$8:$D$42,"Página Web")=0,0,COUNTBLANK($D665:INDIRECT("$D" &amp;  SUM(ROW()-1,COUNTIF('03.Muestra'!$D$8:$D$42,"Página Web"))-1)))</f>
        <v>0.0</v>
      </c>
      <c r="L666" s="19"/>
      <c r="M666" s="19"/>
      <c r="N666" s="19"/>
      <c r="O666" s="19"/>
      <c r="P666" s="19"/>
      <c r="Q666" s="19"/>
      <c r="R666" s="19"/>
      <c r="S666" s="19"/>
      <c r="T666" s="19"/>
      <c r="U666" s="19"/>
      <c r="V666" s="19"/>
      <c r="W666" s="19"/>
      <c r="X666" s="19"/>
      <c r="Y666" s="19"/>
    </row>
    <row r="667" spans="1:25" ht="12" customHeight="1">
      <c r="A667" s="219" t="n" cm="1">
        <f t="array" ref="A667">IFERROR(INDEX('03.Muestra'!$B$8:$B$42,SMALL(IF("Página Web"='03.Muestra'!$D$8:$D$42,ROW('03.Muestra'!$B$8:$B$42)-MIN(ROW('03.Muestra'!$D$8:$D$42))+1,""),ROW()-664)),"")</f>
        <v>1.0</v>
      </c>
      <c r="B667" s="114" t="str" cm="1">
        <f t="array" ref="B667">IFERROR(INDEX('03.Muestra'!$C$8:$C$42,SMALL(IF("Página Web"='03.Muestra'!$D$8:$D$42,ROW('03.Muestra'!$C$8:$C$42)-MIN(ROW('03.Muestra'!$D$8:$D$42))+1,""),ROW()-664)),"")</f>
        <v>Home - PortCastelló</v>
      </c>
      <c r="C667" s="114" t="str" cm="1">
        <f t="array" ref="C667">IFERROR(INDEX('03.Muestra'!$F$8:$F$42,SMALL(IF("Página Web"='03.Muestra'!$D$8:$D$42,ROW('03.Muestra'!$F$8:$F$42)-MIN(ROW('03.Muestra'!$D$8:$D$42))+1,""),ROW()-664)),"")</f>
        <v>https://www.portcastello.com/</v>
      </c>
      <c r="D667" s="130" t="str">
        <f t="shared" si="35"/>
        <v>N/T</v>
      </c>
      <c r="E667" s="107" t="str">
        <f t="shared" si="34"/>
        <v/>
      </c>
      <c r="G667" s="19"/>
      <c r="H667" s="19"/>
      <c r="I667" s="19"/>
      <c r="J667" s="19"/>
      <c r="K667" s="228"/>
      <c r="L667" s="19"/>
      <c r="M667" s="19"/>
      <c r="N667" s="19"/>
      <c r="O667" s="19"/>
      <c r="P667" s="19"/>
      <c r="Q667" s="19"/>
      <c r="R667" s="19"/>
      <c r="S667" s="19"/>
      <c r="T667" s="19"/>
      <c r="U667" s="19"/>
      <c r="V667" s="19"/>
      <c r="W667" s="19"/>
      <c r="X667" s="19"/>
      <c r="Y667" s="19"/>
    </row>
    <row r="668" spans="1:25" ht="12" customHeight="1">
      <c r="A668" s="219" t="n" cm="1">
        <f t="array" ref="A668">IFERROR(INDEX('03.Muestra'!$B$8:$B$42,SMALL(IF("Página Web"='03.Muestra'!$D$8:$D$42,ROW('03.Muestra'!$B$8:$B$42)-MIN(ROW('03.Muestra'!$D$8:$D$42))+1,""),ROW()-664)),"")</f>
        <v>1.0</v>
      </c>
      <c r="B668" s="114" t="str" cm="1">
        <f t="array" ref="B668">IFERROR(INDEX('03.Muestra'!$C$8:$C$42,SMALL(IF("Página Web"='03.Muestra'!$D$8:$D$42,ROW('03.Muestra'!$C$8:$C$42)-MIN(ROW('03.Muestra'!$D$8:$D$42))+1,""),ROW()-664)),"")</f>
        <v>Home - PortCastelló</v>
      </c>
      <c r="C668" s="114" t="str" cm="1">
        <f t="array" ref="C668">IFERROR(INDEX('03.Muestra'!$F$8:$F$42,SMALL(IF("Página Web"='03.Muestra'!$D$8:$D$42,ROW('03.Muestra'!$F$8:$F$42)-MIN(ROW('03.Muestra'!$D$8:$D$42))+1,""),ROW()-664)),"")</f>
        <v>https://www.portcastello.com/</v>
      </c>
      <c r="D668" s="130" t="str">
        <f t="shared" si="35"/>
        <v>N/T</v>
      </c>
      <c r="E668" s="107" t="str">
        <f t="shared" si="34"/>
        <v/>
      </c>
      <c r="G668" s="19"/>
      <c r="H668" s="19"/>
      <c r="I668" s="19"/>
      <c r="J668" s="19"/>
      <c r="K668" s="228"/>
      <c r="L668" s="19"/>
      <c r="M668" s="19"/>
      <c r="N668" s="19"/>
      <c r="O668" s="19"/>
      <c r="P668" s="19"/>
      <c r="Q668" s="19"/>
      <c r="R668" s="19"/>
      <c r="S668" s="19"/>
      <c r="T668" s="19"/>
      <c r="U668" s="19"/>
      <c r="V668" s="19"/>
      <c r="W668" s="19"/>
      <c r="X668" s="19"/>
      <c r="Y668" s="19"/>
    </row>
    <row r="669" spans="1:25" ht="12" customHeight="1">
      <c r="A669" s="219" t="n" cm="1">
        <f t="array" ref="A669">IFERROR(INDEX('03.Muestra'!$B$8:$B$42,SMALL(IF("Página Web"='03.Muestra'!$D$8:$D$42,ROW('03.Muestra'!$B$8:$B$42)-MIN(ROW('03.Muestra'!$D$8:$D$42))+1,""),ROW()-664)),"")</f>
        <v>1.0</v>
      </c>
      <c r="B669" s="114" t="str" cm="1">
        <f t="array" ref="B669">IFERROR(INDEX('03.Muestra'!$C$8:$C$42,SMALL(IF("Página Web"='03.Muestra'!$D$8:$D$42,ROW('03.Muestra'!$C$8:$C$42)-MIN(ROW('03.Muestra'!$D$8:$D$42))+1,""),ROW()-664)),"")</f>
        <v>Home - PortCastelló</v>
      </c>
      <c r="C669" s="114" t="str" cm="1">
        <f t="array" ref="C669">IFERROR(INDEX('03.Muestra'!$F$8:$F$42,SMALL(IF("Página Web"='03.Muestra'!$D$8:$D$42,ROW('03.Muestra'!$F$8:$F$42)-MIN(ROW('03.Muestra'!$D$8:$D$42))+1,""),ROW()-664)),"")</f>
        <v>https://www.portcastello.com/</v>
      </c>
      <c r="D669" s="130" t="str">
        <f t="shared" si="35"/>
        <v>N/T</v>
      </c>
      <c r="E669" s="107" t="str">
        <f t="shared" si="34"/>
        <v/>
      </c>
      <c r="G669" s="19"/>
      <c r="H669" s="19"/>
      <c r="I669" s="19"/>
      <c r="J669" s="19"/>
      <c r="K669" s="228"/>
      <c r="L669" s="19"/>
      <c r="M669" s="19"/>
      <c r="N669" s="19"/>
      <c r="O669" s="19"/>
      <c r="P669" s="19"/>
      <c r="Q669" s="19"/>
      <c r="R669" s="19"/>
      <c r="S669" s="19"/>
      <c r="T669" s="19"/>
      <c r="U669" s="19"/>
      <c r="V669" s="19"/>
      <c r="W669" s="19"/>
      <c r="X669" s="19"/>
      <c r="Y669" s="19"/>
    </row>
    <row r="670" spans="1:25" ht="12" customHeight="1">
      <c r="A670" s="219" t="n" cm="1">
        <f t="array" ref="A670">IFERROR(INDEX('03.Muestra'!$B$8:$B$42,SMALL(IF("Página Web"='03.Muestra'!$D$8:$D$42,ROW('03.Muestra'!$B$8:$B$42)-MIN(ROW('03.Muestra'!$D$8:$D$42))+1,""),ROW()-664)),"")</f>
        <v>1.0</v>
      </c>
      <c r="B670" s="114" t="str" cm="1">
        <f t="array" ref="B670">IFERROR(INDEX('03.Muestra'!$C$8:$C$42,SMALL(IF("Página Web"='03.Muestra'!$D$8:$D$42,ROW('03.Muestra'!$C$8:$C$42)-MIN(ROW('03.Muestra'!$D$8:$D$42))+1,""),ROW()-664)),"")</f>
        <v>Home - PortCastelló</v>
      </c>
      <c r="C670" s="114" t="str" cm="1">
        <f t="array" ref="C670">IFERROR(INDEX('03.Muestra'!$F$8:$F$42,SMALL(IF("Página Web"='03.Muestra'!$D$8:$D$42,ROW('03.Muestra'!$F$8:$F$42)-MIN(ROW('03.Muestra'!$D$8:$D$42))+1,""),ROW()-664)),"")</f>
        <v>https://www.portcastello.com/</v>
      </c>
      <c r="D670" s="130" t="str">
        <f t="shared" si="35"/>
        <v>N/T</v>
      </c>
      <c r="E670" s="107" t="str">
        <f t="shared" si="34"/>
        <v/>
      </c>
      <c r="G670" s="19"/>
      <c r="H670" s="19"/>
      <c r="I670" s="19"/>
      <c r="J670" s="19"/>
      <c r="K670" s="228"/>
      <c r="L670" s="19"/>
      <c r="M670" s="19"/>
      <c r="N670" s="19"/>
      <c r="O670" s="19"/>
      <c r="P670" s="19"/>
      <c r="Q670" s="19"/>
      <c r="R670" s="19"/>
      <c r="S670" s="19"/>
      <c r="T670" s="19"/>
      <c r="U670" s="19"/>
      <c r="V670" s="19"/>
      <c r="W670" s="19"/>
      <c r="X670" s="19"/>
      <c r="Y670" s="19"/>
    </row>
    <row r="671" spans="1:25" ht="12" customHeight="1">
      <c r="A671" s="219" t="n" cm="1">
        <f t="array" ref="A671">IFERROR(INDEX('03.Muestra'!$B$8:$B$42,SMALL(IF("Página Web"='03.Muestra'!$D$8:$D$42,ROW('03.Muestra'!$B$8:$B$42)-MIN(ROW('03.Muestra'!$D$8:$D$42))+1,""),ROW()-664)),"")</f>
        <v>1.0</v>
      </c>
      <c r="B671" s="114" t="str" cm="1">
        <f t="array" ref="B671">IFERROR(INDEX('03.Muestra'!$C$8:$C$42,SMALL(IF("Página Web"='03.Muestra'!$D$8:$D$42,ROW('03.Muestra'!$C$8:$C$42)-MIN(ROW('03.Muestra'!$D$8:$D$42))+1,""),ROW()-664)),"")</f>
        <v>Home - PortCastelló</v>
      </c>
      <c r="C671" s="114" t="str" cm="1">
        <f t="array" ref="C671">IFERROR(INDEX('03.Muestra'!$F$8:$F$42,SMALL(IF("Página Web"='03.Muestra'!$D$8:$D$42,ROW('03.Muestra'!$F$8:$F$42)-MIN(ROW('03.Muestra'!$D$8:$D$42))+1,""),ROW()-664)),"")</f>
        <v>https://www.portcastello.com/</v>
      </c>
      <c r="D671" s="130" t="str">
        <f t="shared" si="35"/>
        <v>N/T</v>
      </c>
      <c r="E671" s="107" t="str">
        <f t="shared" si="34"/>
        <v/>
      </c>
      <c r="F671" s="19"/>
      <c r="G671" s="19"/>
      <c r="H671" s="19"/>
      <c r="I671" s="19"/>
      <c r="J671" s="19"/>
      <c r="K671" s="228"/>
      <c r="L671" s="19"/>
      <c r="M671" s="19"/>
      <c r="N671" s="19"/>
      <c r="O671" s="19"/>
      <c r="P671" s="19"/>
      <c r="Q671" s="19"/>
      <c r="R671" s="19"/>
      <c r="S671" s="19"/>
      <c r="T671" s="19"/>
      <c r="U671" s="19"/>
      <c r="V671" s="19"/>
      <c r="W671" s="19"/>
      <c r="X671" s="19"/>
      <c r="Y671" s="19"/>
    </row>
    <row r="672" spans="1:25" ht="12" customHeight="1">
      <c r="A672" s="219" t="n" cm="1">
        <f t="array" ref="A672">IFERROR(INDEX('03.Muestra'!$B$8:$B$42,SMALL(IF("Página Web"='03.Muestra'!$D$8:$D$42,ROW('03.Muestra'!$B$8:$B$42)-MIN(ROW('03.Muestra'!$D$8:$D$42))+1,""),ROW()-664)),"")</f>
        <v>1.0</v>
      </c>
      <c r="B672" s="114" t="str" cm="1">
        <f t="array" ref="B672">IFERROR(INDEX('03.Muestra'!$C$8:$C$42,SMALL(IF("Página Web"='03.Muestra'!$D$8:$D$42,ROW('03.Muestra'!$C$8:$C$42)-MIN(ROW('03.Muestra'!$D$8:$D$42))+1,""),ROW()-664)),"")</f>
        <v>Home - PortCastelló</v>
      </c>
      <c r="C672" s="114" t="str" cm="1">
        <f t="array" ref="C672">IFERROR(INDEX('03.Muestra'!$F$8:$F$42,SMALL(IF("Página Web"='03.Muestra'!$D$8:$D$42,ROW('03.Muestra'!$F$8:$F$42)-MIN(ROW('03.Muestra'!$D$8:$D$42))+1,""),ROW()-664)),"")</f>
        <v>https://www.portcastello.com/</v>
      </c>
      <c r="D672" s="130" t="str">
        <f t="shared" si="35"/>
        <v>N/T</v>
      </c>
      <c r="E672" s="107" t="str">
        <f t="shared" si="34"/>
        <v/>
      </c>
      <c r="F672" s="19"/>
      <c r="G672" s="19"/>
      <c r="H672" s="19"/>
      <c r="I672" s="19"/>
      <c r="J672" s="19"/>
      <c r="K672" s="228"/>
      <c r="L672" s="19"/>
      <c r="M672" s="19"/>
      <c r="N672" s="19"/>
      <c r="O672" s="19"/>
      <c r="P672" s="19"/>
      <c r="Q672" s="19"/>
      <c r="R672" s="19"/>
      <c r="S672" s="19"/>
      <c r="T672" s="19"/>
      <c r="U672" s="19"/>
      <c r="V672" s="19"/>
      <c r="W672" s="19"/>
      <c r="X672" s="19"/>
      <c r="Y672" s="19"/>
    </row>
    <row r="673" spans="1:25" ht="12" customHeight="1">
      <c r="A673" s="219" t="n" cm="1">
        <f t="array" ref="A673">IFERROR(INDEX('03.Muestra'!$B$8:$B$42,SMALL(IF("Página Web"='03.Muestra'!$D$8:$D$42,ROW('03.Muestra'!$B$8:$B$42)-MIN(ROW('03.Muestra'!$D$8:$D$42))+1,""),ROW()-664)),"")</f>
        <v>1.0</v>
      </c>
      <c r="B673" s="114" t="str" cm="1">
        <f t="array" ref="B673">IFERROR(INDEX('03.Muestra'!$C$8:$C$42,SMALL(IF("Página Web"='03.Muestra'!$D$8:$D$42,ROW('03.Muestra'!$C$8:$C$42)-MIN(ROW('03.Muestra'!$D$8:$D$42))+1,""),ROW()-664)),"")</f>
        <v>Home - PortCastelló</v>
      </c>
      <c r="C673" s="114" t="str" cm="1">
        <f t="array" ref="C673">IFERROR(INDEX('03.Muestra'!$F$8:$F$42,SMALL(IF("Página Web"='03.Muestra'!$D$8:$D$42,ROW('03.Muestra'!$F$8:$F$42)-MIN(ROW('03.Muestra'!$D$8:$D$42))+1,""),ROW()-664)),"")</f>
        <v>https://www.portcastello.com/</v>
      </c>
      <c r="D673" s="130" t="str">
        <f t="shared" si="35"/>
        <v>N/T</v>
      </c>
      <c r="E673" s="107" t="str">
        <f t="shared" si="34"/>
        <v/>
      </c>
      <c r="F673" s="19"/>
      <c r="G673" s="19"/>
      <c r="H673" s="19"/>
      <c r="I673" s="19"/>
      <c r="J673" s="19"/>
      <c r="K673" s="228"/>
      <c r="L673" s="19"/>
      <c r="M673" s="19"/>
      <c r="N673" s="19"/>
      <c r="O673" s="19"/>
      <c r="P673" s="19"/>
      <c r="Q673" s="19"/>
      <c r="R673" s="19"/>
      <c r="S673" s="19"/>
      <c r="T673" s="19"/>
      <c r="U673" s="19"/>
      <c r="V673" s="19"/>
      <c r="W673" s="19"/>
      <c r="X673" s="19"/>
      <c r="Y673" s="19"/>
    </row>
    <row r="674" spans="1:25" ht="12" customHeight="1">
      <c r="A674" s="219" t="n" cm="1">
        <f t="array" ref="A674">IFERROR(INDEX('03.Muestra'!$B$8:$B$42,SMALL(IF("Página Web"='03.Muestra'!$D$8:$D$42,ROW('03.Muestra'!$B$8:$B$42)-MIN(ROW('03.Muestra'!$D$8:$D$42))+1,""),ROW()-664)),"")</f>
        <v>1.0</v>
      </c>
      <c r="B674" s="114" t="str" cm="1">
        <f t="array" ref="B674">IFERROR(INDEX('03.Muestra'!$C$8:$C$42,SMALL(IF("Página Web"='03.Muestra'!$D$8:$D$42,ROW('03.Muestra'!$C$8:$C$42)-MIN(ROW('03.Muestra'!$D$8:$D$42))+1,""),ROW()-664)),"")</f>
        <v>Home - PortCastelló</v>
      </c>
      <c r="C674" s="114" t="str" cm="1">
        <f t="array" ref="C674">IFERROR(INDEX('03.Muestra'!$F$8:$F$42,SMALL(IF("Página Web"='03.Muestra'!$D$8:$D$42,ROW('03.Muestra'!$F$8:$F$42)-MIN(ROW('03.Muestra'!$D$8:$D$42))+1,""),ROW()-664)),"")</f>
        <v>https://www.portcastello.com/</v>
      </c>
      <c r="D674" s="130" t="str">
        <f t="shared" si="35"/>
        <v>N/T</v>
      </c>
      <c r="E674" s="107" t="str">
        <f t="shared" si="34"/>
        <v/>
      </c>
      <c r="F674" s="19"/>
      <c r="G674" s="19"/>
      <c r="H674" s="19"/>
      <c r="I674" s="19"/>
      <c r="J674" s="19"/>
      <c r="K674" s="228"/>
      <c r="L674" s="19"/>
      <c r="M674" s="19"/>
      <c r="N674" s="19"/>
      <c r="O674" s="19"/>
      <c r="P674" s="19"/>
      <c r="Q674" s="19"/>
      <c r="R674" s="19"/>
      <c r="S674" s="19"/>
      <c r="T674" s="19"/>
      <c r="U674" s="19"/>
      <c r="V674" s="19"/>
      <c r="W674" s="19"/>
      <c r="X674" s="19"/>
      <c r="Y674" s="19"/>
    </row>
    <row r="675" spans="1:25" ht="12" customHeight="1">
      <c r="A675" s="219" t="n" cm="1">
        <f t="array" ref="A675">IFERROR(INDEX('03.Muestra'!$B$8:$B$42,SMALL(IF("Página Web"='03.Muestra'!$D$8:$D$42,ROW('03.Muestra'!$B$8:$B$42)-MIN(ROW('03.Muestra'!$D$8:$D$42))+1,""),ROW()-664)),"")</f>
        <v>1.0</v>
      </c>
      <c r="B675" s="114" t="str" cm="1">
        <f t="array" ref="B675">IFERROR(INDEX('03.Muestra'!$C$8:$C$42,SMALL(IF("Página Web"='03.Muestra'!$D$8:$D$42,ROW('03.Muestra'!$C$8:$C$42)-MIN(ROW('03.Muestra'!$D$8:$D$42))+1,""),ROW()-664)),"")</f>
        <v>Home - PortCastelló</v>
      </c>
      <c r="C675" s="114" t="str" cm="1">
        <f t="array" ref="C675">IFERROR(INDEX('03.Muestra'!$F$8:$F$42,SMALL(IF("Página Web"='03.Muestra'!$D$8:$D$42,ROW('03.Muestra'!$F$8:$F$42)-MIN(ROW('03.Muestra'!$D$8:$D$42))+1,""),ROW()-664)),"")</f>
        <v>https://www.portcastello.com/</v>
      </c>
      <c r="D675" s="130" t="str">
        <f t="shared" si="35"/>
        <v>N/T</v>
      </c>
      <c r="E675" s="107" t="str">
        <f t="shared" si="34"/>
        <v/>
      </c>
      <c r="F675" s="19"/>
      <c r="G675" s="19"/>
      <c r="H675" s="19"/>
      <c r="I675" s="19"/>
      <c r="J675" s="19"/>
      <c r="K675" s="228"/>
      <c r="L675" s="19"/>
      <c r="M675" s="19"/>
      <c r="N675" s="19"/>
      <c r="O675" s="19"/>
      <c r="P675" s="19"/>
      <c r="Q675" s="19"/>
      <c r="R675" s="19"/>
      <c r="S675" s="19"/>
      <c r="T675" s="19"/>
      <c r="U675" s="19"/>
      <c r="V675" s="19"/>
      <c r="W675" s="19"/>
      <c r="X675" s="19"/>
      <c r="Y675" s="19"/>
    </row>
    <row r="676" spans="1:25" ht="12" customHeight="1">
      <c r="A676" s="219" t="n" cm="1">
        <f t="array" ref="A676">IFERROR(INDEX('03.Muestra'!$B$8:$B$42,SMALL(IF("Página Web"='03.Muestra'!$D$8:$D$42,ROW('03.Muestra'!$B$8:$B$42)-MIN(ROW('03.Muestra'!$D$8:$D$42))+1,""),ROW()-664)),"")</f>
        <v>1.0</v>
      </c>
      <c r="B676" s="114" t="str" cm="1">
        <f t="array" ref="B676">IFERROR(INDEX('03.Muestra'!$C$8:$C$42,SMALL(IF("Página Web"='03.Muestra'!$D$8:$D$42,ROW('03.Muestra'!$C$8:$C$42)-MIN(ROW('03.Muestra'!$D$8:$D$42))+1,""),ROW()-664)),"")</f>
        <v>Home - PortCastelló</v>
      </c>
      <c r="C676" s="114" t="str" cm="1">
        <f t="array" ref="C676">IFERROR(INDEX('03.Muestra'!$F$8:$F$42,SMALL(IF("Página Web"='03.Muestra'!$D$8:$D$42,ROW('03.Muestra'!$F$8:$F$42)-MIN(ROW('03.Muestra'!$D$8:$D$42))+1,""),ROW()-664)),"")</f>
        <v>https://www.portcastello.com/</v>
      </c>
      <c r="D676" s="130" t="str">
        <f t="shared" si="35"/>
        <v>N/T</v>
      </c>
      <c r="E676" s="107" t="str">
        <f t="shared" si="34"/>
        <v/>
      </c>
      <c r="F676" s="19"/>
      <c r="G676" s="19"/>
      <c r="H676" s="19"/>
      <c r="I676" s="19"/>
      <c r="J676" s="19"/>
      <c r="K676" s="228"/>
      <c r="L676" s="19"/>
      <c r="M676" s="19"/>
      <c r="N676" s="19"/>
      <c r="O676" s="19"/>
      <c r="P676" s="19"/>
      <c r="Q676" s="19"/>
      <c r="R676" s="19"/>
      <c r="S676" s="19"/>
      <c r="T676" s="19"/>
      <c r="U676" s="19"/>
      <c r="V676" s="19"/>
      <c r="W676" s="19"/>
      <c r="X676" s="19"/>
      <c r="Y676" s="19"/>
    </row>
    <row r="677" spans="1:25" ht="14.1" customHeight="1">
      <c r="A677" s="219" t="n" cm="1">
        <f t="array" ref="A677">IFERROR(INDEX('03.Muestra'!$B$8:$B$42,SMALL(IF("Página Web"='03.Muestra'!$D$8:$D$42,ROW('03.Muestra'!$B$8:$B$42)-MIN(ROW('03.Muestra'!$D$8:$D$42))+1,""),ROW()-664)),"")</f>
        <v>1.0</v>
      </c>
      <c r="B677" s="114" t="str" cm="1">
        <f t="array" ref="B677">IFERROR(INDEX('03.Muestra'!$C$8:$C$42,SMALL(IF("Página Web"='03.Muestra'!$D$8:$D$42,ROW('03.Muestra'!$C$8:$C$42)-MIN(ROW('03.Muestra'!$D$8:$D$42))+1,""),ROW()-664)),"")</f>
        <v>Home - PortCastelló</v>
      </c>
      <c r="C677" s="114" t="str" cm="1">
        <f t="array" ref="C677">IFERROR(INDEX('03.Muestra'!$F$8:$F$42,SMALL(IF("Página Web"='03.Muestra'!$D$8:$D$42,ROW('03.Muestra'!$F$8:$F$42)-MIN(ROW('03.Muestra'!$D$8:$D$42))+1,""),ROW()-664)),"")</f>
        <v>https://www.portcastello.com/</v>
      </c>
      <c r="D677" s="130" t="str">
        <f t="shared" si="35"/>
        <v>N/T</v>
      </c>
      <c r="E677" s="107" t="str">
        <f t="shared" si="34"/>
        <v/>
      </c>
      <c r="F677" s="19"/>
      <c r="G677" s="19"/>
      <c r="H677" s="19"/>
      <c r="I677" s="19"/>
      <c r="J677" s="19"/>
      <c r="K677" s="228"/>
      <c r="L677" s="19"/>
      <c r="M677" s="19"/>
      <c r="N677" s="19"/>
      <c r="O677" s="19"/>
      <c r="P677" s="19"/>
      <c r="Q677" s="19"/>
      <c r="R677" s="19"/>
      <c r="S677" s="19"/>
      <c r="T677" s="19"/>
      <c r="U677" s="19"/>
      <c r="V677" s="19"/>
      <c r="W677" s="19"/>
      <c r="X677" s="19"/>
      <c r="Y677" s="19"/>
    </row>
    <row r="678" spans="1:25" ht="14.1" customHeight="1">
      <c r="A678" s="219" t="n" cm="1">
        <f t="array" ref="A678">IFERROR(INDEX('03.Muestra'!$B$8:$B$42,SMALL(IF("Página Web"='03.Muestra'!$D$8:$D$42,ROW('03.Muestra'!$B$8:$B$42)-MIN(ROW('03.Muestra'!$D$8:$D$42))+1,""),ROW()-664)),"")</f>
        <v>1.0</v>
      </c>
      <c r="B678" s="114" t="str" cm="1">
        <f t="array" ref="B678">IFERROR(INDEX('03.Muestra'!$C$8:$C$42,SMALL(IF("Página Web"='03.Muestra'!$D$8:$D$42,ROW('03.Muestra'!$C$8:$C$42)-MIN(ROW('03.Muestra'!$D$8:$D$42))+1,""),ROW()-664)),"")</f>
        <v>Home - PortCastelló</v>
      </c>
      <c r="C678" s="114" t="str" cm="1">
        <f t="array" ref="C678">IFERROR(INDEX('03.Muestra'!$F$8:$F$42,SMALL(IF("Página Web"='03.Muestra'!$D$8:$D$42,ROW('03.Muestra'!$F$8:$F$42)-MIN(ROW('03.Muestra'!$D$8:$D$42))+1,""),ROW()-664)),"")</f>
        <v>https://www.portcastello.com/</v>
      </c>
      <c r="D678" s="130" t="str">
        <f t="shared" si="35"/>
        <v>N/T</v>
      </c>
      <c r="E678" s="107" t="str">
        <f t="shared" si="34"/>
        <v/>
      </c>
      <c r="F678" s="19"/>
      <c r="G678" s="19"/>
      <c r="H678" s="19"/>
      <c r="I678" s="19"/>
      <c r="J678" s="19"/>
      <c r="K678" s="228"/>
      <c r="L678" s="19"/>
      <c r="M678" s="19"/>
      <c r="N678" s="19"/>
      <c r="O678" s="19"/>
      <c r="P678" s="19"/>
      <c r="Q678" s="19"/>
      <c r="R678" s="19"/>
      <c r="S678" s="19"/>
      <c r="T678" s="19"/>
      <c r="U678" s="19"/>
      <c r="V678" s="19"/>
      <c r="W678" s="19"/>
      <c r="X678" s="19"/>
      <c r="Y678" s="19"/>
    </row>
    <row r="679" spans="1:25" ht="14.1" customHeight="1">
      <c r="A679" s="219" t="n" cm="1">
        <f t="array" ref="A679">IFERROR(INDEX('03.Muestra'!$B$8:$B$42,SMALL(IF("Página Web"='03.Muestra'!$D$8:$D$42,ROW('03.Muestra'!$B$8:$B$42)-MIN(ROW('03.Muestra'!$D$8:$D$42))+1,""),ROW()-664)),"")</f>
        <v>1.0</v>
      </c>
      <c r="B679" s="114" t="str" cm="1">
        <f t="array" ref="B679">IFERROR(INDEX('03.Muestra'!$C$8:$C$42,SMALL(IF("Página Web"='03.Muestra'!$D$8:$D$42,ROW('03.Muestra'!$C$8:$C$42)-MIN(ROW('03.Muestra'!$D$8:$D$42))+1,""),ROW()-664)),"")</f>
        <v>Home - PortCastelló</v>
      </c>
      <c r="C679" s="114" t="str" cm="1">
        <f t="array" ref="C679">IFERROR(INDEX('03.Muestra'!$F$8:$F$42,SMALL(IF("Página Web"='03.Muestra'!$D$8:$D$42,ROW('03.Muestra'!$F$8:$F$42)-MIN(ROW('03.Muestra'!$D$8:$D$42))+1,""),ROW()-664)),"")</f>
        <v>https://www.portcastello.com/</v>
      </c>
      <c r="D679" s="130" t="str">
        <f t="shared" si="35"/>
        <v>N/T</v>
      </c>
      <c r="E679" s="107" t="str">
        <f t="shared" si="34"/>
        <v/>
      </c>
      <c r="F679" s="19"/>
      <c r="G679" s="19"/>
      <c r="H679" s="19"/>
      <c r="I679" s="19"/>
      <c r="J679" s="19"/>
      <c r="K679" s="228"/>
      <c r="L679" s="19"/>
      <c r="M679" s="19"/>
      <c r="N679" s="19"/>
      <c r="O679" s="19"/>
      <c r="P679" s="19"/>
      <c r="Q679" s="19"/>
      <c r="R679" s="19"/>
      <c r="S679" s="19"/>
      <c r="T679" s="19"/>
      <c r="U679" s="19"/>
      <c r="V679" s="19"/>
      <c r="W679" s="19"/>
      <c r="X679" s="19"/>
      <c r="Y679" s="19"/>
    </row>
    <row r="680" spans="1:25" ht="14.1" customHeight="1">
      <c r="A680" s="219" t="n" cm="1">
        <f t="array" ref="A680">IFERROR(INDEX('03.Muestra'!$B$8:$B$42,SMALL(IF("Página Web"='03.Muestra'!$D$8:$D$42,ROW('03.Muestra'!$B$8:$B$42)-MIN(ROW('03.Muestra'!$D$8:$D$42))+1,""),ROW()-664)),"")</f>
        <v>1.0</v>
      </c>
      <c r="B680" s="114" t="str" cm="1">
        <f t="array" ref="B680">IFERROR(INDEX('03.Muestra'!$C$8:$C$42,SMALL(IF("Página Web"='03.Muestra'!$D$8:$D$42,ROW('03.Muestra'!$C$8:$C$42)-MIN(ROW('03.Muestra'!$D$8:$D$42))+1,""),ROW()-664)),"")</f>
        <v>Home - PortCastelló</v>
      </c>
      <c r="C680" s="114" t="str" cm="1">
        <f t="array" ref="C680">IFERROR(INDEX('03.Muestra'!$F$8:$F$42,SMALL(IF("Página Web"='03.Muestra'!$D$8:$D$42,ROW('03.Muestra'!$F$8:$F$42)-MIN(ROW('03.Muestra'!$D$8:$D$42))+1,""),ROW()-664)),"")</f>
        <v>https://www.portcastello.com/</v>
      </c>
      <c r="D680" s="130" t="str">
        <f t="shared" si="35"/>
        <v>N/T</v>
      </c>
      <c r="E680" s="107" t="str">
        <f t="shared" si="34"/>
        <v/>
      </c>
      <c r="F680" s="19"/>
      <c r="G680" s="19"/>
      <c r="H680" s="19"/>
      <c r="I680" s="19"/>
      <c r="J680" s="19"/>
      <c r="K680" s="228"/>
      <c r="L680" s="19"/>
      <c r="M680" s="19"/>
      <c r="N680" s="19"/>
      <c r="O680" s="19"/>
      <c r="P680" s="19"/>
      <c r="Q680" s="19"/>
      <c r="R680" s="19"/>
      <c r="S680" s="19"/>
      <c r="T680" s="19"/>
      <c r="U680" s="19"/>
      <c r="V680" s="19"/>
      <c r="W680" s="19"/>
      <c r="X680" s="19"/>
      <c r="Y680" s="19"/>
    </row>
    <row r="681" spans="1:25" ht="14.1" customHeight="1">
      <c r="A681" s="219" t="n" cm="1">
        <f t="array" ref="A681">IFERROR(INDEX('03.Muestra'!$B$8:$B$42,SMALL(IF("Página Web"='03.Muestra'!$D$8:$D$42,ROW('03.Muestra'!$B$8:$B$42)-MIN(ROW('03.Muestra'!$D$8:$D$42))+1,""),ROW()-664)),"")</f>
        <v>1.0</v>
      </c>
      <c r="B681" s="114" t="str" cm="1">
        <f t="array" ref="B681">IFERROR(INDEX('03.Muestra'!$C$8:$C$42,SMALL(IF("Página Web"='03.Muestra'!$D$8:$D$42,ROW('03.Muestra'!$C$8:$C$42)-MIN(ROW('03.Muestra'!$D$8:$D$42))+1,""),ROW()-664)),"")</f>
        <v>Home - PortCastelló</v>
      </c>
      <c r="C681" s="114" t="str" cm="1">
        <f t="array" ref="C681">IFERROR(INDEX('03.Muestra'!$F$8:$F$42,SMALL(IF("Página Web"='03.Muestra'!$D$8:$D$42,ROW('03.Muestra'!$F$8:$F$42)-MIN(ROW('03.Muestra'!$D$8:$D$42))+1,""),ROW()-664)),"")</f>
        <v>https://www.portcastello.com/</v>
      </c>
      <c r="D681" s="130" t="str">
        <f t="shared" si="35"/>
        <v>N/T</v>
      </c>
      <c r="E681" s="107" t="str">
        <f t="shared" si="34"/>
        <v/>
      </c>
      <c r="F681" s="19"/>
      <c r="G681" s="19"/>
      <c r="H681" s="19"/>
      <c r="I681" s="19"/>
      <c r="J681" s="19"/>
      <c r="K681" s="228"/>
      <c r="L681" s="19"/>
      <c r="M681" s="19"/>
      <c r="N681" s="19"/>
      <c r="O681" s="19"/>
      <c r="P681" s="19"/>
      <c r="Q681" s="19"/>
      <c r="R681" s="19"/>
      <c r="S681" s="19"/>
      <c r="T681" s="19"/>
      <c r="U681" s="19"/>
      <c r="V681" s="19"/>
      <c r="W681" s="19"/>
      <c r="X681" s="19"/>
      <c r="Y681" s="19"/>
    </row>
    <row r="682" spans="1:25" ht="14.1" customHeight="1">
      <c r="A682" s="219" t="n" cm="1">
        <f t="array" ref="A682">IFERROR(INDEX('03.Muestra'!$B$8:$B$42,SMALL(IF("Página Web"='03.Muestra'!$D$8:$D$42,ROW('03.Muestra'!$B$8:$B$42)-MIN(ROW('03.Muestra'!$D$8:$D$42))+1,""),ROW()-664)),"")</f>
        <v>1.0</v>
      </c>
      <c r="B682" s="114" t="str" cm="1">
        <f t="array" ref="B682">IFERROR(INDEX('03.Muestra'!$C$8:$C$42,SMALL(IF("Página Web"='03.Muestra'!$D$8:$D$42,ROW('03.Muestra'!$C$8:$C$42)-MIN(ROW('03.Muestra'!$D$8:$D$42))+1,""),ROW()-664)),"")</f>
        <v>Home - PortCastelló</v>
      </c>
      <c r="C682" s="114" t="str" cm="1">
        <f t="array" ref="C682">IFERROR(INDEX('03.Muestra'!$F$8:$F$42,SMALL(IF("Página Web"='03.Muestra'!$D$8:$D$42,ROW('03.Muestra'!$F$8:$F$42)-MIN(ROW('03.Muestra'!$D$8:$D$42))+1,""),ROW()-664)),"")</f>
        <v>https://www.portcastello.com/</v>
      </c>
      <c r="D682" s="130" t="str">
        <f t="shared" si="35"/>
        <v>N/T</v>
      </c>
      <c r="E682" s="107" t="str">
        <f t="shared" si="34"/>
        <v/>
      </c>
      <c r="F682" s="19"/>
      <c r="G682" s="19"/>
      <c r="H682" s="19"/>
      <c r="I682" s="19"/>
      <c r="J682" s="19"/>
      <c r="K682" s="228"/>
      <c r="L682" s="19"/>
      <c r="M682" s="19"/>
      <c r="N682" s="19"/>
      <c r="O682" s="19"/>
      <c r="P682" s="19"/>
      <c r="Q682" s="19"/>
      <c r="R682" s="19"/>
      <c r="S682" s="19"/>
      <c r="T682" s="19"/>
      <c r="U682" s="19"/>
      <c r="V682" s="19"/>
      <c r="W682" s="19"/>
      <c r="X682" s="19"/>
      <c r="Y682" s="19"/>
    </row>
    <row r="683" spans="1:25" ht="14.1" customHeight="1">
      <c r="A683" s="219" t="n" cm="1">
        <f t="array" ref="A683">IFERROR(INDEX('03.Muestra'!$B$8:$B$42,SMALL(IF("Página Web"='03.Muestra'!$D$8:$D$42,ROW('03.Muestra'!$B$8:$B$42)-MIN(ROW('03.Muestra'!$D$8:$D$42))+1,""),ROW()-664)),"")</f>
        <v>1.0</v>
      </c>
      <c r="B683" s="114" t="str" cm="1">
        <f t="array" ref="B683">IFERROR(INDEX('03.Muestra'!$C$8:$C$42,SMALL(IF("Página Web"='03.Muestra'!$D$8:$D$42,ROW('03.Muestra'!$C$8:$C$42)-MIN(ROW('03.Muestra'!$D$8:$D$42))+1,""),ROW()-664)),"")</f>
        <v>Home - PortCastelló</v>
      </c>
      <c r="C683" s="114" t="str" cm="1">
        <f t="array" ref="C683">IFERROR(INDEX('03.Muestra'!$F$8:$F$42,SMALL(IF("Página Web"='03.Muestra'!$D$8:$D$42,ROW('03.Muestra'!$F$8:$F$42)-MIN(ROW('03.Muestra'!$D$8:$D$42))+1,""),ROW()-664)),"")</f>
        <v>https://www.portcastello.com/</v>
      </c>
      <c r="D683" s="130" t="str">
        <f t="shared" si="35"/>
        <v>N/T</v>
      </c>
      <c r="E683" s="107" t="str">
        <f t="shared" si="34"/>
        <v/>
      </c>
      <c r="F683" s="19"/>
      <c r="G683" s="19"/>
      <c r="H683" s="19"/>
      <c r="I683" s="19"/>
      <c r="J683" s="19"/>
      <c r="K683" s="228"/>
      <c r="L683" s="19"/>
      <c r="M683" s="19"/>
      <c r="N683" s="19"/>
      <c r="O683" s="19"/>
      <c r="P683" s="19"/>
      <c r="Q683" s="19"/>
      <c r="R683" s="19"/>
      <c r="S683" s="19"/>
      <c r="T683" s="19"/>
      <c r="U683" s="19"/>
      <c r="V683" s="19"/>
      <c r="W683" s="19"/>
      <c r="X683" s="19"/>
      <c r="Y683" s="19"/>
    </row>
    <row r="684" spans="1:25" ht="14.1" customHeight="1">
      <c r="A684" s="219" t="n" cm="1">
        <f t="array" ref="A684">IFERROR(INDEX('03.Muestra'!$B$8:$B$42,SMALL(IF("Página Web"='03.Muestra'!$D$8:$D$42,ROW('03.Muestra'!$B$8:$B$42)-MIN(ROW('03.Muestra'!$D$8:$D$42))+1,""),ROW()-664)),"")</f>
        <v>1.0</v>
      </c>
      <c r="B684" s="114" t="str" cm="1">
        <f t="array" ref="B684">IFERROR(INDEX('03.Muestra'!$C$8:$C$42,SMALL(IF("Página Web"='03.Muestra'!$D$8:$D$42,ROW('03.Muestra'!$C$8:$C$42)-MIN(ROW('03.Muestra'!$D$8:$D$42))+1,""),ROW()-664)),"")</f>
        <v>Home - PortCastelló</v>
      </c>
      <c r="C684" s="114" t="str" cm="1">
        <f t="array" ref="C684">IFERROR(INDEX('03.Muestra'!$F$8:$F$42,SMALL(IF("Página Web"='03.Muestra'!$D$8:$D$42,ROW('03.Muestra'!$F$8:$F$42)-MIN(ROW('03.Muestra'!$D$8:$D$42))+1,""),ROW()-664)),"")</f>
        <v>https://www.portcastello.com/</v>
      </c>
      <c r="D684" s="130" t="str">
        <f t="shared" si="35"/>
        <v>N/T</v>
      </c>
      <c r="E684" s="107" t="str">
        <f t="shared" si="34"/>
        <v/>
      </c>
      <c r="F684" s="19"/>
      <c r="G684" s="19"/>
      <c r="H684" s="19"/>
      <c r="I684" s="19"/>
      <c r="J684" s="19"/>
      <c r="K684" s="228"/>
      <c r="L684" s="19"/>
      <c r="M684" s="19"/>
      <c r="N684" s="19"/>
      <c r="O684" s="19"/>
      <c r="P684" s="19"/>
      <c r="Q684" s="19"/>
      <c r="R684" s="19"/>
      <c r="S684" s="19"/>
      <c r="T684" s="19"/>
      <c r="U684" s="19"/>
      <c r="V684" s="19"/>
      <c r="W684" s="19"/>
      <c r="X684" s="19"/>
      <c r="Y684" s="19"/>
    </row>
    <row r="685" spans="1:25" ht="14.1" customHeight="1">
      <c r="A685" s="219" t="n" cm="1">
        <f t="array" ref="A685">IFERROR(INDEX('03.Muestra'!$B$8:$B$42,SMALL(IF("Página Web"='03.Muestra'!$D$8:$D$42,ROW('03.Muestra'!$B$8:$B$42)-MIN(ROW('03.Muestra'!$D$8:$D$42))+1,""),ROW()-664)),"")</f>
        <v>1.0</v>
      </c>
      <c r="B685" s="114" t="str" cm="1">
        <f t="array" ref="B685">IFERROR(INDEX('03.Muestra'!$C$8:$C$42,SMALL(IF("Página Web"='03.Muestra'!$D$8:$D$42,ROW('03.Muestra'!$C$8:$C$42)-MIN(ROW('03.Muestra'!$D$8:$D$42))+1,""),ROW()-664)),"")</f>
        <v>Home - PortCastelló</v>
      </c>
      <c r="C685" s="114" t="str" cm="1">
        <f t="array" ref="C685">IFERROR(INDEX('03.Muestra'!$F$8:$F$42,SMALL(IF("Página Web"='03.Muestra'!$D$8:$D$42,ROW('03.Muestra'!$F$8:$F$42)-MIN(ROW('03.Muestra'!$D$8:$D$42))+1,""),ROW()-664)),"")</f>
        <v>https://www.portcastello.com/</v>
      </c>
      <c r="D685" s="130" t="str">
        <f t="shared" si="35"/>
        <v>N/T</v>
      </c>
      <c r="E685" s="107" t="str">
        <f t="shared" si="34"/>
        <v/>
      </c>
      <c r="F685" s="19"/>
      <c r="G685" s="19"/>
      <c r="H685" s="19"/>
      <c r="I685" s="19"/>
      <c r="J685" s="19"/>
      <c r="K685" s="228"/>
      <c r="L685" s="19"/>
      <c r="M685" s="19"/>
      <c r="N685" s="19"/>
      <c r="O685" s="19"/>
      <c r="P685" s="19"/>
      <c r="Q685" s="19"/>
      <c r="R685" s="19"/>
      <c r="S685" s="19"/>
      <c r="T685" s="19"/>
      <c r="U685" s="19"/>
      <c r="V685" s="19"/>
      <c r="W685" s="19"/>
      <c r="X685" s="19"/>
      <c r="Y685" s="19"/>
    </row>
    <row r="686" spans="1:25" ht="14.1" customHeight="1">
      <c r="A686" s="219" t="n" cm="1">
        <f t="array" ref="A686">IFERROR(INDEX('03.Muestra'!$B$8:$B$42,SMALL(IF("Página Web"='03.Muestra'!$D$8:$D$42,ROW('03.Muestra'!$B$8:$B$42)-MIN(ROW('03.Muestra'!$D$8:$D$42))+1,""),ROW()-664)),"")</f>
        <v>1.0</v>
      </c>
      <c r="B686" s="114" t="str" cm="1">
        <f t="array" ref="B686">IFERROR(INDEX('03.Muestra'!$C$8:$C$42,SMALL(IF("Página Web"='03.Muestra'!$D$8:$D$42,ROW('03.Muestra'!$C$8:$C$42)-MIN(ROW('03.Muestra'!$D$8:$D$42))+1,""),ROW()-664)),"")</f>
        <v>Home - PortCastelló</v>
      </c>
      <c r="C686" s="114" t="str" cm="1">
        <f t="array" ref="C686">IFERROR(INDEX('03.Muestra'!$F$8:$F$42,SMALL(IF("Página Web"='03.Muestra'!$D$8:$D$42,ROW('03.Muestra'!$F$8:$F$42)-MIN(ROW('03.Muestra'!$D$8:$D$42))+1,""),ROW()-664)),"")</f>
        <v>https://www.portcastello.com/</v>
      </c>
      <c r="D686" s="130" t="str">
        <f t="shared" si="35"/>
        <v>N/T</v>
      </c>
      <c r="E686" s="107" t="str">
        <f t="shared" si="34"/>
        <v/>
      </c>
      <c r="F686" s="19"/>
      <c r="G686" s="19"/>
      <c r="H686" s="19"/>
      <c r="I686" s="19"/>
      <c r="J686" s="19"/>
      <c r="K686" s="228"/>
      <c r="L686" s="19"/>
      <c r="M686" s="19"/>
      <c r="N686" s="19"/>
      <c r="O686" s="19"/>
      <c r="P686" s="19"/>
      <c r="Q686" s="19"/>
      <c r="R686" s="19"/>
      <c r="S686" s="19"/>
      <c r="T686" s="19"/>
      <c r="U686" s="19"/>
      <c r="V686" s="19"/>
      <c r="W686" s="19"/>
      <c r="X686" s="19"/>
      <c r="Y686" s="19"/>
    </row>
    <row r="687" spans="1:25" ht="14.1" customHeight="1">
      <c r="A687" s="219" t="n" cm="1">
        <f t="array" ref="A687">IFERROR(INDEX('03.Muestra'!$B$8:$B$42,SMALL(IF("Página Web"='03.Muestra'!$D$8:$D$42,ROW('03.Muestra'!$B$8:$B$42)-MIN(ROW('03.Muestra'!$D$8:$D$42))+1,""),ROW()-664)),"")</f>
        <v>1.0</v>
      </c>
      <c r="B687" s="114" t="str" cm="1">
        <f t="array" ref="B687">IFERROR(INDEX('03.Muestra'!$C$8:$C$42,SMALL(IF("Página Web"='03.Muestra'!$D$8:$D$42,ROW('03.Muestra'!$C$8:$C$42)-MIN(ROW('03.Muestra'!$D$8:$D$42))+1,""),ROW()-664)),"")</f>
        <v>Home - PortCastelló</v>
      </c>
      <c r="C687" s="114" t="str" cm="1">
        <f t="array" ref="C687">IFERROR(INDEX('03.Muestra'!$F$8:$F$42,SMALL(IF("Página Web"='03.Muestra'!$D$8:$D$42,ROW('03.Muestra'!$F$8:$F$42)-MIN(ROW('03.Muestra'!$D$8:$D$42))+1,""),ROW()-664)),"")</f>
        <v>https://www.portcastello.com/</v>
      </c>
      <c r="D687" s="130" t="str">
        <f t="shared" si="35"/>
        <v>N/T</v>
      </c>
      <c r="E687" s="107" t="str">
        <f t="shared" si="34"/>
        <v/>
      </c>
      <c r="F687" s="19"/>
      <c r="G687" s="19"/>
      <c r="H687" s="19"/>
      <c r="I687" s="19"/>
      <c r="J687" s="19"/>
      <c r="K687" s="228"/>
      <c r="L687" s="19"/>
      <c r="M687" s="19"/>
      <c r="N687" s="19"/>
      <c r="O687" s="19"/>
      <c r="P687" s="19"/>
      <c r="Q687" s="19"/>
      <c r="R687" s="19"/>
      <c r="S687" s="19"/>
      <c r="T687" s="19"/>
      <c r="U687" s="19"/>
      <c r="V687" s="19"/>
      <c r="W687" s="19"/>
      <c r="X687" s="19"/>
      <c r="Y687" s="19"/>
    </row>
    <row r="688" spans="1:25" ht="12" customHeight="1">
      <c r="A688" s="219" t="n" cm="1">
        <f t="array" ref="A688">IFERROR(INDEX('03.Muestra'!$B$8:$B$42,SMALL(IF("Página Web"='03.Muestra'!$D$8:$D$42,ROW('03.Muestra'!$B$8:$B$42)-MIN(ROW('03.Muestra'!$D$8:$D$42))+1,""),ROW()-664)),"")</f>
        <v>1.0</v>
      </c>
      <c r="B688" s="114" t="str" cm="1">
        <f t="array" ref="B688">IFERROR(INDEX('03.Muestra'!$C$8:$C$42,SMALL(IF("Página Web"='03.Muestra'!$D$8:$D$42,ROW('03.Muestra'!$C$8:$C$42)-MIN(ROW('03.Muestra'!$D$8:$D$42))+1,""),ROW()-664)),"")</f>
        <v>Home - PortCastelló</v>
      </c>
      <c r="C688" s="114" t="str" cm="1">
        <f t="array" ref="C688">IFERROR(INDEX('03.Muestra'!$F$8:$F$42,SMALL(IF("Página Web"='03.Muestra'!$D$8:$D$42,ROW('03.Muestra'!$F$8:$F$42)-MIN(ROW('03.Muestra'!$D$8:$D$42))+1,""),ROW()-664)),"")</f>
        <v>https://www.portcastello.com/</v>
      </c>
      <c r="D688" s="130" t="str">
        <f t="shared" si="35"/>
        <v>N/T</v>
      </c>
      <c r="E688" s="107" t="str">
        <f t="shared" si="34"/>
        <v/>
      </c>
      <c r="F688" s="19"/>
      <c r="G688" s="19"/>
      <c r="H688" s="19"/>
      <c r="I688" s="19"/>
      <c r="J688" s="19"/>
      <c r="K688" s="228"/>
      <c r="L688" s="19"/>
      <c r="M688" s="19"/>
      <c r="N688" s="19"/>
      <c r="O688" s="19"/>
      <c r="P688" s="19"/>
      <c r="Q688" s="19"/>
      <c r="R688" s="19"/>
      <c r="S688" s="19"/>
      <c r="T688" s="19"/>
      <c r="U688" s="19"/>
      <c r="V688" s="19"/>
      <c r="W688" s="19"/>
      <c r="X688" s="19"/>
      <c r="Y688" s="19"/>
    </row>
    <row r="689" spans="1:25" ht="12" customHeight="1">
      <c r="A689" s="219" t="n" cm="1">
        <f t="array" ref="A689">IFERROR(INDEX('03.Muestra'!$B$8:$B$42,SMALL(IF("Página Web"='03.Muestra'!$D$8:$D$42,ROW('03.Muestra'!$B$8:$B$42)-MIN(ROW('03.Muestra'!$D$8:$D$42))+1,""),ROW()-664)),"")</f>
        <v>1.0</v>
      </c>
      <c r="B689" s="114" t="str" cm="1">
        <f t="array" ref="B689">IFERROR(INDEX('03.Muestra'!$C$8:$C$42,SMALL(IF("Página Web"='03.Muestra'!$D$8:$D$42,ROW('03.Muestra'!$C$8:$C$42)-MIN(ROW('03.Muestra'!$D$8:$D$42))+1,""),ROW()-664)),"")</f>
        <v>Home - PortCastelló</v>
      </c>
      <c r="C689" s="114" t="str" cm="1">
        <f t="array" ref="C689">IFERROR(INDEX('03.Muestra'!$F$8:$F$42,SMALL(IF("Página Web"='03.Muestra'!$D$8:$D$42,ROW('03.Muestra'!$F$8:$F$42)-MIN(ROW('03.Muestra'!$D$8:$D$42))+1,""),ROW()-664)),"")</f>
        <v>https://www.portcastello.com/</v>
      </c>
      <c r="D689" s="130" t="str">
        <f t="shared" si="35"/>
        <v>N/T</v>
      </c>
      <c r="E689" s="107" t="str">
        <f t="shared" si="34"/>
        <v/>
      </c>
      <c r="F689" s="19"/>
      <c r="G689" s="19"/>
      <c r="H689" s="19"/>
      <c r="I689" s="19"/>
      <c r="J689" s="19"/>
      <c r="K689" s="228"/>
      <c r="L689" s="19"/>
      <c r="M689" s="19"/>
      <c r="N689" s="19"/>
      <c r="O689" s="19"/>
      <c r="P689" s="19"/>
      <c r="Q689" s="19"/>
      <c r="R689" s="19"/>
      <c r="S689" s="19"/>
      <c r="T689" s="19"/>
      <c r="U689" s="19"/>
      <c r="V689" s="19"/>
      <c r="W689" s="19"/>
      <c r="X689" s="19"/>
      <c r="Y689" s="19"/>
    </row>
    <row r="690" spans="1:25" ht="12" customHeight="1">
      <c r="A690" s="219" t="n" cm="1">
        <f t="array" ref="A690">IFERROR(INDEX('03.Muestra'!$B$8:$B$42,SMALL(IF("Página Web"='03.Muestra'!$D$8:$D$42,ROW('03.Muestra'!$B$8:$B$42)-MIN(ROW('03.Muestra'!$D$8:$D$42))+1,""),ROW()-664)),"")</f>
        <v>1.0</v>
      </c>
      <c r="B690" s="114" t="str" cm="1">
        <f t="array" ref="B690">IFERROR(INDEX('03.Muestra'!$C$8:$C$42,SMALL(IF("Página Web"='03.Muestra'!$D$8:$D$42,ROW('03.Muestra'!$C$8:$C$42)-MIN(ROW('03.Muestra'!$D$8:$D$42))+1,""),ROW()-664)),"")</f>
        <v>Home - PortCastelló</v>
      </c>
      <c r="C690" s="114" t="str" cm="1">
        <f t="array" ref="C690">IFERROR(INDEX('03.Muestra'!$F$8:$F$42,SMALL(IF("Página Web"='03.Muestra'!$D$8:$D$42,ROW('03.Muestra'!$F$8:$F$42)-MIN(ROW('03.Muestra'!$D$8:$D$42))+1,""),ROW()-664)),"")</f>
        <v>https://www.portcastello.com/</v>
      </c>
      <c r="D690" s="130" t="str">
        <f t="shared" si="35"/>
        <v>N/T</v>
      </c>
      <c r="E690" s="107" t="str">
        <f t="shared" si="34"/>
        <v/>
      </c>
      <c r="F690" s="19"/>
      <c r="G690" s="19"/>
      <c r="H690" s="19"/>
      <c r="I690" s="19"/>
      <c r="J690" s="19"/>
      <c r="K690" s="228"/>
      <c r="L690" s="19"/>
      <c r="M690" s="19"/>
      <c r="N690" s="19"/>
      <c r="O690" s="19"/>
      <c r="P690" s="19"/>
      <c r="Q690" s="19"/>
      <c r="R690" s="19"/>
      <c r="S690" s="19"/>
      <c r="T690" s="19"/>
      <c r="U690" s="19"/>
      <c r="V690" s="19"/>
      <c r="W690" s="19"/>
      <c r="X690" s="19"/>
      <c r="Y690" s="19"/>
    </row>
    <row r="691" spans="1:25" ht="12" customHeight="1">
      <c r="A691" s="219" t="n" cm="1">
        <f t="array" ref="A691">IFERROR(INDEX('03.Muestra'!$B$8:$B$42,SMALL(IF("Página Web"='03.Muestra'!$D$8:$D$42,ROW('03.Muestra'!$B$8:$B$42)-MIN(ROW('03.Muestra'!$D$8:$D$42))+1,""),ROW()-664)),"")</f>
        <v>1.0</v>
      </c>
      <c r="B691" s="114" t="str" cm="1">
        <f t="array" ref="B691">IFERROR(INDEX('03.Muestra'!$C$8:$C$42,SMALL(IF("Página Web"='03.Muestra'!$D$8:$D$42,ROW('03.Muestra'!$C$8:$C$42)-MIN(ROW('03.Muestra'!$D$8:$D$42))+1,""),ROW()-664)),"")</f>
        <v>Home - PortCastelló</v>
      </c>
      <c r="C691" s="114" t="str" cm="1">
        <f t="array" ref="C691">IFERROR(INDEX('03.Muestra'!$F$8:$F$42,SMALL(IF("Página Web"='03.Muestra'!$D$8:$D$42,ROW('03.Muestra'!$F$8:$F$42)-MIN(ROW('03.Muestra'!$D$8:$D$42))+1,""),ROW()-664)),"")</f>
        <v>https://www.portcastello.com/</v>
      </c>
      <c r="D691" s="130" t="str">
        <f t="shared" si="35"/>
        <v>N/T</v>
      </c>
      <c r="E691" s="107" t="str">
        <f t="shared" si="34"/>
        <v/>
      </c>
      <c r="F691" s="19"/>
      <c r="G691" s="19"/>
      <c r="H691" s="19"/>
      <c r="I691" s="19"/>
      <c r="J691" s="19"/>
      <c r="K691" s="228"/>
      <c r="L691" s="19"/>
      <c r="M691" s="19"/>
      <c r="N691" s="19"/>
      <c r="O691" s="19"/>
      <c r="P691" s="19"/>
      <c r="Q691" s="19"/>
      <c r="R691" s="19"/>
      <c r="S691" s="19"/>
      <c r="T691" s="19"/>
      <c r="U691" s="19"/>
      <c r="V691" s="19"/>
      <c r="W691" s="19"/>
      <c r="X691" s="19"/>
      <c r="Y691" s="19"/>
    </row>
    <row r="692" spans="1:25" ht="12" customHeight="1">
      <c r="A692" s="219" t="n" cm="1">
        <f t="array" ref="A692">IFERROR(INDEX('03.Muestra'!$B$8:$B$42,SMALL(IF("Página Web"='03.Muestra'!$D$8:$D$42,ROW('03.Muestra'!$B$8:$B$42)-MIN(ROW('03.Muestra'!$D$8:$D$42))+1,""),ROW()-664)),"")</f>
        <v>1.0</v>
      </c>
      <c r="B692" s="114" t="str" cm="1">
        <f t="array" ref="B692">IFERROR(INDEX('03.Muestra'!$C$8:$C$42,SMALL(IF("Página Web"='03.Muestra'!$D$8:$D$42,ROW('03.Muestra'!$C$8:$C$42)-MIN(ROW('03.Muestra'!$D$8:$D$42))+1,""),ROW()-664)),"")</f>
        <v>Home - PortCastelló</v>
      </c>
      <c r="C692" s="114" t="str" cm="1">
        <f t="array" ref="C692">IFERROR(INDEX('03.Muestra'!$F$8:$F$42,SMALL(IF("Página Web"='03.Muestra'!$D$8:$D$42,ROW('03.Muestra'!$F$8:$F$42)-MIN(ROW('03.Muestra'!$D$8:$D$42))+1,""),ROW()-664)),"")</f>
        <v>https://www.portcastello.com/</v>
      </c>
      <c r="D692" s="130" t="str">
        <f t="shared" si="35"/>
        <v>N/T</v>
      </c>
      <c r="E692" s="107" t="str">
        <f t="shared" si="34"/>
        <v/>
      </c>
      <c r="G692" s="19"/>
      <c r="H692" s="19"/>
      <c r="I692" s="19"/>
      <c r="J692" s="19"/>
      <c r="K692" s="228"/>
      <c r="L692" s="19"/>
      <c r="M692" s="19"/>
      <c r="N692" s="19"/>
      <c r="O692" s="19"/>
      <c r="P692" s="19"/>
      <c r="Q692" s="19"/>
      <c r="R692" s="19"/>
      <c r="S692" s="19"/>
      <c r="T692" s="19"/>
      <c r="U692" s="19"/>
      <c r="V692" s="19"/>
      <c r="W692" s="19"/>
      <c r="X692" s="19"/>
      <c r="Y692" s="19"/>
    </row>
    <row r="693" spans="1:25" ht="12" customHeight="1">
      <c r="A693" s="219" t="n" cm="1">
        <f t="array" ref="A693">IFERROR(INDEX('03.Muestra'!$B$8:$B$42,SMALL(IF("Página Web"='03.Muestra'!$D$8:$D$42,ROW('03.Muestra'!$B$8:$B$42)-MIN(ROW('03.Muestra'!$D$8:$D$42))+1,""),ROW()-664)),"")</f>
        <v>1.0</v>
      </c>
      <c r="B693" s="114" t="str" cm="1">
        <f t="array" ref="B693">IFERROR(INDEX('03.Muestra'!$C$8:$C$42,SMALL(IF("Página Web"='03.Muestra'!$D$8:$D$42,ROW('03.Muestra'!$C$8:$C$42)-MIN(ROW('03.Muestra'!$D$8:$D$42))+1,""),ROW()-664)),"")</f>
        <v>Home - PortCastelló</v>
      </c>
      <c r="C693" s="114" t="str" cm="1">
        <f t="array" ref="C693">IFERROR(INDEX('03.Muestra'!$F$8:$F$42,SMALL(IF("Página Web"='03.Muestra'!$D$8:$D$42,ROW('03.Muestra'!$F$8:$F$42)-MIN(ROW('03.Muestra'!$D$8:$D$42))+1,""),ROW()-664)),"")</f>
        <v>https://www.portcastello.com/</v>
      </c>
      <c r="D693" s="130" t="str">
        <f t="shared" si="35"/>
        <v>N/T</v>
      </c>
      <c r="E693" s="107" t="str">
        <f t="shared" si="34"/>
        <v/>
      </c>
      <c r="F693" s="124"/>
      <c r="G693" s="19"/>
      <c r="H693" s="19"/>
      <c r="I693" s="19"/>
      <c r="J693" s="19"/>
      <c r="K693" s="228"/>
      <c r="L693" s="19"/>
      <c r="M693" s="19"/>
      <c r="N693" s="19"/>
      <c r="O693" s="19"/>
      <c r="P693" s="19"/>
      <c r="Q693" s="19"/>
      <c r="R693" s="19"/>
      <c r="S693" s="19"/>
      <c r="T693" s="19"/>
      <c r="U693" s="19"/>
      <c r="V693" s="19"/>
      <c r="W693" s="19"/>
      <c r="X693" s="19"/>
      <c r="Y693" s="19"/>
    </row>
    <row r="694" spans="1:25" ht="12" customHeight="1">
      <c r="A694" s="219" t="n" cm="1">
        <f t="array" ref="A694">IFERROR(INDEX('03.Muestra'!$B$8:$B$42,SMALL(IF("Página Web"='03.Muestra'!$D$8:$D$42,ROW('03.Muestra'!$B$8:$B$42)-MIN(ROW('03.Muestra'!$D$8:$D$42))+1,""),ROW()-664)),"")</f>
        <v>1.0</v>
      </c>
      <c r="B694" s="114" t="str" cm="1">
        <f t="array" ref="B694">IFERROR(INDEX('03.Muestra'!$C$8:$C$42,SMALL(IF("Página Web"='03.Muestra'!$D$8:$D$42,ROW('03.Muestra'!$C$8:$C$42)-MIN(ROW('03.Muestra'!$D$8:$D$42))+1,""),ROW()-664)),"")</f>
        <v>Home - PortCastelló</v>
      </c>
      <c r="C694" s="114" t="str" cm="1">
        <f t="array" ref="C694">IFERROR(INDEX('03.Muestra'!$F$8:$F$42,SMALL(IF("Página Web"='03.Muestra'!$D$8:$D$42,ROW('03.Muestra'!$F$8:$F$42)-MIN(ROW('03.Muestra'!$D$8:$D$42))+1,""),ROW()-664)),"")</f>
        <v>https://www.portcastello.com/</v>
      </c>
      <c r="D694" s="130" t="str">
        <f t="shared" si="35"/>
        <v>N/T</v>
      </c>
      <c r="E694" s="107" t="str">
        <f t="shared" si="34"/>
        <v/>
      </c>
      <c r="F694" s="124"/>
      <c r="G694" s="19"/>
      <c r="H694" s="19"/>
      <c r="I694" s="19"/>
      <c r="J694" s="19"/>
      <c r="K694" s="228"/>
      <c r="L694" s="19"/>
      <c r="M694" s="19"/>
      <c r="N694" s="19"/>
      <c r="O694" s="19"/>
      <c r="P694" s="19"/>
      <c r="Q694" s="19"/>
      <c r="R694" s="19"/>
      <c r="S694" s="19"/>
      <c r="T694" s="19"/>
      <c r="U694" s="19"/>
      <c r="V694" s="19"/>
      <c r="W694" s="19"/>
      <c r="X694" s="19"/>
      <c r="Y694" s="19"/>
    </row>
    <row r="695" spans="1:25" ht="12" customHeight="1">
      <c r="A695" s="219" t="n" cm="1">
        <f t="array" ref="A695">IFERROR(INDEX('03.Muestra'!$B$8:$B$42,SMALL(IF("Página Web"='03.Muestra'!$D$8:$D$42,ROW('03.Muestra'!$B$8:$B$42)-MIN(ROW('03.Muestra'!$D$8:$D$42))+1,""),ROW()-664)),"")</f>
        <v>1.0</v>
      </c>
      <c r="B695" s="114" t="str" cm="1">
        <f t="array" ref="B695">IFERROR(INDEX('03.Muestra'!$C$8:$C$42,SMALL(IF("Página Web"='03.Muestra'!$D$8:$D$42,ROW('03.Muestra'!$C$8:$C$42)-MIN(ROW('03.Muestra'!$D$8:$D$42))+1,""),ROW()-664)),"")</f>
        <v>Home - PortCastelló</v>
      </c>
      <c r="C695" s="114" t="str" cm="1">
        <f t="array" ref="C695">IFERROR(INDEX('03.Muestra'!$F$8:$F$42,SMALL(IF("Página Web"='03.Muestra'!$D$8:$D$42,ROW('03.Muestra'!$F$8:$F$42)-MIN(ROW('03.Muestra'!$D$8:$D$42))+1,""),ROW()-664)),"")</f>
        <v>https://www.portcastello.com/</v>
      </c>
      <c r="D695" s="130" t="str">
        <f t="shared" si="35"/>
        <v>N/T</v>
      </c>
      <c r="E695" s="107" t="str">
        <f t="shared" si="34"/>
        <v/>
      </c>
      <c r="F695" s="124"/>
      <c r="G695" s="19"/>
      <c r="H695" s="19"/>
      <c r="I695" s="19"/>
      <c r="J695" s="19"/>
      <c r="K695" s="228"/>
      <c r="L695" s="19"/>
      <c r="M695" s="19"/>
      <c r="N695" s="19"/>
      <c r="O695" s="19"/>
      <c r="P695" s="19"/>
      <c r="Q695" s="19"/>
      <c r="R695" s="19"/>
      <c r="S695" s="19"/>
      <c r="T695" s="19"/>
      <c r="U695" s="19"/>
      <c r="V695" s="19"/>
      <c r="W695" s="19"/>
      <c r="X695" s="19"/>
      <c r="Y695" s="19"/>
    </row>
    <row r="696" spans="1:25" ht="12" customHeight="1">
      <c r="A696" s="219" t="n" cm="1">
        <f t="array" ref="A696">IFERROR(INDEX('03.Muestra'!$B$8:$B$42,SMALL(IF("Página Web"='03.Muestra'!$D$8:$D$42,ROW('03.Muestra'!$B$8:$B$42)-MIN(ROW('03.Muestra'!$D$8:$D$42))+1,""),ROW()-664)),"")</f>
        <v>1.0</v>
      </c>
      <c r="B696" s="114" t="str" cm="1">
        <f t="array" ref="B696">IFERROR(INDEX('03.Muestra'!$C$8:$C$42,SMALL(IF("Página Web"='03.Muestra'!$D$8:$D$42,ROW('03.Muestra'!$C$8:$C$42)-MIN(ROW('03.Muestra'!$D$8:$D$42))+1,""),ROW()-664)),"")</f>
        <v>Home - PortCastelló</v>
      </c>
      <c r="C696" s="114" t="str" cm="1">
        <f t="array" ref="C696">IFERROR(INDEX('03.Muestra'!$F$8:$F$42,SMALL(IF("Página Web"='03.Muestra'!$D$8:$D$42,ROW('03.Muestra'!$F$8:$F$42)-MIN(ROW('03.Muestra'!$D$8:$D$42))+1,""),ROW()-664)),"")</f>
        <v>https://www.portcastello.com/</v>
      </c>
      <c r="D696" s="130" t="str">
        <f t="shared" si="35"/>
        <v>N/T</v>
      </c>
      <c r="E696" s="107" t="str">
        <f t="shared" si="34"/>
        <v/>
      </c>
      <c r="F696" s="124"/>
      <c r="G696" s="19"/>
      <c r="H696" s="19"/>
      <c r="I696" s="19"/>
      <c r="J696" s="19"/>
      <c r="K696" s="228"/>
      <c r="L696" s="19"/>
      <c r="M696" s="19"/>
      <c r="N696" s="19"/>
      <c r="O696" s="19"/>
      <c r="P696" s="19"/>
      <c r="Q696" s="19"/>
      <c r="R696" s="19"/>
      <c r="S696" s="19"/>
      <c r="T696" s="19"/>
      <c r="U696" s="19"/>
      <c r="V696" s="19"/>
      <c r="W696" s="19"/>
      <c r="X696" s="19"/>
      <c r="Y696" s="19"/>
    </row>
    <row r="697" spans="1:25" ht="12" customHeight="1">
      <c r="A697" s="219" t="n" cm="1">
        <f t="array" ref="A697">IFERROR(INDEX('03.Muestra'!$B$8:$B$42,SMALL(IF("Página Web"='03.Muestra'!$D$8:$D$42,ROW('03.Muestra'!$B$8:$B$42)-MIN(ROW('03.Muestra'!$D$8:$D$42))+1,""),ROW()-664)),"")</f>
        <v>1.0</v>
      </c>
      <c r="B697" s="114" t="str" cm="1">
        <f t="array" ref="B697">IFERROR(INDEX('03.Muestra'!$C$8:$C$42,SMALL(IF("Página Web"='03.Muestra'!$D$8:$D$42,ROW('03.Muestra'!$C$8:$C$42)-MIN(ROW('03.Muestra'!$D$8:$D$42))+1,""),ROW()-664)),"")</f>
        <v>Home - PortCastelló</v>
      </c>
      <c r="C697" s="114" t="str" cm="1">
        <f t="array" ref="C697">IFERROR(INDEX('03.Muestra'!$F$8:$F$42,SMALL(IF("Página Web"='03.Muestra'!$D$8:$D$42,ROW('03.Muestra'!$F$8:$F$42)-MIN(ROW('03.Muestra'!$D$8:$D$42))+1,""),ROW()-664)),"")</f>
        <v>https://www.portcastello.com/</v>
      </c>
      <c r="D697" s="130" t="str">
        <f t="shared" si="35"/>
        <v>N/T</v>
      </c>
      <c r="E697" s="107" t="str">
        <f t="shared" si="34"/>
        <v/>
      </c>
      <c r="F697" s="124"/>
      <c r="G697" s="19"/>
      <c r="H697" s="19"/>
      <c r="I697" s="19"/>
      <c r="J697" s="19"/>
      <c r="K697" s="228"/>
      <c r="L697" s="19"/>
      <c r="M697" s="19"/>
      <c r="N697" s="19"/>
      <c r="O697" s="19"/>
      <c r="P697" s="19"/>
      <c r="Q697" s="19"/>
      <c r="R697" s="19"/>
      <c r="S697" s="19"/>
      <c r="T697" s="19"/>
      <c r="U697" s="19"/>
      <c r="V697" s="19"/>
      <c r="W697" s="19"/>
      <c r="X697" s="19"/>
      <c r="Y697" s="19"/>
    </row>
    <row r="698" spans="1:25" ht="12" customHeight="1">
      <c r="A698" s="219" t="str" cm="1">
        <f t="array" ref="A698">IFERROR(INDEX('03.Muestra'!$B$8:$B$42,SMALL(IF("Página Web"='03.Muestra'!$D$8:$D$42,ROW('03.Muestra'!$B$8:$B$42)-MIN(ROW('03.Muestra'!$D$8:$D$42))+1,""),ROW()-664)),"")</f>
        <v/>
      </c>
      <c r="B698" s="114" t="str" cm="1">
        <f t="array" ref="B698">IFERROR(INDEX('03.Muestra'!$C$8:$C$42,SMALL(IF("Página Web"='03.Muestra'!$D$8:$D$42,ROW('03.Muestra'!$C$8:$C$42)-MIN(ROW('03.Muestra'!$D$8:$D$42))+1,""),ROW()-664)),"")</f>
        <v/>
      </c>
      <c r="C698" s="114" t="str" cm="1">
        <f t="array" ref="C698">IFERROR(INDEX('03.Muestra'!$F$8:$F$42,SMALL(IF("Página Web"='03.Muestra'!$D$8:$D$42,ROW('03.Muestra'!$F$8:$F$42)-MIN(ROW('03.Muestra'!$D$8:$D$42))+1,""),ROW()-664)),"")</f>
        <v/>
      </c>
      <c r="D698" s="130" t="str">
        <f t="shared" si="35"/>
        <v/>
      </c>
      <c r="E698" s="107" t="str">
        <f t="shared" si="34"/>
        <v/>
      </c>
      <c r="F698" s="124"/>
      <c r="G698" s="19"/>
      <c r="H698" s="19"/>
      <c r="I698" s="19"/>
      <c r="J698" s="19"/>
      <c r="K698" s="228"/>
      <c r="L698" s="19"/>
      <c r="M698" s="19"/>
      <c r="N698" s="19"/>
      <c r="O698" s="19"/>
      <c r="P698" s="19"/>
      <c r="Q698" s="19"/>
      <c r="R698" s="19"/>
      <c r="S698" s="19"/>
      <c r="T698" s="19"/>
      <c r="U698" s="19"/>
      <c r="V698" s="19"/>
      <c r="W698" s="19"/>
      <c r="X698" s="19"/>
      <c r="Y698" s="19"/>
    </row>
    <row r="699" spans="1:25" ht="12" customHeight="1">
      <c r="A699" s="219" t="str" cm="1">
        <f t="array" ref="A699">IFERROR(INDEX('03.Muestra'!$B$8:$B$42,SMALL(IF("Página Web"='03.Muestra'!$D$8:$D$42,ROW('03.Muestra'!$B$8:$B$42)-MIN(ROW('03.Muestra'!$D$8:$D$42))+1,""),ROW()-664)),"")</f>
        <v/>
      </c>
      <c r="B699" s="114" t="str" cm="1">
        <f t="array" ref="B699">IFERROR(INDEX('03.Muestra'!$C$8:$C$42,SMALL(IF("Página Web"='03.Muestra'!$D$8:$D$42,ROW('03.Muestra'!$C$8:$C$42)-MIN(ROW('03.Muestra'!$D$8:$D$42))+1,""),ROW()-664)),"")</f>
        <v/>
      </c>
      <c r="C699" s="114" t="str" cm="1">
        <f t="array" ref="C699">IFERROR(INDEX('03.Muestra'!$F$8:$F$42,SMALL(IF("Página Web"='03.Muestra'!$D$8:$D$42,ROW('03.Muestra'!$F$8:$F$42)-MIN(ROW('03.Muestra'!$D$8:$D$42))+1,""),ROW()-664)),"")</f>
        <v/>
      </c>
      <c r="D699" s="130" t="str">
        <f t="shared" si="35"/>
        <v/>
      </c>
      <c r="E699" s="107" t="str">
        <f t="shared" si="34"/>
        <v/>
      </c>
      <c r="F699" s="19"/>
      <c r="G699" s="19"/>
      <c r="H699" s="19"/>
      <c r="I699" s="19"/>
      <c r="J699" s="19"/>
      <c r="K699" s="228"/>
      <c r="L699" s="19"/>
      <c r="M699" s="19"/>
      <c r="N699" s="19"/>
      <c r="O699" s="19"/>
      <c r="P699" s="19"/>
      <c r="Q699" s="19"/>
      <c r="R699" s="19"/>
      <c r="S699" s="19"/>
      <c r="T699" s="19"/>
      <c r="U699" s="19"/>
      <c r="V699" s="19"/>
      <c r="W699" s="19"/>
      <c r="X699" s="19"/>
      <c r="Y699" s="19"/>
    </row>
    <row r="700" spans="1:25" ht="12" customHeight="1">
      <c r="B700" s="19"/>
      <c r="C700" s="19"/>
      <c r="D700" s="107"/>
      <c r="E700" s="107"/>
      <c r="F700" s="19"/>
      <c r="G700" s="19"/>
      <c r="H700" s="19"/>
      <c r="I700" s="19"/>
      <c r="J700" s="19"/>
      <c r="K700" s="228"/>
      <c r="L700" s="19"/>
      <c r="M700" s="19"/>
      <c r="N700" s="19"/>
      <c r="O700" s="19"/>
      <c r="P700" s="19"/>
      <c r="Q700" s="19"/>
      <c r="R700" s="19"/>
      <c r="S700" s="19"/>
      <c r="T700" s="19"/>
      <c r="U700" s="19"/>
      <c r="V700" s="19"/>
      <c r="W700" s="19"/>
      <c r="X700" s="19"/>
      <c r="Y700" s="19"/>
    </row>
    <row r="701" spans="1:25" ht="12" customHeight="1">
      <c r="B701" s="19"/>
      <c r="C701" s="19"/>
      <c r="D701" s="107"/>
      <c r="E701" s="112"/>
      <c r="F701" s="19"/>
      <c r="G701" s="19"/>
      <c r="H701" s="19"/>
      <c r="I701" s="19"/>
      <c r="J701" s="19"/>
      <c r="K701" s="228"/>
      <c r="L701" s="19"/>
      <c r="M701" s="19"/>
      <c r="N701" s="19"/>
      <c r="O701" s="19"/>
      <c r="P701" s="19"/>
      <c r="Q701" s="19"/>
      <c r="R701" s="19"/>
      <c r="S701" s="19"/>
      <c r="T701" s="19"/>
      <c r="U701" s="19"/>
      <c r="V701" s="19"/>
      <c r="W701" s="19"/>
      <c r="X701" s="19"/>
      <c r="Y701" s="19"/>
    </row>
    <row r="702" spans="1:25" ht="46.5" customHeight="1">
      <c r="A702" s="218" t="s">
        <v>268</v>
      </c>
      <c r="B702" s="24" t="s">
        <v>90</v>
      </c>
      <c r="C702" s="217" t="s">
        <v>371</v>
      </c>
      <c r="D702" s="26" t="s">
        <v>32</v>
      </c>
      <c r="E702" s="123"/>
      <c r="K702" s="228"/>
      <c r="L702" s="19"/>
      <c r="M702" s="19"/>
      <c r="N702" s="19"/>
      <c r="O702" s="19"/>
      <c r="P702" s="19"/>
      <c r="Q702" s="19"/>
      <c r="R702" s="19"/>
      <c r="S702" s="19"/>
      <c r="T702" s="19"/>
      <c r="U702" s="19"/>
      <c r="V702" s="19"/>
      <c r="W702" s="19"/>
      <c r="X702" s="19"/>
      <c r="Y702" s="19"/>
    </row>
    <row r="703" spans="1:25" ht="12" customHeight="1">
      <c r="A703" s="219" t="n" cm="1">
        <f t="array" ref="A703">IFERROR(INDEX('03.Muestra'!$B$8:$B$42,SMALL(IF("Página Web"='03.Muestra'!$D$8:$D$42,ROW('03.Muestra'!$B$8:$B$42)-MIN(ROW('03.Muestra'!$D$8:$D$42))+1,""),ROW()-702)),"")</f>
        <v>1.0</v>
      </c>
      <c r="B703" s="114" t="str" cm="1">
        <f t="array" ref="B703">IFERROR(INDEX('03.Muestra'!$C$8:$C$42,SMALL(IF("Página Web"='03.Muestra'!$D$8:$D$42,ROW('03.Muestra'!$C$8:$C$42)-MIN(ROW('03.Muestra'!$D$8:$D$42))+1,""),ROW()-702)),"")</f>
        <v>Home - PortCastelló</v>
      </c>
      <c r="C703" s="114" t="str" cm="1">
        <f t="array" ref="C703">IFERROR(INDEX('03.Muestra'!$F$8:$F$42,SMALL(IF("Página Web"='03.Muestra'!$D$8:$D$42,ROW('03.Muestra'!$F$8:$F$42)-MIN(ROW('03.Muestra'!$D$8:$D$42))+1,""),ROW()-702)),"")</f>
        <v>https://www.portcastello.com/</v>
      </c>
      <c r="D703" s="130" t="str">
        <f>IF(AND(B703&lt;&gt;"",C703&lt;&gt;""),"N/T","")</f>
        <v>N/T</v>
      </c>
      <c r="E703" s="107" t="str">
        <f t="shared" ref="E703:E737" si="36">IF(D703&lt;&gt;"",IF(AND(B703&lt;&gt;"",C703&lt;&gt;""),"","ERR"),"")</f>
        <v/>
      </c>
      <c r="F703" s="115" t="s">
        <v>33</v>
      </c>
      <c r="G703" s="116" t="s">
        <v>37</v>
      </c>
      <c r="H703" s="117" t="s">
        <v>35</v>
      </c>
      <c r="I703" s="118" t="s">
        <v>28</v>
      </c>
      <c r="J703" s="119" t="s">
        <v>26</v>
      </c>
      <c r="K703" s="229" t="s">
        <v>474</v>
      </c>
      <c r="L703" s="19"/>
      <c r="M703" s="19"/>
      <c r="N703" s="19"/>
      <c r="O703" s="19"/>
      <c r="P703" s="19"/>
      <c r="Q703" s="19"/>
      <c r="R703" s="19"/>
      <c r="S703" s="19"/>
      <c r="T703" s="19"/>
      <c r="U703" s="19"/>
      <c r="V703" s="19"/>
      <c r="W703" s="19"/>
      <c r="X703" s="19"/>
      <c r="Y703" s="19"/>
    </row>
    <row r="704" spans="1:25" ht="12" customHeight="1">
      <c r="A704" s="219" t="n" cm="1">
        <f t="array" ref="A704">IFERROR(INDEX('03.Muestra'!$B$8:$B$42,SMALL(IF("Página Web"='03.Muestra'!$D$8:$D$42,ROW('03.Muestra'!$B$8:$B$42)-MIN(ROW('03.Muestra'!$D$8:$D$42))+1,""),ROW()-702)),"")</f>
        <v>1.0</v>
      </c>
      <c r="B704" s="114" t="str" cm="1">
        <f t="array" ref="B704">IFERROR(INDEX('03.Muestra'!$C$8:$C$42,SMALL(IF("Página Web"='03.Muestra'!$D$8:$D$42,ROW('03.Muestra'!$C$8:$C$42)-MIN(ROW('03.Muestra'!$D$8:$D$42))+1,""),ROW()-702)),"")</f>
        <v>Home - PortCastelló</v>
      </c>
      <c r="C704" s="114" t="str" cm="1">
        <f t="array" ref="C704">IFERROR(INDEX('03.Muestra'!$F$8:$F$42,SMALL(IF("Página Web"='03.Muestra'!$D$8:$D$42,ROW('03.Muestra'!$F$8:$F$42)-MIN(ROW('03.Muestra'!$D$8:$D$42))+1,""),ROW()-702)),"")</f>
        <v>https://www.portcastello.com/</v>
      </c>
      <c r="D704" s="130" t="str">
        <f t="shared" ref="D704:D737" si="37">IF(AND(B704&lt;&gt;"",C704&lt;&gt;""),"N/T","")</f>
        <v>N/T</v>
      </c>
      <c r="E704" s="107" t="str">
        <f t="shared" si="36"/>
        <v/>
      </c>
      <c r="F704" s="120" t="n">
        <f ca="1">COUNTIF($D703:INDIRECT("$D" &amp;  SUM(ROW()-1,'03.Muestra'!$D$45)-1),F703)</f>
        <v>33.0</v>
      </c>
      <c r="G704" s="120" t="n">
        <f ca="1">COUNTIF($D703:INDIRECT("$D" &amp;  SUM(ROW()-1,'03.Muestra'!$D$45)-1),G703)</f>
        <v>0.0</v>
      </c>
      <c r="H704" s="120" t="n">
        <f ca="1">COUNTIF($D703:INDIRECT("$D" &amp;  SUM(ROW()-1,'03.Muestra'!$D$45)-1),H703)</f>
        <v>0.0</v>
      </c>
      <c r="I704" s="120" t="n">
        <f ca="1">COUNTIF($D703:INDIRECT("$D" &amp;  SUM(ROW()-1,'03.Muestra'!$D$45)-1),I703)</f>
        <v>0.0</v>
      </c>
      <c r="J704" s="120" t="n">
        <f ca="1">COUNTIF($D703:INDIRECT("$D" &amp;  SUM(ROW()-1,'03.Muestra'!$D$45)-1),J703)</f>
        <v>0.0</v>
      </c>
      <c r="K704" s="230" t="n">
        <f ca="1">IF(COUNTIF('03.Muestra'!$D$8:$D$42,"Página Web")=0,0,COUNTBLANK($D703:INDIRECT("$D" &amp;  SUM(ROW()-1,COUNTIF('03.Muestra'!$D$8:$D$42,"Página Web"))-1)))</f>
        <v>0.0</v>
      </c>
      <c r="L704" s="19"/>
      <c r="M704" s="19"/>
      <c r="N704" s="19"/>
      <c r="O704" s="19"/>
      <c r="P704" s="19"/>
      <c r="Q704" s="19"/>
      <c r="R704" s="19"/>
      <c r="S704" s="19"/>
      <c r="T704" s="19"/>
      <c r="U704" s="19"/>
      <c r="V704" s="19"/>
      <c r="W704" s="19"/>
      <c r="X704" s="19"/>
      <c r="Y704" s="19"/>
    </row>
    <row r="705" spans="1:25" ht="12" customHeight="1">
      <c r="A705" s="219" t="n" cm="1">
        <f t="array" ref="A705">IFERROR(INDEX('03.Muestra'!$B$8:$B$42,SMALL(IF("Página Web"='03.Muestra'!$D$8:$D$42,ROW('03.Muestra'!$B$8:$B$42)-MIN(ROW('03.Muestra'!$D$8:$D$42))+1,""),ROW()-702)),"")</f>
        <v>1.0</v>
      </c>
      <c r="B705" s="114" t="str" cm="1">
        <f t="array" ref="B705">IFERROR(INDEX('03.Muestra'!$C$8:$C$42,SMALL(IF("Página Web"='03.Muestra'!$D$8:$D$42,ROW('03.Muestra'!$C$8:$C$42)-MIN(ROW('03.Muestra'!$D$8:$D$42))+1,""),ROW()-702)),"")</f>
        <v>Home - PortCastelló</v>
      </c>
      <c r="C705" s="114" t="str" cm="1">
        <f t="array" ref="C705">IFERROR(INDEX('03.Muestra'!$F$8:$F$42,SMALL(IF("Página Web"='03.Muestra'!$D$8:$D$42,ROW('03.Muestra'!$F$8:$F$42)-MIN(ROW('03.Muestra'!$D$8:$D$42))+1,""),ROW()-702)),"")</f>
        <v>https://www.portcastello.com/</v>
      </c>
      <c r="D705" s="130" t="str">
        <f t="shared" si="37"/>
        <v>N/T</v>
      </c>
      <c r="E705" s="107" t="str">
        <f t="shared" si="36"/>
        <v/>
      </c>
      <c r="G705" s="19"/>
      <c r="H705" s="19"/>
      <c r="I705" s="19"/>
      <c r="J705" s="19"/>
      <c r="K705" s="228"/>
      <c r="L705" s="19"/>
      <c r="M705" s="19"/>
      <c r="N705" s="19"/>
      <c r="O705" s="19"/>
      <c r="P705" s="19"/>
      <c r="Q705" s="19"/>
      <c r="R705" s="19"/>
      <c r="S705" s="19"/>
      <c r="T705" s="19"/>
      <c r="U705" s="19"/>
      <c r="V705" s="19"/>
      <c r="W705" s="19"/>
      <c r="X705" s="19"/>
      <c r="Y705" s="19"/>
    </row>
    <row r="706" spans="1:25" ht="12" customHeight="1">
      <c r="A706" s="219" t="n" cm="1">
        <f t="array" ref="A706">IFERROR(INDEX('03.Muestra'!$B$8:$B$42,SMALL(IF("Página Web"='03.Muestra'!$D$8:$D$42,ROW('03.Muestra'!$B$8:$B$42)-MIN(ROW('03.Muestra'!$D$8:$D$42))+1,""),ROW()-702)),"")</f>
        <v>1.0</v>
      </c>
      <c r="B706" s="114" t="str" cm="1">
        <f t="array" ref="B706">IFERROR(INDEX('03.Muestra'!$C$8:$C$42,SMALL(IF("Página Web"='03.Muestra'!$D$8:$D$42,ROW('03.Muestra'!$C$8:$C$42)-MIN(ROW('03.Muestra'!$D$8:$D$42))+1,""),ROW()-702)),"")</f>
        <v>Home - PortCastelló</v>
      </c>
      <c r="C706" s="114" t="str" cm="1">
        <f t="array" ref="C706">IFERROR(INDEX('03.Muestra'!$F$8:$F$42,SMALL(IF("Página Web"='03.Muestra'!$D$8:$D$42,ROW('03.Muestra'!$F$8:$F$42)-MIN(ROW('03.Muestra'!$D$8:$D$42))+1,""),ROW()-702)),"")</f>
        <v>https://www.portcastello.com/</v>
      </c>
      <c r="D706" s="130" t="str">
        <f t="shared" si="37"/>
        <v>N/T</v>
      </c>
      <c r="E706" s="107" t="str">
        <f t="shared" si="36"/>
        <v/>
      </c>
      <c r="G706" s="19"/>
      <c r="H706" s="19"/>
      <c r="I706" s="19"/>
      <c r="J706" s="19"/>
      <c r="K706" s="228"/>
      <c r="L706" s="19"/>
      <c r="M706" s="19"/>
      <c r="N706" s="19"/>
      <c r="O706" s="19"/>
      <c r="P706" s="19"/>
      <c r="Q706" s="19"/>
      <c r="R706" s="19"/>
      <c r="S706" s="19"/>
      <c r="T706" s="19"/>
      <c r="U706" s="19"/>
      <c r="V706" s="19"/>
      <c r="W706" s="19"/>
      <c r="X706" s="19"/>
      <c r="Y706" s="19"/>
    </row>
    <row r="707" spans="1:25" ht="12" customHeight="1">
      <c r="A707" s="219" t="n" cm="1">
        <f t="array" ref="A707">IFERROR(INDEX('03.Muestra'!$B$8:$B$42,SMALL(IF("Página Web"='03.Muestra'!$D$8:$D$42,ROW('03.Muestra'!$B$8:$B$42)-MIN(ROW('03.Muestra'!$D$8:$D$42))+1,""),ROW()-702)),"")</f>
        <v>1.0</v>
      </c>
      <c r="B707" s="114" t="str" cm="1">
        <f t="array" ref="B707">IFERROR(INDEX('03.Muestra'!$C$8:$C$42,SMALL(IF("Página Web"='03.Muestra'!$D$8:$D$42,ROW('03.Muestra'!$C$8:$C$42)-MIN(ROW('03.Muestra'!$D$8:$D$42))+1,""),ROW()-702)),"")</f>
        <v>Home - PortCastelló</v>
      </c>
      <c r="C707" s="114" t="str" cm="1">
        <f t="array" ref="C707">IFERROR(INDEX('03.Muestra'!$F$8:$F$42,SMALL(IF("Página Web"='03.Muestra'!$D$8:$D$42,ROW('03.Muestra'!$F$8:$F$42)-MIN(ROW('03.Muestra'!$D$8:$D$42))+1,""),ROW()-702)),"")</f>
        <v>https://www.portcastello.com/</v>
      </c>
      <c r="D707" s="130" t="str">
        <f t="shared" si="37"/>
        <v>N/T</v>
      </c>
      <c r="E707" s="107" t="str">
        <f t="shared" si="36"/>
        <v/>
      </c>
      <c r="G707" s="19"/>
      <c r="H707" s="19"/>
      <c r="I707" s="19"/>
      <c r="J707" s="19"/>
      <c r="K707" s="228"/>
      <c r="L707" s="19"/>
      <c r="M707" s="19"/>
      <c r="N707" s="19"/>
      <c r="O707" s="19"/>
      <c r="P707" s="19"/>
      <c r="Q707" s="19"/>
      <c r="R707" s="19"/>
      <c r="S707" s="19"/>
      <c r="T707" s="19"/>
      <c r="U707" s="19"/>
      <c r="V707" s="19"/>
      <c r="W707" s="19"/>
      <c r="X707" s="19"/>
      <c r="Y707" s="19"/>
    </row>
    <row r="708" spans="1:25" ht="12" customHeight="1">
      <c r="A708" s="219" t="n" cm="1">
        <f t="array" ref="A708">IFERROR(INDEX('03.Muestra'!$B$8:$B$42,SMALL(IF("Página Web"='03.Muestra'!$D$8:$D$42,ROW('03.Muestra'!$B$8:$B$42)-MIN(ROW('03.Muestra'!$D$8:$D$42))+1,""),ROW()-702)),"")</f>
        <v>1.0</v>
      </c>
      <c r="B708" s="114" t="str" cm="1">
        <f t="array" ref="B708">IFERROR(INDEX('03.Muestra'!$C$8:$C$42,SMALL(IF("Página Web"='03.Muestra'!$D$8:$D$42,ROW('03.Muestra'!$C$8:$C$42)-MIN(ROW('03.Muestra'!$D$8:$D$42))+1,""),ROW()-702)),"")</f>
        <v>Home - PortCastelló</v>
      </c>
      <c r="C708" s="114" t="str" cm="1">
        <f t="array" ref="C708">IFERROR(INDEX('03.Muestra'!$F$8:$F$42,SMALL(IF("Página Web"='03.Muestra'!$D$8:$D$42,ROW('03.Muestra'!$F$8:$F$42)-MIN(ROW('03.Muestra'!$D$8:$D$42))+1,""),ROW()-702)),"")</f>
        <v>https://www.portcastello.com/</v>
      </c>
      <c r="D708" s="130" t="str">
        <f t="shared" si="37"/>
        <v>N/T</v>
      </c>
      <c r="E708" s="107" t="str">
        <f t="shared" si="36"/>
        <v/>
      </c>
      <c r="G708" s="19"/>
      <c r="H708" s="19"/>
      <c r="I708" s="19"/>
      <c r="J708" s="19"/>
      <c r="K708" s="228"/>
      <c r="L708" s="19"/>
      <c r="M708" s="19"/>
      <c r="N708" s="19"/>
      <c r="O708" s="19"/>
      <c r="P708" s="19"/>
      <c r="Q708" s="19"/>
      <c r="R708" s="19"/>
      <c r="S708" s="19"/>
      <c r="T708" s="19"/>
      <c r="U708" s="19"/>
      <c r="V708" s="19"/>
      <c r="W708" s="19"/>
      <c r="X708" s="19"/>
      <c r="Y708" s="19"/>
    </row>
    <row r="709" spans="1:25" ht="12" customHeight="1">
      <c r="A709" s="219" t="n" cm="1">
        <f t="array" ref="A709">IFERROR(INDEX('03.Muestra'!$B$8:$B$42,SMALL(IF("Página Web"='03.Muestra'!$D$8:$D$42,ROW('03.Muestra'!$B$8:$B$42)-MIN(ROW('03.Muestra'!$D$8:$D$42))+1,""),ROW()-702)),"")</f>
        <v>1.0</v>
      </c>
      <c r="B709" s="114" t="str" cm="1">
        <f t="array" ref="B709">IFERROR(INDEX('03.Muestra'!$C$8:$C$42,SMALL(IF("Página Web"='03.Muestra'!$D$8:$D$42,ROW('03.Muestra'!$C$8:$C$42)-MIN(ROW('03.Muestra'!$D$8:$D$42))+1,""),ROW()-702)),"")</f>
        <v>Home - PortCastelló</v>
      </c>
      <c r="C709" s="114" t="str" cm="1">
        <f t="array" ref="C709">IFERROR(INDEX('03.Muestra'!$F$8:$F$42,SMALL(IF("Página Web"='03.Muestra'!$D$8:$D$42,ROW('03.Muestra'!$F$8:$F$42)-MIN(ROW('03.Muestra'!$D$8:$D$42))+1,""),ROW()-702)),"")</f>
        <v>https://www.portcastello.com/</v>
      </c>
      <c r="D709" s="130" t="str">
        <f t="shared" si="37"/>
        <v>N/T</v>
      </c>
      <c r="E709" s="107" t="str">
        <f t="shared" si="36"/>
        <v/>
      </c>
      <c r="F709" s="19"/>
      <c r="G709" s="19"/>
      <c r="H709" s="19"/>
      <c r="I709" s="19"/>
      <c r="J709" s="19"/>
      <c r="K709" s="228"/>
      <c r="L709" s="19"/>
      <c r="M709" s="19"/>
      <c r="N709" s="19"/>
      <c r="O709" s="19"/>
      <c r="P709" s="19"/>
      <c r="Q709" s="19"/>
      <c r="R709" s="19"/>
      <c r="S709" s="19"/>
      <c r="T709" s="19"/>
      <c r="U709" s="19"/>
      <c r="V709" s="19"/>
      <c r="W709" s="19"/>
      <c r="X709" s="19"/>
      <c r="Y709" s="19"/>
    </row>
    <row r="710" spans="1:25" ht="12" customHeight="1">
      <c r="A710" s="219" t="n" cm="1">
        <f t="array" ref="A710">IFERROR(INDEX('03.Muestra'!$B$8:$B$42,SMALL(IF("Página Web"='03.Muestra'!$D$8:$D$42,ROW('03.Muestra'!$B$8:$B$42)-MIN(ROW('03.Muestra'!$D$8:$D$42))+1,""),ROW()-702)),"")</f>
        <v>1.0</v>
      </c>
      <c r="B710" s="114" t="str" cm="1">
        <f t="array" ref="B710">IFERROR(INDEX('03.Muestra'!$C$8:$C$42,SMALL(IF("Página Web"='03.Muestra'!$D$8:$D$42,ROW('03.Muestra'!$C$8:$C$42)-MIN(ROW('03.Muestra'!$D$8:$D$42))+1,""),ROW()-702)),"")</f>
        <v>Home - PortCastelló</v>
      </c>
      <c r="C710" s="114" t="str" cm="1">
        <f t="array" ref="C710">IFERROR(INDEX('03.Muestra'!$F$8:$F$42,SMALL(IF("Página Web"='03.Muestra'!$D$8:$D$42,ROW('03.Muestra'!$F$8:$F$42)-MIN(ROW('03.Muestra'!$D$8:$D$42))+1,""),ROW()-702)),"")</f>
        <v>https://www.portcastello.com/</v>
      </c>
      <c r="D710" s="130" t="str">
        <f t="shared" si="37"/>
        <v>N/T</v>
      </c>
      <c r="E710" s="107" t="str">
        <f t="shared" si="36"/>
        <v/>
      </c>
      <c r="F710" s="19"/>
      <c r="G710" s="19"/>
      <c r="H710" s="19"/>
      <c r="I710" s="19"/>
      <c r="J710" s="19"/>
      <c r="K710" s="228"/>
      <c r="L710" s="19"/>
      <c r="M710" s="19"/>
      <c r="N710" s="19"/>
      <c r="O710" s="19"/>
      <c r="P710" s="19"/>
      <c r="Q710" s="19"/>
      <c r="R710" s="19"/>
      <c r="S710" s="19"/>
      <c r="T710" s="19"/>
      <c r="U710" s="19"/>
      <c r="V710" s="19"/>
      <c r="W710" s="19"/>
      <c r="X710" s="19"/>
      <c r="Y710" s="19"/>
    </row>
    <row r="711" spans="1:25" ht="12" customHeight="1">
      <c r="A711" s="219" t="n" cm="1">
        <f t="array" ref="A711">IFERROR(INDEX('03.Muestra'!$B$8:$B$42,SMALL(IF("Página Web"='03.Muestra'!$D$8:$D$42,ROW('03.Muestra'!$B$8:$B$42)-MIN(ROW('03.Muestra'!$D$8:$D$42))+1,""),ROW()-702)),"")</f>
        <v>1.0</v>
      </c>
      <c r="B711" s="114" t="str" cm="1">
        <f t="array" ref="B711">IFERROR(INDEX('03.Muestra'!$C$8:$C$42,SMALL(IF("Página Web"='03.Muestra'!$D$8:$D$42,ROW('03.Muestra'!$C$8:$C$42)-MIN(ROW('03.Muestra'!$D$8:$D$42))+1,""),ROW()-702)),"")</f>
        <v>Home - PortCastelló</v>
      </c>
      <c r="C711" s="114" t="str" cm="1">
        <f t="array" ref="C711">IFERROR(INDEX('03.Muestra'!$F$8:$F$42,SMALL(IF("Página Web"='03.Muestra'!$D$8:$D$42,ROW('03.Muestra'!$F$8:$F$42)-MIN(ROW('03.Muestra'!$D$8:$D$42))+1,""),ROW()-702)),"")</f>
        <v>https://www.portcastello.com/</v>
      </c>
      <c r="D711" s="130" t="str">
        <f t="shared" si="37"/>
        <v>N/T</v>
      </c>
      <c r="E711" s="107" t="str">
        <f t="shared" si="36"/>
        <v/>
      </c>
      <c r="F711" s="19"/>
      <c r="G711" s="19"/>
      <c r="H711" s="19"/>
      <c r="I711" s="19"/>
      <c r="J711" s="19"/>
      <c r="K711" s="228"/>
      <c r="L711" s="19"/>
      <c r="M711" s="19"/>
      <c r="N711" s="19"/>
      <c r="O711" s="19"/>
      <c r="P711" s="19"/>
      <c r="Q711" s="19"/>
      <c r="R711" s="19"/>
      <c r="S711" s="19"/>
      <c r="T711" s="19"/>
      <c r="U711" s="19"/>
      <c r="V711" s="19"/>
      <c r="W711" s="19"/>
      <c r="X711" s="19"/>
      <c r="Y711" s="19"/>
    </row>
    <row r="712" spans="1:25" ht="12" customHeight="1">
      <c r="A712" s="219" t="n" cm="1">
        <f t="array" ref="A712">IFERROR(INDEX('03.Muestra'!$B$8:$B$42,SMALL(IF("Página Web"='03.Muestra'!$D$8:$D$42,ROW('03.Muestra'!$B$8:$B$42)-MIN(ROW('03.Muestra'!$D$8:$D$42))+1,""),ROW()-702)),"")</f>
        <v>1.0</v>
      </c>
      <c r="B712" s="114" t="str" cm="1">
        <f t="array" ref="B712">IFERROR(INDEX('03.Muestra'!$C$8:$C$42,SMALL(IF("Página Web"='03.Muestra'!$D$8:$D$42,ROW('03.Muestra'!$C$8:$C$42)-MIN(ROW('03.Muestra'!$D$8:$D$42))+1,""),ROW()-702)),"")</f>
        <v>Home - PortCastelló</v>
      </c>
      <c r="C712" s="114" t="str" cm="1">
        <f t="array" ref="C712">IFERROR(INDEX('03.Muestra'!$F$8:$F$42,SMALL(IF("Página Web"='03.Muestra'!$D$8:$D$42,ROW('03.Muestra'!$F$8:$F$42)-MIN(ROW('03.Muestra'!$D$8:$D$42))+1,""),ROW()-702)),"")</f>
        <v>https://www.portcastello.com/</v>
      </c>
      <c r="D712" s="130" t="str">
        <f t="shared" si="37"/>
        <v>N/T</v>
      </c>
      <c r="E712" s="107" t="str">
        <f t="shared" si="36"/>
        <v/>
      </c>
      <c r="F712" s="19"/>
      <c r="G712" s="19"/>
      <c r="H712" s="19"/>
      <c r="I712" s="19"/>
      <c r="J712" s="19"/>
      <c r="K712" s="228"/>
      <c r="L712" s="19"/>
      <c r="M712" s="19"/>
      <c r="N712" s="19"/>
      <c r="O712" s="19"/>
      <c r="P712" s="19"/>
      <c r="Q712" s="19"/>
      <c r="R712" s="19"/>
      <c r="S712" s="19"/>
      <c r="T712" s="19"/>
      <c r="U712" s="19"/>
      <c r="V712" s="19"/>
      <c r="W712" s="19"/>
      <c r="X712" s="19"/>
      <c r="Y712" s="19"/>
    </row>
    <row r="713" spans="1:25" ht="12" customHeight="1">
      <c r="A713" s="219" t="n" cm="1">
        <f t="array" ref="A713">IFERROR(INDEX('03.Muestra'!$B$8:$B$42,SMALL(IF("Página Web"='03.Muestra'!$D$8:$D$42,ROW('03.Muestra'!$B$8:$B$42)-MIN(ROW('03.Muestra'!$D$8:$D$42))+1,""),ROW()-702)),"")</f>
        <v>1.0</v>
      </c>
      <c r="B713" s="114" t="str" cm="1">
        <f t="array" ref="B713">IFERROR(INDEX('03.Muestra'!$C$8:$C$42,SMALL(IF("Página Web"='03.Muestra'!$D$8:$D$42,ROW('03.Muestra'!$C$8:$C$42)-MIN(ROW('03.Muestra'!$D$8:$D$42))+1,""),ROW()-702)),"")</f>
        <v>Home - PortCastelló</v>
      </c>
      <c r="C713" s="114" t="str" cm="1">
        <f t="array" ref="C713">IFERROR(INDEX('03.Muestra'!$F$8:$F$42,SMALL(IF("Página Web"='03.Muestra'!$D$8:$D$42,ROW('03.Muestra'!$F$8:$F$42)-MIN(ROW('03.Muestra'!$D$8:$D$42))+1,""),ROW()-702)),"")</f>
        <v>https://www.portcastello.com/</v>
      </c>
      <c r="D713" s="130" t="str">
        <f t="shared" si="37"/>
        <v>N/T</v>
      </c>
      <c r="E713" s="107" t="str">
        <f t="shared" si="36"/>
        <v/>
      </c>
      <c r="F713" s="19"/>
      <c r="G713" s="19"/>
      <c r="H713" s="19"/>
      <c r="I713" s="19"/>
      <c r="J713" s="19"/>
      <c r="K713" s="228"/>
      <c r="L713" s="19"/>
      <c r="M713" s="19"/>
      <c r="N713" s="19"/>
      <c r="O713" s="19"/>
      <c r="P713" s="19"/>
      <c r="Q713" s="19"/>
      <c r="R713" s="19"/>
      <c r="S713" s="19"/>
      <c r="T713" s="19"/>
      <c r="U713" s="19"/>
      <c r="V713" s="19"/>
      <c r="W713" s="19"/>
      <c r="X713" s="19"/>
      <c r="Y713" s="19"/>
    </row>
    <row r="714" spans="1:25" ht="12" customHeight="1">
      <c r="A714" s="219" t="n" cm="1">
        <f t="array" ref="A714">IFERROR(INDEX('03.Muestra'!$B$8:$B$42,SMALL(IF("Página Web"='03.Muestra'!$D$8:$D$42,ROW('03.Muestra'!$B$8:$B$42)-MIN(ROW('03.Muestra'!$D$8:$D$42))+1,""),ROW()-702)),"")</f>
        <v>1.0</v>
      </c>
      <c r="B714" s="114" t="str" cm="1">
        <f t="array" ref="B714">IFERROR(INDEX('03.Muestra'!$C$8:$C$42,SMALL(IF("Página Web"='03.Muestra'!$D$8:$D$42,ROW('03.Muestra'!$C$8:$C$42)-MIN(ROW('03.Muestra'!$D$8:$D$42))+1,""),ROW()-702)),"")</f>
        <v>Home - PortCastelló</v>
      </c>
      <c r="C714" s="114" t="str" cm="1">
        <f t="array" ref="C714">IFERROR(INDEX('03.Muestra'!$F$8:$F$42,SMALL(IF("Página Web"='03.Muestra'!$D$8:$D$42,ROW('03.Muestra'!$F$8:$F$42)-MIN(ROW('03.Muestra'!$D$8:$D$42))+1,""),ROW()-702)),"")</f>
        <v>https://www.portcastello.com/</v>
      </c>
      <c r="D714" s="130" t="str">
        <f t="shared" si="37"/>
        <v>N/T</v>
      </c>
      <c r="E714" s="107" t="str">
        <f t="shared" si="36"/>
        <v/>
      </c>
      <c r="F714" s="19"/>
      <c r="G714" s="19"/>
      <c r="H714" s="19"/>
      <c r="I714" s="19"/>
      <c r="J714" s="19"/>
      <c r="K714" s="228"/>
      <c r="L714" s="19"/>
      <c r="M714" s="19"/>
      <c r="N714" s="19"/>
      <c r="O714" s="19"/>
      <c r="P714" s="19"/>
      <c r="Q714" s="19"/>
      <c r="R714" s="19"/>
      <c r="S714" s="19"/>
      <c r="T714" s="19"/>
      <c r="U714" s="19"/>
      <c r="V714" s="19"/>
      <c r="W714" s="19"/>
      <c r="X714" s="19"/>
      <c r="Y714" s="19"/>
    </row>
    <row r="715" spans="1:25" ht="14.1" customHeight="1">
      <c r="A715" s="219" t="n" cm="1">
        <f t="array" ref="A715">IFERROR(INDEX('03.Muestra'!$B$8:$B$42,SMALL(IF("Página Web"='03.Muestra'!$D$8:$D$42,ROW('03.Muestra'!$B$8:$B$42)-MIN(ROW('03.Muestra'!$D$8:$D$42))+1,""),ROW()-702)),"")</f>
        <v>1.0</v>
      </c>
      <c r="B715" s="114" t="str" cm="1">
        <f t="array" ref="B715">IFERROR(INDEX('03.Muestra'!$C$8:$C$42,SMALL(IF("Página Web"='03.Muestra'!$D$8:$D$42,ROW('03.Muestra'!$C$8:$C$42)-MIN(ROW('03.Muestra'!$D$8:$D$42))+1,""),ROW()-702)),"")</f>
        <v>Home - PortCastelló</v>
      </c>
      <c r="C715" s="114" t="str" cm="1">
        <f t="array" ref="C715">IFERROR(INDEX('03.Muestra'!$F$8:$F$42,SMALL(IF("Página Web"='03.Muestra'!$D$8:$D$42,ROW('03.Muestra'!$F$8:$F$42)-MIN(ROW('03.Muestra'!$D$8:$D$42))+1,""),ROW()-702)),"")</f>
        <v>https://www.portcastello.com/</v>
      </c>
      <c r="D715" s="130" t="str">
        <f t="shared" si="37"/>
        <v>N/T</v>
      </c>
      <c r="E715" s="107" t="str">
        <f t="shared" si="36"/>
        <v/>
      </c>
      <c r="F715" s="19"/>
      <c r="G715" s="19"/>
      <c r="H715" s="19"/>
      <c r="I715" s="19"/>
      <c r="J715" s="19"/>
      <c r="K715" s="228"/>
      <c r="L715" s="19"/>
      <c r="M715" s="19"/>
      <c r="N715" s="19"/>
      <c r="O715" s="19"/>
      <c r="P715" s="19"/>
      <c r="Q715" s="19"/>
      <c r="R715" s="19"/>
      <c r="S715" s="19"/>
      <c r="T715" s="19"/>
      <c r="U715" s="19"/>
      <c r="V715" s="19"/>
      <c r="W715" s="19"/>
      <c r="X715" s="19"/>
      <c r="Y715" s="19"/>
    </row>
    <row r="716" spans="1:25" ht="14.1" customHeight="1">
      <c r="A716" s="219" t="n" cm="1">
        <f t="array" ref="A716">IFERROR(INDEX('03.Muestra'!$B$8:$B$42,SMALL(IF("Página Web"='03.Muestra'!$D$8:$D$42,ROW('03.Muestra'!$B$8:$B$42)-MIN(ROW('03.Muestra'!$D$8:$D$42))+1,""),ROW()-702)),"")</f>
        <v>1.0</v>
      </c>
      <c r="B716" s="114" t="str" cm="1">
        <f t="array" ref="B716">IFERROR(INDEX('03.Muestra'!$C$8:$C$42,SMALL(IF("Página Web"='03.Muestra'!$D$8:$D$42,ROW('03.Muestra'!$C$8:$C$42)-MIN(ROW('03.Muestra'!$D$8:$D$42))+1,""),ROW()-702)),"")</f>
        <v>Home - PortCastelló</v>
      </c>
      <c r="C716" s="114" t="str" cm="1">
        <f t="array" ref="C716">IFERROR(INDEX('03.Muestra'!$F$8:$F$42,SMALL(IF("Página Web"='03.Muestra'!$D$8:$D$42,ROW('03.Muestra'!$F$8:$F$42)-MIN(ROW('03.Muestra'!$D$8:$D$42))+1,""),ROW()-702)),"")</f>
        <v>https://www.portcastello.com/</v>
      </c>
      <c r="D716" s="130" t="str">
        <f t="shared" si="37"/>
        <v>N/T</v>
      </c>
      <c r="E716" s="107" t="str">
        <f t="shared" si="36"/>
        <v/>
      </c>
      <c r="F716" s="19"/>
      <c r="G716" s="19"/>
      <c r="H716" s="19"/>
      <c r="I716" s="19"/>
      <c r="J716" s="19"/>
      <c r="K716" s="228"/>
      <c r="L716" s="19"/>
      <c r="M716" s="19"/>
      <c r="N716" s="19"/>
      <c r="O716" s="19"/>
      <c r="P716" s="19"/>
      <c r="Q716" s="19"/>
      <c r="R716" s="19"/>
      <c r="S716" s="19"/>
      <c r="T716" s="19"/>
      <c r="U716" s="19"/>
      <c r="V716" s="19"/>
      <c r="W716" s="19"/>
      <c r="X716" s="19"/>
      <c r="Y716" s="19"/>
    </row>
    <row r="717" spans="1:25" ht="14.1" customHeight="1">
      <c r="A717" s="219" t="n" cm="1">
        <f t="array" ref="A717">IFERROR(INDEX('03.Muestra'!$B$8:$B$42,SMALL(IF("Página Web"='03.Muestra'!$D$8:$D$42,ROW('03.Muestra'!$B$8:$B$42)-MIN(ROW('03.Muestra'!$D$8:$D$42))+1,""),ROW()-702)),"")</f>
        <v>1.0</v>
      </c>
      <c r="B717" s="114" t="str" cm="1">
        <f t="array" ref="B717">IFERROR(INDEX('03.Muestra'!$C$8:$C$42,SMALL(IF("Página Web"='03.Muestra'!$D$8:$D$42,ROW('03.Muestra'!$C$8:$C$42)-MIN(ROW('03.Muestra'!$D$8:$D$42))+1,""),ROW()-702)),"")</f>
        <v>Home - PortCastelló</v>
      </c>
      <c r="C717" s="114" t="str" cm="1">
        <f t="array" ref="C717">IFERROR(INDEX('03.Muestra'!$F$8:$F$42,SMALL(IF("Página Web"='03.Muestra'!$D$8:$D$42,ROW('03.Muestra'!$F$8:$F$42)-MIN(ROW('03.Muestra'!$D$8:$D$42))+1,""),ROW()-702)),"")</f>
        <v>https://www.portcastello.com/</v>
      </c>
      <c r="D717" s="130" t="str">
        <f t="shared" si="37"/>
        <v>N/T</v>
      </c>
      <c r="E717" s="107" t="str">
        <f t="shared" si="36"/>
        <v/>
      </c>
      <c r="F717" s="19"/>
      <c r="G717" s="19"/>
      <c r="H717" s="19"/>
      <c r="I717" s="19"/>
      <c r="J717" s="19"/>
      <c r="K717" s="228"/>
      <c r="L717" s="19"/>
      <c r="M717" s="19"/>
      <c r="N717" s="19"/>
      <c r="O717" s="19"/>
      <c r="P717" s="19"/>
      <c r="Q717" s="19"/>
      <c r="R717" s="19"/>
      <c r="S717" s="19"/>
      <c r="T717" s="19"/>
      <c r="U717" s="19"/>
      <c r="V717" s="19"/>
      <c r="W717" s="19"/>
      <c r="X717" s="19"/>
      <c r="Y717" s="19"/>
    </row>
    <row r="718" spans="1:25" ht="14.1" customHeight="1">
      <c r="A718" s="219" t="n" cm="1">
        <f t="array" ref="A718">IFERROR(INDEX('03.Muestra'!$B$8:$B$42,SMALL(IF("Página Web"='03.Muestra'!$D$8:$D$42,ROW('03.Muestra'!$B$8:$B$42)-MIN(ROW('03.Muestra'!$D$8:$D$42))+1,""),ROW()-702)),"")</f>
        <v>1.0</v>
      </c>
      <c r="B718" s="114" t="str" cm="1">
        <f t="array" ref="B718">IFERROR(INDEX('03.Muestra'!$C$8:$C$42,SMALL(IF("Página Web"='03.Muestra'!$D$8:$D$42,ROW('03.Muestra'!$C$8:$C$42)-MIN(ROW('03.Muestra'!$D$8:$D$42))+1,""),ROW()-702)),"")</f>
        <v>Home - PortCastelló</v>
      </c>
      <c r="C718" s="114" t="str" cm="1">
        <f t="array" ref="C718">IFERROR(INDEX('03.Muestra'!$F$8:$F$42,SMALL(IF("Página Web"='03.Muestra'!$D$8:$D$42,ROW('03.Muestra'!$F$8:$F$42)-MIN(ROW('03.Muestra'!$D$8:$D$42))+1,""),ROW()-702)),"")</f>
        <v>https://www.portcastello.com/</v>
      </c>
      <c r="D718" s="130" t="str">
        <f t="shared" si="37"/>
        <v>N/T</v>
      </c>
      <c r="E718" s="107" t="str">
        <f t="shared" si="36"/>
        <v/>
      </c>
      <c r="F718" s="19"/>
      <c r="G718" s="19"/>
      <c r="H718" s="19"/>
      <c r="I718" s="19"/>
      <c r="J718" s="19"/>
      <c r="K718" s="228"/>
      <c r="L718" s="19"/>
      <c r="M718" s="19"/>
      <c r="N718" s="19"/>
      <c r="O718" s="19"/>
      <c r="P718" s="19"/>
      <c r="Q718" s="19"/>
      <c r="R718" s="19"/>
      <c r="S718" s="19"/>
      <c r="T718" s="19"/>
      <c r="U718" s="19"/>
      <c r="V718" s="19"/>
      <c r="W718" s="19"/>
      <c r="X718" s="19"/>
      <c r="Y718" s="19"/>
    </row>
    <row r="719" spans="1:25" ht="14.1" customHeight="1">
      <c r="A719" s="219" t="n" cm="1">
        <f t="array" ref="A719">IFERROR(INDEX('03.Muestra'!$B$8:$B$42,SMALL(IF("Página Web"='03.Muestra'!$D$8:$D$42,ROW('03.Muestra'!$B$8:$B$42)-MIN(ROW('03.Muestra'!$D$8:$D$42))+1,""),ROW()-702)),"")</f>
        <v>1.0</v>
      </c>
      <c r="B719" s="114" t="str" cm="1">
        <f t="array" ref="B719">IFERROR(INDEX('03.Muestra'!$C$8:$C$42,SMALL(IF("Página Web"='03.Muestra'!$D$8:$D$42,ROW('03.Muestra'!$C$8:$C$42)-MIN(ROW('03.Muestra'!$D$8:$D$42))+1,""),ROW()-702)),"")</f>
        <v>Home - PortCastelló</v>
      </c>
      <c r="C719" s="114" t="str" cm="1">
        <f t="array" ref="C719">IFERROR(INDEX('03.Muestra'!$F$8:$F$42,SMALL(IF("Página Web"='03.Muestra'!$D$8:$D$42,ROW('03.Muestra'!$F$8:$F$42)-MIN(ROW('03.Muestra'!$D$8:$D$42))+1,""),ROW()-702)),"")</f>
        <v>https://www.portcastello.com/</v>
      </c>
      <c r="D719" s="130" t="str">
        <f t="shared" si="37"/>
        <v>N/T</v>
      </c>
      <c r="E719" s="107" t="str">
        <f t="shared" si="36"/>
        <v/>
      </c>
      <c r="F719" s="19"/>
      <c r="G719" s="19"/>
      <c r="H719" s="19"/>
      <c r="I719" s="19"/>
      <c r="J719" s="19"/>
      <c r="K719" s="228"/>
      <c r="L719" s="19"/>
      <c r="M719" s="19"/>
      <c r="N719" s="19"/>
      <c r="O719" s="19"/>
      <c r="P719" s="19"/>
      <c r="Q719" s="19"/>
      <c r="R719" s="19"/>
      <c r="S719" s="19"/>
      <c r="T719" s="19"/>
      <c r="U719" s="19"/>
      <c r="V719" s="19"/>
      <c r="W719" s="19"/>
      <c r="X719" s="19"/>
      <c r="Y719" s="19"/>
    </row>
    <row r="720" spans="1:25" ht="14.1" customHeight="1">
      <c r="A720" s="219" t="n" cm="1">
        <f t="array" ref="A720">IFERROR(INDEX('03.Muestra'!$B$8:$B$42,SMALL(IF("Página Web"='03.Muestra'!$D$8:$D$42,ROW('03.Muestra'!$B$8:$B$42)-MIN(ROW('03.Muestra'!$D$8:$D$42))+1,""),ROW()-702)),"")</f>
        <v>1.0</v>
      </c>
      <c r="B720" s="114" t="str" cm="1">
        <f t="array" ref="B720">IFERROR(INDEX('03.Muestra'!$C$8:$C$42,SMALL(IF("Página Web"='03.Muestra'!$D$8:$D$42,ROW('03.Muestra'!$C$8:$C$42)-MIN(ROW('03.Muestra'!$D$8:$D$42))+1,""),ROW()-702)),"")</f>
        <v>Home - PortCastelló</v>
      </c>
      <c r="C720" s="114" t="str" cm="1">
        <f t="array" ref="C720">IFERROR(INDEX('03.Muestra'!$F$8:$F$42,SMALL(IF("Página Web"='03.Muestra'!$D$8:$D$42,ROW('03.Muestra'!$F$8:$F$42)-MIN(ROW('03.Muestra'!$D$8:$D$42))+1,""),ROW()-702)),"")</f>
        <v>https://www.portcastello.com/</v>
      </c>
      <c r="D720" s="130" t="str">
        <f t="shared" si="37"/>
        <v>N/T</v>
      </c>
      <c r="E720" s="107" t="str">
        <f t="shared" si="36"/>
        <v/>
      </c>
      <c r="F720" s="19"/>
      <c r="G720" s="19"/>
      <c r="H720" s="19"/>
      <c r="I720" s="19"/>
      <c r="J720" s="19"/>
      <c r="K720" s="228"/>
      <c r="L720" s="19"/>
      <c r="M720" s="19"/>
      <c r="N720" s="19"/>
      <c r="O720" s="19"/>
      <c r="P720" s="19"/>
      <c r="Q720" s="19"/>
      <c r="R720" s="19"/>
      <c r="S720" s="19"/>
      <c r="T720" s="19"/>
      <c r="U720" s="19"/>
      <c r="V720" s="19"/>
      <c r="W720" s="19"/>
      <c r="X720" s="19"/>
      <c r="Y720" s="19"/>
    </row>
    <row r="721" spans="1:25" ht="14.1" customHeight="1">
      <c r="A721" s="219" t="n" cm="1">
        <f t="array" ref="A721">IFERROR(INDEX('03.Muestra'!$B$8:$B$42,SMALL(IF("Página Web"='03.Muestra'!$D$8:$D$42,ROW('03.Muestra'!$B$8:$B$42)-MIN(ROW('03.Muestra'!$D$8:$D$42))+1,""),ROW()-702)),"")</f>
        <v>1.0</v>
      </c>
      <c r="B721" s="114" t="str" cm="1">
        <f t="array" ref="B721">IFERROR(INDEX('03.Muestra'!$C$8:$C$42,SMALL(IF("Página Web"='03.Muestra'!$D$8:$D$42,ROW('03.Muestra'!$C$8:$C$42)-MIN(ROW('03.Muestra'!$D$8:$D$42))+1,""),ROW()-702)),"")</f>
        <v>Home - PortCastelló</v>
      </c>
      <c r="C721" s="114" t="str" cm="1">
        <f t="array" ref="C721">IFERROR(INDEX('03.Muestra'!$F$8:$F$42,SMALL(IF("Página Web"='03.Muestra'!$D$8:$D$42,ROW('03.Muestra'!$F$8:$F$42)-MIN(ROW('03.Muestra'!$D$8:$D$42))+1,""),ROW()-702)),"")</f>
        <v>https://www.portcastello.com/</v>
      </c>
      <c r="D721" s="130" t="str">
        <f t="shared" si="37"/>
        <v>N/T</v>
      </c>
      <c r="E721" s="107" t="str">
        <f t="shared" si="36"/>
        <v/>
      </c>
      <c r="F721" s="19"/>
      <c r="G721" s="19"/>
      <c r="H721" s="19"/>
      <c r="I721" s="19"/>
      <c r="J721" s="19"/>
      <c r="K721" s="228"/>
      <c r="L721" s="19"/>
      <c r="M721" s="19"/>
      <c r="N721" s="19"/>
      <c r="O721" s="19"/>
      <c r="P721" s="19"/>
      <c r="Q721" s="19"/>
      <c r="R721" s="19"/>
      <c r="S721" s="19"/>
      <c r="T721" s="19"/>
      <c r="U721" s="19"/>
      <c r="V721" s="19"/>
      <c r="W721" s="19"/>
      <c r="X721" s="19"/>
      <c r="Y721" s="19"/>
    </row>
    <row r="722" spans="1:25" ht="14.1" customHeight="1">
      <c r="A722" s="219" t="n" cm="1">
        <f t="array" ref="A722">IFERROR(INDEX('03.Muestra'!$B$8:$B$42,SMALL(IF("Página Web"='03.Muestra'!$D$8:$D$42,ROW('03.Muestra'!$B$8:$B$42)-MIN(ROW('03.Muestra'!$D$8:$D$42))+1,""),ROW()-702)),"")</f>
        <v>1.0</v>
      </c>
      <c r="B722" s="114" t="str" cm="1">
        <f t="array" ref="B722">IFERROR(INDEX('03.Muestra'!$C$8:$C$42,SMALL(IF("Página Web"='03.Muestra'!$D$8:$D$42,ROW('03.Muestra'!$C$8:$C$42)-MIN(ROW('03.Muestra'!$D$8:$D$42))+1,""),ROW()-702)),"")</f>
        <v>Home - PortCastelló</v>
      </c>
      <c r="C722" s="114" t="str" cm="1">
        <f t="array" ref="C722">IFERROR(INDEX('03.Muestra'!$F$8:$F$42,SMALL(IF("Página Web"='03.Muestra'!$D$8:$D$42,ROW('03.Muestra'!$F$8:$F$42)-MIN(ROW('03.Muestra'!$D$8:$D$42))+1,""),ROW()-702)),"")</f>
        <v>https://www.portcastello.com/</v>
      </c>
      <c r="D722" s="130" t="str">
        <f t="shared" si="37"/>
        <v>N/T</v>
      </c>
      <c r="E722" s="107" t="str">
        <f t="shared" si="36"/>
        <v/>
      </c>
      <c r="F722" s="19"/>
      <c r="G722" s="19"/>
      <c r="H722" s="19"/>
      <c r="I722" s="19"/>
      <c r="J722" s="19"/>
      <c r="K722" s="228"/>
      <c r="L722" s="19"/>
      <c r="M722" s="19"/>
      <c r="N722" s="19"/>
      <c r="O722" s="19"/>
      <c r="P722" s="19"/>
      <c r="Q722" s="19"/>
      <c r="R722" s="19"/>
      <c r="S722" s="19"/>
      <c r="T722" s="19"/>
      <c r="U722" s="19"/>
      <c r="V722" s="19"/>
      <c r="W722" s="19"/>
      <c r="X722" s="19"/>
      <c r="Y722" s="19"/>
    </row>
    <row r="723" spans="1:25" ht="14.1" customHeight="1">
      <c r="A723" s="219" t="n" cm="1">
        <f t="array" ref="A723">IFERROR(INDEX('03.Muestra'!$B$8:$B$42,SMALL(IF("Página Web"='03.Muestra'!$D$8:$D$42,ROW('03.Muestra'!$B$8:$B$42)-MIN(ROW('03.Muestra'!$D$8:$D$42))+1,""),ROW()-702)),"")</f>
        <v>1.0</v>
      </c>
      <c r="B723" s="114" t="str" cm="1">
        <f t="array" ref="B723">IFERROR(INDEX('03.Muestra'!$C$8:$C$42,SMALL(IF("Página Web"='03.Muestra'!$D$8:$D$42,ROW('03.Muestra'!$C$8:$C$42)-MIN(ROW('03.Muestra'!$D$8:$D$42))+1,""),ROW()-702)),"")</f>
        <v>Home - PortCastelló</v>
      </c>
      <c r="C723" s="114" t="str" cm="1">
        <f t="array" ref="C723">IFERROR(INDEX('03.Muestra'!$F$8:$F$42,SMALL(IF("Página Web"='03.Muestra'!$D$8:$D$42,ROW('03.Muestra'!$F$8:$F$42)-MIN(ROW('03.Muestra'!$D$8:$D$42))+1,""),ROW()-702)),"")</f>
        <v>https://www.portcastello.com/</v>
      </c>
      <c r="D723" s="130" t="str">
        <f t="shared" si="37"/>
        <v>N/T</v>
      </c>
      <c r="E723" s="107" t="str">
        <f t="shared" si="36"/>
        <v/>
      </c>
      <c r="F723" s="19"/>
      <c r="G723" s="19"/>
      <c r="H723" s="19"/>
      <c r="I723" s="19"/>
      <c r="J723" s="19"/>
      <c r="K723" s="228"/>
      <c r="L723" s="19"/>
      <c r="M723" s="19"/>
      <c r="N723" s="19"/>
      <c r="O723" s="19"/>
      <c r="P723" s="19"/>
      <c r="Q723" s="19"/>
      <c r="R723" s="19"/>
      <c r="S723" s="19"/>
      <c r="T723" s="19"/>
      <c r="U723" s="19"/>
      <c r="V723" s="19"/>
      <c r="W723" s="19"/>
      <c r="X723" s="19"/>
      <c r="Y723" s="19"/>
    </row>
    <row r="724" spans="1:25" ht="14.1" customHeight="1">
      <c r="A724" s="219" t="n" cm="1">
        <f t="array" ref="A724">IFERROR(INDEX('03.Muestra'!$B$8:$B$42,SMALL(IF("Página Web"='03.Muestra'!$D$8:$D$42,ROW('03.Muestra'!$B$8:$B$42)-MIN(ROW('03.Muestra'!$D$8:$D$42))+1,""),ROW()-702)),"")</f>
        <v>1.0</v>
      </c>
      <c r="B724" s="114" t="str" cm="1">
        <f t="array" ref="B724">IFERROR(INDEX('03.Muestra'!$C$8:$C$42,SMALL(IF("Página Web"='03.Muestra'!$D$8:$D$42,ROW('03.Muestra'!$C$8:$C$42)-MIN(ROW('03.Muestra'!$D$8:$D$42))+1,""),ROW()-702)),"")</f>
        <v>Home - PortCastelló</v>
      </c>
      <c r="C724" s="114" t="str" cm="1">
        <f t="array" ref="C724">IFERROR(INDEX('03.Muestra'!$F$8:$F$42,SMALL(IF("Página Web"='03.Muestra'!$D$8:$D$42,ROW('03.Muestra'!$F$8:$F$42)-MIN(ROW('03.Muestra'!$D$8:$D$42))+1,""),ROW()-702)),"")</f>
        <v>https://www.portcastello.com/</v>
      </c>
      <c r="D724" s="130" t="str">
        <f t="shared" si="37"/>
        <v>N/T</v>
      </c>
      <c r="E724" s="107" t="str">
        <f t="shared" si="36"/>
        <v/>
      </c>
      <c r="F724" s="19"/>
      <c r="G724" s="19"/>
      <c r="H724" s="19"/>
      <c r="I724" s="19"/>
      <c r="J724" s="19"/>
      <c r="K724" s="228"/>
      <c r="L724" s="19"/>
      <c r="M724" s="19"/>
      <c r="N724" s="19"/>
      <c r="O724" s="19"/>
      <c r="P724" s="19"/>
      <c r="Q724" s="19"/>
      <c r="R724" s="19"/>
      <c r="S724" s="19"/>
      <c r="T724" s="19"/>
      <c r="U724" s="19"/>
      <c r="V724" s="19"/>
      <c r="W724" s="19"/>
      <c r="X724" s="19"/>
      <c r="Y724" s="19"/>
    </row>
    <row r="725" spans="1:25" ht="14.1" customHeight="1">
      <c r="A725" s="219" t="n" cm="1">
        <f t="array" ref="A725">IFERROR(INDEX('03.Muestra'!$B$8:$B$42,SMALL(IF("Página Web"='03.Muestra'!$D$8:$D$42,ROW('03.Muestra'!$B$8:$B$42)-MIN(ROW('03.Muestra'!$D$8:$D$42))+1,""),ROW()-702)),"")</f>
        <v>1.0</v>
      </c>
      <c r="B725" s="114" t="str" cm="1">
        <f t="array" ref="B725">IFERROR(INDEX('03.Muestra'!$C$8:$C$42,SMALL(IF("Página Web"='03.Muestra'!$D$8:$D$42,ROW('03.Muestra'!$C$8:$C$42)-MIN(ROW('03.Muestra'!$D$8:$D$42))+1,""),ROW()-702)),"")</f>
        <v>Home - PortCastelló</v>
      </c>
      <c r="C725" s="114" t="str" cm="1">
        <f t="array" ref="C725">IFERROR(INDEX('03.Muestra'!$F$8:$F$42,SMALL(IF("Página Web"='03.Muestra'!$D$8:$D$42,ROW('03.Muestra'!$F$8:$F$42)-MIN(ROW('03.Muestra'!$D$8:$D$42))+1,""),ROW()-702)),"")</f>
        <v>https://www.portcastello.com/</v>
      </c>
      <c r="D725" s="130" t="str">
        <f t="shared" si="37"/>
        <v>N/T</v>
      </c>
      <c r="E725" s="107" t="str">
        <f t="shared" si="36"/>
        <v/>
      </c>
      <c r="F725" s="19"/>
      <c r="G725" s="19"/>
      <c r="H725" s="19"/>
      <c r="I725" s="19"/>
      <c r="J725" s="19"/>
      <c r="K725" s="228"/>
      <c r="L725" s="19"/>
      <c r="M725" s="19"/>
      <c r="N725" s="19"/>
      <c r="O725" s="19"/>
      <c r="P725" s="19"/>
      <c r="Q725" s="19"/>
      <c r="R725" s="19"/>
      <c r="S725" s="19"/>
      <c r="T725" s="19"/>
      <c r="U725" s="19"/>
      <c r="V725" s="19"/>
      <c r="W725" s="19"/>
      <c r="X725" s="19"/>
      <c r="Y725" s="19"/>
    </row>
    <row r="726" spans="1:25" ht="12" customHeight="1">
      <c r="A726" s="219" t="n" cm="1">
        <f t="array" ref="A726">IFERROR(INDEX('03.Muestra'!$B$8:$B$42,SMALL(IF("Página Web"='03.Muestra'!$D$8:$D$42,ROW('03.Muestra'!$B$8:$B$42)-MIN(ROW('03.Muestra'!$D$8:$D$42))+1,""),ROW()-702)),"")</f>
        <v>1.0</v>
      </c>
      <c r="B726" s="114" t="str" cm="1">
        <f t="array" ref="B726">IFERROR(INDEX('03.Muestra'!$C$8:$C$42,SMALL(IF("Página Web"='03.Muestra'!$D$8:$D$42,ROW('03.Muestra'!$C$8:$C$42)-MIN(ROW('03.Muestra'!$D$8:$D$42))+1,""),ROW()-702)),"")</f>
        <v>Home - PortCastelló</v>
      </c>
      <c r="C726" s="114" t="str" cm="1">
        <f t="array" ref="C726">IFERROR(INDEX('03.Muestra'!$F$8:$F$42,SMALL(IF("Página Web"='03.Muestra'!$D$8:$D$42,ROW('03.Muestra'!$F$8:$F$42)-MIN(ROW('03.Muestra'!$D$8:$D$42))+1,""),ROW()-702)),"")</f>
        <v>https://www.portcastello.com/</v>
      </c>
      <c r="D726" s="130" t="str">
        <f t="shared" si="37"/>
        <v>N/T</v>
      </c>
      <c r="E726" s="107" t="str">
        <f t="shared" si="36"/>
        <v/>
      </c>
      <c r="F726" s="19"/>
      <c r="G726" s="19"/>
      <c r="H726" s="19"/>
      <c r="I726" s="19"/>
      <c r="J726" s="19"/>
      <c r="K726" s="228"/>
      <c r="L726" s="19"/>
      <c r="M726" s="19"/>
      <c r="N726" s="19"/>
      <c r="O726" s="19"/>
      <c r="P726" s="19"/>
      <c r="Q726" s="19"/>
      <c r="R726" s="19"/>
      <c r="S726" s="19"/>
      <c r="T726" s="19"/>
      <c r="U726" s="19"/>
      <c r="V726" s="19"/>
      <c r="W726" s="19"/>
      <c r="X726" s="19"/>
      <c r="Y726" s="19"/>
    </row>
    <row r="727" spans="1:25" ht="12" customHeight="1">
      <c r="A727" s="219" t="n" cm="1">
        <f t="array" ref="A727">IFERROR(INDEX('03.Muestra'!$B$8:$B$42,SMALL(IF("Página Web"='03.Muestra'!$D$8:$D$42,ROW('03.Muestra'!$B$8:$B$42)-MIN(ROW('03.Muestra'!$D$8:$D$42))+1,""),ROW()-702)),"")</f>
        <v>1.0</v>
      </c>
      <c r="B727" s="114" t="str" cm="1">
        <f t="array" ref="B727">IFERROR(INDEX('03.Muestra'!$C$8:$C$42,SMALL(IF("Página Web"='03.Muestra'!$D$8:$D$42,ROW('03.Muestra'!$C$8:$C$42)-MIN(ROW('03.Muestra'!$D$8:$D$42))+1,""),ROW()-702)),"")</f>
        <v>Home - PortCastelló</v>
      </c>
      <c r="C727" s="114" t="str" cm="1">
        <f t="array" ref="C727">IFERROR(INDEX('03.Muestra'!$F$8:$F$42,SMALL(IF("Página Web"='03.Muestra'!$D$8:$D$42,ROW('03.Muestra'!$F$8:$F$42)-MIN(ROW('03.Muestra'!$D$8:$D$42))+1,""),ROW()-702)),"")</f>
        <v>https://www.portcastello.com/</v>
      </c>
      <c r="D727" s="130" t="str">
        <f t="shared" si="37"/>
        <v>N/T</v>
      </c>
      <c r="E727" s="107" t="str">
        <f t="shared" si="36"/>
        <v/>
      </c>
      <c r="F727" s="19"/>
      <c r="G727" s="19"/>
      <c r="H727" s="19"/>
      <c r="I727" s="19"/>
      <c r="J727" s="19"/>
      <c r="K727" s="228"/>
      <c r="L727" s="19"/>
      <c r="M727" s="19"/>
      <c r="N727" s="19"/>
      <c r="O727" s="19"/>
      <c r="P727" s="19"/>
      <c r="Q727" s="19"/>
      <c r="R727" s="19"/>
      <c r="S727" s="19"/>
      <c r="T727" s="19"/>
      <c r="U727" s="19"/>
      <c r="V727" s="19"/>
      <c r="W727" s="19"/>
      <c r="X727" s="19"/>
      <c r="Y727" s="19"/>
    </row>
    <row r="728" spans="1:25" ht="12" customHeight="1">
      <c r="A728" s="219" t="n" cm="1">
        <f t="array" ref="A728">IFERROR(INDEX('03.Muestra'!$B$8:$B$42,SMALL(IF("Página Web"='03.Muestra'!$D$8:$D$42,ROW('03.Muestra'!$B$8:$B$42)-MIN(ROW('03.Muestra'!$D$8:$D$42))+1,""),ROW()-702)),"")</f>
        <v>1.0</v>
      </c>
      <c r="B728" s="114" t="str" cm="1">
        <f t="array" ref="B728">IFERROR(INDEX('03.Muestra'!$C$8:$C$42,SMALL(IF("Página Web"='03.Muestra'!$D$8:$D$42,ROW('03.Muestra'!$C$8:$C$42)-MIN(ROW('03.Muestra'!$D$8:$D$42))+1,""),ROW()-702)),"")</f>
        <v>Home - PortCastelló</v>
      </c>
      <c r="C728" s="114" t="str" cm="1">
        <f t="array" ref="C728">IFERROR(INDEX('03.Muestra'!$F$8:$F$42,SMALL(IF("Página Web"='03.Muestra'!$D$8:$D$42,ROW('03.Muestra'!$F$8:$F$42)-MIN(ROW('03.Muestra'!$D$8:$D$42))+1,""),ROW()-702)),"")</f>
        <v>https://www.portcastello.com/</v>
      </c>
      <c r="D728" s="130" t="str">
        <f t="shared" si="37"/>
        <v>N/T</v>
      </c>
      <c r="E728" s="107" t="str">
        <f t="shared" si="36"/>
        <v/>
      </c>
      <c r="F728" s="19"/>
      <c r="G728" s="19"/>
      <c r="H728" s="19"/>
      <c r="I728" s="19"/>
      <c r="J728" s="19"/>
      <c r="K728" s="228"/>
      <c r="L728" s="19"/>
      <c r="M728" s="19"/>
      <c r="N728" s="19"/>
      <c r="O728" s="19"/>
      <c r="P728" s="19"/>
      <c r="Q728" s="19"/>
      <c r="R728" s="19"/>
      <c r="S728" s="19"/>
      <c r="T728" s="19"/>
      <c r="U728" s="19"/>
      <c r="V728" s="19"/>
      <c r="W728" s="19"/>
      <c r="X728" s="19"/>
      <c r="Y728" s="19"/>
    </row>
    <row r="729" spans="1:25" ht="12" customHeight="1">
      <c r="A729" s="219" t="n" cm="1">
        <f t="array" ref="A729">IFERROR(INDEX('03.Muestra'!$B$8:$B$42,SMALL(IF("Página Web"='03.Muestra'!$D$8:$D$42,ROW('03.Muestra'!$B$8:$B$42)-MIN(ROW('03.Muestra'!$D$8:$D$42))+1,""),ROW()-702)),"")</f>
        <v>1.0</v>
      </c>
      <c r="B729" s="114" t="str" cm="1">
        <f t="array" ref="B729">IFERROR(INDEX('03.Muestra'!$C$8:$C$42,SMALL(IF("Página Web"='03.Muestra'!$D$8:$D$42,ROW('03.Muestra'!$C$8:$C$42)-MIN(ROW('03.Muestra'!$D$8:$D$42))+1,""),ROW()-702)),"")</f>
        <v>Home - PortCastelló</v>
      </c>
      <c r="C729" s="114" t="str" cm="1">
        <f t="array" ref="C729">IFERROR(INDEX('03.Muestra'!$F$8:$F$42,SMALL(IF("Página Web"='03.Muestra'!$D$8:$D$42,ROW('03.Muestra'!$F$8:$F$42)-MIN(ROW('03.Muestra'!$D$8:$D$42))+1,""),ROW()-702)),"")</f>
        <v>https://www.portcastello.com/</v>
      </c>
      <c r="D729" s="130" t="str">
        <f t="shared" si="37"/>
        <v>N/T</v>
      </c>
      <c r="E729" s="107" t="str">
        <f t="shared" si="36"/>
        <v/>
      </c>
      <c r="F729" s="19"/>
      <c r="G729" s="19"/>
      <c r="H729" s="19"/>
      <c r="I729" s="19"/>
      <c r="J729" s="19"/>
      <c r="K729" s="228"/>
      <c r="L729" s="19"/>
      <c r="M729" s="19"/>
      <c r="N729" s="19"/>
      <c r="O729" s="19"/>
      <c r="P729" s="19"/>
      <c r="Q729" s="19"/>
      <c r="R729" s="19"/>
      <c r="S729" s="19"/>
      <c r="T729" s="19"/>
      <c r="U729" s="19"/>
      <c r="V729" s="19"/>
      <c r="W729" s="19"/>
      <c r="X729" s="19"/>
      <c r="Y729" s="19"/>
    </row>
    <row r="730" spans="1:25" ht="12" customHeight="1">
      <c r="A730" s="219" t="n" cm="1">
        <f t="array" ref="A730">IFERROR(INDEX('03.Muestra'!$B$8:$B$42,SMALL(IF("Página Web"='03.Muestra'!$D$8:$D$42,ROW('03.Muestra'!$B$8:$B$42)-MIN(ROW('03.Muestra'!$D$8:$D$42))+1,""),ROW()-702)),"")</f>
        <v>1.0</v>
      </c>
      <c r="B730" s="114" t="str" cm="1">
        <f t="array" ref="B730">IFERROR(INDEX('03.Muestra'!$C$8:$C$42,SMALL(IF("Página Web"='03.Muestra'!$D$8:$D$42,ROW('03.Muestra'!$C$8:$C$42)-MIN(ROW('03.Muestra'!$D$8:$D$42))+1,""),ROW()-702)),"")</f>
        <v>Home - PortCastelló</v>
      </c>
      <c r="C730" s="114" t="str" cm="1">
        <f t="array" ref="C730">IFERROR(INDEX('03.Muestra'!$F$8:$F$42,SMALL(IF("Página Web"='03.Muestra'!$D$8:$D$42,ROW('03.Muestra'!$F$8:$F$42)-MIN(ROW('03.Muestra'!$D$8:$D$42))+1,""),ROW()-702)),"")</f>
        <v>https://www.portcastello.com/</v>
      </c>
      <c r="D730" s="130" t="str">
        <f t="shared" si="37"/>
        <v>N/T</v>
      </c>
      <c r="E730" s="107" t="str">
        <f t="shared" si="36"/>
        <v/>
      </c>
      <c r="G730" s="19"/>
      <c r="H730" s="19"/>
      <c r="I730" s="19"/>
      <c r="J730" s="19"/>
      <c r="K730" s="228"/>
      <c r="L730" s="19"/>
      <c r="M730" s="19"/>
      <c r="N730" s="19"/>
      <c r="O730" s="19"/>
      <c r="P730" s="19"/>
      <c r="Q730" s="19"/>
      <c r="R730" s="19"/>
      <c r="S730" s="19"/>
      <c r="T730" s="19"/>
      <c r="U730" s="19"/>
      <c r="V730" s="19"/>
      <c r="W730" s="19"/>
      <c r="X730" s="19"/>
      <c r="Y730" s="19"/>
    </row>
    <row r="731" spans="1:25" ht="12" customHeight="1">
      <c r="A731" s="219" t="n" cm="1">
        <f t="array" ref="A731">IFERROR(INDEX('03.Muestra'!$B$8:$B$42,SMALL(IF("Página Web"='03.Muestra'!$D$8:$D$42,ROW('03.Muestra'!$B$8:$B$42)-MIN(ROW('03.Muestra'!$D$8:$D$42))+1,""),ROW()-702)),"")</f>
        <v>1.0</v>
      </c>
      <c r="B731" s="114" t="str" cm="1">
        <f t="array" ref="B731">IFERROR(INDEX('03.Muestra'!$C$8:$C$42,SMALL(IF("Página Web"='03.Muestra'!$D$8:$D$42,ROW('03.Muestra'!$C$8:$C$42)-MIN(ROW('03.Muestra'!$D$8:$D$42))+1,""),ROW()-702)),"")</f>
        <v>Home - PortCastelló</v>
      </c>
      <c r="C731" s="114" t="str" cm="1">
        <f t="array" ref="C731">IFERROR(INDEX('03.Muestra'!$F$8:$F$42,SMALL(IF("Página Web"='03.Muestra'!$D$8:$D$42,ROW('03.Muestra'!$F$8:$F$42)-MIN(ROW('03.Muestra'!$D$8:$D$42))+1,""),ROW()-702)),"")</f>
        <v>https://www.portcastello.com/</v>
      </c>
      <c r="D731" s="130" t="str">
        <f t="shared" si="37"/>
        <v>N/T</v>
      </c>
      <c r="E731" s="107" t="str">
        <f t="shared" si="36"/>
        <v/>
      </c>
      <c r="F731" s="124"/>
      <c r="G731" s="19"/>
      <c r="H731" s="19"/>
      <c r="I731" s="19"/>
      <c r="J731" s="19"/>
      <c r="K731" s="228"/>
      <c r="L731" s="19"/>
      <c r="M731" s="19"/>
      <c r="N731" s="19"/>
      <c r="O731" s="19"/>
      <c r="P731" s="19"/>
      <c r="Q731" s="19"/>
      <c r="R731" s="19"/>
      <c r="S731" s="19"/>
      <c r="T731" s="19"/>
      <c r="U731" s="19"/>
      <c r="V731" s="19"/>
      <c r="W731" s="19"/>
      <c r="X731" s="19"/>
      <c r="Y731" s="19"/>
    </row>
    <row r="732" spans="1:25" ht="12" customHeight="1">
      <c r="A732" s="219" t="n" cm="1">
        <f t="array" ref="A732">IFERROR(INDEX('03.Muestra'!$B$8:$B$42,SMALL(IF("Página Web"='03.Muestra'!$D$8:$D$42,ROW('03.Muestra'!$B$8:$B$42)-MIN(ROW('03.Muestra'!$D$8:$D$42))+1,""),ROW()-702)),"")</f>
        <v>1.0</v>
      </c>
      <c r="B732" s="114" t="str" cm="1">
        <f t="array" ref="B732">IFERROR(INDEX('03.Muestra'!$C$8:$C$42,SMALL(IF("Página Web"='03.Muestra'!$D$8:$D$42,ROW('03.Muestra'!$C$8:$C$42)-MIN(ROW('03.Muestra'!$D$8:$D$42))+1,""),ROW()-702)),"")</f>
        <v>Home - PortCastelló</v>
      </c>
      <c r="C732" s="114" t="str" cm="1">
        <f t="array" ref="C732">IFERROR(INDEX('03.Muestra'!$F$8:$F$42,SMALL(IF("Página Web"='03.Muestra'!$D$8:$D$42,ROW('03.Muestra'!$F$8:$F$42)-MIN(ROW('03.Muestra'!$D$8:$D$42))+1,""),ROW()-702)),"")</f>
        <v>https://www.portcastello.com/</v>
      </c>
      <c r="D732" s="130" t="str">
        <f t="shared" si="37"/>
        <v>N/T</v>
      </c>
      <c r="E732" s="107" t="str">
        <f t="shared" si="36"/>
        <v/>
      </c>
      <c r="F732" s="124"/>
      <c r="G732" s="19"/>
      <c r="H732" s="19"/>
      <c r="I732" s="19"/>
      <c r="J732" s="19"/>
      <c r="K732" s="228"/>
      <c r="L732" s="19"/>
      <c r="M732" s="19"/>
      <c r="N732" s="19"/>
      <c r="O732" s="19"/>
      <c r="P732" s="19"/>
      <c r="Q732" s="19"/>
      <c r="R732" s="19"/>
      <c r="S732" s="19"/>
      <c r="T732" s="19"/>
      <c r="U732" s="19"/>
      <c r="V732" s="19"/>
      <c r="W732" s="19"/>
      <c r="X732" s="19"/>
      <c r="Y732" s="19"/>
    </row>
    <row r="733" spans="1:25" ht="12" customHeight="1">
      <c r="A733" s="219" t="n" cm="1">
        <f t="array" ref="A733">IFERROR(INDEX('03.Muestra'!$B$8:$B$42,SMALL(IF("Página Web"='03.Muestra'!$D$8:$D$42,ROW('03.Muestra'!$B$8:$B$42)-MIN(ROW('03.Muestra'!$D$8:$D$42))+1,""),ROW()-702)),"")</f>
        <v>1.0</v>
      </c>
      <c r="B733" s="114" t="str" cm="1">
        <f t="array" ref="B733">IFERROR(INDEX('03.Muestra'!$C$8:$C$42,SMALL(IF("Página Web"='03.Muestra'!$D$8:$D$42,ROW('03.Muestra'!$C$8:$C$42)-MIN(ROW('03.Muestra'!$D$8:$D$42))+1,""),ROW()-702)),"")</f>
        <v>Home - PortCastelló</v>
      </c>
      <c r="C733" s="114" t="str" cm="1">
        <f t="array" ref="C733">IFERROR(INDEX('03.Muestra'!$F$8:$F$42,SMALL(IF("Página Web"='03.Muestra'!$D$8:$D$42,ROW('03.Muestra'!$F$8:$F$42)-MIN(ROW('03.Muestra'!$D$8:$D$42))+1,""),ROW()-702)),"")</f>
        <v>https://www.portcastello.com/</v>
      </c>
      <c r="D733" s="130" t="str">
        <f t="shared" si="37"/>
        <v>N/T</v>
      </c>
      <c r="E733" s="107" t="str">
        <f t="shared" si="36"/>
        <v/>
      </c>
      <c r="F733" s="124"/>
      <c r="G733" s="19"/>
      <c r="H733" s="19"/>
      <c r="I733" s="19"/>
      <c r="J733" s="19"/>
      <c r="K733" s="228"/>
      <c r="L733" s="19"/>
      <c r="M733" s="19"/>
      <c r="N733" s="19"/>
      <c r="O733" s="19"/>
      <c r="P733" s="19"/>
      <c r="Q733" s="19"/>
      <c r="R733" s="19"/>
      <c r="S733" s="19"/>
      <c r="T733" s="19"/>
      <c r="U733" s="19"/>
      <c r="V733" s="19"/>
      <c r="W733" s="19"/>
      <c r="X733" s="19"/>
      <c r="Y733" s="19"/>
    </row>
    <row r="734" spans="1:25" ht="12" customHeight="1">
      <c r="A734" s="219" t="n" cm="1">
        <f t="array" ref="A734">IFERROR(INDEX('03.Muestra'!$B$8:$B$42,SMALL(IF("Página Web"='03.Muestra'!$D$8:$D$42,ROW('03.Muestra'!$B$8:$B$42)-MIN(ROW('03.Muestra'!$D$8:$D$42))+1,""),ROW()-702)),"")</f>
        <v>1.0</v>
      </c>
      <c r="B734" s="114" t="str" cm="1">
        <f t="array" ref="B734">IFERROR(INDEX('03.Muestra'!$C$8:$C$42,SMALL(IF("Página Web"='03.Muestra'!$D$8:$D$42,ROW('03.Muestra'!$C$8:$C$42)-MIN(ROW('03.Muestra'!$D$8:$D$42))+1,""),ROW()-702)),"")</f>
        <v>Home - PortCastelló</v>
      </c>
      <c r="C734" s="114" t="str" cm="1">
        <f t="array" ref="C734">IFERROR(INDEX('03.Muestra'!$F$8:$F$42,SMALL(IF("Página Web"='03.Muestra'!$D$8:$D$42,ROW('03.Muestra'!$F$8:$F$42)-MIN(ROW('03.Muestra'!$D$8:$D$42))+1,""),ROW()-702)),"")</f>
        <v>https://www.portcastello.com/</v>
      </c>
      <c r="D734" s="130" t="str">
        <f t="shared" si="37"/>
        <v>N/T</v>
      </c>
      <c r="E734" s="107" t="str">
        <f t="shared" si="36"/>
        <v/>
      </c>
      <c r="F734" s="124"/>
      <c r="G734" s="19"/>
      <c r="H734" s="19"/>
      <c r="I734" s="19"/>
      <c r="J734" s="19"/>
      <c r="K734" s="228"/>
      <c r="L734" s="19"/>
      <c r="M734" s="19"/>
      <c r="N734" s="19"/>
      <c r="O734" s="19"/>
      <c r="P734" s="19"/>
      <c r="Q734" s="19"/>
      <c r="R734" s="19"/>
      <c r="S734" s="19"/>
      <c r="T734" s="19"/>
      <c r="U734" s="19"/>
      <c r="V734" s="19"/>
      <c r="W734" s="19"/>
      <c r="X734" s="19"/>
      <c r="Y734" s="19"/>
    </row>
    <row r="735" spans="1:25" ht="12" customHeight="1">
      <c r="A735" s="219" t="n" cm="1">
        <f t="array" ref="A735">IFERROR(INDEX('03.Muestra'!$B$8:$B$42,SMALL(IF("Página Web"='03.Muestra'!$D$8:$D$42,ROW('03.Muestra'!$B$8:$B$42)-MIN(ROW('03.Muestra'!$D$8:$D$42))+1,""),ROW()-702)),"")</f>
        <v>1.0</v>
      </c>
      <c r="B735" s="114" t="str" cm="1">
        <f t="array" ref="B735">IFERROR(INDEX('03.Muestra'!$C$8:$C$42,SMALL(IF("Página Web"='03.Muestra'!$D$8:$D$42,ROW('03.Muestra'!$C$8:$C$42)-MIN(ROW('03.Muestra'!$D$8:$D$42))+1,""),ROW()-702)),"")</f>
        <v>Home - PortCastelló</v>
      </c>
      <c r="C735" s="114" t="str" cm="1">
        <f t="array" ref="C735">IFERROR(INDEX('03.Muestra'!$F$8:$F$42,SMALL(IF("Página Web"='03.Muestra'!$D$8:$D$42,ROW('03.Muestra'!$F$8:$F$42)-MIN(ROW('03.Muestra'!$D$8:$D$42))+1,""),ROW()-702)),"")</f>
        <v>https://www.portcastello.com/</v>
      </c>
      <c r="D735" s="130" t="str">
        <f t="shared" si="37"/>
        <v>N/T</v>
      </c>
      <c r="E735" s="107" t="str">
        <f t="shared" si="36"/>
        <v/>
      </c>
      <c r="F735" s="124"/>
      <c r="G735" s="19"/>
      <c r="H735" s="19"/>
      <c r="I735" s="19"/>
      <c r="J735" s="19"/>
      <c r="K735" s="228"/>
      <c r="L735" s="19"/>
      <c r="M735" s="19"/>
      <c r="N735" s="19"/>
      <c r="O735" s="19"/>
      <c r="P735" s="19"/>
      <c r="Q735" s="19"/>
      <c r="R735" s="19"/>
      <c r="S735" s="19"/>
      <c r="T735" s="19"/>
      <c r="U735" s="19"/>
      <c r="V735" s="19"/>
      <c r="W735" s="19"/>
      <c r="X735" s="19"/>
      <c r="Y735" s="19"/>
    </row>
    <row r="736" spans="1:25" ht="12" customHeight="1">
      <c r="A736" s="219" t="str" cm="1">
        <f t="array" ref="A736">IFERROR(INDEX('03.Muestra'!$B$8:$B$42,SMALL(IF("Página Web"='03.Muestra'!$D$8:$D$42,ROW('03.Muestra'!$B$8:$B$42)-MIN(ROW('03.Muestra'!$D$8:$D$42))+1,""),ROW()-702)),"")</f>
        <v/>
      </c>
      <c r="B736" s="114" t="str" cm="1">
        <f t="array" ref="B736">IFERROR(INDEX('03.Muestra'!$C$8:$C$42,SMALL(IF("Página Web"='03.Muestra'!$D$8:$D$42,ROW('03.Muestra'!$C$8:$C$42)-MIN(ROW('03.Muestra'!$D$8:$D$42))+1,""),ROW()-702)),"")</f>
        <v/>
      </c>
      <c r="C736" s="114" t="str" cm="1">
        <f t="array" ref="C736">IFERROR(INDEX('03.Muestra'!$F$8:$F$42,SMALL(IF("Página Web"='03.Muestra'!$D$8:$D$42,ROW('03.Muestra'!$F$8:$F$42)-MIN(ROW('03.Muestra'!$D$8:$D$42))+1,""),ROW()-702)),"")</f>
        <v/>
      </c>
      <c r="D736" s="130" t="str">
        <f t="shared" si="37"/>
        <v/>
      </c>
      <c r="E736" s="107" t="str">
        <f t="shared" si="36"/>
        <v/>
      </c>
      <c r="F736" s="124"/>
      <c r="G736" s="19"/>
      <c r="H736" s="19"/>
      <c r="I736" s="19"/>
      <c r="J736" s="19"/>
      <c r="K736" s="228"/>
      <c r="L736" s="19"/>
      <c r="M736" s="19"/>
      <c r="N736" s="19"/>
      <c r="O736" s="19"/>
      <c r="P736" s="19"/>
      <c r="Q736" s="19"/>
      <c r="R736" s="19"/>
      <c r="S736" s="19"/>
      <c r="T736" s="19"/>
      <c r="U736" s="19"/>
      <c r="V736" s="19"/>
      <c r="W736" s="19"/>
      <c r="X736" s="19"/>
      <c r="Y736" s="19"/>
    </row>
    <row r="737" spans="1:25" ht="12" customHeight="1">
      <c r="A737" s="219" t="str" cm="1">
        <f t="array" ref="A737">IFERROR(INDEX('03.Muestra'!$B$8:$B$42,SMALL(IF("Página Web"='03.Muestra'!$D$8:$D$42,ROW('03.Muestra'!$B$8:$B$42)-MIN(ROW('03.Muestra'!$D$8:$D$42))+1,""),ROW()-702)),"")</f>
        <v/>
      </c>
      <c r="B737" s="114" t="str" cm="1">
        <f t="array" ref="B737">IFERROR(INDEX('03.Muestra'!$C$8:$C$42,SMALL(IF("Página Web"='03.Muestra'!$D$8:$D$42,ROW('03.Muestra'!$C$8:$C$42)-MIN(ROW('03.Muestra'!$D$8:$D$42))+1,""),ROW()-702)),"")</f>
        <v/>
      </c>
      <c r="C737" s="114" t="str" cm="1">
        <f t="array" ref="C737">IFERROR(INDEX('03.Muestra'!$F$8:$F$42,SMALL(IF("Página Web"='03.Muestra'!$D$8:$D$42,ROW('03.Muestra'!$F$8:$F$42)-MIN(ROW('03.Muestra'!$D$8:$D$42))+1,""),ROW()-702)),"")</f>
        <v/>
      </c>
      <c r="D737" s="130" t="str">
        <f t="shared" si="37"/>
        <v/>
      </c>
      <c r="E737" s="107" t="str">
        <f t="shared" si="36"/>
        <v/>
      </c>
      <c r="F737" s="19"/>
      <c r="G737" s="19"/>
      <c r="H737" s="19"/>
      <c r="I737" s="19"/>
      <c r="J737" s="19"/>
      <c r="K737" s="228"/>
      <c r="L737" s="19"/>
      <c r="M737" s="19"/>
      <c r="N737" s="19"/>
      <c r="O737" s="19"/>
      <c r="P737" s="19"/>
      <c r="Q737" s="19"/>
      <c r="R737" s="19"/>
      <c r="S737" s="19"/>
      <c r="T737" s="19"/>
      <c r="U737" s="19"/>
      <c r="V737" s="19"/>
      <c r="W737" s="19"/>
      <c r="X737" s="19"/>
      <c r="Y737" s="19"/>
    </row>
    <row r="738" spans="1:25" ht="12" customHeight="1">
      <c r="B738" s="19"/>
      <c r="C738" s="19"/>
      <c r="D738" s="107"/>
      <c r="E738" s="107"/>
      <c r="F738" s="19"/>
      <c r="G738" s="19"/>
      <c r="H738" s="19"/>
      <c r="I738" s="19"/>
      <c r="J738" s="19"/>
      <c r="K738" s="19"/>
      <c r="L738" s="19"/>
      <c r="M738" s="19"/>
      <c r="N738" s="19"/>
      <c r="O738" s="19"/>
      <c r="P738" s="19"/>
      <c r="Q738" s="19"/>
      <c r="R738" s="19"/>
      <c r="S738" s="19"/>
      <c r="T738" s="19"/>
      <c r="U738" s="19"/>
      <c r="V738" s="19"/>
      <c r="W738" s="19"/>
      <c r="X738" s="19"/>
      <c r="Y738" s="19"/>
    </row>
    <row r="739" spans="1:25" ht="12" customHeight="1">
      <c r="B739" s="19"/>
      <c r="C739" s="19"/>
      <c r="D739" s="107"/>
      <c r="E739" s="107"/>
      <c r="F739" s="19"/>
      <c r="G739" s="19"/>
      <c r="H739" s="19"/>
      <c r="I739" s="19"/>
      <c r="J739" s="19"/>
      <c r="K739" s="19"/>
      <c r="L739" s="19"/>
      <c r="M739" s="19"/>
      <c r="N739" s="19"/>
      <c r="O739" s="19"/>
      <c r="P739" s="19"/>
      <c r="Q739" s="19"/>
      <c r="R739" s="19"/>
      <c r="S739" s="19"/>
      <c r="T739" s="19"/>
      <c r="U739" s="19"/>
      <c r="V739" s="19"/>
      <c r="W739" s="19"/>
      <c r="X739" s="19"/>
      <c r="Y739" s="19"/>
    </row>
    <row r="740" spans="1:25" ht="12" customHeight="1">
      <c r="B740" s="19"/>
      <c r="C740" s="19"/>
      <c r="D740" s="107"/>
      <c r="E740" s="107"/>
      <c r="F740" s="19"/>
      <c r="G740" s="19"/>
      <c r="H740" s="19"/>
      <c r="I740" s="19"/>
      <c r="J740" s="19"/>
      <c r="K740" s="19"/>
      <c r="L740" s="19"/>
      <c r="M740" s="19"/>
      <c r="N740" s="19"/>
      <c r="O740" s="19"/>
      <c r="P740" s="19"/>
      <c r="Q740" s="19"/>
      <c r="R740" s="19"/>
      <c r="S740" s="19"/>
      <c r="T740" s="19"/>
      <c r="U740" s="19"/>
      <c r="V740" s="19"/>
      <c r="W740" s="19"/>
      <c r="X740" s="19"/>
      <c r="Y740" s="19"/>
    </row>
    <row r="741" spans="1:25" ht="12" customHeight="1">
      <c r="B741" s="19"/>
      <c r="C741" s="19"/>
      <c r="D741" s="107"/>
      <c r="E741" s="107"/>
      <c r="F741" s="19"/>
      <c r="G741" s="19"/>
      <c r="H741" s="19"/>
      <c r="I741" s="19"/>
      <c r="J741" s="19"/>
      <c r="K741" s="19"/>
      <c r="L741" s="19"/>
      <c r="M741" s="19"/>
      <c r="N741" s="19"/>
      <c r="O741" s="19"/>
      <c r="P741" s="19"/>
      <c r="Q741" s="19"/>
      <c r="R741" s="19"/>
      <c r="S741" s="19"/>
      <c r="T741" s="19"/>
      <c r="U741" s="19"/>
      <c r="V741" s="19"/>
      <c r="W741" s="19"/>
      <c r="X741" s="19"/>
      <c r="Y741" s="19"/>
    </row>
    <row r="742" spans="1:25" ht="12" customHeight="1">
      <c r="B742" s="19"/>
      <c r="C742" s="19"/>
      <c r="D742" s="107"/>
      <c r="E742" s="107"/>
      <c r="F742" s="19"/>
      <c r="G742" s="19"/>
      <c r="H742" s="19"/>
      <c r="I742" s="19"/>
      <c r="J742" s="19"/>
      <c r="K742" s="19"/>
      <c r="L742" s="19"/>
      <c r="M742" s="19"/>
      <c r="N742" s="19"/>
      <c r="O742" s="19"/>
      <c r="P742" s="19"/>
      <c r="Q742" s="19"/>
      <c r="R742" s="19"/>
      <c r="S742" s="19"/>
      <c r="T742" s="19"/>
      <c r="U742" s="19"/>
      <c r="V742" s="19"/>
      <c r="W742" s="19"/>
      <c r="X742" s="19"/>
      <c r="Y742" s="19"/>
    </row>
    <row r="743" spans="1:25" ht="12" customHeight="1">
      <c r="B743" s="19"/>
      <c r="C743" s="19"/>
      <c r="D743" s="107"/>
      <c r="E743" s="107"/>
      <c r="F743" s="19"/>
      <c r="G743" s="19"/>
      <c r="H743" s="19"/>
      <c r="I743" s="19"/>
      <c r="J743" s="19"/>
      <c r="K743" s="19"/>
      <c r="L743" s="19"/>
      <c r="M743" s="19"/>
      <c r="N743" s="19"/>
      <c r="O743" s="19"/>
      <c r="P743" s="19"/>
      <c r="Q743" s="19"/>
      <c r="R743" s="19"/>
      <c r="S743" s="19"/>
      <c r="T743" s="19"/>
      <c r="U743" s="19"/>
      <c r="V743" s="19"/>
      <c r="W743" s="19"/>
      <c r="X743" s="19"/>
      <c r="Y743" s="19"/>
    </row>
    <row r="744" spans="1:25" ht="12" customHeight="1">
      <c r="B744" s="19"/>
      <c r="C744" s="19"/>
      <c r="D744" s="107"/>
      <c r="E744" s="107"/>
      <c r="F744" s="19"/>
      <c r="G744" s="19"/>
      <c r="H744" s="19"/>
      <c r="I744" s="19"/>
      <c r="J744" s="19"/>
      <c r="K744" s="19"/>
      <c r="L744" s="19"/>
      <c r="M744" s="19"/>
      <c r="N744" s="19"/>
      <c r="O744" s="19"/>
      <c r="P744" s="19"/>
      <c r="Q744" s="19"/>
      <c r="R744" s="19"/>
      <c r="S744" s="19"/>
      <c r="T744" s="19"/>
      <c r="U744" s="19"/>
      <c r="V744" s="19"/>
      <c r="W744" s="19"/>
      <c r="X744" s="19"/>
      <c r="Y744" s="19"/>
    </row>
    <row r="745" spans="1:25" ht="12" customHeight="1">
      <c r="B745" s="19"/>
      <c r="C745" s="19"/>
      <c r="D745" s="107"/>
      <c r="E745" s="107"/>
      <c r="F745" s="19"/>
      <c r="G745" s="19"/>
      <c r="H745" s="19"/>
      <c r="I745" s="19"/>
      <c r="J745" s="19"/>
      <c r="K745" s="19"/>
      <c r="L745" s="19"/>
      <c r="M745" s="19"/>
      <c r="N745" s="19"/>
      <c r="O745" s="19"/>
      <c r="P745" s="19"/>
      <c r="Q745" s="19"/>
      <c r="R745" s="19"/>
      <c r="S745" s="19"/>
      <c r="T745" s="19"/>
      <c r="U745" s="19"/>
      <c r="V745" s="19"/>
      <c r="W745" s="19"/>
      <c r="X745" s="19"/>
      <c r="Y745" s="19"/>
    </row>
    <row r="746" spans="1:25" ht="12" customHeight="1">
      <c r="B746" s="19"/>
      <c r="C746" s="19"/>
      <c r="D746" s="107"/>
      <c r="E746" s="107"/>
      <c r="F746" s="19"/>
      <c r="G746" s="19"/>
      <c r="H746" s="19"/>
      <c r="I746" s="19"/>
      <c r="J746" s="19"/>
      <c r="K746" s="19"/>
      <c r="L746" s="19"/>
      <c r="M746" s="19"/>
      <c r="N746" s="19"/>
      <c r="O746" s="19"/>
      <c r="P746" s="19"/>
      <c r="Q746" s="19"/>
      <c r="R746" s="19"/>
      <c r="S746" s="19"/>
      <c r="T746" s="19"/>
      <c r="U746" s="19"/>
      <c r="V746" s="19"/>
      <c r="W746" s="19"/>
      <c r="X746" s="19"/>
      <c r="Y746" s="19"/>
    </row>
  </sheetData>
  <sheetCalcPr fullCalcOnLoad="true"/>
  <sheetProtection password="DC4E" sheet="true" scenarios="true" objects="true"/>
  <mergeCells count="2">
    <mergeCell ref="B11:C11"/>
    <mergeCell ref="B9:M9"/>
  </mergeCells>
  <conditionalFormatting sqref="E57:E92 E437:E471 E475:E509 E551:E585 E589:E623 E19:E53">
    <cfRule type="cellIs" dxfId="1167" priority="350" stopIfTrue="1" operator="equal">
      <formula>"ERR"</formula>
    </cfRule>
  </conditionalFormatting>
  <conditionalFormatting sqref="D19:D53 D57:D92 D437:D471 D475:D509 D551:D585 D589:D623 F19:J19 F57:J57 F437:J437 F475:J475 F551:J551 F589:J589 F95:J95 F133:J133 F171:J171 F209:J209 F247:J247 F285:J285 F323:J323 F361:J361 F399:J399 F513:J513 F627:J627 F665:J665 F703:J703">
    <cfRule type="expression" dxfId="1166" priority="344" stopIfTrue="1">
      <formula>ISBLANK(D19)</formula>
    </cfRule>
    <cfRule type="cellIs" dxfId="1165" priority="345" stopIfTrue="1" operator="equal">
      <formula>"Pasa"</formula>
    </cfRule>
    <cfRule type="cellIs" dxfId="1164" priority="346" stopIfTrue="1" operator="equal">
      <formula>"Falla"</formula>
    </cfRule>
    <cfRule type="cellIs" dxfId="1163" priority="347" stopIfTrue="1" operator="equal">
      <formula>"N/A"</formula>
    </cfRule>
    <cfRule type="cellIs" dxfId="1162" priority="348" stopIfTrue="1" operator="equal">
      <formula>"N/T"</formula>
    </cfRule>
    <cfRule type="cellIs" dxfId="1161" priority="349" stopIfTrue="1" operator="equal">
      <formula>"N/D"</formula>
    </cfRule>
  </conditionalFormatting>
  <conditionalFormatting sqref="D1:D8 D739:D1048576 D10:D93 D435:D510 D549:D624">
    <cfRule type="cellIs" dxfId="1160" priority="229" stopIfTrue="1" operator="equal">
      <formula>"-"</formula>
    </cfRule>
  </conditionalFormatting>
  <conditionalFormatting sqref="E95:E130">
    <cfRule type="cellIs" dxfId="1159" priority="228" stopIfTrue="1" operator="equal">
      <formula>"ERR"</formula>
    </cfRule>
  </conditionalFormatting>
  <conditionalFormatting sqref="D95:D130">
    <cfRule type="expression" dxfId="1158" priority="222" stopIfTrue="1">
      <formula>ISBLANK(D95)</formula>
    </cfRule>
    <cfRule type="cellIs" dxfId="1157" priority="223" stopIfTrue="1" operator="equal">
      <formula>"Pasa"</formula>
    </cfRule>
    <cfRule type="cellIs" dxfId="1156" priority="224" stopIfTrue="1" operator="equal">
      <formula>"Falla"</formula>
    </cfRule>
    <cfRule type="cellIs" dxfId="1155" priority="225" stopIfTrue="1" operator="equal">
      <formula>"N/A"</formula>
    </cfRule>
    <cfRule type="cellIs" dxfId="1154" priority="226" stopIfTrue="1" operator="equal">
      <formula>"N/T"</formula>
    </cfRule>
    <cfRule type="cellIs" dxfId="1153" priority="227" stopIfTrue="1" operator="equal">
      <formula>"N/D"</formula>
    </cfRule>
  </conditionalFormatting>
  <conditionalFormatting sqref="D94:D131">
    <cfRule type="cellIs" dxfId="1152" priority="215" stopIfTrue="1" operator="equal">
      <formula>"-"</formula>
    </cfRule>
  </conditionalFormatting>
  <conditionalFormatting sqref="E133:E168">
    <cfRule type="cellIs" dxfId="1151" priority="214" stopIfTrue="1" operator="equal">
      <formula>"ERR"</formula>
    </cfRule>
  </conditionalFormatting>
  <conditionalFormatting sqref="D133:D168">
    <cfRule type="expression" dxfId="1150" priority="208" stopIfTrue="1">
      <formula>ISBLANK(D133)</formula>
    </cfRule>
    <cfRule type="cellIs" dxfId="1149" priority="209" stopIfTrue="1" operator="equal">
      <formula>"Pasa"</formula>
    </cfRule>
    <cfRule type="cellIs" dxfId="1148" priority="210" stopIfTrue="1" operator="equal">
      <formula>"Falla"</formula>
    </cfRule>
    <cfRule type="cellIs" dxfId="1147" priority="211" stopIfTrue="1" operator="equal">
      <formula>"N/A"</formula>
    </cfRule>
    <cfRule type="cellIs" dxfId="1146" priority="212" stopIfTrue="1" operator="equal">
      <formula>"N/T"</formula>
    </cfRule>
    <cfRule type="cellIs" dxfId="1145" priority="213" stopIfTrue="1" operator="equal">
      <formula>"N/D"</formula>
    </cfRule>
  </conditionalFormatting>
  <conditionalFormatting sqref="D132:D169">
    <cfRule type="cellIs" dxfId="1144" priority="201" stopIfTrue="1" operator="equal">
      <formula>"-"</formula>
    </cfRule>
  </conditionalFormatting>
  <conditionalFormatting sqref="E171:E205">
    <cfRule type="cellIs" dxfId="1143" priority="200" stopIfTrue="1" operator="equal">
      <formula>"ERR"</formula>
    </cfRule>
  </conditionalFormatting>
  <conditionalFormatting sqref="D171:D205">
    <cfRule type="expression" dxfId="1142" priority="194" stopIfTrue="1">
      <formula>ISBLANK(D171)</formula>
    </cfRule>
    <cfRule type="cellIs" dxfId="1141" priority="195" stopIfTrue="1" operator="equal">
      <formula>"Pasa"</formula>
    </cfRule>
    <cfRule type="cellIs" dxfId="1140" priority="196" stopIfTrue="1" operator="equal">
      <formula>"Falla"</formula>
    </cfRule>
    <cfRule type="cellIs" dxfId="1139" priority="197" stopIfTrue="1" operator="equal">
      <formula>"N/A"</formula>
    </cfRule>
    <cfRule type="cellIs" dxfId="1138" priority="198" stopIfTrue="1" operator="equal">
      <formula>"N/T"</formula>
    </cfRule>
    <cfRule type="cellIs" dxfId="1137" priority="199" stopIfTrue="1" operator="equal">
      <formula>"N/D"</formula>
    </cfRule>
  </conditionalFormatting>
  <conditionalFormatting sqref="D170:D206">
    <cfRule type="cellIs" dxfId="1136" priority="187" stopIfTrue="1" operator="equal">
      <formula>"-"</formula>
    </cfRule>
  </conditionalFormatting>
  <conditionalFormatting sqref="D207">
    <cfRule type="cellIs" dxfId="1135" priority="186" stopIfTrue="1" operator="equal">
      <formula>"-"</formula>
    </cfRule>
  </conditionalFormatting>
  <conditionalFormatting sqref="E209:E243">
    <cfRule type="cellIs" dxfId="1134" priority="185" stopIfTrue="1" operator="equal">
      <formula>"ERR"</formula>
    </cfRule>
  </conditionalFormatting>
  <conditionalFormatting sqref="D209:D243">
    <cfRule type="expression" dxfId="1133" priority="179" stopIfTrue="1">
      <formula>ISBLANK(D209)</formula>
    </cfRule>
    <cfRule type="cellIs" dxfId="1132" priority="180" stopIfTrue="1" operator="equal">
      <formula>"Pasa"</formula>
    </cfRule>
    <cfRule type="cellIs" dxfId="1131" priority="181" stopIfTrue="1" operator="equal">
      <formula>"Falla"</formula>
    </cfRule>
    <cfRule type="cellIs" dxfId="1130" priority="182" stopIfTrue="1" operator="equal">
      <formula>"N/A"</formula>
    </cfRule>
    <cfRule type="cellIs" dxfId="1129" priority="183" stopIfTrue="1" operator="equal">
      <formula>"N/T"</formula>
    </cfRule>
    <cfRule type="cellIs" dxfId="1128" priority="184" stopIfTrue="1" operator="equal">
      <formula>"N/D"</formula>
    </cfRule>
  </conditionalFormatting>
  <conditionalFormatting sqref="D208:D244">
    <cfRule type="cellIs" dxfId="1127" priority="172" stopIfTrue="1" operator="equal">
      <formula>"-"</formula>
    </cfRule>
  </conditionalFormatting>
  <conditionalFormatting sqref="D245">
    <cfRule type="cellIs" dxfId="1126" priority="171" stopIfTrue="1" operator="equal">
      <formula>"-"</formula>
    </cfRule>
  </conditionalFormatting>
  <conditionalFormatting sqref="E247:E281">
    <cfRule type="cellIs" dxfId="1125" priority="170" stopIfTrue="1" operator="equal">
      <formula>"ERR"</formula>
    </cfRule>
  </conditionalFormatting>
  <conditionalFormatting sqref="D247:D281">
    <cfRule type="expression" dxfId="1124" priority="164" stopIfTrue="1">
      <formula>ISBLANK(D247)</formula>
    </cfRule>
    <cfRule type="cellIs" dxfId="1123" priority="165" stopIfTrue="1" operator="equal">
      <formula>"Pasa"</formula>
    </cfRule>
    <cfRule type="cellIs" dxfId="1122" priority="166" stopIfTrue="1" operator="equal">
      <formula>"Falla"</formula>
    </cfRule>
    <cfRule type="cellIs" dxfId="1121" priority="167" stopIfTrue="1" operator="equal">
      <formula>"N/A"</formula>
    </cfRule>
    <cfRule type="cellIs" dxfId="1120" priority="168" stopIfTrue="1" operator="equal">
      <formula>"N/T"</formula>
    </cfRule>
    <cfRule type="cellIs" dxfId="1119" priority="169" stopIfTrue="1" operator="equal">
      <formula>"N/D"</formula>
    </cfRule>
  </conditionalFormatting>
  <conditionalFormatting sqref="D246:D282">
    <cfRule type="cellIs" dxfId="1118" priority="157" stopIfTrue="1" operator="equal">
      <formula>"-"</formula>
    </cfRule>
  </conditionalFormatting>
  <conditionalFormatting sqref="D283">
    <cfRule type="cellIs" dxfId="1117" priority="156" stopIfTrue="1" operator="equal">
      <formula>"-"</formula>
    </cfRule>
  </conditionalFormatting>
  <conditionalFormatting sqref="E285:E319">
    <cfRule type="cellIs" dxfId="1116" priority="155" stopIfTrue="1" operator="equal">
      <formula>"ERR"</formula>
    </cfRule>
  </conditionalFormatting>
  <conditionalFormatting sqref="D285:D319">
    <cfRule type="expression" dxfId="1115" priority="149" stopIfTrue="1">
      <formula>ISBLANK(D285)</formula>
    </cfRule>
    <cfRule type="cellIs" dxfId="1114" priority="150" stopIfTrue="1" operator="equal">
      <formula>"Pasa"</formula>
    </cfRule>
    <cfRule type="cellIs" dxfId="1113" priority="151" stopIfTrue="1" operator="equal">
      <formula>"Falla"</formula>
    </cfRule>
    <cfRule type="cellIs" dxfId="1112" priority="152" stopIfTrue="1" operator="equal">
      <formula>"N/A"</formula>
    </cfRule>
    <cfRule type="cellIs" dxfId="1111" priority="153" stopIfTrue="1" operator="equal">
      <formula>"N/T"</formula>
    </cfRule>
    <cfRule type="cellIs" dxfId="1110" priority="154" stopIfTrue="1" operator="equal">
      <formula>"N/D"</formula>
    </cfRule>
  </conditionalFormatting>
  <conditionalFormatting sqref="D284:D320">
    <cfRule type="cellIs" dxfId="1109" priority="142" stopIfTrue="1" operator="equal">
      <formula>"-"</formula>
    </cfRule>
  </conditionalFormatting>
  <conditionalFormatting sqref="D321">
    <cfRule type="cellIs" dxfId="1108" priority="141" stopIfTrue="1" operator="equal">
      <formula>"-"</formula>
    </cfRule>
  </conditionalFormatting>
  <conditionalFormatting sqref="E323:E357">
    <cfRule type="cellIs" dxfId="1107" priority="140" stopIfTrue="1" operator="equal">
      <formula>"ERR"</formula>
    </cfRule>
  </conditionalFormatting>
  <conditionalFormatting sqref="D323:D357">
    <cfRule type="expression" dxfId="1106" priority="134" stopIfTrue="1">
      <formula>ISBLANK(D323)</formula>
    </cfRule>
    <cfRule type="cellIs" dxfId="1105" priority="135" stopIfTrue="1" operator="equal">
      <formula>"Pasa"</formula>
    </cfRule>
    <cfRule type="cellIs" dxfId="1104" priority="136" stopIfTrue="1" operator="equal">
      <formula>"Falla"</formula>
    </cfRule>
    <cfRule type="cellIs" dxfId="1103" priority="137" stopIfTrue="1" operator="equal">
      <formula>"N/A"</formula>
    </cfRule>
    <cfRule type="cellIs" dxfId="1102" priority="138" stopIfTrue="1" operator="equal">
      <formula>"N/T"</formula>
    </cfRule>
    <cfRule type="cellIs" dxfId="1101" priority="139" stopIfTrue="1" operator="equal">
      <formula>"N/D"</formula>
    </cfRule>
  </conditionalFormatting>
  <conditionalFormatting sqref="D322:D358">
    <cfRule type="cellIs" dxfId="1100" priority="127" stopIfTrue="1" operator="equal">
      <formula>"-"</formula>
    </cfRule>
  </conditionalFormatting>
  <conditionalFormatting sqref="D359">
    <cfRule type="cellIs" dxfId="1099" priority="126" stopIfTrue="1" operator="equal">
      <formula>"-"</formula>
    </cfRule>
  </conditionalFormatting>
  <conditionalFormatting sqref="E361:E395">
    <cfRule type="cellIs" dxfId="1098" priority="125" stopIfTrue="1" operator="equal">
      <formula>"ERR"</formula>
    </cfRule>
  </conditionalFormatting>
  <conditionalFormatting sqref="D361:D395">
    <cfRule type="expression" dxfId="1097" priority="119" stopIfTrue="1">
      <formula>ISBLANK(D361)</formula>
    </cfRule>
    <cfRule type="cellIs" dxfId="1096" priority="120" stopIfTrue="1" operator="equal">
      <formula>"Pasa"</formula>
    </cfRule>
    <cfRule type="cellIs" dxfId="1095" priority="121" stopIfTrue="1" operator="equal">
      <formula>"Falla"</formula>
    </cfRule>
    <cfRule type="cellIs" dxfId="1094" priority="122" stopIfTrue="1" operator="equal">
      <formula>"N/A"</formula>
    </cfRule>
    <cfRule type="cellIs" dxfId="1093" priority="123" stopIfTrue="1" operator="equal">
      <formula>"N/T"</formula>
    </cfRule>
    <cfRule type="cellIs" dxfId="1092" priority="124" stopIfTrue="1" operator="equal">
      <formula>"N/D"</formula>
    </cfRule>
  </conditionalFormatting>
  <conditionalFormatting sqref="D360:D396">
    <cfRule type="cellIs" dxfId="1091" priority="112" stopIfTrue="1" operator="equal">
      <formula>"-"</formula>
    </cfRule>
  </conditionalFormatting>
  <conditionalFormatting sqref="D397">
    <cfRule type="cellIs" dxfId="1090" priority="111" stopIfTrue="1" operator="equal">
      <formula>"-"</formula>
    </cfRule>
  </conditionalFormatting>
  <conditionalFormatting sqref="E399:E433">
    <cfRule type="cellIs" dxfId="1089" priority="110" stopIfTrue="1" operator="equal">
      <formula>"ERR"</formula>
    </cfRule>
  </conditionalFormatting>
  <conditionalFormatting sqref="D399:D433">
    <cfRule type="expression" dxfId="1088" priority="104" stopIfTrue="1">
      <formula>ISBLANK(D399)</formula>
    </cfRule>
    <cfRule type="cellIs" dxfId="1087" priority="105" stopIfTrue="1" operator="equal">
      <formula>"Pasa"</formula>
    </cfRule>
    <cfRule type="cellIs" dxfId="1086" priority="106" stopIfTrue="1" operator="equal">
      <formula>"Falla"</formula>
    </cfRule>
    <cfRule type="cellIs" dxfId="1085" priority="107" stopIfTrue="1" operator="equal">
      <formula>"N/A"</formula>
    </cfRule>
    <cfRule type="cellIs" dxfId="1084" priority="108" stopIfTrue="1" operator="equal">
      <formula>"N/T"</formula>
    </cfRule>
    <cfRule type="cellIs" dxfId="1083" priority="109" stopIfTrue="1" operator="equal">
      <formula>"N/D"</formula>
    </cfRule>
  </conditionalFormatting>
  <conditionalFormatting sqref="D398:D434">
    <cfRule type="cellIs" dxfId="1082" priority="97" stopIfTrue="1" operator="equal">
      <formula>"-"</formula>
    </cfRule>
  </conditionalFormatting>
  <conditionalFormatting sqref="E513:E547">
    <cfRule type="cellIs" dxfId="1081" priority="96" stopIfTrue="1" operator="equal">
      <formula>"ERR"</formula>
    </cfRule>
  </conditionalFormatting>
  <conditionalFormatting sqref="D513:D547">
    <cfRule type="expression" dxfId="1080" priority="90" stopIfTrue="1">
      <formula>ISBLANK(D513)</formula>
    </cfRule>
    <cfRule type="cellIs" dxfId="1079" priority="91" stopIfTrue="1" operator="equal">
      <formula>"Pasa"</formula>
    </cfRule>
    <cfRule type="cellIs" dxfId="1078" priority="92" stopIfTrue="1" operator="equal">
      <formula>"Falla"</formula>
    </cfRule>
    <cfRule type="cellIs" dxfId="1077" priority="93" stopIfTrue="1" operator="equal">
      <formula>"N/A"</formula>
    </cfRule>
    <cfRule type="cellIs" dxfId="1076" priority="94" stopIfTrue="1" operator="equal">
      <formula>"N/T"</formula>
    </cfRule>
    <cfRule type="cellIs" dxfId="1075" priority="95" stopIfTrue="1" operator="equal">
      <formula>"N/D"</formula>
    </cfRule>
  </conditionalFormatting>
  <conditionalFormatting sqref="D511:D548">
    <cfRule type="cellIs" dxfId="1074" priority="83" stopIfTrue="1" operator="equal">
      <formula>"-"</formula>
    </cfRule>
  </conditionalFormatting>
  <conditionalFormatting sqref="E627:E661">
    <cfRule type="cellIs" dxfId="1073" priority="54" stopIfTrue="1" operator="equal">
      <formula>"ERR"</formula>
    </cfRule>
  </conditionalFormatting>
  <conditionalFormatting sqref="D627:D661">
    <cfRule type="expression" dxfId="1072" priority="48" stopIfTrue="1">
      <formula>ISBLANK(D627)</formula>
    </cfRule>
    <cfRule type="cellIs" dxfId="1071" priority="49" stopIfTrue="1" operator="equal">
      <formula>"Pasa"</formula>
    </cfRule>
    <cfRule type="cellIs" dxfId="1070" priority="50" stopIfTrue="1" operator="equal">
      <formula>"Falla"</formula>
    </cfRule>
    <cfRule type="cellIs" dxfId="1069" priority="51" stopIfTrue="1" operator="equal">
      <formula>"N/A"</formula>
    </cfRule>
    <cfRule type="cellIs" dxfId="1068" priority="52" stopIfTrue="1" operator="equal">
      <formula>"N/T"</formula>
    </cfRule>
    <cfRule type="cellIs" dxfId="1067" priority="53" stopIfTrue="1" operator="equal">
      <formula>"N/D"</formula>
    </cfRule>
  </conditionalFormatting>
  <conditionalFormatting sqref="D625:D662">
    <cfRule type="cellIs" dxfId="1066" priority="41" stopIfTrue="1" operator="equal">
      <formula>"-"</formula>
    </cfRule>
  </conditionalFormatting>
  <conditionalFormatting sqref="E665:E699">
    <cfRule type="cellIs" dxfId="1065" priority="40" stopIfTrue="1" operator="equal">
      <formula>"ERR"</formula>
    </cfRule>
  </conditionalFormatting>
  <conditionalFormatting sqref="D665:D699">
    <cfRule type="expression" dxfId="1064" priority="34" stopIfTrue="1">
      <formula>ISBLANK(D665)</formula>
    </cfRule>
    <cfRule type="cellIs" dxfId="1063" priority="35" stopIfTrue="1" operator="equal">
      <formula>"Pasa"</formula>
    </cfRule>
    <cfRule type="cellIs" dxfId="1062" priority="36" stopIfTrue="1" operator="equal">
      <formula>"Falla"</formula>
    </cfRule>
    <cfRule type="cellIs" dxfId="1061" priority="37" stopIfTrue="1" operator="equal">
      <formula>"N/A"</formula>
    </cfRule>
    <cfRule type="cellIs" dxfId="1060" priority="38" stopIfTrue="1" operator="equal">
      <formula>"N/T"</formula>
    </cfRule>
    <cfRule type="cellIs" dxfId="1059" priority="39" stopIfTrue="1" operator="equal">
      <formula>"N/D"</formula>
    </cfRule>
  </conditionalFormatting>
  <conditionalFormatting sqref="D663:D700">
    <cfRule type="cellIs" dxfId="1058" priority="27" stopIfTrue="1" operator="equal">
      <formula>"-"</formula>
    </cfRule>
  </conditionalFormatting>
  <conditionalFormatting sqref="E703:E737">
    <cfRule type="cellIs" dxfId="1057" priority="26" stopIfTrue="1" operator="equal">
      <formula>"ERR"</formula>
    </cfRule>
  </conditionalFormatting>
  <conditionalFormatting sqref="D703:D737">
    <cfRule type="expression" dxfId="1056" priority="20" stopIfTrue="1">
      <formula>ISBLANK(D703)</formula>
    </cfRule>
    <cfRule type="cellIs" dxfId="1055" priority="21" stopIfTrue="1" operator="equal">
      <formula>"Pasa"</formula>
    </cfRule>
    <cfRule type="cellIs" dxfId="1054" priority="22" stopIfTrue="1" operator="equal">
      <formula>"Falla"</formula>
    </cfRule>
    <cfRule type="cellIs" dxfId="1053" priority="23" stopIfTrue="1" operator="equal">
      <formula>"N/A"</formula>
    </cfRule>
    <cfRule type="cellIs" dxfId="1052" priority="24" stopIfTrue="1" operator="equal">
      <formula>"N/T"</formula>
    </cfRule>
    <cfRule type="cellIs" dxfId="1051" priority="25" stopIfTrue="1" operator="equal">
      <formula>"N/D"</formula>
    </cfRule>
  </conditionalFormatting>
  <conditionalFormatting sqref="D701:D738">
    <cfRule type="cellIs" dxfId="1050" priority="13" stopIfTrue="1" operator="equal">
      <formula>"-"</formula>
    </cfRule>
  </conditionalFormatting>
  <conditionalFormatting sqref="K23">
    <cfRule type="expression" dxfId="1049" priority="7" stopIfTrue="1">
      <formula>ISBLANK(K23)</formula>
    </cfRule>
    <cfRule type="cellIs" dxfId="1048" priority="8" stopIfTrue="1" operator="equal">
      <formula>"Pasa"</formula>
    </cfRule>
    <cfRule type="cellIs" dxfId="1047" priority="9" stopIfTrue="1" operator="equal">
      <formula>"Falla"</formula>
    </cfRule>
    <cfRule type="cellIs" dxfId="1046" priority="10" stopIfTrue="1" operator="equal">
      <formula>"N/A"</formula>
    </cfRule>
    <cfRule type="cellIs" dxfId="1045" priority="11" stopIfTrue="1" operator="equal">
      <formula>"N/T"</formula>
    </cfRule>
    <cfRule type="cellIs" dxfId="1044" priority="12" stopIfTrue="1" operator="equal">
      <formula>"N/D"</formula>
    </cfRule>
  </conditionalFormatting>
  <conditionalFormatting sqref="K24">
    <cfRule type="expression" dxfId="1043" priority="1" stopIfTrue="1">
      <formula>ISBLANK(K24)</formula>
    </cfRule>
    <cfRule type="cellIs" dxfId="1042" priority="2" stopIfTrue="1" operator="equal">
      <formula>"Pasa"</formula>
    </cfRule>
    <cfRule type="cellIs" dxfId="1041" priority="3" stopIfTrue="1" operator="equal">
      <formula>"Falla"</formula>
    </cfRule>
    <cfRule type="cellIs" dxfId="1040" priority="4" stopIfTrue="1" operator="equal">
      <formula>"N/A"</formula>
    </cfRule>
    <cfRule type="cellIs" dxfId="1039" priority="5" stopIfTrue="1" operator="equal">
      <formula>"N/T"</formula>
    </cfRule>
    <cfRule type="cellIs" dxfId="1038" priority="6" stopIfTrue="1" operator="equal">
      <formula>"N/D"</formula>
    </cfRule>
  </conditionalFormatting>
  <pageMargins left="0.7" right="0.7" top="0.75" bottom="0.75" header="0.51180555555555496" footer="0.51180555555555496"/>
  <pageSetup firstPageNumber="0" orientation="portrait" horizontalDpi="300" verticalDpi="300" r:id="rId1"/>
  <drawing r:id="rId2"/>
  <legacyDrawing r:id="rId3"/>
  <extLst>
    <ext uri="{CCE6A557-97BC-4b89-ADB6-D9C93CAAB3DF}">
      <x14:dataValidations xmlns:xm="http://schemas.microsoft.com/office/excel/2006/main" count="1">
        <x14:dataValidation type="list" operator="equal" showErrorMessage="1">
          <x14:formula1>
            <xm:f>'DATA - Oculta'!$U$9:$U$13</xm:f>
          </x14:formula1>
          <xm:sqref>D437:D471 D57:D91 D475:D509 D19:D53 D589:D623 D551:D585 D95:D129 D665:D699 D627:D661 D513:D547 D399:D433 D361:D395 D323:D357 D285:D319 D247:D281 D209:D243 D171:D205 D133:D167 D703:D737</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0"/>
  <dimension ref="A1:BL695"/>
  <sheetViews>
    <sheetView topLeftCell="D113" zoomScale="71" zoomScaleNormal="71" workbookViewId="0">
      <selection activeCell="E137" sqref="E137"/>
    </sheetView>
  </sheetViews>
  <sheetFormatPr baseColWidth="10" defaultColWidth="11.5703125" defaultRowHeight="12.75"/>
  <cols>
    <col min="1" max="1" customWidth="true" style="14" width="7.85546875" collapsed="false"/>
    <col min="2" max="2" customWidth="true" style="14" width="16.140625" collapsed="false"/>
    <col min="3" max="3" customWidth="true" style="14" width="56.0" collapsed="false"/>
    <col min="4" max="4" customWidth="true" style="113" width="18.28515625" collapsed="false"/>
    <col min="5" max="5" customWidth="true" style="113" width="5.5703125" collapsed="false"/>
    <col min="6" max="6" bestFit="true" customWidth="true" style="14" width="16.42578125" collapsed="false"/>
    <col min="7" max="7" customWidth="true" style="14" width="14.7109375" collapsed="false"/>
    <col min="8" max="8" customWidth="true" style="14" width="12.5703125" collapsed="false"/>
    <col min="9" max="9" customWidth="true" style="14" width="11.7109375" collapsed="false"/>
    <col min="10" max="10" bestFit="true" customWidth="true" style="14" width="17.28515625" collapsed="false"/>
    <col min="11" max="11" customWidth="true" style="14" width="14.5703125" collapsed="false"/>
    <col min="12" max="12" customWidth="true" style="14" width="12.5703125" collapsed="false"/>
    <col min="13" max="13" customWidth="true" style="14" width="18.5703125" collapsed="false"/>
    <col min="14" max="15" customWidth="true" style="14" width="12.5703125" collapsed="false"/>
    <col min="16" max="16" customWidth="true" style="14" width="19.5703125" collapsed="false"/>
    <col min="17" max="17" customWidth="true" style="14" width="6.85546875" collapsed="false"/>
    <col min="18" max="18" customWidth="true" style="14" width="4.7109375" collapsed="false"/>
    <col min="19" max="19" customWidth="true" style="14" width="12.85546875" collapsed="false"/>
    <col min="20" max="20" customWidth="true" style="14" width="12.140625" collapsed="false"/>
    <col min="21" max="21" customWidth="true" style="14" width="6.7109375" collapsed="false"/>
    <col min="22" max="22" customWidth="true" style="14" width="5.5703125" collapsed="false"/>
    <col min="23" max="23" customWidth="true" style="14" width="12.0" collapsed="false"/>
    <col min="24" max="24" customWidth="true" style="14" width="11.85546875" collapsed="false"/>
    <col min="25" max="25" customWidth="true" style="14" width="7.28515625" collapsed="false"/>
    <col min="26" max="64" customWidth="true" style="14" width="14.42578125" collapsed="false"/>
    <col min="65" max="16384" style="14" width="11.5703125" collapsed="false"/>
  </cols>
  <sheetData>
    <row r="1" spans="1:64" ht="14.1" customHeight="1">
      <c r="A1" s="28"/>
      <c r="B1" s="21"/>
      <c r="C1" s="21"/>
      <c r="D1" s="106"/>
      <c r="E1" s="107"/>
      <c r="F1" s="19"/>
      <c r="G1" s="19"/>
      <c r="H1" s="19"/>
      <c r="I1" s="19"/>
      <c r="J1" s="19"/>
      <c r="K1" s="19"/>
      <c r="L1" s="19"/>
      <c r="M1" s="19"/>
      <c r="N1" s="19"/>
      <c r="O1" s="19"/>
      <c r="P1" s="19"/>
      <c r="Q1" s="19"/>
      <c r="R1" s="19"/>
      <c r="S1" s="19"/>
      <c r="T1" s="19"/>
      <c r="U1" s="19"/>
      <c r="V1" s="19"/>
      <c r="W1" s="19"/>
      <c r="X1" s="19"/>
      <c r="Y1" s="19"/>
      <c r="Z1" s="19"/>
    </row>
    <row r="2" spans="1:64" ht="27" customHeight="1">
      <c r="A2" s="28"/>
      <c r="B2" s="64" t="s">
        <v>0</v>
      </c>
      <c r="C2" s="28"/>
      <c r="D2" s="106"/>
      <c r="E2" s="107"/>
      <c r="P2" s="19"/>
      <c r="Q2" s="19"/>
      <c r="R2" s="19"/>
      <c r="S2" s="19"/>
      <c r="T2" s="19"/>
      <c r="U2" s="19"/>
      <c r="V2" s="19"/>
      <c r="W2" s="19"/>
      <c r="X2" s="19"/>
      <c r="Y2" s="19"/>
      <c r="Z2" s="19"/>
    </row>
    <row r="3" spans="1:64" ht="26.1" customHeight="1">
      <c r="A3" s="28"/>
      <c r="B3" s="65" t="s">
        <v>278</v>
      </c>
      <c r="C3" s="28"/>
      <c r="D3" s="106"/>
      <c r="E3" s="107"/>
    </row>
    <row r="4" spans="1:64" ht="26.1" customHeight="1">
      <c r="B4" s="27"/>
      <c r="C4" s="66"/>
      <c r="D4" s="14"/>
      <c r="E4" s="14"/>
      <c r="K4" s="19"/>
      <c r="N4" s="19"/>
      <c r="O4" s="19"/>
    </row>
    <row r="5" spans="1:64" ht="27.95" customHeight="1">
      <c r="B5" s="137" t="s">
        <v>22</v>
      </c>
      <c r="C5" s="137"/>
      <c r="D5" s="78"/>
      <c r="E5" s="108"/>
      <c r="F5" s="78"/>
      <c r="G5" s="78"/>
      <c r="H5" s="78"/>
      <c r="I5" s="78"/>
      <c r="J5" s="78"/>
      <c r="K5" s="78"/>
      <c r="L5" s="78"/>
      <c r="M5" s="78"/>
      <c r="N5" s="67"/>
      <c r="O5" s="67"/>
      <c r="AA5" s="68"/>
      <c r="AB5" s="68"/>
      <c r="AC5" s="68"/>
      <c r="AD5" s="68"/>
      <c r="AE5" s="68"/>
      <c r="AF5" s="68"/>
      <c r="AG5" s="68"/>
      <c r="AH5" s="68"/>
      <c r="AI5" s="68"/>
      <c r="AJ5" s="68"/>
      <c r="AK5" s="68"/>
      <c r="AL5" s="68"/>
      <c r="AM5" s="68"/>
      <c r="AN5" s="68"/>
      <c r="AO5" s="68"/>
      <c r="AP5" s="68"/>
      <c r="AQ5" s="68"/>
      <c r="AR5" s="68"/>
      <c r="AS5" s="68"/>
      <c r="AT5" s="68"/>
      <c r="AU5" s="68"/>
      <c r="AV5" s="68"/>
      <c r="AW5" s="68"/>
      <c r="AX5" s="68"/>
      <c r="AY5" s="68"/>
      <c r="AZ5" s="68"/>
      <c r="BA5" s="68"/>
      <c r="BB5" s="68"/>
      <c r="BC5" s="68"/>
      <c r="BD5" s="68"/>
      <c r="BE5" s="68"/>
      <c r="BF5" s="68"/>
      <c r="BG5" s="68"/>
      <c r="BH5" s="68"/>
      <c r="BI5" s="68"/>
      <c r="BJ5" s="68"/>
      <c r="BK5" s="68"/>
      <c r="BL5" s="68"/>
    </row>
    <row r="6" spans="1:64" ht="11.65" customHeight="1">
      <c r="B6" s="156"/>
      <c r="C6" s="156"/>
      <c r="D6" s="156"/>
      <c r="E6" s="157"/>
      <c r="F6" s="156"/>
      <c r="G6" s="156"/>
      <c r="H6" s="156"/>
      <c r="I6" s="156"/>
      <c r="J6" s="156"/>
      <c r="K6" s="156"/>
      <c r="L6" s="156"/>
      <c r="M6" s="156"/>
      <c r="N6" s="19"/>
      <c r="O6" s="19"/>
    </row>
    <row r="7" spans="1:64" ht="12.6" customHeight="1">
      <c r="B7" s="19"/>
      <c r="C7" s="19"/>
      <c r="D7" s="19"/>
      <c r="E7" s="107"/>
      <c r="F7" s="19"/>
      <c r="G7" s="19"/>
      <c r="H7" s="19"/>
      <c r="I7" s="19"/>
      <c r="J7" s="19"/>
      <c r="K7" s="19"/>
      <c r="L7" s="19"/>
      <c r="M7" s="19"/>
      <c r="N7" s="19"/>
      <c r="O7" s="19"/>
    </row>
    <row r="8" spans="1:64" ht="21" customHeight="1">
      <c r="B8" s="111" t="s">
        <v>319</v>
      </c>
      <c r="C8" s="19"/>
      <c r="D8" s="107"/>
      <c r="E8" s="107"/>
      <c r="F8" s="19"/>
      <c r="G8" s="19"/>
      <c r="H8" s="19"/>
      <c r="I8" s="19"/>
      <c r="J8" s="19"/>
      <c r="K8" s="19"/>
      <c r="L8" s="19"/>
      <c r="M8" s="19"/>
      <c r="N8" s="19"/>
      <c r="O8" s="19"/>
    </row>
    <row r="9" spans="1:64" ht="30" customHeight="1">
      <c r="B9" s="264" t="s">
        <v>471</v>
      </c>
      <c r="C9" s="264"/>
      <c r="D9" s="264"/>
      <c r="E9" s="264"/>
      <c r="F9" s="264"/>
      <c r="G9" s="264"/>
      <c r="H9" s="264"/>
      <c r="I9" s="264"/>
      <c r="J9" s="264"/>
      <c r="K9" s="264"/>
      <c r="L9" s="264"/>
      <c r="M9" s="264"/>
      <c r="N9" s="19"/>
      <c r="O9" s="19"/>
    </row>
    <row r="10" spans="1:64" ht="17.100000000000001" customHeight="1" thickBot="1">
      <c r="B10" s="19"/>
      <c r="C10" s="19"/>
      <c r="D10" s="107"/>
      <c r="E10" s="107"/>
      <c r="K10" s="19"/>
      <c r="L10" s="19"/>
      <c r="M10" s="19"/>
      <c r="N10" s="19"/>
      <c r="O10" s="19"/>
      <c r="P10" s="19"/>
      <c r="Q10" s="19"/>
      <c r="R10" s="19"/>
      <c r="U10" s="19"/>
      <c r="V10" s="19"/>
      <c r="W10" s="19"/>
      <c r="X10" s="19"/>
      <c r="Y10" s="19"/>
    </row>
    <row r="11" spans="1:64" ht="25.35" customHeight="1">
      <c r="B11" s="262" t="s">
        <v>152</v>
      </c>
      <c r="C11" s="263"/>
      <c r="D11" s="28"/>
      <c r="E11" s="14"/>
      <c r="F11" s="138" t="s">
        <v>23</v>
      </c>
      <c r="G11" s="136" t="s">
        <v>359</v>
      </c>
      <c r="H11" s="139" t="s">
        <v>24</v>
      </c>
      <c r="I11" s="23"/>
      <c r="J11" s="138" t="s">
        <v>25</v>
      </c>
      <c r="K11" s="136" t="s">
        <v>359</v>
      </c>
      <c r="L11" s="139" t="s">
        <v>24</v>
      </c>
      <c r="M11" s="19"/>
      <c r="N11" s="19"/>
      <c r="O11" s="19"/>
      <c r="P11" s="19"/>
      <c r="Q11" s="19"/>
      <c r="R11" s="19"/>
      <c r="U11" s="19"/>
      <c r="V11" s="19"/>
      <c r="W11" s="19"/>
      <c r="X11" s="19"/>
      <c r="Y11" s="19"/>
    </row>
    <row r="12" spans="1:64" ht="12" customHeight="1">
      <c r="B12" s="143" t="s">
        <v>90</v>
      </c>
      <c r="C12" s="57" t="n">
        <f>COUNTIF($B$18:$B$4076,B12)</f>
        <v>9.0</v>
      </c>
      <c r="D12" s="28"/>
      <c r="E12" s="14"/>
      <c r="F12" s="62" t="s">
        <v>26</v>
      </c>
      <c r="G12" s="61" t="n">
        <f ca="1">J20+J58+J96+J134+J172+J210+J248+J286+J324</f>
        <v>0.0</v>
      </c>
      <c r="H12" s="53" t="n">
        <f ca="1">IF(($G$15+$K$15)=0,0,G12/($G$15+$K$15))</f>
        <v>0.0</v>
      </c>
      <c r="I12" s="28"/>
      <c r="J12" s="60" t="s">
        <v>27</v>
      </c>
      <c r="K12" s="61" t="n">
        <f ca="1">G20+G58+G96+G134+G172+G210+G248+G286+G324</f>
        <v>0.0</v>
      </c>
      <c r="L12" s="53" t="n">
        <f ca="1">IF(($G$15+$K$15)=0,0,K12/($G$15+$K$15))</f>
        <v>0.0</v>
      </c>
      <c r="M12" s="19"/>
      <c r="N12" s="19"/>
      <c r="O12" s="19"/>
      <c r="P12" s="19"/>
      <c r="Q12" s="19"/>
      <c r="R12" s="19"/>
      <c r="U12" s="19"/>
      <c r="V12" s="19"/>
      <c r="W12" s="19"/>
      <c r="X12" s="19"/>
      <c r="Y12" s="19"/>
    </row>
    <row r="13" spans="1:64" ht="12" customHeight="1">
      <c r="B13" s="56"/>
      <c r="C13" s="57"/>
      <c r="D13" s="28"/>
      <c r="E13" s="14"/>
      <c r="F13" s="62" t="s">
        <v>28</v>
      </c>
      <c r="G13" s="61" t="n">
        <f ca="1">I20+I58+I96+I134+I172+I210+I248+I286+I324</f>
        <v>0.0</v>
      </c>
      <c r="H13" s="53" t="n">
        <f ca="1">IF(($G$15+$K$15)=0,0,G13/($G$15+$K$15))</f>
        <v>0.0</v>
      </c>
      <c r="I13" s="28"/>
      <c r="J13" s="60" t="s">
        <v>29</v>
      </c>
      <c r="K13" s="61" t="n">
        <f ca="1">F20+F58+F96+F134+F172+F210+F248+F286+F324</f>
        <v>297.0</v>
      </c>
      <c r="L13" s="53" t="n">
        <f ca="1">IF(($G$15+$K$15)=0,0,K13/($G$15+$K$15))</f>
        <v>1.0</v>
      </c>
      <c r="M13" s="19"/>
      <c r="N13" s="19"/>
      <c r="O13" s="19"/>
      <c r="P13" s="19"/>
      <c r="Q13" s="19"/>
      <c r="R13" s="19"/>
      <c r="U13" s="19"/>
      <c r="V13" s="19"/>
      <c r="W13" s="19"/>
      <c r="X13" s="19"/>
      <c r="Y13" s="19"/>
    </row>
    <row r="14" spans="1:64" ht="12" customHeight="1" thickBot="1">
      <c r="B14" s="58" t="s">
        <v>30</v>
      </c>
      <c r="C14" s="59" t="n">
        <f>C12+C13</f>
        <v>9.0</v>
      </c>
      <c r="D14" s="28"/>
      <c r="E14" s="14"/>
      <c r="F14" s="62" t="s">
        <v>31</v>
      </c>
      <c r="G14" s="61" t="n">
        <f ca="1">H20+H58+H96+H134+H172+H210+H248+H286+H324</f>
        <v>0.0</v>
      </c>
      <c r="H14" s="53" t="n">
        <f ca="1">IF(($G$15+$K$15)=0,0,G14/($G$15+$K$15))</f>
        <v>0.0</v>
      </c>
      <c r="I14" s="28"/>
      <c r="J14" s="231" t="s">
        <v>474</v>
      </c>
      <c r="K14" s="232" t="n">
        <f ca="1">K20+K58+K96+K134+K172+K210+K248+K286+K324</f>
        <v>0.0</v>
      </c>
      <c r="L14" s="53" t="n">
        <f ca="1">IF(($G$15+$K$15)=0,0,K14/($G$15+$K$15))</f>
        <v>0.0</v>
      </c>
      <c r="M14" s="19"/>
      <c r="N14" s="19"/>
      <c r="O14" s="19"/>
      <c r="P14" s="19"/>
      <c r="Q14" s="19"/>
      <c r="R14" s="19"/>
      <c r="U14" s="19"/>
      <c r="V14" s="19"/>
      <c r="W14" s="19"/>
      <c r="X14" s="19"/>
      <c r="Y14" s="19"/>
    </row>
    <row r="15" spans="1:64" ht="12" customHeight="1" thickBot="1">
      <c r="B15" s="23"/>
      <c r="C15" s="28"/>
      <c r="D15" s="28"/>
      <c r="E15" s="14"/>
      <c r="F15" s="58" t="s">
        <v>30</v>
      </c>
      <c r="G15" s="49" t="n">
        <f ca="1">SUM(G12:G14)</f>
        <v>0.0</v>
      </c>
      <c r="H15" s="55" t="n">
        <f ca="1">SUM(H12:H14)</f>
        <v>0.0</v>
      </c>
      <c r="I15" s="28"/>
      <c r="J15" s="58" t="s">
        <v>30</v>
      </c>
      <c r="K15" s="49" t="n">
        <f ca="1">SUM(K12:K13)</f>
        <v>297.0</v>
      </c>
      <c r="L15" s="55" t="n">
        <f ca="1">SUM(L12:L13)</f>
        <v>1.0</v>
      </c>
      <c r="M15" s="19"/>
      <c r="N15" s="19"/>
      <c r="O15" s="19"/>
      <c r="P15" s="19"/>
      <c r="Q15" s="19"/>
      <c r="R15" s="19"/>
      <c r="U15" s="19"/>
      <c r="V15" s="19"/>
      <c r="W15" s="19"/>
      <c r="X15" s="19"/>
      <c r="Y15" s="19"/>
    </row>
    <row r="16" spans="1:64" ht="12" customHeight="1">
      <c r="B16" s="19"/>
      <c r="C16" s="19"/>
      <c r="D16" s="28"/>
      <c r="E16" s="28"/>
      <c r="F16" s="28"/>
      <c r="G16" s="28"/>
      <c r="H16" s="28"/>
      <c r="I16" s="28"/>
      <c r="J16" s="28"/>
      <c r="K16" s="28"/>
      <c r="L16" s="19"/>
      <c r="M16" s="19"/>
      <c r="N16" s="19"/>
      <c r="O16" s="19"/>
      <c r="P16" s="19"/>
      <c r="Q16" s="19"/>
      <c r="R16" s="19"/>
      <c r="U16" s="19"/>
      <c r="V16" s="19"/>
      <c r="W16" s="19"/>
      <c r="X16" s="19"/>
      <c r="Y16" s="19"/>
    </row>
    <row r="17" spans="1:30" ht="12" customHeight="1">
      <c r="B17" s="19"/>
      <c r="C17" s="19"/>
      <c r="D17" s="107"/>
      <c r="E17" s="112"/>
      <c r="K17" s="19"/>
      <c r="L17" s="19"/>
      <c r="M17" s="19"/>
    </row>
    <row r="18" spans="1:30" ht="29.85" customHeight="1">
      <c r="A18" s="218" t="s">
        <v>268</v>
      </c>
      <c r="B18" s="24" t="s">
        <v>90</v>
      </c>
      <c r="C18" s="25" t="s">
        <v>255</v>
      </c>
      <c r="D18" s="26" t="s">
        <v>32</v>
      </c>
      <c r="K18" s="19"/>
      <c r="L18" s="19"/>
    </row>
    <row r="19" spans="1:30" ht="12" customHeight="1">
      <c r="A19" s="219" t="n" cm="1">
        <f t="array" ref="A19">IFERROR(INDEX('03.Muestra'!$B$8:$B$42,SMALL(IF("Página Web"='03.Muestra'!$D$8:$D$42,ROW('03.Muestra'!$B$8:$B$42)-MIN(ROW('03.Muestra'!$D$8:$D$42))+1,""),ROW()-18)),"")</f>
        <v>1.0</v>
      </c>
      <c r="B19" s="114" t="str" cm="1">
        <f t="array" ref="B19">IFERROR(INDEX('03.Muestra'!$C$8:$C$42,SMALL(IF("Página Web"='03.Muestra'!$D$8:$D$42,ROW('03.Muestra'!$C$8:$C$42)-MIN(ROW('03.Muestra'!$D$8:$D$42))+1,""),ROW()-18)),"")</f>
        <v>Home - PortCastelló</v>
      </c>
      <c r="C19" s="114" t="str" cm="1">
        <f t="array" ref="C19">IFERROR(INDEX('03.Muestra'!$F$8:$F$42,SMALL(IF("Página Web"='03.Muestra'!$D$8:$D$42,ROW('03.Muestra'!$F$8:$F$42)-MIN(ROW('03.Muestra'!$D$8:$D$42))+1,""),ROW()-18)),"")</f>
        <v>https://www.portcastello.com/</v>
      </c>
      <c r="D19" s="130" t="str">
        <f>IF(AND(B19&lt;&gt;"",C19&lt;&gt;""),"N/T","")</f>
        <v>N/T</v>
      </c>
      <c r="E19" s="107" t="str">
        <f t="shared" ref="E19:E53" si="0">IF(D19&lt;&gt;"",IF(AND(B19&lt;&gt;"",C19&lt;&gt;""),"","ERR"),"")</f>
        <v/>
      </c>
      <c r="F19" s="115" t="s">
        <v>33</v>
      </c>
      <c r="G19" s="116" t="s">
        <v>37</v>
      </c>
      <c r="H19" s="117" t="s">
        <v>35</v>
      </c>
      <c r="I19" s="118" t="s">
        <v>28</v>
      </c>
      <c r="J19" s="119" t="s">
        <v>26</v>
      </c>
      <c r="K19" s="226" t="s">
        <v>474</v>
      </c>
      <c r="L19" s="19"/>
    </row>
    <row r="20" spans="1:30" ht="12" customHeight="1">
      <c r="A20" s="219" t="n" cm="1">
        <f t="array" ref="A20">IFERROR(INDEX('03.Muestra'!$B$8:$B$42,SMALL(IF("Página Web"='03.Muestra'!$D$8:$D$42,ROW('03.Muestra'!$B$8:$B$42)-MIN(ROW('03.Muestra'!$D$8:$D$42))+1,""),ROW()-18)),"")</f>
        <v>1.0</v>
      </c>
      <c r="B20" s="114" t="str" cm="1">
        <f t="array" ref="B20">IFERROR(INDEX('03.Muestra'!$C$8:$C$42,SMALL(IF("Página Web"='03.Muestra'!$D$8:$D$42,ROW('03.Muestra'!$C$8:$C$42)-MIN(ROW('03.Muestra'!$D$8:$D$42))+1,""),ROW()-18)),"")</f>
        <v>Home - PortCastelló</v>
      </c>
      <c r="C20" s="114" t="str" cm="1">
        <f t="array" ref="C20">IFERROR(INDEX('03.Muestra'!$F$8:$F$42,SMALL(IF("Página Web"='03.Muestra'!$D$8:$D$42,ROW('03.Muestra'!$F$8:$F$42)-MIN(ROW('03.Muestra'!$D$8:$D$42))+1,""),ROW()-18)),"")</f>
        <v>https://www.portcastello.com/</v>
      </c>
      <c r="D20" s="130" t="str">
        <f t="shared" ref="D20:D53" si="1">IF(AND(B20&lt;&gt;"",C20&lt;&gt;""),"N/T","")</f>
        <v>N/T</v>
      </c>
      <c r="E20" s="107" t="str">
        <f t="shared" si="0"/>
        <v/>
      </c>
      <c r="F20" s="120" t="n">
        <f ca="1">COUNTIF($D19:INDIRECT("$D" &amp;  SUM(ROW()-1,'03.Muestra'!$D$45)-1),F19)</f>
        <v>33.0</v>
      </c>
      <c r="G20" s="120" t="n">
        <f ca="1">COUNTIF($D19:INDIRECT("$D" &amp;  SUM(ROW()-1,'03.Muestra'!$D$45)-1),G19)</f>
        <v>0.0</v>
      </c>
      <c r="H20" s="120" t="n">
        <f ca="1">COUNTIF($D19:INDIRECT("$D" &amp;  SUM(ROW()-1,'03.Muestra'!$D$45)-1),H19)</f>
        <v>0.0</v>
      </c>
      <c r="I20" s="120" t="n">
        <f ca="1">COUNTIF($D19:INDIRECT("$D" &amp;  SUM(ROW()-1,'03.Muestra'!$D$45)-1),I19)</f>
        <v>0.0</v>
      </c>
      <c r="J20" s="120" t="n">
        <f ca="1">COUNTIF($D19:INDIRECT("$D" &amp;  SUM(ROW()-1,'03.Muestra'!$D$45)-1),J19)</f>
        <v>0.0</v>
      </c>
      <c r="K20" s="227" t="n">
        <f ca="1">IF(COUNTIF('03.Muestra'!$D$8:$D$42,"Página Web")=0,0,COUNTBLANK($D19:INDIRECT("$D" &amp;  SUM(ROW()-1,COUNTIF('03.Muestra'!$D$8:$D$42,"Página Web"))-1)))</f>
        <v>0.0</v>
      </c>
      <c r="L20" s="19"/>
    </row>
    <row r="21" spans="1:30" ht="12" customHeight="1">
      <c r="A21" s="219" t="n" cm="1">
        <f t="array" ref="A21">IFERROR(INDEX('03.Muestra'!$B$8:$B$42,SMALL(IF("Página Web"='03.Muestra'!$D$8:$D$42,ROW('03.Muestra'!$B$8:$B$42)-MIN(ROW('03.Muestra'!$D$8:$D$42))+1,""),ROW()-18)),"")</f>
        <v>1.0</v>
      </c>
      <c r="B21" s="114" t="str" cm="1">
        <f t="array" ref="B21">IFERROR(INDEX('03.Muestra'!$C$8:$C$42,SMALL(IF("Página Web"='03.Muestra'!$D$8:$D$42,ROW('03.Muestra'!$C$8:$C$42)-MIN(ROW('03.Muestra'!$D$8:$D$42))+1,""),ROW()-18)),"")</f>
        <v>Home - PortCastelló</v>
      </c>
      <c r="C21" s="114" t="str" cm="1">
        <f t="array" ref="C21">IFERROR(INDEX('03.Muestra'!$F$8:$F$42,SMALL(IF("Página Web"='03.Muestra'!$D$8:$D$42,ROW('03.Muestra'!$F$8:$F$42)-MIN(ROW('03.Muestra'!$D$8:$D$42))+1,""),ROW()-18)),"")</f>
        <v>https://www.portcastello.com/</v>
      </c>
      <c r="D21" s="130" t="str">
        <f t="shared" si="1"/>
        <v>N/T</v>
      </c>
      <c r="E21" s="107" t="str">
        <f t="shared" si="0"/>
        <v/>
      </c>
      <c r="F21" s="19"/>
      <c r="G21" s="19"/>
      <c r="H21" s="19"/>
      <c r="I21" s="19"/>
      <c r="J21" s="19"/>
      <c r="K21" s="19"/>
    </row>
    <row r="22" spans="1:30" ht="12" customHeight="1">
      <c r="A22" s="219" t="n" cm="1">
        <f t="array" ref="A22">IFERROR(INDEX('03.Muestra'!$B$8:$B$42,SMALL(IF("Página Web"='03.Muestra'!$D$8:$D$42,ROW('03.Muestra'!$B$8:$B$42)-MIN(ROW('03.Muestra'!$D$8:$D$42))+1,""),ROW()-18)),"")</f>
        <v>1.0</v>
      </c>
      <c r="B22" s="114" t="str" cm="1">
        <f t="array" ref="B22">IFERROR(INDEX('03.Muestra'!$C$8:$C$42,SMALL(IF("Página Web"='03.Muestra'!$D$8:$D$42,ROW('03.Muestra'!$C$8:$C$42)-MIN(ROW('03.Muestra'!$D$8:$D$42))+1,""),ROW()-18)),"")</f>
        <v>Home - PortCastelló</v>
      </c>
      <c r="C22" s="114" t="str" cm="1">
        <f t="array" ref="C22">IFERROR(INDEX('03.Muestra'!$F$8:$F$42,SMALL(IF("Página Web"='03.Muestra'!$D$8:$D$42,ROW('03.Muestra'!$F$8:$F$42)-MIN(ROW('03.Muestra'!$D$8:$D$42))+1,""),ROW()-18)),"")</f>
        <v>https://www.portcastello.com/</v>
      </c>
      <c r="D22" s="130" t="str">
        <f t="shared" si="1"/>
        <v>N/T</v>
      </c>
      <c r="E22" s="107" t="str">
        <f t="shared" si="0"/>
        <v/>
      </c>
      <c r="F22" s="19"/>
      <c r="G22" s="19"/>
      <c r="H22" s="19"/>
      <c r="I22" s="19"/>
      <c r="K22" s="214" t="s">
        <v>33</v>
      </c>
      <c r="L22" s="121" t="s">
        <v>34</v>
      </c>
    </row>
    <row r="23" spans="1:30" ht="12" customHeight="1">
      <c r="A23" s="219" t="n" cm="1">
        <f t="array" ref="A23">IFERROR(INDEX('03.Muestra'!$B$8:$B$42,SMALL(IF("Página Web"='03.Muestra'!$D$8:$D$42,ROW('03.Muestra'!$B$8:$B$42)-MIN(ROW('03.Muestra'!$D$8:$D$42))+1,""),ROW()-18)),"")</f>
        <v>1.0</v>
      </c>
      <c r="B23" s="114" t="str" cm="1">
        <f t="array" ref="B23">IFERROR(INDEX('03.Muestra'!$C$8:$C$42,SMALL(IF("Página Web"='03.Muestra'!$D$8:$D$42,ROW('03.Muestra'!$C$8:$C$42)-MIN(ROW('03.Muestra'!$D$8:$D$42))+1,""),ROW()-18)),"")</f>
        <v>Home - PortCastelló</v>
      </c>
      <c r="C23" s="114" t="str" cm="1">
        <f t="array" ref="C23">IFERROR(INDEX('03.Muestra'!$F$8:$F$42,SMALL(IF("Página Web"='03.Muestra'!$D$8:$D$42,ROW('03.Muestra'!$F$8:$F$42)-MIN(ROW('03.Muestra'!$D$8:$D$42))+1,""),ROW()-18)),"")</f>
        <v>https://www.portcastello.com/</v>
      </c>
      <c r="D23" s="130" t="str">
        <f t="shared" si="1"/>
        <v>N/T</v>
      </c>
      <c r="E23" s="107" t="str">
        <f t="shared" si="0"/>
        <v/>
      </c>
      <c r="F23" s="122"/>
      <c r="G23" s="19"/>
      <c r="H23" s="19"/>
      <c r="I23" s="19"/>
      <c r="K23" s="117" t="s">
        <v>35</v>
      </c>
      <c r="L23" s="121" t="s">
        <v>36</v>
      </c>
    </row>
    <row r="24" spans="1:30" ht="12" customHeight="1">
      <c r="A24" s="219" t="n" cm="1">
        <f t="array" ref="A24">IFERROR(INDEX('03.Muestra'!$B$8:$B$42,SMALL(IF("Página Web"='03.Muestra'!$D$8:$D$42,ROW('03.Muestra'!$B$8:$B$42)-MIN(ROW('03.Muestra'!$D$8:$D$42))+1,""),ROW()-18)),"")</f>
        <v>1.0</v>
      </c>
      <c r="B24" s="114" t="str" cm="1">
        <f t="array" ref="B24">IFERROR(INDEX('03.Muestra'!$C$8:$C$42,SMALL(IF("Página Web"='03.Muestra'!$D$8:$D$42,ROW('03.Muestra'!$C$8:$C$42)-MIN(ROW('03.Muestra'!$D$8:$D$42))+1,""),ROW()-18)),"")</f>
        <v>Home - PortCastelló</v>
      </c>
      <c r="C24" s="114" t="str" cm="1">
        <f t="array" ref="C24">IFERROR(INDEX('03.Muestra'!$F$8:$F$42,SMALL(IF("Página Web"='03.Muestra'!$D$8:$D$42,ROW('03.Muestra'!$F$8:$F$42)-MIN(ROW('03.Muestra'!$D$8:$D$42))+1,""),ROW()-18)),"")</f>
        <v>https://www.portcastello.com/</v>
      </c>
      <c r="D24" s="130" t="str">
        <f t="shared" si="1"/>
        <v>N/T</v>
      </c>
      <c r="E24" s="107" t="str">
        <f t="shared" si="0"/>
        <v/>
      </c>
      <c r="F24" s="19"/>
      <c r="G24" s="19"/>
      <c r="H24" s="19"/>
      <c r="I24" s="19"/>
      <c r="K24" s="116" t="s">
        <v>37</v>
      </c>
      <c r="L24" s="121" t="s">
        <v>38</v>
      </c>
      <c r="AD24" s="19"/>
    </row>
    <row r="25" spans="1:30" ht="12" customHeight="1">
      <c r="A25" s="219" t="n" cm="1">
        <f t="array" ref="A25">IFERROR(INDEX('03.Muestra'!$B$8:$B$42,SMALL(IF("Página Web"='03.Muestra'!$D$8:$D$42,ROW('03.Muestra'!$B$8:$B$42)-MIN(ROW('03.Muestra'!$D$8:$D$42))+1,""),ROW()-18)),"")</f>
        <v>1.0</v>
      </c>
      <c r="B25" s="114" t="str" cm="1">
        <f t="array" ref="B25">IFERROR(INDEX('03.Muestra'!$C$8:$C$42,SMALL(IF("Página Web"='03.Muestra'!$D$8:$D$42,ROW('03.Muestra'!$C$8:$C$42)-MIN(ROW('03.Muestra'!$D$8:$D$42))+1,""),ROW()-18)),"")</f>
        <v>Home - PortCastelló</v>
      </c>
      <c r="C25" s="114" t="str" cm="1">
        <f t="array" ref="C25">IFERROR(INDEX('03.Muestra'!$F$8:$F$42,SMALL(IF("Página Web"='03.Muestra'!$D$8:$D$42,ROW('03.Muestra'!$F$8:$F$42)-MIN(ROW('03.Muestra'!$D$8:$D$42))+1,""),ROW()-18)),"")</f>
        <v>https://www.portcastello.com/</v>
      </c>
      <c r="D25" s="130" t="str">
        <f t="shared" si="1"/>
        <v>N/T</v>
      </c>
      <c r="E25" s="107" t="str">
        <f t="shared" si="0"/>
        <v/>
      </c>
      <c r="F25" s="19"/>
      <c r="G25" s="19"/>
      <c r="H25" s="19"/>
      <c r="I25" s="19"/>
      <c r="J25" s="19"/>
      <c r="L25" s="121"/>
      <c r="AD25" s="19"/>
    </row>
    <row r="26" spans="1:30" ht="12" customHeight="1">
      <c r="A26" s="219" t="n" cm="1">
        <f t="array" ref="A26">IFERROR(INDEX('03.Muestra'!$B$8:$B$42,SMALL(IF("Página Web"='03.Muestra'!$D$8:$D$42,ROW('03.Muestra'!$B$8:$B$42)-MIN(ROW('03.Muestra'!$D$8:$D$42))+1,""),ROW()-18)),"")</f>
        <v>1.0</v>
      </c>
      <c r="B26" s="114" t="str" cm="1">
        <f t="array" ref="B26">IFERROR(INDEX('03.Muestra'!$C$8:$C$42,SMALL(IF("Página Web"='03.Muestra'!$D$8:$D$42,ROW('03.Muestra'!$C$8:$C$42)-MIN(ROW('03.Muestra'!$D$8:$D$42))+1,""),ROW()-18)),"")</f>
        <v>Home - PortCastelló</v>
      </c>
      <c r="C26" s="114" t="str" cm="1">
        <f t="array" ref="C26">IFERROR(INDEX('03.Muestra'!$F$8:$F$42,SMALL(IF("Página Web"='03.Muestra'!$D$8:$D$42,ROW('03.Muestra'!$F$8:$F$42)-MIN(ROW('03.Muestra'!$D$8:$D$42))+1,""),ROW()-18)),"")</f>
        <v>https://www.portcastello.com/</v>
      </c>
      <c r="D26" s="130" t="str">
        <f t="shared" si="1"/>
        <v>N/T</v>
      </c>
      <c r="E26" s="107" t="str">
        <f t="shared" si="0"/>
        <v/>
      </c>
      <c r="F26" s="19"/>
      <c r="G26" s="19"/>
      <c r="H26" s="19"/>
      <c r="I26" s="19"/>
      <c r="J26" s="19"/>
      <c r="K26" s="19"/>
      <c r="L26" s="19"/>
      <c r="AD26" s="19"/>
    </row>
    <row r="27" spans="1:30" ht="12" customHeight="1">
      <c r="A27" s="219" t="n" cm="1">
        <f t="array" ref="A27">IFERROR(INDEX('03.Muestra'!$B$8:$B$42,SMALL(IF("Página Web"='03.Muestra'!$D$8:$D$42,ROW('03.Muestra'!$B$8:$B$42)-MIN(ROW('03.Muestra'!$D$8:$D$42))+1,""),ROW()-18)),"")</f>
        <v>1.0</v>
      </c>
      <c r="B27" s="114" t="str" cm="1">
        <f t="array" ref="B27">IFERROR(INDEX('03.Muestra'!$C$8:$C$42,SMALL(IF("Página Web"='03.Muestra'!$D$8:$D$42,ROW('03.Muestra'!$C$8:$C$42)-MIN(ROW('03.Muestra'!$D$8:$D$42))+1,""),ROW()-18)),"")</f>
        <v>Home - PortCastelló</v>
      </c>
      <c r="C27" s="114" t="str" cm="1">
        <f t="array" ref="C27">IFERROR(INDEX('03.Muestra'!$F$8:$F$42,SMALL(IF("Página Web"='03.Muestra'!$D$8:$D$42,ROW('03.Muestra'!$F$8:$F$42)-MIN(ROW('03.Muestra'!$D$8:$D$42))+1,""),ROW()-18)),"")</f>
        <v>https://www.portcastello.com/</v>
      </c>
      <c r="D27" s="130" t="str">
        <f t="shared" si="1"/>
        <v>N/T</v>
      </c>
      <c r="E27" s="107" t="str">
        <f t="shared" si="0"/>
        <v/>
      </c>
      <c r="F27" s="19"/>
      <c r="G27" s="19"/>
      <c r="H27" s="19"/>
      <c r="I27" s="19"/>
      <c r="J27" s="19"/>
      <c r="Q27" s="19"/>
      <c r="R27" s="19"/>
      <c r="T27" s="19"/>
      <c r="U27" s="19"/>
      <c r="AD27" s="19"/>
    </row>
    <row r="28" spans="1:30" ht="12" customHeight="1">
      <c r="A28" s="219" t="n" cm="1">
        <f t="array" ref="A28">IFERROR(INDEX('03.Muestra'!$B$8:$B$42,SMALL(IF("Página Web"='03.Muestra'!$D$8:$D$42,ROW('03.Muestra'!$B$8:$B$42)-MIN(ROW('03.Muestra'!$D$8:$D$42))+1,""),ROW()-18)),"")</f>
        <v>1.0</v>
      </c>
      <c r="B28" s="114" t="str" cm="1">
        <f t="array" ref="B28">IFERROR(INDEX('03.Muestra'!$C$8:$C$42,SMALL(IF("Página Web"='03.Muestra'!$D$8:$D$42,ROW('03.Muestra'!$C$8:$C$42)-MIN(ROW('03.Muestra'!$D$8:$D$42))+1,""),ROW()-18)),"")</f>
        <v>Home - PortCastelló</v>
      </c>
      <c r="C28" s="114" t="str" cm="1">
        <f t="array" ref="C28">IFERROR(INDEX('03.Muestra'!$F$8:$F$42,SMALL(IF("Página Web"='03.Muestra'!$D$8:$D$42,ROW('03.Muestra'!$F$8:$F$42)-MIN(ROW('03.Muestra'!$D$8:$D$42))+1,""),ROW()-18)),"")</f>
        <v>https://www.portcastello.com/</v>
      </c>
      <c r="D28" s="130" t="str">
        <f t="shared" si="1"/>
        <v>N/T</v>
      </c>
      <c r="E28" s="107" t="str">
        <f t="shared" si="0"/>
        <v/>
      </c>
      <c r="F28" s="19"/>
      <c r="G28" s="19"/>
      <c r="H28" s="19"/>
      <c r="I28" s="19"/>
      <c r="J28" s="19"/>
      <c r="N28" s="19"/>
      <c r="O28" s="19"/>
      <c r="P28" s="19"/>
      <c r="Q28" s="19"/>
      <c r="R28" s="19"/>
      <c r="T28" s="19"/>
      <c r="U28" s="19"/>
      <c r="AD28" s="19"/>
    </row>
    <row r="29" spans="1:30" ht="12" customHeight="1">
      <c r="A29" s="219" t="n" cm="1">
        <f t="array" ref="A29">IFERROR(INDEX('03.Muestra'!$B$8:$B$42,SMALL(IF("Página Web"='03.Muestra'!$D$8:$D$42,ROW('03.Muestra'!$B$8:$B$42)-MIN(ROW('03.Muestra'!$D$8:$D$42))+1,""),ROW()-18)),"")</f>
        <v>1.0</v>
      </c>
      <c r="B29" s="114" t="str" cm="1">
        <f t="array" ref="B29">IFERROR(INDEX('03.Muestra'!$C$8:$C$42,SMALL(IF("Página Web"='03.Muestra'!$D$8:$D$42,ROW('03.Muestra'!$C$8:$C$42)-MIN(ROW('03.Muestra'!$D$8:$D$42))+1,""),ROW()-18)),"")</f>
        <v>Home - PortCastelló</v>
      </c>
      <c r="C29" s="114" t="str" cm="1">
        <f t="array" ref="C29">IFERROR(INDEX('03.Muestra'!$F$8:$F$42,SMALL(IF("Página Web"='03.Muestra'!$D$8:$D$42,ROW('03.Muestra'!$F$8:$F$42)-MIN(ROW('03.Muestra'!$D$8:$D$42))+1,""),ROW()-18)),"")</f>
        <v>https://www.portcastello.com/</v>
      </c>
      <c r="D29" s="130" t="str">
        <f t="shared" si="1"/>
        <v>N/T</v>
      </c>
      <c r="E29" s="107" t="str">
        <f t="shared" si="0"/>
        <v/>
      </c>
      <c r="F29" s="19"/>
      <c r="G29" s="19"/>
      <c r="H29" s="19"/>
      <c r="I29" s="19"/>
      <c r="J29" s="19"/>
      <c r="P29" s="19"/>
      <c r="Q29" s="121"/>
      <c r="R29" s="121"/>
      <c r="T29" s="19"/>
      <c r="U29" s="19"/>
      <c r="V29" s="19"/>
      <c r="W29" s="19"/>
      <c r="X29" s="19"/>
      <c r="Y29" s="19"/>
    </row>
    <row r="30" spans="1:30" ht="12" customHeight="1">
      <c r="A30" s="219" t="n" cm="1">
        <f t="array" ref="A30">IFERROR(INDEX('03.Muestra'!$B$8:$B$42,SMALL(IF("Página Web"='03.Muestra'!$D$8:$D$42,ROW('03.Muestra'!$B$8:$B$42)-MIN(ROW('03.Muestra'!$D$8:$D$42))+1,""),ROW()-18)),"")</f>
        <v>1.0</v>
      </c>
      <c r="B30" s="114" t="str" cm="1">
        <f t="array" ref="B30">IFERROR(INDEX('03.Muestra'!$C$8:$C$42,SMALL(IF("Página Web"='03.Muestra'!$D$8:$D$42,ROW('03.Muestra'!$C$8:$C$42)-MIN(ROW('03.Muestra'!$D$8:$D$42))+1,""),ROW()-18)),"")</f>
        <v>Home - PortCastelló</v>
      </c>
      <c r="C30" s="114" t="str" cm="1">
        <f t="array" ref="C30">IFERROR(INDEX('03.Muestra'!$F$8:$F$42,SMALL(IF("Página Web"='03.Muestra'!$D$8:$D$42,ROW('03.Muestra'!$F$8:$F$42)-MIN(ROW('03.Muestra'!$D$8:$D$42))+1,""),ROW()-18)),"")</f>
        <v>https://www.portcastello.com/</v>
      </c>
      <c r="D30" s="130" t="str">
        <f t="shared" si="1"/>
        <v>N/T</v>
      </c>
      <c r="E30" s="107" t="str">
        <f t="shared" si="0"/>
        <v/>
      </c>
      <c r="F30" s="19"/>
      <c r="G30" s="19"/>
      <c r="H30" s="19"/>
      <c r="I30" s="19"/>
      <c r="J30" s="19"/>
      <c r="K30" s="19"/>
      <c r="L30" s="19"/>
      <c r="O30" s="19"/>
      <c r="P30" s="19"/>
      <c r="Q30" s="19"/>
      <c r="R30" s="19"/>
      <c r="T30" s="19"/>
      <c r="U30" s="19"/>
      <c r="V30" s="19"/>
      <c r="W30" s="19"/>
      <c r="X30" s="19"/>
      <c r="Y30" s="19"/>
    </row>
    <row r="31" spans="1:30" ht="12" customHeight="1">
      <c r="A31" s="219" t="n" cm="1">
        <f t="array" ref="A31">IFERROR(INDEX('03.Muestra'!$B$8:$B$42,SMALL(IF("Página Web"='03.Muestra'!$D$8:$D$42,ROW('03.Muestra'!$B$8:$B$42)-MIN(ROW('03.Muestra'!$D$8:$D$42))+1,""),ROW()-18)),"")</f>
        <v>1.0</v>
      </c>
      <c r="B31" s="114" t="str" cm="1">
        <f t="array" ref="B31">IFERROR(INDEX('03.Muestra'!$C$8:$C$42,SMALL(IF("Página Web"='03.Muestra'!$D$8:$D$42,ROW('03.Muestra'!$C$8:$C$42)-MIN(ROW('03.Muestra'!$D$8:$D$42))+1,""),ROW()-18)),"")</f>
        <v>Home - PortCastelló</v>
      </c>
      <c r="C31" s="114" t="str" cm="1">
        <f t="array" ref="C31">IFERROR(INDEX('03.Muestra'!$F$8:$F$42,SMALL(IF("Página Web"='03.Muestra'!$D$8:$D$42,ROW('03.Muestra'!$F$8:$F$42)-MIN(ROW('03.Muestra'!$D$8:$D$42))+1,""),ROW()-18)),"")</f>
        <v>https://www.portcastello.com/</v>
      </c>
      <c r="D31" s="130" t="str">
        <f t="shared" si="1"/>
        <v>N/T</v>
      </c>
      <c r="E31" s="107" t="str">
        <f t="shared" si="0"/>
        <v/>
      </c>
      <c r="F31" s="19"/>
      <c r="G31" s="19"/>
      <c r="H31" s="19"/>
      <c r="I31" s="19"/>
      <c r="J31" s="19"/>
      <c r="K31" s="19"/>
      <c r="L31" s="19"/>
      <c r="O31" s="19"/>
      <c r="P31" s="19"/>
      <c r="Q31" s="19"/>
      <c r="R31" s="19"/>
      <c r="T31" s="19"/>
      <c r="U31" s="19"/>
      <c r="V31" s="19"/>
      <c r="W31" s="19"/>
      <c r="X31" s="19"/>
      <c r="Y31" s="19"/>
    </row>
    <row r="32" spans="1:30" ht="12" customHeight="1">
      <c r="A32" s="219" t="n" cm="1">
        <f t="array" ref="A32">IFERROR(INDEX('03.Muestra'!$B$8:$B$42,SMALL(IF("Página Web"='03.Muestra'!$D$8:$D$42,ROW('03.Muestra'!$B$8:$B$42)-MIN(ROW('03.Muestra'!$D$8:$D$42))+1,""),ROW()-18)),"")</f>
        <v>1.0</v>
      </c>
      <c r="B32" s="114" t="str" cm="1">
        <f t="array" ref="B32">IFERROR(INDEX('03.Muestra'!$C$8:$C$42,SMALL(IF("Página Web"='03.Muestra'!$D$8:$D$42,ROW('03.Muestra'!$C$8:$C$42)-MIN(ROW('03.Muestra'!$D$8:$D$42))+1,""),ROW()-18)),"")</f>
        <v>Home - PortCastelló</v>
      </c>
      <c r="C32" s="114" t="str" cm="1">
        <f t="array" ref="C32">IFERROR(INDEX('03.Muestra'!$F$8:$F$42,SMALL(IF("Página Web"='03.Muestra'!$D$8:$D$42,ROW('03.Muestra'!$F$8:$F$42)-MIN(ROW('03.Muestra'!$D$8:$D$42))+1,""),ROW()-18)),"")</f>
        <v>https://www.portcastello.com/</v>
      </c>
      <c r="D32" s="130" t="str">
        <f t="shared" si="1"/>
        <v>N/T</v>
      </c>
      <c r="E32" s="107" t="str">
        <f t="shared" si="0"/>
        <v/>
      </c>
      <c r="F32" s="19"/>
      <c r="G32" s="19"/>
      <c r="H32" s="19"/>
      <c r="I32" s="19"/>
      <c r="J32" s="19"/>
      <c r="K32" s="19"/>
      <c r="L32" s="19"/>
      <c r="O32" s="19"/>
      <c r="P32" s="19"/>
      <c r="Q32" s="19"/>
      <c r="R32" s="19"/>
      <c r="T32" s="19"/>
      <c r="U32" s="19"/>
      <c r="V32" s="19"/>
      <c r="W32" s="19"/>
      <c r="X32" s="19"/>
      <c r="Y32" s="19"/>
    </row>
    <row r="33" spans="1:25" ht="12" customHeight="1">
      <c r="A33" s="219" t="n" cm="1">
        <f t="array" ref="A33">IFERROR(INDEX('03.Muestra'!$B$8:$B$42,SMALL(IF("Página Web"='03.Muestra'!$D$8:$D$42,ROW('03.Muestra'!$B$8:$B$42)-MIN(ROW('03.Muestra'!$D$8:$D$42))+1,""),ROW()-18)),"")</f>
        <v>1.0</v>
      </c>
      <c r="B33" s="114" t="str" cm="1">
        <f t="array" ref="B33">IFERROR(INDEX('03.Muestra'!$C$8:$C$42,SMALL(IF("Página Web"='03.Muestra'!$D$8:$D$42,ROW('03.Muestra'!$C$8:$C$42)-MIN(ROW('03.Muestra'!$D$8:$D$42))+1,""),ROW()-18)),"")</f>
        <v>Home - PortCastelló</v>
      </c>
      <c r="C33" s="114" t="str" cm="1">
        <f t="array" ref="C33">IFERROR(INDEX('03.Muestra'!$F$8:$F$42,SMALL(IF("Página Web"='03.Muestra'!$D$8:$D$42,ROW('03.Muestra'!$F$8:$F$42)-MIN(ROW('03.Muestra'!$D$8:$D$42))+1,""),ROW()-18)),"")</f>
        <v>https://www.portcastello.com/</v>
      </c>
      <c r="D33" s="130" t="str">
        <f t="shared" si="1"/>
        <v>N/T</v>
      </c>
      <c r="E33" s="107" t="str">
        <f t="shared" si="0"/>
        <v/>
      </c>
      <c r="F33" s="19"/>
      <c r="G33" s="19"/>
      <c r="H33" s="19"/>
      <c r="I33" s="19"/>
      <c r="J33" s="19"/>
      <c r="K33" s="19"/>
      <c r="L33" s="19"/>
      <c r="N33" s="19"/>
      <c r="O33" s="19"/>
      <c r="P33" s="19"/>
      <c r="Q33" s="19"/>
      <c r="R33" s="19"/>
      <c r="T33" s="19"/>
      <c r="U33" s="19"/>
      <c r="V33" s="19"/>
      <c r="W33" s="19"/>
      <c r="X33" s="19"/>
      <c r="Y33" s="19"/>
    </row>
    <row r="34" spans="1:25" ht="12" customHeight="1">
      <c r="A34" s="219" t="n" cm="1">
        <f t="array" ref="A34">IFERROR(INDEX('03.Muestra'!$B$8:$B$42,SMALL(IF("Página Web"='03.Muestra'!$D$8:$D$42,ROW('03.Muestra'!$B$8:$B$42)-MIN(ROW('03.Muestra'!$D$8:$D$42))+1,""),ROW()-18)),"")</f>
        <v>1.0</v>
      </c>
      <c r="B34" s="114" t="str" cm="1">
        <f t="array" ref="B34">IFERROR(INDEX('03.Muestra'!$C$8:$C$42,SMALL(IF("Página Web"='03.Muestra'!$D$8:$D$42,ROW('03.Muestra'!$C$8:$C$42)-MIN(ROW('03.Muestra'!$D$8:$D$42))+1,""),ROW()-18)),"")</f>
        <v>Home - PortCastelló</v>
      </c>
      <c r="C34" s="114" t="str" cm="1">
        <f t="array" ref="C34">IFERROR(INDEX('03.Muestra'!$F$8:$F$42,SMALL(IF("Página Web"='03.Muestra'!$D$8:$D$42,ROW('03.Muestra'!$F$8:$F$42)-MIN(ROW('03.Muestra'!$D$8:$D$42))+1,""),ROW()-18)),"")</f>
        <v>https://www.portcastello.com/</v>
      </c>
      <c r="D34" s="130" t="str">
        <f t="shared" si="1"/>
        <v>N/T</v>
      </c>
      <c r="E34" s="107" t="str">
        <f t="shared" si="0"/>
        <v/>
      </c>
      <c r="F34" s="19"/>
      <c r="G34" s="19"/>
      <c r="H34" s="19"/>
      <c r="I34" s="19"/>
      <c r="J34" s="19"/>
      <c r="K34" s="19"/>
      <c r="W34" s="19"/>
      <c r="X34" s="19"/>
      <c r="Y34" s="19"/>
    </row>
    <row r="35" spans="1:25" ht="12" customHeight="1">
      <c r="A35" s="219" t="n" cm="1">
        <f t="array" ref="A35">IFERROR(INDEX('03.Muestra'!$B$8:$B$42,SMALL(IF("Página Web"='03.Muestra'!$D$8:$D$42,ROW('03.Muestra'!$B$8:$B$42)-MIN(ROW('03.Muestra'!$D$8:$D$42))+1,""),ROW()-18)),"")</f>
        <v>1.0</v>
      </c>
      <c r="B35" s="114" t="str" cm="1">
        <f t="array" ref="B35">IFERROR(INDEX('03.Muestra'!$C$8:$C$42,SMALL(IF("Página Web"='03.Muestra'!$D$8:$D$42,ROW('03.Muestra'!$C$8:$C$42)-MIN(ROW('03.Muestra'!$D$8:$D$42))+1,""),ROW()-18)),"")</f>
        <v>Home - PortCastelló</v>
      </c>
      <c r="C35" s="114" t="str" cm="1">
        <f t="array" ref="C35">IFERROR(INDEX('03.Muestra'!$F$8:$F$42,SMALL(IF("Página Web"='03.Muestra'!$D$8:$D$42,ROW('03.Muestra'!$F$8:$F$42)-MIN(ROW('03.Muestra'!$D$8:$D$42))+1,""),ROW()-18)),"")</f>
        <v>https://www.portcastello.com/</v>
      </c>
      <c r="D35" s="130" t="str">
        <f t="shared" si="1"/>
        <v>N/T</v>
      </c>
      <c r="E35" s="107" t="str">
        <f t="shared" si="0"/>
        <v/>
      </c>
      <c r="F35" s="19"/>
      <c r="G35" s="19"/>
      <c r="H35" s="19"/>
      <c r="I35" s="19"/>
      <c r="J35" s="19"/>
      <c r="K35" s="19"/>
      <c r="W35" s="19"/>
      <c r="X35" s="19"/>
      <c r="Y35" s="19"/>
    </row>
    <row r="36" spans="1:25" ht="12" customHeight="1">
      <c r="A36" s="219" t="n" cm="1">
        <f t="array" ref="A36">IFERROR(INDEX('03.Muestra'!$B$8:$B$42,SMALL(IF("Página Web"='03.Muestra'!$D$8:$D$42,ROW('03.Muestra'!$B$8:$B$42)-MIN(ROW('03.Muestra'!$D$8:$D$42))+1,""),ROW()-18)),"")</f>
        <v>1.0</v>
      </c>
      <c r="B36" s="114" t="str" cm="1">
        <f t="array" ref="B36">IFERROR(INDEX('03.Muestra'!$C$8:$C$42,SMALL(IF("Página Web"='03.Muestra'!$D$8:$D$42,ROW('03.Muestra'!$C$8:$C$42)-MIN(ROW('03.Muestra'!$D$8:$D$42))+1,""),ROW()-18)),"")</f>
        <v>Home - PortCastelló</v>
      </c>
      <c r="C36" s="114" t="str" cm="1">
        <f t="array" ref="C36">IFERROR(INDEX('03.Muestra'!$F$8:$F$42,SMALL(IF("Página Web"='03.Muestra'!$D$8:$D$42,ROW('03.Muestra'!$F$8:$F$42)-MIN(ROW('03.Muestra'!$D$8:$D$42))+1,""),ROW()-18)),"")</f>
        <v>https://www.portcastello.com/</v>
      </c>
      <c r="D36" s="130" t="str">
        <f t="shared" si="1"/>
        <v>N/T</v>
      </c>
      <c r="E36" s="107" t="str">
        <f t="shared" si="0"/>
        <v/>
      </c>
      <c r="F36" s="19"/>
      <c r="G36" s="19"/>
      <c r="H36" s="19"/>
      <c r="I36" s="19"/>
      <c r="J36" s="19"/>
      <c r="K36" s="19"/>
      <c r="W36" s="19"/>
      <c r="X36" s="19"/>
      <c r="Y36" s="19"/>
    </row>
    <row r="37" spans="1:25" ht="12" customHeight="1">
      <c r="A37" s="219" t="n" cm="1">
        <f t="array" ref="A37">IFERROR(INDEX('03.Muestra'!$B$8:$B$42,SMALL(IF("Página Web"='03.Muestra'!$D$8:$D$42,ROW('03.Muestra'!$B$8:$B$42)-MIN(ROW('03.Muestra'!$D$8:$D$42))+1,""),ROW()-18)),"")</f>
        <v>1.0</v>
      </c>
      <c r="B37" s="114" t="str" cm="1">
        <f t="array" ref="B37">IFERROR(INDEX('03.Muestra'!$C$8:$C$42,SMALL(IF("Página Web"='03.Muestra'!$D$8:$D$42,ROW('03.Muestra'!$C$8:$C$42)-MIN(ROW('03.Muestra'!$D$8:$D$42))+1,""),ROW()-18)),"")</f>
        <v>Home - PortCastelló</v>
      </c>
      <c r="C37" s="114" t="str" cm="1">
        <f t="array" ref="C37">IFERROR(INDEX('03.Muestra'!$F$8:$F$42,SMALL(IF("Página Web"='03.Muestra'!$D$8:$D$42,ROW('03.Muestra'!$F$8:$F$42)-MIN(ROW('03.Muestra'!$D$8:$D$42))+1,""),ROW()-18)),"")</f>
        <v>https://www.portcastello.com/</v>
      </c>
      <c r="D37" s="130" t="str">
        <f t="shared" si="1"/>
        <v>N/T</v>
      </c>
      <c r="E37" s="107" t="str">
        <f t="shared" si="0"/>
        <v/>
      </c>
      <c r="F37" s="19"/>
      <c r="G37" s="19"/>
      <c r="H37" s="19"/>
      <c r="I37" s="19"/>
      <c r="J37" s="19"/>
      <c r="K37" s="19"/>
      <c r="L37" s="19"/>
      <c r="Q37" s="19"/>
      <c r="W37" s="19"/>
      <c r="X37" s="19"/>
      <c r="Y37" s="19"/>
    </row>
    <row r="38" spans="1:25" ht="12" customHeight="1">
      <c r="A38" s="219" t="n" cm="1">
        <f t="array" ref="A38">IFERROR(INDEX('03.Muestra'!$B$8:$B$42,SMALL(IF("Página Web"='03.Muestra'!$D$8:$D$42,ROW('03.Muestra'!$B$8:$B$42)-MIN(ROW('03.Muestra'!$D$8:$D$42))+1,""),ROW()-18)),"")</f>
        <v>1.0</v>
      </c>
      <c r="B38" s="114" t="str" cm="1">
        <f t="array" ref="B38">IFERROR(INDEX('03.Muestra'!$C$8:$C$42,SMALL(IF("Página Web"='03.Muestra'!$D$8:$D$42,ROW('03.Muestra'!$C$8:$C$42)-MIN(ROW('03.Muestra'!$D$8:$D$42))+1,""),ROW()-18)),"")</f>
        <v>Home - PortCastelló</v>
      </c>
      <c r="C38" s="114" t="str" cm="1">
        <f t="array" ref="C38">IFERROR(INDEX('03.Muestra'!$F$8:$F$42,SMALL(IF("Página Web"='03.Muestra'!$D$8:$D$42,ROW('03.Muestra'!$F$8:$F$42)-MIN(ROW('03.Muestra'!$D$8:$D$42))+1,""),ROW()-18)),"")</f>
        <v>https://www.portcastello.com/</v>
      </c>
      <c r="D38" s="130" t="str">
        <f t="shared" si="1"/>
        <v>N/T</v>
      </c>
      <c r="E38" s="107" t="str">
        <f t="shared" si="0"/>
        <v/>
      </c>
      <c r="F38" s="19"/>
      <c r="G38" s="19"/>
      <c r="H38" s="19"/>
      <c r="I38" s="19"/>
      <c r="J38" s="19"/>
      <c r="K38" s="19"/>
      <c r="L38" s="19"/>
      <c r="Q38" s="19"/>
      <c r="W38" s="19"/>
      <c r="X38" s="19"/>
      <c r="Y38" s="19"/>
    </row>
    <row r="39" spans="1:25" ht="12" customHeight="1">
      <c r="A39" s="219" t="n" cm="1">
        <f t="array" ref="A39">IFERROR(INDEX('03.Muestra'!$B$8:$B$42,SMALL(IF("Página Web"='03.Muestra'!$D$8:$D$42,ROW('03.Muestra'!$B$8:$B$42)-MIN(ROW('03.Muestra'!$D$8:$D$42))+1,""),ROW()-18)),"")</f>
        <v>1.0</v>
      </c>
      <c r="B39" s="114" t="str" cm="1">
        <f t="array" ref="B39">IFERROR(INDEX('03.Muestra'!$C$8:$C$42,SMALL(IF("Página Web"='03.Muestra'!$D$8:$D$42,ROW('03.Muestra'!$C$8:$C$42)-MIN(ROW('03.Muestra'!$D$8:$D$42))+1,""),ROW()-18)),"")</f>
        <v>Home - PortCastelló</v>
      </c>
      <c r="C39" s="114" t="str" cm="1">
        <f t="array" ref="C39">IFERROR(INDEX('03.Muestra'!$F$8:$F$42,SMALL(IF("Página Web"='03.Muestra'!$D$8:$D$42,ROW('03.Muestra'!$F$8:$F$42)-MIN(ROW('03.Muestra'!$D$8:$D$42))+1,""),ROW()-18)),"")</f>
        <v>https://www.portcastello.com/</v>
      </c>
      <c r="D39" s="130" t="str">
        <f t="shared" si="1"/>
        <v>N/T</v>
      </c>
      <c r="E39" s="107" t="str">
        <f t="shared" si="0"/>
        <v/>
      </c>
      <c r="F39" s="19"/>
      <c r="G39" s="19"/>
      <c r="H39" s="19"/>
      <c r="I39" s="19"/>
      <c r="J39" s="19"/>
      <c r="K39" s="19"/>
      <c r="L39" s="19"/>
      <c r="Q39" s="19"/>
      <c r="W39" s="19"/>
      <c r="X39" s="19"/>
      <c r="Y39" s="19"/>
    </row>
    <row r="40" spans="1:25" ht="12" customHeight="1">
      <c r="A40" s="219" t="n" cm="1">
        <f t="array" ref="A40">IFERROR(INDEX('03.Muestra'!$B$8:$B$42,SMALL(IF("Página Web"='03.Muestra'!$D$8:$D$42,ROW('03.Muestra'!$B$8:$B$42)-MIN(ROW('03.Muestra'!$D$8:$D$42))+1,""),ROW()-18)),"")</f>
        <v>1.0</v>
      </c>
      <c r="B40" s="114" t="str" cm="1">
        <f t="array" ref="B40">IFERROR(INDEX('03.Muestra'!$C$8:$C$42,SMALL(IF("Página Web"='03.Muestra'!$D$8:$D$42,ROW('03.Muestra'!$C$8:$C$42)-MIN(ROW('03.Muestra'!$D$8:$D$42))+1,""),ROW()-18)),"")</f>
        <v>Home - PortCastelló</v>
      </c>
      <c r="C40" s="114" t="str" cm="1">
        <f t="array" ref="C40">IFERROR(INDEX('03.Muestra'!$F$8:$F$42,SMALL(IF("Página Web"='03.Muestra'!$D$8:$D$42,ROW('03.Muestra'!$F$8:$F$42)-MIN(ROW('03.Muestra'!$D$8:$D$42))+1,""),ROW()-18)),"")</f>
        <v>https://www.portcastello.com/</v>
      </c>
      <c r="D40" s="130" t="str">
        <f t="shared" si="1"/>
        <v>N/T</v>
      </c>
      <c r="E40" s="107" t="str">
        <f t="shared" si="0"/>
        <v/>
      </c>
      <c r="F40" s="19"/>
      <c r="G40" s="19"/>
      <c r="H40" s="19"/>
      <c r="I40" s="19"/>
      <c r="J40" s="19"/>
      <c r="K40" s="19"/>
      <c r="L40" s="19"/>
      <c r="Q40" s="19"/>
      <c r="R40" s="19"/>
      <c r="T40" s="19"/>
      <c r="U40" s="19"/>
      <c r="V40" s="19"/>
      <c r="W40" s="19"/>
      <c r="X40" s="19"/>
      <c r="Y40" s="19"/>
    </row>
    <row r="41" spans="1:25" ht="12" customHeight="1">
      <c r="A41" s="219" t="n" cm="1">
        <f t="array" ref="A41">IFERROR(INDEX('03.Muestra'!$B$8:$B$42,SMALL(IF("Página Web"='03.Muestra'!$D$8:$D$42,ROW('03.Muestra'!$B$8:$B$42)-MIN(ROW('03.Muestra'!$D$8:$D$42))+1,""),ROW()-18)),"")</f>
        <v>1.0</v>
      </c>
      <c r="B41" s="114" t="str" cm="1">
        <f t="array" ref="B41">IFERROR(INDEX('03.Muestra'!$C$8:$C$42,SMALL(IF("Página Web"='03.Muestra'!$D$8:$D$42,ROW('03.Muestra'!$C$8:$C$42)-MIN(ROW('03.Muestra'!$D$8:$D$42))+1,""),ROW()-18)),"")</f>
        <v>Home - PortCastelló</v>
      </c>
      <c r="C41" s="114" t="str" cm="1">
        <f t="array" ref="C41">IFERROR(INDEX('03.Muestra'!$F$8:$F$42,SMALL(IF("Página Web"='03.Muestra'!$D$8:$D$42,ROW('03.Muestra'!$F$8:$F$42)-MIN(ROW('03.Muestra'!$D$8:$D$42))+1,""),ROW()-18)),"")</f>
        <v>https://www.portcastello.com/</v>
      </c>
      <c r="D41" s="130" t="str">
        <f t="shared" si="1"/>
        <v>N/T</v>
      </c>
      <c r="E41" s="107" t="str">
        <f t="shared" si="0"/>
        <v/>
      </c>
      <c r="F41" s="19"/>
      <c r="G41" s="19"/>
      <c r="H41" s="19"/>
      <c r="I41" s="19"/>
      <c r="J41" s="19"/>
      <c r="K41" s="19"/>
      <c r="L41" s="19"/>
      <c r="Y41" s="19"/>
    </row>
    <row r="42" spans="1:25" ht="12" customHeight="1">
      <c r="A42" s="219" t="n" cm="1">
        <f t="array" ref="A42">IFERROR(INDEX('03.Muestra'!$B$8:$B$42,SMALL(IF("Página Web"='03.Muestra'!$D$8:$D$42,ROW('03.Muestra'!$B$8:$B$42)-MIN(ROW('03.Muestra'!$D$8:$D$42))+1,""),ROW()-18)),"")</f>
        <v>1.0</v>
      </c>
      <c r="B42" s="114" t="str" cm="1">
        <f t="array" ref="B42">IFERROR(INDEX('03.Muestra'!$C$8:$C$42,SMALL(IF("Página Web"='03.Muestra'!$D$8:$D$42,ROW('03.Muestra'!$C$8:$C$42)-MIN(ROW('03.Muestra'!$D$8:$D$42))+1,""),ROW()-18)),"")</f>
        <v>Home - PortCastelló</v>
      </c>
      <c r="C42" s="114" t="str" cm="1">
        <f t="array" ref="C42">IFERROR(INDEX('03.Muestra'!$F$8:$F$42,SMALL(IF("Página Web"='03.Muestra'!$D$8:$D$42,ROW('03.Muestra'!$F$8:$F$42)-MIN(ROW('03.Muestra'!$D$8:$D$42))+1,""),ROW()-18)),"")</f>
        <v>https://www.portcastello.com/</v>
      </c>
      <c r="D42" s="130" t="str">
        <f t="shared" si="1"/>
        <v>N/T</v>
      </c>
      <c r="E42" s="107" t="str">
        <f t="shared" si="0"/>
        <v/>
      </c>
      <c r="F42" s="19"/>
      <c r="G42" s="19"/>
      <c r="H42" s="19"/>
      <c r="I42" s="19"/>
      <c r="J42" s="19"/>
      <c r="K42" s="19"/>
      <c r="L42" s="19"/>
      <c r="Y42" s="19"/>
    </row>
    <row r="43" spans="1:25" ht="12" customHeight="1">
      <c r="A43" s="219" t="n" cm="1">
        <f t="array" ref="A43">IFERROR(INDEX('03.Muestra'!$B$8:$B$42,SMALL(IF("Página Web"='03.Muestra'!$D$8:$D$42,ROW('03.Muestra'!$B$8:$B$42)-MIN(ROW('03.Muestra'!$D$8:$D$42))+1,""),ROW()-18)),"")</f>
        <v>1.0</v>
      </c>
      <c r="B43" s="114" t="str" cm="1">
        <f t="array" ref="B43">IFERROR(INDEX('03.Muestra'!$C$8:$C$42,SMALL(IF("Página Web"='03.Muestra'!$D$8:$D$42,ROW('03.Muestra'!$C$8:$C$42)-MIN(ROW('03.Muestra'!$D$8:$D$42))+1,""),ROW()-18)),"")</f>
        <v>Home - PortCastelló</v>
      </c>
      <c r="C43" s="114" t="str" cm="1">
        <f t="array" ref="C43">IFERROR(INDEX('03.Muestra'!$F$8:$F$42,SMALL(IF("Página Web"='03.Muestra'!$D$8:$D$42,ROW('03.Muestra'!$F$8:$F$42)-MIN(ROW('03.Muestra'!$D$8:$D$42))+1,""),ROW()-18)),"")</f>
        <v>https://www.portcastello.com/</v>
      </c>
      <c r="D43" s="130" t="str">
        <f t="shared" si="1"/>
        <v>N/T</v>
      </c>
      <c r="E43" s="107" t="str">
        <f t="shared" si="0"/>
        <v/>
      </c>
      <c r="F43" s="19"/>
      <c r="G43" s="19"/>
      <c r="H43" s="19"/>
      <c r="I43" s="19"/>
      <c r="J43" s="19"/>
      <c r="K43" s="19"/>
      <c r="L43" s="19"/>
      <c r="Y43" s="19"/>
    </row>
    <row r="44" spans="1:25" ht="12" customHeight="1">
      <c r="A44" s="219" t="n" cm="1">
        <f t="array" ref="A44">IFERROR(INDEX('03.Muestra'!$B$8:$B$42,SMALL(IF("Página Web"='03.Muestra'!$D$8:$D$42,ROW('03.Muestra'!$B$8:$B$42)-MIN(ROW('03.Muestra'!$D$8:$D$42))+1,""),ROW()-18)),"")</f>
        <v>1.0</v>
      </c>
      <c r="B44" s="114" t="str" cm="1">
        <f t="array" ref="B44">IFERROR(INDEX('03.Muestra'!$C$8:$C$42,SMALL(IF("Página Web"='03.Muestra'!$D$8:$D$42,ROW('03.Muestra'!$C$8:$C$42)-MIN(ROW('03.Muestra'!$D$8:$D$42))+1,""),ROW()-18)),"")</f>
        <v>Home - PortCastelló</v>
      </c>
      <c r="C44" s="114" t="str" cm="1">
        <f t="array" ref="C44">IFERROR(INDEX('03.Muestra'!$F$8:$F$42,SMALL(IF("Página Web"='03.Muestra'!$D$8:$D$42,ROW('03.Muestra'!$F$8:$F$42)-MIN(ROW('03.Muestra'!$D$8:$D$42))+1,""),ROW()-18)),"")</f>
        <v>https://www.portcastello.com/</v>
      </c>
      <c r="D44" s="130" t="str">
        <f t="shared" si="1"/>
        <v>N/T</v>
      </c>
      <c r="E44" s="107" t="str">
        <f t="shared" si="0"/>
        <v/>
      </c>
      <c r="F44" s="19"/>
      <c r="G44" s="19"/>
      <c r="H44" s="19"/>
      <c r="I44" s="19"/>
      <c r="J44" s="19"/>
      <c r="K44" s="19"/>
      <c r="L44" s="19"/>
      <c r="Q44" s="19"/>
      <c r="R44" s="19"/>
      <c r="T44" s="19"/>
      <c r="U44" s="19"/>
      <c r="V44" s="19"/>
      <c r="W44" s="19"/>
      <c r="X44" s="19"/>
      <c r="Y44" s="19"/>
    </row>
    <row r="45" spans="1:25" ht="12" customHeight="1">
      <c r="A45" s="219" t="n" cm="1">
        <f t="array" ref="A45">IFERROR(INDEX('03.Muestra'!$B$8:$B$42,SMALL(IF("Página Web"='03.Muestra'!$D$8:$D$42,ROW('03.Muestra'!$B$8:$B$42)-MIN(ROW('03.Muestra'!$D$8:$D$42))+1,""),ROW()-18)),"")</f>
        <v>1.0</v>
      </c>
      <c r="B45" s="114" t="str" cm="1">
        <f t="array" ref="B45">IFERROR(INDEX('03.Muestra'!$C$8:$C$42,SMALL(IF("Página Web"='03.Muestra'!$D$8:$D$42,ROW('03.Muestra'!$C$8:$C$42)-MIN(ROW('03.Muestra'!$D$8:$D$42))+1,""),ROW()-18)),"")</f>
        <v>Home - PortCastelló</v>
      </c>
      <c r="C45" s="114" t="str" cm="1">
        <f t="array" ref="C45">IFERROR(INDEX('03.Muestra'!$F$8:$F$42,SMALL(IF("Página Web"='03.Muestra'!$D$8:$D$42,ROW('03.Muestra'!$F$8:$F$42)-MIN(ROW('03.Muestra'!$D$8:$D$42))+1,""),ROW()-18)),"")</f>
        <v>https://www.portcastello.com/</v>
      </c>
      <c r="D45" s="130" t="str">
        <f t="shared" si="1"/>
        <v>N/T</v>
      </c>
      <c r="E45" s="107" t="str">
        <f t="shared" si="0"/>
        <v/>
      </c>
      <c r="F45" s="19"/>
      <c r="G45" s="19"/>
      <c r="H45" s="19"/>
      <c r="I45" s="19"/>
      <c r="J45" s="19"/>
      <c r="K45" s="19"/>
      <c r="L45" s="19"/>
      <c r="Q45" s="19"/>
      <c r="R45" s="19"/>
      <c r="T45" s="19"/>
      <c r="U45" s="19"/>
      <c r="V45" s="19"/>
      <c r="W45" s="19"/>
      <c r="X45" s="19"/>
      <c r="Y45" s="19"/>
    </row>
    <row r="46" spans="1:25" ht="12" customHeight="1">
      <c r="A46" s="219" t="n" cm="1">
        <f t="array" ref="A46">IFERROR(INDEX('03.Muestra'!$B$8:$B$42,SMALL(IF("Página Web"='03.Muestra'!$D$8:$D$42,ROW('03.Muestra'!$B$8:$B$42)-MIN(ROW('03.Muestra'!$D$8:$D$42))+1,""),ROW()-18)),"")</f>
        <v>1.0</v>
      </c>
      <c r="B46" s="114" t="str" cm="1">
        <f t="array" ref="B46">IFERROR(INDEX('03.Muestra'!$C$8:$C$42,SMALL(IF("Página Web"='03.Muestra'!$D$8:$D$42,ROW('03.Muestra'!$C$8:$C$42)-MIN(ROW('03.Muestra'!$D$8:$D$42))+1,""),ROW()-18)),"")</f>
        <v>Home - PortCastelló</v>
      </c>
      <c r="C46" s="114" t="str" cm="1">
        <f t="array" ref="C46">IFERROR(INDEX('03.Muestra'!$F$8:$F$42,SMALL(IF("Página Web"='03.Muestra'!$D$8:$D$42,ROW('03.Muestra'!$F$8:$F$42)-MIN(ROW('03.Muestra'!$D$8:$D$42))+1,""),ROW()-18)),"")</f>
        <v>https://www.portcastello.com/</v>
      </c>
      <c r="D46" s="130" t="str">
        <f t="shared" si="1"/>
        <v>N/T</v>
      </c>
      <c r="E46" s="107" t="str">
        <f t="shared" si="0"/>
        <v/>
      </c>
      <c r="I46" s="19"/>
      <c r="J46" s="19"/>
      <c r="K46" s="19"/>
      <c r="L46" s="19"/>
      <c r="Q46" s="19"/>
      <c r="R46" s="19"/>
      <c r="T46" s="19"/>
      <c r="U46" s="19"/>
      <c r="V46" s="19"/>
      <c r="W46" s="19"/>
      <c r="X46" s="19"/>
      <c r="Y46" s="19"/>
    </row>
    <row r="47" spans="1:25" ht="12" customHeight="1">
      <c r="A47" s="219" t="n" cm="1">
        <f t="array" ref="A47">IFERROR(INDEX('03.Muestra'!$B$8:$B$42,SMALL(IF("Página Web"='03.Muestra'!$D$8:$D$42,ROW('03.Muestra'!$B$8:$B$42)-MIN(ROW('03.Muestra'!$D$8:$D$42))+1,""),ROW()-18)),"")</f>
        <v>1.0</v>
      </c>
      <c r="B47" s="114" t="str" cm="1">
        <f t="array" ref="B47">IFERROR(INDEX('03.Muestra'!$C$8:$C$42,SMALL(IF("Página Web"='03.Muestra'!$D$8:$D$42,ROW('03.Muestra'!$C$8:$C$42)-MIN(ROW('03.Muestra'!$D$8:$D$42))+1,""),ROW()-18)),"")</f>
        <v>Home - PortCastelló</v>
      </c>
      <c r="C47" s="114" t="str" cm="1">
        <f t="array" ref="C47">IFERROR(INDEX('03.Muestra'!$F$8:$F$42,SMALL(IF("Página Web"='03.Muestra'!$D$8:$D$42,ROW('03.Muestra'!$F$8:$F$42)-MIN(ROW('03.Muestra'!$D$8:$D$42))+1,""),ROW()-18)),"")</f>
        <v>https://www.portcastello.com/</v>
      </c>
      <c r="D47" s="130" t="str">
        <f t="shared" si="1"/>
        <v>N/T</v>
      </c>
      <c r="E47" s="107" t="str">
        <f t="shared" si="0"/>
        <v/>
      </c>
      <c r="I47" s="19"/>
      <c r="J47" s="19"/>
      <c r="K47" s="19"/>
      <c r="L47" s="19"/>
      <c r="Q47" s="19"/>
      <c r="R47" s="19"/>
      <c r="T47" s="19"/>
      <c r="U47" s="19"/>
      <c r="V47" s="19"/>
      <c r="W47" s="19"/>
      <c r="X47" s="19"/>
      <c r="Y47" s="19"/>
    </row>
    <row r="48" spans="1:25" ht="12" customHeight="1">
      <c r="A48" s="219" t="n" cm="1">
        <f t="array" ref="A48">IFERROR(INDEX('03.Muestra'!$B$8:$B$42,SMALL(IF("Página Web"='03.Muestra'!$D$8:$D$42,ROW('03.Muestra'!$B$8:$B$42)-MIN(ROW('03.Muestra'!$D$8:$D$42))+1,""),ROW()-18)),"")</f>
        <v>1.0</v>
      </c>
      <c r="B48" s="114" t="str" cm="1">
        <f t="array" ref="B48">IFERROR(INDEX('03.Muestra'!$C$8:$C$42,SMALL(IF("Página Web"='03.Muestra'!$D$8:$D$42,ROW('03.Muestra'!$C$8:$C$42)-MIN(ROW('03.Muestra'!$D$8:$D$42))+1,""),ROW()-18)),"")</f>
        <v>Home - PortCastelló</v>
      </c>
      <c r="C48" s="114" t="str" cm="1">
        <f t="array" ref="C48">IFERROR(INDEX('03.Muestra'!$F$8:$F$42,SMALL(IF("Página Web"='03.Muestra'!$D$8:$D$42,ROW('03.Muestra'!$F$8:$F$42)-MIN(ROW('03.Muestra'!$D$8:$D$42))+1,""),ROW()-18)),"")</f>
        <v>https://www.portcastello.com/</v>
      </c>
      <c r="D48" s="130" t="str">
        <f t="shared" si="1"/>
        <v>N/T</v>
      </c>
      <c r="E48" s="107" t="str">
        <f t="shared" si="0"/>
        <v/>
      </c>
      <c r="I48" s="19"/>
      <c r="J48" s="19"/>
      <c r="K48" s="19"/>
      <c r="L48" s="19"/>
      <c r="Q48" s="19"/>
      <c r="R48" s="19"/>
      <c r="T48" s="19"/>
      <c r="U48" s="19"/>
      <c r="V48" s="19"/>
      <c r="W48" s="19"/>
      <c r="X48" s="19"/>
      <c r="Y48" s="19"/>
    </row>
    <row r="49" spans="1:25" ht="12" customHeight="1">
      <c r="A49" s="219" t="n" cm="1">
        <f t="array" ref="A49">IFERROR(INDEX('03.Muestra'!$B$8:$B$42,SMALL(IF("Página Web"='03.Muestra'!$D$8:$D$42,ROW('03.Muestra'!$B$8:$B$42)-MIN(ROW('03.Muestra'!$D$8:$D$42))+1,""),ROW()-18)),"")</f>
        <v>1.0</v>
      </c>
      <c r="B49" s="114" t="str" cm="1">
        <f t="array" ref="B49">IFERROR(INDEX('03.Muestra'!$C$8:$C$42,SMALL(IF("Página Web"='03.Muestra'!$D$8:$D$42,ROW('03.Muestra'!$C$8:$C$42)-MIN(ROW('03.Muestra'!$D$8:$D$42))+1,""),ROW()-18)),"")</f>
        <v>Home - PortCastelló</v>
      </c>
      <c r="C49" s="114" t="str" cm="1">
        <f t="array" ref="C49">IFERROR(INDEX('03.Muestra'!$F$8:$F$42,SMALL(IF("Página Web"='03.Muestra'!$D$8:$D$42,ROW('03.Muestra'!$F$8:$F$42)-MIN(ROW('03.Muestra'!$D$8:$D$42))+1,""),ROW()-18)),"")</f>
        <v>https://www.portcastello.com/</v>
      </c>
      <c r="D49" s="130" t="str">
        <f t="shared" si="1"/>
        <v>N/T</v>
      </c>
      <c r="E49" s="107" t="str">
        <f t="shared" si="0"/>
        <v/>
      </c>
      <c r="I49" s="19"/>
      <c r="J49" s="19"/>
      <c r="K49" s="19"/>
      <c r="L49" s="19"/>
      <c r="Q49" s="19"/>
      <c r="R49" s="19"/>
      <c r="T49" s="19"/>
      <c r="U49" s="19"/>
      <c r="V49" s="19"/>
      <c r="W49" s="19"/>
      <c r="X49" s="19"/>
      <c r="Y49" s="19"/>
    </row>
    <row r="50" spans="1:25" ht="12" customHeight="1">
      <c r="A50" s="219" t="n" cm="1">
        <f t="array" ref="A50">IFERROR(INDEX('03.Muestra'!$B$8:$B$42,SMALL(IF("Página Web"='03.Muestra'!$D$8:$D$42,ROW('03.Muestra'!$B$8:$B$42)-MIN(ROW('03.Muestra'!$D$8:$D$42))+1,""),ROW()-18)),"")</f>
        <v>1.0</v>
      </c>
      <c r="B50" s="114" t="str" cm="1">
        <f t="array" ref="B50">IFERROR(INDEX('03.Muestra'!$C$8:$C$42,SMALL(IF("Página Web"='03.Muestra'!$D$8:$D$42,ROW('03.Muestra'!$C$8:$C$42)-MIN(ROW('03.Muestra'!$D$8:$D$42))+1,""),ROW()-18)),"")</f>
        <v>Home - PortCastelló</v>
      </c>
      <c r="C50" s="114" t="str" cm="1">
        <f t="array" ref="C50">IFERROR(INDEX('03.Muestra'!$F$8:$F$42,SMALL(IF("Página Web"='03.Muestra'!$D$8:$D$42,ROW('03.Muestra'!$F$8:$F$42)-MIN(ROW('03.Muestra'!$D$8:$D$42))+1,""),ROW()-18)),"")</f>
        <v>https://www.portcastello.com/</v>
      </c>
      <c r="D50" s="130" t="str">
        <f t="shared" si="1"/>
        <v>N/T</v>
      </c>
      <c r="E50" s="107" t="str">
        <f t="shared" si="0"/>
        <v/>
      </c>
      <c r="I50" s="19"/>
      <c r="J50" s="19"/>
      <c r="K50" s="19"/>
      <c r="L50" s="19"/>
      <c r="Q50" s="19"/>
      <c r="R50" s="19"/>
      <c r="S50" s="19"/>
      <c r="T50" s="19"/>
      <c r="U50" s="19"/>
      <c r="V50" s="19"/>
      <c r="W50" s="19"/>
      <c r="X50" s="19"/>
      <c r="Y50" s="19"/>
    </row>
    <row r="51" spans="1:25" ht="12" customHeight="1">
      <c r="A51" s="219" t="n" cm="1">
        <f t="array" ref="A51">IFERROR(INDEX('03.Muestra'!$B$8:$B$42,SMALL(IF("Página Web"='03.Muestra'!$D$8:$D$42,ROW('03.Muestra'!$B$8:$B$42)-MIN(ROW('03.Muestra'!$D$8:$D$42))+1,""),ROW()-18)),"")</f>
        <v>1.0</v>
      </c>
      <c r="B51" s="114" t="str" cm="1">
        <f t="array" ref="B51">IFERROR(INDEX('03.Muestra'!$C$8:$C$42,SMALL(IF("Página Web"='03.Muestra'!$D$8:$D$42,ROW('03.Muestra'!$C$8:$C$42)-MIN(ROW('03.Muestra'!$D$8:$D$42))+1,""),ROW()-18)),"")</f>
        <v>Home - PortCastelló</v>
      </c>
      <c r="C51" s="114" t="str" cm="1">
        <f t="array" ref="C51">IFERROR(INDEX('03.Muestra'!$F$8:$F$42,SMALL(IF("Página Web"='03.Muestra'!$D$8:$D$42,ROW('03.Muestra'!$F$8:$F$42)-MIN(ROW('03.Muestra'!$D$8:$D$42))+1,""),ROW()-18)),"")</f>
        <v>https://www.portcastello.com/</v>
      </c>
      <c r="D51" s="130" t="str">
        <f t="shared" si="1"/>
        <v>N/T</v>
      </c>
      <c r="E51" s="107" t="str">
        <f t="shared" si="0"/>
        <v/>
      </c>
      <c r="I51" s="19"/>
      <c r="J51" s="19"/>
      <c r="K51" s="19"/>
      <c r="L51" s="19"/>
      <c r="Q51" s="19"/>
      <c r="R51" s="19"/>
      <c r="S51" s="19"/>
      <c r="T51" s="19"/>
      <c r="U51" s="19"/>
      <c r="V51" s="19"/>
      <c r="W51" s="19"/>
      <c r="X51" s="19"/>
      <c r="Y51" s="19"/>
    </row>
    <row r="52" spans="1:25" ht="12" customHeight="1">
      <c r="A52" s="219" t="str" cm="1">
        <f t="array" ref="A52">IFERROR(INDEX('03.Muestra'!$B$8:$B$42,SMALL(IF("Página Web"='03.Muestra'!$D$8:$D$42,ROW('03.Muestra'!$B$8:$B$42)-MIN(ROW('03.Muestra'!$D$8:$D$42))+1,""),ROW()-18)),"")</f>
        <v/>
      </c>
      <c r="B52" s="114" t="str" cm="1">
        <f t="array" ref="B52">IFERROR(INDEX('03.Muestra'!$C$8:$C$42,SMALL(IF("Página Web"='03.Muestra'!$D$8:$D$42,ROW('03.Muestra'!$C$8:$C$42)-MIN(ROW('03.Muestra'!$D$8:$D$42))+1,""),ROW()-18)),"")</f>
        <v/>
      </c>
      <c r="C52" s="114" t="str" cm="1">
        <f t="array" ref="C52">IFERROR(INDEX('03.Muestra'!$F$8:$F$42,SMALL(IF("Página Web"='03.Muestra'!$D$8:$D$42,ROW('03.Muestra'!$F$8:$F$42)-MIN(ROW('03.Muestra'!$D$8:$D$42))+1,""),ROW()-18)),"")</f>
        <v/>
      </c>
      <c r="D52" s="130" t="str">
        <f t="shared" si="1"/>
        <v/>
      </c>
      <c r="E52" s="107" t="str">
        <f t="shared" si="0"/>
        <v/>
      </c>
      <c r="I52" s="19"/>
      <c r="J52" s="19"/>
      <c r="K52" s="19"/>
      <c r="L52" s="19"/>
      <c r="Q52" s="19"/>
      <c r="R52" s="19"/>
      <c r="S52" s="19"/>
      <c r="T52" s="19"/>
      <c r="U52" s="19"/>
      <c r="V52" s="19"/>
      <c r="W52" s="19"/>
      <c r="X52" s="19"/>
      <c r="Y52" s="19"/>
    </row>
    <row r="53" spans="1:25" ht="12" customHeight="1">
      <c r="A53" s="219" t="str" cm="1">
        <f t="array" ref="A53">IFERROR(INDEX('03.Muestra'!$B$8:$B$42,SMALL(IF("Página Web"='03.Muestra'!$D$8:$D$42,ROW('03.Muestra'!$B$8:$B$42)-MIN(ROW('03.Muestra'!$D$8:$D$42))+1,""),ROW()-18)),"")</f>
        <v/>
      </c>
      <c r="B53" s="114" t="str" cm="1">
        <f t="array" ref="B53">IFERROR(INDEX('03.Muestra'!$C$8:$C$42,SMALL(IF("Página Web"='03.Muestra'!$D$8:$D$42,ROW('03.Muestra'!$C$8:$C$42)-MIN(ROW('03.Muestra'!$D$8:$D$42))+1,""),ROW()-18)),"")</f>
        <v/>
      </c>
      <c r="C53" s="114" t="str" cm="1">
        <f t="array" ref="C53">IFERROR(INDEX('03.Muestra'!$F$8:$F$42,SMALL(IF("Página Web"='03.Muestra'!$D$8:$D$42,ROW('03.Muestra'!$F$8:$F$42)-MIN(ROW('03.Muestra'!$D$8:$D$42))+1,""),ROW()-18)),"")</f>
        <v/>
      </c>
      <c r="D53" s="130" t="str">
        <f t="shared" si="1"/>
        <v/>
      </c>
      <c r="E53" s="107" t="str">
        <f t="shared" si="0"/>
        <v/>
      </c>
      <c r="I53" s="19"/>
      <c r="J53" s="19"/>
      <c r="K53" s="19"/>
      <c r="L53" s="19"/>
      <c r="Q53" s="19"/>
      <c r="R53" s="19"/>
      <c r="S53" s="19"/>
      <c r="T53" s="19"/>
      <c r="U53" s="19"/>
      <c r="V53" s="19"/>
      <c r="W53" s="19"/>
      <c r="X53" s="19"/>
      <c r="Y53" s="19"/>
    </row>
    <row r="54" spans="1:25" ht="12" customHeight="1">
      <c r="B54" s="19"/>
      <c r="C54" s="19"/>
      <c r="D54" s="107"/>
      <c r="E54" s="107"/>
      <c r="F54" s="19"/>
      <c r="G54" s="19"/>
      <c r="H54" s="19"/>
      <c r="I54" s="19"/>
      <c r="J54" s="19"/>
      <c r="K54" s="19"/>
      <c r="L54" s="19"/>
      <c r="Q54" s="19"/>
      <c r="R54" s="19"/>
      <c r="S54" s="19"/>
      <c r="T54" s="19"/>
      <c r="U54" s="19"/>
      <c r="V54" s="19"/>
      <c r="W54" s="19"/>
      <c r="X54" s="19"/>
      <c r="Y54" s="19"/>
    </row>
    <row r="55" spans="1:25" ht="12" customHeight="1">
      <c r="B55" s="19"/>
      <c r="C55" s="19"/>
      <c r="D55" s="107"/>
      <c r="E55" s="112"/>
      <c r="F55" s="19"/>
      <c r="G55" s="19"/>
      <c r="H55" s="19"/>
      <c r="I55" s="19"/>
      <c r="J55" s="19"/>
      <c r="K55" s="19"/>
      <c r="L55" s="19"/>
      <c r="M55" s="19"/>
      <c r="N55" s="19"/>
      <c r="O55" s="19"/>
      <c r="P55" s="19"/>
      <c r="Q55" s="19"/>
      <c r="R55" s="19"/>
      <c r="S55" s="19"/>
      <c r="T55" s="19"/>
      <c r="U55" s="19"/>
      <c r="V55" s="19"/>
      <c r="W55" s="19"/>
      <c r="X55" s="19"/>
      <c r="Y55" s="19"/>
    </row>
    <row r="56" spans="1:25" ht="32.25" customHeight="1">
      <c r="A56" s="218" t="s">
        <v>268</v>
      </c>
      <c r="B56" s="24" t="s">
        <v>90</v>
      </c>
      <c r="C56" s="25" t="s">
        <v>256</v>
      </c>
      <c r="D56" s="26" t="s">
        <v>32</v>
      </c>
      <c r="E56" s="123"/>
      <c r="K56" s="19"/>
      <c r="L56" s="19"/>
      <c r="M56" s="19"/>
      <c r="N56" s="19"/>
      <c r="O56" s="19"/>
      <c r="P56" s="19"/>
      <c r="Q56" s="19"/>
      <c r="R56" s="19"/>
      <c r="S56" s="19"/>
      <c r="T56" s="19"/>
      <c r="U56" s="19"/>
      <c r="V56" s="19"/>
      <c r="W56" s="19"/>
      <c r="X56" s="19"/>
      <c r="Y56" s="19"/>
    </row>
    <row r="57" spans="1:25" ht="12" customHeight="1">
      <c r="A57" s="219" t="n" cm="1">
        <f t="array" ref="A57">IFERROR(INDEX('03.Muestra'!$B$8:$B$42,SMALL(IF("Página Web"='03.Muestra'!$D$8:$D$42,ROW('03.Muestra'!$B$8:$B$42)-MIN(ROW('03.Muestra'!$D$8:$D$42))+1,""),ROW()-56)),"")</f>
        <v>1.0</v>
      </c>
      <c r="B57" s="114" t="str" cm="1">
        <f t="array" ref="B57">IFERROR(INDEX('03.Muestra'!$C$8:$C$42,SMALL(IF("Página Web"='03.Muestra'!$D$8:$D$42,ROW('03.Muestra'!$C$8:$C$42)-MIN(ROW('03.Muestra'!$D$8:$D$42))+1,""),ROW()-56)),"")</f>
        <v>Home - PortCastelló</v>
      </c>
      <c r="C57" s="114" t="str" cm="1">
        <f t="array" ref="C57">IFERROR(INDEX('03.Muestra'!$F$8:$F$42,SMALL(IF("Página Web"='03.Muestra'!$D$8:$D$42,ROW('03.Muestra'!$F$8:$F$42)-MIN(ROW('03.Muestra'!$D$8:$D$42))+1,""),ROW()-56)),"")</f>
        <v>https://www.portcastello.com/</v>
      </c>
      <c r="D57" s="130" t="str">
        <f>IF(AND(B57&lt;&gt;"",C57&lt;&gt;""),"N/T","")</f>
        <v>N/T</v>
      </c>
      <c r="E57" s="107" t="str">
        <f t="shared" ref="E57:E91" si="2">IF(D57&lt;&gt;"",IF(AND(B57&lt;&gt;"",C57&lt;&gt;""),"","ERR"),"")</f>
        <v/>
      </c>
      <c r="F57" s="115" t="s">
        <v>33</v>
      </c>
      <c r="G57" s="116" t="s">
        <v>37</v>
      </c>
      <c r="H57" s="117" t="s">
        <v>35</v>
      </c>
      <c r="I57" s="118" t="s">
        <v>28</v>
      </c>
      <c r="J57" s="119" t="s">
        <v>26</v>
      </c>
      <c r="K57" s="226" t="s">
        <v>474</v>
      </c>
      <c r="L57" s="19"/>
      <c r="M57" s="19"/>
      <c r="N57" s="19"/>
      <c r="O57" s="19"/>
      <c r="P57" s="19"/>
      <c r="Q57" s="19"/>
      <c r="R57" s="19"/>
      <c r="S57" s="19"/>
      <c r="T57" s="19"/>
      <c r="U57" s="19"/>
      <c r="V57" s="19"/>
      <c r="W57" s="19"/>
      <c r="X57" s="19"/>
      <c r="Y57" s="19"/>
    </row>
    <row r="58" spans="1:25" ht="12" customHeight="1">
      <c r="A58" s="219" t="n" cm="1">
        <f t="array" ref="A58">IFERROR(INDEX('03.Muestra'!$B$8:$B$42,SMALL(IF("Página Web"='03.Muestra'!$D$8:$D$42,ROW('03.Muestra'!$B$8:$B$42)-MIN(ROW('03.Muestra'!$D$8:$D$42))+1,""),ROW()-56)),"")</f>
        <v>1.0</v>
      </c>
      <c r="B58" s="114" t="str" cm="1">
        <f t="array" ref="B58">IFERROR(INDEX('03.Muestra'!$C$8:$C$42,SMALL(IF("Página Web"='03.Muestra'!$D$8:$D$42,ROW('03.Muestra'!$C$8:$C$42)-MIN(ROW('03.Muestra'!$D$8:$D$42))+1,""),ROW()-56)),"")</f>
        <v>Home - PortCastelló</v>
      </c>
      <c r="C58" s="114" t="str" cm="1">
        <f t="array" ref="C58">IFERROR(INDEX('03.Muestra'!$F$8:$F$42,SMALL(IF("Página Web"='03.Muestra'!$D$8:$D$42,ROW('03.Muestra'!$F$8:$F$42)-MIN(ROW('03.Muestra'!$D$8:$D$42))+1,""),ROW()-56)),"")</f>
        <v>https://www.portcastello.com/</v>
      </c>
      <c r="D58" s="130" t="str">
        <f t="shared" ref="D58:D91" si="3">IF(AND(B58&lt;&gt;"",C58&lt;&gt;""),"N/T","")</f>
        <v>N/T</v>
      </c>
      <c r="E58" s="107" t="str">
        <f t="shared" si="2"/>
        <v/>
      </c>
      <c r="F58" s="120" t="n">
        <f ca="1">COUNTIF($D57:INDIRECT("$D" &amp;  SUM(ROW()-1,'03.Muestra'!$D$45)-1),F57)</f>
        <v>33.0</v>
      </c>
      <c r="G58" s="120" t="n">
        <f ca="1">COUNTIF($D57:INDIRECT("$D" &amp;  SUM(ROW()-1,'03.Muestra'!$D$45)-1),G57)</f>
        <v>0.0</v>
      </c>
      <c r="H58" s="120" t="n">
        <f ca="1">COUNTIF($D57:INDIRECT("$D" &amp;  SUM(ROW()-1,'03.Muestra'!$D$45)-1),H57)</f>
        <v>0.0</v>
      </c>
      <c r="I58" s="120" t="n">
        <f ca="1">COUNTIF($D57:INDIRECT("$D" &amp;  SUM(ROW()-1,'03.Muestra'!$D$45)-1),I57)</f>
        <v>0.0</v>
      </c>
      <c r="J58" s="120" t="n">
        <f ca="1">COUNTIF($D57:INDIRECT("$D" &amp;  SUM(ROW()-1,'03.Muestra'!$D$45)-1),J57)</f>
        <v>0.0</v>
      </c>
      <c r="K58" s="227" t="n">
        <f ca="1">IF(COUNTIF('03.Muestra'!$D$8:$D$42,"Página Web")=0,0,COUNTBLANK($D57:INDIRECT("$D" &amp;  SUM(ROW()-1,COUNTIF('03.Muestra'!$D$8:$D$42,"Página Web"))-1)))</f>
        <v>0.0</v>
      </c>
      <c r="L58" s="19"/>
      <c r="M58" s="19"/>
      <c r="N58" s="19"/>
      <c r="O58" s="19"/>
      <c r="P58" s="19"/>
      <c r="Q58" s="19"/>
      <c r="R58" s="19"/>
      <c r="S58" s="19"/>
      <c r="T58" s="19"/>
      <c r="U58" s="19"/>
      <c r="V58" s="19"/>
      <c r="W58" s="19"/>
      <c r="X58" s="19"/>
      <c r="Y58" s="19"/>
    </row>
    <row r="59" spans="1:25" ht="12" customHeight="1">
      <c r="A59" s="219" t="n" cm="1">
        <f t="array" ref="A59">IFERROR(INDEX('03.Muestra'!$B$8:$B$42,SMALL(IF("Página Web"='03.Muestra'!$D$8:$D$42,ROW('03.Muestra'!$B$8:$B$42)-MIN(ROW('03.Muestra'!$D$8:$D$42))+1,""),ROW()-56)),"")</f>
        <v>1.0</v>
      </c>
      <c r="B59" s="114" t="str" cm="1">
        <f t="array" ref="B59">IFERROR(INDEX('03.Muestra'!$C$8:$C$42,SMALL(IF("Página Web"='03.Muestra'!$D$8:$D$42,ROW('03.Muestra'!$C$8:$C$42)-MIN(ROW('03.Muestra'!$D$8:$D$42))+1,""),ROW()-56)),"")</f>
        <v>Home - PortCastelló</v>
      </c>
      <c r="C59" s="114" t="str" cm="1">
        <f t="array" ref="C59">IFERROR(INDEX('03.Muestra'!$F$8:$F$42,SMALL(IF("Página Web"='03.Muestra'!$D$8:$D$42,ROW('03.Muestra'!$F$8:$F$42)-MIN(ROW('03.Muestra'!$D$8:$D$42))+1,""),ROW()-56)),"")</f>
        <v>https://www.portcastello.com/</v>
      </c>
      <c r="D59" s="130" t="str">
        <f t="shared" si="3"/>
        <v>N/T</v>
      </c>
      <c r="E59" s="107" t="str">
        <f t="shared" si="2"/>
        <v/>
      </c>
      <c r="G59" s="19"/>
      <c r="H59" s="19"/>
      <c r="I59" s="19"/>
      <c r="J59" s="19"/>
      <c r="K59" s="233"/>
      <c r="L59" s="19"/>
      <c r="M59" s="19"/>
      <c r="N59" s="19"/>
      <c r="O59" s="19"/>
      <c r="P59" s="19"/>
      <c r="Q59" s="19"/>
      <c r="R59" s="19"/>
      <c r="S59" s="19"/>
      <c r="T59" s="19"/>
      <c r="U59" s="19"/>
      <c r="V59" s="19"/>
      <c r="W59" s="19"/>
      <c r="X59" s="19"/>
      <c r="Y59" s="19"/>
    </row>
    <row r="60" spans="1:25" ht="12" customHeight="1">
      <c r="A60" s="219" t="n" cm="1">
        <f t="array" ref="A60">IFERROR(INDEX('03.Muestra'!$B$8:$B$42,SMALL(IF("Página Web"='03.Muestra'!$D$8:$D$42,ROW('03.Muestra'!$B$8:$B$42)-MIN(ROW('03.Muestra'!$D$8:$D$42))+1,""),ROW()-56)),"")</f>
        <v>1.0</v>
      </c>
      <c r="B60" s="114" t="str" cm="1">
        <f t="array" ref="B60">IFERROR(INDEX('03.Muestra'!$C$8:$C$42,SMALL(IF("Página Web"='03.Muestra'!$D$8:$D$42,ROW('03.Muestra'!$C$8:$C$42)-MIN(ROW('03.Muestra'!$D$8:$D$42))+1,""),ROW()-56)),"")</f>
        <v>Home - PortCastelló</v>
      </c>
      <c r="C60" s="114" t="str" cm="1">
        <f t="array" ref="C60">IFERROR(INDEX('03.Muestra'!$F$8:$F$42,SMALL(IF("Página Web"='03.Muestra'!$D$8:$D$42,ROW('03.Muestra'!$F$8:$F$42)-MIN(ROW('03.Muestra'!$D$8:$D$42))+1,""),ROW()-56)),"")</f>
        <v>https://www.portcastello.com/</v>
      </c>
      <c r="D60" s="130" t="str">
        <f t="shared" si="3"/>
        <v>N/T</v>
      </c>
      <c r="E60" s="107" t="str">
        <f t="shared" si="2"/>
        <v/>
      </c>
      <c r="G60" s="19"/>
      <c r="H60" s="19"/>
      <c r="I60" s="19"/>
      <c r="J60" s="19"/>
      <c r="K60" s="233"/>
      <c r="L60" s="19"/>
      <c r="M60" s="19"/>
      <c r="N60" s="19"/>
      <c r="O60" s="19"/>
      <c r="P60" s="19"/>
      <c r="Q60" s="19"/>
      <c r="R60" s="19"/>
      <c r="S60" s="19"/>
      <c r="T60" s="19"/>
      <c r="U60" s="19"/>
      <c r="V60" s="19"/>
      <c r="W60" s="19"/>
      <c r="X60" s="19"/>
      <c r="Y60" s="19"/>
    </row>
    <row r="61" spans="1:25" ht="12" customHeight="1">
      <c r="A61" s="219" t="n" cm="1">
        <f t="array" ref="A61">IFERROR(INDEX('03.Muestra'!$B$8:$B$42,SMALL(IF("Página Web"='03.Muestra'!$D$8:$D$42,ROW('03.Muestra'!$B$8:$B$42)-MIN(ROW('03.Muestra'!$D$8:$D$42))+1,""),ROW()-56)),"")</f>
        <v>1.0</v>
      </c>
      <c r="B61" s="114" t="str" cm="1">
        <f t="array" ref="B61">IFERROR(INDEX('03.Muestra'!$C$8:$C$42,SMALL(IF("Página Web"='03.Muestra'!$D$8:$D$42,ROW('03.Muestra'!$C$8:$C$42)-MIN(ROW('03.Muestra'!$D$8:$D$42))+1,""),ROW()-56)),"")</f>
        <v>Home - PortCastelló</v>
      </c>
      <c r="C61" s="114" t="str" cm="1">
        <f t="array" ref="C61">IFERROR(INDEX('03.Muestra'!$F$8:$F$42,SMALL(IF("Página Web"='03.Muestra'!$D$8:$D$42,ROW('03.Muestra'!$F$8:$F$42)-MIN(ROW('03.Muestra'!$D$8:$D$42))+1,""),ROW()-56)),"")</f>
        <v>https://www.portcastello.com/</v>
      </c>
      <c r="D61" s="130" t="str">
        <f t="shared" si="3"/>
        <v>N/T</v>
      </c>
      <c r="E61" s="107" t="str">
        <f t="shared" si="2"/>
        <v/>
      </c>
      <c r="G61" s="19"/>
      <c r="H61" s="19"/>
      <c r="I61" s="19"/>
      <c r="J61" s="19"/>
      <c r="K61" s="233"/>
      <c r="L61" s="19"/>
      <c r="M61" s="19"/>
      <c r="N61" s="19"/>
      <c r="O61" s="19"/>
      <c r="P61" s="19"/>
      <c r="Q61" s="19"/>
      <c r="R61" s="19"/>
      <c r="S61" s="19"/>
      <c r="T61" s="19"/>
      <c r="U61" s="19"/>
      <c r="V61" s="19"/>
      <c r="W61" s="19"/>
      <c r="X61" s="19"/>
      <c r="Y61" s="19"/>
    </row>
    <row r="62" spans="1:25" ht="12" customHeight="1">
      <c r="A62" s="219" t="n" cm="1">
        <f t="array" ref="A62">IFERROR(INDEX('03.Muestra'!$B$8:$B$42,SMALL(IF("Página Web"='03.Muestra'!$D$8:$D$42,ROW('03.Muestra'!$B$8:$B$42)-MIN(ROW('03.Muestra'!$D$8:$D$42))+1,""),ROW()-56)),"")</f>
        <v>1.0</v>
      </c>
      <c r="B62" s="114" t="str" cm="1">
        <f t="array" ref="B62">IFERROR(INDEX('03.Muestra'!$C$8:$C$42,SMALL(IF("Página Web"='03.Muestra'!$D$8:$D$42,ROW('03.Muestra'!$C$8:$C$42)-MIN(ROW('03.Muestra'!$D$8:$D$42))+1,""),ROW()-56)),"")</f>
        <v>Home - PortCastelló</v>
      </c>
      <c r="C62" s="114" t="str" cm="1">
        <f t="array" ref="C62">IFERROR(INDEX('03.Muestra'!$F$8:$F$42,SMALL(IF("Página Web"='03.Muestra'!$D$8:$D$42,ROW('03.Muestra'!$F$8:$F$42)-MIN(ROW('03.Muestra'!$D$8:$D$42))+1,""),ROW()-56)),"")</f>
        <v>https://www.portcastello.com/</v>
      </c>
      <c r="D62" s="130" t="str">
        <f t="shared" si="3"/>
        <v>N/T</v>
      </c>
      <c r="E62" s="107" t="str">
        <f t="shared" si="2"/>
        <v/>
      </c>
      <c r="G62" s="19"/>
      <c r="H62" s="19"/>
      <c r="I62" s="19"/>
      <c r="J62" s="19"/>
      <c r="K62" s="233"/>
      <c r="L62" s="19"/>
      <c r="M62" s="19"/>
      <c r="N62" s="19"/>
      <c r="O62" s="19"/>
      <c r="P62" s="19"/>
      <c r="Q62" s="19"/>
      <c r="R62" s="19"/>
      <c r="S62" s="19"/>
      <c r="T62" s="19"/>
      <c r="U62" s="19"/>
      <c r="V62" s="19"/>
      <c r="W62" s="19"/>
      <c r="X62" s="19"/>
      <c r="Y62" s="19"/>
    </row>
    <row r="63" spans="1:25" ht="12" customHeight="1">
      <c r="A63" s="219" t="n" cm="1">
        <f t="array" ref="A63">IFERROR(INDEX('03.Muestra'!$B$8:$B$42,SMALL(IF("Página Web"='03.Muestra'!$D$8:$D$42,ROW('03.Muestra'!$B$8:$B$42)-MIN(ROW('03.Muestra'!$D$8:$D$42))+1,""),ROW()-56)),"")</f>
        <v>1.0</v>
      </c>
      <c r="B63" s="114" t="str" cm="1">
        <f t="array" ref="B63">IFERROR(INDEX('03.Muestra'!$C$8:$C$42,SMALL(IF("Página Web"='03.Muestra'!$D$8:$D$42,ROW('03.Muestra'!$C$8:$C$42)-MIN(ROW('03.Muestra'!$D$8:$D$42))+1,""),ROW()-56)),"")</f>
        <v>Home - PortCastelló</v>
      </c>
      <c r="C63" s="114" t="str" cm="1">
        <f t="array" ref="C63">IFERROR(INDEX('03.Muestra'!$F$8:$F$42,SMALL(IF("Página Web"='03.Muestra'!$D$8:$D$42,ROW('03.Muestra'!$F$8:$F$42)-MIN(ROW('03.Muestra'!$D$8:$D$42))+1,""),ROW()-56)),"")</f>
        <v>https://www.portcastello.com/</v>
      </c>
      <c r="D63" s="130" t="str">
        <f t="shared" si="3"/>
        <v>N/T</v>
      </c>
      <c r="E63" s="107" t="str">
        <f t="shared" si="2"/>
        <v/>
      </c>
      <c r="F63" s="19"/>
      <c r="G63" s="19"/>
      <c r="H63" s="19"/>
      <c r="I63" s="19"/>
      <c r="J63" s="19"/>
      <c r="K63" s="233"/>
      <c r="L63" s="19"/>
      <c r="M63" s="19"/>
      <c r="N63" s="19"/>
      <c r="O63" s="19"/>
      <c r="P63" s="19"/>
      <c r="Q63" s="19"/>
      <c r="R63" s="19"/>
      <c r="S63" s="19"/>
      <c r="T63" s="19"/>
      <c r="U63" s="19"/>
      <c r="V63" s="19"/>
      <c r="W63" s="19"/>
      <c r="X63" s="19"/>
      <c r="Y63" s="19"/>
    </row>
    <row r="64" spans="1:25" ht="12" customHeight="1">
      <c r="A64" s="219" t="n" cm="1">
        <f t="array" ref="A64">IFERROR(INDEX('03.Muestra'!$B$8:$B$42,SMALL(IF("Página Web"='03.Muestra'!$D$8:$D$42,ROW('03.Muestra'!$B$8:$B$42)-MIN(ROW('03.Muestra'!$D$8:$D$42))+1,""),ROW()-56)),"")</f>
        <v>1.0</v>
      </c>
      <c r="B64" s="114" t="str" cm="1">
        <f t="array" ref="B64">IFERROR(INDEX('03.Muestra'!$C$8:$C$42,SMALL(IF("Página Web"='03.Muestra'!$D$8:$D$42,ROW('03.Muestra'!$C$8:$C$42)-MIN(ROW('03.Muestra'!$D$8:$D$42))+1,""),ROW()-56)),"")</f>
        <v>Home - PortCastelló</v>
      </c>
      <c r="C64" s="114" t="str" cm="1">
        <f t="array" ref="C64">IFERROR(INDEX('03.Muestra'!$F$8:$F$42,SMALL(IF("Página Web"='03.Muestra'!$D$8:$D$42,ROW('03.Muestra'!$F$8:$F$42)-MIN(ROW('03.Muestra'!$D$8:$D$42))+1,""),ROW()-56)),"")</f>
        <v>https://www.portcastello.com/</v>
      </c>
      <c r="D64" s="130" t="str">
        <f t="shared" si="3"/>
        <v>N/T</v>
      </c>
      <c r="E64" s="107" t="str">
        <f t="shared" si="2"/>
        <v/>
      </c>
      <c r="F64" s="19"/>
      <c r="G64" s="19"/>
      <c r="H64" s="19"/>
      <c r="I64" s="19"/>
      <c r="J64" s="19"/>
      <c r="K64" s="233"/>
      <c r="L64" s="19"/>
      <c r="M64" s="19"/>
      <c r="N64" s="19"/>
      <c r="O64" s="19"/>
      <c r="P64" s="19"/>
      <c r="Q64" s="19"/>
      <c r="R64" s="19"/>
      <c r="S64" s="19"/>
      <c r="T64" s="19"/>
      <c r="U64" s="19"/>
      <c r="V64" s="19"/>
      <c r="W64" s="19"/>
      <c r="X64" s="19"/>
      <c r="Y64" s="19"/>
    </row>
    <row r="65" spans="1:25" ht="12" customHeight="1">
      <c r="A65" s="219" t="n" cm="1">
        <f t="array" ref="A65">IFERROR(INDEX('03.Muestra'!$B$8:$B$42,SMALL(IF("Página Web"='03.Muestra'!$D$8:$D$42,ROW('03.Muestra'!$B$8:$B$42)-MIN(ROW('03.Muestra'!$D$8:$D$42))+1,""),ROW()-56)),"")</f>
        <v>1.0</v>
      </c>
      <c r="B65" s="114" t="str" cm="1">
        <f t="array" ref="B65">IFERROR(INDEX('03.Muestra'!$C$8:$C$42,SMALL(IF("Página Web"='03.Muestra'!$D$8:$D$42,ROW('03.Muestra'!$C$8:$C$42)-MIN(ROW('03.Muestra'!$D$8:$D$42))+1,""),ROW()-56)),"")</f>
        <v>Home - PortCastelló</v>
      </c>
      <c r="C65" s="114" t="str" cm="1">
        <f t="array" ref="C65">IFERROR(INDEX('03.Muestra'!$F$8:$F$42,SMALL(IF("Página Web"='03.Muestra'!$D$8:$D$42,ROW('03.Muestra'!$F$8:$F$42)-MIN(ROW('03.Muestra'!$D$8:$D$42))+1,""),ROW()-56)),"")</f>
        <v>https://www.portcastello.com/</v>
      </c>
      <c r="D65" s="130" t="str">
        <f t="shared" si="3"/>
        <v>N/T</v>
      </c>
      <c r="E65" s="107" t="str">
        <f t="shared" si="2"/>
        <v/>
      </c>
      <c r="F65" s="19"/>
      <c r="G65" s="19"/>
      <c r="H65" s="19"/>
      <c r="I65" s="19"/>
      <c r="J65" s="19"/>
      <c r="K65" s="233"/>
      <c r="L65" s="19"/>
      <c r="M65" s="19"/>
      <c r="N65" s="19"/>
      <c r="O65" s="19"/>
      <c r="P65" s="19"/>
      <c r="Q65" s="19"/>
      <c r="R65" s="19"/>
      <c r="S65" s="19"/>
      <c r="T65" s="19"/>
      <c r="U65" s="19"/>
      <c r="V65" s="19"/>
      <c r="W65" s="19"/>
      <c r="X65" s="19"/>
      <c r="Y65" s="19"/>
    </row>
    <row r="66" spans="1:25" ht="12" customHeight="1">
      <c r="A66" s="219" t="n" cm="1">
        <f t="array" ref="A66">IFERROR(INDEX('03.Muestra'!$B$8:$B$42,SMALL(IF("Página Web"='03.Muestra'!$D$8:$D$42,ROW('03.Muestra'!$B$8:$B$42)-MIN(ROW('03.Muestra'!$D$8:$D$42))+1,""),ROW()-56)),"")</f>
        <v>1.0</v>
      </c>
      <c r="B66" s="114" t="str" cm="1">
        <f t="array" ref="B66">IFERROR(INDEX('03.Muestra'!$C$8:$C$42,SMALL(IF("Página Web"='03.Muestra'!$D$8:$D$42,ROW('03.Muestra'!$C$8:$C$42)-MIN(ROW('03.Muestra'!$D$8:$D$42))+1,""),ROW()-56)),"")</f>
        <v>Home - PortCastelló</v>
      </c>
      <c r="C66" s="114" t="str" cm="1">
        <f t="array" ref="C66">IFERROR(INDEX('03.Muestra'!$F$8:$F$42,SMALL(IF("Página Web"='03.Muestra'!$D$8:$D$42,ROW('03.Muestra'!$F$8:$F$42)-MIN(ROW('03.Muestra'!$D$8:$D$42))+1,""),ROW()-56)),"")</f>
        <v>https://www.portcastello.com/</v>
      </c>
      <c r="D66" s="130" t="str">
        <f t="shared" si="3"/>
        <v>N/T</v>
      </c>
      <c r="E66" s="107" t="str">
        <f t="shared" si="2"/>
        <v/>
      </c>
      <c r="F66" s="19"/>
      <c r="G66" s="19"/>
      <c r="H66" s="19"/>
      <c r="I66" s="19"/>
      <c r="J66" s="19"/>
      <c r="K66" s="233"/>
      <c r="L66" s="19"/>
      <c r="M66" s="19"/>
      <c r="N66" s="19"/>
      <c r="O66" s="19"/>
      <c r="P66" s="19"/>
      <c r="Q66" s="19"/>
      <c r="R66" s="19"/>
      <c r="S66" s="19"/>
      <c r="T66" s="19"/>
      <c r="U66" s="19"/>
      <c r="V66" s="19"/>
      <c r="W66" s="19"/>
      <c r="X66" s="19"/>
      <c r="Y66" s="19"/>
    </row>
    <row r="67" spans="1:25" ht="12" customHeight="1">
      <c r="A67" s="219" t="n" cm="1">
        <f t="array" ref="A67">IFERROR(INDEX('03.Muestra'!$B$8:$B$42,SMALL(IF("Página Web"='03.Muestra'!$D$8:$D$42,ROW('03.Muestra'!$B$8:$B$42)-MIN(ROW('03.Muestra'!$D$8:$D$42))+1,""),ROW()-56)),"")</f>
        <v>1.0</v>
      </c>
      <c r="B67" s="114" t="str" cm="1">
        <f t="array" ref="B67">IFERROR(INDEX('03.Muestra'!$C$8:$C$42,SMALL(IF("Página Web"='03.Muestra'!$D$8:$D$42,ROW('03.Muestra'!$C$8:$C$42)-MIN(ROW('03.Muestra'!$D$8:$D$42))+1,""),ROW()-56)),"")</f>
        <v>Home - PortCastelló</v>
      </c>
      <c r="C67" s="114" t="str" cm="1">
        <f t="array" ref="C67">IFERROR(INDEX('03.Muestra'!$F$8:$F$42,SMALL(IF("Página Web"='03.Muestra'!$D$8:$D$42,ROW('03.Muestra'!$F$8:$F$42)-MIN(ROW('03.Muestra'!$D$8:$D$42))+1,""),ROW()-56)),"")</f>
        <v>https://www.portcastello.com/</v>
      </c>
      <c r="D67" s="130" t="str">
        <f t="shared" si="3"/>
        <v>N/T</v>
      </c>
      <c r="E67" s="107" t="str">
        <f t="shared" si="2"/>
        <v/>
      </c>
      <c r="F67" s="19"/>
      <c r="G67" s="19"/>
      <c r="H67" s="19"/>
      <c r="I67" s="19"/>
      <c r="J67" s="19"/>
      <c r="K67" s="233"/>
      <c r="L67" s="19"/>
      <c r="M67" s="19"/>
      <c r="N67" s="19"/>
      <c r="O67" s="19"/>
      <c r="P67" s="19"/>
      <c r="Q67" s="19"/>
      <c r="R67" s="19"/>
      <c r="S67" s="19"/>
      <c r="T67" s="19"/>
      <c r="U67" s="19"/>
      <c r="V67" s="19"/>
      <c r="W67" s="19"/>
      <c r="X67" s="19"/>
      <c r="Y67" s="19"/>
    </row>
    <row r="68" spans="1:25" ht="12" customHeight="1">
      <c r="A68" s="219" t="n" cm="1">
        <f t="array" ref="A68">IFERROR(INDEX('03.Muestra'!$B$8:$B$42,SMALL(IF("Página Web"='03.Muestra'!$D$8:$D$42,ROW('03.Muestra'!$B$8:$B$42)-MIN(ROW('03.Muestra'!$D$8:$D$42))+1,""),ROW()-56)),"")</f>
        <v>1.0</v>
      </c>
      <c r="B68" s="114" t="str" cm="1">
        <f t="array" ref="B68">IFERROR(INDEX('03.Muestra'!$C$8:$C$42,SMALL(IF("Página Web"='03.Muestra'!$D$8:$D$42,ROW('03.Muestra'!$C$8:$C$42)-MIN(ROW('03.Muestra'!$D$8:$D$42))+1,""),ROW()-56)),"")</f>
        <v>Home - PortCastelló</v>
      </c>
      <c r="C68" s="114" t="str" cm="1">
        <f t="array" ref="C68">IFERROR(INDEX('03.Muestra'!$F$8:$F$42,SMALL(IF("Página Web"='03.Muestra'!$D$8:$D$42,ROW('03.Muestra'!$F$8:$F$42)-MIN(ROW('03.Muestra'!$D$8:$D$42))+1,""),ROW()-56)),"")</f>
        <v>https://www.portcastello.com/</v>
      </c>
      <c r="D68" s="130" t="str">
        <f t="shared" si="3"/>
        <v>N/T</v>
      </c>
      <c r="E68" s="107" t="str">
        <f t="shared" si="2"/>
        <v/>
      </c>
      <c r="F68" s="19"/>
      <c r="G68" s="19"/>
      <c r="H68" s="19"/>
      <c r="I68" s="19"/>
      <c r="J68" s="19"/>
      <c r="K68" s="233"/>
      <c r="L68" s="19"/>
      <c r="M68" s="19"/>
      <c r="N68" s="19"/>
      <c r="O68" s="19"/>
      <c r="P68" s="19"/>
      <c r="Q68" s="19"/>
      <c r="R68" s="19"/>
      <c r="S68" s="19"/>
      <c r="T68" s="19"/>
      <c r="U68" s="19"/>
      <c r="V68" s="19"/>
      <c r="W68" s="19"/>
      <c r="X68" s="19"/>
      <c r="Y68" s="19"/>
    </row>
    <row r="69" spans="1:25" ht="12" customHeight="1">
      <c r="A69" s="219" t="n" cm="1">
        <f t="array" ref="A69">IFERROR(INDEX('03.Muestra'!$B$8:$B$42,SMALL(IF("Página Web"='03.Muestra'!$D$8:$D$42,ROW('03.Muestra'!$B$8:$B$42)-MIN(ROW('03.Muestra'!$D$8:$D$42))+1,""),ROW()-56)),"")</f>
        <v>1.0</v>
      </c>
      <c r="B69" s="114" t="str" cm="1">
        <f t="array" ref="B69">IFERROR(INDEX('03.Muestra'!$C$8:$C$42,SMALL(IF("Página Web"='03.Muestra'!$D$8:$D$42,ROW('03.Muestra'!$C$8:$C$42)-MIN(ROW('03.Muestra'!$D$8:$D$42))+1,""),ROW()-56)),"")</f>
        <v>Home - PortCastelló</v>
      </c>
      <c r="C69" s="114" t="str" cm="1">
        <f t="array" ref="C69">IFERROR(INDEX('03.Muestra'!$F$8:$F$42,SMALL(IF("Página Web"='03.Muestra'!$D$8:$D$42,ROW('03.Muestra'!$F$8:$F$42)-MIN(ROW('03.Muestra'!$D$8:$D$42))+1,""),ROW()-56)),"")</f>
        <v>https://www.portcastello.com/</v>
      </c>
      <c r="D69" s="130" t="str">
        <f t="shared" si="3"/>
        <v>N/T</v>
      </c>
      <c r="E69" s="107" t="str">
        <f t="shared" si="2"/>
        <v/>
      </c>
      <c r="F69" s="19"/>
      <c r="G69" s="19"/>
      <c r="H69" s="19"/>
      <c r="I69" s="19"/>
      <c r="J69" s="19"/>
      <c r="K69" s="233"/>
      <c r="L69" s="19"/>
      <c r="M69" s="19"/>
      <c r="N69" s="19"/>
      <c r="O69" s="19"/>
      <c r="P69" s="19"/>
      <c r="Q69" s="19"/>
      <c r="R69" s="19"/>
      <c r="S69" s="19"/>
      <c r="T69" s="19"/>
      <c r="U69" s="19"/>
      <c r="V69" s="19"/>
      <c r="W69" s="19"/>
      <c r="X69" s="19"/>
      <c r="Y69" s="19"/>
    </row>
    <row r="70" spans="1:25" ht="12" customHeight="1">
      <c r="A70" s="219" t="n" cm="1">
        <f t="array" ref="A70">IFERROR(INDEX('03.Muestra'!$B$8:$B$42,SMALL(IF("Página Web"='03.Muestra'!$D$8:$D$42,ROW('03.Muestra'!$B$8:$B$42)-MIN(ROW('03.Muestra'!$D$8:$D$42))+1,""),ROW()-56)),"")</f>
        <v>1.0</v>
      </c>
      <c r="B70" s="114" t="str" cm="1">
        <f t="array" ref="B70">IFERROR(INDEX('03.Muestra'!$C$8:$C$42,SMALL(IF("Página Web"='03.Muestra'!$D$8:$D$42,ROW('03.Muestra'!$C$8:$C$42)-MIN(ROW('03.Muestra'!$D$8:$D$42))+1,""),ROW()-56)),"")</f>
        <v>Home - PortCastelló</v>
      </c>
      <c r="C70" s="114" t="str" cm="1">
        <f t="array" ref="C70">IFERROR(INDEX('03.Muestra'!$F$8:$F$42,SMALL(IF("Página Web"='03.Muestra'!$D$8:$D$42,ROW('03.Muestra'!$F$8:$F$42)-MIN(ROW('03.Muestra'!$D$8:$D$42))+1,""),ROW()-56)),"")</f>
        <v>https://www.portcastello.com/</v>
      </c>
      <c r="D70" s="130" t="str">
        <f t="shared" si="3"/>
        <v>N/T</v>
      </c>
      <c r="E70" s="107" t="str">
        <f t="shared" si="2"/>
        <v/>
      </c>
      <c r="F70" s="19"/>
      <c r="G70" s="19"/>
      <c r="H70" s="19"/>
      <c r="I70" s="19"/>
      <c r="J70" s="19"/>
      <c r="K70" s="233"/>
      <c r="L70" s="19"/>
      <c r="M70" s="19"/>
      <c r="N70" s="19"/>
      <c r="O70" s="19"/>
      <c r="P70" s="19"/>
      <c r="Q70" s="19"/>
      <c r="R70" s="19"/>
      <c r="S70" s="19"/>
      <c r="T70" s="19"/>
      <c r="U70" s="19"/>
      <c r="V70" s="19"/>
      <c r="W70" s="19"/>
      <c r="X70" s="19"/>
      <c r="Y70" s="19"/>
    </row>
    <row r="71" spans="1:25" ht="12" customHeight="1">
      <c r="A71" s="219" t="n" cm="1">
        <f t="array" ref="A71">IFERROR(INDEX('03.Muestra'!$B$8:$B$42,SMALL(IF("Página Web"='03.Muestra'!$D$8:$D$42,ROW('03.Muestra'!$B$8:$B$42)-MIN(ROW('03.Muestra'!$D$8:$D$42))+1,""),ROW()-56)),"")</f>
        <v>1.0</v>
      </c>
      <c r="B71" s="114" t="str" cm="1">
        <f t="array" ref="B71">IFERROR(INDEX('03.Muestra'!$C$8:$C$42,SMALL(IF("Página Web"='03.Muestra'!$D$8:$D$42,ROW('03.Muestra'!$C$8:$C$42)-MIN(ROW('03.Muestra'!$D$8:$D$42))+1,""),ROW()-56)),"")</f>
        <v>Home - PortCastelló</v>
      </c>
      <c r="C71" s="114" t="str" cm="1">
        <f t="array" ref="C71">IFERROR(INDEX('03.Muestra'!$F$8:$F$42,SMALL(IF("Página Web"='03.Muestra'!$D$8:$D$42,ROW('03.Muestra'!$F$8:$F$42)-MIN(ROW('03.Muestra'!$D$8:$D$42))+1,""),ROW()-56)),"")</f>
        <v>https://www.portcastello.com/</v>
      </c>
      <c r="D71" s="130" t="str">
        <f t="shared" si="3"/>
        <v>N/T</v>
      </c>
      <c r="E71" s="107" t="str">
        <f t="shared" si="2"/>
        <v/>
      </c>
      <c r="F71" s="19"/>
      <c r="G71" s="19"/>
      <c r="H71" s="19"/>
      <c r="I71" s="19"/>
      <c r="J71" s="19"/>
      <c r="K71" s="233"/>
      <c r="L71" s="19"/>
      <c r="M71" s="19"/>
      <c r="N71" s="19"/>
      <c r="O71" s="19"/>
      <c r="P71" s="19"/>
      <c r="Q71" s="19"/>
      <c r="R71" s="19"/>
      <c r="S71" s="19"/>
      <c r="T71" s="19"/>
      <c r="U71" s="19"/>
      <c r="V71" s="19"/>
      <c r="W71" s="19"/>
      <c r="X71" s="19"/>
      <c r="Y71" s="19"/>
    </row>
    <row r="72" spans="1:25" ht="12" customHeight="1">
      <c r="A72" s="219" t="n" cm="1">
        <f t="array" ref="A72">IFERROR(INDEX('03.Muestra'!$B$8:$B$42,SMALL(IF("Página Web"='03.Muestra'!$D$8:$D$42,ROW('03.Muestra'!$B$8:$B$42)-MIN(ROW('03.Muestra'!$D$8:$D$42))+1,""),ROW()-56)),"")</f>
        <v>1.0</v>
      </c>
      <c r="B72" s="114" t="str" cm="1">
        <f t="array" ref="B72">IFERROR(INDEX('03.Muestra'!$C$8:$C$42,SMALL(IF("Página Web"='03.Muestra'!$D$8:$D$42,ROW('03.Muestra'!$C$8:$C$42)-MIN(ROW('03.Muestra'!$D$8:$D$42))+1,""),ROW()-56)),"")</f>
        <v>Home - PortCastelló</v>
      </c>
      <c r="C72" s="114" t="str" cm="1">
        <f t="array" ref="C72">IFERROR(INDEX('03.Muestra'!$F$8:$F$42,SMALL(IF("Página Web"='03.Muestra'!$D$8:$D$42,ROW('03.Muestra'!$F$8:$F$42)-MIN(ROW('03.Muestra'!$D$8:$D$42))+1,""),ROW()-56)),"")</f>
        <v>https://www.portcastello.com/</v>
      </c>
      <c r="D72" s="130" t="str">
        <f t="shared" si="3"/>
        <v>N/T</v>
      </c>
      <c r="E72" s="107" t="str">
        <f t="shared" si="2"/>
        <v/>
      </c>
      <c r="F72" s="19"/>
      <c r="G72" s="19"/>
      <c r="H72" s="19"/>
      <c r="I72" s="19"/>
      <c r="J72" s="19"/>
      <c r="K72" s="233"/>
      <c r="L72" s="19"/>
      <c r="M72" s="19"/>
      <c r="N72" s="19"/>
      <c r="O72" s="19"/>
      <c r="P72" s="19"/>
      <c r="Q72" s="19"/>
      <c r="R72" s="19"/>
      <c r="S72" s="19"/>
      <c r="T72" s="19"/>
      <c r="U72" s="19"/>
      <c r="V72" s="19"/>
      <c r="W72" s="19"/>
      <c r="X72" s="19"/>
      <c r="Y72" s="19"/>
    </row>
    <row r="73" spans="1:25" ht="12" customHeight="1">
      <c r="A73" s="219" t="n" cm="1">
        <f t="array" ref="A73">IFERROR(INDEX('03.Muestra'!$B$8:$B$42,SMALL(IF("Página Web"='03.Muestra'!$D$8:$D$42,ROW('03.Muestra'!$B$8:$B$42)-MIN(ROW('03.Muestra'!$D$8:$D$42))+1,""),ROW()-56)),"")</f>
        <v>1.0</v>
      </c>
      <c r="B73" s="114" t="str" cm="1">
        <f t="array" ref="B73">IFERROR(INDEX('03.Muestra'!$C$8:$C$42,SMALL(IF("Página Web"='03.Muestra'!$D$8:$D$42,ROW('03.Muestra'!$C$8:$C$42)-MIN(ROW('03.Muestra'!$D$8:$D$42))+1,""),ROW()-56)),"")</f>
        <v>Home - PortCastelló</v>
      </c>
      <c r="C73" s="114" t="str" cm="1">
        <f t="array" ref="C73">IFERROR(INDEX('03.Muestra'!$F$8:$F$42,SMALL(IF("Página Web"='03.Muestra'!$D$8:$D$42,ROW('03.Muestra'!$F$8:$F$42)-MIN(ROW('03.Muestra'!$D$8:$D$42))+1,""),ROW()-56)),"")</f>
        <v>https://www.portcastello.com/</v>
      </c>
      <c r="D73" s="130" t="str">
        <f t="shared" si="3"/>
        <v>N/T</v>
      </c>
      <c r="E73" s="107" t="str">
        <f t="shared" si="2"/>
        <v/>
      </c>
      <c r="F73" s="19"/>
      <c r="G73" s="19"/>
      <c r="H73" s="19"/>
      <c r="I73" s="19"/>
      <c r="J73" s="19"/>
      <c r="K73" s="233"/>
      <c r="L73" s="19"/>
      <c r="M73" s="19"/>
      <c r="N73" s="19"/>
      <c r="O73" s="19"/>
      <c r="P73" s="19"/>
      <c r="Q73" s="19"/>
      <c r="R73" s="19"/>
      <c r="S73" s="19"/>
      <c r="T73" s="19"/>
      <c r="U73" s="19"/>
      <c r="V73" s="19"/>
      <c r="W73" s="19"/>
      <c r="X73" s="19"/>
      <c r="Y73" s="19"/>
    </row>
    <row r="74" spans="1:25" ht="12" customHeight="1">
      <c r="A74" s="219" t="n" cm="1">
        <f t="array" ref="A74">IFERROR(INDEX('03.Muestra'!$B$8:$B$42,SMALL(IF("Página Web"='03.Muestra'!$D$8:$D$42,ROW('03.Muestra'!$B$8:$B$42)-MIN(ROW('03.Muestra'!$D$8:$D$42))+1,""),ROW()-56)),"")</f>
        <v>1.0</v>
      </c>
      <c r="B74" s="114" t="str" cm="1">
        <f t="array" ref="B74">IFERROR(INDEX('03.Muestra'!$C$8:$C$42,SMALL(IF("Página Web"='03.Muestra'!$D$8:$D$42,ROW('03.Muestra'!$C$8:$C$42)-MIN(ROW('03.Muestra'!$D$8:$D$42))+1,""),ROW()-56)),"")</f>
        <v>Home - PortCastelló</v>
      </c>
      <c r="C74" s="114" t="str" cm="1">
        <f t="array" ref="C74">IFERROR(INDEX('03.Muestra'!$F$8:$F$42,SMALL(IF("Página Web"='03.Muestra'!$D$8:$D$42,ROW('03.Muestra'!$F$8:$F$42)-MIN(ROW('03.Muestra'!$D$8:$D$42))+1,""),ROW()-56)),"")</f>
        <v>https://www.portcastello.com/</v>
      </c>
      <c r="D74" s="130" t="str">
        <f t="shared" si="3"/>
        <v>N/T</v>
      </c>
      <c r="E74" s="107" t="str">
        <f t="shared" si="2"/>
        <v/>
      </c>
      <c r="F74" s="19"/>
      <c r="G74" s="19"/>
      <c r="H74" s="19"/>
      <c r="I74" s="19"/>
      <c r="J74" s="19"/>
      <c r="K74" s="233"/>
      <c r="L74" s="19"/>
      <c r="M74" s="19"/>
      <c r="N74" s="19"/>
      <c r="O74" s="19"/>
      <c r="P74" s="19"/>
      <c r="Q74" s="19"/>
      <c r="R74" s="19"/>
      <c r="S74" s="19"/>
      <c r="T74" s="19"/>
      <c r="U74" s="19"/>
      <c r="V74" s="19"/>
      <c r="W74" s="19"/>
      <c r="X74" s="19"/>
      <c r="Y74" s="19"/>
    </row>
    <row r="75" spans="1:25" ht="12" customHeight="1">
      <c r="A75" s="219" t="n" cm="1">
        <f t="array" ref="A75">IFERROR(INDEX('03.Muestra'!$B$8:$B$42,SMALL(IF("Página Web"='03.Muestra'!$D$8:$D$42,ROW('03.Muestra'!$B$8:$B$42)-MIN(ROW('03.Muestra'!$D$8:$D$42))+1,""),ROW()-56)),"")</f>
        <v>1.0</v>
      </c>
      <c r="B75" s="114" t="str" cm="1">
        <f t="array" ref="B75">IFERROR(INDEX('03.Muestra'!$C$8:$C$42,SMALL(IF("Página Web"='03.Muestra'!$D$8:$D$42,ROW('03.Muestra'!$C$8:$C$42)-MIN(ROW('03.Muestra'!$D$8:$D$42))+1,""),ROW()-56)),"")</f>
        <v>Home - PortCastelló</v>
      </c>
      <c r="C75" s="114" t="str" cm="1">
        <f t="array" ref="C75">IFERROR(INDEX('03.Muestra'!$F$8:$F$42,SMALL(IF("Página Web"='03.Muestra'!$D$8:$D$42,ROW('03.Muestra'!$F$8:$F$42)-MIN(ROW('03.Muestra'!$D$8:$D$42))+1,""),ROW()-56)),"")</f>
        <v>https://www.portcastello.com/</v>
      </c>
      <c r="D75" s="130" t="str">
        <f t="shared" si="3"/>
        <v>N/T</v>
      </c>
      <c r="E75" s="107" t="str">
        <f t="shared" si="2"/>
        <v/>
      </c>
      <c r="F75" s="19"/>
      <c r="G75" s="19"/>
      <c r="H75" s="19"/>
      <c r="I75" s="19"/>
      <c r="J75" s="19"/>
      <c r="K75" s="233"/>
      <c r="L75" s="19"/>
      <c r="M75" s="19"/>
      <c r="N75" s="19"/>
      <c r="O75" s="19"/>
      <c r="P75" s="19"/>
      <c r="Q75" s="19"/>
      <c r="R75" s="19"/>
      <c r="S75" s="19"/>
      <c r="T75" s="19"/>
      <c r="U75" s="19"/>
      <c r="V75" s="19"/>
      <c r="W75" s="19"/>
      <c r="X75" s="19"/>
      <c r="Y75" s="19"/>
    </row>
    <row r="76" spans="1:25" ht="12" customHeight="1">
      <c r="A76" s="219" t="n" cm="1">
        <f t="array" ref="A76">IFERROR(INDEX('03.Muestra'!$B$8:$B$42,SMALL(IF("Página Web"='03.Muestra'!$D$8:$D$42,ROW('03.Muestra'!$B$8:$B$42)-MIN(ROW('03.Muestra'!$D$8:$D$42))+1,""),ROW()-56)),"")</f>
        <v>1.0</v>
      </c>
      <c r="B76" s="114" t="str" cm="1">
        <f t="array" ref="B76">IFERROR(INDEX('03.Muestra'!$C$8:$C$42,SMALL(IF("Página Web"='03.Muestra'!$D$8:$D$42,ROW('03.Muestra'!$C$8:$C$42)-MIN(ROW('03.Muestra'!$D$8:$D$42))+1,""),ROW()-56)),"")</f>
        <v>Home - PortCastelló</v>
      </c>
      <c r="C76" s="114" t="str" cm="1">
        <f t="array" ref="C76">IFERROR(INDEX('03.Muestra'!$F$8:$F$42,SMALL(IF("Página Web"='03.Muestra'!$D$8:$D$42,ROW('03.Muestra'!$F$8:$F$42)-MIN(ROW('03.Muestra'!$D$8:$D$42))+1,""),ROW()-56)),"")</f>
        <v>https://www.portcastello.com/</v>
      </c>
      <c r="D76" s="130" t="str">
        <f t="shared" si="3"/>
        <v>N/T</v>
      </c>
      <c r="E76" s="107" t="str">
        <f t="shared" si="2"/>
        <v/>
      </c>
      <c r="F76" s="19"/>
      <c r="G76" s="19"/>
      <c r="H76" s="19"/>
      <c r="I76" s="19"/>
      <c r="J76" s="19"/>
      <c r="K76" s="233"/>
      <c r="L76" s="19"/>
      <c r="M76" s="19"/>
      <c r="N76" s="19"/>
      <c r="O76" s="19"/>
      <c r="P76" s="19"/>
      <c r="Q76" s="19"/>
      <c r="R76" s="19"/>
      <c r="S76" s="19"/>
      <c r="T76" s="19"/>
      <c r="U76" s="19"/>
      <c r="V76" s="19"/>
      <c r="W76" s="19"/>
      <c r="X76" s="19"/>
      <c r="Y76" s="19"/>
    </row>
    <row r="77" spans="1:25" ht="12" customHeight="1">
      <c r="A77" s="219" t="n" cm="1">
        <f t="array" ref="A77">IFERROR(INDEX('03.Muestra'!$B$8:$B$42,SMALL(IF("Página Web"='03.Muestra'!$D$8:$D$42,ROW('03.Muestra'!$B$8:$B$42)-MIN(ROW('03.Muestra'!$D$8:$D$42))+1,""),ROW()-56)),"")</f>
        <v>1.0</v>
      </c>
      <c r="B77" s="114" t="str" cm="1">
        <f t="array" ref="B77">IFERROR(INDEX('03.Muestra'!$C$8:$C$42,SMALL(IF("Página Web"='03.Muestra'!$D$8:$D$42,ROW('03.Muestra'!$C$8:$C$42)-MIN(ROW('03.Muestra'!$D$8:$D$42))+1,""),ROW()-56)),"")</f>
        <v>Home - PortCastelló</v>
      </c>
      <c r="C77" s="114" t="str" cm="1">
        <f t="array" ref="C77">IFERROR(INDEX('03.Muestra'!$F$8:$F$42,SMALL(IF("Página Web"='03.Muestra'!$D$8:$D$42,ROW('03.Muestra'!$F$8:$F$42)-MIN(ROW('03.Muestra'!$D$8:$D$42))+1,""),ROW()-56)),"")</f>
        <v>https://www.portcastello.com/</v>
      </c>
      <c r="D77" s="130" t="str">
        <f t="shared" si="3"/>
        <v>N/T</v>
      </c>
      <c r="E77" s="107" t="str">
        <f t="shared" si="2"/>
        <v/>
      </c>
      <c r="F77" s="19"/>
      <c r="G77" s="19"/>
      <c r="H77" s="19"/>
      <c r="I77" s="19"/>
      <c r="J77" s="19"/>
      <c r="K77" s="233"/>
      <c r="L77" s="19"/>
      <c r="M77" s="19"/>
      <c r="N77" s="19"/>
      <c r="O77" s="19"/>
      <c r="P77" s="19"/>
      <c r="Q77" s="19"/>
      <c r="R77" s="19"/>
      <c r="S77" s="19"/>
      <c r="T77" s="19"/>
      <c r="U77" s="19"/>
      <c r="V77" s="19"/>
      <c r="W77" s="19"/>
      <c r="X77" s="19"/>
      <c r="Y77" s="19"/>
    </row>
    <row r="78" spans="1:25" ht="12" customHeight="1">
      <c r="A78" s="219" t="n" cm="1">
        <f t="array" ref="A78">IFERROR(INDEX('03.Muestra'!$B$8:$B$42,SMALL(IF("Página Web"='03.Muestra'!$D$8:$D$42,ROW('03.Muestra'!$B$8:$B$42)-MIN(ROW('03.Muestra'!$D$8:$D$42))+1,""),ROW()-56)),"")</f>
        <v>1.0</v>
      </c>
      <c r="B78" s="114" t="str" cm="1">
        <f t="array" ref="B78">IFERROR(INDEX('03.Muestra'!$C$8:$C$42,SMALL(IF("Página Web"='03.Muestra'!$D$8:$D$42,ROW('03.Muestra'!$C$8:$C$42)-MIN(ROW('03.Muestra'!$D$8:$D$42))+1,""),ROW()-56)),"")</f>
        <v>Home - PortCastelló</v>
      </c>
      <c r="C78" s="114" t="str" cm="1">
        <f t="array" ref="C78">IFERROR(INDEX('03.Muestra'!$F$8:$F$42,SMALL(IF("Página Web"='03.Muestra'!$D$8:$D$42,ROW('03.Muestra'!$F$8:$F$42)-MIN(ROW('03.Muestra'!$D$8:$D$42))+1,""),ROW()-56)),"")</f>
        <v>https://www.portcastello.com/</v>
      </c>
      <c r="D78" s="130" t="str">
        <f t="shared" si="3"/>
        <v>N/T</v>
      </c>
      <c r="E78" s="107" t="str">
        <f t="shared" si="2"/>
        <v/>
      </c>
      <c r="F78" s="19"/>
      <c r="G78" s="19"/>
      <c r="H78" s="19"/>
      <c r="I78" s="19"/>
      <c r="J78" s="19"/>
      <c r="K78" s="233"/>
      <c r="L78" s="19"/>
      <c r="M78" s="19"/>
      <c r="N78" s="19"/>
      <c r="O78" s="19"/>
      <c r="P78" s="19"/>
      <c r="Q78" s="19"/>
      <c r="R78" s="19"/>
      <c r="S78" s="19"/>
      <c r="T78" s="19"/>
      <c r="U78" s="19"/>
      <c r="V78" s="19"/>
      <c r="W78" s="19"/>
      <c r="X78" s="19"/>
      <c r="Y78" s="19"/>
    </row>
    <row r="79" spans="1:25" ht="12" customHeight="1">
      <c r="A79" s="219" t="n" cm="1">
        <f t="array" ref="A79">IFERROR(INDEX('03.Muestra'!$B$8:$B$42,SMALL(IF("Página Web"='03.Muestra'!$D$8:$D$42,ROW('03.Muestra'!$B$8:$B$42)-MIN(ROW('03.Muestra'!$D$8:$D$42))+1,""),ROW()-56)),"")</f>
        <v>1.0</v>
      </c>
      <c r="B79" s="114" t="str" cm="1">
        <f t="array" ref="B79">IFERROR(INDEX('03.Muestra'!$C$8:$C$42,SMALL(IF("Página Web"='03.Muestra'!$D$8:$D$42,ROW('03.Muestra'!$C$8:$C$42)-MIN(ROW('03.Muestra'!$D$8:$D$42))+1,""),ROW()-56)),"")</f>
        <v>Home - PortCastelló</v>
      </c>
      <c r="C79" s="114" t="str" cm="1">
        <f t="array" ref="C79">IFERROR(INDEX('03.Muestra'!$F$8:$F$42,SMALL(IF("Página Web"='03.Muestra'!$D$8:$D$42,ROW('03.Muestra'!$F$8:$F$42)-MIN(ROW('03.Muestra'!$D$8:$D$42))+1,""),ROW()-56)),"")</f>
        <v>https://www.portcastello.com/</v>
      </c>
      <c r="D79" s="130" t="str">
        <f t="shared" si="3"/>
        <v>N/T</v>
      </c>
      <c r="E79" s="107" t="str">
        <f t="shared" si="2"/>
        <v/>
      </c>
      <c r="F79" s="19"/>
      <c r="G79" s="19"/>
      <c r="H79" s="19"/>
      <c r="I79" s="19"/>
      <c r="J79" s="19"/>
      <c r="K79" s="233"/>
      <c r="L79" s="19"/>
      <c r="M79" s="19"/>
      <c r="N79" s="19"/>
      <c r="O79" s="19"/>
      <c r="P79" s="19"/>
      <c r="Q79" s="19"/>
      <c r="R79" s="19"/>
      <c r="S79" s="19"/>
      <c r="T79" s="19"/>
      <c r="U79" s="19"/>
      <c r="V79" s="19"/>
      <c r="W79" s="19"/>
      <c r="X79" s="19"/>
      <c r="Y79" s="19"/>
    </row>
    <row r="80" spans="1:25" ht="12" customHeight="1">
      <c r="A80" s="219" t="n" cm="1">
        <f t="array" ref="A80">IFERROR(INDEX('03.Muestra'!$B$8:$B$42,SMALL(IF("Página Web"='03.Muestra'!$D$8:$D$42,ROW('03.Muestra'!$B$8:$B$42)-MIN(ROW('03.Muestra'!$D$8:$D$42))+1,""),ROW()-56)),"")</f>
        <v>1.0</v>
      </c>
      <c r="B80" s="114" t="str" cm="1">
        <f t="array" ref="B80">IFERROR(INDEX('03.Muestra'!$C$8:$C$42,SMALL(IF("Página Web"='03.Muestra'!$D$8:$D$42,ROW('03.Muestra'!$C$8:$C$42)-MIN(ROW('03.Muestra'!$D$8:$D$42))+1,""),ROW()-56)),"")</f>
        <v>Home - PortCastelló</v>
      </c>
      <c r="C80" s="114" t="str" cm="1">
        <f t="array" ref="C80">IFERROR(INDEX('03.Muestra'!$F$8:$F$42,SMALL(IF("Página Web"='03.Muestra'!$D$8:$D$42,ROW('03.Muestra'!$F$8:$F$42)-MIN(ROW('03.Muestra'!$D$8:$D$42))+1,""),ROW()-56)),"")</f>
        <v>https://www.portcastello.com/</v>
      </c>
      <c r="D80" s="130" t="str">
        <f t="shared" si="3"/>
        <v>N/T</v>
      </c>
      <c r="E80" s="107" t="str">
        <f t="shared" si="2"/>
        <v/>
      </c>
      <c r="F80" s="19"/>
      <c r="G80" s="19"/>
      <c r="H80" s="19"/>
      <c r="I80" s="19"/>
      <c r="J80" s="19"/>
      <c r="K80" s="233"/>
      <c r="L80" s="19"/>
      <c r="M80" s="19"/>
      <c r="N80" s="19"/>
      <c r="O80" s="19"/>
      <c r="P80" s="19"/>
      <c r="Q80" s="19"/>
      <c r="R80" s="19"/>
      <c r="S80" s="19"/>
      <c r="T80" s="19"/>
      <c r="U80" s="19"/>
      <c r="V80" s="19"/>
      <c r="W80" s="19"/>
      <c r="X80" s="19"/>
      <c r="Y80" s="19"/>
    </row>
    <row r="81" spans="1:25" ht="12" customHeight="1">
      <c r="A81" s="219" t="n" cm="1">
        <f t="array" ref="A81">IFERROR(INDEX('03.Muestra'!$B$8:$B$42,SMALL(IF("Página Web"='03.Muestra'!$D$8:$D$42,ROW('03.Muestra'!$B$8:$B$42)-MIN(ROW('03.Muestra'!$D$8:$D$42))+1,""),ROW()-56)),"")</f>
        <v>1.0</v>
      </c>
      <c r="B81" s="114" t="str" cm="1">
        <f t="array" ref="B81">IFERROR(INDEX('03.Muestra'!$C$8:$C$42,SMALL(IF("Página Web"='03.Muestra'!$D$8:$D$42,ROW('03.Muestra'!$C$8:$C$42)-MIN(ROW('03.Muestra'!$D$8:$D$42))+1,""),ROW()-56)),"")</f>
        <v>Home - PortCastelló</v>
      </c>
      <c r="C81" s="114" t="str" cm="1">
        <f t="array" ref="C81">IFERROR(INDEX('03.Muestra'!$F$8:$F$42,SMALL(IF("Página Web"='03.Muestra'!$D$8:$D$42,ROW('03.Muestra'!$F$8:$F$42)-MIN(ROW('03.Muestra'!$D$8:$D$42))+1,""),ROW()-56)),"")</f>
        <v>https://www.portcastello.com/</v>
      </c>
      <c r="D81" s="130" t="str">
        <f t="shared" si="3"/>
        <v>N/T</v>
      </c>
      <c r="E81" s="107" t="str">
        <f t="shared" si="2"/>
        <v/>
      </c>
      <c r="F81" s="19"/>
      <c r="G81" s="19"/>
      <c r="H81" s="19"/>
      <c r="I81" s="19"/>
      <c r="J81" s="19"/>
      <c r="K81" s="233"/>
      <c r="L81" s="19"/>
      <c r="M81" s="19"/>
      <c r="N81" s="19"/>
      <c r="O81" s="19"/>
      <c r="P81" s="19"/>
      <c r="Q81" s="19"/>
      <c r="R81" s="19"/>
      <c r="S81" s="19"/>
      <c r="T81" s="19"/>
      <c r="U81" s="19"/>
      <c r="V81" s="19"/>
      <c r="W81" s="19"/>
      <c r="X81" s="19"/>
      <c r="Y81" s="19"/>
    </row>
    <row r="82" spans="1:25" ht="12" customHeight="1">
      <c r="A82" s="219" t="n" cm="1">
        <f t="array" ref="A82">IFERROR(INDEX('03.Muestra'!$B$8:$B$42,SMALL(IF("Página Web"='03.Muestra'!$D$8:$D$42,ROW('03.Muestra'!$B$8:$B$42)-MIN(ROW('03.Muestra'!$D$8:$D$42))+1,""),ROW()-56)),"")</f>
        <v>1.0</v>
      </c>
      <c r="B82" s="114" t="str" cm="1">
        <f t="array" ref="B82">IFERROR(INDEX('03.Muestra'!$C$8:$C$42,SMALL(IF("Página Web"='03.Muestra'!$D$8:$D$42,ROW('03.Muestra'!$C$8:$C$42)-MIN(ROW('03.Muestra'!$D$8:$D$42))+1,""),ROW()-56)),"")</f>
        <v>Home - PortCastelló</v>
      </c>
      <c r="C82" s="114" t="str" cm="1">
        <f t="array" ref="C82">IFERROR(INDEX('03.Muestra'!$F$8:$F$42,SMALL(IF("Página Web"='03.Muestra'!$D$8:$D$42,ROW('03.Muestra'!$F$8:$F$42)-MIN(ROW('03.Muestra'!$D$8:$D$42))+1,""),ROW()-56)),"")</f>
        <v>https://www.portcastello.com/</v>
      </c>
      <c r="D82" s="130" t="str">
        <f t="shared" si="3"/>
        <v>N/T</v>
      </c>
      <c r="E82" s="107" t="str">
        <f t="shared" si="2"/>
        <v/>
      </c>
      <c r="F82" s="19"/>
      <c r="G82" s="19"/>
      <c r="H82" s="19"/>
      <c r="I82" s="19"/>
      <c r="J82" s="19"/>
      <c r="K82" s="233"/>
      <c r="L82" s="19"/>
      <c r="M82" s="19"/>
      <c r="N82" s="19"/>
      <c r="O82" s="19"/>
      <c r="P82" s="19"/>
      <c r="Q82" s="19"/>
      <c r="R82" s="19"/>
      <c r="S82" s="19"/>
      <c r="T82" s="19"/>
      <c r="U82" s="19"/>
      <c r="V82" s="19"/>
      <c r="W82" s="19"/>
      <c r="X82" s="19"/>
      <c r="Y82" s="19"/>
    </row>
    <row r="83" spans="1:25" ht="12" customHeight="1">
      <c r="A83" s="219" t="n" cm="1">
        <f t="array" ref="A83">IFERROR(INDEX('03.Muestra'!$B$8:$B$42,SMALL(IF("Página Web"='03.Muestra'!$D$8:$D$42,ROW('03.Muestra'!$B$8:$B$42)-MIN(ROW('03.Muestra'!$D$8:$D$42))+1,""),ROW()-56)),"")</f>
        <v>1.0</v>
      </c>
      <c r="B83" s="114" t="str" cm="1">
        <f t="array" ref="B83">IFERROR(INDEX('03.Muestra'!$C$8:$C$42,SMALL(IF("Página Web"='03.Muestra'!$D$8:$D$42,ROW('03.Muestra'!$C$8:$C$42)-MIN(ROW('03.Muestra'!$D$8:$D$42))+1,""),ROW()-56)),"")</f>
        <v>Home - PortCastelló</v>
      </c>
      <c r="C83" s="114" t="str" cm="1">
        <f t="array" ref="C83">IFERROR(INDEX('03.Muestra'!$F$8:$F$42,SMALL(IF("Página Web"='03.Muestra'!$D$8:$D$42,ROW('03.Muestra'!$F$8:$F$42)-MIN(ROW('03.Muestra'!$D$8:$D$42))+1,""),ROW()-56)),"")</f>
        <v>https://www.portcastello.com/</v>
      </c>
      <c r="D83" s="130" t="str">
        <f t="shared" si="3"/>
        <v>N/T</v>
      </c>
      <c r="E83" s="107" t="str">
        <f t="shared" si="2"/>
        <v/>
      </c>
      <c r="F83" s="19"/>
      <c r="G83" s="19"/>
      <c r="H83" s="19"/>
      <c r="I83" s="19"/>
      <c r="J83" s="19"/>
      <c r="K83" s="233"/>
      <c r="L83" s="19"/>
      <c r="M83" s="19"/>
      <c r="N83" s="19"/>
      <c r="O83" s="19"/>
      <c r="P83" s="19"/>
      <c r="Q83" s="19"/>
      <c r="R83" s="19"/>
      <c r="S83" s="19"/>
      <c r="T83" s="19"/>
      <c r="U83" s="19"/>
      <c r="V83" s="19"/>
      <c r="W83" s="19"/>
      <c r="X83" s="19"/>
      <c r="Y83" s="19"/>
    </row>
    <row r="84" spans="1:25" ht="12" customHeight="1">
      <c r="A84" s="219" t="n" cm="1">
        <f t="array" ref="A84">IFERROR(INDEX('03.Muestra'!$B$8:$B$42,SMALL(IF("Página Web"='03.Muestra'!$D$8:$D$42,ROW('03.Muestra'!$B$8:$B$42)-MIN(ROW('03.Muestra'!$D$8:$D$42))+1,""),ROW()-56)),"")</f>
        <v>1.0</v>
      </c>
      <c r="B84" s="114" t="str" cm="1">
        <f t="array" ref="B84">IFERROR(INDEX('03.Muestra'!$C$8:$C$42,SMALL(IF("Página Web"='03.Muestra'!$D$8:$D$42,ROW('03.Muestra'!$C$8:$C$42)-MIN(ROW('03.Muestra'!$D$8:$D$42))+1,""),ROW()-56)),"")</f>
        <v>Home - PortCastelló</v>
      </c>
      <c r="C84" s="114" t="str" cm="1">
        <f t="array" ref="C84">IFERROR(INDEX('03.Muestra'!$F$8:$F$42,SMALL(IF("Página Web"='03.Muestra'!$D$8:$D$42,ROW('03.Muestra'!$F$8:$F$42)-MIN(ROW('03.Muestra'!$D$8:$D$42))+1,""),ROW()-56)),"")</f>
        <v>https://www.portcastello.com/</v>
      </c>
      <c r="D84" s="130" t="str">
        <f t="shared" si="3"/>
        <v>N/T</v>
      </c>
      <c r="E84" s="107" t="str">
        <f t="shared" si="2"/>
        <v/>
      </c>
      <c r="G84" s="19"/>
      <c r="H84" s="19"/>
      <c r="I84" s="19"/>
      <c r="J84" s="19"/>
      <c r="K84" s="233"/>
      <c r="L84" s="19"/>
      <c r="M84" s="19"/>
      <c r="N84" s="19"/>
      <c r="O84" s="19"/>
      <c r="P84" s="19"/>
      <c r="Q84" s="19"/>
      <c r="R84" s="19"/>
      <c r="S84" s="19"/>
      <c r="T84" s="19"/>
      <c r="U84" s="19"/>
      <c r="V84" s="19"/>
      <c r="W84" s="19"/>
      <c r="X84" s="19"/>
      <c r="Y84" s="19"/>
    </row>
    <row r="85" spans="1:25" ht="12" customHeight="1">
      <c r="A85" s="219" t="n" cm="1">
        <f t="array" ref="A85">IFERROR(INDEX('03.Muestra'!$B$8:$B$42,SMALL(IF("Página Web"='03.Muestra'!$D$8:$D$42,ROW('03.Muestra'!$B$8:$B$42)-MIN(ROW('03.Muestra'!$D$8:$D$42))+1,""),ROW()-56)),"")</f>
        <v>1.0</v>
      </c>
      <c r="B85" s="114" t="str" cm="1">
        <f t="array" ref="B85">IFERROR(INDEX('03.Muestra'!$C$8:$C$42,SMALL(IF("Página Web"='03.Muestra'!$D$8:$D$42,ROW('03.Muestra'!$C$8:$C$42)-MIN(ROW('03.Muestra'!$D$8:$D$42))+1,""),ROW()-56)),"")</f>
        <v>Home - PortCastelló</v>
      </c>
      <c r="C85" s="114" t="str" cm="1">
        <f t="array" ref="C85">IFERROR(INDEX('03.Muestra'!$F$8:$F$42,SMALL(IF("Página Web"='03.Muestra'!$D$8:$D$42,ROW('03.Muestra'!$F$8:$F$42)-MIN(ROW('03.Muestra'!$D$8:$D$42))+1,""),ROW()-56)),"")</f>
        <v>https://www.portcastello.com/</v>
      </c>
      <c r="D85" s="130" t="str">
        <f t="shared" si="3"/>
        <v>N/T</v>
      </c>
      <c r="E85" s="107" t="str">
        <f t="shared" si="2"/>
        <v/>
      </c>
      <c r="G85" s="19"/>
      <c r="H85" s="19"/>
      <c r="I85" s="19"/>
      <c r="J85" s="19"/>
      <c r="K85" s="233"/>
      <c r="L85" s="19"/>
      <c r="M85" s="19"/>
      <c r="N85" s="19"/>
      <c r="O85" s="19"/>
      <c r="P85" s="19"/>
      <c r="Q85" s="19"/>
      <c r="R85" s="19"/>
      <c r="S85" s="19"/>
      <c r="T85" s="19"/>
      <c r="U85" s="19"/>
      <c r="V85" s="19"/>
      <c r="W85" s="19"/>
      <c r="X85" s="19"/>
      <c r="Y85" s="19"/>
    </row>
    <row r="86" spans="1:25" ht="12" customHeight="1">
      <c r="A86" s="219" t="n" cm="1">
        <f t="array" ref="A86">IFERROR(INDEX('03.Muestra'!$B$8:$B$42,SMALL(IF("Página Web"='03.Muestra'!$D$8:$D$42,ROW('03.Muestra'!$B$8:$B$42)-MIN(ROW('03.Muestra'!$D$8:$D$42))+1,""),ROW()-56)),"")</f>
        <v>1.0</v>
      </c>
      <c r="B86" s="114" t="str" cm="1">
        <f t="array" ref="B86">IFERROR(INDEX('03.Muestra'!$C$8:$C$42,SMALL(IF("Página Web"='03.Muestra'!$D$8:$D$42,ROW('03.Muestra'!$C$8:$C$42)-MIN(ROW('03.Muestra'!$D$8:$D$42))+1,""),ROW()-56)),"")</f>
        <v>Home - PortCastelló</v>
      </c>
      <c r="C86" s="114" t="str" cm="1">
        <f t="array" ref="C86">IFERROR(INDEX('03.Muestra'!$F$8:$F$42,SMALL(IF("Página Web"='03.Muestra'!$D$8:$D$42,ROW('03.Muestra'!$F$8:$F$42)-MIN(ROW('03.Muestra'!$D$8:$D$42))+1,""),ROW()-56)),"")</f>
        <v>https://www.portcastello.com/</v>
      </c>
      <c r="D86" s="130" t="str">
        <f t="shared" si="3"/>
        <v>N/T</v>
      </c>
      <c r="E86" s="107" t="str">
        <f t="shared" si="2"/>
        <v/>
      </c>
      <c r="G86" s="19"/>
      <c r="H86" s="19"/>
      <c r="I86" s="19"/>
      <c r="J86" s="19"/>
      <c r="K86" s="233"/>
      <c r="L86" s="19"/>
      <c r="M86" s="19"/>
      <c r="N86" s="19"/>
      <c r="O86" s="19"/>
      <c r="P86" s="19"/>
      <c r="Q86" s="19"/>
      <c r="R86" s="19"/>
      <c r="S86" s="19"/>
      <c r="T86" s="19"/>
      <c r="U86" s="19"/>
      <c r="V86" s="19"/>
      <c r="W86" s="19"/>
      <c r="X86" s="19"/>
      <c r="Y86" s="19"/>
    </row>
    <row r="87" spans="1:25" ht="12" customHeight="1">
      <c r="A87" s="219" t="n" cm="1">
        <f t="array" ref="A87">IFERROR(INDEX('03.Muestra'!$B$8:$B$42,SMALL(IF("Página Web"='03.Muestra'!$D$8:$D$42,ROW('03.Muestra'!$B$8:$B$42)-MIN(ROW('03.Muestra'!$D$8:$D$42))+1,""),ROW()-56)),"")</f>
        <v>1.0</v>
      </c>
      <c r="B87" s="114" t="str" cm="1">
        <f t="array" ref="B87">IFERROR(INDEX('03.Muestra'!$C$8:$C$42,SMALL(IF("Página Web"='03.Muestra'!$D$8:$D$42,ROW('03.Muestra'!$C$8:$C$42)-MIN(ROW('03.Muestra'!$D$8:$D$42))+1,""),ROW()-56)),"")</f>
        <v>Home - PortCastelló</v>
      </c>
      <c r="C87" s="114" t="str" cm="1">
        <f t="array" ref="C87">IFERROR(INDEX('03.Muestra'!$F$8:$F$42,SMALL(IF("Página Web"='03.Muestra'!$D$8:$D$42,ROW('03.Muestra'!$F$8:$F$42)-MIN(ROW('03.Muestra'!$D$8:$D$42))+1,""),ROW()-56)),"")</f>
        <v>https://www.portcastello.com/</v>
      </c>
      <c r="D87" s="130" t="str">
        <f t="shared" si="3"/>
        <v>N/T</v>
      </c>
      <c r="E87" s="107" t="str">
        <f t="shared" si="2"/>
        <v/>
      </c>
      <c r="G87" s="19"/>
      <c r="H87" s="19"/>
      <c r="I87" s="19"/>
      <c r="J87" s="19"/>
      <c r="K87" s="233"/>
      <c r="L87" s="19"/>
      <c r="M87" s="19"/>
      <c r="N87" s="19"/>
      <c r="O87" s="19"/>
      <c r="P87" s="19"/>
      <c r="Q87" s="19"/>
      <c r="R87" s="19"/>
      <c r="S87" s="19"/>
      <c r="T87" s="19"/>
      <c r="U87" s="19"/>
      <c r="V87" s="19"/>
      <c r="W87" s="19"/>
      <c r="X87" s="19"/>
      <c r="Y87" s="19"/>
    </row>
    <row r="88" spans="1:25" ht="12" customHeight="1">
      <c r="A88" s="219" t="n" cm="1">
        <f t="array" ref="A88">IFERROR(INDEX('03.Muestra'!$B$8:$B$42,SMALL(IF("Página Web"='03.Muestra'!$D$8:$D$42,ROW('03.Muestra'!$B$8:$B$42)-MIN(ROW('03.Muestra'!$D$8:$D$42))+1,""),ROW()-56)),"")</f>
        <v>1.0</v>
      </c>
      <c r="B88" s="114" t="str" cm="1">
        <f t="array" ref="B88">IFERROR(INDEX('03.Muestra'!$C$8:$C$42,SMALL(IF("Página Web"='03.Muestra'!$D$8:$D$42,ROW('03.Muestra'!$C$8:$C$42)-MIN(ROW('03.Muestra'!$D$8:$D$42))+1,""),ROW()-56)),"")</f>
        <v>Home - PortCastelló</v>
      </c>
      <c r="C88" s="114" t="str" cm="1">
        <f t="array" ref="C88">IFERROR(INDEX('03.Muestra'!$F$8:$F$42,SMALL(IF("Página Web"='03.Muestra'!$D$8:$D$42,ROW('03.Muestra'!$F$8:$F$42)-MIN(ROW('03.Muestra'!$D$8:$D$42))+1,""),ROW()-56)),"")</f>
        <v>https://www.portcastello.com/</v>
      </c>
      <c r="D88" s="130" t="str">
        <f t="shared" si="3"/>
        <v>N/T</v>
      </c>
      <c r="E88" s="107" t="str">
        <f t="shared" si="2"/>
        <v/>
      </c>
      <c r="G88" s="19"/>
      <c r="H88" s="19"/>
      <c r="I88" s="19"/>
      <c r="J88" s="19"/>
      <c r="K88" s="233"/>
      <c r="L88" s="19"/>
      <c r="M88" s="19"/>
      <c r="N88" s="19"/>
      <c r="O88" s="19"/>
      <c r="P88" s="19"/>
      <c r="Q88" s="19"/>
      <c r="R88" s="19"/>
      <c r="S88" s="19"/>
      <c r="T88" s="19"/>
      <c r="U88" s="19"/>
      <c r="V88" s="19"/>
      <c r="W88" s="19"/>
      <c r="X88" s="19"/>
      <c r="Y88" s="19"/>
    </row>
    <row r="89" spans="1:25" ht="12" customHeight="1">
      <c r="A89" s="219" t="n" cm="1">
        <f t="array" ref="A89">IFERROR(INDEX('03.Muestra'!$B$8:$B$42,SMALL(IF("Página Web"='03.Muestra'!$D$8:$D$42,ROW('03.Muestra'!$B$8:$B$42)-MIN(ROW('03.Muestra'!$D$8:$D$42))+1,""),ROW()-56)),"")</f>
        <v>1.0</v>
      </c>
      <c r="B89" s="114" t="str" cm="1">
        <f t="array" ref="B89">IFERROR(INDEX('03.Muestra'!$C$8:$C$42,SMALL(IF("Página Web"='03.Muestra'!$D$8:$D$42,ROW('03.Muestra'!$C$8:$C$42)-MIN(ROW('03.Muestra'!$D$8:$D$42))+1,""),ROW()-56)),"")</f>
        <v>Home - PortCastelló</v>
      </c>
      <c r="C89" s="114" t="str" cm="1">
        <f t="array" ref="C89">IFERROR(INDEX('03.Muestra'!$F$8:$F$42,SMALL(IF("Página Web"='03.Muestra'!$D$8:$D$42,ROW('03.Muestra'!$F$8:$F$42)-MIN(ROW('03.Muestra'!$D$8:$D$42))+1,""),ROW()-56)),"")</f>
        <v>https://www.portcastello.com/</v>
      </c>
      <c r="D89" s="130" t="str">
        <f t="shared" si="3"/>
        <v>N/T</v>
      </c>
      <c r="E89" s="107" t="str">
        <f t="shared" si="2"/>
        <v/>
      </c>
      <c r="G89" s="19"/>
      <c r="H89" s="19"/>
      <c r="I89" s="19"/>
      <c r="J89" s="19"/>
      <c r="K89" s="233"/>
      <c r="L89" s="19"/>
      <c r="M89" s="19"/>
      <c r="N89" s="19"/>
      <c r="O89" s="19"/>
      <c r="P89" s="19"/>
      <c r="Q89" s="19"/>
      <c r="R89" s="19"/>
      <c r="S89" s="19"/>
      <c r="T89" s="19"/>
      <c r="U89" s="19"/>
      <c r="V89" s="19"/>
      <c r="W89" s="19"/>
      <c r="X89" s="19"/>
      <c r="Y89" s="19"/>
    </row>
    <row r="90" spans="1:25" ht="12" customHeight="1">
      <c r="A90" s="219" t="str" cm="1">
        <f t="array" ref="A90">IFERROR(INDEX('03.Muestra'!$B$8:$B$42,SMALL(IF("Página Web"='03.Muestra'!$D$8:$D$42,ROW('03.Muestra'!$B$8:$B$42)-MIN(ROW('03.Muestra'!$D$8:$D$42))+1,""),ROW()-56)),"")</f>
        <v/>
      </c>
      <c r="B90" s="114" t="str" cm="1">
        <f t="array" ref="B90">IFERROR(INDEX('03.Muestra'!$C$8:$C$42,SMALL(IF("Página Web"='03.Muestra'!$D$8:$D$42,ROW('03.Muestra'!$C$8:$C$42)-MIN(ROW('03.Muestra'!$D$8:$D$42))+1,""),ROW()-56)),"")</f>
        <v/>
      </c>
      <c r="C90" s="114" t="str" cm="1">
        <f t="array" ref="C90">IFERROR(INDEX('03.Muestra'!$F$8:$F$42,SMALL(IF("Página Web"='03.Muestra'!$D$8:$D$42,ROW('03.Muestra'!$F$8:$F$42)-MIN(ROW('03.Muestra'!$D$8:$D$42))+1,""),ROW()-56)),"")</f>
        <v/>
      </c>
      <c r="D90" s="130" t="str">
        <f t="shared" si="3"/>
        <v/>
      </c>
      <c r="E90" s="107" t="str">
        <f t="shared" si="2"/>
        <v/>
      </c>
      <c r="F90" s="124"/>
      <c r="G90" s="19"/>
      <c r="H90" s="19"/>
      <c r="I90" s="19"/>
      <c r="J90" s="19"/>
      <c r="K90" s="233"/>
      <c r="L90" s="19"/>
      <c r="M90" s="19"/>
      <c r="N90" s="19"/>
      <c r="O90" s="19"/>
      <c r="P90" s="19"/>
      <c r="Q90" s="19"/>
      <c r="R90" s="19"/>
      <c r="S90" s="19"/>
      <c r="T90" s="19"/>
      <c r="U90" s="19"/>
      <c r="V90" s="19"/>
      <c r="W90" s="19"/>
      <c r="X90" s="19"/>
      <c r="Y90" s="19"/>
    </row>
    <row r="91" spans="1:25" ht="12" customHeight="1">
      <c r="A91" s="219" t="str" cm="1">
        <f t="array" ref="A91">IFERROR(INDEX('03.Muestra'!$B$8:$B$42,SMALL(IF("Página Web"='03.Muestra'!$D$8:$D$42,ROW('03.Muestra'!$B$8:$B$42)-MIN(ROW('03.Muestra'!$D$8:$D$42))+1,""),ROW()-56)),"")</f>
        <v/>
      </c>
      <c r="B91" s="114" t="str" cm="1">
        <f t="array" ref="B91">IFERROR(INDEX('03.Muestra'!$C$8:$C$42,SMALL(IF("Página Web"='03.Muestra'!$D$8:$D$42,ROW('03.Muestra'!$C$8:$C$42)-MIN(ROW('03.Muestra'!$D$8:$D$42))+1,""),ROW()-56)),"")</f>
        <v/>
      </c>
      <c r="C91" s="114" t="str" cm="1">
        <f t="array" ref="C91">IFERROR(INDEX('03.Muestra'!$F$8:$F$42,SMALL(IF("Página Web"='03.Muestra'!$D$8:$D$42,ROW('03.Muestra'!$F$8:$F$42)-MIN(ROW('03.Muestra'!$D$8:$D$42))+1,""),ROW()-56)),"")</f>
        <v/>
      </c>
      <c r="D91" s="130" t="str">
        <f t="shared" si="3"/>
        <v/>
      </c>
      <c r="E91" s="107" t="str">
        <f t="shared" si="2"/>
        <v/>
      </c>
      <c r="F91" s="19"/>
      <c r="G91" s="19"/>
      <c r="H91" s="19"/>
      <c r="I91" s="19"/>
      <c r="J91" s="19"/>
      <c r="K91" s="233"/>
      <c r="L91" s="19"/>
      <c r="M91" s="19"/>
      <c r="N91" s="19"/>
      <c r="O91" s="19"/>
      <c r="P91" s="19"/>
      <c r="Q91" s="19"/>
      <c r="R91" s="19"/>
      <c r="S91" s="19"/>
      <c r="T91" s="19"/>
      <c r="U91" s="19"/>
      <c r="V91" s="19"/>
      <c r="W91" s="19"/>
      <c r="X91" s="19"/>
      <c r="Y91" s="19"/>
    </row>
    <row r="92" spans="1:25" ht="12" customHeight="1">
      <c r="B92" s="19"/>
      <c r="C92" s="19"/>
      <c r="D92" s="107"/>
      <c r="E92" s="107"/>
      <c r="F92" s="19"/>
      <c r="G92" s="19"/>
      <c r="H92" s="19"/>
      <c r="I92" s="19"/>
      <c r="J92" s="19"/>
      <c r="K92" s="233"/>
      <c r="L92" s="19"/>
      <c r="M92" s="19"/>
      <c r="N92" s="19"/>
      <c r="O92" s="19"/>
      <c r="P92" s="19"/>
      <c r="Q92" s="19"/>
      <c r="R92" s="19"/>
      <c r="S92" s="19"/>
      <c r="T92" s="19"/>
      <c r="U92" s="19"/>
      <c r="V92" s="19"/>
      <c r="W92" s="19"/>
      <c r="X92" s="19"/>
      <c r="Y92" s="19"/>
    </row>
    <row r="93" spans="1:25" ht="12" customHeight="1">
      <c r="B93" s="19"/>
      <c r="C93" s="19"/>
      <c r="D93" s="107"/>
      <c r="E93" s="112"/>
      <c r="F93" s="19"/>
      <c r="G93" s="19"/>
      <c r="H93" s="19"/>
      <c r="I93" s="19"/>
      <c r="J93" s="19"/>
      <c r="K93" s="233"/>
      <c r="L93" s="19"/>
      <c r="M93" s="19"/>
      <c r="N93" s="19"/>
      <c r="O93" s="19"/>
      <c r="P93" s="19"/>
      <c r="Q93" s="19"/>
      <c r="R93" s="19"/>
      <c r="S93" s="19"/>
      <c r="T93" s="19"/>
      <c r="U93" s="19"/>
      <c r="V93" s="19"/>
      <c r="W93" s="19"/>
      <c r="X93" s="19"/>
      <c r="Y93" s="19"/>
    </row>
    <row r="94" spans="1:25" ht="32.25" customHeight="1">
      <c r="A94" s="218" t="s">
        <v>268</v>
      </c>
      <c r="B94" s="24" t="s">
        <v>90</v>
      </c>
      <c r="C94" s="25" t="s">
        <v>257</v>
      </c>
      <c r="D94" s="26" t="s">
        <v>32</v>
      </c>
      <c r="E94" s="123"/>
      <c r="K94" s="233"/>
      <c r="L94" s="19"/>
      <c r="M94" s="19"/>
      <c r="N94" s="19"/>
      <c r="O94" s="19"/>
      <c r="P94" s="19"/>
      <c r="Q94" s="19"/>
      <c r="R94" s="19"/>
      <c r="S94" s="19"/>
      <c r="T94" s="19"/>
      <c r="U94" s="19"/>
      <c r="V94" s="19"/>
      <c r="W94" s="19"/>
      <c r="X94" s="19"/>
      <c r="Y94" s="19"/>
    </row>
    <row r="95" spans="1:25" ht="12" customHeight="1">
      <c r="A95" s="219" t="n" cm="1">
        <f t="array" ref="A95">IFERROR(INDEX('03.Muestra'!$B$8:$B$42,SMALL(IF("Página Web"='03.Muestra'!$D$8:$D$42,ROW('03.Muestra'!$B$8:$B$42)-MIN(ROW('03.Muestra'!$D$8:$D$42))+1,""),ROW()-94)),"")</f>
        <v>1.0</v>
      </c>
      <c r="B95" s="114" t="str" cm="1">
        <f t="array" ref="B95">IFERROR(INDEX('03.Muestra'!$C$8:$C$42,SMALL(IF("Página Web"='03.Muestra'!$D$8:$D$42,ROW('03.Muestra'!$C$8:$C$42)-MIN(ROW('03.Muestra'!$D$8:$D$42))+1,""),ROW()-94)),"")</f>
        <v>Home - PortCastelló</v>
      </c>
      <c r="C95" s="114" t="str" cm="1">
        <f t="array" ref="C95">IFERROR(INDEX('03.Muestra'!$F$8:$F$42,SMALL(IF("Página Web"='03.Muestra'!$D$8:$D$42,ROW('03.Muestra'!$F$8:$F$42)-MIN(ROW('03.Muestra'!$D$8:$D$42))+1,""),ROW()-94)),"")</f>
        <v>https://www.portcastello.com/</v>
      </c>
      <c r="D95" s="130" t="str">
        <f>IF(AND(B95&lt;&gt;"",C95&lt;&gt;""),"N/T","")</f>
        <v>N/T</v>
      </c>
      <c r="E95" s="107" t="str">
        <f t="shared" ref="E95:E129" si="4">IF(D95&lt;&gt;"",IF(AND(B95&lt;&gt;"",C95&lt;&gt;""),"","ERR"),"")</f>
        <v/>
      </c>
      <c r="F95" s="115" t="s">
        <v>33</v>
      </c>
      <c r="G95" s="116" t="s">
        <v>37</v>
      </c>
      <c r="H95" s="117" t="s">
        <v>35</v>
      </c>
      <c r="I95" s="118" t="s">
        <v>28</v>
      </c>
      <c r="J95" s="119" t="s">
        <v>26</v>
      </c>
      <c r="K95" s="226" t="s">
        <v>474</v>
      </c>
      <c r="L95" s="19"/>
      <c r="M95" s="19"/>
      <c r="N95" s="19"/>
      <c r="O95" s="19"/>
      <c r="P95" s="19"/>
      <c r="Q95" s="19"/>
      <c r="R95" s="19"/>
      <c r="S95" s="19"/>
      <c r="T95" s="19"/>
      <c r="U95" s="19"/>
      <c r="V95" s="19"/>
      <c r="W95" s="19"/>
      <c r="X95" s="19"/>
      <c r="Y95" s="19"/>
    </row>
    <row r="96" spans="1:25" ht="12" customHeight="1">
      <c r="A96" s="219" t="n" cm="1">
        <f t="array" ref="A96">IFERROR(INDEX('03.Muestra'!$B$8:$B$42,SMALL(IF("Página Web"='03.Muestra'!$D$8:$D$42,ROW('03.Muestra'!$B$8:$B$42)-MIN(ROW('03.Muestra'!$D$8:$D$42))+1,""),ROW()-94)),"")</f>
        <v>1.0</v>
      </c>
      <c r="B96" s="114" t="str" cm="1">
        <f t="array" ref="B96">IFERROR(INDEX('03.Muestra'!$C$8:$C$42,SMALL(IF("Página Web"='03.Muestra'!$D$8:$D$42,ROW('03.Muestra'!$C$8:$C$42)-MIN(ROW('03.Muestra'!$D$8:$D$42))+1,""),ROW()-94)),"")</f>
        <v>Home - PortCastelló</v>
      </c>
      <c r="C96" s="114" t="str" cm="1">
        <f t="array" ref="C96">IFERROR(INDEX('03.Muestra'!$F$8:$F$42,SMALL(IF("Página Web"='03.Muestra'!$D$8:$D$42,ROW('03.Muestra'!$F$8:$F$42)-MIN(ROW('03.Muestra'!$D$8:$D$42))+1,""),ROW()-94)),"")</f>
        <v>https://www.portcastello.com/</v>
      </c>
      <c r="D96" s="130" t="str">
        <f t="shared" ref="D96:D129" si="5">IF(AND(B96&lt;&gt;"",C96&lt;&gt;""),"N/T","")</f>
        <v>N/T</v>
      </c>
      <c r="E96" s="107" t="str">
        <f t="shared" si="4"/>
        <v/>
      </c>
      <c r="F96" s="120" t="n">
        <f ca="1">COUNTIF($D95:INDIRECT("$D" &amp;  SUM(ROW()-1,'03.Muestra'!$D$45)-1),F95)</f>
        <v>33.0</v>
      </c>
      <c r="G96" s="120" t="n">
        <f ca="1">COUNTIF($D95:INDIRECT("$D" &amp;  SUM(ROW()-1,'03.Muestra'!$D$45)-1),G95)</f>
        <v>0.0</v>
      </c>
      <c r="H96" s="120" t="n">
        <f ca="1">COUNTIF($D95:INDIRECT("$D" &amp;  SUM(ROW()-1,'03.Muestra'!$D$45)-1),H95)</f>
        <v>0.0</v>
      </c>
      <c r="I96" s="120" t="n">
        <f ca="1">COUNTIF($D95:INDIRECT("$D" &amp;  SUM(ROW()-1,'03.Muestra'!$D$45)-1),I95)</f>
        <v>0.0</v>
      </c>
      <c r="J96" s="120" t="n">
        <f ca="1">COUNTIF($D95:INDIRECT("$D" &amp;  SUM(ROW()-1,'03.Muestra'!$D$45)-1),J95)</f>
        <v>0.0</v>
      </c>
      <c r="K96" s="227" t="n">
        <f ca="1">IF(COUNTIF('03.Muestra'!$D$8:$D$42,"Página Web")=0,0,COUNTBLANK($D95:INDIRECT("$D" &amp;  SUM(ROW()-1,COUNTIF('03.Muestra'!$D$8:$D$42,"Página Web"))-1)))</f>
        <v>0.0</v>
      </c>
      <c r="L96" s="19"/>
      <c r="M96" s="19"/>
      <c r="N96" s="19"/>
      <c r="O96" s="19"/>
      <c r="P96" s="19"/>
      <c r="Q96" s="19"/>
      <c r="R96" s="19"/>
      <c r="S96" s="19"/>
      <c r="T96" s="19"/>
      <c r="U96" s="19"/>
      <c r="V96" s="19"/>
      <c r="W96" s="19"/>
      <c r="X96" s="19"/>
      <c r="Y96" s="19"/>
    </row>
    <row r="97" spans="1:25" ht="12" customHeight="1">
      <c r="A97" s="219" t="n" cm="1">
        <f t="array" ref="A97">IFERROR(INDEX('03.Muestra'!$B$8:$B$42,SMALL(IF("Página Web"='03.Muestra'!$D$8:$D$42,ROW('03.Muestra'!$B$8:$B$42)-MIN(ROW('03.Muestra'!$D$8:$D$42))+1,""),ROW()-94)),"")</f>
        <v>1.0</v>
      </c>
      <c r="B97" s="114" t="str" cm="1">
        <f t="array" ref="B97">IFERROR(INDEX('03.Muestra'!$C$8:$C$42,SMALL(IF("Página Web"='03.Muestra'!$D$8:$D$42,ROW('03.Muestra'!$C$8:$C$42)-MIN(ROW('03.Muestra'!$D$8:$D$42))+1,""),ROW()-94)),"")</f>
        <v>Home - PortCastelló</v>
      </c>
      <c r="C97" s="114" t="str" cm="1">
        <f t="array" ref="C97">IFERROR(INDEX('03.Muestra'!$F$8:$F$42,SMALL(IF("Página Web"='03.Muestra'!$D$8:$D$42,ROW('03.Muestra'!$F$8:$F$42)-MIN(ROW('03.Muestra'!$D$8:$D$42))+1,""),ROW()-94)),"")</f>
        <v>https://www.portcastello.com/</v>
      </c>
      <c r="D97" s="130" t="str">
        <f t="shared" si="5"/>
        <v>N/T</v>
      </c>
      <c r="E97" s="107" t="str">
        <f t="shared" si="4"/>
        <v/>
      </c>
      <c r="G97" s="19"/>
      <c r="H97" s="19"/>
      <c r="I97" s="19"/>
      <c r="J97" s="19"/>
      <c r="K97" s="233"/>
      <c r="L97" s="19"/>
      <c r="M97" s="19"/>
      <c r="N97" s="19"/>
      <c r="O97" s="19"/>
      <c r="P97" s="19"/>
      <c r="Q97" s="19"/>
      <c r="R97" s="19"/>
      <c r="S97" s="19"/>
      <c r="T97" s="19"/>
      <c r="U97" s="19"/>
      <c r="V97" s="19"/>
      <c r="W97" s="19"/>
      <c r="X97" s="19"/>
      <c r="Y97" s="19"/>
    </row>
    <row r="98" spans="1:25" ht="12" customHeight="1">
      <c r="A98" s="219" t="n" cm="1">
        <f t="array" ref="A98">IFERROR(INDEX('03.Muestra'!$B$8:$B$42,SMALL(IF("Página Web"='03.Muestra'!$D$8:$D$42,ROW('03.Muestra'!$B$8:$B$42)-MIN(ROW('03.Muestra'!$D$8:$D$42))+1,""),ROW()-94)),"")</f>
        <v>1.0</v>
      </c>
      <c r="B98" s="114" t="str" cm="1">
        <f t="array" ref="B98">IFERROR(INDEX('03.Muestra'!$C$8:$C$42,SMALL(IF("Página Web"='03.Muestra'!$D$8:$D$42,ROW('03.Muestra'!$C$8:$C$42)-MIN(ROW('03.Muestra'!$D$8:$D$42))+1,""),ROW()-94)),"")</f>
        <v>Home - PortCastelló</v>
      </c>
      <c r="C98" s="114" t="str" cm="1">
        <f t="array" ref="C98">IFERROR(INDEX('03.Muestra'!$F$8:$F$42,SMALL(IF("Página Web"='03.Muestra'!$D$8:$D$42,ROW('03.Muestra'!$F$8:$F$42)-MIN(ROW('03.Muestra'!$D$8:$D$42))+1,""),ROW()-94)),"")</f>
        <v>https://www.portcastello.com/</v>
      </c>
      <c r="D98" s="130" t="str">
        <f t="shared" si="5"/>
        <v>N/T</v>
      </c>
      <c r="E98" s="107" t="str">
        <f t="shared" si="4"/>
        <v/>
      </c>
      <c r="G98" s="19"/>
      <c r="H98" s="19"/>
      <c r="I98" s="19"/>
      <c r="J98" s="19"/>
      <c r="K98" s="233"/>
      <c r="L98" s="19"/>
      <c r="M98" s="19"/>
      <c r="N98" s="19"/>
      <c r="O98" s="19"/>
      <c r="P98" s="19"/>
      <c r="Q98" s="19"/>
      <c r="R98" s="19"/>
      <c r="S98" s="19"/>
      <c r="T98" s="19"/>
      <c r="U98" s="19"/>
      <c r="V98" s="19"/>
      <c r="W98" s="19"/>
      <c r="X98" s="19"/>
      <c r="Y98" s="19"/>
    </row>
    <row r="99" spans="1:25" ht="12" customHeight="1">
      <c r="A99" s="219" t="n" cm="1">
        <f t="array" ref="A99">IFERROR(INDEX('03.Muestra'!$B$8:$B$42,SMALL(IF("Página Web"='03.Muestra'!$D$8:$D$42,ROW('03.Muestra'!$B$8:$B$42)-MIN(ROW('03.Muestra'!$D$8:$D$42))+1,""),ROW()-94)),"")</f>
        <v>1.0</v>
      </c>
      <c r="B99" s="114" t="str" cm="1">
        <f t="array" ref="B99">IFERROR(INDEX('03.Muestra'!$C$8:$C$42,SMALL(IF("Página Web"='03.Muestra'!$D$8:$D$42,ROW('03.Muestra'!$C$8:$C$42)-MIN(ROW('03.Muestra'!$D$8:$D$42))+1,""),ROW()-94)),"")</f>
        <v>Home - PortCastelló</v>
      </c>
      <c r="C99" s="114" t="str" cm="1">
        <f t="array" ref="C99">IFERROR(INDEX('03.Muestra'!$F$8:$F$42,SMALL(IF("Página Web"='03.Muestra'!$D$8:$D$42,ROW('03.Muestra'!$F$8:$F$42)-MIN(ROW('03.Muestra'!$D$8:$D$42))+1,""),ROW()-94)),"")</f>
        <v>https://www.portcastello.com/</v>
      </c>
      <c r="D99" s="130" t="str">
        <f t="shared" si="5"/>
        <v>N/T</v>
      </c>
      <c r="E99" s="107" t="str">
        <f t="shared" si="4"/>
        <v/>
      </c>
      <c r="G99" s="19"/>
      <c r="H99" s="19"/>
      <c r="I99" s="19"/>
      <c r="J99" s="19"/>
      <c r="K99" s="233"/>
      <c r="L99" s="19"/>
      <c r="M99" s="19"/>
      <c r="N99" s="19"/>
      <c r="O99" s="19"/>
      <c r="P99" s="19"/>
      <c r="Q99" s="19"/>
      <c r="R99" s="19"/>
      <c r="S99" s="19"/>
      <c r="T99" s="19"/>
      <c r="U99" s="19"/>
      <c r="V99" s="19"/>
      <c r="W99" s="19"/>
      <c r="X99" s="19"/>
      <c r="Y99" s="19"/>
    </row>
    <row r="100" spans="1:25" ht="12" customHeight="1">
      <c r="A100" s="219" t="n" cm="1">
        <f t="array" ref="A100">IFERROR(INDEX('03.Muestra'!$B$8:$B$42,SMALL(IF("Página Web"='03.Muestra'!$D$8:$D$42,ROW('03.Muestra'!$B$8:$B$42)-MIN(ROW('03.Muestra'!$D$8:$D$42))+1,""),ROW()-94)),"")</f>
        <v>1.0</v>
      </c>
      <c r="B100" s="114" t="str" cm="1">
        <f t="array" ref="B100">IFERROR(INDEX('03.Muestra'!$C$8:$C$42,SMALL(IF("Página Web"='03.Muestra'!$D$8:$D$42,ROW('03.Muestra'!$C$8:$C$42)-MIN(ROW('03.Muestra'!$D$8:$D$42))+1,""),ROW()-94)),"")</f>
        <v>Home - PortCastelló</v>
      </c>
      <c r="C100" s="114" t="str" cm="1">
        <f t="array" ref="C100">IFERROR(INDEX('03.Muestra'!$F$8:$F$42,SMALL(IF("Página Web"='03.Muestra'!$D$8:$D$42,ROW('03.Muestra'!$F$8:$F$42)-MIN(ROW('03.Muestra'!$D$8:$D$42))+1,""),ROW()-94)),"")</f>
        <v>https://www.portcastello.com/</v>
      </c>
      <c r="D100" s="130" t="str">
        <f t="shared" si="5"/>
        <v>N/T</v>
      </c>
      <c r="E100" s="107" t="str">
        <f t="shared" si="4"/>
        <v/>
      </c>
      <c r="G100" s="19"/>
      <c r="H100" s="19"/>
      <c r="I100" s="19"/>
      <c r="J100" s="19"/>
      <c r="K100" s="233"/>
      <c r="L100" s="19"/>
      <c r="M100" s="19"/>
      <c r="N100" s="19"/>
      <c r="O100" s="19"/>
      <c r="P100" s="19"/>
      <c r="Q100" s="19"/>
      <c r="R100" s="19"/>
      <c r="S100" s="19"/>
      <c r="T100" s="19"/>
      <c r="U100" s="19"/>
      <c r="V100" s="19"/>
      <c r="W100" s="19"/>
      <c r="X100" s="19"/>
      <c r="Y100" s="19"/>
    </row>
    <row r="101" spans="1:25" ht="12" customHeight="1">
      <c r="A101" s="219" t="n" cm="1">
        <f t="array" ref="A101">IFERROR(INDEX('03.Muestra'!$B$8:$B$42,SMALL(IF("Página Web"='03.Muestra'!$D$8:$D$42,ROW('03.Muestra'!$B$8:$B$42)-MIN(ROW('03.Muestra'!$D$8:$D$42))+1,""),ROW()-94)),"")</f>
        <v>1.0</v>
      </c>
      <c r="B101" s="114" t="str" cm="1">
        <f t="array" ref="B101">IFERROR(INDEX('03.Muestra'!$C$8:$C$42,SMALL(IF("Página Web"='03.Muestra'!$D$8:$D$42,ROW('03.Muestra'!$C$8:$C$42)-MIN(ROW('03.Muestra'!$D$8:$D$42))+1,""),ROW()-94)),"")</f>
        <v>Home - PortCastelló</v>
      </c>
      <c r="C101" s="114" t="str" cm="1">
        <f t="array" ref="C101">IFERROR(INDEX('03.Muestra'!$F$8:$F$42,SMALL(IF("Página Web"='03.Muestra'!$D$8:$D$42,ROW('03.Muestra'!$F$8:$F$42)-MIN(ROW('03.Muestra'!$D$8:$D$42))+1,""),ROW()-94)),"")</f>
        <v>https://www.portcastello.com/</v>
      </c>
      <c r="D101" s="130" t="str">
        <f t="shared" si="5"/>
        <v>N/T</v>
      </c>
      <c r="E101" s="107" t="str">
        <f t="shared" si="4"/>
        <v/>
      </c>
      <c r="F101" s="19"/>
      <c r="G101" s="19"/>
      <c r="H101" s="19"/>
      <c r="I101" s="19"/>
      <c r="J101" s="19"/>
      <c r="K101" s="233"/>
      <c r="L101" s="19"/>
      <c r="M101" s="19"/>
      <c r="N101" s="19"/>
      <c r="O101" s="19"/>
      <c r="P101" s="19"/>
      <c r="Q101" s="19"/>
      <c r="R101" s="19"/>
      <c r="S101" s="19"/>
      <c r="T101" s="19"/>
      <c r="U101" s="19"/>
      <c r="V101" s="19"/>
      <c r="W101" s="19"/>
      <c r="X101" s="19"/>
      <c r="Y101" s="19"/>
    </row>
    <row r="102" spans="1:25" ht="12" customHeight="1">
      <c r="A102" s="219" t="n" cm="1">
        <f t="array" ref="A102">IFERROR(INDEX('03.Muestra'!$B$8:$B$42,SMALL(IF("Página Web"='03.Muestra'!$D$8:$D$42,ROW('03.Muestra'!$B$8:$B$42)-MIN(ROW('03.Muestra'!$D$8:$D$42))+1,""),ROW()-94)),"")</f>
        <v>1.0</v>
      </c>
      <c r="B102" s="114" t="str" cm="1">
        <f t="array" ref="B102">IFERROR(INDEX('03.Muestra'!$C$8:$C$42,SMALL(IF("Página Web"='03.Muestra'!$D$8:$D$42,ROW('03.Muestra'!$C$8:$C$42)-MIN(ROW('03.Muestra'!$D$8:$D$42))+1,""),ROW()-94)),"")</f>
        <v>Home - PortCastelló</v>
      </c>
      <c r="C102" s="114" t="str" cm="1">
        <f t="array" ref="C102">IFERROR(INDEX('03.Muestra'!$F$8:$F$42,SMALL(IF("Página Web"='03.Muestra'!$D$8:$D$42,ROW('03.Muestra'!$F$8:$F$42)-MIN(ROW('03.Muestra'!$D$8:$D$42))+1,""),ROW()-94)),"")</f>
        <v>https://www.portcastello.com/</v>
      </c>
      <c r="D102" s="130" t="str">
        <f t="shared" si="5"/>
        <v>N/T</v>
      </c>
      <c r="E102" s="107" t="str">
        <f t="shared" si="4"/>
        <v/>
      </c>
      <c r="F102" s="19"/>
      <c r="G102" s="19"/>
      <c r="H102" s="19"/>
      <c r="I102" s="19"/>
      <c r="J102" s="19"/>
      <c r="K102" s="233"/>
      <c r="L102" s="19"/>
      <c r="M102" s="19"/>
      <c r="N102" s="19"/>
      <c r="O102" s="19"/>
      <c r="P102" s="19"/>
      <c r="Q102" s="19"/>
      <c r="R102" s="19"/>
      <c r="S102" s="19"/>
      <c r="T102" s="19"/>
      <c r="U102" s="19"/>
      <c r="V102" s="19"/>
      <c r="W102" s="19"/>
      <c r="X102" s="19"/>
      <c r="Y102" s="19"/>
    </row>
    <row r="103" spans="1:25" ht="12" customHeight="1">
      <c r="A103" s="219" t="n" cm="1">
        <f t="array" ref="A103">IFERROR(INDEX('03.Muestra'!$B$8:$B$42,SMALL(IF("Página Web"='03.Muestra'!$D$8:$D$42,ROW('03.Muestra'!$B$8:$B$42)-MIN(ROW('03.Muestra'!$D$8:$D$42))+1,""),ROW()-94)),"")</f>
        <v>1.0</v>
      </c>
      <c r="B103" s="114" t="str" cm="1">
        <f t="array" ref="B103">IFERROR(INDEX('03.Muestra'!$C$8:$C$42,SMALL(IF("Página Web"='03.Muestra'!$D$8:$D$42,ROW('03.Muestra'!$C$8:$C$42)-MIN(ROW('03.Muestra'!$D$8:$D$42))+1,""),ROW()-94)),"")</f>
        <v>Home - PortCastelló</v>
      </c>
      <c r="C103" s="114" t="str" cm="1">
        <f t="array" ref="C103">IFERROR(INDEX('03.Muestra'!$F$8:$F$42,SMALL(IF("Página Web"='03.Muestra'!$D$8:$D$42,ROW('03.Muestra'!$F$8:$F$42)-MIN(ROW('03.Muestra'!$D$8:$D$42))+1,""),ROW()-94)),"")</f>
        <v>https://www.portcastello.com/</v>
      </c>
      <c r="D103" s="130" t="str">
        <f t="shared" si="5"/>
        <v>N/T</v>
      </c>
      <c r="E103" s="107" t="str">
        <f t="shared" si="4"/>
        <v/>
      </c>
      <c r="F103" s="19"/>
      <c r="G103" s="19"/>
      <c r="H103" s="19"/>
      <c r="I103" s="19"/>
      <c r="J103" s="19"/>
      <c r="K103" s="233"/>
      <c r="L103" s="19"/>
      <c r="M103" s="19"/>
      <c r="N103" s="19"/>
      <c r="O103" s="19"/>
      <c r="P103" s="19"/>
      <c r="Q103" s="19"/>
      <c r="R103" s="19"/>
      <c r="S103" s="19"/>
      <c r="T103" s="19"/>
      <c r="U103" s="19"/>
      <c r="V103" s="19"/>
      <c r="W103" s="19"/>
      <c r="X103" s="19"/>
      <c r="Y103" s="19"/>
    </row>
    <row r="104" spans="1:25" ht="12" customHeight="1">
      <c r="A104" s="219" t="n" cm="1">
        <f t="array" ref="A104">IFERROR(INDEX('03.Muestra'!$B$8:$B$42,SMALL(IF("Página Web"='03.Muestra'!$D$8:$D$42,ROW('03.Muestra'!$B$8:$B$42)-MIN(ROW('03.Muestra'!$D$8:$D$42))+1,""),ROW()-94)),"")</f>
        <v>1.0</v>
      </c>
      <c r="B104" s="114" t="str" cm="1">
        <f t="array" ref="B104">IFERROR(INDEX('03.Muestra'!$C$8:$C$42,SMALL(IF("Página Web"='03.Muestra'!$D$8:$D$42,ROW('03.Muestra'!$C$8:$C$42)-MIN(ROW('03.Muestra'!$D$8:$D$42))+1,""),ROW()-94)),"")</f>
        <v>Home - PortCastelló</v>
      </c>
      <c r="C104" s="114" t="str" cm="1">
        <f t="array" ref="C104">IFERROR(INDEX('03.Muestra'!$F$8:$F$42,SMALL(IF("Página Web"='03.Muestra'!$D$8:$D$42,ROW('03.Muestra'!$F$8:$F$42)-MIN(ROW('03.Muestra'!$D$8:$D$42))+1,""),ROW()-94)),"")</f>
        <v>https://www.portcastello.com/</v>
      </c>
      <c r="D104" s="130" t="str">
        <f t="shared" si="5"/>
        <v>N/T</v>
      </c>
      <c r="E104" s="107" t="str">
        <f t="shared" si="4"/>
        <v/>
      </c>
      <c r="F104" s="19"/>
      <c r="G104" s="19"/>
      <c r="H104" s="19"/>
      <c r="I104" s="19"/>
      <c r="J104" s="19"/>
      <c r="K104" s="233"/>
      <c r="L104" s="19"/>
      <c r="M104" s="19"/>
      <c r="N104" s="19"/>
      <c r="O104" s="19"/>
      <c r="P104" s="19"/>
      <c r="Q104" s="19"/>
      <c r="R104" s="19"/>
      <c r="S104" s="19"/>
      <c r="T104" s="19"/>
      <c r="U104" s="19"/>
      <c r="V104" s="19"/>
      <c r="W104" s="19"/>
      <c r="X104" s="19"/>
      <c r="Y104" s="19"/>
    </row>
    <row r="105" spans="1:25" ht="12" customHeight="1">
      <c r="A105" s="219" t="n" cm="1">
        <f t="array" ref="A105">IFERROR(INDEX('03.Muestra'!$B$8:$B$42,SMALL(IF("Página Web"='03.Muestra'!$D$8:$D$42,ROW('03.Muestra'!$B$8:$B$42)-MIN(ROW('03.Muestra'!$D$8:$D$42))+1,""),ROW()-94)),"")</f>
        <v>1.0</v>
      </c>
      <c r="B105" s="114" t="str" cm="1">
        <f t="array" ref="B105">IFERROR(INDEX('03.Muestra'!$C$8:$C$42,SMALL(IF("Página Web"='03.Muestra'!$D$8:$D$42,ROW('03.Muestra'!$C$8:$C$42)-MIN(ROW('03.Muestra'!$D$8:$D$42))+1,""),ROW()-94)),"")</f>
        <v>Home - PortCastelló</v>
      </c>
      <c r="C105" s="114" t="str" cm="1">
        <f t="array" ref="C105">IFERROR(INDEX('03.Muestra'!$F$8:$F$42,SMALL(IF("Página Web"='03.Muestra'!$D$8:$D$42,ROW('03.Muestra'!$F$8:$F$42)-MIN(ROW('03.Muestra'!$D$8:$D$42))+1,""),ROW()-94)),"")</f>
        <v>https://www.portcastello.com/</v>
      </c>
      <c r="D105" s="130" t="str">
        <f t="shared" si="5"/>
        <v>N/T</v>
      </c>
      <c r="E105" s="107" t="str">
        <f t="shared" si="4"/>
        <v/>
      </c>
      <c r="F105" s="19"/>
      <c r="G105" s="19"/>
      <c r="H105" s="19"/>
      <c r="I105" s="19"/>
      <c r="J105" s="19"/>
      <c r="K105" s="233"/>
      <c r="L105" s="19"/>
      <c r="M105" s="19"/>
      <c r="N105" s="19"/>
      <c r="O105" s="19"/>
      <c r="P105" s="19"/>
      <c r="Q105" s="19"/>
      <c r="R105" s="19"/>
      <c r="S105" s="19"/>
      <c r="T105" s="19"/>
      <c r="U105" s="19"/>
      <c r="V105" s="19"/>
      <c r="W105" s="19"/>
      <c r="X105" s="19"/>
      <c r="Y105" s="19"/>
    </row>
    <row r="106" spans="1:25" ht="12" customHeight="1">
      <c r="A106" s="219" t="n" cm="1">
        <f t="array" ref="A106">IFERROR(INDEX('03.Muestra'!$B$8:$B$42,SMALL(IF("Página Web"='03.Muestra'!$D$8:$D$42,ROW('03.Muestra'!$B$8:$B$42)-MIN(ROW('03.Muestra'!$D$8:$D$42))+1,""),ROW()-94)),"")</f>
        <v>1.0</v>
      </c>
      <c r="B106" s="114" t="str" cm="1">
        <f t="array" ref="B106">IFERROR(INDEX('03.Muestra'!$C$8:$C$42,SMALL(IF("Página Web"='03.Muestra'!$D$8:$D$42,ROW('03.Muestra'!$C$8:$C$42)-MIN(ROW('03.Muestra'!$D$8:$D$42))+1,""),ROW()-94)),"")</f>
        <v>Home - PortCastelló</v>
      </c>
      <c r="C106" s="114" t="str" cm="1">
        <f t="array" ref="C106">IFERROR(INDEX('03.Muestra'!$F$8:$F$42,SMALL(IF("Página Web"='03.Muestra'!$D$8:$D$42,ROW('03.Muestra'!$F$8:$F$42)-MIN(ROW('03.Muestra'!$D$8:$D$42))+1,""),ROW()-94)),"")</f>
        <v>https://www.portcastello.com/</v>
      </c>
      <c r="D106" s="130" t="str">
        <f t="shared" si="5"/>
        <v>N/T</v>
      </c>
      <c r="E106" s="107" t="str">
        <f t="shared" si="4"/>
        <v/>
      </c>
      <c r="F106" s="19"/>
      <c r="G106" s="19"/>
      <c r="H106" s="19"/>
      <c r="I106" s="19"/>
      <c r="J106" s="19"/>
      <c r="K106" s="233"/>
      <c r="L106" s="19"/>
      <c r="M106" s="19"/>
      <c r="N106" s="19"/>
      <c r="O106" s="19"/>
      <c r="P106" s="19"/>
      <c r="Q106" s="19"/>
      <c r="R106" s="19"/>
      <c r="S106" s="19"/>
      <c r="T106" s="19"/>
      <c r="U106" s="19"/>
      <c r="V106" s="19"/>
      <c r="W106" s="19"/>
      <c r="X106" s="19"/>
      <c r="Y106" s="19"/>
    </row>
    <row r="107" spans="1:25" ht="14.1" customHeight="1">
      <c r="A107" s="219" t="n" cm="1">
        <f t="array" ref="A107">IFERROR(INDEX('03.Muestra'!$B$8:$B$42,SMALL(IF("Página Web"='03.Muestra'!$D$8:$D$42,ROW('03.Muestra'!$B$8:$B$42)-MIN(ROW('03.Muestra'!$D$8:$D$42))+1,""),ROW()-94)),"")</f>
        <v>1.0</v>
      </c>
      <c r="B107" s="114" t="str" cm="1">
        <f t="array" ref="B107">IFERROR(INDEX('03.Muestra'!$C$8:$C$42,SMALL(IF("Página Web"='03.Muestra'!$D$8:$D$42,ROW('03.Muestra'!$C$8:$C$42)-MIN(ROW('03.Muestra'!$D$8:$D$42))+1,""),ROW()-94)),"")</f>
        <v>Home - PortCastelló</v>
      </c>
      <c r="C107" s="114" t="str" cm="1">
        <f t="array" ref="C107">IFERROR(INDEX('03.Muestra'!$F$8:$F$42,SMALL(IF("Página Web"='03.Muestra'!$D$8:$D$42,ROW('03.Muestra'!$F$8:$F$42)-MIN(ROW('03.Muestra'!$D$8:$D$42))+1,""),ROW()-94)),"")</f>
        <v>https://www.portcastello.com/</v>
      </c>
      <c r="D107" s="130" t="str">
        <f t="shared" si="5"/>
        <v>N/T</v>
      </c>
      <c r="E107" s="107" t="str">
        <f t="shared" si="4"/>
        <v/>
      </c>
      <c r="F107" s="19"/>
      <c r="G107" s="19"/>
      <c r="H107" s="19"/>
      <c r="I107" s="19"/>
      <c r="J107" s="19"/>
      <c r="K107" s="233"/>
      <c r="L107" s="19"/>
      <c r="M107" s="19"/>
      <c r="N107" s="19"/>
      <c r="O107" s="19"/>
      <c r="P107" s="19"/>
      <c r="Q107" s="19"/>
      <c r="R107" s="19"/>
      <c r="S107" s="19"/>
      <c r="T107" s="19"/>
      <c r="U107" s="19"/>
      <c r="V107" s="19"/>
      <c r="W107" s="19"/>
      <c r="X107" s="19"/>
      <c r="Y107" s="19"/>
    </row>
    <row r="108" spans="1:25" ht="14.1" customHeight="1">
      <c r="A108" s="219" t="n" cm="1">
        <f t="array" ref="A108">IFERROR(INDEX('03.Muestra'!$B$8:$B$42,SMALL(IF("Página Web"='03.Muestra'!$D$8:$D$42,ROW('03.Muestra'!$B$8:$B$42)-MIN(ROW('03.Muestra'!$D$8:$D$42))+1,""),ROW()-94)),"")</f>
        <v>1.0</v>
      </c>
      <c r="B108" s="114" t="str" cm="1">
        <f t="array" ref="B108">IFERROR(INDEX('03.Muestra'!$C$8:$C$42,SMALL(IF("Página Web"='03.Muestra'!$D$8:$D$42,ROW('03.Muestra'!$C$8:$C$42)-MIN(ROW('03.Muestra'!$D$8:$D$42))+1,""),ROW()-94)),"")</f>
        <v>Home - PortCastelló</v>
      </c>
      <c r="C108" s="114" t="str" cm="1">
        <f t="array" ref="C108">IFERROR(INDEX('03.Muestra'!$F$8:$F$42,SMALL(IF("Página Web"='03.Muestra'!$D$8:$D$42,ROW('03.Muestra'!$F$8:$F$42)-MIN(ROW('03.Muestra'!$D$8:$D$42))+1,""),ROW()-94)),"")</f>
        <v>https://www.portcastello.com/</v>
      </c>
      <c r="D108" s="130" t="str">
        <f t="shared" si="5"/>
        <v>N/T</v>
      </c>
      <c r="E108" s="107" t="str">
        <f t="shared" si="4"/>
        <v/>
      </c>
      <c r="F108" s="19"/>
      <c r="G108" s="19"/>
      <c r="H108" s="19"/>
      <c r="I108" s="19"/>
      <c r="J108" s="19"/>
      <c r="K108" s="233"/>
      <c r="L108" s="19"/>
      <c r="M108" s="19"/>
      <c r="N108" s="19"/>
      <c r="O108" s="19"/>
      <c r="P108" s="19"/>
      <c r="Q108" s="19"/>
      <c r="R108" s="19"/>
      <c r="S108" s="19"/>
      <c r="T108" s="19"/>
      <c r="U108" s="19"/>
      <c r="V108" s="19"/>
      <c r="W108" s="19"/>
      <c r="X108" s="19"/>
      <c r="Y108" s="19"/>
    </row>
    <row r="109" spans="1:25" ht="14.1" customHeight="1">
      <c r="A109" s="219" t="n" cm="1">
        <f t="array" ref="A109">IFERROR(INDEX('03.Muestra'!$B$8:$B$42,SMALL(IF("Página Web"='03.Muestra'!$D$8:$D$42,ROW('03.Muestra'!$B$8:$B$42)-MIN(ROW('03.Muestra'!$D$8:$D$42))+1,""),ROW()-94)),"")</f>
        <v>1.0</v>
      </c>
      <c r="B109" s="114" t="str" cm="1">
        <f t="array" ref="B109">IFERROR(INDEX('03.Muestra'!$C$8:$C$42,SMALL(IF("Página Web"='03.Muestra'!$D$8:$D$42,ROW('03.Muestra'!$C$8:$C$42)-MIN(ROW('03.Muestra'!$D$8:$D$42))+1,""),ROW()-94)),"")</f>
        <v>Home - PortCastelló</v>
      </c>
      <c r="C109" s="114" t="str" cm="1">
        <f t="array" ref="C109">IFERROR(INDEX('03.Muestra'!$F$8:$F$42,SMALL(IF("Página Web"='03.Muestra'!$D$8:$D$42,ROW('03.Muestra'!$F$8:$F$42)-MIN(ROW('03.Muestra'!$D$8:$D$42))+1,""),ROW()-94)),"")</f>
        <v>https://www.portcastello.com/</v>
      </c>
      <c r="D109" s="130" t="str">
        <f t="shared" si="5"/>
        <v>N/T</v>
      </c>
      <c r="E109" s="107" t="str">
        <f t="shared" si="4"/>
        <v/>
      </c>
      <c r="F109" s="19"/>
      <c r="G109" s="19"/>
      <c r="H109" s="19"/>
      <c r="I109" s="19"/>
      <c r="J109" s="19"/>
      <c r="K109" s="233"/>
      <c r="L109" s="19"/>
      <c r="M109" s="19"/>
      <c r="N109" s="19"/>
      <c r="O109" s="19"/>
      <c r="P109" s="19"/>
      <c r="Q109" s="19"/>
      <c r="R109" s="19"/>
      <c r="S109" s="19"/>
      <c r="T109" s="19"/>
      <c r="U109" s="19"/>
      <c r="V109" s="19"/>
      <c r="W109" s="19"/>
      <c r="X109" s="19"/>
      <c r="Y109" s="19"/>
    </row>
    <row r="110" spans="1:25" ht="14.1" customHeight="1">
      <c r="A110" s="219" t="n" cm="1">
        <f t="array" ref="A110">IFERROR(INDEX('03.Muestra'!$B$8:$B$42,SMALL(IF("Página Web"='03.Muestra'!$D$8:$D$42,ROW('03.Muestra'!$B$8:$B$42)-MIN(ROW('03.Muestra'!$D$8:$D$42))+1,""),ROW()-94)),"")</f>
        <v>1.0</v>
      </c>
      <c r="B110" s="114" t="str" cm="1">
        <f t="array" ref="B110">IFERROR(INDEX('03.Muestra'!$C$8:$C$42,SMALL(IF("Página Web"='03.Muestra'!$D$8:$D$42,ROW('03.Muestra'!$C$8:$C$42)-MIN(ROW('03.Muestra'!$D$8:$D$42))+1,""),ROW()-94)),"")</f>
        <v>Home - PortCastelló</v>
      </c>
      <c r="C110" s="114" t="str" cm="1">
        <f t="array" ref="C110">IFERROR(INDEX('03.Muestra'!$F$8:$F$42,SMALL(IF("Página Web"='03.Muestra'!$D$8:$D$42,ROW('03.Muestra'!$F$8:$F$42)-MIN(ROW('03.Muestra'!$D$8:$D$42))+1,""),ROW()-94)),"")</f>
        <v>https://www.portcastello.com/</v>
      </c>
      <c r="D110" s="130" t="str">
        <f t="shared" si="5"/>
        <v>N/T</v>
      </c>
      <c r="E110" s="107" t="str">
        <f t="shared" si="4"/>
        <v/>
      </c>
      <c r="F110" s="19"/>
      <c r="G110" s="19"/>
      <c r="H110" s="19"/>
      <c r="I110" s="19"/>
      <c r="J110" s="19"/>
      <c r="K110" s="233"/>
      <c r="L110" s="19"/>
      <c r="M110" s="19"/>
      <c r="N110" s="19"/>
      <c r="O110" s="19"/>
      <c r="P110" s="19"/>
      <c r="Q110" s="19"/>
      <c r="R110" s="19"/>
      <c r="S110" s="19"/>
      <c r="T110" s="19"/>
      <c r="U110" s="19"/>
      <c r="V110" s="19"/>
      <c r="W110" s="19"/>
      <c r="X110" s="19"/>
      <c r="Y110" s="19"/>
    </row>
    <row r="111" spans="1:25" ht="14.1" customHeight="1">
      <c r="A111" s="219" t="n" cm="1">
        <f t="array" ref="A111">IFERROR(INDEX('03.Muestra'!$B$8:$B$42,SMALL(IF("Página Web"='03.Muestra'!$D$8:$D$42,ROW('03.Muestra'!$B$8:$B$42)-MIN(ROW('03.Muestra'!$D$8:$D$42))+1,""),ROW()-94)),"")</f>
        <v>1.0</v>
      </c>
      <c r="B111" s="114" t="str" cm="1">
        <f t="array" ref="B111">IFERROR(INDEX('03.Muestra'!$C$8:$C$42,SMALL(IF("Página Web"='03.Muestra'!$D$8:$D$42,ROW('03.Muestra'!$C$8:$C$42)-MIN(ROW('03.Muestra'!$D$8:$D$42))+1,""),ROW()-94)),"")</f>
        <v>Home - PortCastelló</v>
      </c>
      <c r="C111" s="114" t="str" cm="1">
        <f t="array" ref="C111">IFERROR(INDEX('03.Muestra'!$F$8:$F$42,SMALL(IF("Página Web"='03.Muestra'!$D$8:$D$42,ROW('03.Muestra'!$F$8:$F$42)-MIN(ROW('03.Muestra'!$D$8:$D$42))+1,""),ROW()-94)),"")</f>
        <v>https://www.portcastello.com/</v>
      </c>
      <c r="D111" s="130" t="str">
        <f t="shared" si="5"/>
        <v>N/T</v>
      </c>
      <c r="E111" s="107" t="str">
        <f t="shared" si="4"/>
        <v/>
      </c>
      <c r="F111" s="19"/>
      <c r="G111" s="19"/>
      <c r="H111" s="19"/>
      <c r="I111" s="19"/>
      <c r="J111" s="19"/>
      <c r="K111" s="233"/>
      <c r="L111" s="19"/>
      <c r="M111" s="19"/>
      <c r="N111" s="19"/>
      <c r="O111" s="19"/>
      <c r="P111" s="19"/>
      <c r="Q111" s="19"/>
      <c r="R111" s="19"/>
      <c r="S111" s="19"/>
      <c r="T111" s="19"/>
      <c r="U111" s="19"/>
      <c r="V111" s="19"/>
      <c r="W111" s="19"/>
      <c r="X111" s="19"/>
      <c r="Y111" s="19"/>
    </row>
    <row r="112" spans="1:25" ht="14.1" customHeight="1">
      <c r="A112" s="219" t="n" cm="1">
        <f t="array" ref="A112">IFERROR(INDEX('03.Muestra'!$B$8:$B$42,SMALL(IF("Página Web"='03.Muestra'!$D$8:$D$42,ROW('03.Muestra'!$B$8:$B$42)-MIN(ROW('03.Muestra'!$D$8:$D$42))+1,""),ROW()-94)),"")</f>
        <v>1.0</v>
      </c>
      <c r="B112" s="114" t="str" cm="1">
        <f t="array" ref="B112">IFERROR(INDEX('03.Muestra'!$C$8:$C$42,SMALL(IF("Página Web"='03.Muestra'!$D$8:$D$42,ROW('03.Muestra'!$C$8:$C$42)-MIN(ROW('03.Muestra'!$D$8:$D$42))+1,""),ROW()-94)),"")</f>
        <v>Home - PortCastelló</v>
      </c>
      <c r="C112" s="114" t="str" cm="1">
        <f t="array" ref="C112">IFERROR(INDEX('03.Muestra'!$F$8:$F$42,SMALL(IF("Página Web"='03.Muestra'!$D$8:$D$42,ROW('03.Muestra'!$F$8:$F$42)-MIN(ROW('03.Muestra'!$D$8:$D$42))+1,""),ROW()-94)),"")</f>
        <v>https://www.portcastello.com/</v>
      </c>
      <c r="D112" s="130" t="str">
        <f t="shared" si="5"/>
        <v>N/T</v>
      </c>
      <c r="E112" s="107" t="str">
        <f t="shared" si="4"/>
        <v/>
      </c>
      <c r="F112" s="19"/>
      <c r="G112" s="19"/>
      <c r="H112" s="19"/>
      <c r="I112" s="19"/>
      <c r="J112" s="19"/>
      <c r="K112" s="233"/>
      <c r="L112" s="19"/>
      <c r="M112" s="19"/>
      <c r="N112" s="19"/>
      <c r="O112" s="19"/>
      <c r="P112" s="19"/>
      <c r="Q112" s="19"/>
      <c r="R112" s="19"/>
      <c r="S112" s="19"/>
      <c r="T112" s="19"/>
      <c r="U112" s="19"/>
      <c r="V112" s="19"/>
      <c r="W112" s="19"/>
      <c r="X112" s="19"/>
      <c r="Y112" s="19"/>
    </row>
    <row r="113" spans="1:25" ht="14.1" customHeight="1">
      <c r="A113" s="219" t="n" cm="1">
        <f t="array" ref="A113">IFERROR(INDEX('03.Muestra'!$B$8:$B$42,SMALL(IF("Página Web"='03.Muestra'!$D$8:$D$42,ROW('03.Muestra'!$B$8:$B$42)-MIN(ROW('03.Muestra'!$D$8:$D$42))+1,""),ROW()-94)),"")</f>
        <v>1.0</v>
      </c>
      <c r="B113" s="114" t="str" cm="1">
        <f t="array" ref="B113">IFERROR(INDEX('03.Muestra'!$C$8:$C$42,SMALL(IF("Página Web"='03.Muestra'!$D$8:$D$42,ROW('03.Muestra'!$C$8:$C$42)-MIN(ROW('03.Muestra'!$D$8:$D$42))+1,""),ROW()-94)),"")</f>
        <v>Home - PortCastelló</v>
      </c>
      <c r="C113" s="114" t="str" cm="1">
        <f t="array" ref="C113">IFERROR(INDEX('03.Muestra'!$F$8:$F$42,SMALL(IF("Página Web"='03.Muestra'!$D$8:$D$42,ROW('03.Muestra'!$F$8:$F$42)-MIN(ROW('03.Muestra'!$D$8:$D$42))+1,""),ROW()-94)),"")</f>
        <v>https://www.portcastello.com/</v>
      </c>
      <c r="D113" s="130" t="str">
        <f t="shared" si="5"/>
        <v>N/T</v>
      </c>
      <c r="E113" s="107" t="str">
        <f t="shared" si="4"/>
        <v/>
      </c>
      <c r="F113" s="19"/>
      <c r="G113" s="19"/>
      <c r="H113" s="19"/>
      <c r="I113" s="19"/>
      <c r="J113" s="19"/>
      <c r="K113" s="233"/>
      <c r="L113" s="19"/>
      <c r="M113" s="19"/>
      <c r="N113" s="19"/>
      <c r="O113" s="19"/>
      <c r="P113" s="19"/>
      <c r="Q113" s="19"/>
      <c r="R113" s="19"/>
      <c r="S113" s="19"/>
      <c r="T113" s="19"/>
      <c r="U113" s="19"/>
      <c r="V113" s="19"/>
      <c r="W113" s="19"/>
      <c r="X113" s="19"/>
      <c r="Y113" s="19"/>
    </row>
    <row r="114" spans="1:25" ht="14.1" customHeight="1">
      <c r="A114" s="219" t="n" cm="1">
        <f t="array" ref="A114">IFERROR(INDEX('03.Muestra'!$B$8:$B$42,SMALL(IF("Página Web"='03.Muestra'!$D$8:$D$42,ROW('03.Muestra'!$B$8:$B$42)-MIN(ROW('03.Muestra'!$D$8:$D$42))+1,""),ROW()-94)),"")</f>
        <v>1.0</v>
      </c>
      <c r="B114" s="114" t="str" cm="1">
        <f t="array" ref="B114">IFERROR(INDEX('03.Muestra'!$C$8:$C$42,SMALL(IF("Página Web"='03.Muestra'!$D$8:$D$42,ROW('03.Muestra'!$C$8:$C$42)-MIN(ROW('03.Muestra'!$D$8:$D$42))+1,""),ROW()-94)),"")</f>
        <v>Home - PortCastelló</v>
      </c>
      <c r="C114" s="114" t="str" cm="1">
        <f t="array" ref="C114">IFERROR(INDEX('03.Muestra'!$F$8:$F$42,SMALL(IF("Página Web"='03.Muestra'!$D$8:$D$42,ROW('03.Muestra'!$F$8:$F$42)-MIN(ROW('03.Muestra'!$D$8:$D$42))+1,""),ROW()-94)),"")</f>
        <v>https://www.portcastello.com/</v>
      </c>
      <c r="D114" s="130" t="str">
        <f t="shared" si="5"/>
        <v>N/T</v>
      </c>
      <c r="E114" s="107" t="str">
        <f t="shared" si="4"/>
        <v/>
      </c>
      <c r="F114" s="19"/>
      <c r="G114" s="19"/>
      <c r="H114" s="19"/>
      <c r="I114" s="19"/>
      <c r="J114" s="19"/>
      <c r="K114" s="233"/>
      <c r="L114" s="19"/>
      <c r="M114" s="19"/>
      <c r="N114" s="19"/>
      <c r="O114" s="19"/>
      <c r="P114" s="19"/>
      <c r="Q114" s="19"/>
      <c r="R114" s="19"/>
      <c r="S114" s="19"/>
      <c r="T114" s="19"/>
      <c r="U114" s="19"/>
      <c r="V114" s="19"/>
      <c r="W114" s="19"/>
      <c r="X114" s="19"/>
      <c r="Y114" s="19"/>
    </row>
    <row r="115" spans="1:25" ht="14.1" customHeight="1">
      <c r="A115" s="219" t="n" cm="1">
        <f t="array" ref="A115">IFERROR(INDEX('03.Muestra'!$B$8:$B$42,SMALL(IF("Página Web"='03.Muestra'!$D$8:$D$42,ROW('03.Muestra'!$B$8:$B$42)-MIN(ROW('03.Muestra'!$D$8:$D$42))+1,""),ROW()-94)),"")</f>
        <v>1.0</v>
      </c>
      <c r="B115" s="114" t="str" cm="1">
        <f t="array" ref="B115">IFERROR(INDEX('03.Muestra'!$C$8:$C$42,SMALL(IF("Página Web"='03.Muestra'!$D$8:$D$42,ROW('03.Muestra'!$C$8:$C$42)-MIN(ROW('03.Muestra'!$D$8:$D$42))+1,""),ROW()-94)),"")</f>
        <v>Home - PortCastelló</v>
      </c>
      <c r="C115" s="114" t="str" cm="1">
        <f t="array" ref="C115">IFERROR(INDEX('03.Muestra'!$F$8:$F$42,SMALL(IF("Página Web"='03.Muestra'!$D$8:$D$42,ROW('03.Muestra'!$F$8:$F$42)-MIN(ROW('03.Muestra'!$D$8:$D$42))+1,""),ROW()-94)),"")</f>
        <v>https://www.portcastello.com/</v>
      </c>
      <c r="D115" s="130" t="str">
        <f t="shared" si="5"/>
        <v>N/T</v>
      </c>
      <c r="E115" s="107" t="str">
        <f t="shared" si="4"/>
        <v/>
      </c>
      <c r="F115" s="19"/>
      <c r="G115" s="19"/>
      <c r="H115" s="19"/>
      <c r="I115" s="19"/>
      <c r="J115" s="19"/>
      <c r="K115" s="233"/>
      <c r="L115" s="19"/>
      <c r="M115" s="19"/>
      <c r="N115" s="19"/>
      <c r="O115" s="19"/>
      <c r="P115" s="19"/>
      <c r="Q115" s="19"/>
      <c r="R115" s="19"/>
      <c r="S115" s="19"/>
      <c r="T115" s="19"/>
      <c r="U115" s="19"/>
      <c r="V115" s="19"/>
      <c r="W115" s="19"/>
      <c r="X115" s="19"/>
      <c r="Y115" s="19"/>
    </row>
    <row r="116" spans="1:25" ht="14.1" customHeight="1">
      <c r="A116" s="219" t="n" cm="1">
        <f t="array" ref="A116">IFERROR(INDEX('03.Muestra'!$B$8:$B$42,SMALL(IF("Página Web"='03.Muestra'!$D$8:$D$42,ROW('03.Muestra'!$B$8:$B$42)-MIN(ROW('03.Muestra'!$D$8:$D$42))+1,""),ROW()-94)),"")</f>
        <v>1.0</v>
      </c>
      <c r="B116" s="114" t="str" cm="1">
        <f t="array" ref="B116">IFERROR(INDEX('03.Muestra'!$C$8:$C$42,SMALL(IF("Página Web"='03.Muestra'!$D$8:$D$42,ROW('03.Muestra'!$C$8:$C$42)-MIN(ROW('03.Muestra'!$D$8:$D$42))+1,""),ROW()-94)),"")</f>
        <v>Home - PortCastelló</v>
      </c>
      <c r="C116" s="114" t="str" cm="1">
        <f t="array" ref="C116">IFERROR(INDEX('03.Muestra'!$F$8:$F$42,SMALL(IF("Página Web"='03.Muestra'!$D$8:$D$42,ROW('03.Muestra'!$F$8:$F$42)-MIN(ROW('03.Muestra'!$D$8:$D$42))+1,""),ROW()-94)),"")</f>
        <v>https://www.portcastello.com/</v>
      </c>
      <c r="D116" s="130" t="str">
        <f t="shared" si="5"/>
        <v>N/T</v>
      </c>
      <c r="E116" s="107" t="str">
        <f t="shared" si="4"/>
        <v/>
      </c>
      <c r="F116" s="19"/>
      <c r="G116" s="19"/>
      <c r="H116" s="19"/>
      <c r="I116" s="19"/>
      <c r="J116" s="19"/>
      <c r="K116" s="233"/>
      <c r="L116" s="19"/>
      <c r="M116" s="19"/>
      <c r="N116" s="19"/>
      <c r="O116" s="19"/>
      <c r="P116" s="19"/>
      <c r="Q116" s="19"/>
      <c r="R116" s="19"/>
      <c r="S116" s="19"/>
      <c r="T116" s="19"/>
      <c r="U116" s="19"/>
      <c r="V116" s="19"/>
      <c r="W116" s="19"/>
      <c r="X116" s="19"/>
      <c r="Y116" s="19"/>
    </row>
    <row r="117" spans="1:25" ht="14.1" customHeight="1">
      <c r="A117" s="219" t="n" cm="1">
        <f t="array" ref="A117">IFERROR(INDEX('03.Muestra'!$B$8:$B$42,SMALL(IF("Página Web"='03.Muestra'!$D$8:$D$42,ROW('03.Muestra'!$B$8:$B$42)-MIN(ROW('03.Muestra'!$D$8:$D$42))+1,""),ROW()-94)),"")</f>
        <v>1.0</v>
      </c>
      <c r="B117" s="114" t="str" cm="1">
        <f t="array" ref="B117">IFERROR(INDEX('03.Muestra'!$C$8:$C$42,SMALL(IF("Página Web"='03.Muestra'!$D$8:$D$42,ROW('03.Muestra'!$C$8:$C$42)-MIN(ROW('03.Muestra'!$D$8:$D$42))+1,""),ROW()-94)),"")</f>
        <v>Home - PortCastelló</v>
      </c>
      <c r="C117" s="114" t="str" cm="1">
        <f t="array" ref="C117">IFERROR(INDEX('03.Muestra'!$F$8:$F$42,SMALL(IF("Página Web"='03.Muestra'!$D$8:$D$42,ROW('03.Muestra'!$F$8:$F$42)-MIN(ROW('03.Muestra'!$D$8:$D$42))+1,""),ROW()-94)),"")</f>
        <v>https://www.portcastello.com/</v>
      </c>
      <c r="D117" s="130" t="str">
        <f t="shared" si="5"/>
        <v>N/T</v>
      </c>
      <c r="E117" s="107" t="str">
        <f t="shared" si="4"/>
        <v/>
      </c>
      <c r="F117" s="19"/>
      <c r="G117" s="19"/>
      <c r="H117" s="19"/>
      <c r="I117" s="19"/>
      <c r="J117" s="19"/>
      <c r="K117" s="233"/>
      <c r="L117" s="19"/>
      <c r="M117" s="19"/>
      <c r="N117" s="19"/>
      <c r="O117" s="19"/>
      <c r="P117" s="19"/>
      <c r="Q117" s="19"/>
      <c r="R117" s="19"/>
      <c r="S117" s="19"/>
      <c r="T117" s="19"/>
      <c r="U117" s="19"/>
      <c r="V117" s="19"/>
      <c r="W117" s="19"/>
      <c r="X117" s="19"/>
      <c r="Y117" s="19"/>
    </row>
    <row r="118" spans="1:25" ht="12" customHeight="1">
      <c r="A118" s="219" t="n" cm="1">
        <f t="array" ref="A118">IFERROR(INDEX('03.Muestra'!$B$8:$B$42,SMALL(IF("Página Web"='03.Muestra'!$D$8:$D$42,ROW('03.Muestra'!$B$8:$B$42)-MIN(ROW('03.Muestra'!$D$8:$D$42))+1,""),ROW()-94)),"")</f>
        <v>1.0</v>
      </c>
      <c r="B118" s="114" t="str" cm="1">
        <f t="array" ref="B118">IFERROR(INDEX('03.Muestra'!$C$8:$C$42,SMALL(IF("Página Web"='03.Muestra'!$D$8:$D$42,ROW('03.Muestra'!$C$8:$C$42)-MIN(ROW('03.Muestra'!$D$8:$D$42))+1,""),ROW()-94)),"")</f>
        <v>Home - PortCastelló</v>
      </c>
      <c r="C118" s="114" t="str" cm="1">
        <f t="array" ref="C118">IFERROR(INDEX('03.Muestra'!$F$8:$F$42,SMALL(IF("Página Web"='03.Muestra'!$D$8:$D$42,ROW('03.Muestra'!$F$8:$F$42)-MIN(ROW('03.Muestra'!$D$8:$D$42))+1,""),ROW()-94)),"")</f>
        <v>https://www.portcastello.com/</v>
      </c>
      <c r="D118" s="130" t="str">
        <f t="shared" si="5"/>
        <v>N/T</v>
      </c>
      <c r="E118" s="107" t="str">
        <f t="shared" si="4"/>
        <v/>
      </c>
      <c r="F118" s="19"/>
      <c r="G118" s="19"/>
      <c r="H118" s="19"/>
      <c r="I118" s="19"/>
      <c r="J118" s="19"/>
      <c r="K118" s="233"/>
      <c r="L118" s="19"/>
      <c r="M118" s="19"/>
      <c r="N118" s="19"/>
      <c r="O118" s="19"/>
      <c r="P118" s="19"/>
      <c r="Q118" s="19"/>
      <c r="R118" s="19"/>
      <c r="S118" s="19"/>
      <c r="T118" s="19"/>
      <c r="U118" s="19"/>
      <c r="V118" s="19"/>
      <c r="W118" s="19"/>
      <c r="X118" s="19"/>
      <c r="Y118" s="19"/>
    </row>
    <row r="119" spans="1:25" ht="12" customHeight="1">
      <c r="A119" s="219" t="n" cm="1">
        <f t="array" ref="A119">IFERROR(INDEX('03.Muestra'!$B$8:$B$42,SMALL(IF("Página Web"='03.Muestra'!$D$8:$D$42,ROW('03.Muestra'!$B$8:$B$42)-MIN(ROW('03.Muestra'!$D$8:$D$42))+1,""),ROW()-94)),"")</f>
        <v>1.0</v>
      </c>
      <c r="B119" s="114" t="str" cm="1">
        <f t="array" ref="B119">IFERROR(INDEX('03.Muestra'!$C$8:$C$42,SMALL(IF("Página Web"='03.Muestra'!$D$8:$D$42,ROW('03.Muestra'!$C$8:$C$42)-MIN(ROW('03.Muestra'!$D$8:$D$42))+1,""),ROW()-94)),"")</f>
        <v>Home - PortCastelló</v>
      </c>
      <c r="C119" s="114" t="str" cm="1">
        <f t="array" ref="C119">IFERROR(INDEX('03.Muestra'!$F$8:$F$42,SMALL(IF("Página Web"='03.Muestra'!$D$8:$D$42,ROW('03.Muestra'!$F$8:$F$42)-MIN(ROW('03.Muestra'!$D$8:$D$42))+1,""),ROW()-94)),"")</f>
        <v>https://www.portcastello.com/</v>
      </c>
      <c r="D119" s="130" t="str">
        <f t="shared" si="5"/>
        <v>N/T</v>
      </c>
      <c r="E119" s="107" t="str">
        <f t="shared" si="4"/>
        <v/>
      </c>
      <c r="F119" s="19"/>
      <c r="G119" s="19"/>
      <c r="H119" s="19"/>
      <c r="I119" s="19"/>
      <c r="J119" s="19"/>
      <c r="K119" s="233"/>
      <c r="L119" s="19"/>
      <c r="M119" s="19"/>
      <c r="N119" s="19"/>
      <c r="O119" s="19"/>
      <c r="P119" s="19"/>
      <c r="Q119" s="19"/>
      <c r="R119" s="19"/>
      <c r="S119" s="19"/>
      <c r="T119" s="19"/>
      <c r="U119" s="19"/>
      <c r="V119" s="19"/>
      <c r="W119" s="19"/>
      <c r="X119" s="19"/>
      <c r="Y119" s="19"/>
    </row>
    <row r="120" spans="1:25" ht="12" customHeight="1">
      <c r="A120" s="219" t="n" cm="1">
        <f t="array" ref="A120">IFERROR(INDEX('03.Muestra'!$B$8:$B$42,SMALL(IF("Página Web"='03.Muestra'!$D$8:$D$42,ROW('03.Muestra'!$B$8:$B$42)-MIN(ROW('03.Muestra'!$D$8:$D$42))+1,""),ROW()-94)),"")</f>
        <v>1.0</v>
      </c>
      <c r="B120" s="114" t="str" cm="1">
        <f t="array" ref="B120">IFERROR(INDEX('03.Muestra'!$C$8:$C$42,SMALL(IF("Página Web"='03.Muestra'!$D$8:$D$42,ROW('03.Muestra'!$C$8:$C$42)-MIN(ROW('03.Muestra'!$D$8:$D$42))+1,""),ROW()-94)),"")</f>
        <v>Home - PortCastelló</v>
      </c>
      <c r="C120" s="114" t="str" cm="1">
        <f t="array" ref="C120">IFERROR(INDEX('03.Muestra'!$F$8:$F$42,SMALL(IF("Página Web"='03.Muestra'!$D$8:$D$42,ROW('03.Muestra'!$F$8:$F$42)-MIN(ROW('03.Muestra'!$D$8:$D$42))+1,""),ROW()-94)),"")</f>
        <v>https://www.portcastello.com/</v>
      </c>
      <c r="D120" s="130" t="str">
        <f t="shared" si="5"/>
        <v>N/T</v>
      </c>
      <c r="E120" s="107" t="str">
        <f t="shared" si="4"/>
        <v/>
      </c>
      <c r="F120" s="19"/>
      <c r="G120" s="19"/>
      <c r="H120" s="19"/>
      <c r="I120" s="19"/>
      <c r="J120" s="19"/>
      <c r="K120" s="233"/>
      <c r="L120" s="19"/>
      <c r="M120" s="19"/>
      <c r="N120" s="19"/>
      <c r="O120" s="19"/>
      <c r="P120" s="19"/>
      <c r="Q120" s="19"/>
      <c r="R120" s="19"/>
      <c r="S120" s="19"/>
      <c r="T120" s="19"/>
      <c r="U120" s="19"/>
      <c r="V120" s="19"/>
      <c r="W120" s="19"/>
      <c r="X120" s="19"/>
      <c r="Y120" s="19"/>
    </row>
    <row r="121" spans="1:25" ht="12" customHeight="1">
      <c r="A121" s="219" t="n" cm="1">
        <f t="array" ref="A121">IFERROR(INDEX('03.Muestra'!$B$8:$B$42,SMALL(IF("Página Web"='03.Muestra'!$D$8:$D$42,ROW('03.Muestra'!$B$8:$B$42)-MIN(ROW('03.Muestra'!$D$8:$D$42))+1,""),ROW()-94)),"")</f>
        <v>1.0</v>
      </c>
      <c r="B121" s="114" t="str" cm="1">
        <f t="array" ref="B121">IFERROR(INDEX('03.Muestra'!$C$8:$C$42,SMALL(IF("Página Web"='03.Muestra'!$D$8:$D$42,ROW('03.Muestra'!$C$8:$C$42)-MIN(ROW('03.Muestra'!$D$8:$D$42))+1,""),ROW()-94)),"")</f>
        <v>Home - PortCastelló</v>
      </c>
      <c r="C121" s="114" t="str" cm="1">
        <f t="array" ref="C121">IFERROR(INDEX('03.Muestra'!$F$8:$F$42,SMALL(IF("Página Web"='03.Muestra'!$D$8:$D$42,ROW('03.Muestra'!$F$8:$F$42)-MIN(ROW('03.Muestra'!$D$8:$D$42))+1,""),ROW()-94)),"")</f>
        <v>https://www.portcastello.com/</v>
      </c>
      <c r="D121" s="130" t="str">
        <f t="shared" si="5"/>
        <v>N/T</v>
      </c>
      <c r="E121" s="107" t="str">
        <f t="shared" si="4"/>
        <v/>
      </c>
      <c r="F121" s="19"/>
      <c r="G121" s="19"/>
      <c r="H121" s="19"/>
      <c r="I121" s="19"/>
      <c r="J121" s="19"/>
      <c r="K121" s="233"/>
      <c r="L121" s="19"/>
      <c r="M121" s="19"/>
      <c r="N121" s="19"/>
      <c r="O121" s="19"/>
      <c r="P121" s="19"/>
      <c r="Q121" s="19"/>
      <c r="R121" s="19"/>
      <c r="S121" s="19"/>
      <c r="T121" s="19"/>
      <c r="U121" s="19"/>
      <c r="V121" s="19"/>
      <c r="W121" s="19"/>
      <c r="X121" s="19"/>
      <c r="Y121" s="19"/>
    </row>
    <row r="122" spans="1:25" ht="12" customHeight="1">
      <c r="A122" s="219" t="n" cm="1">
        <f t="array" ref="A122">IFERROR(INDEX('03.Muestra'!$B$8:$B$42,SMALL(IF("Página Web"='03.Muestra'!$D$8:$D$42,ROW('03.Muestra'!$B$8:$B$42)-MIN(ROW('03.Muestra'!$D$8:$D$42))+1,""),ROW()-94)),"")</f>
        <v>1.0</v>
      </c>
      <c r="B122" s="114" t="str" cm="1">
        <f t="array" ref="B122">IFERROR(INDEX('03.Muestra'!$C$8:$C$42,SMALL(IF("Página Web"='03.Muestra'!$D$8:$D$42,ROW('03.Muestra'!$C$8:$C$42)-MIN(ROW('03.Muestra'!$D$8:$D$42))+1,""),ROW()-94)),"")</f>
        <v>Home - PortCastelló</v>
      </c>
      <c r="C122" s="114" t="str" cm="1">
        <f t="array" ref="C122">IFERROR(INDEX('03.Muestra'!$F$8:$F$42,SMALL(IF("Página Web"='03.Muestra'!$D$8:$D$42,ROW('03.Muestra'!$F$8:$F$42)-MIN(ROW('03.Muestra'!$D$8:$D$42))+1,""),ROW()-94)),"")</f>
        <v>https://www.portcastello.com/</v>
      </c>
      <c r="D122" s="130" t="str">
        <f t="shared" si="5"/>
        <v>N/T</v>
      </c>
      <c r="E122" s="107" t="str">
        <f t="shared" si="4"/>
        <v/>
      </c>
      <c r="G122" s="19"/>
      <c r="H122" s="19"/>
      <c r="I122" s="19"/>
      <c r="J122" s="19"/>
      <c r="K122" s="233"/>
      <c r="L122" s="19"/>
      <c r="M122" s="19"/>
      <c r="N122" s="19"/>
      <c r="O122" s="19"/>
      <c r="P122" s="19"/>
      <c r="Q122" s="19"/>
      <c r="R122" s="19"/>
      <c r="S122" s="19"/>
      <c r="T122" s="19"/>
      <c r="U122" s="19"/>
      <c r="V122" s="19"/>
      <c r="W122" s="19"/>
      <c r="X122" s="19"/>
      <c r="Y122" s="19"/>
    </row>
    <row r="123" spans="1:25" ht="12" customHeight="1">
      <c r="A123" s="219" t="n" cm="1">
        <f t="array" ref="A123">IFERROR(INDEX('03.Muestra'!$B$8:$B$42,SMALL(IF("Página Web"='03.Muestra'!$D$8:$D$42,ROW('03.Muestra'!$B$8:$B$42)-MIN(ROW('03.Muestra'!$D$8:$D$42))+1,""),ROW()-94)),"")</f>
        <v>1.0</v>
      </c>
      <c r="B123" s="114" t="str" cm="1">
        <f t="array" ref="B123">IFERROR(INDEX('03.Muestra'!$C$8:$C$42,SMALL(IF("Página Web"='03.Muestra'!$D$8:$D$42,ROW('03.Muestra'!$C$8:$C$42)-MIN(ROW('03.Muestra'!$D$8:$D$42))+1,""),ROW()-94)),"")</f>
        <v>Home - PortCastelló</v>
      </c>
      <c r="C123" s="114" t="str" cm="1">
        <f t="array" ref="C123">IFERROR(INDEX('03.Muestra'!$F$8:$F$42,SMALL(IF("Página Web"='03.Muestra'!$D$8:$D$42,ROW('03.Muestra'!$F$8:$F$42)-MIN(ROW('03.Muestra'!$D$8:$D$42))+1,""),ROW()-94)),"")</f>
        <v>https://www.portcastello.com/</v>
      </c>
      <c r="D123" s="130" t="str">
        <f t="shared" si="5"/>
        <v>N/T</v>
      </c>
      <c r="E123" s="107" t="str">
        <f t="shared" si="4"/>
        <v/>
      </c>
      <c r="F123" s="124"/>
      <c r="G123" s="19"/>
      <c r="H123" s="19"/>
      <c r="I123" s="19"/>
      <c r="J123" s="19"/>
      <c r="K123" s="233"/>
      <c r="L123" s="19"/>
      <c r="M123" s="19"/>
      <c r="N123" s="19"/>
      <c r="O123" s="19"/>
      <c r="P123" s="19"/>
      <c r="Q123" s="19"/>
      <c r="R123" s="19"/>
      <c r="S123" s="19"/>
      <c r="T123" s="19"/>
      <c r="U123" s="19"/>
      <c r="V123" s="19"/>
      <c r="W123" s="19"/>
      <c r="X123" s="19"/>
      <c r="Y123" s="19"/>
    </row>
    <row r="124" spans="1:25" ht="12" customHeight="1">
      <c r="A124" s="219" t="n" cm="1">
        <f t="array" ref="A124">IFERROR(INDEX('03.Muestra'!$B$8:$B$42,SMALL(IF("Página Web"='03.Muestra'!$D$8:$D$42,ROW('03.Muestra'!$B$8:$B$42)-MIN(ROW('03.Muestra'!$D$8:$D$42))+1,""),ROW()-94)),"")</f>
        <v>1.0</v>
      </c>
      <c r="B124" s="114" t="str" cm="1">
        <f t="array" ref="B124">IFERROR(INDEX('03.Muestra'!$C$8:$C$42,SMALL(IF("Página Web"='03.Muestra'!$D$8:$D$42,ROW('03.Muestra'!$C$8:$C$42)-MIN(ROW('03.Muestra'!$D$8:$D$42))+1,""),ROW()-94)),"")</f>
        <v>Home - PortCastelló</v>
      </c>
      <c r="C124" s="114" t="str" cm="1">
        <f t="array" ref="C124">IFERROR(INDEX('03.Muestra'!$F$8:$F$42,SMALL(IF("Página Web"='03.Muestra'!$D$8:$D$42,ROW('03.Muestra'!$F$8:$F$42)-MIN(ROW('03.Muestra'!$D$8:$D$42))+1,""),ROW()-94)),"")</f>
        <v>https://www.portcastello.com/</v>
      </c>
      <c r="D124" s="130" t="str">
        <f t="shared" si="5"/>
        <v>N/T</v>
      </c>
      <c r="E124" s="107" t="str">
        <f t="shared" si="4"/>
        <v/>
      </c>
      <c r="F124" s="124"/>
      <c r="G124" s="19"/>
      <c r="H124" s="19"/>
      <c r="I124" s="19"/>
      <c r="J124" s="19"/>
      <c r="K124" s="233"/>
      <c r="L124" s="19"/>
      <c r="M124" s="19"/>
      <c r="N124" s="19"/>
      <c r="O124" s="19"/>
      <c r="P124" s="19"/>
      <c r="Q124" s="19"/>
      <c r="R124" s="19"/>
      <c r="S124" s="19"/>
      <c r="T124" s="19"/>
      <c r="U124" s="19"/>
      <c r="V124" s="19"/>
      <c r="W124" s="19"/>
      <c r="X124" s="19"/>
      <c r="Y124" s="19"/>
    </row>
    <row r="125" spans="1:25" ht="12" customHeight="1">
      <c r="A125" s="219" t="n" cm="1">
        <f t="array" ref="A125">IFERROR(INDEX('03.Muestra'!$B$8:$B$42,SMALL(IF("Página Web"='03.Muestra'!$D$8:$D$42,ROW('03.Muestra'!$B$8:$B$42)-MIN(ROW('03.Muestra'!$D$8:$D$42))+1,""),ROW()-94)),"")</f>
        <v>1.0</v>
      </c>
      <c r="B125" s="114" t="str" cm="1">
        <f t="array" ref="B125">IFERROR(INDEX('03.Muestra'!$C$8:$C$42,SMALL(IF("Página Web"='03.Muestra'!$D$8:$D$42,ROW('03.Muestra'!$C$8:$C$42)-MIN(ROW('03.Muestra'!$D$8:$D$42))+1,""),ROW()-94)),"")</f>
        <v>Home - PortCastelló</v>
      </c>
      <c r="C125" s="114" t="str" cm="1">
        <f t="array" ref="C125">IFERROR(INDEX('03.Muestra'!$F$8:$F$42,SMALL(IF("Página Web"='03.Muestra'!$D$8:$D$42,ROW('03.Muestra'!$F$8:$F$42)-MIN(ROW('03.Muestra'!$D$8:$D$42))+1,""),ROW()-94)),"")</f>
        <v>https://www.portcastello.com/</v>
      </c>
      <c r="D125" s="130" t="str">
        <f t="shared" si="5"/>
        <v>N/T</v>
      </c>
      <c r="E125" s="107" t="str">
        <f t="shared" si="4"/>
        <v/>
      </c>
      <c r="F125" s="124"/>
      <c r="G125" s="19"/>
      <c r="H125" s="19"/>
      <c r="I125" s="19"/>
      <c r="J125" s="19"/>
      <c r="K125" s="233"/>
      <c r="L125" s="19"/>
      <c r="M125" s="19"/>
      <c r="N125" s="19"/>
      <c r="O125" s="19"/>
      <c r="P125" s="19"/>
      <c r="Q125" s="19"/>
      <c r="R125" s="19"/>
      <c r="S125" s="19"/>
      <c r="T125" s="19"/>
      <c r="U125" s="19"/>
      <c r="V125" s="19"/>
      <c r="W125" s="19"/>
      <c r="X125" s="19"/>
      <c r="Y125" s="19"/>
    </row>
    <row r="126" spans="1:25" ht="12" customHeight="1">
      <c r="A126" s="219" t="n" cm="1">
        <f t="array" ref="A126">IFERROR(INDEX('03.Muestra'!$B$8:$B$42,SMALL(IF("Página Web"='03.Muestra'!$D$8:$D$42,ROW('03.Muestra'!$B$8:$B$42)-MIN(ROW('03.Muestra'!$D$8:$D$42))+1,""),ROW()-94)),"")</f>
        <v>1.0</v>
      </c>
      <c r="B126" s="114" t="str" cm="1">
        <f t="array" ref="B126">IFERROR(INDEX('03.Muestra'!$C$8:$C$42,SMALL(IF("Página Web"='03.Muestra'!$D$8:$D$42,ROW('03.Muestra'!$C$8:$C$42)-MIN(ROW('03.Muestra'!$D$8:$D$42))+1,""),ROW()-94)),"")</f>
        <v>Home - PortCastelló</v>
      </c>
      <c r="C126" s="114" t="str" cm="1">
        <f t="array" ref="C126">IFERROR(INDEX('03.Muestra'!$F$8:$F$42,SMALL(IF("Página Web"='03.Muestra'!$D$8:$D$42,ROW('03.Muestra'!$F$8:$F$42)-MIN(ROW('03.Muestra'!$D$8:$D$42))+1,""),ROW()-94)),"")</f>
        <v>https://www.portcastello.com/</v>
      </c>
      <c r="D126" s="130" t="str">
        <f t="shared" si="5"/>
        <v>N/T</v>
      </c>
      <c r="E126" s="107" t="str">
        <f t="shared" si="4"/>
        <v/>
      </c>
      <c r="F126" s="124"/>
      <c r="G126" s="19"/>
      <c r="H126" s="19"/>
      <c r="I126" s="19"/>
      <c r="J126" s="19"/>
      <c r="K126" s="233"/>
      <c r="L126" s="19"/>
      <c r="M126" s="19"/>
      <c r="N126" s="19"/>
      <c r="O126" s="19"/>
      <c r="P126" s="19"/>
      <c r="Q126" s="19"/>
      <c r="R126" s="19"/>
      <c r="S126" s="19"/>
      <c r="T126" s="19"/>
      <c r="U126" s="19"/>
      <c r="V126" s="19"/>
      <c r="W126" s="19"/>
      <c r="X126" s="19"/>
      <c r="Y126" s="19"/>
    </row>
    <row r="127" spans="1:25" ht="12" customHeight="1">
      <c r="A127" s="219" t="n" cm="1">
        <f t="array" ref="A127">IFERROR(INDEX('03.Muestra'!$B$8:$B$42,SMALL(IF("Página Web"='03.Muestra'!$D$8:$D$42,ROW('03.Muestra'!$B$8:$B$42)-MIN(ROW('03.Muestra'!$D$8:$D$42))+1,""),ROW()-94)),"")</f>
        <v>1.0</v>
      </c>
      <c r="B127" s="114" t="str" cm="1">
        <f t="array" ref="B127">IFERROR(INDEX('03.Muestra'!$C$8:$C$42,SMALL(IF("Página Web"='03.Muestra'!$D$8:$D$42,ROW('03.Muestra'!$C$8:$C$42)-MIN(ROW('03.Muestra'!$D$8:$D$42))+1,""),ROW()-94)),"")</f>
        <v>Home - PortCastelló</v>
      </c>
      <c r="C127" s="114" t="str" cm="1">
        <f t="array" ref="C127">IFERROR(INDEX('03.Muestra'!$F$8:$F$42,SMALL(IF("Página Web"='03.Muestra'!$D$8:$D$42,ROW('03.Muestra'!$F$8:$F$42)-MIN(ROW('03.Muestra'!$D$8:$D$42))+1,""),ROW()-94)),"")</f>
        <v>https://www.portcastello.com/</v>
      </c>
      <c r="D127" s="130" t="str">
        <f t="shared" si="5"/>
        <v>N/T</v>
      </c>
      <c r="E127" s="107" t="str">
        <f t="shared" si="4"/>
        <v/>
      </c>
      <c r="F127" s="124"/>
      <c r="G127" s="19"/>
      <c r="H127" s="19"/>
      <c r="I127" s="19"/>
      <c r="J127" s="19"/>
      <c r="K127" s="233"/>
      <c r="L127" s="19"/>
      <c r="M127" s="19"/>
      <c r="N127" s="19"/>
      <c r="O127" s="19"/>
      <c r="P127" s="19"/>
      <c r="Q127" s="19"/>
      <c r="R127" s="19"/>
      <c r="S127" s="19"/>
      <c r="T127" s="19"/>
      <c r="U127" s="19"/>
      <c r="V127" s="19"/>
      <c r="W127" s="19"/>
      <c r="X127" s="19"/>
      <c r="Y127" s="19"/>
    </row>
    <row r="128" spans="1:25" ht="12" customHeight="1">
      <c r="A128" s="219" t="str" cm="1">
        <f t="array" ref="A128">IFERROR(INDEX('03.Muestra'!$B$8:$B$42,SMALL(IF("Página Web"='03.Muestra'!$D$8:$D$42,ROW('03.Muestra'!$B$8:$B$42)-MIN(ROW('03.Muestra'!$D$8:$D$42))+1,""),ROW()-94)),"")</f>
        <v/>
      </c>
      <c r="B128" s="114" t="str" cm="1">
        <f t="array" ref="B128">IFERROR(INDEX('03.Muestra'!$C$8:$C$42,SMALL(IF("Página Web"='03.Muestra'!$D$8:$D$42,ROW('03.Muestra'!$C$8:$C$42)-MIN(ROW('03.Muestra'!$D$8:$D$42))+1,""),ROW()-94)),"")</f>
        <v/>
      </c>
      <c r="C128" s="114" t="str" cm="1">
        <f t="array" ref="C128">IFERROR(INDEX('03.Muestra'!$F$8:$F$42,SMALL(IF("Página Web"='03.Muestra'!$D$8:$D$42,ROW('03.Muestra'!$F$8:$F$42)-MIN(ROW('03.Muestra'!$D$8:$D$42))+1,""),ROW()-94)),"")</f>
        <v/>
      </c>
      <c r="D128" s="130" t="str">
        <f t="shared" si="5"/>
        <v/>
      </c>
      <c r="E128" s="107" t="str">
        <f t="shared" si="4"/>
        <v/>
      </c>
      <c r="F128" s="124"/>
      <c r="G128" s="19"/>
      <c r="H128" s="19"/>
      <c r="I128" s="19"/>
      <c r="J128" s="19"/>
      <c r="K128" s="233"/>
      <c r="L128" s="19"/>
      <c r="M128" s="19"/>
      <c r="N128" s="19"/>
      <c r="O128" s="19"/>
      <c r="P128" s="19"/>
      <c r="Q128" s="19"/>
      <c r="R128" s="19"/>
      <c r="S128" s="19"/>
      <c r="T128" s="19"/>
      <c r="U128" s="19"/>
      <c r="V128" s="19"/>
      <c r="W128" s="19"/>
      <c r="X128" s="19"/>
      <c r="Y128" s="19"/>
    </row>
    <row r="129" spans="1:25" ht="12" customHeight="1">
      <c r="A129" s="219" t="str" cm="1">
        <f t="array" ref="A129">IFERROR(INDEX('03.Muestra'!$B$8:$B$42,SMALL(IF("Página Web"='03.Muestra'!$D$8:$D$42,ROW('03.Muestra'!$B$8:$B$42)-MIN(ROW('03.Muestra'!$D$8:$D$42))+1,""),ROW()-94)),"")</f>
        <v/>
      </c>
      <c r="B129" s="114" t="str" cm="1">
        <f t="array" ref="B129">IFERROR(INDEX('03.Muestra'!$C$8:$C$42,SMALL(IF("Página Web"='03.Muestra'!$D$8:$D$42,ROW('03.Muestra'!$C$8:$C$42)-MIN(ROW('03.Muestra'!$D$8:$D$42))+1,""),ROW()-94)),"")</f>
        <v/>
      </c>
      <c r="C129" s="114" t="str" cm="1">
        <f t="array" ref="C129">IFERROR(INDEX('03.Muestra'!$F$8:$F$42,SMALL(IF("Página Web"='03.Muestra'!$D$8:$D$42,ROW('03.Muestra'!$F$8:$F$42)-MIN(ROW('03.Muestra'!$D$8:$D$42))+1,""),ROW()-94)),"")</f>
        <v/>
      </c>
      <c r="D129" s="130" t="str">
        <f t="shared" si="5"/>
        <v/>
      </c>
      <c r="E129" s="107" t="str">
        <f t="shared" si="4"/>
        <v/>
      </c>
      <c r="F129" s="19"/>
      <c r="G129" s="19"/>
      <c r="H129" s="19"/>
      <c r="I129" s="19"/>
      <c r="J129" s="19"/>
      <c r="K129" s="233"/>
      <c r="L129" s="19"/>
      <c r="M129" s="19"/>
      <c r="N129" s="19"/>
      <c r="O129" s="19"/>
      <c r="P129" s="19"/>
      <c r="Q129" s="19"/>
      <c r="R129" s="19"/>
      <c r="S129" s="19"/>
      <c r="T129" s="19"/>
      <c r="U129" s="19"/>
      <c r="V129" s="19"/>
      <c r="W129" s="19"/>
      <c r="X129" s="19"/>
      <c r="Y129" s="19"/>
    </row>
    <row r="130" spans="1:25" ht="12" customHeight="1">
      <c r="B130" s="19"/>
      <c r="C130" s="19"/>
      <c r="D130" s="107"/>
      <c r="E130" s="107"/>
      <c r="F130" s="19"/>
      <c r="G130" s="19"/>
      <c r="H130" s="19"/>
      <c r="I130" s="19"/>
      <c r="J130" s="19"/>
      <c r="K130" s="233"/>
      <c r="L130" s="19"/>
      <c r="M130" s="19"/>
      <c r="N130" s="19"/>
      <c r="O130" s="19"/>
      <c r="P130" s="19"/>
      <c r="Q130" s="19"/>
      <c r="R130" s="19"/>
      <c r="S130" s="19"/>
      <c r="T130" s="19"/>
      <c r="U130" s="19"/>
      <c r="V130" s="19"/>
      <c r="W130" s="19"/>
      <c r="X130" s="19"/>
      <c r="Y130" s="19"/>
    </row>
    <row r="131" spans="1:25" ht="12" customHeight="1">
      <c r="B131" s="19"/>
      <c r="C131" s="19"/>
      <c r="D131" s="107"/>
      <c r="E131" s="112"/>
      <c r="F131" s="19"/>
      <c r="G131" s="19"/>
      <c r="H131" s="19"/>
      <c r="I131" s="19"/>
      <c r="J131" s="19"/>
      <c r="K131" s="233"/>
      <c r="L131" s="19"/>
      <c r="M131" s="19"/>
      <c r="N131" s="19"/>
      <c r="O131" s="19"/>
      <c r="P131" s="19"/>
      <c r="Q131" s="19"/>
      <c r="R131" s="19"/>
      <c r="S131" s="19"/>
      <c r="T131" s="19"/>
      <c r="U131" s="19"/>
      <c r="V131" s="19"/>
      <c r="W131" s="19"/>
      <c r="X131" s="19"/>
      <c r="Y131" s="19"/>
    </row>
    <row r="132" spans="1:25" ht="32.25" customHeight="1">
      <c r="A132" s="218" t="s">
        <v>268</v>
      </c>
      <c r="B132" s="24" t="s">
        <v>90</v>
      </c>
      <c r="C132" s="217" t="s">
        <v>320</v>
      </c>
      <c r="D132" s="26" t="s">
        <v>32</v>
      </c>
      <c r="E132" s="123"/>
      <c r="K132" s="233"/>
      <c r="L132" s="19"/>
      <c r="M132" s="19"/>
      <c r="N132" s="19"/>
      <c r="O132" s="19"/>
      <c r="P132" s="19"/>
      <c r="Q132" s="19"/>
      <c r="R132" s="19"/>
      <c r="S132" s="19"/>
      <c r="T132" s="19"/>
      <c r="U132" s="19"/>
      <c r="V132" s="19"/>
      <c r="W132" s="19"/>
      <c r="X132" s="19"/>
      <c r="Y132" s="19"/>
    </row>
    <row r="133" spans="1:25" ht="12" customHeight="1">
      <c r="A133" s="219" t="n" cm="1">
        <f t="array" ref="A133">IFERROR(INDEX('03.Muestra'!$B$8:$B$42,SMALL(IF("Página Web"='03.Muestra'!$D$8:$D$42,ROW('03.Muestra'!$B$8:$B$42)-MIN(ROW('03.Muestra'!$D$8:$D$42))+1,""),ROW()-132)),"")</f>
        <v>1.0</v>
      </c>
      <c r="B133" s="114" t="str" cm="1">
        <f t="array" ref="B133">IFERROR(INDEX('03.Muestra'!$C$8:$C$42,SMALL(IF("Página Web"='03.Muestra'!$D$8:$D$42,ROW('03.Muestra'!$C$8:$C$42)-MIN(ROW('03.Muestra'!$D$8:$D$42))+1,""),ROW()-132)),"")</f>
        <v>Home - PortCastelló</v>
      </c>
      <c r="C133" s="114" t="str" cm="1">
        <f t="array" ref="C133">IFERROR(INDEX('03.Muestra'!$F$8:$F$42,SMALL(IF("Página Web"='03.Muestra'!$D$8:$D$42,ROW('03.Muestra'!$F$8:$F$42)-MIN(ROW('03.Muestra'!$D$8:$D$42))+1,""),ROW()-132)),"")</f>
        <v>https://www.portcastello.com/</v>
      </c>
      <c r="D133" s="130" t="str">
        <f>IF(AND(B133&lt;&gt;"",C133&lt;&gt;""),"N/T","")</f>
        <v>N/T</v>
      </c>
      <c r="E133" s="107" t="str">
        <f t="shared" ref="E133:E167" si="6">IF(D133&lt;&gt;"",IF(AND(B133&lt;&gt;"",C133&lt;&gt;""),"","ERR"),"")</f>
        <v/>
      </c>
      <c r="F133" s="115" t="s">
        <v>33</v>
      </c>
      <c r="G133" s="116" t="s">
        <v>37</v>
      </c>
      <c r="H133" s="117" t="s">
        <v>35</v>
      </c>
      <c r="I133" s="118" t="s">
        <v>28</v>
      </c>
      <c r="J133" s="119" t="s">
        <v>26</v>
      </c>
      <c r="K133" s="226" t="s">
        <v>474</v>
      </c>
      <c r="L133" s="19"/>
      <c r="M133" s="19"/>
      <c r="N133" s="19"/>
      <c r="O133" s="19"/>
      <c r="P133" s="19"/>
      <c r="Q133" s="19"/>
      <c r="R133" s="19"/>
      <c r="S133" s="19"/>
      <c r="T133" s="19"/>
      <c r="U133" s="19"/>
      <c r="V133" s="19"/>
      <c r="W133" s="19"/>
      <c r="X133" s="19"/>
      <c r="Y133" s="19"/>
    </row>
    <row r="134" spans="1:25" ht="12" customHeight="1">
      <c r="A134" s="219" t="n" cm="1">
        <f t="array" ref="A134">IFERROR(INDEX('03.Muestra'!$B$8:$B$42,SMALL(IF("Página Web"='03.Muestra'!$D$8:$D$42,ROW('03.Muestra'!$B$8:$B$42)-MIN(ROW('03.Muestra'!$D$8:$D$42))+1,""),ROW()-132)),"")</f>
        <v>1.0</v>
      </c>
      <c r="B134" s="114" t="str" cm="1">
        <f t="array" ref="B134">IFERROR(INDEX('03.Muestra'!$C$8:$C$42,SMALL(IF("Página Web"='03.Muestra'!$D$8:$D$42,ROW('03.Muestra'!$C$8:$C$42)-MIN(ROW('03.Muestra'!$D$8:$D$42))+1,""),ROW()-132)),"")</f>
        <v>Home - PortCastelló</v>
      </c>
      <c r="C134" s="114" t="str" cm="1">
        <f t="array" ref="C134">IFERROR(INDEX('03.Muestra'!$F$8:$F$42,SMALL(IF("Página Web"='03.Muestra'!$D$8:$D$42,ROW('03.Muestra'!$F$8:$F$42)-MIN(ROW('03.Muestra'!$D$8:$D$42))+1,""),ROW()-132)),"")</f>
        <v>https://www.portcastello.com/</v>
      </c>
      <c r="D134" s="130" t="str">
        <f t="shared" ref="D134:D167" si="7">IF(AND(B134&lt;&gt;"",C134&lt;&gt;""),"N/T","")</f>
        <v>N/T</v>
      </c>
      <c r="E134" s="107" t="str">
        <f t="shared" si="6"/>
        <v/>
      </c>
      <c r="F134" s="120" t="n">
        <f ca="1">COUNTIF($D133:INDIRECT("$D" &amp;  SUM(ROW()-1,'03.Muestra'!$D$45)-1),F133)</f>
        <v>33.0</v>
      </c>
      <c r="G134" s="120" t="n">
        <f ca="1">COUNTIF($D133:INDIRECT("$D" &amp;  SUM(ROW()-1,'03.Muestra'!$D$45)-1),G133)</f>
        <v>0.0</v>
      </c>
      <c r="H134" s="120" t="n">
        <f ca="1">COUNTIF($D133:INDIRECT("$D" &amp;  SUM(ROW()-1,'03.Muestra'!$D$45)-1),H133)</f>
        <v>0.0</v>
      </c>
      <c r="I134" s="120" t="n">
        <f ca="1">COUNTIF($D133:INDIRECT("$D" &amp;  SUM(ROW()-1,'03.Muestra'!$D$45)-1),I133)</f>
        <v>0.0</v>
      </c>
      <c r="J134" s="120" t="n">
        <f ca="1">COUNTIF($D133:INDIRECT("$D" &amp;  SUM(ROW()-1,'03.Muestra'!$D$45)-1),J133)</f>
        <v>0.0</v>
      </c>
      <c r="K134" s="227" t="n">
        <f ca="1">IF(COUNTIF('03.Muestra'!$D$8:$D$42,"Página Web")=0,0,COUNTBLANK($D133:INDIRECT("$D" &amp;  SUM(ROW()-1,COUNTIF('03.Muestra'!$D$8:$D$42,"Página Web"))-1)))</f>
        <v>0.0</v>
      </c>
      <c r="L134" s="19"/>
      <c r="M134" s="19"/>
      <c r="N134" s="19"/>
      <c r="O134" s="19"/>
      <c r="P134" s="19"/>
      <c r="Q134" s="19"/>
      <c r="R134" s="19"/>
      <c r="S134" s="19"/>
      <c r="T134" s="19"/>
      <c r="U134" s="19"/>
      <c r="V134" s="19"/>
      <c r="W134" s="19"/>
      <c r="X134" s="19"/>
      <c r="Y134" s="19"/>
    </row>
    <row r="135" spans="1:25" ht="12" customHeight="1">
      <c r="A135" s="219" t="n" cm="1">
        <f t="array" ref="A135">IFERROR(INDEX('03.Muestra'!$B$8:$B$42,SMALL(IF("Página Web"='03.Muestra'!$D$8:$D$42,ROW('03.Muestra'!$B$8:$B$42)-MIN(ROW('03.Muestra'!$D$8:$D$42))+1,""),ROW()-132)),"")</f>
        <v>1.0</v>
      </c>
      <c r="B135" s="114" t="str" cm="1">
        <f t="array" ref="B135">IFERROR(INDEX('03.Muestra'!$C$8:$C$42,SMALL(IF("Página Web"='03.Muestra'!$D$8:$D$42,ROW('03.Muestra'!$C$8:$C$42)-MIN(ROW('03.Muestra'!$D$8:$D$42))+1,""),ROW()-132)),"")</f>
        <v>Home - PortCastelló</v>
      </c>
      <c r="C135" s="114" t="str" cm="1">
        <f t="array" ref="C135">IFERROR(INDEX('03.Muestra'!$F$8:$F$42,SMALL(IF("Página Web"='03.Muestra'!$D$8:$D$42,ROW('03.Muestra'!$F$8:$F$42)-MIN(ROW('03.Muestra'!$D$8:$D$42))+1,""),ROW()-132)),"")</f>
        <v>https://www.portcastello.com/</v>
      </c>
      <c r="D135" s="130" t="str">
        <f t="shared" si="7"/>
        <v>N/T</v>
      </c>
      <c r="E135" s="107" t="str">
        <f t="shared" si="6"/>
        <v/>
      </c>
      <c r="G135" s="19"/>
      <c r="H135" s="19"/>
      <c r="I135" s="19"/>
      <c r="J135" s="19"/>
      <c r="K135" s="233"/>
      <c r="L135" s="19"/>
      <c r="M135" s="19"/>
      <c r="N135" s="19"/>
      <c r="O135" s="19"/>
      <c r="P135" s="19"/>
      <c r="Q135" s="19"/>
      <c r="R135" s="19"/>
      <c r="S135" s="19"/>
      <c r="T135" s="19"/>
      <c r="U135" s="19"/>
      <c r="V135" s="19"/>
      <c r="W135" s="19"/>
      <c r="X135" s="19"/>
      <c r="Y135" s="19"/>
    </row>
    <row r="136" spans="1:25" ht="12" customHeight="1">
      <c r="A136" s="219" t="n" cm="1">
        <f t="array" ref="A136">IFERROR(INDEX('03.Muestra'!$B$8:$B$42,SMALL(IF("Página Web"='03.Muestra'!$D$8:$D$42,ROW('03.Muestra'!$B$8:$B$42)-MIN(ROW('03.Muestra'!$D$8:$D$42))+1,""),ROW()-132)),"")</f>
        <v>1.0</v>
      </c>
      <c r="B136" s="114" t="str" cm="1">
        <f t="array" ref="B136">IFERROR(INDEX('03.Muestra'!$C$8:$C$42,SMALL(IF("Página Web"='03.Muestra'!$D$8:$D$42,ROW('03.Muestra'!$C$8:$C$42)-MIN(ROW('03.Muestra'!$D$8:$D$42))+1,""),ROW()-132)),"")</f>
        <v>Home - PortCastelló</v>
      </c>
      <c r="C136" s="114" t="str" cm="1">
        <f t="array" ref="C136">IFERROR(INDEX('03.Muestra'!$F$8:$F$42,SMALL(IF("Página Web"='03.Muestra'!$D$8:$D$42,ROW('03.Muestra'!$F$8:$F$42)-MIN(ROW('03.Muestra'!$D$8:$D$42))+1,""),ROW()-132)),"")</f>
        <v>https://www.portcastello.com/</v>
      </c>
      <c r="D136" s="130" t="str">
        <f t="shared" si="7"/>
        <v>N/T</v>
      </c>
      <c r="E136" s="107" t="str">
        <f t="shared" si="6"/>
        <v/>
      </c>
      <c r="G136" s="19"/>
      <c r="H136" s="19"/>
      <c r="I136" s="19"/>
      <c r="J136" s="19"/>
      <c r="K136" s="233"/>
      <c r="L136" s="19"/>
      <c r="M136" s="19"/>
      <c r="N136" s="19"/>
      <c r="O136" s="19"/>
      <c r="P136" s="19"/>
      <c r="Q136" s="19"/>
      <c r="R136" s="19"/>
      <c r="S136" s="19"/>
      <c r="T136" s="19"/>
      <c r="U136" s="19"/>
      <c r="V136" s="19"/>
      <c r="W136" s="19"/>
      <c r="X136" s="19"/>
      <c r="Y136" s="19"/>
    </row>
    <row r="137" spans="1:25" ht="12" customHeight="1">
      <c r="A137" s="219" t="n" cm="1">
        <f t="array" ref="A137">IFERROR(INDEX('03.Muestra'!$B$8:$B$42,SMALL(IF("Página Web"='03.Muestra'!$D$8:$D$42,ROW('03.Muestra'!$B$8:$B$42)-MIN(ROW('03.Muestra'!$D$8:$D$42))+1,""),ROW()-132)),"")</f>
        <v>1.0</v>
      </c>
      <c r="B137" s="114" t="str" cm="1">
        <f t="array" ref="B137">IFERROR(INDEX('03.Muestra'!$C$8:$C$42,SMALL(IF("Página Web"='03.Muestra'!$D$8:$D$42,ROW('03.Muestra'!$C$8:$C$42)-MIN(ROW('03.Muestra'!$D$8:$D$42))+1,""),ROW()-132)),"")</f>
        <v>Home - PortCastelló</v>
      </c>
      <c r="C137" s="114" t="str" cm="1">
        <f t="array" ref="C137">IFERROR(INDEX('03.Muestra'!$F$8:$F$42,SMALL(IF("Página Web"='03.Muestra'!$D$8:$D$42,ROW('03.Muestra'!$F$8:$F$42)-MIN(ROW('03.Muestra'!$D$8:$D$42))+1,""),ROW()-132)),"")</f>
        <v>https://www.portcastello.com/</v>
      </c>
      <c r="D137" s="130" t="str">
        <f t="shared" si="7"/>
        <v>N/T</v>
      </c>
      <c r="E137" s="107" t="str">
        <f t="shared" si="6"/>
        <v/>
      </c>
      <c r="G137" s="19"/>
      <c r="H137" s="19"/>
      <c r="I137" s="19"/>
      <c r="J137" s="19"/>
      <c r="K137" s="233"/>
      <c r="L137" s="19"/>
      <c r="M137" s="19"/>
      <c r="N137" s="19"/>
      <c r="O137" s="19"/>
      <c r="P137" s="19"/>
      <c r="Q137" s="19"/>
      <c r="R137" s="19"/>
      <c r="S137" s="19"/>
      <c r="T137" s="19"/>
      <c r="U137" s="19"/>
      <c r="V137" s="19"/>
      <c r="W137" s="19"/>
      <c r="X137" s="19"/>
      <c r="Y137" s="19"/>
    </row>
    <row r="138" spans="1:25" ht="12" customHeight="1">
      <c r="A138" s="219" t="n" cm="1">
        <f t="array" ref="A138">IFERROR(INDEX('03.Muestra'!$B$8:$B$42,SMALL(IF("Página Web"='03.Muestra'!$D$8:$D$42,ROW('03.Muestra'!$B$8:$B$42)-MIN(ROW('03.Muestra'!$D$8:$D$42))+1,""),ROW()-132)),"")</f>
        <v>1.0</v>
      </c>
      <c r="B138" s="114" t="str" cm="1">
        <f t="array" ref="B138">IFERROR(INDEX('03.Muestra'!$C$8:$C$42,SMALL(IF("Página Web"='03.Muestra'!$D$8:$D$42,ROW('03.Muestra'!$C$8:$C$42)-MIN(ROW('03.Muestra'!$D$8:$D$42))+1,""),ROW()-132)),"")</f>
        <v>Home - PortCastelló</v>
      </c>
      <c r="C138" s="114" t="str" cm="1">
        <f t="array" ref="C138">IFERROR(INDEX('03.Muestra'!$F$8:$F$42,SMALL(IF("Página Web"='03.Muestra'!$D$8:$D$42,ROW('03.Muestra'!$F$8:$F$42)-MIN(ROW('03.Muestra'!$D$8:$D$42))+1,""),ROW()-132)),"")</f>
        <v>https://www.portcastello.com/</v>
      </c>
      <c r="D138" s="130" t="str">
        <f t="shared" si="7"/>
        <v>N/T</v>
      </c>
      <c r="E138" s="107" t="str">
        <f t="shared" si="6"/>
        <v/>
      </c>
      <c r="G138" s="19"/>
      <c r="H138" s="19"/>
      <c r="I138" s="19"/>
      <c r="J138" s="19"/>
      <c r="K138" s="233"/>
      <c r="L138" s="19"/>
      <c r="M138" s="19"/>
      <c r="N138" s="19"/>
      <c r="O138" s="19"/>
      <c r="P138" s="19"/>
      <c r="Q138" s="19"/>
      <c r="R138" s="19"/>
      <c r="S138" s="19"/>
      <c r="T138" s="19"/>
      <c r="U138" s="19"/>
      <c r="V138" s="19"/>
      <c r="W138" s="19"/>
      <c r="X138" s="19"/>
      <c r="Y138" s="19"/>
    </row>
    <row r="139" spans="1:25" ht="12" customHeight="1">
      <c r="A139" s="219" t="n" cm="1">
        <f t="array" ref="A139">IFERROR(INDEX('03.Muestra'!$B$8:$B$42,SMALL(IF("Página Web"='03.Muestra'!$D$8:$D$42,ROW('03.Muestra'!$B$8:$B$42)-MIN(ROW('03.Muestra'!$D$8:$D$42))+1,""),ROW()-132)),"")</f>
        <v>1.0</v>
      </c>
      <c r="B139" s="114" t="str" cm="1">
        <f t="array" ref="B139">IFERROR(INDEX('03.Muestra'!$C$8:$C$42,SMALL(IF("Página Web"='03.Muestra'!$D$8:$D$42,ROW('03.Muestra'!$C$8:$C$42)-MIN(ROW('03.Muestra'!$D$8:$D$42))+1,""),ROW()-132)),"")</f>
        <v>Home - PortCastelló</v>
      </c>
      <c r="C139" s="114" t="str" cm="1">
        <f t="array" ref="C139">IFERROR(INDEX('03.Muestra'!$F$8:$F$42,SMALL(IF("Página Web"='03.Muestra'!$D$8:$D$42,ROW('03.Muestra'!$F$8:$F$42)-MIN(ROW('03.Muestra'!$D$8:$D$42))+1,""),ROW()-132)),"")</f>
        <v>https://www.portcastello.com/</v>
      </c>
      <c r="D139" s="130" t="str">
        <f t="shared" si="7"/>
        <v>N/T</v>
      </c>
      <c r="E139" s="107" t="str">
        <f t="shared" si="6"/>
        <v/>
      </c>
      <c r="F139" s="19"/>
      <c r="G139" s="19"/>
      <c r="H139" s="19"/>
      <c r="I139" s="19"/>
      <c r="J139" s="19"/>
      <c r="K139" s="233"/>
      <c r="L139" s="19"/>
      <c r="M139" s="19"/>
      <c r="N139" s="19"/>
      <c r="O139" s="19"/>
      <c r="P139" s="19"/>
      <c r="Q139" s="19"/>
      <c r="R139" s="19"/>
      <c r="S139" s="19"/>
      <c r="T139" s="19"/>
      <c r="U139" s="19"/>
      <c r="V139" s="19"/>
      <c r="W139" s="19"/>
      <c r="X139" s="19"/>
      <c r="Y139" s="19"/>
    </row>
    <row r="140" spans="1:25" ht="12" customHeight="1">
      <c r="A140" s="219" t="n" cm="1">
        <f t="array" ref="A140">IFERROR(INDEX('03.Muestra'!$B$8:$B$42,SMALL(IF("Página Web"='03.Muestra'!$D$8:$D$42,ROW('03.Muestra'!$B$8:$B$42)-MIN(ROW('03.Muestra'!$D$8:$D$42))+1,""),ROW()-132)),"")</f>
        <v>1.0</v>
      </c>
      <c r="B140" s="114" t="str" cm="1">
        <f t="array" ref="B140">IFERROR(INDEX('03.Muestra'!$C$8:$C$42,SMALL(IF("Página Web"='03.Muestra'!$D$8:$D$42,ROW('03.Muestra'!$C$8:$C$42)-MIN(ROW('03.Muestra'!$D$8:$D$42))+1,""),ROW()-132)),"")</f>
        <v>Home - PortCastelló</v>
      </c>
      <c r="C140" s="114" t="str" cm="1">
        <f t="array" ref="C140">IFERROR(INDEX('03.Muestra'!$F$8:$F$42,SMALL(IF("Página Web"='03.Muestra'!$D$8:$D$42,ROW('03.Muestra'!$F$8:$F$42)-MIN(ROW('03.Muestra'!$D$8:$D$42))+1,""),ROW()-132)),"")</f>
        <v>https://www.portcastello.com/</v>
      </c>
      <c r="D140" s="130" t="str">
        <f t="shared" si="7"/>
        <v>N/T</v>
      </c>
      <c r="E140" s="107" t="str">
        <f t="shared" si="6"/>
        <v/>
      </c>
      <c r="F140" s="19"/>
      <c r="G140" s="19"/>
      <c r="H140" s="19"/>
      <c r="I140" s="19"/>
      <c r="J140" s="19"/>
      <c r="K140" s="233"/>
      <c r="L140" s="19"/>
      <c r="M140" s="19"/>
      <c r="N140" s="19"/>
      <c r="O140" s="19"/>
      <c r="P140" s="19"/>
      <c r="Q140" s="19"/>
      <c r="R140" s="19"/>
      <c r="S140" s="19"/>
      <c r="T140" s="19"/>
      <c r="U140" s="19"/>
      <c r="V140" s="19"/>
      <c r="W140" s="19"/>
      <c r="X140" s="19"/>
      <c r="Y140" s="19"/>
    </row>
    <row r="141" spans="1:25" ht="12" customHeight="1">
      <c r="A141" s="219" t="n" cm="1">
        <f t="array" ref="A141">IFERROR(INDEX('03.Muestra'!$B$8:$B$42,SMALL(IF("Página Web"='03.Muestra'!$D$8:$D$42,ROW('03.Muestra'!$B$8:$B$42)-MIN(ROW('03.Muestra'!$D$8:$D$42))+1,""),ROW()-132)),"")</f>
        <v>1.0</v>
      </c>
      <c r="B141" s="114" t="str" cm="1">
        <f t="array" ref="B141">IFERROR(INDEX('03.Muestra'!$C$8:$C$42,SMALL(IF("Página Web"='03.Muestra'!$D$8:$D$42,ROW('03.Muestra'!$C$8:$C$42)-MIN(ROW('03.Muestra'!$D$8:$D$42))+1,""),ROW()-132)),"")</f>
        <v>Home - PortCastelló</v>
      </c>
      <c r="C141" s="114" t="str" cm="1">
        <f t="array" ref="C141">IFERROR(INDEX('03.Muestra'!$F$8:$F$42,SMALL(IF("Página Web"='03.Muestra'!$D$8:$D$42,ROW('03.Muestra'!$F$8:$F$42)-MIN(ROW('03.Muestra'!$D$8:$D$42))+1,""),ROW()-132)),"")</f>
        <v>https://www.portcastello.com/</v>
      </c>
      <c r="D141" s="130" t="str">
        <f t="shared" si="7"/>
        <v>N/T</v>
      </c>
      <c r="E141" s="107" t="str">
        <f t="shared" si="6"/>
        <v/>
      </c>
      <c r="F141" s="19"/>
      <c r="G141" s="19"/>
      <c r="H141" s="19"/>
      <c r="I141" s="19"/>
      <c r="J141" s="19"/>
      <c r="K141" s="233"/>
      <c r="L141" s="19"/>
      <c r="M141" s="19"/>
      <c r="N141" s="19"/>
      <c r="O141" s="19"/>
      <c r="P141" s="19"/>
      <c r="Q141" s="19"/>
      <c r="R141" s="19"/>
      <c r="S141" s="19"/>
      <c r="T141" s="19"/>
      <c r="U141" s="19"/>
      <c r="V141" s="19"/>
      <c r="W141" s="19"/>
      <c r="X141" s="19"/>
      <c r="Y141" s="19"/>
    </row>
    <row r="142" spans="1:25" ht="12" customHeight="1">
      <c r="A142" s="219" t="n" cm="1">
        <f t="array" ref="A142">IFERROR(INDEX('03.Muestra'!$B$8:$B$42,SMALL(IF("Página Web"='03.Muestra'!$D$8:$D$42,ROW('03.Muestra'!$B$8:$B$42)-MIN(ROW('03.Muestra'!$D$8:$D$42))+1,""),ROW()-132)),"")</f>
        <v>1.0</v>
      </c>
      <c r="B142" s="114" t="str" cm="1">
        <f t="array" ref="B142">IFERROR(INDEX('03.Muestra'!$C$8:$C$42,SMALL(IF("Página Web"='03.Muestra'!$D$8:$D$42,ROW('03.Muestra'!$C$8:$C$42)-MIN(ROW('03.Muestra'!$D$8:$D$42))+1,""),ROW()-132)),"")</f>
        <v>Home - PortCastelló</v>
      </c>
      <c r="C142" s="114" t="str" cm="1">
        <f t="array" ref="C142">IFERROR(INDEX('03.Muestra'!$F$8:$F$42,SMALL(IF("Página Web"='03.Muestra'!$D$8:$D$42,ROW('03.Muestra'!$F$8:$F$42)-MIN(ROW('03.Muestra'!$D$8:$D$42))+1,""),ROW()-132)),"")</f>
        <v>https://www.portcastello.com/</v>
      </c>
      <c r="D142" s="130" t="str">
        <f t="shared" si="7"/>
        <v>N/T</v>
      </c>
      <c r="E142" s="107" t="str">
        <f t="shared" si="6"/>
        <v/>
      </c>
      <c r="F142" s="19"/>
      <c r="G142" s="19"/>
      <c r="H142" s="19"/>
      <c r="I142" s="19"/>
      <c r="J142" s="19"/>
      <c r="K142" s="233"/>
      <c r="L142" s="19"/>
      <c r="M142" s="19"/>
      <c r="N142" s="19"/>
      <c r="O142" s="19"/>
      <c r="P142" s="19"/>
      <c r="Q142" s="19"/>
      <c r="R142" s="19"/>
      <c r="S142" s="19"/>
      <c r="T142" s="19"/>
      <c r="U142" s="19"/>
      <c r="V142" s="19"/>
      <c r="W142" s="19"/>
      <c r="X142" s="19"/>
      <c r="Y142" s="19"/>
    </row>
    <row r="143" spans="1:25" ht="12" customHeight="1">
      <c r="A143" s="219" t="n" cm="1">
        <f t="array" ref="A143">IFERROR(INDEX('03.Muestra'!$B$8:$B$42,SMALL(IF("Página Web"='03.Muestra'!$D$8:$D$42,ROW('03.Muestra'!$B$8:$B$42)-MIN(ROW('03.Muestra'!$D$8:$D$42))+1,""),ROW()-132)),"")</f>
        <v>1.0</v>
      </c>
      <c r="B143" s="114" t="str" cm="1">
        <f t="array" ref="B143">IFERROR(INDEX('03.Muestra'!$C$8:$C$42,SMALL(IF("Página Web"='03.Muestra'!$D$8:$D$42,ROW('03.Muestra'!$C$8:$C$42)-MIN(ROW('03.Muestra'!$D$8:$D$42))+1,""),ROW()-132)),"")</f>
        <v>Home - PortCastelló</v>
      </c>
      <c r="C143" s="114" t="str" cm="1">
        <f t="array" ref="C143">IFERROR(INDEX('03.Muestra'!$F$8:$F$42,SMALL(IF("Página Web"='03.Muestra'!$D$8:$D$42,ROW('03.Muestra'!$F$8:$F$42)-MIN(ROW('03.Muestra'!$D$8:$D$42))+1,""),ROW()-132)),"")</f>
        <v>https://www.portcastello.com/</v>
      </c>
      <c r="D143" s="130" t="str">
        <f t="shared" si="7"/>
        <v>N/T</v>
      </c>
      <c r="E143" s="107" t="str">
        <f t="shared" si="6"/>
        <v/>
      </c>
      <c r="F143" s="19"/>
      <c r="G143" s="19"/>
      <c r="H143" s="19"/>
      <c r="I143" s="19"/>
      <c r="J143" s="19"/>
      <c r="K143" s="233"/>
      <c r="L143" s="19"/>
      <c r="M143" s="19"/>
      <c r="N143" s="19"/>
      <c r="O143" s="19"/>
      <c r="P143" s="19"/>
      <c r="Q143" s="19"/>
      <c r="R143" s="19"/>
      <c r="S143" s="19"/>
      <c r="T143" s="19"/>
      <c r="U143" s="19"/>
      <c r="V143" s="19"/>
      <c r="W143" s="19"/>
      <c r="X143" s="19"/>
      <c r="Y143" s="19"/>
    </row>
    <row r="144" spans="1:25" ht="12" customHeight="1">
      <c r="A144" s="219" t="n" cm="1">
        <f t="array" ref="A144">IFERROR(INDEX('03.Muestra'!$B$8:$B$42,SMALL(IF("Página Web"='03.Muestra'!$D$8:$D$42,ROW('03.Muestra'!$B$8:$B$42)-MIN(ROW('03.Muestra'!$D$8:$D$42))+1,""),ROW()-132)),"")</f>
        <v>1.0</v>
      </c>
      <c r="B144" s="114" t="str" cm="1">
        <f t="array" ref="B144">IFERROR(INDEX('03.Muestra'!$C$8:$C$42,SMALL(IF("Página Web"='03.Muestra'!$D$8:$D$42,ROW('03.Muestra'!$C$8:$C$42)-MIN(ROW('03.Muestra'!$D$8:$D$42))+1,""),ROW()-132)),"")</f>
        <v>Home - PortCastelló</v>
      </c>
      <c r="C144" s="114" t="str" cm="1">
        <f t="array" ref="C144">IFERROR(INDEX('03.Muestra'!$F$8:$F$42,SMALL(IF("Página Web"='03.Muestra'!$D$8:$D$42,ROW('03.Muestra'!$F$8:$F$42)-MIN(ROW('03.Muestra'!$D$8:$D$42))+1,""),ROW()-132)),"")</f>
        <v>https://www.portcastello.com/</v>
      </c>
      <c r="D144" s="130" t="str">
        <f t="shared" si="7"/>
        <v>N/T</v>
      </c>
      <c r="E144" s="107" t="str">
        <f t="shared" si="6"/>
        <v/>
      </c>
      <c r="F144" s="19"/>
      <c r="G144" s="19"/>
      <c r="H144" s="19"/>
      <c r="I144" s="19"/>
      <c r="J144" s="19"/>
      <c r="K144" s="233"/>
      <c r="L144" s="19"/>
      <c r="M144" s="19"/>
      <c r="N144" s="19"/>
      <c r="O144" s="19"/>
      <c r="P144" s="19"/>
      <c r="Q144" s="19"/>
      <c r="R144" s="19"/>
      <c r="S144" s="19"/>
      <c r="T144" s="19"/>
      <c r="U144" s="19"/>
      <c r="V144" s="19"/>
      <c r="W144" s="19"/>
      <c r="X144" s="19"/>
      <c r="Y144" s="19"/>
    </row>
    <row r="145" spans="1:25" ht="14.1" customHeight="1">
      <c r="A145" s="219" t="n" cm="1">
        <f t="array" ref="A145">IFERROR(INDEX('03.Muestra'!$B$8:$B$42,SMALL(IF("Página Web"='03.Muestra'!$D$8:$D$42,ROW('03.Muestra'!$B$8:$B$42)-MIN(ROW('03.Muestra'!$D$8:$D$42))+1,""),ROW()-132)),"")</f>
        <v>1.0</v>
      </c>
      <c r="B145" s="114" t="str" cm="1">
        <f t="array" ref="B145">IFERROR(INDEX('03.Muestra'!$C$8:$C$42,SMALL(IF("Página Web"='03.Muestra'!$D$8:$D$42,ROW('03.Muestra'!$C$8:$C$42)-MIN(ROW('03.Muestra'!$D$8:$D$42))+1,""),ROW()-132)),"")</f>
        <v>Home - PortCastelló</v>
      </c>
      <c r="C145" s="114" t="str" cm="1">
        <f t="array" ref="C145">IFERROR(INDEX('03.Muestra'!$F$8:$F$42,SMALL(IF("Página Web"='03.Muestra'!$D$8:$D$42,ROW('03.Muestra'!$F$8:$F$42)-MIN(ROW('03.Muestra'!$D$8:$D$42))+1,""),ROW()-132)),"")</f>
        <v>https://www.portcastello.com/</v>
      </c>
      <c r="D145" s="130" t="str">
        <f t="shared" si="7"/>
        <v>N/T</v>
      </c>
      <c r="E145" s="107" t="str">
        <f t="shared" si="6"/>
        <v/>
      </c>
      <c r="F145" s="19"/>
      <c r="G145" s="19"/>
      <c r="H145" s="19"/>
      <c r="I145" s="19"/>
      <c r="J145" s="19"/>
      <c r="K145" s="233"/>
      <c r="L145" s="19"/>
      <c r="M145" s="19"/>
      <c r="N145" s="19"/>
      <c r="O145" s="19"/>
      <c r="P145" s="19"/>
      <c r="Q145" s="19"/>
      <c r="R145" s="19"/>
      <c r="S145" s="19"/>
      <c r="T145" s="19"/>
      <c r="U145" s="19"/>
      <c r="V145" s="19"/>
      <c r="W145" s="19"/>
      <c r="X145" s="19"/>
      <c r="Y145" s="19"/>
    </row>
    <row r="146" spans="1:25" ht="14.1" customHeight="1">
      <c r="A146" s="219" t="n" cm="1">
        <f t="array" ref="A146">IFERROR(INDEX('03.Muestra'!$B$8:$B$42,SMALL(IF("Página Web"='03.Muestra'!$D$8:$D$42,ROW('03.Muestra'!$B$8:$B$42)-MIN(ROW('03.Muestra'!$D$8:$D$42))+1,""),ROW()-132)),"")</f>
        <v>1.0</v>
      </c>
      <c r="B146" s="114" t="str" cm="1">
        <f t="array" ref="B146">IFERROR(INDEX('03.Muestra'!$C$8:$C$42,SMALL(IF("Página Web"='03.Muestra'!$D$8:$D$42,ROW('03.Muestra'!$C$8:$C$42)-MIN(ROW('03.Muestra'!$D$8:$D$42))+1,""),ROW()-132)),"")</f>
        <v>Home - PortCastelló</v>
      </c>
      <c r="C146" s="114" t="str" cm="1">
        <f t="array" ref="C146">IFERROR(INDEX('03.Muestra'!$F$8:$F$42,SMALL(IF("Página Web"='03.Muestra'!$D$8:$D$42,ROW('03.Muestra'!$F$8:$F$42)-MIN(ROW('03.Muestra'!$D$8:$D$42))+1,""),ROW()-132)),"")</f>
        <v>https://www.portcastello.com/</v>
      </c>
      <c r="D146" s="130" t="str">
        <f t="shared" si="7"/>
        <v>N/T</v>
      </c>
      <c r="E146" s="107" t="str">
        <f t="shared" si="6"/>
        <v/>
      </c>
      <c r="F146" s="19"/>
      <c r="G146" s="19"/>
      <c r="H146" s="19"/>
      <c r="I146" s="19"/>
      <c r="J146" s="19"/>
      <c r="K146" s="233"/>
      <c r="L146" s="19"/>
      <c r="M146" s="19"/>
      <c r="N146" s="19"/>
      <c r="O146" s="19"/>
      <c r="P146" s="19"/>
      <c r="Q146" s="19"/>
      <c r="R146" s="19"/>
      <c r="S146" s="19"/>
      <c r="T146" s="19"/>
      <c r="U146" s="19"/>
      <c r="V146" s="19"/>
      <c r="W146" s="19"/>
      <c r="X146" s="19"/>
      <c r="Y146" s="19"/>
    </row>
    <row r="147" spans="1:25" ht="14.1" customHeight="1">
      <c r="A147" s="219" t="n" cm="1">
        <f t="array" ref="A147">IFERROR(INDEX('03.Muestra'!$B$8:$B$42,SMALL(IF("Página Web"='03.Muestra'!$D$8:$D$42,ROW('03.Muestra'!$B$8:$B$42)-MIN(ROW('03.Muestra'!$D$8:$D$42))+1,""),ROW()-132)),"")</f>
        <v>1.0</v>
      </c>
      <c r="B147" s="114" t="str" cm="1">
        <f t="array" ref="B147">IFERROR(INDEX('03.Muestra'!$C$8:$C$42,SMALL(IF("Página Web"='03.Muestra'!$D$8:$D$42,ROW('03.Muestra'!$C$8:$C$42)-MIN(ROW('03.Muestra'!$D$8:$D$42))+1,""),ROW()-132)),"")</f>
        <v>Home - PortCastelló</v>
      </c>
      <c r="C147" s="114" t="str" cm="1">
        <f t="array" ref="C147">IFERROR(INDEX('03.Muestra'!$F$8:$F$42,SMALL(IF("Página Web"='03.Muestra'!$D$8:$D$42,ROW('03.Muestra'!$F$8:$F$42)-MIN(ROW('03.Muestra'!$D$8:$D$42))+1,""),ROW()-132)),"")</f>
        <v>https://www.portcastello.com/</v>
      </c>
      <c r="D147" s="130" t="str">
        <f t="shared" si="7"/>
        <v>N/T</v>
      </c>
      <c r="E147" s="107" t="str">
        <f t="shared" si="6"/>
        <v/>
      </c>
      <c r="F147" s="19"/>
      <c r="G147" s="19"/>
      <c r="H147" s="19"/>
      <c r="I147" s="19"/>
      <c r="J147" s="19"/>
      <c r="K147" s="233"/>
      <c r="L147" s="19"/>
      <c r="M147" s="19"/>
      <c r="N147" s="19"/>
      <c r="O147" s="19"/>
      <c r="P147" s="19"/>
      <c r="Q147" s="19"/>
      <c r="R147" s="19"/>
      <c r="S147" s="19"/>
      <c r="T147" s="19"/>
      <c r="U147" s="19"/>
      <c r="V147" s="19"/>
      <c r="W147" s="19"/>
      <c r="X147" s="19"/>
      <c r="Y147" s="19"/>
    </row>
    <row r="148" spans="1:25" ht="14.1" customHeight="1">
      <c r="A148" s="219" t="n" cm="1">
        <f t="array" ref="A148">IFERROR(INDEX('03.Muestra'!$B$8:$B$42,SMALL(IF("Página Web"='03.Muestra'!$D$8:$D$42,ROW('03.Muestra'!$B$8:$B$42)-MIN(ROW('03.Muestra'!$D$8:$D$42))+1,""),ROW()-132)),"")</f>
        <v>1.0</v>
      </c>
      <c r="B148" s="114" t="str" cm="1">
        <f t="array" ref="B148">IFERROR(INDEX('03.Muestra'!$C$8:$C$42,SMALL(IF("Página Web"='03.Muestra'!$D$8:$D$42,ROW('03.Muestra'!$C$8:$C$42)-MIN(ROW('03.Muestra'!$D$8:$D$42))+1,""),ROW()-132)),"")</f>
        <v>Home - PortCastelló</v>
      </c>
      <c r="C148" s="114" t="str" cm="1">
        <f t="array" ref="C148">IFERROR(INDEX('03.Muestra'!$F$8:$F$42,SMALL(IF("Página Web"='03.Muestra'!$D$8:$D$42,ROW('03.Muestra'!$F$8:$F$42)-MIN(ROW('03.Muestra'!$D$8:$D$42))+1,""),ROW()-132)),"")</f>
        <v>https://www.portcastello.com/</v>
      </c>
      <c r="D148" s="130" t="str">
        <f t="shared" si="7"/>
        <v>N/T</v>
      </c>
      <c r="E148" s="107" t="str">
        <f t="shared" si="6"/>
        <v/>
      </c>
      <c r="F148" s="19"/>
      <c r="G148" s="19"/>
      <c r="H148" s="19"/>
      <c r="I148" s="19"/>
      <c r="J148" s="19"/>
      <c r="K148" s="233"/>
      <c r="L148" s="19"/>
      <c r="M148" s="19"/>
      <c r="N148" s="19"/>
      <c r="O148" s="19"/>
      <c r="P148" s="19"/>
      <c r="Q148" s="19"/>
      <c r="R148" s="19"/>
      <c r="S148" s="19"/>
      <c r="T148" s="19"/>
      <c r="U148" s="19"/>
      <c r="V148" s="19"/>
      <c r="W148" s="19"/>
      <c r="X148" s="19"/>
      <c r="Y148" s="19"/>
    </row>
    <row r="149" spans="1:25" ht="14.1" customHeight="1">
      <c r="A149" s="219" t="n" cm="1">
        <f t="array" ref="A149">IFERROR(INDEX('03.Muestra'!$B$8:$B$42,SMALL(IF("Página Web"='03.Muestra'!$D$8:$D$42,ROW('03.Muestra'!$B$8:$B$42)-MIN(ROW('03.Muestra'!$D$8:$D$42))+1,""),ROW()-132)),"")</f>
        <v>1.0</v>
      </c>
      <c r="B149" s="114" t="str" cm="1">
        <f t="array" ref="B149">IFERROR(INDEX('03.Muestra'!$C$8:$C$42,SMALL(IF("Página Web"='03.Muestra'!$D$8:$D$42,ROW('03.Muestra'!$C$8:$C$42)-MIN(ROW('03.Muestra'!$D$8:$D$42))+1,""),ROW()-132)),"")</f>
        <v>Home - PortCastelló</v>
      </c>
      <c r="C149" s="114" t="str" cm="1">
        <f t="array" ref="C149">IFERROR(INDEX('03.Muestra'!$F$8:$F$42,SMALL(IF("Página Web"='03.Muestra'!$D$8:$D$42,ROW('03.Muestra'!$F$8:$F$42)-MIN(ROW('03.Muestra'!$D$8:$D$42))+1,""),ROW()-132)),"")</f>
        <v>https://www.portcastello.com/</v>
      </c>
      <c r="D149" s="130" t="str">
        <f t="shared" si="7"/>
        <v>N/T</v>
      </c>
      <c r="E149" s="107" t="str">
        <f t="shared" si="6"/>
        <v/>
      </c>
      <c r="F149" s="19"/>
      <c r="G149" s="19"/>
      <c r="H149" s="19"/>
      <c r="I149" s="19"/>
      <c r="J149" s="19"/>
      <c r="K149" s="233"/>
      <c r="L149" s="19"/>
      <c r="M149" s="19"/>
      <c r="N149" s="19"/>
      <c r="O149" s="19"/>
      <c r="P149" s="19"/>
      <c r="Q149" s="19"/>
      <c r="R149" s="19"/>
      <c r="S149" s="19"/>
      <c r="T149" s="19"/>
      <c r="U149" s="19"/>
      <c r="V149" s="19"/>
      <c r="W149" s="19"/>
      <c r="X149" s="19"/>
      <c r="Y149" s="19"/>
    </row>
    <row r="150" spans="1:25" ht="14.1" customHeight="1">
      <c r="A150" s="219" t="n" cm="1">
        <f t="array" ref="A150">IFERROR(INDEX('03.Muestra'!$B$8:$B$42,SMALL(IF("Página Web"='03.Muestra'!$D$8:$D$42,ROW('03.Muestra'!$B$8:$B$42)-MIN(ROW('03.Muestra'!$D$8:$D$42))+1,""),ROW()-132)),"")</f>
        <v>1.0</v>
      </c>
      <c r="B150" s="114" t="str" cm="1">
        <f t="array" ref="B150">IFERROR(INDEX('03.Muestra'!$C$8:$C$42,SMALL(IF("Página Web"='03.Muestra'!$D$8:$D$42,ROW('03.Muestra'!$C$8:$C$42)-MIN(ROW('03.Muestra'!$D$8:$D$42))+1,""),ROW()-132)),"")</f>
        <v>Home - PortCastelló</v>
      </c>
      <c r="C150" s="114" t="str" cm="1">
        <f t="array" ref="C150">IFERROR(INDEX('03.Muestra'!$F$8:$F$42,SMALL(IF("Página Web"='03.Muestra'!$D$8:$D$42,ROW('03.Muestra'!$F$8:$F$42)-MIN(ROW('03.Muestra'!$D$8:$D$42))+1,""),ROW()-132)),"")</f>
        <v>https://www.portcastello.com/</v>
      </c>
      <c r="D150" s="130" t="str">
        <f t="shared" si="7"/>
        <v>N/T</v>
      </c>
      <c r="E150" s="107" t="str">
        <f t="shared" si="6"/>
        <v/>
      </c>
      <c r="F150" s="19"/>
      <c r="G150" s="19"/>
      <c r="H150" s="19"/>
      <c r="I150" s="19"/>
      <c r="J150" s="19"/>
      <c r="K150" s="233"/>
      <c r="L150" s="19"/>
      <c r="M150" s="19"/>
      <c r="N150" s="19"/>
      <c r="O150" s="19"/>
      <c r="P150" s="19"/>
      <c r="Q150" s="19"/>
      <c r="R150" s="19"/>
      <c r="S150" s="19"/>
      <c r="T150" s="19"/>
      <c r="U150" s="19"/>
      <c r="V150" s="19"/>
      <c r="W150" s="19"/>
      <c r="X150" s="19"/>
      <c r="Y150" s="19"/>
    </row>
    <row r="151" spans="1:25" ht="14.1" customHeight="1">
      <c r="A151" s="219" t="n" cm="1">
        <f t="array" ref="A151">IFERROR(INDEX('03.Muestra'!$B$8:$B$42,SMALL(IF("Página Web"='03.Muestra'!$D$8:$D$42,ROW('03.Muestra'!$B$8:$B$42)-MIN(ROW('03.Muestra'!$D$8:$D$42))+1,""),ROW()-132)),"")</f>
        <v>1.0</v>
      </c>
      <c r="B151" s="114" t="str" cm="1">
        <f t="array" ref="B151">IFERROR(INDEX('03.Muestra'!$C$8:$C$42,SMALL(IF("Página Web"='03.Muestra'!$D$8:$D$42,ROW('03.Muestra'!$C$8:$C$42)-MIN(ROW('03.Muestra'!$D$8:$D$42))+1,""),ROW()-132)),"")</f>
        <v>Home - PortCastelló</v>
      </c>
      <c r="C151" s="114" t="str" cm="1">
        <f t="array" ref="C151">IFERROR(INDEX('03.Muestra'!$F$8:$F$42,SMALL(IF("Página Web"='03.Muestra'!$D$8:$D$42,ROW('03.Muestra'!$F$8:$F$42)-MIN(ROW('03.Muestra'!$D$8:$D$42))+1,""),ROW()-132)),"")</f>
        <v>https://www.portcastello.com/</v>
      </c>
      <c r="D151" s="130" t="str">
        <f t="shared" si="7"/>
        <v>N/T</v>
      </c>
      <c r="E151" s="107" t="str">
        <f t="shared" si="6"/>
        <v/>
      </c>
      <c r="F151" s="19"/>
      <c r="G151" s="19"/>
      <c r="H151" s="19"/>
      <c r="I151" s="19"/>
      <c r="J151" s="19"/>
      <c r="K151" s="233"/>
      <c r="L151" s="19"/>
      <c r="M151" s="19"/>
      <c r="N151" s="19"/>
      <c r="O151" s="19"/>
      <c r="P151" s="19"/>
      <c r="Q151" s="19"/>
      <c r="R151" s="19"/>
      <c r="S151" s="19"/>
      <c r="T151" s="19"/>
      <c r="U151" s="19"/>
      <c r="V151" s="19"/>
      <c r="W151" s="19"/>
      <c r="X151" s="19"/>
      <c r="Y151" s="19"/>
    </row>
    <row r="152" spans="1:25" ht="14.1" customHeight="1">
      <c r="A152" s="219" t="n" cm="1">
        <f t="array" ref="A152">IFERROR(INDEX('03.Muestra'!$B$8:$B$42,SMALL(IF("Página Web"='03.Muestra'!$D$8:$D$42,ROW('03.Muestra'!$B$8:$B$42)-MIN(ROW('03.Muestra'!$D$8:$D$42))+1,""),ROW()-132)),"")</f>
        <v>1.0</v>
      </c>
      <c r="B152" s="114" t="str" cm="1">
        <f t="array" ref="B152">IFERROR(INDEX('03.Muestra'!$C$8:$C$42,SMALL(IF("Página Web"='03.Muestra'!$D$8:$D$42,ROW('03.Muestra'!$C$8:$C$42)-MIN(ROW('03.Muestra'!$D$8:$D$42))+1,""),ROW()-132)),"")</f>
        <v>Home - PortCastelló</v>
      </c>
      <c r="C152" s="114" t="str" cm="1">
        <f t="array" ref="C152">IFERROR(INDEX('03.Muestra'!$F$8:$F$42,SMALL(IF("Página Web"='03.Muestra'!$D$8:$D$42,ROW('03.Muestra'!$F$8:$F$42)-MIN(ROW('03.Muestra'!$D$8:$D$42))+1,""),ROW()-132)),"")</f>
        <v>https://www.portcastello.com/</v>
      </c>
      <c r="D152" s="130" t="str">
        <f t="shared" si="7"/>
        <v>N/T</v>
      </c>
      <c r="E152" s="107" t="str">
        <f t="shared" si="6"/>
        <v/>
      </c>
      <c r="F152" s="19"/>
      <c r="G152" s="19"/>
      <c r="H152" s="19"/>
      <c r="I152" s="19"/>
      <c r="J152" s="19"/>
      <c r="K152" s="233"/>
      <c r="L152" s="19"/>
      <c r="M152" s="19"/>
      <c r="N152" s="19"/>
      <c r="O152" s="19"/>
      <c r="P152" s="19"/>
      <c r="Q152" s="19"/>
      <c r="R152" s="19"/>
      <c r="S152" s="19"/>
      <c r="T152" s="19"/>
      <c r="U152" s="19"/>
      <c r="V152" s="19"/>
      <c r="W152" s="19"/>
      <c r="X152" s="19"/>
      <c r="Y152" s="19"/>
    </row>
    <row r="153" spans="1:25" ht="14.1" customHeight="1">
      <c r="A153" s="219" t="n" cm="1">
        <f t="array" ref="A153">IFERROR(INDEX('03.Muestra'!$B$8:$B$42,SMALL(IF("Página Web"='03.Muestra'!$D$8:$D$42,ROW('03.Muestra'!$B$8:$B$42)-MIN(ROW('03.Muestra'!$D$8:$D$42))+1,""),ROW()-132)),"")</f>
        <v>1.0</v>
      </c>
      <c r="B153" s="114" t="str" cm="1">
        <f t="array" ref="B153">IFERROR(INDEX('03.Muestra'!$C$8:$C$42,SMALL(IF("Página Web"='03.Muestra'!$D$8:$D$42,ROW('03.Muestra'!$C$8:$C$42)-MIN(ROW('03.Muestra'!$D$8:$D$42))+1,""),ROW()-132)),"")</f>
        <v>Home - PortCastelló</v>
      </c>
      <c r="C153" s="114" t="str" cm="1">
        <f t="array" ref="C153">IFERROR(INDEX('03.Muestra'!$F$8:$F$42,SMALL(IF("Página Web"='03.Muestra'!$D$8:$D$42,ROW('03.Muestra'!$F$8:$F$42)-MIN(ROW('03.Muestra'!$D$8:$D$42))+1,""),ROW()-132)),"")</f>
        <v>https://www.portcastello.com/</v>
      </c>
      <c r="D153" s="130" t="str">
        <f t="shared" si="7"/>
        <v>N/T</v>
      </c>
      <c r="E153" s="107" t="str">
        <f t="shared" si="6"/>
        <v/>
      </c>
      <c r="F153" s="19"/>
      <c r="G153" s="19"/>
      <c r="H153" s="19"/>
      <c r="I153" s="19"/>
      <c r="J153" s="19"/>
      <c r="K153" s="233"/>
      <c r="L153" s="19"/>
      <c r="M153" s="19"/>
      <c r="N153" s="19"/>
      <c r="O153" s="19"/>
      <c r="P153" s="19"/>
      <c r="Q153" s="19"/>
      <c r="R153" s="19"/>
      <c r="S153" s="19"/>
      <c r="T153" s="19"/>
      <c r="U153" s="19"/>
      <c r="V153" s="19"/>
      <c r="W153" s="19"/>
      <c r="X153" s="19"/>
      <c r="Y153" s="19"/>
    </row>
    <row r="154" spans="1:25" ht="14.1" customHeight="1">
      <c r="A154" s="219" t="n" cm="1">
        <f t="array" ref="A154">IFERROR(INDEX('03.Muestra'!$B$8:$B$42,SMALL(IF("Página Web"='03.Muestra'!$D$8:$D$42,ROW('03.Muestra'!$B$8:$B$42)-MIN(ROW('03.Muestra'!$D$8:$D$42))+1,""),ROW()-132)),"")</f>
        <v>1.0</v>
      </c>
      <c r="B154" s="114" t="str" cm="1">
        <f t="array" ref="B154">IFERROR(INDEX('03.Muestra'!$C$8:$C$42,SMALL(IF("Página Web"='03.Muestra'!$D$8:$D$42,ROW('03.Muestra'!$C$8:$C$42)-MIN(ROW('03.Muestra'!$D$8:$D$42))+1,""),ROW()-132)),"")</f>
        <v>Home - PortCastelló</v>
      </c>
      <c r="C154" s="114" t="str" cm="1">
        <f t="array" ref="C154">IFERROR(INDEX('03.Muestra'!$F$8:$F$42,SMALL(IF("Página Web"='03.Muestra'!$D$8:$D$42,ROW('03.Muestra'!$F$8:$F$42)-MIN(ROW('03.Muestra'!$D$8:$D$42))+1,""),ROW()-132)),"")</f>
        <v>https://www.portcastello.com/</v>
      </c>
      <c r="D154" s="130" t="str">
        <f t="shared" si="7"/>
        <v>N/T</v>
      </c>
      <c r="E154" s="107" t="str">
        <f t="shared" si="6"/>
        <v/>
      </c>
      <c r="F154" s="19"/>
      <c r="G154" s="19"/>
      <c r="H154" s="19"/>
      <c r="I154" s="19"/>
      <c r="J154" s="19"/>
      <c r="K154" s="233"/>
      <c r="L154" s="19"/>
      <c r="M154" s="19"/>
      <c r="N154" s="19"/>
      <c r="O154" s="19"/>
      <c r="P154" s="19"/>
      <c r="Q154" s="19"/>
      <c r="R154" s="19"/>
      <c r="S154" s="19"/>
      <c r="T154" s="19"/>
      <c r="U154" s="19"/>
      <c r="V154" s="19"/>
      <c r="W154" s="19"/>
      <c r="X154" s="19"/>
      <c r="Y154" s="19"/>
    </row>
    <row r="155" spans="1:25" ht="14.1" customHeight="1">
      <c r="A155" s="219" t="n" cm="1">
        <f t="array" ref="A155">IFERROR(INDEX('03.Muestra'!$B$8:$B$42,SMALL(IF("Página Web"='03.Muestra'!$D$8:$D$42,ROW('03.Muestra'!$B$8:$B$42)-MIN(ROW('03.Muestra'!$D$8:$D$42))+1,""),ROW()-132)),"")</f>
        <v>1.0</v>
      </c>
      <c r="B155" s="114" t="str" cm="1">
        <f t="array" ref="B155">IFERROR(INDEX('03.Muestra'!$C$8:$C$42,SMALL(IF("Página Web"='03.Muestra'!$D$8:$D$42,ROW('03.Muestra'!$C$8:$C$42)-MIN(ROW('03.Muestra'!$D$8:$D$42))+1,""),ROW()-132)),"")</f>
        <v>Home - PortCastelló</v>
      </c>
      <c r="C155" s="114" t="str" cm="1">
        <f t="array" ref="C155">IFERROR(INDEX('03.Muestra'!$F$8:$F$42,SMALL(IF("Página Web"='03.Muestra'!$D$8:$D$42,ROW('03.Muestra'!$F$8:$F$42)-MIN(ROW('03.Muestra'!$D$8:$D$42))+1,""),ROW()-132)),"")</f>
        <v>https://www.portcastello.com/</v>
      </c>
      <c r="D155" s="130" t="str">
        <f t="shared" si="7"/>
        <v>N/T</v>
      </c>
      <c r="E155" s="107" t="str">
        <f t="shared" si="6"/>
        <v/>
      </c>
      <c r="F155" s="19"/>
      <c r="G155" s="19"/>
      <c r="H155" s="19"/>
      <c r="I155" s="19"/>
      <c r="J155" s="19"/>
      <c r="K155" s="233"/>
      <c r="L155" s="19"/>
      <c r="M155" s="19"/>
      <c r="N155" s="19"/>
      <c r="O155" s="19"/>
      <c r="P155" s="19"/>
      <c r="Q155" s="19"/>
      <c r="R155" s="19"/>
      <c r="S155" s="19"/>
      <c r="T155" s="19"/>
      <c r="U155" s="19"/>
      <c r="V155" s="19"/>
      <c r="W155" s="19"/>
      <c r="X155" s="19"/>
      <c r="Y155" s="19"/>
    </row>
    <row r="156" spans="1:25" ht="12" customHeight="1">
      <c r="A156" s="219" t="n" cm="1">
        <f t="array" ref="A156">IFERROR(INDEX('03.Muestra'!$B$8:$B$42,SMALL(IF("Página Web"='03.Muestra'!$D$8:$D$42,ROW('03.Muestra'!$B$8:$B$42)-MIN(ROW('03.Muestra'!$D$8:$D$42))+1,""),ROW()-132)),"")</f>
        <v>1.0</v>
      </c>
      <c r="B156" s="114" t="str" cm="1">
        <f t="array" ref="B156">IFERROR(INDEX('03.Muestra'!$C$8:$C$42,SMALL(IF("Página Web"='03.Muestra'!$D$8:$D$42,ROW('03.Muestra'!$C$8:$C$42)-MIN(ROW('03.Muestra'!$D$8:$D$42))+1,""),ROW()-132)),"")</f>
        <v>Home - PortCastelló</v>
      </c>
      <c r="C156" s="114" t="str" cm="1">
        <f t="array" ref="C156">IFERROR(INDEX('03.Muestra'!$F$8:$F$42,SMALL(IF("Página Web"='03.Muestra'!$D$8:$D$42,ROW('03.Muestra'!$F$8:$F$42)-MIN(ROW('03.Muestra'!$D$8:$D$42))+1,""),ROW()-132)),"")</f>
        <v>https://www.portcastello.com/</v>
      </c>
      <c r="D156" s="130" t="str">
        <f t="shared" si="7"/>
        <v>N/T</v>
      </c>
      <c r="E156" s="107" t="str">
        <f t="shared" si="6"/>
        <v/>
      </c>
      <c r="F156" s="19"/>
      <c r="G156" s="19"/>
      <c r="H156" s="19"/>
      <c r="I156" s="19"/>
      <c r="J156" s="19"/>
      <c r="K156" s="233"/>
      <c r="L156" s="19"/>
      <c r="M156" s="19"/>
      <c r="N156" s="19"/>
      <c r="O156" s="19"/>
      <c r="P156" s="19"/>
      <c r="Q156" s="19"/>
      <c r="R156" s="19"/>
      <c r="S156" s="19"/>
      <c r="T156" s="19"/>
      <c r="U156" s="19"/>
      <c r="V156" s="19"/>
      <c r="W156" s="19"/>
      <c r="X156" s="19"/>
      <c r="Y156" s="19"/>
    </row>
    <row r="157" spans="1:25" ht="12" customHeight="1">
      <c r="A157" s="219" t="n" cm="1">
        <f t="array" ref="A157">IFERROR(INDEX('03.Muestra'!$B$8:$B$42,SMALL(IF("Página Web"='03.Muestra'!$D$8:$D$42,ROW('03.Muestra'!$B$8:$B$42)-MIN(ROW('03.Muestra'!$D$8:$D$42))+1,""),ROW()-132)),"")</f>
        <v>1.0</v>
      </c>
      <c r="B157" s="114" t="str" cm="1">
        <f t="array" ref="B157">IFERROR(INDEX('03.Muestra'!$C$8:$C$42,SMALL(IF("Página Web"='03.Muestra'!$D$8:$D$42,ROW('03.Muestra'!$C$8:$C$42)-MIN(ROW('03.Muestra'!$D$8:$D$42))+1,""),ROW()-132)),"")</f>
        <v>Home - PortCastelló</v>
      </c>
      <c r="C157" s="114" t="str" cm="1">
        <f t="array" ref="C157">IFERROR(INDEX('03.Muestra'!$F$8:$F$42,SMALL(IF("Página Web"='03.Muestra'!$D$8:$D$42,ROW('03.Muestra'!$F$8:$F$42)-MIN(ROW('03.Muestra'!$D$8:$D$42))+1,""),ROW()-132)),"")</f>
        <v>https://www.portcastello.com/</v>
      </c>
      <c r="D157" s="130" t="str">
        <f t="shared" si="7"/>
        <v>N/T</v>
      </c>
      <c r="E157" s="107" t="str">
        <f t="shared" si="6"/>
        <v/>
      </c>
      <c r="F157" s="19"/>
      <c r="G157" s="19"/>
      <c r="H157" s="19"/>
      <c r="I157" s="19"/>
      <c r="J157" s="19"/>
      <c r="K157" s="233"/>
      <c r="L157" s="19"/>
      <c r="M157" s="19"/>
      <c r="N157" s="19"/>
      <c r="O157" s="19"/>
      <c r="P157" s="19"/>
      <c r="Q157" s="19"/>
      <c r="R157" s="19"/>
      <c r="S157" s="19"/>
      <c r="T157" s="19"/>
      <c r="U157" s="19"/>
      <c r="V157" s="19"/>
      <c r="W157" s="19"/>
      <c r="X157" s="19"/>
      <c r="Y157" s="19"/>
    </row>
    <row r="158" spans="1:25" ht="12" customHeight="1">
      <c r="A158" s="219" t="n" cm="1">
        <f t="array" ref="A158">IFERROR(INDEX('03.Muestra'!$B$8:$B$42,SMALL(IF("Página Web"='03.Muestra'!$D$8:$D$42,ROW('03.Muestra'!$B$8:$B$42)-MIN(ROW('03.Muestra'!$D$8:$D$42))+1,""),ROW()-132)),"")</f>
        <v>1.0</v>
      </c>
      <c r="B158" s="114" t="str" cm="1">
        <f t="array" ref="B158">IFERROR(INDEX('03.Muestra'!$C$8:$C$42,SMALL(IF("Página Web"='03.Muestra'!$D$8:$D$42,ROW('03.Muestra'!$C$8:$C$42)-MIN(ROW('03.Muestra'!$D$8:$D$42))+1,""),ROW()-132)),"")</f>
        <v>Home - PortCastelló</v>
      </c>
      <c r="C158" s="114" t="str" cm="1">
        <f t="array" ref="C158">IFERROR(INDEX('03.Muestra'!$F$8:$F$42,SMALL(IF("Página Web"='03.Muestra'!$D$8:$D$42,ROW('03.Muestra'!$F$8:$F$42)-MIN(ROW('03.Muestra'!$D$8:$D$42))+1,""),ROW()-132)),"")</f>
        <v>https://www.portcastello.com/</v>
      </c>
      <c r="D158" s="130" t="str">
        <f t="shared" si="7"/>
        <v>N/T</v>
      </c>
      <c r="E158" s="107" t="str">
        <f t="shared" si="6"/>
        <v/>
      </c>
      <c r="F158" s="19"/>
      <c r="G158" s="19"/>
      <c r="H158" s="19"/>
      <c r="I158" s="19"/>
      <c r="J158" s="19"/>
      <c r="K158" s="233"/>
      <c r="L158" s="19"/>
      <c r="M158" s="19"/>
      <c r="N158" s="19"/>
      <c r="O158" s="19"/>
      <c r="P158" s="19"/>
      <c r="Q158" s="19"/>
      <c r="R158" s="19"/>
      <c r="S158" s="19"/>
      <c r="T158" s="19"/>
      <c r="U158" s="19"/>
      <c r="V158" s="19"/>
      <c r="W158" s="19"/>
      <c r="X158" s="19"/>
      <c r="Y158" s="19"/>
    </row>
    <row r="159" spans="1:25" ht="12" customHeight="1">
      <c r="A159" s="219" t="n" cm="1">
        <f t="array" ref="A159">IFERROR(INDEX('03.Muestra'!$B$8:$B$42,SMALL(IF("Página Web"='03.Muestra'!$D$8:$D$42,ROW('03.Muestra'!$B$8:$B$42)-MIN(ROW('03.Muestra'!$D$8:$D$42))+1,""),ROW()-132)),"")</f>
        <v>1.0</v>
      </c>
      <c r="B159" s="114" t="str" cm="1">
        <f t="array" ref="B159">IFERROR(INDEX('03.Muestra'!$C$8:$C$42,SMALL(IF("Página Web"='03.Muestra'!$D$8:$D$42,ROW('03.Muestra'!$C$8:$C$42)-MIN(ROW('03.Muestra'!$D$8:$D$42))+1,""),ROW()-132)),"")</f>
        <v>Home - PortCastelló</v>
      </c>
      <c r="C159" s="114" t="str" cm="1">
        <f t="array" ref="C159">IFERROR(INDEX('03.Muestra'!$F$8:$F$42,SMALL(IF("Página Web"='03.Muestra'!$D$8:$D$42,ROW('03.Muestra'!$F$8:$F$42)-MIN(ROW('03.Muestra'!$D$8:$D$42))+1,""),ROW()-132)),"")</f>
        <v>https://www.portcastello.com/</v>
      </c>
      <c r="D159" s="130" t="str">
        <f t="shared" si="7"/>
        <v>N/T</v>
      </c>
      <c r="E159" s="107" t="str">
        <f t="shared" si="6"/>
        <v/>
      </c>
      <c r="F159" s="19"/>
      <c r="G159" s="19"/>
      <c r="H159" s="19"/>
      <c r="I159" s="19"/>
      <c r="J159" s="19"/>
      <c r="K159" s="233"/>
      <c r="L159" s="19"/>
      <c r="M159" s="19"/>
      <c r="N159" s="19"/>
      <c r="O159" s="19"/>
      <c r="P159" s="19"/>
      <c r="Q159" s="19"/>
      <c r="R159" s="19"/>
      <c r="S159" s="19"/>
      <c r="T159" s="19"/>
      <c r="U159" s="19"/>
      <c r="V159" s="19"/>
      <c r="W159" s="19"/>
      <c r="X159" s="19"/>
      <c r="Y159" s="19"/>
    </row>
    <row r="160" spans="1:25" ht="12" customHeight="1">
      <c r="A160" s="219" t="n" cm="1">
        <f t="array" ref="A160">IFERROR(INDEX('03.Muestra'!$B$8:$B$42,SMALL(IF("Página Web"='03.Muestra'!$D$8:$D$42,ROW('03.Muestra'!$B$8:$B$42)-MIN(ROW('03.Muestra'!$D$8:$D$42))+1,""),ROW()-132)),"")</f>
        <v>1.0</v>
      </c>
      <c r="B160" s="114" t="str" cm="1">
        <f t="array" ref="B160">IFERROR(INDEX('03.Muestra'!$C$8:$C$42,SMALL(IF("Página Web"='03.Muestra'!$D$8:$D$42,ROW('03.Muestra'!$C$8:$C$42)-MIN(ROW('03.Muestra'!$D$8:$D$42))+1,""),ROW()-132)),"")</f>
        <v>Home - PortCastelló</v>
      </c>
      <c r="C160" s="114" t="str" cm="1">
        <f t="array" ref="C160">IFERROR(INDEX('03.Muestra'!$F$8:$F$42,SMALL(IF("Página Web"='03.Muestra'!$D$8:$D$42,ROW('03.Muestra'!$F$8:$F$42)-MIN(ROW('03.Muestra'!$D$8:$D$42))+1,""),ROW()-132)),"")</f>
        <v>https://www.portcastello.com/</v>
      </c>
      <c r="D160" s="130" t="str">
        <f t="shared" si="7"/>
        <v>N/T</v>
      </c>
      <c r="E160" s="107" t="str">
        <f t="shared" si="6"/>
        <v/>
      </c>
      <c r="G160" s="19"/>
      <c r="H160" s="19"/>
      <c r="I160" s="19"/>
      <c r="J160" s="19"/>
      <c r="K160" s="233"/>
      <c r="L160" s="19"/>
      <c r="M160" s="19"/>
      <c r="N160" s="19"/>
      <c r="O160" s="19"/>
      <c r="P160" s="19"/>
      <c r="Q160" s="19"/>
      <c r="R160" s="19"/>
      <c r="S160" s="19"/>
      <c r="T160" s="19"/>
      <c r="U160" s="19"/>
      <c r="V160" s="19"/>
      <c r="W160" s="19"/>
      <c r="X160" s="19"/>
      <c r="Y160" s="19"/>
    </row>
    <row r="161" spans="1:25" ht="12" customHeight="1">
      <c r="A161" s="219" t="n" cm="1">
        <f t="array" ref="A161">IFERROR(INDEX('03.Muestra'!$B$8:$B$42,SMALL(IF("Página Web"='03.Muestra'!$D$8:$D$42,ROW('03.Muestra'!$B$8:$B$42)-MIN(ROW('03.Muestra'!$D$8:$D$42))+1,""),ROW()-132)),"")</f>
        <v>1.0</v>
      </c>
      <c r="B161" s="114" t="str" cm="1">
        <f t="array" ref="B161">IFERROR(INDEX('03.Muestra'!$C$8:$C$42,SMALL(IF("Página Web"='03.Muestra'!$D$8:$D$42,ROW('03.Muestra'!$C$8:$C$42)-MIN(ROW('03.Muestra'!$D$8:$D$42))+1,""),ROW()-132)),"")</f>
        <v>Home - PortCastelló</v>
      </c>
      <c r="C161" s="114" t="str" cm="1">
        <f t="array" ref="C161">IFERROR(INDEX('03.Muestra'!$F$8:$F$42,SMALL(IF("Página Web"='03.Muestra'!$D$8:$D$42,ROW('03.Muestra'!$F$8:$F$42)-MIN(ROW('03.Muestra'!$D$8:$D$42))+1,""),ROW()-132)),"")</f>
        <v>https://www.portcastello.com/</v>
      </c>
      <c r="D161" s="130" t="str">
        <f t="shared" si="7"/>
        <v>N/T</v>
      </c>
      <c r="E161" s="107" t="str">
        <f t="shared" si="6"/>
        <v/>
      </c>
      <c r="F161" s="124"/>
      <c r="G161" s="19"/>
      <c r="H161" s="19"/>
      <c r="I161" s="19"/>
      <c r="J161" s="19"/>
      <c r="K161" s="233"/>
      <c r="L161" s="19"/>
      <c r="M161" s="19"/>
      <c r="N161" s="19"/>
      <c r="O161" s="19"/>
      <c r="P161" s="19"/>
      <c r="Q161" s="19"/>
      <c r="R161" s="19"/>
      <c r="S161" s="19"/>
      <c r="T161" s="19"/>
      <c r="U161" s="19"/>
      <c r="V161" s="19"/>
      <c r="W161" s="19"/>
      <c r="X161" s="19"/>
      <c r="Y161" s="19"/>
    </row>
    <row r="162" spans="1:25" ht="12" customHeight="1">
      <c r="A162" s="219" t="n" cm="1">
        <f t="array" ref="A162">IFERROR(INDEX('03.Muestra'!$B$8:$B$42,SMALL(IF("Página Web"='03.Muestra'!$D$8:$D$42,ROW('03.Muestra'!$B$8:$B$42)-MIN(ROW('03.Muestra'!$D$8:$D$42))+1,""),ROW()-132)),"")</f>
        <v>1.0</v>
      </c>
      <c r="B162" s="114" t="str" cm="1">
        <f t="array" ref="B162">IFERROR(INDEX('03.Muestra'!$C$8:$C$42,SMALL(IF("Página Web"='03.Muestra'!$D$8:$D$42,ROW('03.Muestra'!$C$8:$C$42)-MIN(ROW('03.Muestra'!$D$8:$D$42))+1,""),ROW()-132)),"")</f>
        <v>Home - PortCastelló</v>
      </c>
      <c r="C162" s="114" t="str" cm="1">
        <f t="array" ref="C162">IFERROR(INDEX('03.Muestra'!$F$8:$F$42,SMALL(IF("Página Web"='03.Muestra'!$D$8:$D$42,ROW('03.Muestra'!$F$8:$F$42)-MIN(ROW('03.Muestra'!$D$8:$D$42))+1,""),ROW()-132)),"")</f>
        <v>https://www.portcastello.com/</v>
      </c>
      <c r="D162" s="130" t="str">
        <f t="shared" si="7"/>
        <v>N/T</v>
      </c>
      <c r="E162" s="107" t="str">
        <f t="shared" si="6"/>
        <v/>
      </c>
      <c r="F162" s="124"/>
      <c r="G162" s="19"/>
      <c r="H162" s="19"/>
      <c r="I162" s="19"/>
      <c r="J162" s="19"/>
      <c r="K162" s="233"/>
      <c r="L162" s="19"/>
      <c r="M162" s="19"/>
      <c r="N162" s="19"/>
      <c r="O162" s="19"/>
      <c r="P162" s="19"/>
      <c r="Q162" s="19"/>
      <c r="R162" s="19"/>
      <c r="S162" s="19"/>
      <c r="T162" s="19"/>
      <c r="U162" s="19"/>
      <c r="V162" s="19"/>
      <c r="W162" s="19"/>
      <c r="X162" s="19"/>
      <c r="Y162" s="19"/>
    </row>
    <row r="163" spans="1:25" ht="12" customHeight="1">
      <c r="A163" s="219" t="n" cm="1">
        <f t="array" ref="A163">IFERROR(INDEX('03.Muestra'!$B$8:$B$42,SMALL(IF("Página Web"='03.Muestra'!$D$8:$D$42,ROW('03.Muestra'!$B$8:$B$42)-MIN(ROW('03.Muestra'!$D$8:$D$42))+1,""),ROW()-132)),"")</f>
        <v>1.0</v>
      </c>
      <c r="B163" s="114" t="str" cm="1">
        <f t="array" ref="B163">IFERROR(INDEX('03.Muestra'!$C$8:$C$42,SMALL(IF("Página Web"='03.Muestra'!$D$8:$D$42,ROW('03.Muestra'!$C$8:$C$42)-MIN(ROW('03.Muestra'!$D$8:$D$42))+1,""),ROW()-132)),"")</f>
        <v>Home - PortCastelló</v>
      </c>
      <c r="C163" s="114" t="str" cm="1">
        <f t="array" ref="C163">IFERROR(INDEX('03.Muestra'!$F$8:$F$42,SMALL(IF("Página Web"='03.Muestra'!$D$8:$D$42,ROW('03.Muestra'!$F$8:$F$42)-MIN(ROW('03.Muestra'!$D$8:$D$42))+1,""),ROW()-132)),"")</f>
        <v>https://www.portcastello.com/</v>
      </c>
      <c r="D163" s="130" t="str">
        <f t="shared" si="7"/>
        <v>N/T</v>
      </c>
      <c r="E163" s="107" t="str">
        <f t="shared" si="6"/>
        <v/>
      </c>
      <c r="F163" s="124"/>
      <c r="G163" s="19"/>
      <c r="H163" s="19"/>
      <c r="I163" s="19"/>
      <c r="J163" s="19"/>
      <c r="K163" s="233"/>
      <c r="L163" s="19"/>
      <c r="M163" s="19"/>
      <c r="N163" s="19"/>
      <c r="O163" s="19"/>
      <c r="P163" s="19"/>
      <c r="Q163" s="19"/>
      <c r="R163" s="19"/>
      <c r="S163" s="19"/>
      <c r="T163" s="19"/>
      <c r="U163" s="19"/>
      <c r="V163" s="19"/>
      <c r="W163" s="19"/>
      <c r="X163" s="19"/>
      <c r="Y163" s="19"/>
    </row>
    <row r="164" spans="1:25" ht="12" customHeight="1">
      <c r="A164" s="219" t="n" cm="1">
        <f t="array" ref="A164">IFERROR(INDEX('03.Muestra'!$B$8:$B$42,SMALL(IF("Página Web"='03.Muestra'!$D$8:$D$42,ROW('03.Muestra'!$B$8:$B$42)-MIN(ROW('03.Muestra'!$D$8:$D$42))+1,""),ROW()-132)),"")</f>
        <v>1.0</v>
      </c>
      <c r="B164" s="114" t="str" cm="1">
        <f t="array" ref="B164">IFERROR(INDEX('03.Muestra'!$C$8:$C$42,SMALL(IF("Página Web"='03.Muestra'!$D$8:$D$42,ROW('03.Muestra'!$C$8:$C$42)-MIN(ROW('03.Muestra'!$D$8:$D$42))+1,""),ROW()-132)),"")</f>
        <v>Home - PortCastelló</v>
      </c>
      <c r="C164" s="114" t="str" cm="1">
        <f t="array" ref="C164">IFERROR(INDEX('03.Muestra'!$F$8:$F$42,SMALL(IF("Página Web"='03.Muestra'!$D$8:$D$42,ROW('03.Muestra'!$F$8:$F$42)-MIN(ROW('03.Muestra'!$D$8:$D$42))+1,""),ROW()-132)),"")</f>
        <v>https://www.portcastello.com/</v>
      </c>
      <c r="D164" s="130" t="str">
        <f t="shared" si="7"/>
        <v>N/T</v>
      </c>
      <c r="E164" s="107" t="str">
        <f t="shared" si="6"/>
        <v/>
      </c>
      <c r="F164" s="124"/>
      <c r="G164" s="19"/>
      <c r="H164" s="19"/>
      <c r="I164" s="19"/>
      <c r="J164" s="19"/>
      <c r="K164" s="233"/>
      <c r="L164" s="19"/>
      <c r="M164" s="19"/>
      <c r="N164" s="19"/>
      <c r="O164" s="19"/>
      <c r="P164" s="19"/>
      <c r="Q164" s="19"/>
      <c r="R164" s="19"/>
      <c r="S164" s="19"/>
      <c r="T164" s="19"/>
      <c r="U164" s="19"/>
      <c r="V164" s="19"/>
      <c r="W164" s="19"/>
      <c r="X164" s="19"/>
      <c r="Y164" s="19"/>
    </row>
    <row r="165" spans="1:25" ht="12" customHeight="1">
      <c r="A165" s="219" t="n" cm="1">
        <f t="array" ref="A165">IFERROR(INDEX('03.Muestra'!$B$8:$B$42,SMALL(IF("Página Web"='03.Muestra'!$D$8:$D$42,ROW('03.Muestra'!$B$8:$B$42)-MIN(ROW('03.Muestra'!$D$8:$D$42))+1,""),ROW()-132)),"")</f>
        <v>1.0</v>
      </c>
      <c r="B165" s="114" t="str" cm="1">
        <f t="array" ref="B165">IFERROR(INDEX('03.Muestra'!$C$8:$C$42,SMALL(IF("Página Web"='03.Muestra'!$D$8:$D$42,ROW('03.Muestra'!$C$8:$C$42)-MIN(ROW('03.Muestra'!$D$8:$D$42))+1,""),ROW()-132)),"")</f>
        <v>Home - PortCastelló</v>
      </c>
      <c r="C165" s="114" t="str" cm="1">
        <f t="array" ref="C165">IFERROR(INDEX('03.Muestra'!$F$8:$F$42,SMALL(IF("Página Web"='03.Muestra'!$D$8:$D$42,ROW('03.Muestra'!$F$8:$F$42)-MIN(ROW('03.Muestra'!$D$8:$D$42))+1,""),ROW()-132)),"")</f>
        <v>https://www.portcastello.com/</v>
      </c>
      <c r="D165" s="130" t="str">
        <f t="shared" si="7"/>
        <v>N/T</v>
      </c>
      <c r="E165" s="107" t="str">
        <f t="shared" si="6"/>
        <v/>
      </c>
      <c r="F165" s="124"/>
      <c r="G165" s="19"/>
      <c r="H165" s="19"/>
      <c r="I165" s="19"/>
      <c r="J165" s="19"/>
      <c r="K165" s="233"/>
      <c r="L165" s="19"/>
      <c r="M165" s="19"/>
      <c r="N165" s="19"/>
      <c r="O165" s="19"/>
      <c r="P165" s="19"/>
      <c r="Q165" s="19"/>
      <c r="R165" s="19"/>
      <c r="S165" s="19"/>
      <c r="T165" s="19"/>
      <c r="U165" s="19"/>
      <c r="V165" s="19"/>
      <c r="W165" s="19"/>
      <c r="X165" s="19"/>
      <c r="Y165" s="19"/>
    </row>
    <row r="166" spans="1:25" ht="12" customHeight="1">
      <c r="A166" s="219" t="str" cm="1">
        <f t="array" ref="A166">IFERROR(INDEX('03.Muestra'!$B$8:$B$42,SMALL(IF("Página Web"='03.Muestra'!$D$8:$D$42,ROW('03.Muestra'!$B$8:$B$42)-MIN(ROW('03.Muestra'!$D$8:$D$42))+1,""),ROW()-132)),"")</f>
        <v/>
      </c>
      <c r="B166" s="114" t="str" cm="1">
        <f t="array" ref="B166">IFERROR(INDEX('03.Muestra'!$C$8:$C$42,SMALL(IF("Página Web"='03.Muestra'!$D$8:$D$42,ROW('03.Muestra'!$C$8:$C$42)-MIN(ROW('03.Muestra'!$D$8:$D$42))+1,""),ROW()-132)),"")</f>
        <v/>
      </c>
      <c r="C166" s="114" t="str" cm="1">
        <f t="array" ref="C166">IFERROR(INDEX('03.Muestra'!$F$8:$F$42,SMALL(IF("Página Web"='03.Muestra'!$D$8:$D$42,ROW('03.Muestra'!$F$8:$F$42)-MIN(ROW('03.Muestra'!$D$8:$D$42))+1,""),ROW()-132)),"")</f>
        <v/>
      </c>
      <c r="D166" s="130" t="str">
        <f t="shared" si="7"/>
        <v/>
      </c>
      <c r="E166" s="107" t="str">
        <f t="shared" si="6"/>
        <v/>
      </c>
      <c r="F166" s="124"/>
      <c r="G166" s="19"/>
      <c r="H166" s="19"/>
      <c r="I166" s="19"/>
      <c r="J166" s="19"/>
      <c r="K166" s="233"/>
      <c r="L166" s="19"/>
      <c r="M166" s="19"/>
      <c r="N166" s="19"/>
      <c r="O166" s="19"/>
      <c r="P166" s="19"/>
      <c r="Q166" s="19"/>
      <c r="R166" s="19"/>
      <c r="S166" s="19"/>
      <c r="T166" s="19"/>
      <c r="U166" s="19"/>
      <c r="V166" s="19"/>
      <c r="W166" s="19"/>
      <c r="X166" s="19"/>
      <c r="Y166" s="19"/>
    </row>
    <row r="167" spans="1:25" ht="12" customHeight="1">
      <c r="A167" s="219" t="str" cm="1">
        <f t="array" ref="A167">IFERROR(INDEX('03.Muestra'!$B$8:$B$42,SMALL(IF("Página Web"='03.Muestra'!$D$8:$D$42,ROW('03.Muestra'!$B$8:$B$42)-MIN(ROW('03.Muestra'!$D$8:$D$42))+1,""),ROW()-132)),"")</f>
        <v/>
      </c>
      <c r="B167" s="114" t="str" cm="1">
        <f t="array" ref="B167">IFERROR(INDEX('03.Muestra'!$C$8:$C$42,SMALL(IF("Página Web"='03.Muestra'!$D$8:$D$42,ROW('03.Muestra'!$C$8:$C$42)-MIN(ROW('03.Muestra'!$D$8:$D$42))+1,""),ROW()-132)),"")</f>
        <v/>
      </c>
      <c r="C167" s="114" t="str" cm="1">
        <f t="array" ref="C167">IFERROR(INDEX('03.Muestra'!$F$8:$F$42,SMALL(IF("Página Web"='03.Muestra'!$D$8:$D$42,ROW('03.Muestra'!$F$8:$F$42)-MIN(ROW('03.Muestra'!$D$8:$D$42))+1,""),ROW()-132)),"")</f>
        <v/>
      </c>
      <c r="D167" s="130" t="str">
        <f t="shared" si="7"/>
        <v/>
      </c>
      <c r="E167" s="107" t="str">
        <f t="shared" si="6"/>
        <v/>
      </c>
      <c r="F167" s="19"/>
      <c r="G167" s="19"/>
      <c r="H167" s="19"/>
      <c r="I167" s="19"/>
      <c r="J167" s="19"/>
      <c r="K167" s="233"/>
      <c r="L167" s="19"/>
      <c r="M167" s="19"/>
      <c r="N167" s="19"/>
      <c r="O167" s="19"/>
      <c r="P167" s="19"/>
      <c r="Q167" s="19"/>
      <c r="R167" s="19"/>
      <c r="S167" s="19"/>
      <c r="T167" s="19"/>
      <c r="U167" s="19"/>
      <c r="V167" s="19"/>
      <c r="W167" s="19"/>
      <c r="X167" s="19"/>
      <c r="Y167" s="19"/>
    </row>
    <row r="168" spans="1:25" ht="12" customHeight="1">
      <c r="B168" s="19"/>
      <c r="C168" s="19"/>
      <c r="D168" s="107"/>
      <c r="E168" s="107"/>
      <c r="F168" s="19"/>
      <c r="G168" s="19"/>
      <c r="H168" s="19"/>
      <c r="I168" s="19"/>
      <c r="J168" s="19"/>
      <c r="K168" s="233"/>
      <c r="L168" s="19"/>
      <c r="M168" s="19"/>
      <c r="N168" s="19"/>
      <c r="O168" s="19"/>
      <c r="P168" s="19"/>
      <c r="Q168" s="19"/>
      <c r="R168" s="19"/>
      <c r="S168" s="19"/>
      <c r="T168" s="19"/>
      <c r="U168" s="19"/>
      <c r="V168" s="19"/>
      <c r="W168" s="19"/>
      <c r="X168" s="19"/>
      <c r="Y168" s="19"/>
    </row>
    <row r="169" spans="1:25" ht="12" customHeight="1">
      <c r="B169" s="19"/>
      <c r="C169" s="19"/>
      <c r="D169" s="107"/>
      <c r="E169" s="112"/>
      <c r="F169" s="19"/>
      <c r="G169" s="19"/>
      <c r="H169" s="19"/>
      <c r="I169" s="19"/>
      <c r="J169" s="19"/>
      <c r="K169" s="233"/>
      <c r="L169" s="19"/>
      <c r="M169" s="19"/>
      <c r="N169" s="19"/>
      <c r="O169" s="19"/>
      <c r="P169" s="19"/>
      <c r="Q169" s="19"/>
      <c r="R169" s="19"/>
      <c r="S169" s="19"/>
      <c r="T169" s="19"/>
      <c r="U169" s="19"/>
      <c r="V169" s="19"/>
      <c r="W169" s="19"/>
      <c r="X169" s="19"/>
      <c r="Y169" s="19"/>
    </row>
    <row r="170" spans="1:25" ht="32.25" customHeight="1">
      <c r="A170" s="218" t="s">
        <v>268</v>
      </c>
      <c r="B170" s="24" t="s">
        <v>90</v>
      </c>
      <c r="C170" s="217" t="s">
        <v>321</v>
      </c>
      <c r="D170" s="26" t="s">
        <v>32</v>
      </c>
      <c r="E170" s="123"/>
      <c r="K170" s="233"/>
      <c r="L170" s="19"/>
      <c r="M170" s="19"/>
      <c r="N170" s="19"/>
      <c r="O170" s="19"/>
      <c r="P170" s="19"/>
      <c r="Q170" s="19"/>
      <c r="R170" s="19"/>
      <c r="S170" s="19"/>
      <c r="T170" s="19"/>
      <c r="U170" s="19"/>
      <c r="V170" s="19"/>
      <c r="W170" s="19"/>
      <c r="X170" s="19"/>
      <c r="Y170" s="19"/>
    </row>
    <row r="171" spans="1:25" ht="12" customHeight="1">
      <c r="A171" s="219" t="n" cm="1">
        <f t="array" ref="A171">IFERROR(INDEX('03.Muestra'!$B$8:$B$42,SMALL(IF("Página Web"='03.Muestra'!$D$8:$D$42,ROW('03.Muestra'!$B$8:$B$42)-MIN(ROW('03.Muestra'!$D$8:$D$42))+1,""),ROW()-170)),"")</f>
        <v>1.0</v>
      </c>
      <c r="B171" s="114" t="str" cm="1">
        <f t="array" ref="B171">IFERROR(INDEX('03.Muestra'!$C$8:$C$42,SMALL(IF("Página Web"='03.Muestra'!$D$8:$D$42,ROW('03.Muestra'!$C$8:$C$42)-MIN(ROW('03.Muestra'!$D$8:$D$42))+1,""),ROW()-170)),"")</f>
        <v>Home - PortCastelló</v>
      </c>
      <c r="C171" s="114" t="str" cm="1">
        <f t="array" ref="C171">IFERROR(INDEX('03.Muestra'!$F$8:$F$42,SMALL(IF("Página Web"='03.Muestra'!$D$8:$D$42,ROW('03.Muestra'!$F$8:$F$42)-MIN(ROW('03.Muestra'!$D$8:$D$42))+1,""),ROW()-170)),"")</f>
        <v>https://www.portcastello.com/</v>
      </c>
      <c r="D171" s="130" t="str">
        <f>IF(AND(B171&lt;&gt;"",C171&lt;&gt;""),"N/T","")</f>
        <v>N/T</v>
      </c>
      <c r="E171" s="107" t="str">
        <f t="shared" ref="E171:E205" si="8">IF(D171&lt;&gt;"",IF(AND(B171&lt;&gt;"",C171&lt;&gt;""),"","ERR"),"")</f>
        <v/>
      </c>
      <c r="F171" s="115" t="s">
        <v>33</v>
      </c>
      <c r="G171" s="116" t="s">
        <v>37</v>
      </c>
      <c r="H171" s="117" t="s">
        <v>35</v>
      </c>
      <c r="I171" s="118" t="s">
        <v>28</v>
      </c>
      <c r="J171" s="119" t="s">
        <v>26</v>
      </c>
      <c r="K171" s="226" t="s">
        <v>474</v>
      </c>
      <c r="L171" s="19"/>
      <c r="M171" s="19"/>
      <c r="N171" s="19"/>
      <c r="O171" s="19"/>
      <c r="P171" s="19"/>
      <c r="Q171" s="19"/>
      <c r="R171" s="19"/>
      <c r="S171" s="19"/>
      <c r="T171" s="19"/>
      <c r="U171" s="19"/>
      <c r="V171" s="19"/>
      <c r="W171" s="19"/>
      <c r="X171" s="19"/>
      <c r="Y171" s="19"/>
    </row>
    <row r="172" spans="1:25" ht="12" customHeight="1">
      <c r="A172" s="219" t="n" cm="1">
        <f t="array" ref="A172">IFERROR(INDEX('03.Muestra'!$B$8:$B$42,SMALL(IF("Página Web"='03.Muestra'!$D$8:$D$42,ROW('03.Muestra'!$B$8:$B$42)-MIN(ROW('03.Muestra'!$D$8:$D$42))+1,""),ROW()-170)),"")</f>
        <v>1.0</v>
      </c>
      <c r="B172" s="114" t="str" cm="1">
        <f t="array" ref="B172">IFERROR(INDEX('03.Muestra'!$C$8:$C$42,SMALL(IF("Página Web"='03.Muestra'!$D$8:$D$42,ROW('03.Muestra'!$C$8:$C$42)-MIN(ROW('03.Muestra'!$D$8:$D$42))+1,""),ROW()-170)),"")</f>
        <v>Home - PortCastelló</v>
      </c>
      <c r="C172" s="114" t="str" cm="1">
        <f t="array" ref="C172">IFERROR(INDEX('03.Muestra'!$F$8:$F$42,SMALL(IF("Página Web"='03.Muestra'!$D$8:$D$42,ROW('03.Muestra'!$F$8:$F$42)-MIN(ROW('03.Muestra'!$D$8:$D$42))+1,""),ROW()-170)),"")</f>
        <v>https://www.portcastello.com/</v>
      </c>
      <c r="D172" s="130" t="str">
        <f t="shared" ref="D172:D205" si="9">IF(AND(B172&lt;&gt;"",C172&lt;&gt;""),"N/T","")</f>
        <v>N/T</v>
      </c>
      <c r="E172" s="107" t="str">
        <f t="shared" si="8"/>
        <v/>
      </c>
      <c r="F172" s="120" t="n">
        <f ca="1">COUNTIF($D171:INDIRECT("$D" &amp;  SUM(ROW()-1,'03.Muestra'!$D$45)-1),F171)</f>
        <v>33.0</v>
      </c>
      <c r="G172" s="120" t="n">
        <f ca="1">COUNTIF($D171:INDIRECT("$D" &amp;  SUM(ROW()-1,'03.Muestra'!$D$45)-1),G171)</f>
        <v>0.0</v>
      </c>
      <c r="H172" s="120" t="n">
        <f ca="1">COUNTIF($D171:INDIRECT("$D" &amp;  SUM(ROW()-1,'03.Muestra'!$D$45)-1),H171)</f>
        <v>0.0</v>
      </c>
      <c r="I172" s="120" t="n">
        <f ca="1">COUNTIF($D171:INDIRECT("$D" &amp;  SUM(ROW()-1,'03.Muestra'!$D$45)-1),I171)</f>
        <v>0.0</v>
      </c>
      <c r="J172" s="120" t="n">
        <f ca="1">COUNTIF($D171:INDIRECT("$D" &amp;  SUM(ROW()-1,'03.Muestra'!$D$45)-1),J171)</f>
        <v>0.0</v>
      </c>
      <c r="K172" s="227" t="n">
        <f ca="1">IF(COUNTIF('03.Muestra'!$D$8:$D$42,"Página Web")=0,0,COUNTBLANK($D171:INDIRECT("$D" &amp;  SUM(ROW()-1,COUNTIF('03.Muestra'!$D$8:$D$42,"Página Web"))-1)))</f>
        <v>0.0</v>
      </c>
      <c r="L172" s="19"/>
      <c r="M172" s="19"/>
      <c r="N172" s="19"/>
      <c r="O172" s="19"/>
      <c r="P172" s="19"/>
      <c r="Q172" s="19"/>
      <c r="R172" s="19"/>
      <c r="S172" s="19"/>
      <c r="T172" s="19"/>
      <c r="U172" s="19"/>
      <c r="V172" s="19"/>
      <c r="W172" s="19"/>
      <c r="X172" s="19"/>
      <c r="Y172" s="19"/>
    </row>
    <row r="173" spans="1:25" ht="12" customHeight="1">
      <c r="A173" s="219" t="n" cm="1">
        <f t="array" ref="A173">IFERROR(INDEX('03.Muestra'!$B$8:$B$42,SMALL(IF("Página Web"='03.Muestra'!$D$8:$D$42,ROW('03.Muestra'!$B$8:$B$42)-MIN(ROW('03.Muestra'!$D$8:$D$42))+1,""),ROW()-170)),"")</f>
        <v>1.0</v>
      </c>
      <c r="B173" s="114" t="str" cm="1">
        <f t="array" ref="B173">IFERROR(INDEX('03.Muestra'!$C$8:$C$42,SMALL(IF("Página Web"='03.Muestra'!$D$8:$D$42,ROW('03.Muestra'!$C$8:$C$42)-MIN(ROW('03.Muestra'!$D$8:$D$42))+1,""),ROW()-170)),"")</f>
        <v>Home - PortCastelló</v>
      </c>
      <c r="C173" s="114" t="str" cm="1">
        <f t="array" ref="C173">IFERROR(INDEX('03.Muestra'!$F$8:$F$42,SMALL(IF("Página Web"='03.Muestra'!$D$8:$D$42,ROW('03.Muestra'!$F$8:$F$42)-MIN(ROW('03.Muestra'!$D$8:$D$42))+1,""),ROW()-170)),"")</f>
        <v>https://www.portcastello.com/</v>
      </c>
      <c r="D173" s="130" t="str">
        <f t="shared" si="9"/>
        <v>N/T</v>
      </c>
      <c r="E173" s="107" t="str">
        <f t="shared" si="8"/>
        <v/>
      </c>
      <c r="G173" s="19"/>
      <c r="H173" s="19"/>
      <c r="I173" s="19"/>
      <c r="J173" s="19"/>
      <c r="K173" s="233"/>
      <c r="L173" s="19"/>
      <c r="M173" s="19"/>
      <c r="N173" s="19"/>
      <c r="O173" s="19"/>
      <c r="P173" s="19"/>
      <c r="Q173" s="19"/>
      <c r="R173" s="19"/>
      <c r="S173" s="19"/>
      <c r="T173" s="19"/>
      <c r="U173" s="19"/>
      <c r="V173" s="19"/>
      <c r="W173" s="19"/>
      <c r="X173" s="19"/>
      <c r="Y173" s="19"/>
    </row>
    <row r="174" spans="1:25" ht="12" customHeight="1">
      <c r="A174" s="219" t="n" cm="1">
        <f t="array" ref="A174">IFERROR(INDEX('03.Muestra'!$B$8:$B$42,SMALL(IF("Página Web"='03.Muestra'!$D$8:$D$42,ROW('03.Muestra'!$B$8:$B$42)-MIN(ROW('03.Muestra'!$D$8:$D$42))+1,""),ROW()-170)),"")</f>
        <v>1.0</v>
      </c>
      <c r="B174" s="114" t="str" cm="1">
        <f t="array" ref="B174">IFERROR(INDEX('03.Muestra'!$C$8:$C$42,SMALL(IF("Página Web"='03.Muestra'!$D$8:$D$42,ROW('03.Muestra'!$C$8:$C$42)-MIN(ROW('03.Muestra'!$D$8:$D$42))+1,""),ROW()-170)),"")</f>
        <v>Home - PortCastelló</v>
      </c>
      <c r="C174" s="114" t="str" cm="1">
        <f t="array" ref="C174">IFERROR(INDEX('03.Muestra'!$F$8:$F$42,SMALL(IF("Página Web"='03.Muestra'!$D$8:$D$42,ROW('03.Muestra'!$F$8:$F$42)-MIN(ROW('03.Muestra'!$D$8:$D$42))+1,""),ROW()-170)),"")</f>
        <v>https://www.portcastello.com/</v>
      </c>
      <c r="D174" s="130" t="str">
        <f t="shared" si="9"/>
        <v>N/T</v>
      </c>
      <c r="E174" s="107" t="str">
        <f t="shared" si="8"/>
        <v/>
      </c>
      <c r="G174" s="19"/>
      <c r="H174" s="19"/>
      <c r="I174" s="19"/>
      <c r="J174" s="19"/>
      <c r="K174" s="233"/>
      <c r="L174" s="19"/>
      <c r="M174" s="19"/>
      <c r="N174" s="19"/>
      <c r="O174" s="19"/>
      <c r="P174" s="19"/>
      <c r="Q174" s="19"/>
      <c r="R174" s="19"/>
      <c r="S174" s="19"/>
      <c r="T174" s="19"/>
      <c r="U174" s="19"/>
      <c r="V174" s="19"/>
      <c r="W174" s="19"/>
      <c r="X174" s="19"/>
      <c r="Y174" s="19"/>
    </row>
    <row r="175" spans="1:25" ht="12" customHeight="1">
      <c r="A175" s="219" t="n" cm="1">
        <f t="array" ref="A175">IFERROR(INDEX('03.Muestra'!$B$8:$B$42,SMALL(IF("Página Web"='03.Muestra'!$D$8:$D$42,ROW('03.Muestra'!$B$8:$B$42)-MIN(ROW('03.Muestra'!$D$8:$D$42))+1,""),ROW()-170)),"")</f>
        <v>1.0</v>
      </c>
      <c r="B175" s="114" t="str" cm="1">
        <f t="array" ref="B175">IFERROR(INDEX('03.Muestra'!$C$8:$C$42,SMALL(IF("Página Web"='03.Muestra'!$D$8:$D$42,ROW('03.Muestra'!$C$8:$C$42)-MIN(ROW('03.Muestra'!$D$8:$D$42))+1,""),ROW()-170)),"")</f>
        <v>Home - PortCastelló</v>
      </c>
      <c r="C175" s="114" t="str" cm="1">
        <f t="array" ref="C175">IFERROR(INDEX('03.Muestra'!$F$8:$F$42,SMALL(IF("Página Web"='03.Muestra'!$D$8:$D$42,ROW('03.Muestra'!$F$8:$F$42)-MIN(ROW('03.Muestra'!$D$8:$D$42))+1,""),ROW()-170)),"")</f>
        <v>https://www.portcastello.com/</v>
      </c>
      <c r="D175" s="130" t="str">
        <f t="shared" si="9"/>
        <v>N/T</v>
      </c>
      <c r="E175" s="107" t="str">
        <f t="shared" si="8"/>
        <v/>
      </c>
      <c r="G175" s="19"/>
      <c r="H175" s="19"/>
      <c r="I175" s="19"/>
      <c r="J175" s="19"/>
      <c r="K175" s="233"/>
      <c r="L175" s="19"/>
      <c r="M175" s="19"/>
      <c r="N175" s="19"/>
      <c r="O175" s="19"/>
      <c r="P175" s="19"/>
      <c r="Q175" s="19"/>
      <c r="R175" s="19"/>
      <c r="S175" s="19"/>
      <c r="T175" s="19"/>
      <c r="U175" s="19"/>
      <c r="V175" s="19"/>
      <c r="W175" s="19"/>
      <c r="X175" s="19"/>
      <c r="Y175" s="19"/>
    </row>
    <row r="176" spans="1:25" ht="12" customHeight="1">
      <c r="A176" s="219" t="n" cm="1">
        <f t="array" ref="A176">IFERROR(INDEX('03.Muestra'!$B$8:$B$42,SMALL(IF("Página Web"='03.Muestra'!$D$8:$D$42,ROW('03.Muestra'!$B$8:$B$42)-MIN(ROW('03.Muestra'!$D$8:$D$42))+1,""),ROW()-170)),"")</f>
        <v>1.0</v>
      </c>
      <c r="B176" s="114" t="str" cm="1">
        <f t="array" ref="B176">IFERROR(INDEX('03.Muestra'!$C$8:$C$42,SMALL(IF("Página Web"='03.Muestra'!$D$8:$D$42,ROW('03.Muestra'!$C$8:$C$42)-MIN(ROW('03.Muestra'!$D$8:$D$42))+1,""),ROW()-170)),"")</f>
        <v>Home - PortCastelló</v>
      </c>
      <c r="C176" s="114" t="str" cm="1">
        <f t="array" ref="C176">IFERROR(INDEX('03.Muestra'!$F$8:$F$42,SMALL(IF("Página Web"='03.Muestra'!$D$8:$D$42,ROW('03.Muestra'!$F$8:$F$42)-MIN(ROW('03.Muestra'!$D$8:$D$42))+1,""),ROW()-170)),"")</f>
        <v>https://www.portcastello.com/</v>
      </c>
      <c r="D176" s="130" t="str">
        <f t="shared" si="9"/>
        <v>N/T</v>
      </c>
      <c r="E176" s="107" t="str">
        <f t="shared" si="8"/>
        <v/>
      </c>
      <c r="G176" s="19"/>
      <c r="H176" s="19"/>
      <c r="I176" s="19"/>
      <c r="J176" s="19"/>
      <c r="K176" s="233"/>
      <c r="L176" s="19"/>
      <c r="M176" s="19"/>
      <c r="N176" s="19"/>
      <c r="O176" s="19"/>
      <c r="P176" s="19"/>
      <c r="Q176" s="19"/>
      <c r="R176" s="19"/>
      <c r="S176" s="19"/>
      <c r="T176" s="19"/>
      <c r="U176" s="19"/>
      <c r="V176" s="19"/>
      <c r="W176" s="19"/>
      <c r="X176" s="19"/>
      <c r="Y176" s="19"/>
    </row>
    <row r="177" spans="1:25" ht="12" customHeight="1">
      <c r="A177" s="219" t="n" cm="1">
        <f t="array" ref="A177">IFERROR(INDEX('03.Muestra'!$B$8:$B$42,SMALL(IF("Página Web"='03.Muestra'!$D$8:$D$42,ROW('03.Muestra'!$B$8:$B$42)-MIN(ROW('03.Muestra'!$D$8:$D$42))+1,""),ROW()-170)),"")</f>
        <v>1.0</v>
      </c>
      <c r="B177" s="114" t="str" cm="1">
        <f t="array" ref="B177">IFERROR(INDEX('03.Muestra'!$C$8:$C$42,SMALL(IF("Página Web"='03.Muestra'!$D$8:$D$42,ROW('03.Muestra'!$C$8:$C$42)-MIN(ROW('03.Muestra'!$D$8:$D$42))+1,""),ROW()-170)),"")</f>
        <v>Home - PortCastelló</v>
      </c>
      <c r="C177" s="114" t="str" cm="1">
        <f t="array" ref="C177">IFERROR(INDEX('03.Muestra'!$F$8:$F$42,SMALL(IF("Página Web"='03.Muestra'!$D$8:$D$42,ROW('03.Muestra'!$F$8:$F$42)-MIN(ROW('03.Muestra'!$D$8:$D$42))+1,""),ROW()-170)),"")</f>
        <v>https://www.portcastello.com/</v>
      </c>
      <c r="D177" s="130" t="str">
        <f t="shared" si="9"/>
        <v>N/T</v>
      </c>
      <c r="E177" s="107" t="str">
        <f t="shared" si="8"/>
        <v/>
      </c>
      <c r="F177" s="19"/>
      <c r="G177" s="19"/>
      <c r="H177" s="19"/>
      <c r="I177" s="19"/>
      <c r="J177" s="19"/>
      <c r="K177" s="233"/>
      <c r="L177" s="19"/>
      <c r="M177" s="19"/>
      <c r="N177" s="19"/>
      <c r="O177" s="19"/>
      <c r="P177" s="19"/>
      <c r="Q177" s="19"/>
      <c r="R177" s="19"/>
      <c r="S177" s="19"/>
      <c r="T177" s="19"/>
      <c r="U177" s="19"/>
      <c r="V177" s="19"/>
      <c r="W177" s="19"/>
      <c r="X177" s="19"/>
      <c r="Y177" s="19"/>
    </row>
    <row r="178" spans="1:25" ht="12" customHeight="1">
      <c r="A178" s="219" t="n" cm="1">
        <f t="array" ref="A178">IFERROR(INDEX('03.Muestra'!$B$8:$B$42,SMALL(IF("Página Web"='03.Muestra'!$D$8:$D$42,ROW('03.Muestra'!$B$8:$B$42)-MIN(ROW('03.Muestra'!$D$8:$D$42))+1,""),ROW()-170)),"")</f>
        <v>1.0</v>
      </c>
      <c r="B178" s="114" t="str" cm="1">
        <f t="array" ref="B178">IFERROR(INDEX('03.Muestra'!$C$8:$C$42,SMALL(IF("Página Web"='03.Muestra'!$D$8:$D$42,ROW('03.Muestra'!$C$8:$C$42)-MIN(ROW('03.Muestra'!$D$8:$D$42))+1,""),ROW()-170)),"")</f>
        <v>Home - PortCastelló</v>
      </c>
      <c r="C178" s="114" t="str" cm="1">
        <f t="array" ref="C178">IFERROR(INDEX('03.Muestra'!$F$8:$F$42,SMALL(IF("Página Web"='03.Muestra'!$D$8:$D$42,ROW('03.Muestra'!$F$8:$F$42)-MIN(ROW('03.Muestra'!$D$8:$D$42))+1,""),ROW()-170)),"")</f>
        <v>https://www.portcastello.com/</v>
      </c>
      <c r="D178" s="130" t="str">
        <f t="shared" si="9"/>
        <v>N/T</v>
      </c>
      <c r="E178" s="107" t="str">
        <f t="shared" si="8"/>
        <v/>
      </c>
      <c r="F178" s="19"/>
      <c r="G178" s="19"/>
      <c r="H178" s="19"/>
      <c r="I178" s="19"/>
      <c r="J178" s="19"/>
      <c r="K178" s="233"/>
      <c r="L178" s="19"/>
      <c r="M178" s="19"/>
      <c r="N178" s="19"/>
      <c r="O178" s="19"/>
      <c r="P178" s="19"/>
      <c r="Q178" s="19"/>
      <c r="R178" s="19"/>
      <c r="S178" s="19"/>
      <c r="T178" s="19"/>
      <c r="U178" s="19"/>
      <c r="V178" s="19"/>
      <c r="W178" s="19"/>
      <c r="X178" s="19"/>
      <c r="Y178" s="19"/>
    </row>
    <row r="179" spans="1:25" ht="12" customHeight="1">
      <c r="A179" s="219" t="n" cm="1">
        <f t="array" ref="A179">IFERROR(INDEX('03.Muestra'!$B$8:$B$42,SMALL(IF("Página Web"='03.Muestra'!$D$8:$D$42,ROW('03.Muestra'!$B$8:$B$42)-MIN(ROW('03.Muestra'!$D$8:$D$42))+1,""),ROW()-170)),"")</f>
        <v>1.0</v>
      </c>
      <c r="B179" s="114" t="str" cm="1">
        <f t="array" ref="B179">IFERROR(INDEX('03.Muestra'!$C$8:$C$42,SMALL(IF("Página Web"='03.Muestra'!$D$8:$D$42,ROW('03.Muestra'!$C$8:$C$42)-MIN(ROW('03.Muestra'!$D$8:$D$42))+1,""),ROW()-170)),"")</f>
        <v>Home - PortCastelló</v>
      </c>
      <c r="C179" s="114" t="str" cm="1">
        <f t="array" ref="C179">IFERROR(INDEX('03.Muestra'!$F$8:$F$42,SMALL(IF("Página Web"='03.Muestra'!$D$8:$D$42,ROW('03.Muestra'!$F$8:$F$42)-MIN(ROW('03.Muestra'!$D$8:$D$42))+1,""),ROW()-170)),"")</f>
        <v>https://www.portcastello.com/</v>
      </c>
      <c r="D179" s="130" t="str">
        <f t="shared" si="9"/>
        <v>N/T</v>
      </c>
      <c r="E179" s="107" t="str">
        <f t="shared" si="8"/>
        <v/>
      </c>
      <c r="F179" s="19"/>
      <c r="G179" s="19"/>
      <c r="H179" s="19"/>
      <c r="I179" s="19"/>
      <c r="J179" s="19"/>
      <c r="K179" s="233"/>
      <c r="L179" s="19"/>
      <c r="M179" s="19"/>
      <c r="N179" s="19"/>
      <c r="O179" s="19"/>
      <c r="P179" s="19"/>
      <c r="Q179" s="19"/>
      <c r="R179" s="19"/>
      <c r="S179" s="19"/>
      <c r="T179" s="19"/>
      <c r="U179" s="19"/>
      <c r="V179" s="19"/>
      <c r="W179" s="19"/>
      <c r="X179" s="19"/>
      <c r="Y179" s="19"/>
    </row>
    <row r="180" spans="1:25" ht="12" customHeight="1">
      <c r="A180" s="219" t="n" cm="1">
        <f t="array" ref="A180">IFERROR(INDEX('03.Muestra'!$B$8:$B$42,SMALL(IF("Página Web"='03.Muestra'!$D$8:$D$42,ROW('03.Muestra'!$B$8:$B$42)-MIN(ROW('03.Muestra'!$D$8:$D$42))+1,""),ROW()-170)),"")</f>
        <v>1.0</v>
      </c>
      <c r="B180" s="114" t="str" cm="1">
        <f t="array" ref="B180">IFERROR(INDEX('03.Muestra'!$C$8:$C$42,SMALL(IF("Página Web"='03.Muestra'!$D$8:$D$42,ROW('03.Muestra'!$C$8:$C$42)-MIN(ROW('03.Muestra'!$D$8:$D$42))+1,""),ROW()-170)),"")</f>
        <v>Home - PortCastelló</v>
      </c>
      <c r="C180" s="114" t="str" cm="1">
        <f t="array" ref="C180">IFERROR(INDEX('03.Muestra'!$F$8:$F$42,SMALL(IF("Página Web"='03.Muestra'!$D$8:$D$42,ROW('03.Muestra'!$F$8:$F$42)-MIN(ROW('03.Muestra'!$D$8:$D$42))+1,""),ROW()-170)),"")</f>
        <v>https://www.portcastello.com/</v>
      </c>
      <c r="D180" s="130" t="str">
        <f t="shared" si="9"/>
        <v>N/T</v>
      </c>
      <c r="E180" s="107" t="str">
        <f t="shared" si="8"/>
        <v/>
      </c>
      <c r="F180" s="19"/>
      <c r="G180" s="19"/>
      <c r="H180" s="19"/>
      <c r="I180" s="19"/>
      <c r="J180" s="19"/>
      <c r="K180" s="233"/>
      <c r="L180" s="19"/>
      <c r="M180" s="19"/>
      <c r="N180" s="19"/>
      <c r="O180" s="19"/>
      <c r="P180" s="19"/>
      <c r="Q180" s="19"/>
      <c r="R180" s="19"/>
      <c r="S180" s="19"/>
      <c r="T180" s="19"/>
      <c r="U180" s="19"/>
      <c r="V180" s="19"/>
      <c r="W180" s="19"/>
      <c r="X180" s="19"/>
      <c r="Y180" s="19"/>
    </row>
    <row r="181" spans="1:25" ht="12" customHeight="1">
      <c r="A181" s="219" t="n" cm="1">
        <f t="array" ref="A181">IFERROR(INDEX('03.Muestra'!$B$8:$B$42,SMALL(IF("Página Web"='03.Muestra'!$D$8:$D$42,ROW('03.Muestra'!$B$8:$B$42)-MIN(ROW('03.Muestra'!$D$8:$D$42))+1,""),ROW()-170)),"")</f>
        <v>1.0</v>
      </c>
      <c r="B181" s="114" t="str" cm="1">
        <f t="array" ref="B181">IFERROR(INDEX('03.Muestra'!$C$8:$C$42,SMALL(IF("Página Web"='03.Muestra'!$D$8:$D$42,ROW('03.Muestra'!$C$8:$C$42)-MIN(ROW('03.Muestra'!$D$8:$D$42))+1,""),ROW()-170)),"")</f>
        <v>Home - PortCastelló</v>
      </c>
      <c r="C181" s="114" t="str" cm="1">
        <f t="array" ref="C181">IFERROR(INDEX('03.Muestra'!$F$8:$F$42,SMALL(IF("Página Web"='03.Muestra'!$D$8:$D$42,ROW('03.Muestra'!$F$8:$F$42)-MIN(ROW('03.Muestra'!$D$8:$D$42))+1,""),ROW()-170)),"")</f>
        <v>https://www.portcastello.com/</v>
      </c>
      <c r="D181" s="130" t="str">
        <f t="shared" si="9"/>
        <v>N/T</v>
      </c>
      <c r="E181" s="107" t="str">
        <f t="shared" si="8"/>
        <v/>
      </c>
      <c r="F181" s="19"/>
      <c r="G181" s="19"/>
      <c r="H181" s="19"/>
      <c r="I181" s="19"/>
      <c r="J181" s="19"/>
      <c r="K181" s="233"/>
      <c r="L181" s="19"/>
      <c r="M181" s="19"/>
      <c r="N181" s="19"/>
      <c r="O181" s="19"/>
      <c r="P181" s="19"/>
      <c r="Q181" s="19"/>
      <c r="R181" s="19"/>
      <c r="S181" s="19"/>
      <c r="T181" s="19"/>
      <c r="U181" s="19"/>
      <c r="V181" s="19"/>
      <c r="W181" s="19"/>
      <c r="X181" s="19"/>
      <c r="Y181" s="19"/>
    </row>
    <row r="182" spans="1:25" ht="12" customHeight="1">
      <c r="A182" s="219" t="n" cm="1">
        <f t="array" ref="A182">IFERROR(INDEX('03.Muestra'!$B$8:$B$42,SMALL(IF("Página Web"='03.Muestra'!$D$8:$D$42,ROW('03.Muestra'!$B$8:$B$42)-MIN(ROW('03.Muestra'!$D$8:$D$42))+1,""),ROW()-170)),"")</f>
        <v>1.0</v>
      </c>
      <c r="B182" s="114" t="str" cm="1">
        <f t="array" ref="B182">IFERROR(INDEX('03.Muestra'!$C$8:$C$42,SMALL(IF("Página Web"='03.Muestra'!$D$8:$D$42,ROW('03.Muestra'!$C$8:$C$42)-MIN(ROW('03.Muestra'!$D$8:$D$42))+1,""),ROW()-170)),"")</f>
        <v>Home - PortCastelló</v>
      </c>
      <c r="C182" s="114" t="str" cm="1">
        <f t="array" ref="C182">IFERROR(INDEX('03.Muestra'!$F$8:$F$42,SMALL(IF("Página Web"='03.Muestra'!$D$8:$D$42,ROW('03.Muestra'!$F$8:$F$42)-MIN(ROW('03.Muestra'!$D$8:$D$42))+1,""),ROW()-170)),"")</f>
        <v>https://www.portcastello.com/</v>
      </c>
      <c r="D182" s="130" t="str">
        <f t="shared" si="9"/>
        <v>N/T</v>
      </c>
      <c r="E182" s="107" t="str">
        <f t="shared" si="8"/>
        <v/>
      </c>
      <c r="F182" s="19"/>
      <c r="G182" s="19"/>
      <c r="H182" s="19"/>
      <c r="I182" s="19"/>
      <c r="J182" s="19"/>
      <c r="K182" s="233"/>
      <c r="L182" s="19"/>
      <c r="M182" s="19"/>
      <c r="N182" s="19"/>
      <c r="O182" s="19"/>
      <c r="P182" s="19"/>
      <c r="Q182" s="19"/>
      <c r="R182" s="19"/>
      <c r="S182" s="19"/>
      <c r="T182" s="19"/>
      <c r="U182" s="19"/>
      <c r="V182" s="19"/>
      <c r="W182" s="19"/>
      <c r="X182" s="19"/>
      <c r="Y182" s="19"/>
    </row>
    <row r="183" spans="1:25" ht="14.1" customHeight="1">
      <c r="A183" s="219" t="n" cm="1">
        <f t="array" ref="A183">IFERROR(INDEX('03.Muestra'!$B$8:$B$42,SMALL(IF("Página Web"='03.Muestra'!$D$8:$D$42,ROW('03.Muestra'!$B$8:$B$42)-MIN(ROW('03.Muestra'!$D$8:$D$42))+1,""),ROW()-170)),"")</f>
        <v>1.0</v>
      </c>
      <c r="B183" s="114" t="str" cm="1">
        <f t="array" ref="B183">IFERROR(INDEX('03.Muestra'!$C$8:$C$42,SMALL(IF("Página Web"='03.Muestra'!$D$8:$D$42,ROW('03.Muestra'!$C$8:$C$42)-MIN(ROW('03.Muestra'!$D$8:$D$42))+1,""),ROW()-170)),"")</f>
        <v>Home - PortCastelló</v>
      </c>
      <c r="C183" s="114" t="str" cm="1">
        <f t="array" ref="C183">IFERROR(INDEX('03.Muestra'!$F$8:$F$42,SMALL(IF("Página Web"='03.Muestra'!$D$8:$D$42,ROW('03.Muestra'!$F$8:$F$42)-MIN(ROW('03.Muestra'!$D$8:$D$42))+1,""),ROW()-170)),"")</f>
        <v>https://www.portcastello.com/</v>
      </c>
      <c r="D183" s="130" t="str">
        <f t="shared" si="9"/>
        <v>N/T</v>
      </c>
      <c r="E183" s="107" t="str">
        <f t="shared" si="8"/>
        <v/>
      </c>
      <c r="F183" s="19"/>
      <c r="G183" s="19"/>
      <c r="H183" s="19"/>
      <c r="I183" s="19"/>
      <c r="J183" s="19"/>
      <c r="K183" s="233"/>
      <c r="L183" s="19"/>
      <c r="M183" s="19"/>
      <c r="N183" s="19"/>
      <c r="O183" s="19"/>
      <c r="P183" s="19"/>
      <c r="Q183" s="19"/>
      <c r="R183" s="19"/>
      <c r="S183" s="19"/>
      <c r="T183" s="19"/>
      <c r="U183" s="19"/>
      <c r="V183" s="19"/>
      <c r="W183" s="19"/>
      <c r="X183" s="19"/>
      <c r="Y183" s="19"/>
    </row>
    <row r="184" spans="1:25" ht="14.1" customHeight="1">
      <c r="A184" s="219" t="n" cm="1">
        <f t="array" ref="A184">IFERROR(INDEX('03.Muestra'!$B$8:$B$42,SMALL(IF("Página Web"='03.Muestra'!$D$8:$D$42,ROW('03.Muestra'!$B$8:$B$42)-MIN(ROW('03.Muestra'!$D$8:$D$42))+1,""),ROW()-170)),"")</f>
        <v>1.0</v>
      </c>
      <c r="B184" s="114" t="str" cm="1">
        <f t="array" ref="B184">IFERROR(INDEX('03.Muestra'!$C$8:$C$42,SMALL(IF("Página Web"='03.Muestra'!$D$8:$D$42,ROW('03.Muestra'!$C$8:$C$42)-MIN(ROW('03.Muestra'!$D$8:$D$42))+1,""),ROW()-170)),"")</f>
        <v>Home - PortCastelló</v>
      </c>
      <c r="C184" s="114" t="str" cm="1">
        <f t="array" ref="C184">IFERROR(INDEX('03.Muestra'!$F$8:$F$42,SMALL(IF("Página Web"='03.Muestra'!$D$8:$D$42,ROW('03.Muestra'!$F$8:$F$42)-MIN(ROW('03.Muestra'!$D$8:$D$42))+1,""),ROW()-170)),"")</f>
        <v>https://www.portcastello.com/</v>
      </c>
      <c r="D184" s="130" t="str">
        <f t="shared" si="9"/>
        <v>N/T</v>
      </c>
      <c r="E184" s="107" t="str">
        <f t="shared" si="8"/>
        <v/>
      </c>
      <c r="F184" s="19"/>
      <c r="G184" s="19"/>
      <c r="H184" s="19"/>
      <c r="I184" s="19"/>
      <c r="J184" s="19"/>
      <c r="K184" s="233"/>
      <c r="L184" s="19"/>
      <c r="M184" s="19"/>
      <c r="N184" s="19"/>
      <c r="O184" s="19"/>
      <c r="P184" s="19"/>
      <c r="Q184" s="19"/>
      <c r="R184" s="19"/>
      <c r="S184" s="19"/>
      <c r="T184" s="19"/>
      <c r="U184" s="19"/>
      <c r="V184" s="19"/>
      <c r="W184" s="19"/>
      <c r="X184" s="19"/>
      <c r="Y184" s="19"/>
    </row>
    <row r="185" spans="1:25" ht="14.1" customHeight="1">
      <c r="A185" s="219" t="n" cm="1">
        <f t="array" ref="A185">IFERROR(INDEX('03.Muestra'!$B$8:$B$42,SMALL(IF("Página Web"='03.Muestra'!$D$8:$D$42,ROW('03.Muestra'!$B$8:$B$42)-MIN(ROW('03.Muestra'!$D$8:$D$42))+1,""),ROW()-170)),"")</f>
        <v>1.0</v>
      </c>
      <c r="B185" s="114" t="str" cm="1">
        <f t="array" ref="B185">IFERROR(INDEX('03.Muestra'!$C$8:$C$42,SMALL(IF("Página Web"='03.Muestra'!$D$8:$D$42,ROW('03.Muestra'!$C$8:$C$42)-MIN(ROW('03.Muestra'!$D$8:$D$42))+1,""),ROW()-170)),"")</f>
        <v>Home - PortCastelló</v>
      </c>
      <c r="C185" s="114" t="str" cm="1">
        <f t="array" ref="C185">IFERROR(INDEX('03.Muestra'!$F$8:$F$42,SMALL(IF("Página Web"='03.Muestra'!$D$8:$D$42,ROW('03.Muestra'!$F$8:$F$42)-MIN(ROW('03.Muestra'!$D$8:$D$42))+1,""),ROW()-170)),"")</f>
        <v>https://www.portcastello.com/</v>
      </c>
      <c r="D185" s="130" t="str">
        <f t="shared" si="9"/>
        <v>N/T</v>
      </c>
      <c r="E185" s="107" t="str">
        <f t="shared" si="8"/>
        <v/>
      </c>
      <c r="F185" s="19"/>
      <c r="G185" s="19"/>
      <c r="H185" s="19"/>
      <c r="I185" s="19"/>
      <c r="J185" s="19"/>
      <c r="K185" s="233"/>
      <c r="L185" s="19"/>
      <c r="M185" s="19"/>
      <c r="N185" s="19"/>
      <c r="O185" s="19"/>
      <c r="P185" s="19"/>
      <c r="Q185" s="19"/>
      <c r="R185" s="19"/>
      <c r="S185" s="19"/>
      <c r="T185" s="19"/>
      <c r="U185" s="19"/>
      <c r="V185" s="19"/>
      <c r="W185" s="19"/>
      <c r="X185" s="19"/>
      <c r="Y185" s="19"/>
    </row>
    <row r="186" spans="1:25" ht="14.1" customHeight="1">
      <c r="A186" s="219" t="n" cm="1">
        <f t="array" ref="A186">IFERROR(INDEX('03.Muestra'!$B$8:$B$42,SMALL(IF("Página Web"='03.Muestra'!$D$8:$D$42,ROW('03.Muestra'!$B$8:$B$42)-MIN(ROW('03.Muestra'!$D$8:$D$42))+1,""),ROW()-170)),"")</f>
        <v>1.0</v>
      </c>
      <c r="B186" s="114" t="str" cm="1">
        <f t="array" ref="B186">IFERROR(INDEX('03.Muestra'!$C$8:$C$42,SMALL(IF("Página Web"='03.Muestra'!$D$8:$D$42,ROW('03.Muestra'!$C$8:$C$42)-MIN(ROW('03.Muestra'!$D$8:$D$42))+1,""),ROW()-170)),"")</f>
        <v>Home - PortCastelló</v>
      </c>
      <c r="C186" s="114" t="str" cm="1">
        <f t="array" ref="C186">IFERROR(INDEX('03.Muestra'!$F$8:$F$42,SMALL(IF("Página Web"='03.Muestra'!$D$8:$D$42,ROW('03.Muestra'!$F$8:$F$42)-MIN(ROW('03.Muestra'!$D$8:$D$42))+1,""),ROW()-170)),"")</f>
        <v>https://www.portcastello.com/</v>
      </c>
      <c r="D186" s="130" t="str">
        <f t="shared" si="9"/>
        <v>N/T</v>
      </c>
      <c r="E186" s="107" t="str">
        <f t="shared" si="8"/>
        <v/>
      </c>
      <c r="F186" s="19"/>
      <c r="G186" s="19"/>
      <c r="H186" s="19"/>
      <c r="I186" s="19"/>
      <c r="J186" s="19"/>
      <c r="K186" s="233"/>
      <c r="L186" s="19"/>
      <c r="M186" s="19"/>
      <c r="N186" s="19"/>
      <c r="O186" s="19"/>
      <c r="P186" s="19"/>
      <c r="Q186" s="19"/>
      <c r="R186" s="19"/>
      <c r="S186" s="19"/>
      <c r="T186" s="19"/>
      <c r="U186" s="19"/>
      <c r="V186" s="19"/>
      <c r="W186" s="19"/>
      <c r="X186" s="19"/>
      <c r="Y186" s="19"/>
    </row>
    <row r="187" spans="1:25" ht="14.1" customHeight="1">
      <c r="A187" s="219" t="n" cm="1">
        <f t="array" ref="A187">IFERROR(INDEX('03.Muestra'!$B$8:$B$42,SMALL(IF("Página Web"='03.Muestra'!$D$8:$D$42,ROW('03.Muestra'!$B$8:$B$42)-MIN(ROW('03.Muestra'!$D$8:$D$42))+1,""),ROW()-170)),"")</f>
        <v>1.0</v>
      </c>
      <c r="B187" s="114" t="str" cm="1">
        <f t="array" ref="B187">IFERROR(INDEX('03.Muestra'!$C$8:$C$42,SMALL(IF("Página Web"='03.Muestra'!$D$8:$D$42,ROW('03.Muestra'!$C$8:$C$42)-MIN(ROW('03.Muestra'!$D$8:$D$42))+1,""),ROW()-170)),"")</f>
        <v>Home - PortCastelló</v>
      </c>
      <c r="C187" s="114" t="str" cm="1">
        <f t="array" ref="C187">IFERROR(INDEX('03.Muestra'!$F$8:$F$42,SMALL(IF("Página Web"='03.Muestra'!$D$8:$D$42,ROW('03.Muestra'!$F$8:$F$42)-MIN(ROW('03.Muestra'!$D$8:$D$42))+1,""),ROW()-170)),"")</f>
        <v>https://www.portcastello.com/</v>
      </c>
      <c r="D187" s="130" t="str">
        <f t="shared" si="9"/>
        <v>N/T</v>
      </c>
      <c r="E187" s="107" t="str">
        <f t="shared" si="8"/>
        <v/>
      </c>
      <c r="F187" s="19"/>
      <c r="G187" s="19"/>
      <c r="H187" s="19"/>
      <c r="I187" s="19"/>
      <c r="J187" s="19"/>
      <c r="K187" s="233"/>
      <c r="L187" s="19"/>
      <c r="M187" s="19"/>
      <c r="N187" s="19"/>
      <c r="O187" s="19"/>
      <c r="P187" s="19"/>
      <c r="Q187" s="19"/>
      <c r="R187" s="19"/>
      <c r="S187" s="19"/>
      <c r="T187" s="19"/>
      <c r="U187" s="19"/>
      <c r="V187" s="19"/>
      <c r="W187" s="19"/>
      <c r="X187" s="19"/>
      <c r="Y187" s="19"/>
    </row>
    <row r="188" spans="1:25" ht="14.1" customHeight="1">
      <c r="A188" s="219" t="n" cm="1">
        <f t="array" ref="A188">IFERROR(INDEX('03.Muestra'!$B$8:$B$42,SMALL(IF("Página Web"='03.Muestra'!$D$8:$D$42,ROW('03.Muestra'!$B$8:$B$42)-MIN(ROW('03.Muestra'!$D$8:$D$42))+1,""),ROW()-170)),"")</f>
        <v>1.0</v>
      </c>
      <c r="B188" s="114" t="str" cm="1">
        <f t="array" ref="B188">IFERROR(INDEX('03.Muestra'!$C$8:$C$42,SMALL(IF("Página Web"='03.Muestra'!$D$8:$D$42,ROW('03.Muestra'!$C$8:$C$42)-MIN(ROW('03.Muestra'!$D$8:$D$42))+1,""),ROW()-170)),"")</f>
        <v>Home - PortCastelló</v>
      </c>
      <c r="C188" s="114" t="str" cm="1">
        <f t="array" ref="C188">IFERROR(INDEX('03.Muestra'!$F$8:$F$42,SMALL(IF("Página Web"='03.Muestra'!$D$8:$D$42,ROW('03.Muestra'!$F$8:$F$42)-MIN(ROW('03.Muestra'!$D$8:$D$42))+1,""),ROW()-170)),"")</f>
        <v>https://www.portcastello.com/</v>
      </c>
      <c r="D188" s="130" t="str">
        <f t="shared" si="9"/>
        <v>N/T</v>
      </c>
      <c r="E188" s="107" t="str">
        <f t="shared" si="8"/>
        <v/>
      </c>
      <c r="F188" s="19"/>
      <c r="G188" s="19"/>
      <c r="H188" s="19"/>
      <c r="I188" s="19"/>
      <c r="J188" s="19"/>
      <c r="K188" s="233"/>
      <c r="L188" s="19"/>
      <c r="M188" s="19"/>
      <c r="N188" s="19"/>
      <c r="O188" s="19"/>
      <c r="P188" s="19"/>
      <c r="Q188" s="19"/>
      <c r="R188" s="19"/>
      <c r="S188" s="19"/>
      <c r="T188" s="19"/>
      <c r="U188" s="19"/>
      <c r="V188" s="19"/>
      <c r="W188" s="19"/>
      <c r="X188" s="19"/>
      <c r="Y188" s="19"/>
    </row>
    <row r="189" spans="1:25" ht="14.1" customHeight="1">
      <c r="A189" s="219" t="n" cm="1">
        <f t="array" ref="A189">IFERROR(INDEX('03.Muestra'!$B$8:$B$42,SMALL(IF("Página Web"='03.Muestra'!$D$8:$D$42,ROW('03.Muestra'!$B$8:$B$42)-MIN(ROW('03.Muestra'!$D$8:$D$42))+1,""),ROW()-170)),"")</f>
        <v>1.0</v>
      </c>
      <c r="B189" s="114" t="str" cm="1">
        <f t="array" ref="B189">IFERROR(INDEX('03.Muestra'!$C$8:$C$42,SMALL(IF("Página Web"='03.Muestra'!$D$8:$D$42,ROW('03.Muestra'!$C$8:$C$42)-MIN(ROW('03.Muestra'!$D$8:$D$42))+1,""),ROW()-170)),"")</f>
        <v>Home - PortCastelló</v>
      </c>
      <c r="C189" s="114" t="str" cm="1">
        <f t="array" ref="C189">IFERROR(INDEX('03.Muestra'!$F$8:$F$42,SMALL(IF("Página Web"='03.Muestra'!$D$8:$D$42,ROW('03.Muestra'!$F$8:$F$42)-MIN(ROW('03.Muestra'!$D$8:$D$42))+1,""),ROW()-170)),"")</f>
        <v>https://www.portcastello.com/</v>
      </c>
      <c r="D189" s="130" t="str">
        <f t="shared" si="9"/>
        <v>N/T</v>
      </c>
      <c r="E189" s="107" t="str">
        <f t="shared" si="8"/>
        <v/>
      </c>
      <c r="F189" s="19"/>
      <c r="G189" s="19"/>
      <c r="H189" s="19"/>
      <c r="I189" s="19"/>
      <c r="J189" s="19"/>
      <c r="K189" s="233"/>
      <c r="L189" s="19"/>
      <c r="M189" s="19"/>
      <c r="N189" s="19"/>
      <c r="O189" s="19"/>
      <c r="P189" s="19"/>
      <c r="Q189" s="19"/>
      <c r="R189" s="19"/>
      <c r="S189" s="19"/>
      <c r="T189" s="19"/>
      <c r="U189" s="19"/>
      <c r="V189" s="19"/>
      <c r="W189" s="19"/>
      <c r="X189" s="19"/>
      <c r="Y189" s="19"/>
    </row>
    <row r="190" spans="1:25" ht="14.1" customHeight="1">
      <c r="A190" s="219" t="n" cm="1">
        <f t="array" ref="A190">IFERROR(INDEX('03.Muestra'!$B$8:$B$42,SMALL(IF("Página Web"='03.Muestra'!$D$8:$D$42,ROW('03.Muestra'!$B$8:$B$42)-MIN(ROW('03.Muestra'!$D$8:$D$42))+1,""),ROW()-170)),"")</f>
        <v>1.0</v>
      </c>
      <c r="B190" s="114" t="str" cm="1">
        <f t="array" ref="B190">IFERROR(INDEX('03.Muestra'!$C$8:$C$42,SMALL(IF("Página Web"='03.Muestra'!$D$8:$D$42,ROW('03.Muestra'!$C$8:$C$42)-MIN(ROW('03.Muestra'!$D$8:$D$42))+1,""),ROW()-170)),"")</f>
        <v>Home - PortCastelló</v>
      </c>
      <c r="C190" s="114" t="str" cm="1">
        <f t="array" ref="C190">IFERROR(INDEX('03.Muestra'!$F$8:$F$42,SMALL(IF("Página Web"='03.Muestra'!$D$8:$D$42,ROW('03.Muestra'!$F$8:$F$42)-MIN(ROW('03.Muestra'!$D$8:$D$42))+1,""),ROW()-170)),"")</f>
        <v>https://www.portcastello.com/</v>
      </c>
      <c r="D190" s="130" t="str">
        <f t="shared" si="9"/>
        <v>N/T</v>
      </c>
      <c r="E190" s="107" t="str">
        <f t="shared" si="8"/>
        <v/>
      </c>
      <c r="F190" s="19"/>
      <c r="G190" s="19"/>
      <c r="H190" s="19"/>
      <c r="I190" s="19"/>
      <c r="J190" s="19"/>
      <c r="K190" s="233"/>
      <c r="L190" s="19"/>
      <c r="M190" s="19"/>
      <c r="N190" s="19"/>
      <c r="O190" s="19"/>
      <c r="P190" s="19"/>
      <c r="Q190" s="19"/>
      <c r="R190" s="19"/>
      <c r="S190" s="19"/>
      <c r="T190" s="19"/>
      <c r="U190" s="19"/>
      <c r="V190" s="19"/>
      <c r="W190" s="19"/>
      <c r="X190" s="19"/>
      <c r="Y190" s="19"/>
    </row>
    <row r="191" spans="1:25" ht="14.1" customHeight="1">
      <c r="A191" s="219" t="n" cm="1">
        <f t="array" ref="A191">IFERROR(INDEX('03.Muestra'!$B$8:$B$42,SMALL(IF("Página Web"='03.Muestra'!$D$8:$D$42,ROW('03.Muestra'!$B$8:$B$42)-MIN(ROW('03.Muestra'!$D$8:$D$42))+1,""),ROW()-170)),"")</f>
        <v>1.0</v>
      </c>
      <c r="B191" s="114" t="str" cm="1">
        <f t="array" ref="B191">IFERROR(INDEX('03.Muestra'!$C$8:$C$42,SMALL(IF("Página Web"='03.Muestra'!$D$8:$D$42,ROW('03.Muestra'!$C$8:$C$42)-MIN(ROW('03.Muestra'!$D$8:$D$42))+1,""),ROW()-170)),"")</f>
        <v>Home - PortCastelló</v>
      </c>
      <c r="C191" s="114" t="str" cm="1">
        <f t="array" ref="C191">IFERROR(INDEX('03.Muestra'!$F$8:$F$42,SMALL(IF("Página Web"='03.Muestra'!$D$8:$D$42,ROW('03.Muestra'!$F$8:$F$42)-MIN(ROW('03.Muestra'!$D$8:$D$42))+1,""),ROW()-170)),"")</f>
        <v>https://www.portcastello.com/</v>
      </c>
      <c r="D191" s="130" t="str">
        <f t="shared" si="9"/>
        <v>N/T</v>
      </c>
      <c r="E191" s="107" t="str">
        <f t="shared" si="8"/>
        <v/>
      </c>
      <c r="F191" s="19"/>
      <c r="G191" s="19"/>
      <c r="H191" s="19"/>
      <c r="I191" s="19"/>
      <c r="J191" s="19"/>
      <c r="K191" s="233"/>
      <c r="L191" s="19"/>
      <c r="M191" s="19"/>
      <c r="N191" s="19"/>
      <c r="O191" s="19"/>
      <c r="P191" s="19"/>
      <c r="Q191" s="19"/>
      <c r="R191" s="19"/>
      <c r="S191" s="19"/>
      <c r="T191" s="19"/>
      <c r="U191" s="19"/>
      <c r="V191" s="19"/>
      <c r="W191" s="19"/>
      <c r="X191" s="19"/>
      <c r="Y191" s="19"/>
    </row>
    <row r="192" spans="1:25" ht="14.1" customHeight="1">
      <c r="A192" s="219" t="n" cm="1">
        <f t="array" ref="A192">IFERROR(INDEX('03.Muestra'!$B$8:$B$42,SMALL(IF("Página Web"='03.Muestra'!$D$8:$D$42,ROW('03.Muestra'!$B$8:$B$42)-MIN(ROW('03.Muestra'!$D$8:$D$42))+1,""),ROW()-170)),"")</f>
        <v>1.0</v>
      </c>
      <c r="B192" s="114" t="str" cm="1">
        <f t="array" ref="B192">IFERROR(INDEX('03.Muestra'!$C$8:$C$42,SMALL(IF("Página Web"='03.Muestra'!$D$8:$D$42,ROW('03.Muestra'!$C$8:$C$42)-MIN(ROW('03.Muestra'!$D$8:$D$42))+1,""),ROW()-170)),"")</f>
        <v>Home - PortCastelló</v>
      </c>
      <c r="C192" s="114" t="str" cm="1">
        <f t="array" ref="C192">IFERROR(INDEX('03.Muestra'!$F$8:$F$42,SMALL(IF("Página Web"='03.Muestra'!$D$8:$D$42,ROW('03.Muestra'!$F$8:$F$42)-MIN(ROW('03.Muestra'!$D$8:$D$42))+1,""),ROW()-170)),"")</f>
        <v>https://www.portcastello.com/</v>
      </c>
      <c r="D192" s="130" t="str">
        <f t="shared" si="9"/>
        <v>N/T</v>
      </c>
      <c r="E192" s="107" t="str">
        <f t="shared" si="8"/>
        <v/>
      </c>
      <c r="F192" s="19"/>
      <c r="G192" s="19"/>
      <c r="H192" s="19"/>
      <c r="I192" s="19"/>
      <c r="J192" s="19"/>
      <c r="K192" s="233"/>
      <c r="L192" s="19"/>
      <c r="M192" s="19"/>
      <c r="N192" s="19"/>
      <c r="O192" s="19"/>
      <c r="P192" s="19"/>
      <c r="Q192" s="19"/>
      <c r="R192" s="19"/>
      <c r="S192" s="19"/>
      <c r="T192" s="19"/>
      <c r="U192" s="19"/>
      <c r="V192" s="19"/>
      <c r="W192" s="19"/>
      <c r="X192" s="19"/>
      <c r="Y192" s="19"/>
    </row>
    <row r="193" spans="1:25" ht="14.1" customHeight="1">
      <c r="A193" s="219" t="n" cm="1">
        <f t="array" ref="A193">IFERROR(INDEX('03.Muestra'!$B$8:$B$42,SMALL(IF("Página Web"='03.Muestra'!$D$8:$D$42,ROW('03.Muestra'!$B$8:$B$42)-MIN(ROW('03.Muestra'!$D$8:$D$42))+1,""),ROW()-170)),"")</f>
        <v>1.0</v>
      </c>
      <c r="B193" s="114" t="str" cm="1">
        <f t="array" ref="B193">IFERROR(INDEX('03.Muestra'!$C$8:$C$42,SMALL(IF("Página Web"='03.Muestra'!$D$8:$D$42,ROW('03.Muestra'!$C$8:$C$42)-MIN(ROW('03.Muestra'!$D$8:$D$42))+1,""),ROW()-170)),"")</f>
        <v>Home - PortCastelló</v>
      </c>
      <c r="C193" s="114" t="str" cm="1">
        <f t="array" ref="C193">IFERROR(INDEX('03.Muestra'!$F$8:$F$42,SMALL(IF("Página Web"='03.Muestra'!$D$8:$D$42,ROW('03.Muestra'!$F$8:$F$42)-MIN(ROW('03.Muestra'!$D$8:$D$42))+1,""),ROW()-170)),"")</f>
        <v>https://www.portcastello.com/</v>
      </c>
      <c r="D193" s="130" t="str">
        <f t="shared" si="9"/>
        <v>N/T</v>
      </c>
      <c r="E193" s="107" t="str">
        <f t="shared" si="8"/>
        <v/>
      </c>
      <c r="F193" s="19"/>
      <c r="G193" s="19"/>
      <c r="H193" s="19"/>
      <c r="I193" s="19"/>
      <c r="J193" s="19"/>
      <c r="K193" s="233"/>
      <c r="L193" s="19"/>
      <c r="M193" s="19"/>
      <c r="N193" s="19"/>
      <c r="O193" s="19"/>
      <c r="P193" s="19"/>
      <c r="Q193" s="19"/>
      <c r="R193" s="19"/>
      <c r="S193" s="19"/>
      <c r="T193" s="19"/>
      <c r="U193" s="19"/>
      <c r="V193" s="19"/>
      <c r="W193" s="19"/>
      <c r="X193" s="19"/>
      <c r="Y193" s="19"/>
    </row>
    <row r="194" spans="1:25" ht="12" customHeight="1">
      <c r="A194" s="219" t="n" cm="1">
        <f t="array" ref="A194">IFERROR(INDEX('03.Muestra'!$B$8:$B$42,SMALL(IF("Página Web"='03.Muestra'!$D$8:$D$42,ROW('03.Muestra'!$B$8:$B$42)-MIN(ROW('03.Muestra'!$D$8:$D$42))+1,""),ROW()-170)),"")</f>
        <v>1.0</v>
      </c>
      <c r="B194" s="114" t="str" cm="1">
        <f t="array" ref="B194">IFERROR(INDEX('03.Muestra'!$C$8:$C$42,SMALL(IF("Página Web"='03.Muestra'!$D$8:$D$42,ROW('03.Muestra'!$C$8:$C$42)-MIN(ROW('03.Muestra'!$D$8:$D$42))+1,""),ROW()-170)),"")</f>
        <v>Home - PortCastelló</v>
      </c>
      <c r="C194" s="114" t="str" cm="1">
        <f t="array" ref="C194">IFERROR(INDEX('03.Muestra'!$F$8:$F$42,SMALL(IF("Página Web"='03.Muestra'!$D$8:$D$42,ROW('03.Muestra'!$F$8:$F$42)-MIN(ROW('03.Muestra'!$D$8:$D$42))+1,""),ROW()-170)),"")</f>
        <v>https://www.portcastello.com/</v>
      </c>
      <c r="D194" s="130" t="str">
        <f t="shared" si="9"/>
        <v>N/T</v>
      </c>
      <c r="E194" s="107" t="str">
        <f t="shared" si="8"/>
        <v/>
      </c>
      <c r="F194" s="19"/>
      <c r="G194" s="19"/>
      <c r="H194" s="19"/>
      <c r="I194" s="19"/>
      <c r="J194" s="19"/>
      <c r="K194" s="233"/>
      <c r="L194" s="19"/>
      <c r="M194" s="19"/>
      <c r="N194" s="19"/>
      <c r="O194" s="19"/>
      <c r="P194" s="19"/>
      <c r="Q194" s="19"/>
      <c r="R194" s="19"/>
      <c r="S194" s="19"/>
      <c r="T194" s="19"/>
      <c r="U194" s="19"/>
      <c r="V194" s="19"/>
      <c r="W194" s="19"/>
      <c r="X194" s="19"/>
      <c r="Y194" s="19"/>
    </row>
    <row r="195" spans="1:25" ht="12" customHeight="1">
      <c r="A195" s="219" t="n" cm="1">
        <f t="array" ref="A195">IFERROR(INDEX('03.Muestra'!$B$8:$B$42,SMALL(IF("Página Web"='03.Muestra'!$D$8:$D$42,ROW('03.Muestra'!$B$8:$B$42)-MIN(ROW('03.Muestra'!$D$8:$D$42))+1,""),ROW()-170)),"")</f>
        <v>1.0</v>
      </c>
      <c r="B195" s="114" t="str" cm="1">
        <f t="array" ref="B195">IFERROR(INDEX('03.Muestra'!$C$8:$C$42,SMALL(IF("Página Web"='03.Muestra'!$D$8:$D$42,ROW('03.Muestra'!$C$8:$C$42)-MIN(ROW('03.Muestra'!$D$8:$D$42))+1,""),ROW()-170)),"")</f>
        <v>Home - PortCastelló</v>
      </c>
      <c r="C195" s="114" t="str" cm="1">
        <f t="array" ref="C195">IFERROR(INDEX('03.Muestra'!$F$8:$F$42,SMALL(IF("Página Web"='03.Muestra'!$D$8:$D$42,ROW('03.Muestra'!$F$8:$F$42)-MIN(ROW('03.Muestra'!$D$8:$D$42))+1,""),ROW()-170)),"")</f>
        <v>https://www.portcastello.com/</v>
      </c>
      <c r="D195" s="130" t="str">
        <f t="shared" si="9"/>
        <v>N/T</v>
      </c>
      <c r="E195" s="107" t="str">
        <f t="shared" si="8"/>
        <v/>
      </c>
      <c r="F195" s="19"/>
      <c r="G195" s="19"/>
      <c r="H195" s="19"/>
      <c r="I195" s="19"/>
      <c r="J195" s="19"/>
      <c r="K195" s="233"/>
      <c r="L195" s="19"/>
      <c r="M195" s="19"/>
      <c r="N195" s="19"/>
      <c r="O195" s="19"/>
      <c r="P195" s="19"/>
      <c r="Q195" s="19"/>
      <c r="R195" s="19"/>
      <c r="S195" s="19"/>
      <c r="T195" s="19"/>
      <c r="U195" s="19"/>
      <c r="V195" s="19"/>
      <c r="W195" s="19"/>
      <c r="X195" s="19"/>
      <c r="Y195" s="19"/>
    </row>
    <row r="196" spans="1:25" ht="12" customHeight="1">
      <c r="A196" s="219" t="n" cm="1">
        <f t="array" ref="A196">IFERROR(INDEX('03.Muestra'!$B$8:$B$42,SMALL(IF("Página Web"='03.Muestra'!$D$8:$D$42,ROW('03.Muestra'!$B$8:$B$42)-MIN(ROW('03.Muestra'!$D$8:$D$42))+1,""),ROW()-170)),"")</f>
        <v>1.0</v>
      </c>
      <c r="B196" s="114" t="str" cm="1">
        <f t="array" ref="B196">IFERROR(INDEX('03.Muestra'!$C$8:$C$42,SMALL(IF("Página Web"='03.Muestra'!$D$8:$D$42,ROW('03.Muestra'!$C$8:$C$42)-MIN(ROW('03.Muestra'!$D$8:$D$42))+1,""),ROW()-170)),"")</f>
        <v>Home - PortCastelló</v>
      </c>
      <c r="C196" s="114" t="str" cm="1">
        <f t="array" ref="C196">IFERROR(INDEX('03.Muestra'!$F$8:$F$42,SMALL(IF("Página Web"='03.Muestra'!$D$8:$D$42,ROW('03.Muestra'!$F$8:$F$42)-MIN(ROW('03.Muestra'!$D$8:$D$42))+1,""),ROW()-170)),"")</f>
        <v>https://www.portcastello.com/</v>
      </c>
      <c r="D196" s="130" t="str">
        <f t="shared" si="9"/>
        <v>N/T</v>
      </c>
      <c r="E196" s="107" t="str">
        <f t="shared" si="8"/>
        <v/>
      </c>
      <c r="F196" s="19"/>
      <c r="G196" s="19"/>
      <c r="H196" s="19"/>
      <c r="I196" s="19"/>
      <c r="J196" s="19"/>
      <c r="K196" s="233"/>
      <c r="L196" s="19"/>
      <c r="M196" s="19"/>
      <c r="N196" s="19"/>
      <c r="O196" s="19"/>
      <c r="P196" s="19"/>
      <c r="Q196" s="19"/>
      <c r="R196" s="19"/>
      <c r="S196" s="19"/>
      <c r="T196" s="19"/>
      <c r="U196" s="19"/>
      <c r="V196" s="19"/>
      <c r="W196" s="19"/>
      <c r="X196" s="19"/>
      <c r="Y196" s="19"/>
    </row>
    <row r="197" spans="1:25" ht="12" customHeight="1">
      <c r="A197" s="219" t="n" cm="1">
        <f t="array" ref="A197">IFERROR(INDEX('03.Muestra'!$B$8:$B$42,SMALL(IF("Página Web"='03.Muestra'!$D$8:$D$42,ROW('03.Muestra'!$B$8:$B$42)-MIN(ROW('03.Muestra'!$D$8:$D$42))+1,""),ROW()-170)),"")</f>
        <v>1.0</v>
      </c>
      <c r="B197" s="114" t="str" cm="1">
        <f t="array" ref="B197">IFERROR(INDEX('03.Muestra'!$C$8:$C$42,SMALL(IF("Página Web"='03.Muestra'!$D$8:$D$42,ROW('03.Muestra'!$C$8:$C$42)-MIN(ROW('03.Muestra'!$D$8:$D$42))+1,""),ROW()-170)),"")</f>
        <v>Home - PortCastelló</v>
      </c>
      <c r="C197" s="114" t="str" cm="1">
        <f t="array" ref="C197">IFERROR(INDEX('03.Muestra'!$F$8:$F$42,SMALL(IF("Página Web"='03.Muestra'!$D$8:$D$42,ROW('03.Muestra'!$F$8:$F$42)-MIN(ROW('03.Muestra'!$D$8:$D$42))+1,""),ROW()-170)),"")</f>
        <v>https://www.portcastello.com/</v>
      </c>
      <c r="D197" s="130" t="str">
        <f t="shared" si="9"/>
        <v>N/T</v>
      </c>
      <c r="E197" s="107" t="str">
        <f t="shared" si="8"/>
        <v/>
      </c>
      <c r="F197" s="19"/>
      <c r="G197" s="19"/>
      <c r="H197" s="19"/>
      <c r="I197" s="19"/>
      <c r="J197" s="19"/>
      <c r="K197" s="233"/>
      <c r="L197" s="19"/>
      <c r="M197" s="19"/>
      <c r="N197" s="19"/>
      <c r="O197" s="19"/>
      <c r="P197" s="19"/>
      <c r="Q197" s="19"/>
      <c r="R197" s="19"/>
      <c r="S197" s="19"/>
      <c r="T197" s="19"/>
      <c r="U197" s="19"/>
      <c r="V197" s="19"/>
      <c r="W197" s="19"/>
      <c r="X197" s="19"/>
      <c r="Y197" s="19"/>
    </row>
    <row r="198" spans="1:25" ht="12" customHeight="1">
      <c r="A198" s="219" t="n" cm="1">
        <f t="array" ref="A198">IFERROR(INDEX('03.Muestra'!$B$8:$B$42,SMALL(IF("Página Web"='03.Muestra'!$D$8:$D$42,ROW('03.Muestra'!$B$8:$B$42)-MIN(ROW('03.Muestra'!$D$8:$D$42))+1,""),ROW()-170)),"")</f>
        <v>1.0</v>
      </c>
      <c r="B198" s="114" t="str" cm="1">
        <f t="array" ref="B198">IFERROR(INDEX('03.Muestra'!$C$8:$C$42,SMALL(IF("Página Web"='03.Muestra'!$D$8:$D$42,ROW('03.Muestra'!$C$8:$C$42)-MIN(ROW('03.Muestra'!$D$8:$D$42))+1,""),ROW()-170)),"")</f>
        <v>Home - PortCastelló</v>
      </c>
      <c r="C198" s="114" t="str" cm="1">
        <f t="array" ref="C198">IFERROR(INDEX('03.Muestra'!$F$8:$F$42,SMALL(IF("Página Web"='03.Muestra'!$D$8:$D$42,ROW('03.Muestra'!$F$8:$F$42)-MIN(ROW('03.Muestra'!$D$8:$D$42))+1,""),ROW()-170)),"")</f>
        <v>https://www.portcastello.com/</v>
      </c>
      <c r="D198" s="130" t="str">
        <f t="shared" si="9"/>
        <v>N/T</v>
      </c>
      <c r="E198" s="107" t="str">
        <f t="shared" si="8"/>
        <v/>
      </c>
      <c r="G198" s="19"/>
      <c r="H198" s="19"/>
      <c r="I198" s="19"/>
      <c r="J198" s="19"/>
      <c r="K198" s="233"/>
      <c r="L198" s="19"/>
      <c r="M198" s="19"/>
      <c r="N198" s="19"/>
      <c r="O198" s="19"/>
      <c r="P198" s="19"/>
      <c r="Q198" s="19"/>
      <c r="R198" s="19"/>
      <c r="S198" s="19"/>
      <c r="T198" s="19"/>
      <c r="U198" s="19"/>
      <c r="V198" s="19"/>
      <c r="W198" s="19"/>
      <c r="X198" s="19"/>
      <c r="Y198" s="19"/>
    </row>
    <row r="199" spans="1:25" ht="12" customHeight="1">
      <c r="A199" s="219" t="n" cm="1">
        <f t="array" ref="A199">IFERROR(INDEX('03.Muestra'!$B$8:$B$42,SMALL(IF("Página Web"='03.Muestra'!$D$8:$D$42,ROW('03.Muestra'!$B$8:$B$42)-MIN(ROW('03.Muestra'!$D$8:$D$42))+1,""),ROW()-170)),"")</f>
        <v>1.0</v>
      </c>
      <c r="B199" s="114" t="str" cm="1">
        <f t="array" ref="B199">IFERROR(INDEX('03.Muestra'!$C$8:$C$42,SMALL(IF("Página Web"='03.Muestra'!$D$8:$D$42,ROW('03.Muestra'!$C$8:$C$42)-MIN(ROW('03.Muestra'!$D$8:$D$42))+1,""),ROW()-170)),"")</f>
        <v>Home - PortCastelló</v>
      </c>
      <c r="C199" s="114" t="str" cm="1">
        <f t="array" ref="C199">IFERROR(INDEX('03.Muestra'!$F$8:$F$42,SMALL(IF("Página Web"='03.Muestra'!$D$8:$D$42,ROW('03.Muestra'!$F$8:$F$42)-MIN(ROW('03.Muestra'!$D$8:$D$42))+1,""),ROW()-170)),"")</f>
        <v>https://www.portcastello.com/</v>
      </c>
      <c r="D199" s="130" t="str">
        <f t="shared" si="9"/>
        <v>N/T</v>
      </c>
      <c r="E199" s="107" t="str">
        <f t="shared" si="8"/>
        <v/>
      </c>
      <c r="F199" s="124"/>
      <c r="G199" s="19"/>
      <c r="H199" s="19"/>
      <c r="I199" s="19"/>
      <c r="J199" s="19"/>
      <c r="K199" s="233"/>
      <c r="L199" s="19"/>
      <c r="M199" s="19"/>
      <c r="N199" s="19"/>
      <c r="O199" s="19"/>
      <c r="P199" s="19"/>
      <c r="Q199" s="19"/>
      <c r="R199" s="19"/>
      <c r="S199" s="19"/>
      <c r="T199" s="19"/>
      <c r="U199" s="19"/>
      <c r="V199" s="19"/>
      <c r="W199" s="19"/>
      <c r="X199" s="19"/>
      <c r="Y199" s="19"/>
    </row>
    <row r="200" spans="1:25" ht="12" customHeight="1">
      <c r="A200" s="219" t="n" cm="1">
        <f t="array" ref="A200">IFERROR(INDEX('03.Muestra'!$B$8:$B$42,SMALL(IF("Página Web"='03.Muestra'!$D$8:$D$42,ROW('03.Muestra'!$B$8:$B$42)-MIN(ROW('03.Muestra'!$D$8:$D$42))+1,""),ROW()-170)),"")</f>
        <v>1.0</v>
      </c>
      <c r="B200" s="114" t="str" cm="1">
        <f t="array" ref="B200">IFERROR(INDEX('03.Muestra'!$C$8:$C$42,SMALL(IF("Página Web"='03.Muestra'!$D$8:$D$42,ROW('03.Muestra'!$C$8:$C$42)-MIN(ROW('03.Muestra'!$D$8:$D$42))+1,""),ROW()-170)),"")</f>
        <v>Home - PortCastelló</v>
      </c>
      <c r="C200" s="114" t="str" cm="1">
        <f t="array" ref="C200">IFERROR(INDEX('03.Muestra'!$F$8:$F$42,SMALL(IF("Página Web"='03.Muestra'!$D$8:$D$42,ROW('03.Muestra'!$F$8:$F$42)-MIN(ROW('03.Muestra'!$D$8:$D$42))+1,""),ROW()-170)),"")</f>
        <v>https://www.portcastello.com/</v>
      </c>
      <c r="D200" s="130" t="str">
        <f t="shared" si="9"/>
        <v>N/T</v>
      </c>
      <c r="E200" s="107" t="str">
        <f t="shared" si="8"/>
        <v/>
      </c>
      <c r="F200" s="124"/>
      <c r="G200" s="19"/>
      <c r="H200" s="19"/>
      <c r="I200" s="19"/>
      <c r="J200" s="19"/>
      <c r="K200" s="233"/>
      <c r="L200" s="19"/>
      <c r="M200" s="19"/>
      <c r="N200" s="19"/>
      <c r="O200" s="19"/>
      <c r="P200" s="19"/>
      <c r="Q200" s="19"/>
      <c r="R200" s="19"/>
      <c r="S200" s="19"/>
      <c r="T200" s="19"/>
      <c r="U200" s="19"/>
      <c r="V200" s="19"/>
      <c r="W200" s="19"/>
      <c r="X200" s="19"/>
      <c r="Y200" s="19"/>
    </row>
    <row r="201" spans="1:25" ht="12" customHeight="1">
      <c r="A201" s="219" t="n" cm="1">
        <f t="array" ref="A201">IFERROR(INDEX('03.Muestra'!$B$8:$B$42,SMALL(IF("Página Web"='03.Muestra'!$D$8:$D$42,ROW('03.Muestra'!$B$8:$B$42)-MIN(ROW('03.Muestra'!$D$8:$D$42))+1,""),ROW()-170)),"")</f>
        <v>1.0</v>
      </c>
      <c r="B201" s="114" t="str" cm="1">
        <f t="array" ref="B201">IFERROR(INDEX('03.Muestra'!$C$8:$C$42,SMALL(IF("Página Web"='03.Muestra'!$D$8:$D$42,ROW('03.Muestra'!$C$8:$C$42)-MIN(ROW('03.Muestra'!$D$8:$D$42))+1,""),ROW()-170)),"")</f>
        <v>Home - PortCastelló</v>
      </c>
      <c r="C201" s="114" t="str" cm="1">
        <f t="array" ref="C201">IFERROR(INDEX('03.Muestra'!$F$8:$F$42,SMALL(IF("Página Web"='03.Muestra'!$D$8:$D$42,ROW('03.Muestra'!$F$8:$F$42)-MIN(ROW('03.Muestra'!$D$8:$D$42))+1,""),ROW()-170)),"")</f>
        <v>https://www.portcastello.com/</v>
      </c>
      <c r="D201" s="130" t="str">
        <f t="shared" si="9"/>
        <v>N/T</v>
      </c>
      <c r="E201" s="107" t="str">
        <f t="shared" si="8"/>
        <v/>
      </c>
      <c r="F201" s="124"/>
      <c r="G201" s="19"/>
      <c r="H201" s="19"/>
      <c r="I201" s="19"/>
      <c r="J201" s="19"/>
      <c r="K201" s="233"/>
      <c r="L201" s="19"/>
      <c r="M201" s="19"/>
      <c r="N201" s="19"/>
      <c r="O201" s="19"/>
      <c r="P201" s="19"/>
      <c r="Q201" s="19"/>
      <c r="R201" s="19"/>
      <c r="S201" s="19"/>
      <c r="T201" s="19"/>
      <c r="U201" s="19"/>
      <c r="V201" s="19"/>
      <c r="W201" s="19"/>
      <c r="X201" s="19"/>
      <c r="Y201" s="19"/>
    </row>
    <row r="202" spans="1:25" ht="12" customHeight="1">
      <c r="A202" s="219" t="n" cm="1">
        <f t="array" ref="A202">IFERROR(INDEX('03.Muestra'!$B$8:$B$42,SMALL(IF("Página Web"='03.Muestra'!$D$8:$D$42,ROW('03.Muestra'!$B$8:$B$42)-MIN(ROW('03.Muestra'!$D$8:$D$42))+1,""),ROW()-170)),"")</f>
        <v>1.0</v>
      </c>
      <c r="B202" s="114" t="str" cm="1">
        <f t="array" ref="B202">IFERROR(INDEX('03.Muestra'!$C$8:$C$42,SMALL(IF("Página Web"='03.Muestra'!$D$8:$D$42,ROW('03.Muestra'!$C$8:$C$42)-MIN(ROW('03.Muestra'!$D$8:$D$42))+1,""),ROW()-170)),"")</f>
        <v>Home - PortCastelló</v>
      </c>
      <c r="C202" s="114" t="str" cm="1">
        <f t="array" ref="C202">IFERROR(INDEX('03.Muestra'!$F$8:$F$42,SMALL(IF("Página Web"='03.Muestra'!$D$8:$D$42,ROW('03.Muestra'!$F$8:$F$42)-MIN(ROW('03.Muestra'!$D$8:$D$42))+1,""),ROW()-170)),"")</f>
        <v>https://www.portcastello.com/</v>
      </c>
      <c r="D202" s="130" t="str">
        <f t="shared" si="9"/>
        <v>N/T</v>
      </c>
      <c r="E202" s="107" t="str">
        <f t="shared" si="8"/>
        <v/>
      </c>
      <c r="F202" s="124"/>
      <c r="G202" s="19"/>
      <c r="H202" s="19"/>
      <c r="I202" s="19"/>
      <c r="J202" s="19"/>
      <c r="K202" s="233"/>
      <c r="L202" s="19"/>
      <c r="M202" s="19"/>
      <c r="N202" s="19"/>
      <c r="O202" s="19"/>
      <c r="P202" s="19"/>
      <c r="Q202" s="19"/>
      <c r="R202" s="19"/>
      <c r="S202" s="19"/>
      <c r="T202" s="19"/>
      <c r="U202" s="19"/>
      <c r="V202" s="19"/>
      <c r="W202" s="19"/>
      <c r="X202" s="19"/>
      <c r="Y202" s="19"/>
    </row>
    <row r="203" spans="1:25" ht="12" customHeight="1">
      <c r="A203" s="219" t="n" cm="1">
        <f t="array" ref="A203">IFERROR(INDEX('03.Muestra'!$B$8:$B$42,SMALL(IF("Página Web"='03.Muestra'!$D$8:$D$42,ROW('03.Muestra'!$B$8:$B$42)-MIN(ROW('03.Muestra'!$D$8:$D$42))+1,""),ROW()-170)),"")</f>
        <v>1.0</v>
      </c>
      <c r="B203" s="114" t="str" cm="1">
        <f t="array" ref="B203">IFERROR(INDEX('03.Muestra'!$C$8:$C$42,SMALL(IF("Página Web"='03.Muestra'!$D$8:$D$42,ROW('03.Muestra'!$C$8:$C$42)-MIN(ROW('03.Muestra'!$D$8:$D$42))+1,""),ROW()-170)),"")</f>
        <v>Home - PortCastelló</v>
      </c>
      <c r="C203" s="114" t="str" cm="1">
        <f t="array" ref="C203">IFERROR(INDEX('03.Muestra'!$F$8:$F$42,SMALL(IF("Página Web"='03.Muestra'!$D$8:$D$42,ROW('03.Muestra'!$F$8:$F$42)-MIN(ROW('03.Muestra'!$D$8:$D$42))+1,""),ROW()-170)),"")</f>
        <v>https://www.portcastello.com/</v>
      </c>
      <c r="D203" s="130" t="str">
        <f t="shared" si="9"/>
        <v>N/T</v>
      </c>
      <c r="E203" s="107" t="str">
        <f t="shared" si="8"/>
        <v/>
      </c>
      <c r="F203" s="124"/>
      <c r="G203" s="19"/>
      <c r="H203" s="19"/>
      <c r="I203" s="19"/>
      <c r="J203" s="19"/>
      <c r="K203" s="233"/>
      <c r="L203" s="19"/>
      <c r="M203" s="19"/>
      <c r="N203" s="19"/>
      <c r="O203" s="19"/>
      <c r="P203" s="19"/>
      <c r="Q203" s="19"/>
      <c r="R203" s="19"/>
      <c r="S203" s="19"/>
      <c r="T203" s="19"/>
      <c r="U203" s="19"/>
      <c r="V203" s="19"/>
      <c r="W203" s="19"/>
      <c r="X203" s="19"/>
      <c r="Y203" s="19"/>
    </row>
    <row r="204" spans="1:25" ht="12" customHeight="1">
      <c r="A204" s="219" t="str" cm="1">
        <f t="array" ref="A204">IFERROR(INDEX('03.Muestra'!$B$8:$B$42,SMALL(IF("Página Web"='03.Muestra'!$D$8:$D$42,ROW('03.Muestra'!$B$8:$B$42)-MIN(ROW('03.Muestra'!$D$8:$D$42))+1,""),ROW()-170)),"")</f>
        <v/>
      </c>
      <c r="B204" s="114" t="str" cm="1">
        <f t="array" ref="B204">IFERROR(INDEX('03.Muestra'!$C$8:$C$42,SMALL(IF("Página Web"='03.Muestra'!$D$8:$D$42,ROW('03.Muestra'!$C$8:$C$42)-MIN(ROW('03.Muestra'!$D$8:$D$42))+1,""),ROW()-170)),"")</f>
        <v/>
      </c>
      <c r="C204" s="114" t="str" cm="1">
        <f t="array" ref="C204">IFERROR(INDEX('03.Muestra'!$F$8:$F$42,SMALL(IF("Página Web"='03.Muestra'!$D$8:$D$42,ROW('03.Muestra'!$F$8:$F$42)-MIN(ROW('03.Muestra'!$D$8:$D$42))+1,""),ROW()-170)),"")</f>
        <v/>
      </c>
      <c r="D204" s="130" t="str">
        <f t="shared" si="9"/>
        <v/>
      </c>
      <c r="E204" s="107" t="str">
        <f t="shared" si="8"/>
        <v/>
      </c>
      <c r="F204" s="124"/>
      <c r="G204" s="19"/>
      <c r="H204" s="19"/>
      <c r="I204" s="19"/>
      <c r="J204" s="19"/>
      <c r="K204" s="233"/>
      <c r="L204" s="19"/>
      <c r="M204" s="19"/>
      <c r="N204" s="19"/>
      <c r="O204" s="19"/>
      <c r="P204" s="19"/>
      <c r="Q204" s="19"/>
      <c r="R204" s="19"/>
      <c r="S204" s="19"/>
      <c r="T204" s="19"/>
      <c r="U204" s="19"/>
      <c r="V204" s="19"/>
      <c r="W204" s="19"/>
      <c r="X204" s="19"/>
      <c r="Y204" s="19"/>
    </row>
    <row r="205" spans="1:25" ht="12" customHeight="1">
      <c r="A205" s="219" t="str" cm="1">
        <f t="array" ref="A205">IFERROR(INDEX('03.Muestra'!$B$8:$B$42,SMALL(IF("Página Web"='03.Muestra'!$D$8:$D$42,ROW('03.Muestra'!$B$8:$B$42)-MIN(ROW('03.Muestra'!$D$8:$D$42))+1,""),ROW()-170)),"")</f>
        <v/>
      </c>
      <c r="B205" s="114" t="str" cm="1">
        <f t="array" ref="B205">IFERROR(INDEX('03.Muestra'!$C$8:$C$42,SMALL(IF("Página Web"='03.Muestra'!$D$8:$D$42,ROW('03.Muestra'!$C$8:$C$42)-MIN(ROW('03.Muestra'!$D$8:$D$42))+1,""),ROW()-170)),"")</f>
        <v/>
      </c>
      <c r="C205" s="114" t="str" cm="1">
        <f t="array" ref="C205">IFERROR(INDEX('03.Muestra'!$F$8:$F$42,SMALL(IF("Página Web"='03.Muestra'!$D$8:$D$42,ROW('03.Muestra'!$F$8:$F$42)-MIN(ROW('03.Muestra'!$D$8:$D$42))+1,""),ROW()-170)),"")</f>
        <v/>
      </c>
      <c r="D205" s="130" t="str">
        <f t="shared" si="9"/>
        <v/>
      </c>
      <c r="E205" s="107" t="str">
        <f t="shared" si="8"/>
        <v/>
      </c>
      <c r="F205" s="19"/>
      <c r="G205" s="19"/>
      <c r="H205" s="19"/>
      <c r="I205" s="19"/>
      <c r="J205" s="19"/>
      <c r="K205" s="233"/>
      <c r="L205" s="19"/>
      <c r="M205" s="19"/>
      <c r="N205" s="19"/>
      <c r="O205" s="19"/>
      <c r="P205" s="19"/>
      <c r="Q205" s="19"/>
      <c r="R205" s="19"/>
      <c r="S205" s="19"/>
      <c r="T205" s="19"/>
      <c r="U205" s="19"/>
      <c r="V205" s="19"/>
      <c r="W205" s="19"/>
      <c r="X205" s="19"/>
      <c r="Y205" s="19"/>
    </row>
    <row r="206" spans="1:25" ht="12" customHeight="1">
      <c r="B206" s="19"/>
      <c r="C206" s="19"/>
      <c r="D206" s="107"/>
      <c r="E206" s="107"/>
      <c r="F206" s="19"/>
      <c r="G206" s="19"/>
      <c r="H206" s="19"/>
      <c r="I206" s="19"/>
      <c r="J206" s="19"/>
      <c r="K206" s="233"/>
      <c r="L206" s="19"/>
      <c r="M206" s="19"/>
      <c r="N206" s="19"/>
      <c r="O206" s="19"/>
      <c r="P206" s="19"/>
      <c r="Q206" s="19"/>
      <c r="R206" s="19"/>
      <c r="S206" s="19"/>
      <c r="T206" s="19"/>
      <c r="U206" s="19"/>
      <c r="V206" s="19"/>
      <c r="W206" s="19"/>
      <c r="X206" s="19"/>
      <c r="Y206" s="19"/>
    </row>
    <row r="207" spans="1:25" ht="12" customHeight="1">
      <c r="B207" s="19"/>
      <c r="C207" s="19"/>
      <c r="D207" s="107"/>
      <c r="E207" s="112"/>
      <c r="F207" s="19"/>
      <c r="G207" s="19"/>
      <c r="H207" s="19"/>
      <c r="I207" s="19"/>
      <c r="J207" s="19"/>
      <c r="K207" s="233"/>
      <c r="L207" s="19"/>
      <c r="M207" s="19"/>
      <c r="N207" s="19"/>
      <c r="O207" s="19"/>
      <c r="P207" s="19"/>
      <c r="Q207" s="19"/>
      <c r="R207" s="19"/>
      <c r="S207" s="19"/>
      <c r="T207" s="19"/>
      <c r="U207" s="19"/>
      <c r="V207" s="19"/>
      <c r="W207" s="19"/>
      <c r="X207" s="19"/>
      <c r="Y207" s="19"/>
    </row>
    <row r="208" spans="1:25" ht="32.25" customHeight="1">
      <c r="A208" s="218" t="s">
        <v>268</v>
      </c>
      <c r="B208" s="24" t="s">
        <v>90</v>
      </c>
      <c r="C208" s="25" t="s">
        <v>258</v>
      </c>
      <c r="D208" s="26" t="s">
        <v>32</v>
      </c>
      <c r="E208" s="123"/>
      <c r="K208" s="233"/>
      <c r="L208" s="19"/>
      <c r="M208" s="19"/>
      <c r="N208" s="19"/>
      <c r="O208" s="19"/>
      <c r="P208" s="19"/>
      <c r="Q208" s="19"/>
      <c r="R208" s="19"/>
      <c r="S208" s="19"/>
      <c r="T208" s="19"/>
      <c r="U208" s="19"/>
      <c r="V208" s="19"/>
      <c r="W208" s="19"/>
      <c r="X208" s="19"/>
      <c r="Y208" s="19"/>
    </row>
    <row r="209" spans="1:25" ht="12" customHeight="1">
      <c r="A209" s="219" t="n" cm="1">
        <f t="array" ref="A209">IFERROR(INDEX('03.Muestra'!$B$8:$B$42,SMALL(IF("Página Web"='03.Muestra'!$D$8:$D$42,ROW('03.Muestra'!$B$8:$B$42)-MIN(ROW('03.Muestra'!$D$8:$D$42))+1,""),ROW()-208)),"")</f>
        <v>1.0</v>
      </c>
      <c r="B209" s="114" t="str" cm="1">
        <f t="array" ref="B209">IFERROR(INDEX('03.Muestra'!$C$8:$C$42,SMALL(IF("Página Web"='03.Muestra'!$D$8:$D$42,ROW('03.Muestra'!$C$8:$C$42)-MIN(ROW('03.Muestra'!$D$8:$D$42))+1,""),ROW()-208)),"")</f>
        <v>Home - PortCastelló</v>
      </c>
      <c r="C209" s="114" t="str" cm="1">
        <f t="array" ref="C209">IFERROR(INDEX('03.Muestra'!$F$8:$F$42,SMALL(IF("Página Web"='03.Muestra'!$D$8:$D$42,ROW('03.Muestra'!$F$8:$F$42)-MIN(ROW('03.Muestra'!$D$8:$D$42))+1,""),ROW()-208)),"")</f>
        <v>https://www.portcastello.com/</v>
      </c>
      <c r="D209" s="130" t="str">
        <f>IF(AND(B209&lt;&gt;"",C209&lt;&gt;""),"N/T","")</f>
        <v>N/T</v>
      </c>
      <c r="E209" s="107" t="str">
        <f t="shared" ref="E209:E243" si="10">IF(D209&lt;&gt;"",IF(AND(B209&lt;&gt;"",C209&lt;&gt;""),"","ERR"),"")</f>
        <v/>
      </c>
      <c r="F209" s="115" t="s">
        <v>33</v>
      </c>
      <c r="G209" s="116" t="s">
        <v>37</v>
      </c>
      <c r="H209" s="117" t="s">
        <v>35</v>
      </c>
      <c r="I209" s="118" t="s">
        <v>28</v>
      </c>
      <c r="J209" s="119" t="s">
        <v>26</v>
      </c>
      <c r="K209" s="226" t="s">
        <v>474</v>
      </c>
      <c r="L209" s="19"/>
      <c r="M209" s="19"/>
      <c r="N209" s="19"/>
      <c r="O209" s="19"/>
      <c r="P209" s="19"/>
      <c r="Q209" s="19"/>
      <c r="R209" s="19"/>
      <c r="S209" s="19"/>
      <c r="T209" s="19"/>
      <c r="U209" s="19"/>
      <c r="V209" s="19"/>
      <c r="W209" s="19"/>
      <c r="X209" s="19"/>
      <c r="Y209" s="19"/>
    </row>
    <row r="210" spans="1:25" ht="12" customHeight="1">
      <c r="A210" s="219" t="n" cm="1">
        <f t="array" ref="A210">IFERROR(INDEX('03.Muestra'!$B$8:$B$42,SMALL(IF("Página Web"='03.Muestra'!$D$8:$D$42,ROW('03.Muestra'!$B$8:$B$42)-MIN(ROW('03.Muestra'!$D$8:$D$42))+1,""),ROW()-208)),"")</f>
        <v>1.0</v>
      </c>
      <c r="B210" s="114" t="str" cm="1">
        <f t="array" ref="B210">IFERROR(INDEX('03.Muestra'!$C$8:$C$42,SMALL(IF("Página Web"='03.Muestra'!$D$8:$D$42,ROW('03.Muestra'!$C$8:$C$42)-MIN(ROW('03.Muestra'!$D$8:$D$42))+1,""),ROW()-208)),"")</f>
        <v>Home - PortCastelló</v>
      </c>
      <c r="C210" s="114" t="str" cm="1">
        <f t="array" ref="C210">IFERROR(INDEX('03.Muestra'!$F$8:$F$42,SMALL(IF("Página Web"='03.Muestra'!$D$8:$D$42,ROW('03.Muestra'!$F$8:$F$42)-MIN(ROW('03.Muestra'!$D$8:$D$42))+1,""),ROW()-208)),"")</f>
        <v>https://www.portcastello.com/</v>
      </c>
      <c r="D210" s="130" t="str">
        <f t="shared" ref="D210:D243" si="11">IF(AND(B210&lt;&gt;"",C210&lt;&gt;""),"N/T","")</f>
        <v>N/T</v>
      </c>
      <c r="E210" s="107" t="str">
        <f t="shared" si="10"/>
        <v/>
      </c>
      <c r="F210" s="120" t="n">
        <f ca="1">COUNTIF($D209:INDIRECT("$D" &amp;  SUM(ROW()-1,'03.Muestra'!$D$45)-1),F209)</f>
        <v>33.0</v>
      </c>
      <c r="G210" s="120" t="n">
        <f ca="1">COUNTIF($D209:INDIRECT("$D" &amp;  SUM(ROW()-1,'03.Muestra'!$D$45)-1),G209)</f>
        <v>0.0</v>
      </c>
      <c r="H210" s="120" t="n">
        <f ca="1">COUNTIF($D209:INDIRECT("$D" &amp;  SUM(ROW()-1,'03.Muestra'!$D$45)-1),H209)</f>
        <v>0.0</v>
      </c>
      <c r="I210" s="120" t="n">
        <f ca="1">COUNTIF($D209:INDIRECT("$D" &amp;  SUM(ROW()-1,'03.Muestra'!$D$45)-1),I209)</f>
        <v>0.0</v>
      </c>
      <c r="J210" s="120" t="n">
        <f ca="1">COUNTIF($D209:INDIRECT("$D" &amp;  SUM(ROW()-1,'03.Muestra'!$D$45)-1),J209)</f>
        <v>0.0</v>
      </c>
      <c r="K210" s="227" t="n">
        <f ca="1">IF(COUNTIF('03.Muestra'!$D$8:$D$42,"Página Web")=0,0,COUNTBLANK($D209:INDIRECT("$D" &amp;  SUM(ROW()-1,COUNTIF('03.Muestra'!$D$8:$D$42,"Página Web"))-1)))</f>
        <v>0.0</v>
      </c>
      <c r="L210" s="19"/>
      <c r="M210" s="19"/>
      <c r="N210" s="19"/>
      <c r="O210" s="19"/>
      <c r="P210" s="19"/>
      <c r="Q210" s="19"/>
      <c r="R210" s="19"/>
      <c r="S210" s="19"/>
      <c r="T210" s="19"/>
      <c r="U210" s="19"/>
      <c r="V210" s="19"/>
      <c r="W210" s="19"/>
      <c r="X210" s="19"/>
      <c r="Y210" s="19"/>
    </row>
    <row r="211" spans="1:25" ht="12" customHeight="1">
      <c r="A211" s="219" t="n" cm="1">
        <f t="array" ref="A211">IFERROR(INDEX('03.Muestra'!$B$8:$B$42,SMALL(IF("Página Web"='03.Muestra'!$D$8:$D$42,ROW('03.Muestra'!$B$8:$B$42)-MIN(ROW('03.Muestra'!$D$8:$D$42))+1,""),ROW()-208)),"")</f>
        <v>1.0</v>
      </c>
      <c r="B211" s="114" t="str" cm="1">
        <f t="array" ref="B211">IFERROR(INDEX('03.Muestra'!$C$8:$C$42,SMALL(IF("Página Web"='03.Muestra'!$D$8:$D$42,ROW('03.Muestra'!$C$8:$C$42)-MIN(ROW('03.Muestra'!$D$8:$D$42))+1,""),ROW()-208)),"")</f>
        <v>Home - PortCastelló</v>
      </c>
      <c r="C211" s="114" t="str" cm="1">
        <f t="array" ref="C211">IFERROR(INDEX('03.Muestra'!$F$8:$F$42,SMALL(IF("Página Web"='03.Muestra'!$D$8:$D$42,ROW('03.Muestra'!$F$8:$F$42)-MIN(ROW('03.Muestra'!$D$8:$D$42))+1,""),ROW()-208)),"")</f>
        <v>https://www.portcastello.com/</v>
      </c>
      <c r="D211" s="130" t="str">
        <f t="shared" si="11"/>
        <v>N/T</v>
      </c>
      <c r="E211" s="107" t="str">
        <f t="shared" si="10"/>
        <v/>
      </c>
      <c r="G211" s="19"/>
      <c r="H211" s="19"/>
      <c r="I211" s="19"/>
      <c r="J211" s="19"/>
      <c r="K211" s="233"/>
      <c r="L211" s="19"/>
      <c r="M211" s="19"/>
      <c r="N211" s="19"/>
      <c r="O211" s="19"/>
      <c r="P211" s="19"/>
      <c r="Q211" s="19"/>
      <c r="R211" s="19"/>
      <c r="S211" s="19"/>
      <c r="T211" s="19"/>
      <c r="U211" s="19"/>
      <c r="V211" s="19"/>
      <c r="W211" s="19"/>
      <c r="X211" s="19"/>
      <c r="Y211" s="19"/>
    </row>
    <row r="212" spans="1:25" ht="12" customHeight="1">
      <c r="A212" s="219" t="n" cm="1">
        <f t="array" ref="A212">IFERROR(INDEX('03.Muestra'!$B$8:$B$42,SMALL(IF("Página Web"='03.Muestra'!$D$8:$D$42,ROW('03.Muestra'!$B$8:$B$42)-MIN(ROW('03.Muestra'!$D$8:$D$42))+1,""),ROW()-208)),"")</f>
        <v>1.0</v>
      </c>
      <c r="B212" s="114" t="str" cm="1">
        <f t="array" ref="B212">IFERROR(INDEX('03.Muestra'!$C$8:$C$42,SMALL(IF("Página Web"='03.Muestra'!$D$8:$D$42,ROW('03.Muestra'!$C$8:$C$42)-MIN(ROW('03.Muestra'!$D$8:$D$42))+1,""),ROW()-208)),"")</f>
        <v>Home - PortCastelló</v>
      </c>
      <c r="C212" s="114" t="str" cm="1">
        <f t="array" ref="C212">IFERROR(INDEX('03.Muestra'!$F$8:$F$42,SMALL(IF("Página Web"='03.Muestra'!$D$8:$D$42,ROW('03.Muestra'!$F$8:$F$42)-MIN(ROW('03.Muestra'!$D$8:$D$42))+1,""),ROW()-208)),"")</f>
        <v>https://www.portcastello.com/</v>
      </c>
      <c r="D212" s="130" t="str">
        <f t="shared" si="11"/>
        <v>N/T</v>
      </c>
      <c r="E212" s="107" t="str">
        <f t="shared" si="10"/>
        <v/>
      </c>
      <c r="G212" s="19"/>
      <c r="H212" s="19"/>
      <c r="I212" s="19"/>
      <c r="J212" s="19"/>
      <c r="K212" s="233"/>
      <c r="L212" s="19"/>
      <c r="M212" s="19"/>
      <c r="N212" s="19"/>
      <c r="O212" s="19"/>
      <c r="P212" s="19"/>
      <c r="Q212" s="19"/>
      <c r="R212" s="19"/>
      <c r="S212" s="19"/>
      <c r="T212" s="19"/>
      <c r="U212" s="19"/>
      <c r="V212" s="19"/>
      <c r="W212" s="19"/>
      <c r="X212" s="19"/>
      <c r="Y212" s="19"/>
    </row>
    <row r="213" spans="1:25" ht="12" customHeight="1">
      <c r="A213" s="219" t="n" cm="1">
        <f t="array" ref="A213">IFERROR(INDEX('03.Muestra'!$B$8:$B$42,SMALL(IF("Página Web"='03.Muestra'!$D$8:$D$42,ROW('03.Muestra'!$B$8:$B$42)-MIN(ROW('03.Muestra'!$D$8:$D$42))+1,""),ROW()-208)),"")</f>
        <v>1.0</v>
      </c>
      <c r="B213" s="114" t="str" cm="1">
        <f t="array" ref="B213">IFERROR(INDEX('03.Muestra'!$C$8:$C$42,SMALL(IF("Página Web"='03.Muestra'!$D$8:$D$42,ROW('03.Muestra'!$C$8:$C$42)-MIN(ROW('03.Muestra'!$D$8:$D$42))+1,""),ROW()-208)),"")</f>
        <v>Home - PortCastelló</v>
      </c>
      <c r="C213" s="114" t="str" cm="1">
        <f t="array" ref="C213">IFERROR(INDEX('03.Muestra'!$F$8:$F$42,SMALL(IF("Página Web"='03.Muestra'!$D$8:$D$42,ROW('03.Muestra'!$F$8:$F$42)-MIN(ROW('03.Muestra'!$D$8:$D$42))+1,""),ROW()-208)),"")</f>
        <v>https://www.portcastello.com/</v>
      </c>
      <c r="D213" s="130" t="str">
        <f t="shared" si="11"/>
        <v>N/T</v>
      </c>
      <c r="E213" s="107" t="str">
        <f t="shared" si="10"/>
        <v/>
      </c>
      <c r="G213" s="19"/>
      <c r="H213" s="19"/>
      <c r="I213" s="19"/>
      <c r="J213" s="19"/>
      <c r="K213" s="233"/>
      <c r="L213" s="19"/>
      <c r="M213" s="19"/>
      <c r="N213" s="19"/>
      <c r="O213" s="19"/>
      <c r="P213" s="19"/>
      <c r="Q213" s="19"/>
      <c r="R213" s="19"/>
      <c r="S213" s="19"/>
      <c r="T213" s="19"/>
      <c r="U213" s="19"/>
      <c r="V213" s="19"/>
      <c r="W213" s="19"/>
      <c r="X213" s="19"/>
      <c r="Y213" s="19"/>
    </row>
    <row r="214" spans="1:25" ht="12" customHeight="1">
      <c r="A214" s="219" t="n" cm="1">
        <f t="array" ref="A214">IFERROR(INDEX('03.Muestra'!$B$8:$B$42,SMALL(IF("Página Web"='03.Muestra'!$D$8:$D$42,ROW('03.Muestra'!$B$8:$B$42)-MIN(ROW('03.Muestra'!$D$8:$D$42))+1,""),ROW()-208)),"")</f>
        <v>1.0</v>
      </c>
      <c r="B214" s="114" t="str" cm="1">
        <f t="array" ref="B214">IFERROR(INDEX('03.Muestra'!$C$8:$C$42,SMALL(IF("Página Web"='03.Muestra'!$D$8:$D$42,ROW('03.Muestra'!$C$8:$C$42)-MIN(ROW('03.Muestra'!$D$8:$D$42))+1,""),ROW()-208)),"")</f>
        <v>Home - PortCastelló</v>
      </c>
      <c r="C214" s="114" t="str" cm="1">
        <f t="array" ref="C214">IFERROR(INDEX('03.Muestra'!$F$8:$F$42,SMALL(IF("Página Web"='03.Muestra'!$D$8:$D$42,ROW('03.Muestra'!$F$8:$F$42)-MIN(ROW('03.Muestra'!$D$8:$D$42))+1,""),ROW()-208)),"")</f>
        <v>https://www.portcastello.com/</v>
      </c>
      <c r="D214" s="130" t="str">
        <f t="shared" si="11"/>
        <v>N/T</v>
      </c>
      <c r="E214" s="107" t="str">
        <f t="shared" si="10"/>
        <v/>
      </c>
      <c r="G214" s="19"/>
      <c r="H214" s="19"/>
      <c r="I214" s="19"/>
      <c r="J214" s="19"/>
      <c r="K214" s="233"/>
      <c r="L214" s="19"/>
      <c r="M214" s="19"/>
      <c r="N214" s="19"/>
      <c r="O214" s="19"/>
      <c r="P214" s="19"/>
      <c r="Q214" s="19"/>
      <c r="R214" s="19"/>
      <c r="S214" s="19"/>
      <c r="T214" s="19"/>
      <c r="U214" s="19"/>
      <c r="V214" s="19"/>
      <c r="W214" s="19"/>
      <c r="X214" s="19"/>
      <c r="Y214" s="19"/>
    </row>
    <row r="215" spans="1:25" ht="12" customHeight="1">
      <c r="A215" s="219" t="n" cm="1">
        <f t="array" ref="A215">IFERROR(INDEX('03.Muestra'!$B$8:$B$42,SMALL(IF("Página Web"='03.Muestra'!$D$8:$D$42,ROW('03.Muestra'!$B$8:$B$42)-MIN(ROW('03.Muestra'!$D$8:$D$42))+1,""),ROW()-208)),"")</f>
        <v>1.0</v>
      </c>
      <c r="B215" s="114" t="str" cm="1">
        <f t="array" ref="B215">IFERROR(INDEX('03.Muestra'!$C$8:$C$42,SMALL(IF("Página Web"='03.Muestra'!$D$8:$D$42,ROW('03.Muestra'!$C$8:$C$42)-MIN(ROW('03.Muestra'!$D$8:$D$42))+1,""),ROW()-208)),"")</f>
        <v>Home - PortCastelló</v>
      </c>
      <c r="C215" s="114" t="str" cm="1">
        <f t="array" ref="C215">IFERROR(INDEX('03.Muestra'!$F$8:$F$42,SMALL(IF("Página Web"='03.Muestra'!$D$8:$D$42,ROW('03.Muestra'!$F$8:$F$42)-MIN(ROW('03.Muestra'!$D$8:$D$42))+1,""),ROW()-208)),"")</f>
        <v>https://www.portcastello.com/</v>
      </c>
      <c r="D215" s="130" t="str">
        <f t="shared" si="11"/>
        <v>N/T</v>
      </c>
      <c r="E215" s="107" t="str">
        <f t="shared" si="10"/>
        <v/>
      </c>
      <c r="F215" s="19"/>
      <c r="G215" s="19"/>
      <c r="H215" s="19"/>
      <c r="I215" s="19"/>
      <c r="J215" s="19"/>
      <c r="K215" s="233"/>
      <c r="L215" s="19"/>
      <c r="M215" s="19"/>
      <c r="N215" s="19"/>
      <c r="O215" s="19"/>
      <c r="P215" s="19"/>
      <c r="Q215" s="19"/>
      <c r="R215" s="19"/>
      <c r="S215" s="19"/>
      <c r="T215" s="19"/>
      <c r="U215" s="19"/>
      <c r="V215" s="19"/>
      <c r="W215" s="19"/>
      <c r="X215" s="19"/>
      <c r="Y215" s="19"/>
    </row>
    <row r="216" spans="1:25" ht="12" customHeight="1">
      <c r="A216" s="219" t="n" cm="1">
        <f t="array" ref="A216">IFERROR(INDEX('03.Muestra'!$B$8:$B$42,SMALL(IF("Página Web"='03.Muestra'!$D$8:$D$42,ROW('03.Muestra'!$B$8:$B$42)-MIN(ROW('03.Muestra'!$D$8:$D$42))+1,""),ROW()-208)),"")</f>
        <v>1.0</v>
      </c>
      <c r="B216" s="114" t="str" cm="1">
        <f t="array" ref="B216">IFERROR(INDEX('03.Muestra'!$C$8:$C$42,SMALL(IF("Página Web"='03.Muestra'!$D$8:$D$42,ROW('03.Muestra'!$C$8:$C$42)-MIN(ROW('03.Muestra'!$D$8:$D$42))+1,""),ROW()-208)),"")</f>
        <v>Home - PortCastelló</v>
      </c>
      <c r="C216" s="114" t="str" cm="1">
        <f t="array" ref="C216">IFERROR(INDEX('03.Muestra'!$F$8:$F$42,SMALL(IF("Página Web"='03.Muestra'!$D$8:$D$42,ROW('03.Muestra'!$F$8:$F$42)-MIN(ROW('03.Muestra'!$D$8:$D$42))+1,""),ROW()-208)),"")</f>
        <v>https://www.portcastello.com/</v>
      </c>
      <c r="D216" s="130" t="str">
        <f t="shared" si="11"/>
        <v>N/T</v>
      </c>
      <c r="E216" s="107" t="str">
        <f t="shared" si="10"/>
        <v/>
      </c>
      <c r="F216" s="19"/>
      <c r="G216" s="19"/>
      <c r="H216" s="19"/>
      <c r="I216" s="19"/>
      <c r="J216" s="19"/>
      <c r="K216" s="233"/>
      <c r="L216" s="19"/>
      <c r="M216" s="19"/>
      <c r="N216" s="19"/>
      <c r="O216" s="19"/>
      <c r="P216" s="19"/>
      <c r="Q216" s="19"/>
      <c r="R216" s="19"/>
      <c r="S216" s="19"/>
      <c r="T216" s="19"/>
      <c r="U216" s="19"/>
      <c r="V216" s="19"/>
      <c r="W216" s="19"/>
      <c r="X216" s="19"/>
      <c r="Y216" s="19"/>
    </row>
    <row r="217" spans="1:25" ht="12" customHeight="1">
      <c r="A217" s="219" t="n" cm="1">
        <f t="array" ref="A217">IFERROR(INDEX('03.Muestra'!$B$8:$B$42,SMALL(IF("Página Web"='03.Muestra'!$D$8:$D$42,ROW('03.Muestra'!$B$8:$B$42)-MIN(ROW('03.Muestra'!$D$8:$D$42))+1,""),ROW()-208)),"")</f>
        <v>1.0</v>
      </c>
      <c r="B217" s="114" t="str" cm="1">
        <f t="array" ref="B217">IFERROR(INDEX('03.Muestra'!$C$8:$C$42,SMALL(IF("Página Web"='03.Muestra'!$D$8:$D$42,ROW('03.Muestra'!$C$8:$C$42)-MIN(ROW('03.Muestra'!$D$8:$D$42))+1,""),ROW()-208)),"")</f>
        <v>Home - PortCastelló</v>
      </c>
      <c r="C217" s="114" t="str" cm="1">
        <f t="array" ref="C217">IFERROR(INDEX('03.Muestra'!$F$8:$F$42,SMALL(IF("Página Web"='03.Muestra'!$D$8:$D$42,ROW('03.Muestra'!$F$8:$F$42)-MIN(ROW('03.Muestra'!$D$8:$D$42))+1,""),ROW()-208)),"")</f>
        <v>https://www.portcastello.com/</v>
      </c>
      <c r="D217" s="130" t="str">
        <f t="shared" si="11"/>
        <v>N/T</v>
      </c>
      <c r="E217" s="107" t="str">
        <f t="shared" si="10"/>
        <v/>
      </c>
      <c r="F217" s="19"/>
      <c r="G217" s="19"/>
      <c r="H217" s="19"/>
      <c r="I217" s="19"/>
      <c r="J217" s="19"/>
      <c r="K217" s="233"/>
      <c r="L217" s="19"/>
      <c r="M217" s="19"/>
      <c r="N217" s="19"/>
      <c r="O217" s="19"/>
      <c r="P217" s="19"/>
      <c r="Q217" s="19"/>
      <c r="R217" s="19"/>
      <c r="S217" s="19"/>
      <c r="T217" s="19"/>
      <c r="U217" s="19"/>
      <c r="V217" s="19"/>
      <c r="W217" s="19"/>
      <c r="X217" s="19"/>
      <c r="Y217" s="19"/>
    </row>
    <row r="218" spans="1:25" ht="12" customHeight="1">
      <c r="A218" s="219" t="n" cm="1">
        <f t="array" ref="A218">IFERROR(INDEX('03.Muestra'!$B$8:$B$42,SMALL(IF("Página Web"='03.Muestra'!$D$8:$D$42,ROW('03.Muestra'!$B$8:$B$42)-MIN(ROW('03.Muestra'!$D$8:$D$42))+1,""),ROW()-208)),"")</f>
        <v>1.0</v>
      </c>
      <c r="B218" s="114" t="str" cm="1">
        <f t="array" ref="B218">IFERROR(INDEX('03.Muestra'!$C$8:$C$42,SMALL(IF("Página Web"='03.Muestra'!$D$8:$D$42,ROW('03.Muestra'!$C$8:$C$42)-MIN(ROW('03.Muestra'!$D$8:$D$42))+1,""),ROW()-208)),"")</f>
        <v>Home - PortCastelló</v>
      </c>
      <c r="C218" s="114" t="str" cm="1">
        <f t="array" ref="C218">IFERROR(INDEX('03.Muestra'!$F$8:$F$42,SMALL(IF("Página Web"='03.Muestra'!$D$8:$D$42,ROW('03.Muestra'!$F$8:$F$42)-MIN(ROW('03.Muestra'!$D$8:$D$42))+1,""),ROW()-208)),"")</f>
        <v>https://www.portcastello.com/</v>
      </c>
      <c r="D218" s="130" t="str">
        <f t="shared" si="11"/>
        <v>N/T</v>
      </c>
      <c r="E218" s="107" t="str">
        <f t="shared" si="10"/>
        <v/>
      </c>
      <c r="F218" s="19"/>
      <c r="G218" s="19"/>
      <c r="H218" s="19"/>
      <c r="I218" s="19"/>
      <c r="J218" s="19"/>
      <c r="K218" s="233"/>
      <c r="L218" s="19"/>
      <c r="M218" s="19"/>
      <c r="N218" s="19"/>
      <c r="O218" s="19"/>
      <c r="P218" s="19"/>
      <c r="Q218" s="19"/>
      <c r="R218" s="19"/>
      <c r="S218" s="19"/>
      <c r="T218" s="19"/>
      <c r="U218" s="19"/>
      <c r="V218" s="19"/>
      <c r="W218" s="19"/>
      <c r="X218" s="19"/>
      <c r="Y218" s="19"/>
    </row>
    <row r="219" spans="1:25" ht="12" customHeight="1">
      <c r="A219" s="219" t="n" cm="1">
        <f t="array" ref="A219">IFERROR(INDEX('03.Muestra'!$B$8:$B$42,SMALL(IF("Página Web"='03.Muestra'!$D$8:$D$42,ROW('03.Muestra'!$B$8:$B$42)-MIN(ROW('03.Muestra'!$D$8:$D$42))+1,""),ROW()-208)),"")</f>
        <v>1.0</v>
      </c>
      <c r="B219" s="114" t="str" cm="1">
        <f t="array" ref="B219">IFERROR(INDEX('03.Muestra'!$C$8:$C$42,SMALL(IF("Página Web"='03.Muestra'!$D$8:$D$42,ROW('03.Muestra'!$C$8:$C$42)-MIN(ROW('03.Muestra'!$D$8:$D$42))+1,""),ROW()-208)),"")</f>
        <v>Home - PortCastelló</v>
      </c>
      <c r="C219" s="114" t="str" cm="1">
        <f t="array" ref="C219">IFERROR(INDEX('03.Muestra'!$F$8:$F$42,SMALL(IF("Página Web"='03.Muestra'!$D$8:$D$42,ROW('03.Muestra'!$F$8:$F$42)-MIN(ROW('03.Muestra'!$D$8:$D$42))+1,""),ROW()-208)),"")</f>
        <v>https://www.portcastello.com/</v>
      </c>
      <c r="D219" s="130" t="str">
        <f t="shared" si="11"/>
        <v>N/T</v>
      </c>
      <c r="E219" s="107" t="str">
        <f t="shared" si="10"/>
        <v/>
      </c>
      <c r="F219" s="19"/>
      <c r="G219" s="19"/>
      <c r="H219" s="19"/>
      <c r="I219" s="19"/>
      <c r="J219" s="19"/>
      <c r="K219" s="233"/>
      <c r="L219" s="19"/>
      <c r="M219" s="19"/>
      <c r="N219" s="19"/>
      <c r="O219" s="19"/>
      <c r="P219" s="19"/>
      <c r="Q219" s="19"/>
      <c r="R219" s="19"/>
      <c r="S219" s="19"/>
      <c r="T219" s="19"/>
      <c r="U219" s="19"/>
      <c r="V219" s="19"/>
      <c r="W219" s="19"/>
      <c r="X219" s="19"/>
      <c r="Y219" s="19"/>
    </row>
    <row r="220" spans="1:25" ht="12" customHeight="1">
      <c r="A220" s="219" t="n" cm="1">
        <f t="array" ref="A220">IFERROR(INDEX('03.Muestra'!$B$8:$B$42,SMALL(IF("Página Web"='03.Muestra'!$D$8:$D$42,ROW('03.Muestra'!$B$8:$B$42)-MIN(ROW('03.Muestra'!$D$8:$D$42))+1,""),ROW()-208)),"")</f>
        <v>1.0</v>
      </c>
      <c r="B220" s="114" t="str" cm="1">
        <f t="array" ref="B220">IFERROR(INDEX('03.Muestra'!$C$8:$C$42,SMALL(IF("Página Web"='03.Muestra'!$D$8:$D$42,ROW('03.Muestra'!$C$8:$C$42)-MIN(ROW('03.Muestra'!$D$8:$D$42))+1,""),ROW()-208)),"")</f>
        <v>Home - PortCastelló</v>
      </c>
      <c r="C220" s="114" t="str" cm="1">
        <f t="array" ref="C220">IFERROR(INDEX('03.Muestra'!$F$8:$F$42,SMALL(IF("Página Web"='03.Muestra'!$D$8:$D$42,ROW('03.Muestra'!$F$8:$F$42)-MIN(ROW('03.Muestra'!$D$8:$D$42))+1,""),ROW()-208)),"")</f>
        <v>https://www.portcastello.com/</v>
      </c>
      <c r="D220" s="130" t="str">
        <f t="shared" si="11"/>
        <v>N/T</v>
      </c>
      <c r="E220" s="107" t="str">
        <f t="shared" si="10"/>
        <v/>
      </c>
      <c r="F220" s="19"/>
      <c r="G220" s="19"/>
      <c r="H220" s="19"/>
      <c r="I220" s="19"/>
      <c r="J220" s="19"/>
      <c r="K220" s="233"/>
      <c r="L220" s="19"/>
      <c r="M220" s="19"/>
      <c r="N220" s="19"/>
      <c r="O220" s="19"/>
      <c r="P220" s="19"/>
      <c r="Q220" s="19"/>
      <c r="R220" s="19"/>
      <c r="S220" s="19"/>
      <c r="T220" s="19"/>
      <c r="U220" s="19"/>
      <c r="V220" s="19"/>
      <c r="W220" s="19"/>
      <c r="X220" s="19"/>
      <c r="Y220" s="19"/>
    </row>
    <row r="221" spans="1:25" ht="14.1" customHeight="1">
      <c r="A221" s="219" t="n" cm="1">
        <f t="array" ref="A221">IFERROR(INDEX('03.Muestra'!$B$8:$B$42,SMALL(IF("Página Web"='03.Muestra'!$D$8:$D$42,ROW('03.Muestra'!$B$8:$B$42)-MIN(ROW('03.Muestra'!$D$8:$D$42))+1,""),ROW()-208)),"")</f>
        <v>1.0</v>
      </c>
      <c r="B221" s="114" t="str" cm="1">
        <f t="array" ref="B221">IFERROR(INDEX('03.Muestra'!$C$8:$C$42,SMALL(IF("Página Web"='03.Muestra'!$D$8:$D$42,ROW('03.Muestra'!$C$8:$C$42)-MIN(ROW('03.Muestra'!$D$8:$D$42))+1,""),ROW()-208)),"")</f>
        <v>Home - PortCastelló</v>
      </c>
      <c r="C221" s="114" t="str" cm="1">
        <f t="array" ref="C221">IFERROR(INDEX('03.Muestra'!$F$8:$F$42,SMALL(IF("Página Web"='03.Muestra'!$D$8:$D$42,ROW('03.Muestra'!$F$8:$F$42)-MIN(ROW('03.Muestra'!$D$8:$D$42))+1,""),ROW()-208)),"")</f>
        <v>https://www.portcastello.com/</v>
      </c>
      <c r="D221" s="130" t="str">
        <f t="shared" si="11"/>
        <v>N/T</v>
      </c>
      <c r="E221" s="107" t="str">
        <f t="shared" si="10"/>
        <v/>
      </c>
      <c r="F221" s="19"/>
      <c r="G221" s="19"/>
      <c r="H221" s="19"/>
      <c r="I221" s="19"/>
      <c r="J221" s="19"/>
      <c r="K221" s="233"/>
      <c r="L221" s="19"/>
      <c r="M221" s="19"/>
      <c r="N221" s="19"/>
      <c r="O221" s="19"/>
      <c r="P221" s="19"/>
      <c r="Q221" s="19"/>
      <c r="R221" s="19"/>
      <c r="S221" s="19"/>
      <c r="T221" s="19"/>
      <c r="U221" s="19"/>
      <c r="V221" s="19"/>
      <c r="W221" s="19"/>
      <c r="X221" s="19"/>
      <c r="Y221" s="19"/>
    </row>
    <row r="222" spans="1:25" ht="14.1" customHeight="1">
      <c r="A222" s="219" t="n" cm="1">
        <f t="array" ref="A222">IFERROR(INDEX('03.Muestra'!$B$8:$B$42,SMALL(IF("Página Web"='03.Muestra'!$D$8:$D$42,ROW('03.Muestra'!$B$8:$B$42)-MIN(ROW('03.Muestra'!$D$8:$D$42))+1,""),ROW()-208)),"")</f>
        <v>1.0</v>
      </c>
      <c r="B222" s="114" t="str" cm="1">
        <f t="array" ref="B222">IFERROR(INDEX('03.Muestra'!$C$8:$C$42,SMALL(IF("Página Web"='03.Muestra'!$D$8:$D$42,ROW('03.Muestra'!$C$8:$C$42)-MIN(ROW('03.Muestra'!$D$8:$D$42))+1,""),ROW()-208)),"")</f>
        <v>Home - PortCastelló</v>
      </c>
      <c r="C222" s="114" t="str" cm="1">
        <f t="array" ref="C222">IFERROR(INDEX('03.Muestra'!$F$8:$F$42,SMALL(IF("Página Web"='03.Muestra'!$D$8:$D$42,ROW('03.Muestra'!$F$8:$F$42)-MIN(ROW('03.Muestra'!$D$8:$D$42))+1,""),ROW()-208)),"")</f>
        <v>https://www.portcastello.com/</v>
      </c>
      <c r="D222" s="130" t="str">
        <f t="shared" si="11"/>
        <v>N/T</v>
      </c>
      <c r="E222" s="107" t="str">
        <f t="shared" si="10"/>
        <v/>
      </c>
      <c r="F222" s="19"/>
      <c r="G222" s="19"/>
      <c r="H222" s="19"/>
      <c r="I222" s="19"/>
      <c r="J222" s="19"/>
      <c r="K222" s="233"/>
      <c r="L222" s="19"/>
      <c r="M222" s="19"/>
      <c r="N222" s="19"/>
      <c r="O222" s="19"/>
      <c r="P222" s="19"/>
      <c r="Q222" s="19"/>
      <c r="R222" s="19"/>
      <c r="S222" s="19"/>
      <c r="T222" s="19"/>
      <c r="U222" s="19"/>
      <c r="V222" s="19"/>
      <c r="W222" s="19"/>
      <c r="X222" s="19"/>
      <c r="Y222" s="19"/>
    </row>
    <row r="223" spans="1:25" ht="14.1" customHeight="1">
      <c r="A223" s="219" t="n" cm="1">
        <f t="array" ref="A223">IFERROR(INDEX('03.Muestra'!$B$8:$B$42,SMALL(IF("Página Web"='03.Muestra'!$D$8:$D$42,ROW('03.Muestra'!$B$8:$B$42)-MIN(ROW('03.Muestra'!$D$8:$D$42))+1,""),ROW()-208)),"")</f>
        <v>1.0</v>
      </c>
      <c r="B223" s="114" t="str" cm="1">
        <f t="array" ref="B223">IFERROR(INDEX('03.Muestra'!$C$8:$C$42,SMALL(IF("Página Web"='03.Muestra'!$D$8:$D$42,ROW('03.Muestra'!$C$8:$C$42)-MIN(ROW('03.Muestra'!$D$8:$D$42))+1,""),ROW()-208)),"")</f>
        <v>Home - PortCastelló</v>
      </c>
      <c r="C223" s="114" t="str" cm="1">
        <f t="array" ref="C223">IFERROR(INDEX('03.Muestra'!$F$8:$F$42,SMALL(IF("Página Web"='03.Muestra'!$D$8:$D$42,ROW('03.Muestra'!$F$8:$F$42)-MIN(ROW('03.Muestra'!$D$8:$D$42))+1,""),ROW()-208)),"")</f>
        <v>https://www.portcastello.com/</v>
      </c>
      <c r="D223" s="130" t="str">
        <f t="shared" si="11"/>
        <v>N/T</v>
      </c>
      <c r="E223" s="107" t="str">
        <f t="shared" si="10"/>
        <v/>
      </c>
      <c r="F223" s="19"/>
      <c r="G223" s="19"/>
      <c r="H223" s="19"/>
      <c r="I223" s="19"/>
      <c r="J223" s="19"/>
      <c r="K223" s="233"/>
      <c r="L223" s="19"/>
      <c r="M223" s="19"/>
      <c r="N223" s="19"/>
      <c r="O223" s="19"/>
      <c r="P223" s="19"/>
      <c r="Q223" s="19"/>
      <c r="R223" s="19"/>
      <c r="S223" s="19"/>
      <c r="T223" s="19"/>
      <c r="U223" s="19"/>
      <c r="V223" s="19"/>
      <c r="W223" s="19"/>
      <c r="X223" s="19"/>
      <c r="Y223" s="19"/>
    </row>
    <row r="224" spans="1:25" ht="14.1" customHeight="1">
      <c r="A224" s="219" t="n" cm="1">
        <f t="array" ref="A224">IFERROR(INDEX('03.Muestra'!$B$8:$B$42,SMALL(IF("Página Web"='03.Muestra'!$D$8:$D$42,ROW('03.Muestra'!$B$8:$B$42)-MIN(ROW('03.Muestra'!$D$8:$D$42))+1,""),ROW()-208)),"")</f>
        <v>1.0</v>
      </c>
      <c r="B224" s="114" t="str" cm="1">
        <f t="array" ref="B224">IFERROR(INDEX('03.Muestra'!$C$8:$C$42,SMALL(IF("Página Web"='03.Muestra'!$D$8:$D$42,ROW('03.Muestra'!$C$8:$C$42)-MIN(ROW('03.Muestra'!$D$8:$D$42))+1,""),ROW()-208)),"")</f>
        <v>Home - PortCastelló</v>
      </c>
      <c r="C224" s="114" t="str" cm="1">
        <f t="array" ref="C224">IFERROR(INDEX('03.Muestra'!$F$8:$F$42,SMALL(IF("Página Web"='03.Muestra'!$D$8:$D$42,ROW('03.Muestra'!$F$8:$F$42)-MIN(ROW('03.Muestra'!$D$8:$D$42))+1,""),ROW()-208)),"")</f>
        <v>https://www.portcastello.com/</v>
      </c>
      <c r="D224" s="130" t="str">
        <f t="shared" si="11"/>
        <v>N/T</v>
      </c>
      <c r="E224" s="107" t="str">
        <f t="shared" si="10"/>
        <v/>
      </c>
      <c r="F224" s="19"/>
      <c r="G224" s="19"/>
      <c r="H224" s="19"/>
      <c r="I224" s="19"/>
      <c r="J224" s="19"/>
      <c r="K224" s="233"/>
      <c r="L224" s="19"/>
      <c r="M224" s="19"/>
      <c r="N224" s="19"/>
      <c r="O224" s="19"/>
      <c r="P224" s="19"/>
      <c r="Q224" s="19"/>
      <c r="R224" s="19"/>
      <c r="S224" s="19"/>
      <c r="T224" s="19"/>
      <c r="U224" s="19"/>
      <c r="V224" s="19"/>
      <c r="W224" s="19"/>
      <c r="X224" s="19"/>
      <c r="Y224" s="19"/>
    </row>
    <row r="225" spans="1:25" ht="14.1" customHeight="1">
      <c r="A225" s="219" t="n" cm="1">
        <f t="array" ref="A225">IFERROR(INDEX('03.Muestra'!$B$8:$B$42,SMALL(IF("Página Web"='03.Muestra'!$D$8:$D$42,ROW('03.Muestra'!$B$8:$B$42)-MIN(ROW('03.Muestra'!$D$8:$D$42))+1,""),ROW()-208)),"")</f>
        <v>1.0</v>
      </c>
      <c r="B225" s="114" t="str" cm="1">
        <f t="array" ref="B225">IFERROR(INDEX('03.Muestra'!$C$8:$C$42,SMALL(IF("Página Web"='03.Muestra'!$D$8:$D$42,ROW('03.Muestra'!$C$8:$C$42)-MIN(ROW('03.Muestra'!$D$8:$D$42))+1,""),ROW()-208)),"")</f>
        <v>Home - PortCastelló</v>
      </c>
      <c r="C225" s="114" t="str" cm="1">
        <f t="array" ref="C225">IFERROR(INDEX('03.Muestra'!$F$8:$F$42,SMALL(IF("Página Web"='03.Muestra'!$D$8:$D$42,ROW('03.Muestra'!$F$8:$F$42)-MIN(ROW('03.Muestra'!$D$8:$D$42))+1,""),ROW()-208)),"")</f>
        <v>https://www.portcastello.com/</v>
      </c>
      <c r="D225" s="130" t="str">
        <f t="shared" si="11"/>
        <v>N/T</v>
      </c>
      <c r="E225" s="107" t="str">
        <f t="shared" si="10"/>
        <v/>
      </c>
      <c r="F225" s="19"/>
      <c r="G225" s="19"/>
      <c r="H225" s="19"/>
      <c r="I225" s="19"/>
      <c r="J225" s="19"/>
      <c r="K225" s="233"/>
      <c r="L225" s="19"/>
      <c r="M225" s="19"/>
      <c r="N225" s="19"/>
      <c r="O225" s="19"/>
      <c r="P225" s="19"/>
      <c r="Q225" s="19"/>
      <c r="R225" s="19"/>
      <c r="S225" s="19"/>
      <c r="T225" s="19"/>
      <c r="U225" s="19"/>
      <c r="V225" s="19"/>
      <c r="W225" s="19"/>
      <c r="X225" s="19"/>
      <c r="Y225" s="19"/>
    </row>
    <row r="226" spans="1:25" ht="14.1" customHeight="1">
      <c r="A226" s="219" t="n" cm="1">
        <f t="array" ref="A226">IFERROR(INDEX('03.Muestra'!$B$8:$B$42,SMALL(IF("Página Web"='03.Muestra'!$D$8:$D$42,ROW('03.Muestra'!$B$8:$B$42)-MIN(ROW('03.Muestra'!$D$8:$D$42))+1,""),ROW()-208)),"")</f>
        <v>1.0</v>
      </c>
      <c r="B226" s="114" t="str" cm="1">
        <f t="array" ref="B226">IFERROR(INDEX('03.Muestra'!$C$8:$C$42,SMALL(IF("Página Web"='03.Muestra'!$D$8:$D$42,ROW('03.Muestra'!$C$8:$C$42)-MIN(ROW('03.Muestra'!$D$8:$D$42))+1,""),ROW()-208)),"")</f>
        <v>Home - PortCastelló</v>
      </c>
      <c r="C226" s="114" t="str" cm="1">
        <f t="array" ref="C226">IFERROR(INDEX('03.Muestra'!$F$8:$F$42,SMALL(IF("Página Web"='03.Muestra'!$D$8:$D$42,ROW('03.Muestra'!$F$8:$F$42)-MIN(ROW('03.Muestra'!$D$8:$D$42))+1,""),ROW()-208)),"")</f>
        <v>https://www.portcastello.com/</v>
      </c>
      <c r="D226" s="130" t="str">
        <f t="shared" si="11"/>
        <v>N/T</v>
      </c>
      <c r="E226" s="107" t="str">
        <f t="shared" si="10"/>
        <v/>
      </c>
      <c r="F226" s="19"/>
      <c r="G226" s="19"/>
      <c r="H226" s="19"/>
      <c r="I226" s="19"/>
      <c r="J226" s="19"/>
      <c r="K226" s="233"/>
      <c r="L226" s="19"/>
      <c r="M226" s="19"/>
      <c r="N226" s="19"/>
      <c r="O226" s="19"/>
      <c r="P226" s="19"/>
      <c r="Q226" s="19"/>
      <c r="R226" s="19"/>
      <c r="S226" s="19"/>
      <c r="T226" s="19"/>
      <c r="U226" s="19"/>
      <c r="V226" s="19"/>
      <c r="W226" s="19"/>
      <c r="X226" s="19"/>
      <c r="Y226" s="19"/>
    </row>
    <row r="227" spans="1:25" ht="14.1" customHeight="1">
      <c r="A227" s="219" t="n" cm="1">
        <f t="array" ref="A227">IFERROR(INDEX('03.Muestra'!$B$8:$B$42,SMALL(IF("Página Web"='03.Muestra'!$D$8:$D$42,ROW('03.Muestra'!$B$8:$B$42)-MIN(ROW('03.Muestra'!$D$8:$D$42))+1,""),ROW()-208)),"")</f>
        <v>1.0</v>
      </c>
      <c r="B227" s="114" t="str" cm="1">
        <f t="array" ref="B227">IFERROR(INDEX('03.Muestra'!$C$8:$C$42,SMALL(IF("Página Web"='03.Muestra'!$D$8:$D$42,ROW('03.Muestra'!$C$8:$C$42)-MIN(ROW('03.Muestra'!$D$8:$D$42))+1,""),ROW()-208)),"")</f>
        <v>Home - PortCastelló</v>
      </c>
      <c r="C227" s="114" t="str" cm="1">
        <f t="array" ref="C227">IFERROR(INDEX('03.Muestra'!$F$8:$F$42,SMALL(IF("Página Web"='03.Muestra'!$D$8:$D$42,ROW('03.Muestra'!$F$8:$F$42)-MIN(ROW('03.Muestra'!$D$8:$D$42))+1,""),ROW()-208)),"")</f>
        <v>https://www.portcastello.com/</v>
      </c>
      <c r="D227" s="130" t="str">
        <f t="shared" si="11"/>
        <v>N/T</v>
      </c>
      <c r="E227" s="107" t="str">
        <f t="shared" si="10"/>
        <v/>
      </c>
      <c r="F227" s="19"/>
      <c r="G227" s="19"/>
      <c r="H227" s="19"/>
      <c r="I227" s="19"/>
      <c r="J227" s="19"/>
      <c r="K227" s="233"/>
      <c r="L227" s="19"/>
      <c r="M227" s="19"/>
      <c r="N227" s="19"/>
      <c r="O227" s="19"/>
      <c r="P227" s="19"/>
      <c r="Q227" s="19"/>
      <c r="R227" s="19"/>
      <c r="S227" s="19"/>
      <c r="T227" s="19"/>
      <c r="U227" s="19"/>
      <c r="V227" s="19"/>
      <c r="W227" s="19"/>
      <c r="X227" s="19"/>
      <c r="Y227" s="19"/>
    </row>
    <row r="228" spans="1:25" ht="14.1" customHeight="1">
      <c r="A228" s="219" t="n" cm="1">
        <f t="array" ref="A228">IFERROR(INDEX('03.Muestra'!$B$8:$B$42,SMALL(IF("Página Web"='03.Muestra'!$D$8:$D$42,ROW('03.Muestra'!$B$8:$B$42)-MIN(ROW('03.Muestra'!$D$8:$D$42))+1,""),ROW()-208)),"")</f>
        <v>1.0</v>
      </c>
      <c r="B228" s="114" t="str" cm="1">
        <f t="array" ref="B228">IFERROR(INDEX('03.Muestra'!$C$8:$C$42,SMALL(IF("Página Web"='03.Muestra'!$D$8:$D$42,ROW('03.Muestra'!$C$8:$C$42)-MIN(ROW('03.Muestra'!$D$8:$D$42))+1,""),ROW()-208)),"")</f>
        <v>Home - PortCastelló</v>
      </c>
      <c r="C228" s="114" t="str" cm="1">
        <f t="array" ref="C228">IFERROR(INDEX('03.Muestra'!$F$8:$F$42,SMALL(IF("Página Web"='03.Muestra'!$D$8:$D$42,ROW('03.Muestra'!$F$8:$F$42)-MIN(ROW('03.Muestra'!$D$8:$D$42))+1,""),ROW()-208)),"")</f>
        <v>https://www.portcastello.com/</v>
      </c>
      <c r="D228" s="130" t="str">
        <f t="shared" si="11"/>
        <v>N/T</v>
      </c>
      <c r="E228" s="107" t="str">
        <f t="shared" si="10"/>
        <v/>
      </c>
      <c r="F228" s="19"/>
      <c r="G228" s="19"/>
      <c r="H228" s="19"/>
      <c r="I228" s="19"/>
      <c r="J228" s="19"/>
      <c r="K228" s="233"/>
      <c r="L228" s="19"/>
      <c r="M228" s="19"/>
      <c r="N228" s="19"/>
      <c r="O228" s="19"/>
      <c r="P228" s="19"/>
      <c r="Q228" s="19"/>
      <c r="R228" s="19"/>
      <c r="S228" s="19"/>
      <c r="T228" s="19"/>
      <c r="U228" s="19"/>
      <c r="V228" s="19"/>
      <c r="W228" s="19"/>
      <c r="X228" s="19"/>
      <c r="Y228" s="19"/>
    </row>
    <row r="229" spans="1:25" ht="14.1" customHeight="1">
      <c r="A229" s="219" t="n" cm="1">
        <f t="array" ref="A229">IFERROR(INDEX('03.Muestra'!$B$8:$B$42,SMALL(IF("Página Web"='03.Muestra'!$D$8:$D$42,ROW('03.Muestra'!$B$8:$B$42)-MIN(ROW('03.Muestra'!$D$8:$D$42))+1,""),ROW()-208)),"")</f>
        <v>1.0</v>
      </c>
      <c r="B229" s="114" t="str" cm="1">
        <f t="array" ref="B229">IFERROR(INDEX('03.Muestra'!$C$8:$C$42,SMALL(IF("Página Web"='03.Muestra'!$D$8:$D$42,ROW('03.Muestra'!$C$8:$C$42)-MIN(ROW('03.Muestra'!$D$8:$D$42))+1,""),ROW()-208)),"")</f>
        <v>Home - PortCastelló</v>
      </c>
      <c r="C229" s="114" t="str" cm="1">
        <f t="array" ref="C229">IFERROR(INDEX('03.Muestra'!$F$8:$F$42,SMALL(IF("Página Web"='03.Muestra'!$D$8:$D$42,ROW('03.Muestra'!$F$8:$F$42)-MIN(ROW('03.Muestra'!$D$8:$D$42))+1,""),ROW()-208)),"")</f>
        <v>https://www.portcastello.com/</v>
      </c>
      <c r="D229" s="130" t="str">
        <f t="shared" si="11"/>
        <v>N/T</v>
      </c>
      <c r="E229" s="107" t="str">
        <f t="shared" si="10"/>
        <v/>
      </c>
      <c r="F229" s="19"/>
      <c r="G229" s="19"/>
      <c r="H229" s="19"/>
      <c r="I229" s="19"/>
      <c r="J229" s="19"/>
      <c r="K229" s="233"/>
      <c r="L229" s="19"/>
      <c r="M229" s="19"/>
      <c r="N229" s="19"/>
      <c r="O229" s="19"/>
      <c r="P229" s="19"/>
      <c r="Q229" s="19"/>
      <c r="R229" s="19"/>
      <c r="S229" s="19"/>
      <c r="T229" s="19"/>
      <c r="U229" s="19"/>
      <c r="V229" s="19"/>
      <c r="W229" s="19"/>
      <c r="X229" s="19"/>
      <c r="Y229" s="19"/>
    </row>
    <row r="230" spans="1:25" ht="14.1" customHeight="1">
      <c r="A230" s="219" t="n" cm="1">
        <f t="array" ref="A230">IFERROR(INDEX('03.Muestra'!$B$8:$B$42,SMALL(IF("Página Web"='03.Muestra'!$D$8:$D$42,ROW('03.Muestra'!$B$8:$B$42)-MIN(ROW('03.Muestra'!$D$8:$D$42))+1,""),ROW()-208)),"")</f>
        <v>1.0</v>
      </c>
      <c r="B230" s="114" t="str" cm="1">
        <f t="array" ref="B230">IFERROR(INDEX('03.Muestra'!$C$8:$C$42,SMALL(IF("Página Web"='03.Muestra'!$D$8:$D$42,ROW('03.Muestra'!$C$8:$C$42)-MIN(ROW('03.Muestra'!$D$8:$D$42))+1,""),ROW()-208)),"")</f>
        <v>Home - PortCastelló</v>
      </c>
      <c r="C230" s="114" t="str" cm="1">
        <f t="array" ref="C230">IFERROR(INDEX('03.Muestra'!$F$8:$F$42,SMALL(IF("Página Web"='03.Muestra'!$D$8:$D$42,ROW('03.Muestra'!$F$8:$F$42)-MIN(ROW('03.Muestra'!$D$8:$D$42))+1,""),ROW()-208)),"")</f>
        <v>https://www.portcastello.com/</v>
      </c>
      <c r="D230" s="130" t="str">
        <f t="shared" si="11"/>
        <v>N/T</v>
      </c>
      <c r="E230" s="107" t="str">
        <f t="shared" si="10"/>
        <v/>
      </c>
      <c r="F230" s="19"/>
      <c r="G230" s="19"/>
      <c r="H230" s="19"/>
      <c r="I230" s="19"/>
      <c r="J230" s="19"/>
      <c r="K230" s="233"/>
      <c r="L230" s="19"/>
      <c r="M230" s="19"/>
      <c r="N230" s="19"/>
      <c r="O230" s="19"/>
      <c r="P230" s="19"/>
      <c r="Q230" s="19"/>
      <c r="R230" s="19"/>
      <c r="S230" s="19"/>
      <c r="T230" s="19"/>
      <c r="U230" s="19"/>
      <c r="V230" s="19"/>
      <c r="W230" s="19"/>
      <c r="X230" s="19"/>
      <c r="Y230" s="19"/>
    </row>
    <row r="231" spans="1:25" ht="14.1" customHeight="1">
      <c r="A231" s="219" t="n" cm="1">
        <f t="array" ref="A231">IFERROR(INDEX('03.Muestra'!$B$8:$B$42,SMALL(IF("Página Web"='03.Muestra'!$D$8:$D$42,ROW('03.Muestra'!$B$8:$B$42)-MIN(ROW('03.Muestra'!$D$8:$D$42))+1,""),ROW()-208)),"")</f>
        <v>1.0</v>
      </c>
      <c r="B231" s="114" t="str" cm="1">
        <f t="array" ref="B231">IFERROR(INDEX('03.Muestra'!$C$8:$C$42,SMALL(IF("Página Web"='03.Muestra'!$D$8:$D$42,ROW('03.Muestra'!$C$8:$C$42)-MIN(ROW('03.Muestra'!$D$8:$D$42))+1,""),ROW()-208)),"")</f>
        <v>Home - PortCastelló</v>
      </c>
      <c r="C231" s="114" t="str" cm="1">
        <f t="array" ref="C231">IFERROR(INDEX('03.Muestra'!$F$8:$F$42,SMALL(IF("Página Web"='03.Muestra'!$D$8:$D$42,ROW('03.Muestra'!$F$8:$F$42)-MIN(ROW('03.Muestra'!$D$8:$D$42))+1,""),ROW()-208)),"")</f>
        <v>https://www.portcastello.com/</v>
      </c>
      <c r="D231" s="130" t="str">
        <f t="shared" si="11"/>
        <v>N/T</v>
      </c>
      <c r="E231" s="107" t="str">
        <f t="shared" si="10"/>
        <v/>
      </c>
      <c r="F231" s="19"/>
      <c r="G231" s="19"/>
      <c r="H231" s="19"/>
      <c r="I231" s="19"/>
      <c r="J231" s="19"/>
      <c r="K231" s="233"/>
      <c r="L231" s="19"/>
      <c r="M231" s="19"/>
      <c r="N231" s="19"/>
      <c r="O231" s="19"/>
      <c r="P231" s="19"/>
      <c r="Q231" s="19"/>
      <c r="R231" s="19"/>
      <c r="S231" s="19"/>
      <c r="T231" s="19"/>
      <c r="U231" s="19"/>
      <c r="V231" s="19"/>
      <c r="W231" s="19"/>
      <c r="X231" s="19"/>
      <c r="Y231" s="19"/>
    </row>
    <row r="232" spans="1:25" ht="12" customHeight="1">
      <c r="A232" s="219" t="n" cm="1">
        <f t="array" ref="A232">IFERROR(INDEX('03.Muestra'!$B$8:$B$42,SMALL(IF("Página Web"='03.Muestra'!$D$8:$D$42,ROW('03.Muestra'!$B$8:$B$42)-MIN(ROW('03.Muestra'!$D$8:$D$42))+1,""),ROW()-208)),"")</f>
        <v>1.0</v>
      </c>
      <c r="B232" s="114" t="str" cm="1">
        <f t="array" ref="B232">IFERROR(INDEX('03.Muestra'!$C$8:$C$42,SMALL(IF("Página Web"='03.Muestra'!$D$8:$D$42,ROW('03.Muestra'!$C$8:$C$42)-MIN(ROW('03.Muestra'!$D$8:$D$42))+1,""),ROW()-208)),"")</f>
        <v>Home - PortCastelló</v>
      </c>
      <c r="C232" s="114" t="str" cm="1">
        <f t="array" ref="C232">IFERROR(INDEX('03.Muestra'!$F$8:$F$42,SMALL(IF("Página Web"='03.Muestra'!$D$8:$D$42,ROW('03.Muestra'!$F$8:$F$42)-MIN(ROW('03.Muestra'!$D$8:$D$42))+1,""),ROW()-208)),"")</f>
        <v>https://www.portcastello.com/</v>
      </c>
      <c r="D232" s="130" t="str">
        <f t="shared" si="11"/>
        <v>N/T</v>
      </c>
      <c r="E232" s="107" t="str">
        <f t="shared" si="10"/>
        <v/>
      </c>
      <c r="F232" s="19"/>
      <c r="G232" s="19"/>
      <c r="H232" s="19"/>
      <c r="I232" s="19"/>
      <c r="J232" s="19"/>
      <c r="K232" s="233"/>
      <c r="L232" s="19"/>
      <c r="M232" s="19"/>
      <c r="N232" s="19"/>
      <c r="O232" s="19"/>
      <c r="P232" s="19"/>
      <c r="Q232" s="19"/>
      <c r="R232" s="19"/>
      <c r="S232" s="19"/>
      <c r="T232" s="19"/>
      <c r="U232" s="19"/>
      <c r="V232" s="19"/>
      <c r="W232" s="19"/>
      <c r="X232" s="19"/>
      <c r="Y232" s="19"/>
    </row>
    <row r="233" spans="1:25" ht="12" customHeight="1">
      <c r="A233" s="219" t="n" cm="1">
        <f t="array" ref="A233">IFERROR(INDEX('03.Muestra'!$B$8:$B$42,SMALL(IF("Página Web"='03.Muestra'!$D$8:$D$42,ROW('03.Muestra'!$B$8:$B$42)-MIN(ROW('03.Muestra'!$D$8:$D$42))+1,""),ROW()-208)),"")</f>
        <v>1.0</v>
      </c>
      <c r="B233" s="114" t="str" cm="1">
        <f t="array" ref="B233">IFERROR(INDEX('03.Muestra'!$C$8:$C$42,SMALL(IF("Página Web"='03.Muestra'!$D$8:$D$42,ROW('03.Muestra'!$C$8:$C$42)-MIN(ROW('03.Muestra'!$D$8:$D$42))+1,""),ROW()-208)),"")</f>
        <v>Home - PortCastelló</v>
      </c>
      <c r="C233" s="114" t="str" cm="1">
        <f t="array" ref="C233">IFERROR(INDEX('03.Muestra'!$F$8:$F$42,SMALL(IF("Página Web"='03.Muestra'!$D$8:$D$42,ROW('03.Muestra'!$F$8:$F$42)-MIN(ROW('03.Muestra'!$D$8:$D$42))+1,""),ROW()-208)),"")</f>
        <v>https://www.portcastello.com/</v>
      </c>
      <c r="D233" s="130" t="str">
        <f t="shared" si="11"/>
        <v>N/T</v>
      </c>
      <c r="E233" s="107" t="str">
        <f t="shared" si="10"/>
        <v/>
      </c>
      <c r="F233" s="19"/>
      <c r="G233" s="19"/>
      <c r="H233" s="19"/>
      <c r="I233" s="19"/>
      <c r="J233" s="19"/>
      <c r="K233" s="233"/>
      <c r="L233" s="19"/>
      <c r="M233" s="19"/>
      <c r="N233" s="19"/>
      <c r="O233" s="19"/>
      <c r="P233" s="19"/>
      <c r="Q233" s="19"/>
      <c r="R233" s="19"/>
      <c r="S233" s="19"/>
      <c r="T233" s="19"/>
      <c r="U233" s="19"/>
      <c r="V233" s="19"/>
      <c r="W233" s="19"/>
      <c r="X233" s="19"/>
      <c r="Y233" s="19"/>
    </row>
    <row r="234" spans="1:25" ht="12" customHeight="1">
      <c r="A234" s="219" t="n" cm="1">
        <f t="array" ref="A234">IFERROR(INDEX('03.Muestra'!$B$8:$B$42,SMALL(IF("Página Web"='03.Muestra'!$D$8:$D$42,ROW('03.Muestra'!$B$8:$B$42)-MIN(ROW('03.Muestra'!$D$8:$D$42))+1,""),ROW()-208)),"")</f>
        <v>1.0</v>
      </c>
      <c r="B234" s="114" t="str" cm="1">
        <f t="array" ref="B234">IFERROR(INDEX('03.Muestra'!$C$8:$C$42,SMALL(IF("Página Web"='03.Muestra'!$D$8:$D$42,ROW('03.Muestra'!$C$8:$C$42)-MIN(ROW('03.Muestra'!$D$8:$D$42))+1,""),ROW()-208)),"")</f>
        <v>Home - PortCastelló</v>
      </c>
      <c r="C234" s="114" t="str" cm="1">
        <f t="array" ref="C234">IFERROR(INDEX('03.Muestra'!$F$8:$F$42,SMALL(IF("Página Web"='03.Muestra'!$D$8:$D$42,ROW('03.Muestra'!$F$8:$F$42)-MIN(ROW('03.Muestra'!$D$8:$D$42))+1,""),ROW()-208)),"")</f>
        <v>https://www.portcastello.com/</v>
      </c>
      <c r="D234" s="130" t="str">
        <f t="shared" si="11"/>
        <v>N/T</v>
      </c>
      <c r="E234" s="107" t="str">
        <f t="shared" si="10"/>
        <v/>
      </c>
      <c r="F234" s="19"/>
      <c r="G234" s="19"/>
      <c r="H234" s="19"/>
      <c r="I234" s="19"/>
      <c r="J234" s="19"/>
      <c r="K234" s="233"/>
      <c r="L234" s="19"/>
      <c r="M234" s="19"/>
      <c r="N234" s="19"/>
      <c r="O234" s="19"/>
      <c r="P234" s="19"/>
      <c r="Q234" s="19"/>
      <c r="R234" s="19"/>
      <c r="S234" s="19"/>
      <c r="T234" s="19"/>
      <c r="U234" s="19"/>
      <c r="V234" s="19"/>
      <c r="W234" s="19"/>
      <c r="X234" s="19"/>
      <c r="Y234" s="19"/>
    </row>
    <row r="235" spans="1:25" ht="12" customHeight="1">
      <c r="A235" s="219" t="n" cm="1">
        <f t="array" ref="A235">IFERROR(INDEX('03.Muestra'!$B$8:$B$42,SMALL(IF("Página Web"='03.Muestra'!$D$8:$D$42,ROW('03.Muestra'!$B$8:$B$42)-MIN(ROW('03.Muestra'!$D$8:$D$42))+1,""),ROW()-208)),"")</f>
        <v>1.0</v>
      </c>
      <c r="B235" s="114" t="str" cm="1">
        <f t="array" ref="B235">IFERROR(INDEX('03.Muestra'!$C$8:$C$42,SMALL(IF("Página Web"='03.Muestra'!$D$8:$D$42,ROW('03.Muestra'!$C$8:$C$42)-MIN(ROW('03.Muestra'!$D$8:$D$42))+1,""),ROW()-208)),"")</f>
        <v>Home - PortCastelló</v>
      </c>
      <c r="C235" s="114" t="str" cm="1">
        <f t="array" ref="C235">IFERROR(INDEX('03.Muestra'!$F$8:$F$42,SMALL(IF("Página Web"='03.Muestra'!$D$8:$D$42,ROW('03.Muestra'!$F$8:$F$42)-MIN(ROW('03.Muestra'!$D$8:$D$42))+1,""),ROW()-208)),"")</f>
        <v>https://www.portcastello.com/</v>
      </c>
      <c r="D235" s="130" t="str">
        <f t="shared" si="11"/>
        <v>N/T</v>
      </c>
      <c r="E235" s="107" t="str">
        <f t="shared" si="10"/>
        <v/>
      </c>
      <c r="F235" s="19"/>
      <c r="G235" s="19"/>
      <c r="H235" s="19"/>
      <c r="I235" s="19"/>
      <c r="J235" s="19"/>
      <c r="K235" s="233"/>
      <c r="L235" s="19"/>
      <c r="M235" s="19"/>
      <c r="N235" s="19"/>
      <c r="O235" s="19"/>
      <c r="P235" s="19"/>
      <c r="Q235" s="19"/>
      <c r="R235" s="19"/>
      <c r="S235" s="19"/>
      <c r="T235" s="19"/>
      <c r="U235" s="19"/>
      <c r="V235" s="19"/>
      <c r="W235" s="19"/>
      <c r="X235" s="19"/>
      <c r="Y235" s="19"/>
    </row>
    <row r="236" spans="1:25" ht="12" customHeight="1">
      <c r="A236" s="219" t="n" cm="1">
        <f t="array" ref="A236">IFERROR(INDEX('03.Muestra'!$B$8:$B$42,SMALL(IF("Página Web"='03.Muestra'!$D$8:$D$42,ROW('03.Muestra'!$B$8:$B$42)-MIN(ROW('03.Muestra'!$D$8:$D$42))+1,""),ROW()-208)),"")</f>
        <v>1.0</v>
      </c>
      <c r="B236" s="114" t="str" cm="1">
        <f t="array" ref="B236">IFERROR(INDEX('03.Muestra'!$C$8:$C$42,SMALL(IF("Página Web"='03.Muestra'!$D$8:$D$42,ROW('03.Muestra'!$C$8:$C$42)-MIN(ROW('03.Muestra'!$D$8:$D$42))+1,""),ROW()-208)),"")</f>
        <v>Home - PortCastelló</v>
      </c>
      <c r="C236" s="114" t="str" cm="1">
        <f t="array" ref="C236">IFERROR(INDEX('03.Muestra'!$F$8:$F$42,SMALL(IF("Página Web"='03.Muestra'!$D$8:$D$42,ROW('03.Muestra'!$F$8:$F$42)-MIN(ROW('03.Muestra'!$D$8:$D$42))+1,""),ROW()-208)),"")</f>
        <v>https://www.portcastello.com/</v>
      </c>
      <c r="D236" s="130" t="str">
        <f t="shared" si="11"/>
        <v>N/T</v>
      </c>
      <c r="E236" s="107" t="str">
        <f t="shared" si="10"/>
        <v/>
      </c>
      <c r="G236" s="19"/>
      <c r="H236" s="19"/>
      <c r="I236" s="19"/>
      <c r="J236" s="19"/>
      <c r="K236" s="233"/>
      <c r="L236" s="19"/>
      <c r="M236" s="19"/>
      <c r="N236" s="19"/>
      <c r="O236" s="19"/>
      <c r="P236" s="19"/>
      <c r="Q236" s="19"/>
      <c r="R236" s="19"/>
      <c r="S236" s="19"/>
      <c r="T236" s="19"/>
      <c r="U236" s="19"/>
      <c r="V236" s="19"/>
      <c r="W236" s="19"/>
      <c r="X236" s="19"/>
      <c r="Y236" s="19"/>
    </row>
    <row r="237" spans="1:25" ht="12" customHeight="1">
      <c r="A237" s="219" t="n" cm="1">
        <f t="array" ref="A237">IFERROR(INDEX('03.Muestra'!$B$8:$B$42,SMALL(IF("Página Web"='03.Muestra'!$D$8:$D$42,ROW('03.Muestra'!$B$8:$B$42)-MIN(ROW('03.Muestra'!$D$8:$D$42))+1,""),ROW()-208)),"")</f>
        <v>1.0</v>
      </c>
      <c r="B237" s="114" t="str" cm="1">
        <f t="array" ref="B237">IFERROR(INDEX('03.Muestra'!$C$8:$C$42,SMALL(IF("Página Web"='03.Muestra'!$D$8:$D$42,ROW('03.Muestra'!$C$8:$C$42)-MIN(ROW('03.Muestra'!$D$8:$D$42))+1,""),ROW()-208)),"")</f>
        <v>Home - PortCastelló</v>
      </c>
      <c r="C237" s="114" t="str" cm="1">
        <f t="array" ref="C237">IFERROR(INDEX('03.Muestra'!$F$8:$F$42,SMALL(IF("Página Web"='03.Muestra'!$D$8:$D$42,ROW('03.Muestra'!$F$8:$F$42)-MIN(ROW('03.Muestra'!$D$8:$D$42))+1,""),ROW()-208)),"")</f>
        <v>https://www.portcastello.com/</v>
      </c>
      <c r="D237" s="130" t="str">
        <f t="shared" si="11"/>
        <v>N/T</v>
      </c>
      <c r="E237" s="107" t="str">
        <f t="shared" si="10"/>
        <v/>
      </c>
      <c r="F237" s="124"/>
      <c r="G237" s="19"/>
      <c r="H237" s="19"/>
      <c r="I237" s="19"/>
      <c r="J237" s="19"/>
      <c r="K237" s="233"/>
      <c r="L237" s="19"/>
      <c r="M237" s="19"/>
      <c r="N237" s="19"/>
      <c r="O237" s="19"/>
      <c r="P237" s="19"/>
      <c r="Q237" s="19"/>
      <c r="R237" s="19"/>
      <c r="S237" s="19"/>
      <c r="T237" s="19"/>
      <c r="U237" s="19"/>
      <c r="V237" s="19"/>
      <c r="W237" s="19"/>
      <c r="X237" s="19"/>
      <c r="Y237" s="19"/>
    </row>
    <row r="238" spans="1:25" ht="12" customHeight="1">
      <c r="A238" s="219" t="n" cm="1">
        <f t="array" ref="A238">IFERROR(INDEX('03.Muestra'!$B$8:$B$42,SMALL(IF("Página Web"='03.Muestra'!$D$8:$D$42,ROW('03.Muestra'!$B$8:$B$42)-MIN(ROW('03.Muestra'!$D$8:$D$42))+1,""),ROW()-208)),"")</f>
        <v>1.0</v>
      </c>
      <c r="B238" s="114" t="str" cm="1">
        <f t="array" ref="B238">IFERROR(INDEX('03.Muestra'!$C$8:$C$42,SMALL(IF("Página Web"='03.Muestra'!$D$8:$D$42,ROW('03.Muestra'!$C$8:$C$42)-MIN(ROW('03.Muestra'!$D$8:$D$42))+1,""),ROW()-208)),"")</f>
        <v>Home - PortCastelló</v>
      </c>
      <c r="C238" s="114" t="str" cm="1">
        <f t="array" ref="C238">IFERROR(INDEX('03.Muestra'!$F$8:$F$42,SMALL(IF("Página Web"='03.Muestra'!$D$8:$D$42,ROW('03.Muestra'!$F$8:$F$42)-MIN(ROW('03.Muestra'!$D$8:$D$42))+1,""),ROW()-208)),"")</f>
        <v>https://www.portcastello.com/</v>
      </c>
      <c r="D238" s="130" t="str">
        <f t="shared" si="11"/>
        <v>N/T</v>
      </c>
      <c r="E238" s="107" t="str">
        <f t="shared" si="10"/>
        <v/>
      </c>
      <c r="F238" s="124"/>
      <c r="G238" s="19"/>
      <c r="H238" s="19"/>
      <c r="I238" s="19"/>
      <c r="J238" s="19"/>
      <c r="K238" s="233"/>
      <c r="L238" s="19"/>
      <c r="M238" s="19"/>
      <c r="N238" s="19"/>
      <c r="O238" s="19"/>
      <c r="P238" s="19"/>
      <c r="Q238" s="19"/>
      <c r="R238" s="19"/>
      <c r="S238" s="19"/>
      <c r="T238" s="19"/>
      <c r="U238" s="19"/>
      <c r="V238" s="19"/>
      <c r="W238" s="19"/>
      <c r="X238" s="19"/>
      <c r="Y238" s="19"/>
    </row>
    <row r="239" spans="1:25" ht="12" customHeight="1">
      <c r="A239" s="219" t="n" cm="1">
        <f t="array" ref="A239">IFERROR(INDEX('03.Muestra'!$B$8:$B$42,SMALL(IF("Página Web"='03.Muestra'!$D$8:$D$42,ROW('03.Muestra'!$B$8:$B$42)-MIN(ROW('03.Muestra'!$D$8:$D$42))+1,""),ROW()-208)),"")</f>
        <v>1.0</v>
      </c>
      <c r="B239" s="114" t="str" cm="1">
        <f t="array" ref="B239">IFERROR(INDEX('03.Muestra'!$C$8:$C$42,SMALL(IF("Página Web"='03.Muestra'!$D$8:$D$42,ROW('03.Muestra'!$C$8:$C$42)-MIN(ROW('03.Muestra'!$D$8:$D$42))+1,""),ROW()-208)),"")</f>
        <v>Home - PortCastelló</v>
      </c>
      <c r="C239" s="114" t="str" cm="1">
        <f t="array" ref="C239">IFERROR(INDEX('03.Muestra'!$F$8:$F$42,SMALL(IF("Página Web"='03.Muestra'!$D$8:$D$42,ROW('03.Muestra'!$F$8:$F$42)-MIN(ROW('03.Muestra'!$D$8:$D$42))+1,""),ROW()-208)),"")</f>
        <v>https://www.portcastello.com/</v>
      </c>
      <c r="D239" s="130" t="str">
        <f t="shared" si="11"/>
        <v>N/T</v>
      </c>
      <c r="E239" s="107" t="str">
        <f t="shared" si="10"/>
        <v/>
      </c>
      <c r="F239" s="124"/>
      <c r="G239" s="19"/>
      <c r="H239" s="19"/>
      <c r="I239" s="19"/>
      <c r="J239" s="19"/>
      <c r="K239" s="233"/>
      <c r="L239" s="19"/>
      <c r="M239" s="19"/>
      <c r="N239" s="19"/>
      <c r="O239" s="19"/>
      <c r="P239" s="19"/>
      <c r="Q239" s="19"/>
      <c r="R239" s="19"/>
      <c r="S239" s="19"/>
      <c r="T239" s="19"/>
      <c r="U239" s="19"/>
      <c r="V239" s="19"/>
      <c r="W239" s="19"/>
      <c r="X239" s="19"/>
      <c r="Y239" s="19"/>
    </row>
    <row r="240" spans="1:25" ht="12" customHeight="1">
      <c r="A240" s="219" t="n" cm="1">
        <f t="array" ref="A240">IFERROR(INDEX('03.Muestra'!$B$8:$B$42,SMALL(IF("Página Web"='03.Muestra'!$D$8:$D$42,ROW('03.Muestra'!$B$8:$B$42)-MIN(ROW('03.Muestra'!$D$8:$D$42))+1,""),ROW()-208)),"")</f>
        <v>1.0</v>
      </c>
      <c r="B240" s="114" t="str" cm="1">
        <f t="array" ref="B240">IFERROR(INDEX('03.Muestra'!$C$8:$C$42,SMALL(IF("Página Web"='03.Muestra'!$D$8:$D$42,ROW('03.Muestra'!$C$8:$C$42)-MIN(ROW('03.Muestra'!$D$8:$D$42))+1,""),ROW()-208)),"")</f>
        <v>Home - PortCastelló</v>
      </c>
      <c r="C240" s="114" t="str" cm="1">
        <f t="array" ref="C240">IFERROR(INDEX('03.Muestra'!$F$8:$F$42,SMALL(IF("Página Web"='03.Muestra'!$D$8:$D$42,ROW('03.Muestra'!$F$8:$F$42)-MIN(ROW('03.Muestra'!$D$8:$D$42))+1,""),ROW()-208)),"")</f>
        <v>https://www.portcastello.com/</v>
      </c>
      <c r="D240" s="130" t="str">
        <f t="shared" si="11"/>
        <v>N/T</v>
      </c>
      <c r="E240" s="107" t="str">
        <f t="shared" si="10"/>
        <v/>
      </c>
      <c r="F240" s="124"/>
      <c r="G240" s="19"/>
      <c r="H240" s="19"/>
      <c r="I240" s="19"/>
      <c r="J240" s="19"/>
      <c r="K240" s="233"/>
      <c r="L240" s="19"/>
      <c r="M240" s="19"/>
      <c r="N240" s="19"/>
      <c r="O240" s="19"/>
      <c r="P240" s="19"/>
      <c r="Q240" s="19"/>
      <c r="R240" s="19"/>
      <c r="S240" s="19"/>
      <c r="T240" s="19"/>
      <c r="U240" s="19"/>
      <c r="V240" s="19"/>
      <c r="W240" s="19"/>
      <c r="X240" s="19"/>
      <c r="Y240" s="19"/>
    </row>
    <row r="241" spans="1:25" ht="12" customHeight="1">
      <c r="A241" s="219" t="n" cm="1">
        <f t="array" ref="A241">IFERROR(INDEX('03.Muestra'!$B$8:$B$42,SMALL(IF("Página Web"='03.Muestra'!$D$8:$D$42,ROW('03.Muestra'!$B$8:$B$42)-MIN(ROW('03.Muestra'!$D$8:$D$42))+1,""),ROW()-208)),"")</f>
        <v>1.0</v>
      </c>
      <c r="B241" s="114" t="str" cm="1">
        <f t="array" ref="B241">IFERROR(INDEX('03.Muestra'!$C$8:$C$42,SMALL(IF("Página Web"='03.Muestra'!$D$8:$D$42,ROW('03.Muestra'!$C$8:$C$42)-MIN(ROW('03.Muestra'!$D$8:$D$42))+1,""),ROW()-208)),"")</f>
        <v>Home - PortCastelló</v>
      </c>
      <c r="C241" s="114" t="str" cm="1">
        <f t="array" ref="C241">IFERROR(INDEX('03.Muestra'!$F$8:$F$42,SMALL(IF("Página Web"='03.Muestra'!$D$8:$D$42,ROW('03.Muestra'!$F$8:$F$42)-MIN(ROW('03.Muestra'!$D$8:$D$42))+1,""),ROW()-208)),"")</f>
        <v>https://www.portcastello.com/</v>
      </c>
      <c r="D241" s="130" t="str">
        <f t="shared" si="11"/>
        <v>N/T</v>
      </c>
      <c r="E241" s="107" t="str">
        <f t="shared" si="10"/>
        <v/>
      </c>
      <c r="F241" s="124"/>
      <c r="G241" s="19"/>
      <c r="H241" s="19"/>
      <c r="I241" s="19"/>
      <c r="J241" s="19"/>
      <c r="K241" s="233"/>
      <c r="L241" s="19"/>
      <c r="M241" s="19"/>
      <c r="N241" s="19"/>
      <c r="O241" s="19"/>
      <c r="P241" s="19"/>
      <c r="Q241" s="19"/>
      <c r="R241" s="19"/>
      <c r="S241" s="19"/>
      <c r="T241" s="19"/>
      <c r="U241" s="19"/>
      <c r="V241" s="19"/>
      <c r="W241" s="19"/>
      <c r="X241" s="19"/>
      <c r="Y241" s="19"/>
    </row>
    <row r="242" spans="1:25" ht="12" customHeight="1">
      <c r="A242" s="219" t="str" cm="1">
        <f t="array" ref="A242">IFERROR(INDEX('03.Muestra'!$B$8:$B$42,SMALL(IF("Página Web"='03.Muestra'!$D$8:$D$42,ROW('03.Muestra'!$B$8:$B$42)-MIN(ROW('03.Muestra'!$D$8:$D$42))+1,""),ROW()-208)),"")</f>
        <v/>
      </c>
      <c r="B242" s="114" t="str" cm="1">
        <f t="array" ref="B242">IFERROR(INDEX('03.Muestra'!$C$8:$C$42,SMALL(IF("Página Web"='03.Muestra'!$D$8:$D$42,ROW('03.Muestra'!$C$8:$C$42)-MIN(ROW('03.Muestra'!$D$8:$D$42))+1,""),ROW()-208)),"")</f>
        <v/>
      </c>
      <c r="C242" s="114" t="str" cm="1">
        <f t="array" ref="C242">IFERROR(INDEX('03.Muestra'!$F$8:$F$42,SMALL(IF("Página Web"='03.Muestra'!$D$8:$D$42,ROW('03.Muestra'!$F$8:$F$42)-MIN(ROW('03.Muestra'!$D$8:$D$42))+1,""),ROW()-208)),"")</f>
        <v/>
      </c>
      <c r="D242" s="130" t="str">
        <f t="shared" si="11"/>
        <v/>
      </c>
      <c r="E242" s="107" t="str">
        <f t="shared" si="10"/>
        <v/>
      </c>
      <c r="F242" s="124"/>
      <c r="G242" s="19"/>
      <c r="H242" s="19"/>
      <c r="I242" s="19"/>
      <c r="J242" s="19"/>
      <c r="K242" s="233"/>
      <c r="L242" s="19"/>
      <c r="M242" s="19"/>
      <c r="N242" s="19"/>
      <c r="O242" s="19"/>
      <c r="P242" s="19"/>
      <c r="Q242" s="19"/>
      <c r="R242" s="19"/>
      <c r="S242" s="19"/>
      <c r="T242" s="19"/>
      <c r="U242" s="19"/>
      <c r="V242" s="19"/>
      <c r="W242" s="19"/>
      <c r="X242" s="19"/>
      <c r="Y242" s="19"/>
    </row>
    <row r="243" spans="1:25" ht="12" customHeight="1">
      <c r="A243" s="219" t="str" cm="1">
        <f t="array" ref="A243">IFERROR(INDEX('03.Muestra'!$B$8:$B$42,SMALL(IF("Página Web"='03.Muestra'!$D$8:$D$42,ROW('03.Muestra'!$B$8:$B$42)-MIN(ROW('03.Muestra'!$D$8:$D$42))+1,""),ROW()-208)),"")</f>
        <v/>
      </c>
      <c r="B243" s="114" t="str" cm="1">
        <f t="array" ref="B243">IFERROR(INDEX('03.Muestra'!$C$8:$C$42,SMALL(IF("Página Web"='03.Muestra'!$D$8:$D$42,ROW('03.Muestra'!$C$8:$C$42)-MIN(ROW('03.Muestra'!$D$8:$D$42))+1,""),ROW()-208)),"")</f>
        <v/>
      </c>
      <c r="C243" s="114" t="str" cm="1">
        <f t="array" ref="C243">IFERROR(INDEX('03.Muestra'!$F$8:$F$42,SMALL(IF("Página Web"='03.Muestra'!$D$8:$D$42,ROW('03.Muestra'!$F$8:$F$42)-MIN(ROW('03.Muestra'!$D$8:$D$42))+1,""),ROW()-208)),"")</f>
        <v/>
      </c>
      <c r="D243" s="130" t="str">
        <f t="shared" si="11"/>
        <v/>
      </c>
      <c r="E243" s="107" t="str">
        <f t="shared" si="10"/>
        <v/>
      </c>
      <c r="F243" s="19"/>
      <c r="G243" s="19"/>
      <c r="H243" s="19"/>
      <c r="I243" s="19"/>
      <c r="J243" s="19"/>
      <c r="K243" s="233"/>
      <c r="L243" s="19"/>
      <c r="M243" s="19"/>
      <c r="N243" s="19"/>
      <c r="O243" s="19"/>
      <c r="P243" s="19"/>
      <c r="Q243" s="19"/>
      <c r="R243" s="19"/>
      <c r="S243" s="19"/>
      <c r="T243" s="19"/>
      <c r="U243" s="19"/>
      <c r="V243" s="19"/>
      <c r="W243" s="19"/>
      <c r="X243" s="19"/>
      <c r="Y243" s="19"/>
    </row>
    <row r="244" spans="1:25" ht="12" customHeight="1">
      <c r="B244" s="19"/>
      <c r="C244" s="19"/>
      <c r="D244" s="107"/>
      <c r="E244" s="107"/>
      <c r="F244" s="19"/>
      <c r="G244" s="19"/>
      <c r="H244" s="19"/>
      <c r="I244" s="19"/>
      <c r="J244" s="19"/>
      <c r="K244" s="233"/>
      <c r="L244" s="19"/>
      <c r="M244" s="19"/>
      <c r="N244" s="19"/>
      <c r="O244" s="19"/>
      <c r="P244" s="19"/>
      <c r="Q244" s="19"/>
      <c r="R244" s="19"/>
      <c r="S244" s="19"/>
      <c r="T244" s="19"/>
      <c r="U244" s="19"/>
      <c r="V244" s="19"/>
      <c r="W244" s="19"/>
      <c r="X244" s="19"/>
      <c r="Y244" s="19"/>
    </row>
    <row r="245" spans="1:25" ht="12" customHeight="1">
      <c r="B245" s="19"/>
      <c r="C245" s="19"/>
      <c r="D245" s="107"/>
      <c r="E245" s="112"/>
      <c r="F245" s="19"/>
      <c r="G245" s="19"/>
      <c r="H245" s="19"/>
      <c r="I245" s="19"/>
      <c r="J245" s="19"/>
      <c r="K245" s="233"/>
      <c r="L245" s="19"/>
      <c r="M245" s="19"/>
      <c r="N245" s="19"/>
      <c r="O245" s="19"/>
      <c r="P245" s="19"/>
      <c r="Q245" s="19"/>
      <c r="R245" s="19"/>
      <c r="S245" s="19"/>
      <c r="T245" s="19"/>
      <c r="U245" s="19"/>
      <c r="V245" s="19"/>
      <c r="W245" s="19"/>
      <c r="X245" s="19"/>
      <c r="Y245" s="19"/>
    </row>
    <row r="246" spans="1:25" ht="32.25" customHeight="1">
      <c r="A246" s="218" t="s">
        <v>268</v>
      </c>
      <c r="B246" s="24" t="s">
        <v>90</v>
      </c>
      <c r="C246" s="25" t="s">
        <v>259</v>
      </c>
      <c r="D246" s="26" t="s">
        <v>32</v>
      </c>
      <c r="E246" s="123"/>
      <c r="K246" s="233"/>
      <c r="L246" s="19"/>
      <c r="M246" s="19"/>
      <c r="N246" s="19"/>
      <c r="O246" s="19"/>
      <c r="P246" s="19"/>
      <c r="Q246" s="19"/>
      <c r="R246" s="19"/>
      <c r="S246" s="19"/>
      <c r="T246" s="19"/>
      <c r="U246" s="19"/>
      <c r="V246" s="19"/>
      <c r="W246" s="19"/>
      <c r="X246" s="19"/>
      <c r="Y246" s="19"/>
    </row>
    <row r="247" spans="1:25" ht="12" customHeight="1">
      <c r="A247" s="219" t="n" cm="1">
        <f t="array" ref="A247">IFERROR(INDEX('03.Muestra'!$B$8:$B$42,SMALL(IF("Página Web"='03.Muestra'!$D$8:$D$42,ROW('03.Muestra'!$B$8:$B$42)-MIN(ROW('03.Muestra'!$D$8:$D$42))+1,""),ROW()-246)),"")</f>
        <v>1.0</v>
      </c>
      <c r="B247" s="114" t="str" cm="1">
        <f t="array" ref="B247">IFERROR(INDEX('03.Muestra'!$C$8:$C$42,SMALL(IF("Página Web"='03.Muestra'!$D$8:$D$42,ROW('03.Muestra'!$C$8:$C$42)-MIN(ROW('03.Muestra'!$D$8:$D$42))+1,""),ROW()-246)),"")</f>
        <v>Home - PortCastelló</v>
      </c>
      <c r="C247" s="114" t="str" cm="1">
        <f t="array" ref="C247">IFERROR(INDEX('03.Muestra'!$F$8:$F$42,SMALL(IF("Página Web"='03.Muestra'!$D$8:$D$42,ROW('03.Muestra'!$F$8:$F$42)-MIN(ROW('03.Muestra'!$D$8:$D$42))+1,""),ROW()-246)),"")</f>
        <v>https://www.portcastello.com/</v>
      </c>
      <c r="D247" s="130" t="str">
        <f>IF(AND(B247&lt;&gt;"",C247&lt;&gt;""),"N/T","")</f>
        <v>N/T</v>
      </c>
      <c r="E247" s="107" t="str">
        <f t="shared" ref="E247:E281" si="12">IF(D247&lt;&gt;"",IF(AND(B247&lt;&gt;"",C247&lt;&gt;""),"","ERR"),"")</f>
        <v/>
      </c>
      <c r="F247" s="115" t="s">
        <v>33</v>
      </c>
      <c r="G247" s="116" t="s">
        <v>37</v>
      </c>
      <c r="H247" s="117" t="s">
        <v>35</v>
      </c>
      <c r="I247" s="118" t="s">
        <v>28</v>
      </c>
      <c r="J247" s="119" t="s">
        <v>26</v>
      </c>
      <c r="K247" s="226" t="s">
        <v>474</v>
      </c>
      <c r="L247" s="19"/>
      <c r="M247" s="19"/>
      <c r="N247" s="19"/>
      <c r="O247" s="19"/>
      <c r="P247" s="19"/>
      <c r="Q247" s="19"/>
      <c r="R247" s="19"/>
      <c r="S247" s="19"/>
      <c r="T247" s="19"/>
      <c r="U247" s="19"/>
      <c r="V247" s="19"/>
      <c r="W247" s="19"/>
      <c r="X247" s="19"/>
      <c r="Y247" s="19"/>
    </row>
    <row r="248" spans="1:25" ht="12" customHeight="1">
      <c r="A248" s="219" t="n" cm="1">
        <f t="array" ref="A248">IFERROR(INDEX('03.Muestra'!$B$8:$B$42,SMALL(IF("Página Web"='03.Muestra'!$D$8:$D$42,ROW('03.Muestra'!$B$8:$B$42)-MIN(ROW('03.Muestra'!$D$8:$D$42))+1,""),ROW()-246)),"")</f>
        <v>1.0</v>
      </c>
      <c r="B248" s="114" t="str" cm="1">
        <f t="array" ref="B248">IFERROR(INDEX('03.Muestra'!$C$8:$C$42,SMALL(IF("Página Web"='03.Muestra'!$D$8:$D$42,ROW('03.Muestra'!$C$8:$C$42)-MIN(ROW('03.Muestra'!$D$8:$D$42))+1,""),ROW()-246)),"")</f>
        <v>Home - PortCastelló</v>
      </c>
      <c r="C248" s="114" t="str" cm="1">
        <f t="array" ref="C248">IFERROR(INDEX('03.Muestra'!$F$8:$F$42,SMALL(IF("Página Web"='03.Muestra'!$D$8:$D$42,ROW('03.Muestra'!$F$8:$F$42)-MIN(ROW('03.Muestra'!$D$8:$D$42))+1,""),ROW()-246)),"")</f>
        <v>https://www.portcastello.com/</v>
      </c>
      <c r="D248" s="130" t="str">
        <f t="shared" ref="D248:D281" si="13">IF(AND(B248&lt;&gt;"",C248&lt;&gt;""),"N/T","")</f>
        <v>N/T</v>
      </c>
      <c r="E248" s="107" t="str">
        <f t="shared" si="12"/>
        <v/>
      </c>
      <c r="F248" s="120" t="n">
        <f ca="1">COUNTIF($D247:INDIRECT("$D" &amp;  SUM(ROW()-1,'03.Muestra'!$D$45)-1),F247)</f>
        <v>33.0</v>
      </c>
      <c r="G248" s="120" t="n">
        <f ca="1">COUNTIF($D247:INDIRECT("$D" &amp;  SUM(ROW()-1,'03.Muestra'!$D$45)-1),G247)</f>
        <v>0.0</v>
      </c>
      <c r="H248" s="120" t="n">
        <f ca="1">COUNTIF($D247:INDIRECT("$D" &amp;  SUM(ROW()-1,'03.Muestra'!$D$45)-1),H247)</f>
        <v>0.0</v>
      </c>
      <c r="I248" s="120" t="n">
        <f ca="1">COUNTIF($D247:INDIRECT("$D" &amp;  SUM(ROW()-1,'03.Muestra'!$D$45)-1),I247)</f>
        <v>0.0</v>
      </c>
      <c r="J248" s="120" t="n">
        <f ca="1">COUNTIF($D247:INDIRECT("$D" &amp;  SUM(ROW()-1,'03.Muestra'!$D$45)-1),J247)</f>
        <v>0.0</v>
      </c>
      <c r="K248" s="227" t="n">
        <f ca="1">IF(COUNTIF('03.Muestra'!$D$8:$D$42,"Página Web")=0,0,COUNTBLANK($D247:INDIRECT("$D" &amp;  SUM(ROW()-1,COUNTIF('03.Muestra'!$D$8:$D$42,"Página Web"))-1)))</f>
        <v>0.0</v>
      </c>
      <c r="L248" s="19"/>
      <c r="M248" s="19"/>
      <c r="N248" s="19"/>
      <c r="O248" s="19"/>
      <c r="P248" s="19"/>
      <c r="Q248" s="19"/>
      <c r="R248" s="19"/>
      <c r="S248" s="19"/>
      <c r="T248" s="19"/>
      <c r="U248" s="19"/>
      <c r="V248" s="19"/>
      <c r="W248" s="19"/>
      <c r="X248" s="19"/>
      <c r="Y248" s="19"/>
    </row>
    <row r="249" spans="1:25" ht="12" customHeight="1">
      <c r="A249" s="219" t="n" cm="1">
        <f t="array" ref="A249">IFERROR(INDEX('03.Muestra'!$B$8:$B$42,SMALL(IF("Página Web"='03.Muestra'!$D$8:$D$42,ROW('03.Muestra'!$B$8:$B$42)-MIN(ROW('03.Muestra'!$D$8:$D$42))+1,""),ROW()-246)),"")</f>
        <v>1.0</v>
      </c>
      <c r="B249" s="114" t="str" cm="1">
        <f t="array" ref="B249">IFERROR(INDEX('03.Muestra'!$C$8:$C$42,SMALL(IF("Página Web"='03.Muestra'!$D$8:$D$42,ROW('03.Muestra'!$C$8:$C$42)-MIN(ROW('03.Muestra'!$D$8:$D$42))+1,""),ROW()-246)),"")</f>
        <v>Home - PortCastelló</v>
      </c>
      <c r="C249" s="114" t="str" cm="1">
        <f t="array" ref="C249">IFERROR(INDEX('03.Muestra'!$F$8:$F$42,SMALL(IF("Página Web"='03.Muestra'!$D$8:$D$42,ROW('03.Muestra'!$F$8:$F$42)-MIN(ROW('03.Muestra'!$D$8:$D$42))+1,""),ROW()-246)),"")</f>
        <v>https://www.portcastello.com/</v>
      </c>
      <c r="D249" s="130" t="str">
        <f t="shared" si="13"/>
        <v>N/T</v>
      </c>
      <c r="E249" s="107" t="str">
        <f t="shared" si="12"/>
        <v/>
      </c>
      <c r="G249" s="19"/>
      <c r="H249" s="19"/>
      <c r="I249" s="19"/>
      <c r="J249" s="19"/>
      <c r="K249" s="233"/>
      <c r="L249" s="19"/>
      <c r="M249" s="19"/>
      <c r="N249" s="19"/>
      <c r="O249" s="19"/>
      <c r="P249" s="19"/>
      <c r="Q249" s="19"/>
      <c r="R249" s="19"/>
      <c r="S249" s="19"/>
      <c r="T249" s="19"/>
      <c r="U249" s="19"/>
      <c r="V249" s="19"/>
      <c r="W249" s="19"/>
      <c r="X249" s="19"/>
      <c r="Y249" s="19"/>
    </row>
    <row r="250" spans="1:25" ht="12" customHeight="1">
      <c r="A250" s="219" t="n" cm="1">
        <f t="array" ref="A250">IFERROR(INDEX('03.Muestra'!$B$8:$B$42,SMALL(IF("Página Web"='03.Muestra'!$D$8:$D$42,ROW('03.Muestra'!$B$8:$B$42)-MIN(ROW('03.Muestra'!$D$8:$D$42))+1,""),ROW()-246)),"")</f>
        <v>1.0</v>
      </c>
      <c r="B250" s="114" t="str" cm="1">
        <f t="array" ref="B250">IFERROR(INDEX('03.Muestra'!$C$8:$C$42,SMALL(IF("Página Web"='03.Muestra'!$D$8:$D$42,ROW('03.Muestra'!$C$8:$C$42)-MIN(ROW('03.Muestra'!$D$8:$D$42))+1,""),ROW()-246)),"")</f>
        <v>Home - PortCastelló</v>
      </c>
      <c r="C250" s="114" t="str" cm="1">
        <f t="array" ref="C250">IFERROR(INDEX('03.Muestra'!$F$8:$F$42,SMALL(IF("Página Web"='03.Muestra'!$D$8:$D$42,ROW('03.Muestra'!$F$8:$F$42)-MIN(ROW('03.Muestra'!$D$8:$D$42))+1,""),ROW()-246)),"")</f>
        <v>https://www.portcastello.com/</v>
      </c>
      <c r="D250" s="130" t="str">
        <f t="shared" si="13"/>
        <v>N/T</v>
      </c>
      <c r="E250" s="107" t="str">
        <f t="shared" si="12"/>
        <v/>
      </c>
      <c r="G250" s="19"/>
      <c r="H250" s="19"/>
      <c r="I250" s="19"/>
      <c r="J250" s="19"/>
      <c r="K250" s="233"/>
      <c r="L250" s="19"/>
      <c r="M250" s="19"/>
      <c r="N250" s="19"/>
      <c r="O250" s="19"/>
      <c r="P250" s="19"/>
      <c r="Q250" s="19"/>
      <c r="R250" s="19"/>
      <c r="S250" s="19"/>
      <c r="T250" s="19"/>
      <c r="U250" s="19"/>
      <c r="V250" s="19"/>
      <c r="W250" s="19"/>
      <c r="X250" s="19"/>
      <c r="Y250" s="19"/>
    </row>
    <row r="251" spans="1:25" ht="12" customHeight="1">
      <c r="A251" s="219" t="n" cm="1">
        <f t="array" ref="A251">IFERROR(INDEX('03.Muestra'!$B$8:$B$42,SMALL(IF("Página Web"='03.Muestra'!$D$8:$D$42,ROW('03.Muestra'!$B$8:$B$42)-MIN(ROW('03.Muestra'!$D$8:$D$42))+1,""),ROW()-246)),"")</f>
        <v>1.0</v>
      </c>
      <c r="B251" s="114" t="str" cm="1">
        <f t="array" ref="B251">IFERROR(INDEX('03.Muestra'!$C$8:$C$42,SMALL(IF("Página Web"='03.Muestra'!$D$8:$D$42,ROW('03.Muestra'!$C$8:$C$42)-MIN(ROW('03.Muestra'!$D$8:$D$42))+1,""),ROW()-246)),"")</f>
        <v>Home - PortCastelló</v>
      </c>
      <c r="C251" s="114" t="str" cm="1">
        <f t="array" ref="C251">IFERROR(INDEX('03.Muestra'!$F$8:$F$42,SMALL(IF("Página Web"='03.Muestra'!$D$8:$D$42,ROW('03.Muestra'!$F$8:$F$42)-MIN(ROW('03.Muestra'!$D$8:$D$42))+1,""),ROW()-246)),"")</f>
        <v>https://www.portcastello.com/</v>
      </c>
      <c r="D251" s="130" t="str">
        <f t="shared" si="13"/>
        <v>N/T</v>
      </c>
      <c r="E251" s="107" t="str">
        <f t="shared" si="12"/>
        <v/>
      </c>
      <c r="G251" s="19"/>
      <c r="H251" s="19"/>
      <c r="I251" s="19"/>
      <c r="J251" s="19"/>
      <c r="K251" s="233"/>
      <c r="L251" s="19"/>
      <c r="M251" s="19"/>
      <c r="N251" s="19"/>
      <c r="O251" s="19"/>
      <c r="P251" s="19"/>
      <c r="Q251" s="19"/>
      <c r="R251" s="19"/>
      <c r="S251" s="19"/>
      <c r="T251" s="19"/>
      <c r="U251" s="19"/>
      <c r="V251" s="19"/>
      <c r="W251" s="19"/>
      <c r="X251" s="19"/>
      <c r="Y251" s="19"/>
    </row>
    <row r="252" spans="1:25" ht="12" customHeight="1">
      <c r="A252" s="219" t="n" cm="1">
        <f t="array" ref="A252">IFERROR(INDEX('03.Muestra'!$B$8:$B$42,SMALL(IF("Página Web"='03.Muestra'!$D$8:$D$42,ROW('03.Muestra'!$B$8:$B$42)-MIN(ROW('03.Muestra'!$D$8:$D$42))+1,""),ROW()-246)),"")</f>
        <v>1.0</v>
      </c>
      <c r="B252" s="114" t="str" cm="1">
        <f t="array" ref="B252">IFERROR(INDEX('03.Muestra'!$C$8:$C$42,SMALL(IF("Página Web"='03.Muestra'!$D$8:$D$42,ROW('03.Muestra'!$C$8:$C$42)-MIN(ROW('03.Muestra'!$D$8:$D$42))+1,""),ROW()-246)),"")</f>
        <v>Home - PortCastelló</v>
      </c>
      <c r="C252" s="114" t="str" cm="1">
        <f t="array" ref="C252">IFERROR(INDEX('03.Muestra'!$F$8:$F$42,SMALL(IF("Página Web"='03.Muestra'!$D$8:$D$42,ROW('03.Muestra'!$F$8:$F$42)-MIN(ROW('03.Muestra'!$D$8:$D$42))+1,""),ROW()-246)),"")</f>
        <v>https://www.portcastello.com/</v>
      </c>
      <c r="D252" s="130" t="str">
        <f t="shared" si="13"/>
        <v>N/T</v>
      </c>
      <c r="E252" s="107" t="str">
        <f t="shared" si="12"/>
        <v/>
      </c>
      <c r="G252" s="19"/>
      <c r="H252" s="19"/>
      <c r="I252" s="19"/>
      <c r="J252" s="19"/>
      <c r="K252" s="233"/>
      <c r="L252" s="19"/>
      <c r="M252" s="19"/>
      <c r="N252" s="19"/>
      <c r="O252" s="19"/>
      <c r="P252" s="19"/>
      <c r="Q252" s="19"/>
      <c r="R252" s="19"/>
      <c r="S252" s="19"/>
      <c r="T252" s="19"/>
      <c r="U252" s="19"/>
      <c r="V252" s="19"/>
      <c r="W252" s="19"/>
      <c r="X252" s="19"/>
      <c r="Y252" s="19"/>
    </row>
    <row r="253" spans="1:25" ht="12" customHeight="1">
      <c r="A253" s="219" t="n" cm="1">
        <f t="array" ref="A253">IFERROR(INDEX('03.Muestra'!$B$8:$B$42,SMALL(IF("Página Web"='03.Muestra'!$D$8:$D$42,ROW('03.Muestra'!$B$8:$B$42)-MIN(ROW('03.Muestra'!$D$8:$D$42))+1,""),ROW()-246)),"")</f>
        <v>1.0</v>
      </c>
      <c r="B253" s="114" t="str" cm="1">
        <f t="array" ref="B253">IFERROR(INDEX('03.Muestra'!$C$8:$C$42,SMALL(IF("Página Web"='03.Muestra'!$D$8:$D$42,ROW('03.Muestra'!$C$8:$C$42)-MIN(ROW('03.Muestra'!$D$8:$D$42))+1,""),ROW()-246)),"")</f>
        <v>Home - PortCastelló</v>
      </c>
      <c r="C253" s="114" t="str" cm="1">
        <f t="array" ref="C253">IFERROR(INDEX('03.Muestra'!$F$8:$F$42,SMALL(IF("Página Web"='03.Muestra'!$D$8:$D$42,ROW('03.Muestra'!$F$8:$F$42)-MIN(ROW('03.Muestra'!$D$8:$D$42))+1,""),ROW()-246)),"")</f>
        <v>https://www.portcastello.com/</v>
      </c>
      <c r="D253" s="130" t="str">
        <f t="shared" si="13"/>
        <v>N/T</v>
      </c>
      <c r="E253" s="107" t="str">
        <f t="shared" si="12"/>
        <v/>
      </c>
      <c r="F253" s="19"/>
      <c r="G253" s="19"/>
      <c r="H253" s="19"/>
      <c r="I253" s="19"/>
      <c r="J253" s="19"/>
      <c r="K253" s="233"/>
      <c r="L253" s="19"/>
      <c r="M253" s="19"/>
      <c r="N253" s="19"/>
      <c r="O253" s="19"/>
      <c r="P253" s="19"/>
      <c r="Q253" s="19"/>
      <c r="R253" s="19"/>
      <c r="S253" s="19"/>
      <c r="T253" s="19"/>
      <c r="U253" s="19"/>
      <c r="V253" s="19"/>
      <c r="W253" s="19"/>
      <c r="X253" s="19"/>
      <c r="Y253" s="19"/>
    </row>
    <row r="254" spans="1:25" ht="12" customHeight="1">
      <c r="A254" s="219" t="n" cm="1">
        <f t="array" ref="A254">IFERROR(INDEX('03.Muestra'!$B$8:$B$42,SMALL(IF("Página Web"='03.Muestra'!$D$8:$D$42,ROW('03.Muestra'!$B$8:$B$42)-MIN(ROW('03.Muestra'!$D$8:$D$42))+1,""),ROW()-246)),"")</f>
        <v>1.0</v>
      </c>
      <c r="B254" s="114" t="str" cm="1">
        <f t="array" ref="B254">IFERROR(INDEX('03.Muestra'!$C$8:$C$42,SMALL(IF("Página Web"='03.Muestra'!$D$8:$D$42,ROW('03.Muestra'!$C$8:$C$42)-MIN(ROW('03.Muestra'!$D$8:$D$42))+1,""),ROW()-246)),"")</f>
        <v>Home - PortCastelló</v>
      </c>
      <c r="C254" s="114" t="str" cm="1">
        <f t="array" ref="C254">IFERROR(INDEX('03.Muestra'!$F$8:$F$42,SMALL(IF("Página Web"='03.Muestra'!$D$8:$D$42,ROW('03.Muestra'!$F$8:$F$42)-MIN(ROW('03.Muestra'!$D$8:$D$42))+1,""),ROW()-246)),"")</f>
        <v>https://www.portcastello.com/</v>
      </c>
      <c r="D254" s="130" t="str">
        <f t="shared" si="13"/>
        <v>N/T</v>
      </c>
      <c r="E254" s="107" t="str">
        <f t="shared" si="12"/>
        <v/>
      </c>
      <c r="F254" s="19"/>
      <c r="G254" s="19"/>
      <c r="H254" s="19"/>
      <c r="I254" s="19"/>
      <c r="J254" s="19"/>
      <c r="K254" s="233"/>
      <c r="L254" s="19"/>
      <c r="M254" s="19"/>
      <c r="N254" s="19"/>
      <c r="O254" s="19"/>
      <c r="P254" s="19"/>
      <c r="Q254" s="19"/>
      <c r="R254" s="19"/>
      <c r="S254" s="19"/>
      <c r="T254" s="19"/>
      <c r="U254" s="19"/>
      <c r="V254" s="19"/>
      <c r="W254" s="19"/>
      <c r="X254" s="19"/>
      <c r="Y254" s="19"/>
    </row>
    <row r="255" spans="1:25" ht="12" customHeight="1">
      <c r="A255" s="219" t="n" cm="1">
        <f t="array" ref="A255">IFERROR(INDEX('03.Muestra'!$B$8:$B$42,SMALL(IF("Página Web"='03.Muestra'!$D$8:$D$42,ROW('03.Muestra'!$B$8:$B$42)-MIN(ROW('03.Muestra'!$D$8:$D$42))+1,""),ROW()-246)),"")</f>
        <v>1.0</v>
      </c>
      <c r="B255" s="114" t="str" cm="1">
        <f t="array" ref="B255">IFERROR(INDEX('03.Muestra'!$C$8:$C$42,SMALL(IF("Página Web"='03.Muestra'!$D$8:$D$42,ROW('03.Muestra'!$C$8:$C$42)-MIN(ROW('03.Muestra'!$D$8:$D$42))+1,""),ROW()-246)),"")</f>
        <v>Home - PortCastelló</v>
      </c>
      <c r="C255" s="114" t="str" cm="1">
        <f t="array" ref="C255">IFERROR(INDEX('03.Muestra'!$F$8:$F$42,SMALL(IF("Página Web"='03.Muestra'!$D$8:$D$42,ROW('03.Muestra'!$F$8:$F$42)-MIN(ROW('03.Muestra'!$D$8:$D$42))+1,""),ROW()-246)),"")</f>
        <v>https://www.portcastello.com/</v>
      </c>
      <c r="D255" s="130" t="str">
        <f t="shared" si="13"/>
        <v>N/T</v>
      </c>
      <c r="E255" s="107" t="str">
        <f t="shared" si="12"/>
        <v/>
      </c>
      <c r="F255" s="19"/>
      <c r="G255" s="19"/>
      <c r="H255" s="19"/>
      <c r="I255" s="19"/>
      <c r="J255" s="19"/>
      <c r="K255" s="233"/>
      <c r="L255" s="19"/>
      <c r="M255" s="19"/>
      <c r="N255" s="19"/>
      <c r="O255" s="19"/>
      <c r="P255" s="19"/>
      <c r="Q255" s="19"/>
      <c r="R255" s="19"/>
      <c r="S255" s="19"/>
      <c r="T255" s="19"/>
      <c r="U255" s="19"/>
      <c r="V255" s="19"/>
      <c r="W255" s="19"/>
      <c r="X255" s="19"/>
      <c r="Y255" s="19"/>
    </row>
    <row r="256" spans="1:25" ht="12" customHeight="1">
      <c r="A256" s="219" t="n" cm="1">
        <f t="array" ref="A256">IFERROR(INDEX('03.Muestra'!$B$8:$B$42,SMALL(IF("Página Web"='03.Muestra'!$D$8:$D$42,ROW('03.Muestra'!$B$8:$B$42)-MIN(ROW('03.Muestra'!$D$8:$D$42))+1,""),ROW()-246)),"")</f>
        <v>1.0</v>
      </c>
      <c r="B256" s="114" t="str" cm="1">
        <f t="array" ref="B256">IFERROR(INDEX('03.Muestra'!$C$8:$C$42,SMALL(IF("Página Web"='03.Muestra'!$D$8:$D$42,ROW('03.Muestra'!$C$8:$C$42)-MIN(ROW('03.Muestra'!$D$8:$D$42))+1,""),ROW()-246)),"")</f>
        <v>Home - PortCastelló</v>
      </c>
      <c r="C256" s="114" t="str" cm="1">
        <f t="array" ref="C256">IFERROR(INDEX('03.Muestra'!$F$8:$F$42,SMALL(IF("Página Web"='03.Muestra'!$D$8:$D$42,ROW('03.Muestra'!$F$8:$F$42)-MIN(ROW('03.Muestra'!$D$8:$D$42))+1,""),ROW()-246)),"")</f>
        <v>https://www.portcastello.com/</v>
      </c>
      <c r="D256" s="130" t="str">
        <f t="shared" si="13"/>
        <v>N/T</v>
      </c>
      <c r="E256" s="107" t="str">
        <f t="shared" si="12"/>
        <v/>
      </c>
      <c r="F256" s="19"/>
      <c r="G256" s="19"/>
      <c r="H256" s="19"/>
      <c r="I256" s="19"/>
      <c r="J256" s="19"/>
      <c r="K256" s="233"/>
      <c r="L256" s="19"/>
      <c r="M256" s="19"/>
      <c r="N256" s="19"/>
      <c r="O256" s="19"/>
      <c r="P256" s="19"/>
      <c r="Q256" s="19"/>
      <c r="R256" s="19"/>
      <c r="S256" s="19"/>
      <c r="T256" s="19"/>
      <c r="U256" s="19"/>
      <c r="V256" s="19"/>
      <c r="W256" s="19"/>
      <c r="X256" s="19"/>
      <c r="Y256" s="19"/>
    </row>
    <row r="257" spans="1:25" ht="12" customHeight="1">
      <c r="A257" s="219" t="n" cm="1">
        <f t="array" ref="A257">IFERROR(INDEX('03.Muestra'!$B$8:$B$42,SMALL(IF("Página Web"='03.Muestra'!$D$8:$D$42,ROW('03.Muestra'!$B$8:$B$42)-MIN(ROW('03.Muestra'!$D$8:$D$42))+1,""),ROW()-246)),"")</f>
        <v>1.0</v>
      </c>
      <c r="B257" s="114" t="str" cm="1">
        <f t="array" ref="B257">IFERROR(INDEX('03.Muestra'!$C$8:$C$42,SMALL(IF("Página Web"='03.Muestra'!$D$8:$D$42,ROW('03.Muestra'!$C$8:$C$42)-MIN(ROW('03.Muestra'!$D$8:$D$42))+1,""),ROW()-246)),"")</f>
        <v>Home - PortCastelló</v>
      </c>
      <c r="C257" s="114" t="str" cm="1">
        <f t="array" ref="C257">IFERROR(INDEX('03.Muestra'!$F$8:$F$42,SMALL(IF("Página Web"='03.Muestra'!$D$8:$D$42,ROW('03.Muestra'!$F$8:$F$42)-MIN(ROW('03.Muestra'!$D$8:$D$42))+1,""),ROW()-246)),"")</f>
        <v>https://www.portcastello.com/</v>
      </c>
      <c r="D257" s="130" t="str">
        <f t="shared" si="13"/>
        <v>N/T</v>
      </c>
      <c r="E257" s="107" t="str">
        <f t="shared" si="12"/>
        <v/>
      </c>
      <c r="F257" s="19"/>
      <c r="G257" s="19"/>
      <c r="H257" s="19"/>
      <c r="I257" s="19"/>
      <c r="J257" s="19"/>
      <c r="K257" s="233"/>
      <c r="L257" s="19"/>
      <c r="M257" s="19"/>
      <c r="N257" s="19"/>
      <c r="O257" s="19"/>
      <c r="P257" s="19"/>
      <c r="Q257" s="19"/>
      <c r="R257" s="19"/>
      <c r="S257" s="19"/>
      <c r="T257" s="19"/>
      <c r="U257" s="19"/>
      <c r="V257" s="19"/>
      <c r="W257" s="19"/>
      <c r="X257" s="19"/>
      <c r="Y257" s="19"/>
    </row>
    <row r="258" spans="1:25" ht="12" customHeight="1">
      <c r="A258" s="219" t="n" cm="1">
        <f t="array" ref="A258">IFERROR(INDEX('03.Muestra'!$B$8:$B$42,SMALL(IF("Página Web"='03.Muestra'!$D$8:$D$42,ROW('03.Muestra'!$B$8:$B$42)-MIN(ROW('03.Muestra'!$D$8:$D$42))+1,""),ROW()-246)),"")</f>
        <v>1.0</v>
      </c>
      <c r="B258" s="114" t="str" cm="1">
        <f t="array" ref="B258">IFERROR(INDEX('03.Muestra'!$C$8:$C$42,SMALL(IF("Página Web"='03.Muestra'!$D$8:$D$42,ROW('03.Muestra'!$C$8:$C$42)-MIN(ROW('03.Muestra'!$D$8:$D$42))+1,""),ROW()-246)),"")</f>
        <v>Home - PortCastelló</v>
      </c>
      <c r="C258" s="114" t="str" cm="1">
        <f t="array" ref="C258">IFERROR(INDEX('03.Muestra'!$F$8:$F$42,SMALL(IF("Página Web"='03.Muestra'!$D$8:$D$42,ROW('03.Muestra'!$F$8:$F$42)-MIN(ROW('03.Muestra'!$D$8:$D$42))+1,""),ROW()-246)),"")</f>
        <v>https://www.portcastello.com/</v>
      </c>
      <c r="D258" s="130" t="str">
        <f t="shared" si="13"/>
        <v>N/T</v>
      </c>
      <c r="E258" s="107" t="str">
        <f t="shared" si="12"/>
        <v/>
      </c>
      <c r="F258" s="19"/>
      <c r="G258" s="19"/>
      <c r="H258" s="19"/>
      <c r="I258" s="19"/>
      <c r="J258" s="19"/>
      <c r="K258" s="233"/>
      <c r="L258" s="19"/>
      <c r="M258" s="19"/>
      <c r="N258" s="19"/>
      <c r="O258" s="19"/>
      <c r="P258" s="19"/>
      <c r="Q258" s="19"/>
      <c r="R258" s="19"/>
      <c r="S258" s="19"/>
      <c r="T258" s="19"/>
      <c r="U258" s="19"/>
      <c r="V258" s="19"/>
      <c r="W258" s="19"/>
      <c r="X258" s="19"/>
      <c r="Y258" s="19"/>
    </row>
    <row r="259" spans="1:25" ht="14.1" customHeight="1">
      <c r="A259" s="219" t="n" cm="1">
        <f t="array" ref="A259">IFERROR(INDEX('03.Muestra'!$B$8:$B$42,SMALL(IF("Página Web"='03.Muestra'!$D$8:$D$42,ROW('03.Muestra'!$B$8:$B$42)-MIN(ROW('03.Muestra'!$D$8:$D$42))+1,""),ROW()-246)),"")</f>
        <v>1.0</v>
      </c>
      <c r="B259" s="114" t="str" cm="1">
        <f t="array" ref="B259">IFERROR(INDEX('03.Muestra'!$C$8:$C$42,SMALL(IF("Página Web"='03.Muestra'!$D$8:$D$42,ROW('03.Muestra'!$C$8:$C$42)-MIN(ROW('03.Muestra'!$D$8:$D$42))+1,""),ROW()-246)),"")</f>
        <v>Home - PortCastelló</v>
      </c>
      <c r="C259" s="114" t="str" cm="1">
        <f t="array" ref="C259">IFERROR(INDEX('03.Muestra'!$F$8:$F$42,SMALL(IF("Página Web"='03.Muestra'!$D$8:$D$42,ROW('03.Muestra'!$F$8:$F$42)-MIN(ROW('03.Muestra'!$D$8:$D$42))+1,""),ROW()-246)),"")</f>
        <v>https://www.portcastello.com/</v>
      </c>
      <c r="D259" s="130" t="str">
        <f t="shared" si="13"/>
        <v>N/T</v>
      </c>
      <c r="E259" s="107" t="str">
        <f t="shared" si="12"/>
        <v/>
      </c>
      <c r="F259" s="19"/>
      <c r="G259" s="19"/>
      <c r="H259" s="19"/>
      <c r="I259" s="19"/>
      <c r="J259" s="19"/>
      <c r="K259" s="233"/>
      <c r="L259" s="19"/>
      <c r="M259" s="19"/>
      <c r="N259" s="19"/>
      <c r="O259" s="19"/>
      <c r="P259" s="19"/>
      <c r="Q259" s="19"/>
      <c r="R259" s="19"/>
      <c r="S259" s="19"/>
      <c r="T259" s="19"/>
      <c r="U259" s="19"/>
      <c r="V259" s="19"/>
      <c r="W259" s="19"/>
      <c r="X259" s="19"/>
      <c r="Y259" s="19"/>
    </row>
    <row r="260" spans="1:25" ht="14.1" customHeight="1">
      <c r="A260" s="219" t="n" cm="1">
        <f t="array" ref="A260">IFERROR(INDEX('03.Muestra'!$B$8:$B$42,SMALL(IF("Página Web"='03.Muestra'!$D$8:$D$42,ROW('03.Muestra'!$B$8:$B$42)-MIN(ROW('03.Muestra'!$D$8:$D$42))+1,""),ROW()-246)),"")</f>
        <v>1.0</v>
      </c>
      <c r="B260" s="114" t="str" cm="1">
        <f t="array" ref="B260">IFERROR(INDEX('03.Muestra'!$C$8:$C$42,SMALL(IF("Página Web"='03.Muestra'!$D$8:$D$42,ROW('03.Muestra'!$C$8:$C$42)-MIN(ROW('03.Muestra'!$D$8:$D$42))+1,""),ROW()-246)),"")</f>
        <v>Home - PortCastelló</v>
      </c>
      <c r="C260" s="114" t="str" cm="1">
        <f t="array" ref="C260">IFERROR(INDEX('03.Muestra'!$F$8:$F$42,SMALL(IF("Página Web"='03.Muestra'!$D$8:$D$42,ROW('03.Muestra'!$F$8:$F$42)-MIN(ROW('03.Muestra'!$D$8:$D$42))+1,""),ROW()-246)),"")</f>
        <v>https://www.portcastello.com/</v>
      </c>
      <c r="D260" s="130" t="str">
        <f t="shared" si="13"/>
        <v>N/T</v>
      </c>
      <c r="E260" s="107" t="str">
        <f t="shared" si="12"/>
        <v/>
      </c>
      <c r="F260" s="19"/>
      <c r="G260" s="19"/>
      <c r="H260" s="19"/>
      <c r="I260" s="19"/>
      <c r="J260" s="19"/>
      <c r="K260" s="233"/>
      <c r="L260" s="19"/>
      <c r="M260" s="19"/>
      <c r="N260" s="19"/>
      <c r="O260" s="19"/>
      <c r="P260" s="19"/>
      <c r="Q260" s="19"/>
      <c r="R260" s="19"/>
      <c r="S260" s="19"/>
      <c r="T260" s="19"/>
      <c r="U260" s="19"/>
      <c r="V260" s="19"/>
      <c r="W260" s="19"/>
      <c r="X260" s="19"/>
      <c r="Y260" s="19"/>
    </row>
    <row r="261" spans="1:25" ht="14.1" customHeight="1">
      <c r="A261" s="219" t="n" cm="1">
        <f t="array" ref="A261">IFERROR(INDEX('03.Muestra'!$B$8:$B$42,SMALL(IF("Página Web"='03.Muestra'!$D$8:$D$42,ROW('03.Muestra'!$B$8:$B$42)-MIN(ROW('03.Muestra'!$D$8:$D$42))+1,""),ROW()-246)),"")</f>
        <v>1.0</v>
      </c>
      <c r="B261" s="114" t="str" cm="1">
        <f t="array" ref="B261">IFERROR(INDEX('03.Muestra'!$C$8:$C$42,SMALL(IF("Página Web"='03.Muestra'!$D$8:$D$42,ROW('03.Muestra'!$C$8:$C$42)-MIN(ROW('03.Muestra'!$D$8:$D$42))+1,""),ROW()-246)),"")</f>
        <v>Home - PortCastelló</v>
      </c>
      <c r="C261" s="114" t="str" cm="1">
        <f t="array" ref="C261">IFERROR(INDEX('03.Muestra'!$F$8:$F$42,SMALL(IF("Página Web"='03.Muestra'!$D$8:$D$42,ROW('03.Muestra'!$F$8:$F$42)-MIN(ROW('03.Muestra'!$D$8:$D$42))+1,""),ROW()-246)),"")</f>
        <v>https://www.portcastello.com/</v>
      </c>
      <c r="D261" s="130" t="str">
        <f t="shared" si="13"/>
        <v>N/T</v>
      </c>
      <c r="E261" s="107" t="str">
        <f t="shared" si="12"/>
        <v/>
      </c>
      <c r="F261" s="19"/>
      <c r="G261" s="19"/>
      <c r="H261" s="19"/>
      <c r="I261" s="19"/>
      <c r="J261" s="19"/>
      <c r="K261" s="233"/>
      <c r="L261" s="19"/>
      <c r="M261" s="19"/>
      <c r="N261" s="19"/>
      <c r="O261" s="19"/>
      <c r="P261" s="19"/>
      <c r="Q261" s="19"/>
      <c r="R261" s="19"/>
      <c r="S261" s="19"/>
      <c r="T261" s="19"/>
      <c r="U261" s="19"/>
      <c r="V261" s="19"/>
      <c r="W261" s="19"/>
      <c r="X261" s="19"/>
      <c r="Y261" s="19"/>
    </row>
    <row r="262" spans="1:25" ht="14.1" customHeight="1">
      <c r="A262" s="219" t="n" cm="1">
        <f t="array" ref="A262">IFERROR(INDEX('03.Muestra'!$B$8:$B$42,SMALL(IF("Página Web"='03.Muestra'!$D$8:$D$42,ROW('03.Muestra'!$B$8:$B$42)-MIN(ROW('03.Muestra'!$D$8:$D$42))+1,""),ROW()-246)),"")</f>
        <v>1.0</v>
      </c>
      <c r="B262" s="114" t="str" cm="1">
        <f t="array" ref="B262">IFERROR(INDEX('03.Muestra'!$C$8:$C$42,SMALL(IF("Página Web"='03.Muestra'!$D$8:$D$42,ROW('03.Muestra'!$C$8:$C$42)-MIN(ROW('03.Muestra'!$D$8:$D$42))+1,""),ROW()-246)),"")</f>
        <v>Home - PortCastelló</v>
      </c>
      <c r="C262" s="114" t="str" cm="1">
        <f t="array" ref="C262">IFERROR(INDEX('03.Muestra'!$F$8:$F$42,SMALL(IF("Página Web"='03.Muestra'!$D$8:$D$42,ROW('03.Muestra'!$F$8:$F$42)-MIN(ROW('03.Muestra'!$D$8:$D$42))+1,""),ROW()-246)),"")</f>
        <v>https://www.portcastello.com/</v>
      </c>
      <c r="D262" s="130" t="str">
        <f t="shared" si="13"/>
        <v>N/T</v>
      </c>
      <c r="E262" s="107" t="str">
        <f t="shared" si="12"/>
        <v/>
      </c>
      <c r="F262" s="19"/>
      <c r="G262" s="19"/>
      <c r="H262" s="19"/>
      <c r="I262" s="19"/>
      <c r="J262" s="19"/>
      <c r="K262" s="233"/>
      <c r="L262" s="19"/>
      <c r="M262" s="19"/>
      <c r="N262" s="19"/>
      <c r="O262" s="19"/>
      <c r="P262" s="19"/>
      <c r="Q262" s="19"/>
      <c r="R262" s="19"/>
      <c r="S262" s="19"/>
      <c r="T262" s="19"/>
      <c r="U262" s="19"/>
      <c r="V262" s="19"/>
      <c r="W262" s="19"/>
      <c r="X262" s="19"/>
      <c r="Y262" s="19"/>
    </row>
    <row r="263" spans="1:25" ht="14.1" customHeight="1">
      <c r="A263" s="219" t="n" cm="1">
        <f t="array" ref="A263">IFERROR(INDEX('03.Muestra'!$B$8:$B$42,SMALL(IF("Página Web"='03.Muestra'!$D$8:$D$42,ROW('03.Muestra'!$B$8:$B$42)-MIN(ROW('03.Muestra'!$D$8:$D$42))+1,""),ROW()-246)),"")</f>
        <v>1.0</v>
      </c>
      <c r="B263" s="114" t="str" cm="1">
        <f t="array" ref="B263">IFERROR(INDEX('03.Muestra'!$C$8:$C$42,SMALL(IF("Página Web"='03.Muestra'!$D$8:$D$42,ROW('03.Muestra'!$C$8:$C$42)-MIN(ROW('03.Muestra'!$D$8:$D$42))+1,""),ROW()-246)),"")</f>
        <v>Home - PortCastelló</v>
      </c>
      <c r="C263" s="114" t="str" cm="1">
        <f t="array" ref="C263">IFERROR(INDEX('03.Muestra'!$F$8:$F$42,SMALL(IF("Página Web"='03.Muestra'!$D$8:$D$42,ROW('03.Muestra'!$F$8:$F$42)-MIN(ROW('03.Muestra'!$D$8:$D$42))+1,""),ROW()-246)),"")</f>
        <v>https://www.portcastello.com/</v>
      </c>
      <c r="D263" s="130" t="str">
        <f t="shared" si="13"/>
        <v>N/T</v>
      </c>
      <c r="E263" s="107" t="str">
        <f t="shared" si="12"/>
        <v/>
      </c>
      <c r="F263" s="19"/>
      <c r="G263" s="19"/>
      <c r="H263" s="19"/>
      <c r="I263" s="19"/>
      <c r="J263" s="19"/>
      <c r="K263" s="233"/>
      <c r="L263" s="19"/>
      <c r="M263" s="19"/>
      <c r="N263" s="19"/>
      <c r="O263" s="19"/>
      <c r="P263" s="19"/>
      <c r="Q263" s="19"/>
      <c r="R263" s="19"/>
      <c r="S263" s="19"/>
      <c r="T263" s="19"/>
      <c r="U263" s="19"/>
      <c r="V263" s="19"/>
      <c r="W263" s="19"/>
      <c r="X263" s="19"/>
      <c r="Y263" s="19"/>
    </row>
    <row r="264" spans="1:25" ht="14.1" customHeight="1">
      <c r="A264" s="219" t="n" cm="1">
        <f t="array" ref="A264">IFERROR(INDEX('03.Muestra'!$B$8:$B$42,SMALL(IF("Página Web"='03.Muestra'!$D$8:$D$42,ROW('03.Muestra'!$B$8:$B$42)-MIN(ROW('03.Muestra'!$D$8:$D$42))+1,""),ROW()-246)),"")</f>
        <v>1.0</v>
      </c>
      <c r="B264" s="114" t="str" cm="1">
        <f t="array" ref="B264">IFERROR(INDEX('03.Muestra'!$C$8:$C$42,SMALL(IF("Página Web"='03.Muestra'!$D$8:$D$42,ROW('03.Muestra'!$C$8:$C$42)-MIN(ROW('03.Muestra'!$D$8:$D$42))+1,""),ROW()-246)),"")</f>
        <v>Home - PortCastelló</v>
      </c>
      <c r="C264" s="114" t="str" cm="1">
        <f t="array" ref="C264">IFERROR(INDEX('03.Muestra'!$F$8:$F$42,SMALL(IF("Página Web"='03.Muestra'!$D$8:$D$42,ROW('03.Muestra'!$F$8:$F$42)-MIN(ROW('03.Muestra'!$D$8:$D$42))+1,""),ROW()-246)),"")</f>
        <v>https://www.portcastello.com/</v>
      </c>
      <c r="D264" s="130" t="str">
        <f t="shared" si="13"/>
        <v>N/T</v>
      </c>
      <c r="E264" s="107" t="str">
        <f t="shared" si="12"/>
        <v/>
      </c>
      <c r="F264" s="19"/>
      <c r="G264" s="19"/>
      <c r="H264" s="19"/>
      <c r="I264" s="19"/>
      <c r="J264" s="19"/>
      <c r="K264" s="233"/>
      <c r="L264" s="19"/>
      <c r="M264" s="19"/>
      <c r="N264" s="19"/>
      <c r="O264" s="19"/>
      <c r="P264" s="19"/>
      <c r="Q264" s="19"/>
      <c r="R264" s="19"/>
      <c r="S264" s="19"/>
      <c r="T264" s="19"/>
      <c r="U264" s="19"/>
      <c r="V264" s="19"/>
      <c r="W264" s="19"/>
      <c r="X264" s="19"/>
      <c r="Y264" s="19"/>
    </row>
    <row r="265" spans="1:25" ht="14.1" customHeight="1">
      <c r="A265" s="219" t="n" cm="1">
        <f t="array" ref="A265">IFERROR(INDEX('03.Muestra'!$B$8:$B$42,SMALL(IF("Página Web"='03.Muestra'!$D$8:$D$42,ROW('03.Muestra'!$B$8:$B$42)-MIN(ROW('03.Muestra'!$D$8:$D$42))+1,""),ROW()-246)),"")</f>
        <v>1.0</v>
      </c>
      <c r="B265" s="114" t="str" cm="1">
        <f t="array" ref="B265">IFERROR(INDEX('03.Muestra'!$C$8:$C$42,SMALL(IF("Página Web"='03.Muestra'!$D$8:$D$42,ROW('03.Muestra'!$C$8:$C$42)-MIN(ROW('03.Muestra'!$D$8:$D$42))+1,""),ROW()-246)),"")</f>
        <v>Home - PortCastelló</v>
      </c>
      <c r="C265" s="114" t="str" cm="1">
        <f t="array" ref="C265">IFERROR(INDEX('03.Muestra'!$F$8:$F$42,SMALL(IF("Página Web"='03.Muestra'!$D$8:$D$42,ROW('03.Muestra'!$F$8:$F$42)-MIN(ROW('03.Muestra'!$D$8:$D$42))+1,""),ROW()-246)),"")</f>
        <v>https://www.portcastello.com/</v>
      </c>
      <c r="D265" s="130" t="str">
        <f t="shared" si="13"/>
        <v>N/T</v>
      </c>
      <c r="E265" s="107" t="str">
        <f t="shared" si="12"/>
        <v/>
      </c>
      <c r="F265" s="19"/>
      <c r="G265" s="19"/>
      <c r="H265" s="19"/>
      <c r="I265" s="19"/>
      <c r="J265" s="19"/>
      <c r="K265" s="233"/>
      <c r="L265" s="19"/>
      <c r="M265" s="19"/>
      <c r="N265" s="19"/>
      <c r="O265" s="19"/>
      <c r="P265" s="19"/>
      <c r="Q265" s="19"/>
      <c r="R265" s="19"/>
      <c r="S265" s="19"/>
      <c r="T265" s="19"/>
      <c r="U265" s="19"/>
      <c r="V265" s="19"/>
      <c r="W265" s="19"/>
      <c r="X265" s="19"/>
      <c r="Y265" s="19"/>
    </row>
    <row r="266" spans="1:25" ht="14.1" customHeight="1">
      <c r="A266" s="219" t="n" cm="1">
        <f t="array" ref="A266">IFERROR(INDEX('03.Muestra'!$B$8:$B$42,SMALL(IF("Página Web"='03.Muestra'!$D$8:$D$42,ROW('03.Muestra'!$B$8:$B$42)-MIN(ROW('03.Muestra'!$D$8:$D$42))+1,""),ROW()-246)),"")</f>
        <v>1.0</v>
      </c>
      <c r="B266" s="114" t="str" cm="1">
        <f t="array" ref="B266">IFERROR(INDEX('03.Muestra'!$C$8:$C$42,SMALL(IF("Página Web"='03.Muestra'!$D$8:$D$42,ROW('03.Muestra'!$C$8:$C$42)-MIN(ROW('03.Muestra'!$D$8:$D$42))+1,""),ROW()-246)),"")</f>
        <v>Home - PortCastelló</v>
      </c>
      <c r="C266" s="114" t="str" cm="1">
        <f t="array" ref="C266">IFERROR(INDEX('03.Muestra'!$F$8:$F$42,SMALL(IF("Página Web"='03.Muestra'!$D$8:$D$42,ROW('03.Muestra'!$F$8:$F$42)-MIN(ROW('03.Muestra'!$D$8:$D$42))+1,""),ROW()-246)),"")</f>
        <v>https://www.portcastello.com/</v>
      </c>
      <c r="D266" s="130" t="str">
        <f t="shared" si="13"/>
        <v>N/T</v>
      </c>
      <c r="E266" s="107" t="str">
        <f t="shared" si="12"/>
        <v/>
      </c>
      <c r="F266" s="19"/>
      <c r="G266" s="19"/>
      <c r="H266" s="19"/>
      <c r="I266" s="19"/>
      <c r="J266" s="19"/>
      <c r="K266" s="233"/>
      <c r="L266" s="19"/>
      <c r="M266" s="19"/>
      <c r="N266" s="19"/>
      <c r="O266" s="19"/>
      <c r="P266" s="19"/>
      <c r="Q266" s="19"/>
      <c r="R266" s="19"/>
      <c r="S266" s="19"/>
      <c r="T266" s="19"/>
      <c r="U266" s="19"/>
      <c r="V266" s="19"/>
      <c r="W266" s="19"/>
      <c r="X266" s="19"/>
      <c r="Y266" s="19"/>
    </row>
    <row r="267" spans="1:25" ht="14.1" customHeight="1">
      <c r="A267" s="219" t="n" cm="1">
        <f t="array" ref="A267">IFERROR(INDEX('03.Muestra'!$B$8:$B$42,SMALL(IF("Página Web"='03.Muestra'!$D$8:$D$42,ROW('03.Muestra'!$B$8:$B$42)-MIN(ROW('03.Muestra'!$D$8:$D$42))+1,""),ROW()-246)),"")</f>
        <v>1.0</v>
      </c>
      <c r="B267" s="114" t="str" cm="1">
        <f t="array" ref="B267">IFERROR(INDEX('03.Muestra'!$C$8:$C$42,SMALL(IF("Página Web"='03.Muestra'!$D$8:$D$42,ROW('03.Muestra'!$C$8:$C$42)-MIN(ROW('03.Muestra'!$D$8:$D$42))+1,""),ROW()-246)),"")</f>
        <v>Home - PortCastelló</v>
      </c>
      <c r="C267" s="114" t="str" cm="1">
        <f t="array" ref="C267">IFERROR(INDEX('03.Muestra'!$F$8:$F$42,SMALL(IF("Página Web"='03.Muestra'!$D$8:$D$42,ROW('03.Muestra'!$F$8:$F$42)-MIN(ROW('03.Muestra'!$D$8:$D$42))+1,""),ROW()-246)),"")</f>
        <v>https://www.portcastello.com/</v>
      </c>
      <c r="D267" s="130" t="str">
        <f t="shared" si="13"/>
        <v>N/T</v>
      </c>
      <c r="E267" s="107" t="str">
        <f t="shared" si="12"/>
        <v/>
      </c>
      <c r="F267" s="19"/>
      <c r="G267" s="19"/>
      <c r="H267" s="19"/>
      <c r="I267" s="19"/>
      <c r="J267" s="19"/>
      <c r="K267" s="233"/>
      <c r="L267" s="19"/>
      <c r="M267" s="19"/>
      <c r="N267" s="19"/>
      <c r="O267" s="19"/>
      <c r="P267" s="19"/>
      <c r="Q267" s="19"/>
      <c r="R267" s="19"/>
      <c r="S267" s="19"/>
      <c r="T267" s="19"/>
      <c r="U267" s="19"/>
      <c r="V267" s="19"/>
      <c r="W267" s="19"/>
      <c r="X267" s="19"/>
      <c r="Y267" s="19"/>
    </row>
    <row r="268" spans="1:25" ht="14.1" customHeight="1">
      <c r="A268" s="219" t="n" cm="1">
        <f t="array" ref="A268">IFERROR(INDEX('03.Muestra'!$B$8:$B$42,SMALL(IF("Página Web"='03.Muestra'!$D$8:$D$42,ROW('03.Muestra'!$B$8:$B$42)-MIN(ROW('03.Muestra'!$D$8:$D$42))+1,""),ROW()-246)),"")</f>
        <v>1.0</v>
      </c>
      <c r="B268" s="114" t="str" cm="1">
        <f t="array" ref="B268">IFERROR(INDEX('03.Muestra'!$C$8:$C$42,SMALL(IF("Página Web"='03.Muestra'!$D$8:$D$42,ROW('03.Muestra'!$C$8:$C$42)-MIN(ROW('03.Muestra'!$D$8:$D$42))+1,""),ROW()-246)),"")</f>
        <v>Home - PortCastelló</v>
      </c>
      <c r="C268" s="114" t="str" cm="1">
        <f t="array" ref="C268">IFERROR(INDEX('03.Muestra'!$F$8:$F$42,SMALL(IF("Página Web"='03.Muestra'!$D$8:$D$42,ROW('03.Muestra'!$F$8:$F$42)-MIN(ROW('03.Muestra'!$D$8:$D$42))+1,""),ROW()-246)),"")</f>
        <v>https://www.portcastello.com/</v>
      </c>
      <c r="D268" s="130" t="str">
        <f t="shared" si="13"/>
        <v>N/T</v>
      </c>
      <c r="E268" s="107" t="str">
        <f t="shared" si="12"/>
        <v/>
      </c>
      <c r="F268" s="19"/>
      <c r="G268" s="19"/>
      <c r="H268" s="19"/>
      <c r="I268" s="19"/>
      <c r="J268" s="19"/>
      <c r="K268" s="233"/>
      <c r="L268" s="19"/>
      <c r="M268" s="19"/>
      <c r="N268" s="19"/>
      <c r="O268" s="19"/>
      <c r="P268" s="19"/>
      <c r="Q268" s="19"/>
      <c r="R268" s="19"/>
      <c r="S268" s="19"/>
      <c r="T268" s="19"/>
      <c r="U268" s="19"/>
      <c r="V268" s="19"/>
      <c r="W268" s="19"/>
      <c r="X268" s="19"/>
      <c r="Y268" s="19"/>
    </row>
    <row r="269" spans="1:25" ht="14.1" customHeight="1">
      <c r="A269" s="219" t="n" cm="1">
        <f t="array" ref="A269">IFERROR(INDEX('03.Muestra'!$B$8:$B$42,SMALL(IF("Página Web"='03.Muestra'!$D$8:$D$42,ROW('03.Muestra'!$B$8:$B$42)-MIN(ROW('03.Muestra'!$D$8:$D$42))+1,""),ROW()-246)),"")</f>
        <v>1.0</v>
      </c>
      <c r="B269" s="114" t="str" cm="1">
        <f t="array" ref="B269">IFERROR(INDEX('03.Muestra'!$C$8:$C$42,SMALL(IF("Página Web"='03.Muestra'!$D$8:$D$42,ROW('03.Muestra'!$C$8:$C$42)-MIN(ROW('03.Muestra'!$D$8:$D$42))+1,""),ROW()-246)),"")</f>
        <v>Home - PortCastelló</v>
      </c>
      <c r="C269" s="114" t="str" cm="1">
        <f t="array" ref="C269">IFERROR(INDEX('03.Muestra'!$F$8:$F$42,SMALL(IF("Página Web"='03.Muestra'!$D$8:$D$42,ROW('03.Muestra'!$F$8:$F$42)-MIN(ROW('03.Muestra'!$D$8:$D$42))+1,""),ROW()-246)),"")</f>
        <v>https://www.portcastello.com/</v>
      </c>
      <c r="D269" s="130" t="str">
        <f t="shared" si="13"/>
        <v>N/T</v>
      </c>
      <c r="E269" s="107" t="str">
        <f t="shared" si="12"/>
        <v/>
      </c>
      <c r="F269" s="19"/>
      <c r="G269" s="19"/>
      <c r="H269" s="19"/>
      <c r="I269" s="19"/>
      <c r="J269" s="19"/>
      <c r="K269" s="233"/>
      <c r="L269" s="19"/>
      <c r="M269" s="19"/>
      <c r="N269" s="19"/>
      <c r="O269" s="19"/>
      <c r="P269" s="19"/>
      <c r="Q269" s="19"/>
      <c r="R269" s="19"/>
      <c r="S269" s="19"/>
      <c r="T269" s="19"/>
      <c r="U269" s="19"/>
      <c r="V269" s="19"/>
      <c r="W269" s="19"/>
      <c r="X269" s="19"/>
      <c r="Y269" s="19"/>
    </row>
    <row r="270" spans="1:25" ht="12" customHeight="1">
      <c r="A270" s="219" t="n" cm="1">
        <f t="array" ref="A270">IFERROR(INDEX('03.Muestra'!$B$8:$B$42,SMALL(IF("Página Web"='03.Muestra'!$D$8:$D$42,ROW('03.Muestra'!$B$8:$B$42)-MIN(ROW('03.Muestra'!$D$8:$D$42))+1,""),ROW()-246)),"")</f>
        <v>1.0</v>
      </c>
      <c r="B270" s="114" t="str" cm="1">
        <f t="array" ref="B270">IFERROR(INDEX('03.Muestra'!$C$8:$C$42,SMALL(IF("Página Web"='03.Muestra'!$D$8:$D$42,ROW('03.Muestra'!$C$8:$C$42)-MIN(ROW('03.Muestra'!$D$8:$D$42))+1,""),ROW()-246)),"")</f>
        <v>Home - PortCastelló</v>
      </c>
      <c r="C270" s="114" t="str" cm="1">
        <f t="array" ref="C270">IFERROR(INDEX('03.Muestra'!$F$8:$F$42,SMALL(IF("Página Web"='03.Muestra'!$D$8:$D$42,ROW('03.Muestra'!$F$8:$F$42)-MIN(ROW('03.Muestra'!$D$8:$D$42))+1,""),ROW()-246)),"")</f>
        <v>https://www.portcastello.com/</v>
      </c>
      <c r="D270" s="130" t="str">
        <f t="shared" si="13"/>
        <v>N/T</v>
      </c>
      <c r="E270" s="107" t="str">
        <f t="shared" si="12"/>
        <v/>
      </c>
      <c r="F270" s="19"/>
      <c r="G270" s="19"/>
      <c r="H270" s="19"/>
      <c r="I270" s="19"/>
      <c r="J270" s="19"/>
      <c r="K270" s="233"/>
      <c r="L270" s="19"/>
      <c r="M270" s="19"/>
      <c r="N270" s="19"/>
      <c r="O270" s="19"/>
      <c r="P270" s="19"/>
      <c r="Q270" s="19"/>
      <c r="R270" s="19"/>
      <c r="S270" s="19"/>
      <c r="T270" s="19"/>
      <c r="U270" s="19"/>
      <c r="V270" s="19"/>
      <c r="W270" s="19"/>
      <c r="X270" s="19"/>
      <c r="Y270" s="19"/>
    </row>
    <row r="271" spans="1:25" ht="12" customHeight="1">
      <c r="A271" s="219" t="n" cm="1">
        <f t="array" ref="A271">IFERROR(INDEX('03.Muestra'!$B$8:$B$42,SMALL(IF("Página Web"='03.Muestra'!$D$8:$D$42,ROW('03.Muestra'!$B$8:$B$42)-MIN(ROW('03.Muestra'!$D$8:$D$42))+1,""),ROW()-246)),"")</f>
        <v>1.0</v>
      </c>
      <c r="B271" s="114" t="str" cm="1">
        <f t="array" ref="B271">IFERROR(INDEX('03.Muestra'!$C$8:$C$42,SMALL(IF("Página Web"='03.Muestra'!$D$8:$D$42,ROW('03.Muestra'!$C$8:$C$42)-MIN(ROW('03.Muestra'!$D$8:$D$42))+1,""),ROW()-246)),"")</f>
        <v>Home - PortCastelló</v>
      </c>
      <c r="C271" s="114" t="str" cm="1">
        <f t="array" ref="C271">IFERROR(INDEX('03.Muestra'!$F$8:$F$42,SMALL(IF("Página Web"='03.Muestra'!$D$8:$D$42,ROW('03.Muestra'!$F$8:$F$42)-MIN(ROW('03.Muestra'!$D$8:$D$42))+1,""),ROW()-246)),"")</f>
        <v>https://www.portcastello.com/</v>
      </c>
      <c r="D271" s="130" t="str">
        <f t="shared" si="13"/>
        <v>N/T</v>
      </c>
      <c r="E271" s="107" t="str">
        <f t="shared" si="12"/>
        <v/>
      </c>
      <c r="F271" s="19"/>
      <c r="G271" s="19"/>
      <c r="H271" s="19"/>
      <c r="I271" s="19"/>
      <c r="J271" s="19"/>
      <c r="K271" s="233"/>
      <c r="L271" s="19"/>
      <c r="M271" s="19"/>
      <c r="N271" s="19"/>
      <c r="O271" s="19"/>
      <c r="P271" s="19"/>
      <c r="Q271" s="19"/>
      <c r="R271" s="19"/>
      <c r="S271" s="19"/>
      <c r="T271" s="19"/>
      <c r="U271" s="19"/>
      <c r="V271" s="19"/>
      <c r="W271" s="19"/>
      <c r="X271" s="19"/>
      <c r="Y271" s="19"/>
    </row>
    <row r="272" spans="1:25" ht="12" customHeight="1">
      <c r="A272" s="219" t="n" cm="1">
        <f t="array" ref="A272">IFERROR(INDEX('03.Muestra'!$B$8:$B$42,SMALL(IF("Página Web"='03.Muestra'!$D$8:$D$42,ROW('03.Muestra'!$B$8:$B$42)-MIN(ROW('03.Muestra'!$D$8:$D$42))+1,""),ROW()-246)),"")</f>
        <v>1.0</v>
      </c>
      <c r="B272" s="114" t="str" cm="1">
        <f t="array" ref="B272">IFERROR(INDEX('03.Muestra'!$C$8:$C$42,SMALL(IF("Página Web"='03.Muestra'!$D$8:$D$42,ROW('03.Muestra'!$C$8:$C$42)-MIN(ROW('03.Muestra'!$D$8:$D$42))+1,""),ROW()-246)),"")</f>
        <v>Home - PortCastelló</v>
      </c>
      <c r="C272" s="114" t="str" cm="1">
        <f t="array" ref="C272">IFERROR(INDEX('03.Muestra'!$F$8:$F$42,SMALL(IF("Página Web"='03.Muestra'!$D$8:$D$42,ROW('03.Muestra'!$F$8:$F$42)-MIN(ROW('03.Muestra'!$D$8:$D$42))+1,""),ROW()-246)),"")</f>
        <v>https://www.portcastello.com/</v>
      </c>
      <c r="D272" s="130" t="str">
        <f t="shared" si="13"/>
        <v>N/T</v>
      </c>
      <c r="E272" s="107" t="str">
        <f t="shared" si="12"/>
        <v/>
      </c>
      <c r="F272" s="19"/>
      <c r="G272" s="19"/>
      <c r="H272" s="19"/>
      <c r="I272" s="19"/>
      <c r="J272" s="19"/>
      <c r="K272" s="233"/>
      <c r="L272" s="19"/>
      <c r="M272" s="19"/>
      <c r="N272" s="19"/>
      <c r="O272" s="19"/>
      <c r="P272" s="19"/>
      <c r="Q272" s="19"/>
      <c r="R272" s="19"/>
      <c r="S272" s="19"/>
      <c r="T272" s="19"/>
      <c r="U272" s="19"/>
      <c r="V272" s="19"/>
      <c r="W272" s="19"/>
      <c r="X272" s="19"/>
      <c r="Y272" s="19"/>
    </row>
    <row r="273" spans="1:25" ht="12" customHeight="1">
      <c r="A273" s="219" t="n" cm="1">
        <f t="array" ref="A273">IFERROR(INDEX('03.Muestra'!$B$8:$B$42,SMALL(IF("Página Web"='03.Muestra'!$D$8:$D$42,ROW('03.Muestra'!$B$8:$B$42)-MIN(ROW('03.Muestra'!$D$8:$D$42))+1,""),ROW()-246)),"")</f>
        <v>1.0</v>
      </c>
      <c r="B273" s="114" t="str" cm="1">
        <f t="array" ref="B273">IFERROR(INDEX('03.Muestra'!$C$8:$C$42,SMALL(IF("Página Web"='03.Muestra'!$D$8:$D$42,ROW('03.Muestra'!$C$8:$C$42)-MIN(ROW('03.Muestra'!$D$8:$D$42))+1,""),ROW()-246)),"")</f>
        <v>Home - PortCastelló</v>
      </c>
      <c r="C273" s="114" t="str" cm="1">
        <f t="array" ref="C273">IFERROR(INDEX('03.Muestra'!$F$8:$F$42,SMALL(IF("Página Web"='03.Muestra'!$D$8:$D$42,ROW('03.Muestra'!$F$8:$F$42)-MIN(ROW('03.Muestra'!$D$8:$D$42))+1,""),ROW()-246)),"")</f>
        <v>https://www.portcastello.com/</v>
      </c>
      <c r="D273" s="130" t="str">
        <f t="shared" si="13"/>
        <v>N/T</v>
      </c>
      <c r="E273" s="107" t="str">
        <f t="shared" si="12"/>
        <v/>
      </c>
      <c r="F273" s="19"/>
      <c r="G273" s="19"/>
      <c r="H273" s="19"/>
      <c r="I273" s="19"/>
      <c r="J273" s="19"/>
      <c r="K273" s="233"/>
      <c r="L273" s="19"/>
      <c r="M273" s="19"/>
      <c r="N273" s="19"/>
      <c r="O273" s="19"/>
      <c r="P273" s="19"/>
      <c r="Q273" s="19"/>
      <c r="R273" s="19"/>
      <c r="S273" s="19"/>
      <c r="T273" s="19"/>
      <c r="U273" s="19"/>
      <c r="V273" s="19"/>
      <c r="W273" s="19"/>
      <c r="X273" s="19"/>
      <c r="Y273" s="19"/>
    </row>
    <row r="274" spans="1:25" ht="12" customHeight="1">
      <c r="A274" s="219" t="n" cm="1">
        <f t="array" ref="A274">IFERROR(INDEX('03.Muestra'!$B$8:$B$42,SMALL(IF("Página Web"='03.Muestra'!$D$8:$D$42,ROW('03.Muestra'!$B$8:$B$42)-MIN(ROW('03.Muestra'!$D$8:$D$42))+1,""),ROW()-246)),"")</f>
        <v>1.0</v>
      </c>
      <c r="B274" s="114" t="str" cm="1">
        <f t="array" ref="B274">IFERROR(INDEX('03.Muestra'!$C$8:$C$42,SMALL(IF("Página Web"='03.Muestra'!$D$8:$D$42,ROW('03.Muestra'!$C$8:$C$42)-MIN(ROW('03.Muestra'!$D$8:$D$42))+1,""),ROW()-246)),"")</f>
        <v>Home - PortCastelló</v>
      </c>
      <c r="C274" s="114" t="str" cm="1">
        <f t="array" ref="C274">IFERROR(INDEX('03.Muestra'!$F$8:$F$42,SMALL(IF("Página Web"='03.Muestra'!$D$8:$D$42,ROW('03.Muestra'!$F$8:$F$42)-MIN(ROW('03.Muestra'!$D$8:$D$42))+1,""),ROW()-246)),"")</f>
        <v>https://www.portcastello.com/</v>
      </c>
      <c r="D274" s="130" t="str">
        <f t="shared" si="13"/>
        <v>N/T</v>
      </c>
      <c r="E274" s="107" t="str">
        <f t="shared" si="12"/>
        <v/>
      </c>
      <c r="G274" s="19"/>
      <c r="H274" s="19"/>
      <c r="I274" s="19"/>
      <c r="J274" s="19"/>
      <c r="K274" s="233"/>
      <c r="L274" s="19"/>
      <c r="M274" s="19"/>
      <c r="N274" s="19"/>
      <c r="O274" s="19"/>
      <c r="P274" s="19"/>
      <c r="Q274" s="19"/>
      <c r="R274" s="19"/>
      <c r="S274" s="19"/>
      <c r="T274" s="19"/>
      <c r="U274" s="19"/>
      <c r="V274" s="19"/>
      <c r="W274" s="19"/>
      <c r="X274" s="19"/>
      <c r="Y274" s="19"/>
    </row>
    <row r="275" spans="1:25" ht="12" customHeight="1">
      <c r="A275" s="219" t="n" cm="1">
        <f t="array" ref="A275">IFERROR(INDEX('03.Muestra'!$B$8:$B$42,SMALL(IF("Página Web"='03.Muestra'!$D$8:$D$42,ROW('03.Muestra'!$B$8:$B$42)-MIN(ROW('03.Muestra'!$D$8:$D$42))+1,""),ROW()-246)),"")</f>
        <v>1.0</v>
      </c>
      <c r="B275" s="114" t="str" cm="1">
        <f t="array" ref="B275">IFERROR(INDEX('03.Muestra'!$C$8:$C$42,SMALL(IF("Página Web"='03.Muestra'!$D$8:$D$42,ROW('03.Muestra'!$C$8:$C$42)-MIN(ROW('03.Muestra'!$D$8:$D$42))+1,""),ROW()-246)),"")</f>
        <v>Home - PortCastelló</v>
      </c>
      <c r="C275" s="114" t="str" cm="1">
        <f t="array" ref="C275">IFERROR(INDEX('03.Muestra'!$F$8:$F$42,SMALL(IF("Página Web"='03.Muestra'!$D$8:$D$42,ROW('03.Muestra'!$F$8:$F$42)-MIN(ROW('03.Muestra'!$D$8:$D$42))+1,""),ROW()-246)),"")</f>
        <v>https://www.portcastello.com/</v>
      </c>
      <c r="D275" s="130" t="str">
        <f t="shared" si="13"/>
        <v>N/T</v>
      </c>
      <c r="E275" s="107" t="str">
        <f t="shared" si="12"/>
        <v/>
      </c>
      <c r="F275" s="124"/>
      <c r="G275" s="19"/>
      <c r="H275" s="19"/>
      <c r="I275" s="19"/>
      <c r="J275" s="19"/>
      <c r="K275" s="233"/>
      <c r="L275" s="19"/>
      <c r="M275" s="19"/>
      <c r="N275" s="19"/>
      <c r="O275" s="19"/>
      <c r="P275" s="19"/>
      <c r="Q275" s="19"/>
      <c r="R275" s="19"/>
      <c r="S275" s="19"/>
      <c r="T275" s="19"/>
      <c r="U275" s="19"/>
      <c r="V275" s="19"/>
      <c r="W275" s="19"/>
      <c r="X275" s="19"/>
      <c r="Y275" s="19"/>
    </row>
    <row r="276" spans="1:25" ht="12" customHeight="1">
      <c r="A276" s="219" t="n" cm="1">
        <f t="array" ref="A276">IFERROR(INDEX('03.Muestra'!$B$8:$B$42,SMALL(IF("Página Web"='03.Muestra'!$D$8:$D$42,ROW('03.Muestra'!$B$8:$B$42)-MIN(ROW('03.Muestra'!$D$8:$D$42))+1,""),ROW()-246)),"")</f>
        <v>1.0</v>
      </c>
      <c r="B276" s="114" t="str" cm="1">
        <f t="array" ref="B276">IFERROR(INDEX('03.Muestra'!$C$8:$C$42,SMALL(IF("Página Web"='03.Muestra'!$D$8:$D$42,ROW('03.Muestra'!$C$8:$C$42)-MIN(ROW('03.Muestra'!$D$8:$D$42))+1,""),ROW()-246)),"")</f>
        <v>Home - PortCastelló</v>
      </c>
      <c r="C276" s="114" t="str" cm="1">
        <f t="array" ref="C276">IFERROR(INDEX('03.Muestra'!$F$8:$F$42,SMALL(IF("Página Web"='03.Muestra'!$D$8:$D$42,ROW('03.Muestra'!$F$8:$F$42)-MIN(ROW('03.Muestra'!$D$8:$D$42))+1,""),ROW()-246)),"")</f>
        <v>https://www.portcastello.com/</v>
      </c>
      <c r="D276" s="130" t="str">
        <f t="shared" si="13"/>
        <v>N/T</v>
      </c>
      <c r="E276" s="107" t="str">
        <f t="shared" si="12"/>
        <v/>
      </c>
      <c r="F276" s="124"/>
      <c r="G276" s="19"/>
      <c r="H276" s="19"/>
      <c r="I276" s="19"/>
      <c r="J276" s="19"/>
      <c r="K276" s="233"/>
      <c r="L276" s="19"/>
      <c r="M276" s="19"/>
      <c r="N276" s="19"/>
      <c r="O276" s="19"/>
      <c r="P276" s="19"/>
      <c r="Q276" s="19"/>
      <c r="R276" s="19"/>
      <c r="S276" s="19"/>
      <c r="T276" s="19"/>
      <c r="U276" s="19"/>
      <c r="V276" s="19"/>
      <c r="W276" s="19"/>
      <c r="X276" s="19"/>
      <c r="Y276" s="19"/>
    </row>
    <row r="277" spans="1:25" ht="12" customHeight="1">
      <c r="A277" s="219" t="n" cm="1">
        <f t="array" ref="A277">IFERROR(INDEX('03.Muestra'!$B$8:$B$42,SMALL(IF("Página Web"='03.Muestra'!$D$8:$D$42,ROW('03.Muestra'!$B$8:$B$42)-MIN(ROW('03.Muestra'!$D$8:$D$42))+1,""),ROW()-246)),"")</f>
        <v>1.0</v>
      </c>
      <c r="B277" s="114" t="str" cm="1">
        <f t="array" ref="B277">IFERROR(INDEX('03.Muestra'!$C$8:$C$42,SMALL(IF("Página Web"='03.Muestra'!$D$8:$D$42,ROW('03.Muestra'!$C$8:$C$42)-MIN(ROW('03.Muestra'!$D$8:$D$42))+1,""),ROW()-246)),"")</f>
        <v>Home - PortCastelló</v>
      </c>
      <c r="C277" s="114" t="str" cm="1">
        <f t="array" ref="C277">IFERROR(INDEX('03.Muestra'!$F$8:$F$42,SMALL(IF("Página Web"='03.Muestra'!$D$8:$D$42,ROW('03.Muestra'!$F$8:$F$42)-MIN(ROW('03.Muestra'!$D$8:$D$42))+1,""),ROW()-246)),"")</f>
        <v>https://www.portcastello.com/</v>
      </c>
      <c r="D277" s="130" t="str">
        <f t="shared" si="13"/>
        <v>N/T</v>
      </c>
      <c r="E277" s="107" t="str">
        <f t="shared" si="12"/>
        <v/>
      </c>
      <c r="F277" s="124"/>
      <c r="G277" s="19"/>
      <c r="H277" s="19"/>
      <c r="I277" s="19"/>
      <c r="J277" s="19"/>
      <c r="K277" s="233"/>
      <c r="L277" s="19"/>
      <c r="M277" s="19"/>
      <c r="N277" s="19"/>
      <c r="O277" s="19"/>
      <c r="P277" s="19"/>
      <c r="Q277" s="19"/>
      <c r="R277" s="19"/>
      <c r="S277" s="19"/>
      <c r="T277" s="19"/>
      <c r="U277" s="19"/>
      <c r="V277" s="19"/>
      <c r="W277" s="19"/>
      <c r="X277" s="19"/>
      <c r="Y277" s="19"/>
    </row>
    <row r="278" spans="1:25" ht="12" customHeight="1">
      <c r="A278" s="219" t="n" cm="1">
        <f t="array" ref="A278">IFERROR(INDEX('03.Muestra'!$B$8:$B$42,SMALL(IF("Página Web"='03.Muestra'!$D$8:$D$42,ROW('03.Muestra'!$B$8:$B$42)-MIN(ROW('03.Muestra'!$D$8:$D$42))+1,""),ROW()-246)),"")</f>
        <v>1.0</v>
      </c>
      <c r="B278" s="114" t="str" cm="1">
        <f t="array" ref="B278">IFERROR(INDEX('03.Muestra'!$C$8:$C$42,SMALL(IF("Página Web"='03.Muestra'!$D$8:$D$42,ROW('03.Muestra'!$C$8:$C$42)-MIN(ROW('03.Muestra'!$D$8:$D$42))+1,""),ROW()-246)),"")</f>
        <v>Home - PortCastelló</v>
      </c>
      <c r="C278" s="114" t="str" cm="1">
        <f t="array" ref="C278">IFERROR(INDEX('03.Muestra'!$F$8:$F$42,SMALL(IF("Página Web"='03.Muestra'!$D$8:$D$42,ROW('03.Muestra'!$F$8:$F$42)-MIN(ROW('03.Muestra'!$D$8:$D$42))+1,""),ROW()-246)),"")</f>
        <v>https://www.portcastello.com/</v>
      </c>
      <c r="D278" s="130" t="str">
        <f t="shared" si="13"/>
        <v>N/T</v>
      </c>
      <c r="E278" s="107" t="str">
        <f t="shared" si="12"/>
        <v/>
      </c>
      <c r="F278" s="124"/>
      <c r="G278" s="19"/>
      <c r="H278" s="19"/>
      <c r="I278" s="19"/>
      <c r="J278" s="19"/>
      <c r="K278" s="233"/>
      <c r="L278" s="19"/>
      <c r="M278" s="19"/>
      <c r="N278" s="19"/>
      <c r="O278" s="19"/>
      <c r="P278" s="19"/>
      <c r="Q278" s="19"/>
      <c r="R278" s="19"/>
      <c r="S278" s="19"/>
      <c r="T278" s="19"/>
      <c r="U278" s="19"/>
      <c r="V278" s="19"/>
      <c r="W278" s="19"/>
      <c r="X278" s="19"/>
      <c r="Y278" s="19"/>
    </row>
    <row r="279" spans="1:25" ht="12" customHeight="1">
      <c r="A279" s="219" t="n" cm="1">
        <f t="array" ref="A279">IFERROR(INDEX('03.Muestra'!$B$8:$B$42,SMALL(IF("Página Web"='03.Muestra'!$D$8:$D$42,ROW('03.Muestra'!$B$8:$B$42)-MIN(ROW('03.Muestra'!$D$8:$D$42))+1,""),ROW()-246)),"")</f>
        <v>1.0</v>
      </c>
      <c r="B279" s="114" t="str" cm="1">
        <f t="array" ref="B279">IFERROR(INDEX('03.Muestra'!$C$8:$C$42,SMALL(IF("Página Web"='03.Muestra'!$D$8:$D$42,ROW('03.Muestra'!$C$8:$C$42)-MIN(ROW('03.Muestra'!$D$8:$D$42))+1,""),ROW()-246)),"")</f>
        <v>Home - PortCastelló</v>
      </c>
      <c r="C279" s="114" t="str" cm="1">
        <f t="array" ref="C279">IFERROR(INDEX('03.Muestra'!$F$8:$F$42,SMALL(IF("Página Web"='03.Muestra'!$D$8:$D$42,ROW('03.Muestra'!$F$8:$F$42)-MIN(ROW('03.Muestra'!$D$8:$D$42))+1,""),ROW()-246)),"")</f>
        <v>https://www.portcastello.com/</v>
      </c>
      <c r="D279" s="130" t="str">
        <f t="shared" si="13"/>
        <v>N/T</v>
      </c>
      <c r="E279" s="107" t="str">
        <f t="shared" si="12"/>
        <v/>
      </c>
      <c r="F279" s="124"/>
      <c r="G279" s="19"/>
      <c r="H279" s="19"/>
      <c r="I279" s="19"/>
      <c r="J279" s="19"/>
      <c r="K279" s="233"/>
      <c r="L279" s="19"/>
      <c r="M279" s="19"/>
      <c r="N279" s="19"/>
      <c r="O279" s="19"/>
      <c r="P279" s="19"/>
      <c r="Q279" s="19"/>
      <c r="R279" s="19"/>
      <c r="S279" s="19"/>
      <c r="T279" s="19"/>
      <c r="U279" s="19"/>
      <c r="V279" s="19"/>
      <c r="W279" s="19"/>
      <c r="X279" s="19"/>
      <c r="Y279" s="19"/>
    </row>
    <row r="280" spans="1:25" ht="12" customHeight="1">
      <c r="A280" s="219" t="str" cm="1">
        <f t="array" ref="A280">IFERROR(INDEX('03.Muestra'!$B$8:$B$42,SMALL(IF("Página Web"='03.Muestra'!$D$8:$D$42,ROW('03.Muestra'!$B$8:$B$42)-MIN(ROW('03.Muestra'!$D$8:$D$42))+1,""),ROW()-246)),"")</f>
        <v/>
      </c>
      <c r="B280" s="114" t="str" cm="1">
        <f t="array" ref="B280">IFERROR(INDEX('03.Muestra'!$C$8:$C$42,SMALL(IF("Página Web"='03.Muestra'!$D$8:$D$42,ROW('03.Muestra'!$C$8:$C$42)-MIN(ROW('03.Muestra'!$D$8:$D$42))+1,""),ROW()-246)),"")</f>
        <v/>
      </c>
      <c r="C280" s="114" t="str" cm="1">
        <f t="array" ref="C280">IFERROR(INDEX('03.Muestra'!$F$8:$F$42,SMALL(IF("Página Web"='03.Muestra'!$D$8:$D$42,ROW('03.Muestra'!$F$8:$F$42)-MIN(ROW('03.Muestra'!$D$8:$D$42))+1,""),ROW()-246)),"")</f>
        <v/>
      </c>
      <c r="D280" s="130" t="str">
        <f t="shared" si="13"/>
        <v/>
      </c>
      <c r="E280" s="107" t="str">
        <f t="shared" si="12"/>
        <v/>
      </c>
      <c r="F280" s="124"/>
      <c r="G280" s="19"/>
      <c r="H280" s="19"/>
      <c r="I280" s="19"/>
      <c r="J280" s="19"/>
      <c r="K280" s="233"/>
      <c r="L280" s="19"/>
      <c r="M280" s="19"/>
      <c r="N280" s="19"/>
      <c r="O280" s="19"/>
      <c r="P280" s="19"/>
      <c r="Q280" s="19"/>
      <c r="R280" s="19"/>
      <c r="S280" s="19"/>
      <c r="T280" s="19"/>
      <c r="U280" s="19"/>
      <c r="V280" s="19"/>
      <c r="W280" s="19"/>
      <c r="X280" s="19"/>
      <c r="Y280" s="19"/>
    </row>
    <row r="281" spans="1:25" ht="12" customHeight="1">
      <c r="A281" s="219" t="str" cm="1">
        <f t="array" ref="A281">IFERROR(INDEX('03.Muestra'!$B$8:$B$42,SMALL(IF("Página Web"='03.Muestra'!$D$8:$D$42,ROW('03.Muestra'!$B$8:$B$42)-MIN(ROW('03.Muestra'!$D$8:$D$42))+1,""),ROW()-246)),"")</f>
        <v/>
      </c>
      <c r="B281" s="114" t="str" cm="1">
        <f t="array" ref="B281">IFERROR(INDEX('03.Muestra'!$C$8:$C$42,SMALL(IF("Página Web"='03.Muestra'!$D$8:$D$42,ROW('03.Muestra'!$C$8:$C$42)-MIN(ROW('03.Muestra'!$D$8:$D$42))+1,""),ROW()-246)),"")</f>
        <v/>
      </c>
      <c r="C281" s="114" t="str" cm="1">
        <f t="array" ref="C281">IFERROR(INDEX('03.Muestra'!$F$8:$F$42,SMALL(IF("Página Web"='03.Muestra'!$D$8:$D$42,ROW('03.Muestra'!$F$8:$F$42)-MIN(ROW('03.Muestra'!$D$8:$D$42))+1,""),ROW()-246)),"")</f>
        <v/>
      </c>
      <c r="D281" s="130" t="str">
        <f t="shared" si="13"/>
        <v/>
      </c>
      <c r="E281" s="107" t="str">
        <f t="shared" si="12"/>
        <v/>
      </c>
      <c r="F281" s="19"/>
      <c r="G281" s="19"/>
      <c r="H281" s="19"/>
      <c r="I281" s="19"/>
      <c r="J281" s="19"/>
      <c r="K281" s="233"/>
      <c r="L281" s="19"/>
      <c r="M281" s="19"/>
      <c r="N281" s="19"/>
      <c r="O281" s="19"/>
      <c r="P281" s="19"/>
      <c r="Q281" s="19"/>
      <c r="R281" s="19"/>
      <c r="S281" s="19"/>
      <c r="T281" s="19"/>
      <c r="U281" s="19"/>
      <c r="V281" s="19"/>
      <c r="W281" s="19"/>
      <c r="X281" s="19"/>
      <c r="Y281" s="19"/>
    </row>
    <row r="282" spans="1:25" ht="12" customHeight="1">
      <c r="B282" s="19"/>
      <c r="C282" s="19"/>
      <c r="D282" s="107"/>
      <c r="E282" s="107"/>
      <c r="F282" s="19"/>
      <c r="G282" s="19"/>
      <c r="H282" s="19"/>
      <c r="I282" s="19"/>
      <c r="J282" s="19"/>
      <c r="K282" s="233"/>
      <c r="L282" s="19"/>
      <c r="M282" s="19"/>
      <c r="N282" s="19"/>
      <c r="O282" s="19"/>
      <c r="P282" s="19"/>
      <c r="Q282" s="19"/>
      <c r="R282" s="19"/>
      <c r="S282" s="19"/>
      <c r="T282" s="19"/>
      <c r="U282" s="19"/>
      <c r="V282" s="19"/>
      <c r="W282" s="19"/>
      <c r="X282" s="19"/>
      <c r="Y282" s="19"/>
    </row>
    <row r="283" spans="1:25" ht="12" customHeight="1">
      <c r="B283" s="19"/>
      <c r="C283" s="19"/>
      <c r="D283" s="107"/>
      <c r="E283" s="112"/>
      <c r="F283" s="19"/>
      <c r="G283" s="19"/>
      <c r="H283" s="19"/>
      <c r="I283" s="19"/>
      <c r="J283" s="19"/>
      <c r="K283" s="233"/>
      <c r="L283" s="19"/>
      <c r="M283" s="19"/>
      <c r="N283" s="19"/>
      <c r="O283" s="19"/>
      <c r="P283" s="19"/>
      <c r="Q283" s="19"/>
      <c r="R283" s="19"/>
      <c r="S283" s="19"/>
      <c r="T283" s="19"/>
      <c r="U283" s="19"/>
      <c r="V283" s="19"/>
      <c r="W283" s="19"/>
      <c r="X283" s="19"/>
      <c r="Y283" s="19"/>
    </row>
    <row r="284" spans="1:25" ht="32.25" customHeight="1">
      <c r="A284" s="218" t="s">
        <v>268</v>
      </c>
      <c r="B284" s="24" t="s">
        <v>90</v>
      </c>
      <c r="C284" s="25" t="s">
        <v>260</v>
      </c>
      <c r="D284" s="26" t="s">
        <v>32</v>
      </c>
      <c r="E284" s="123"/>
      <c r="K284" s="233"/>
      <c r="L284" s="19"/>
      <c r="M284" s="19"/>
      <c r="N284" s="19"/>
      <c r="O284" s="19"/>
      <c r="P284" s="19"/>
      <c r="Q284" s="19"/>
      <c r="R284" s="19"/>
      <c r="S284" s="19"/>
      <c r="T284" s="19"/>
      <c r="U284" s="19"/>
      <c r="V284" s="19"/>
      <c r="W284" s="19"/>
      <c r="X284" s="19"/>
      <c r="Y284" s="19"/>
    </row>
    <row r="285" spans="1:25" ht="12" customHeight="1">
      <c r="A285" s="219" t="n" cm="1">
        <f t="array" ref="A285">IFERROR(INDEX('03.Muestra'!$B$8:$B$42,SMALL(IF("Página Web"='03.Muestra'!$D$8:$D$42,ROW('03.Muestra'!$B$8:$B$42)-MIN(ROW('03.Muestra'!$D$8:$D$42))+1,""),ROW()-284)),"")</f>
        <v>1.0</v>
      </c>
      <c r="B285" s="114" t="str" cm="1">
        <f t="array" ref="B285">IFERROR(INDEX('03.Muestra'!$C$8:$C$42,SMALL(IF("Página Web"='03.Muestra'!$D$8:$D$42,ROW('03.Muestra'!$C$8:$C$42)-MIN(ROW('03.Muestra'!$D$8:$D$42))+1,""),ROW()-284)),"")</f>
        <v>Home - PortCastelló</v>
      </c>
      <c r="C285" s="114" t="str" cm="1">
        <f t="array" ref="C285">IFERROR(INDEX('03.Muestra'!$F$8:$F$42,SMALL(IF("Página Web"='03.Muestra'!$D$8:$D$42,ROW('03.Muestra'!$F$8:$F$42)-MIN(ROW('03.Muestra'!$D$8:$D$42))+1,""),ROW()-284)),"")</f>
        <v>https://www.portcastello.com/</v>
      </c>
      <c r="D285" s="130" t="str">
        <f>IF(AND(B285&lt;&gt;"",C285&lt;&gt;""),"N/T","")</f>
        <v>N/T</v>
      </c>
      <c r="E285" s="107" t="str">
        <f t="shared" ref="E285:E319" si="14">IF(D285&lt;&gt;"",IF(AND(B285&lt;&gt;"",C285&lt;&gt;""),"","ERR"),"")</f>
        <v/>
      </c>
      <c r="F285" s="115" t="s">
        <v>33</v>
      </c>
      <c r="G285" s="116" t="s">
        <v>37</v>
      </c>
      <c r="H285" s="117" t="s">
        <v>35</v>
      </c>
      <c r="I285" s="118" t="s">
        <v>28</v>
      </c>
      <c r="J285" s="119" t="s">
        <v>26</v>
      </c>
      <c r="K285" s="226" t="s">
        <v>474</v>
      </c>
      <c r="L285" s="19"/>
      <c r="M285" s="19"/>
      <c r="N285" s="19"/>
      <c r="O285" s="19"/>
      <c r="P285" s="19"/>
      <c r="Q285" s="19"/>
      <c r="R285" s="19"/>
      <c r="S285" s="19"/>
      <c r="T285" s="19"/>
      <c r="U285" s="19"/>
      <c r="V285" s="19"/>
      <c r="W285" s="19"/>
      <c r="X285" s="19"/>
      <c r="Y285" s="19"/>
    </row>
    <row r="286" spans="1:25" ht="12" customHeight="1">
      <c r="A286" s="219" t="n" cm="1">
        <f t="array" ref="A286">IFERROR(INDEX('03.Muestra'!$B$8:$B$42,SMALL(IF("Página Web"='03.Muestra'!$D$8:$D$42,ROW('03.Muestra'!$B$8:$B$42)-MIN(ROW('03.Muestra'!$D$8:$D$42))+1,""),ROW()-284)),"")</f>
        <v>1.0</v>
      </c>
      <c r="B286" s="114" t="str" cm="1">
        <f t="array" ref="B286">IFERROR(INDEX('03.Muestra'!$C$8:$C$42,SMALL(IF("Página Web"='03.Muestra'!$D$8:$D$42,ROW('03.Muestra'!$C$8:$C$42)-MIN(ROW('03.Muestra'!$D$8:$D$42))+1,""),ROW()-284)),"")</f>
        <v>Home - PortCastelló</v>
      </c>
      <c r="C286" s="114" t="str" cm="1">
        <f t="array" ref="C286">IFERROR(INDEX('03.Muestra'!$F$8:$F$42,SMALL(IF("Página Web"='03.Muestra'!$D$8:$D$42,ROW('03.Muestra'!$F$8:$F$42)-MIN(ROW('03.Muestra'!$D$8:$D$42))+1,""),ROW()-284)),"")</f>
        <v>https://www.portcastello.com/</v>
      </c>
      <c r="D286" s="130" t="str">
        <f t="shared" ref="D286:D319" si="15">IF(AND(B286&lt;&gt;"",C286&lt;&gt;""),"N/T","")</f>
        <v>N/T</v>
      </c>
      <c r="E286" s="107" t="str">
        <f t="shared" si="14"/>
        <v/>
      </c>
      <c r="F286" s="120" t="n">
        <f ca="1">COUNTIF($D285:INDIRECT("$D" &amp;  SUM(ROW()-1,'03.Muestra'!$D$45)-1),F285)</f>
        <v>33.0</v>
      </c>
      <c r="G286" s="120" t="n">
        <f ca="1">COUNTIF($D285:INDIRECT("$D" &amp;  SUM(ROW()-1,'03.Muestra'!$D$45)-1),G285)</f>
        <v>0.0</v>
      </c>
      <c r="H286" s="120" t="n">
        <f ca="1">COUNTIF($D285:INDIRECT("$D" &amp;  SUM(ROW()-1,'03.Muestra'!$D$45)-1),H285)</f>
        <v>0.0</v>
      </c>
      <c r="I286" s="120" t="n">
        <f ca="1">COUNTIF($D285:INDIRECT("$D" &amp;  SUM(ROW()-1,'03.Muestra'!$D$45)-1),I285)</f>
        <v>0.0</v>
      </c>
      <c r="J286" s="120" t="n">
        <f ca="1">COUNTIF($D285:INDIRECT("$D" &amp;  SUM(ROW()-1,'03.Muestra'!$D$45)-1),J285)</f>
        <v>0.0</v>
      </c>
      <c r="K286" s="227" t="n">
        <f ca="1">IF(COUNTIF('03.Muestra'!$D$8:$D$42,"Página Web")=0,0,COUNTBLANK($D285:INDIRECT("$D" &amp;  SUM(ROW()-1,COUNTIF('03.Muestra'!$D$8:$D$42,"Página Web"))-1)))</f>
        <v>0.0</v>
      </c>
      <c r="L286" s="19"/>
      <c r="M286" s="19"/>
      <c r="N286" s="19"/>
      <c r="O286" s="19"/>
      <c r="P286" s="19"/>
      <c r="Q286" s="19"/>
      <c r="R286" s="19"/>
      <c r="S286" s="19"/>
      <c r="T286" s="19"/>
      <c r="U286" s="19"/>
      <c r="V286" s="19"/>
      <c r="W286" s="19"/>
      <c r="X286" s="19"/>
      <c r="Y286" s="19"/>
    </row>
    <row r="287" spans="1:25" ht="12" customHeight="1">
      <c r="A287" s="219" t="n" cm="1">
        <f t="array" ref="A287">IFERROR(INDEX('03.Muestra'!$B$8:$B$42,SMALL(IF("Página Web"='03.Muestra'!$D$8:$D$42,ROW('03.Muestra'!$B$8:$B$42)-MIN(ROW('03.Muestra'!$D$8:$D$42))+1,""),ROW()-284)),"")</f>
        <v>1.0</v>
      </c>
      <c r="B287" s="114" t="str" cm="1">
        <f t="array" ref="B287">IFERROR(INDEX('03.Muestra'!$C$8:$C$42,SMALL(IF("Página Web"='03.Muestra'!$D$8:$D$42,ROW('03.Muestra'!$C$8:$C$42)-MIN(ROW('03.Muestra'!$D$8:$D$42))+1,""),ROW()-284)),"")</f>
        <v>Home - PortCastelló</v>
      </c>
      <c r="C287" s="114" t="str" cm="1">
        <f t="array" ref="C287">IFERROR(INDEX('03.Muestra'!$F$8:$F$42,SMALL(IF("Página Web"='03.Muestra'!$D$8:$D$42,ROW('03.Muestra'!$F$8:$F$42)-MIN(ROW('03.Muestra'!$D$8:$D$42))+1,""),ROW()-284)),"")</f>
        <v>https://www.portcastello.com/</v>
      </c>
      <c r="D287" s="130" t="str">
        <f t="shared" si="15"/>
        <v>N/T</v>
      </c>
      <c r="E287" s="107" t="str">
        <f t="shared" si="14"/>
        <v/>
      </c>
      <c r="K287" s="233"/>
      <c r="L287" s="19"/>
      <c r="M287" s="19"/>
      <c r="N287" s="19"/>
      <c r="O287" s="19"/>
      <c r="P287" s="19"/>
      <c r="Q287" s="19"/>
      <c r="R287" s="19"/>
      <c r="S287" s="19"/>
      <c r="T287" s="19"/>
      <c r="U287" s="19"/>
      <c r="V287" s="19"/>
      <c r="W287" s="19"/>
      <c r="X287" s="19"/>
      <c r="Y287" s="19"/>
    </row>
    <row r="288" spans="1:25" ht="12" customHeight="1">
      <c r="A288" s="219" t="n" cm="1">
        <f t="array" ref="A288">IFERROR(INDEX('03.Muestra'!$B$8:$B$42,SMALL(IF("Página Web"='03.Muestra'!$D$8:$D$42,ROW('03.Muestra'!$B$8:$B$42)-MIN(ROW('03.Muestra'!$D$8:$D$42))+1,""),ROW()-284)),"")</f>
        <v>1.0</v>
      </c>
      <c r="B288" s="114" t="str" cm="1">
        <f t="array" ref="B288">IFERROR(INDEX('03.Muestra'!$C$8:$C$42,SMALL(IF("Página Web"='03.Muestra'!$D$8:$D$42,ROW('03.Muestra'!$C$8:$C$42)-MIN(ROW('03.Muestra'!$D$8:$D$42))+1,""),ROW()-284)),"")</f>
        <v>Home - PortCastelló</v>
      </c>
      <c r="C288" s="114" t="str" cm="1">
        <f t="array" ref="C288">IFERROR(INDEX('03.Muestra'!$F$8:$F$42,SMALL(IF("Página Web"='03.Muestra'!$D$8:$D$42,ROW('03.Muestra'!$F$8:$F$42)-MIN(ROW('03.Muestra'!$D$8:$D$42))+1,""),ROW()-284)),"")</f>
        <v>https://www.portcastello.com/</v>
      </c>
      <c r="D288" s="130" t="str">
        <f t="shared" si="15"/>
        <v>N/T</v>
      </c>
      <c r="E288" s="107" t="str">
        <f t="shared" si="14"/>
        <v/>
      </c>
      <c r="G288" s="19"/>
      <c r="H288" s="19"/>
      <c r="I288" s="19"/>
      <c r="J288" s="19"/>
      <c r="K288" s="233"/>
      <c r="L288" s="19"/>
      <c r="M288" s="19"/>
      <c r="N288" s="19"/>
      <c r="O288" s="19"/>
      <c r="P288" s="19"/>
      <c r="Q288" s="19"/>
      <c r="R288" s="19"/>
      <c r="S288" s="19"/>
      <c r="T288" s="19"/>
      <c r="U288" s="19"/>
      <c r="V288" s="19"/>
      <c r="W288" s="19"/>
      <c r="X288" s="19"/>
      <c r="Y288" s="19"/>
    </row>
    <row r="289" spans="1:25" ht="12" customHeight="1">
      <c r="A289" s="219" t="n" cm="1">
        <f t="array" ref="A289">IFERROR(INDEX('03.Muestra'!$B$8:$B$42,SMALL(IF("Página Web"='03.Muestra'!$D$8:$D$42,ROW('03.Muestra'!$B$8:$B$42)-MIN(ROW('03.Muestra'!$D$8:$D$42))+1,""),ROW()-284)),"")</f>
        <v>1.0</v>
      </c>
      <c r="B289" s="114" t="str" cm="1">
        <f t="array" ref="B289">IFERROR(INDEX('03.Muestra'!$C$8:$C$42,SMALL(IF("Página Web"='03.Muestra'!$D$8:$D$42,ROW('03.Muestra'!$C$8:$C$42)-MIN(ROW('03.Muestra'!$D$8:$D$42))+1,""),ROW()-284)),"")</f>
        <v>Home - PortCastelló</v>
      </c>
      <c r="C289" s="114" t="str" cm="1">
        <f t="array" ref="C289">IFERROR(INDEX('03.Muestra'!$F$8:$F$42,SMALL(IF("Página Web"='03.Muestra'!$D$8:$D$42,ROW('03.Muestra'!$F$8:$F$42)-MIN(ROW('03.Muestra'!$D$8:$D$42))+1,""),ROW()-284)),"")</f>
        <v>https://www.portcastello.com/</v>
      </c>
      <c r="D289" s="130" t="str">
        <f t="shared" si="15"/>
        <v>N/T</v>
      </c>
      <c r="E289" s="107" t="str">
        <f t="shared" si="14"/>
        <v/>
      </c>
      <c r="G289" s="19"/>
      <c r="H289" s="19"/>
      <c r="I289" s="19"/>
      <c r="J289" s="19"/>
      <c r="K289" s="233"/>
      <c r="L289" s="19"/>
      <c r="M289" s="19"/>
      <c r="N289" s="19"/>
      <c r="O289" s="19"/>
      <c r="P289" s="19"/>
      <c r="Q289" s="19"/>
      <c r="R289" s="19"/>
      <c r="S289" s="19"/>
      <c r="T289" s="19"/>
      <c r="U289" s="19"/>
      <c r="V289" s="19"/>
      <c r="W289" s="19"/>
      <c r="X289" s="19"/>
      <c r="Y289" s="19"/>
    </row>
    <row r="290" spans="1:25" ht="12" customHeight="1">
      <c r="A290" s="219" t="n" cm="1">
        <f t="array" ref="A290">IFERROR(INDEX('03.Muestra'!$B$8:$B$42,SMALL(IF("Página Web"='03.Muestra'!$D$8:$D$42,ROW('03.Muestra'!$B$8:$B$42)-MIN(ROW('03.Muestra'!$D$8:$D$42))+1,""),ROW()-284)),"")</f>
        <v>1.0</v>
      </c>
      <c r="B290" s="114" t="str" cm="1">
        <f t="array" ref="B290">IFERROR(INDEX('03.Muestra'!$C$8:$C$42,SMALL(IF("Página Web"='03.Muestra'!$D$8:$D$42,ROW('03.Muestra'!$C$8:$C$42)-MIN(ROW('03.Muestra'!$D$8:$D$42))+1,""),ROW()-284)),"")</f>
        <v>Home - PortCastelló</v>
      </c>
      <c r="C290" s="114" t="str" cm="1">
        <f t="array" ref="C290">IFERROR(INDEX('03.Muestra'!$F$8:$F$42,SMALL(IF("Página Web"='03.Muestra'!$D$8:$D$42,ROW('03.Muestra'!$F$8:$F$42)-MIN(ROW('03.Muestra'!$D$8:$D$42))+1,""),ROW()-284)),"")</f>
        <v>https://www.portcastello.com/</v>
      </c>
      <c r="D290" s="130" t="str">
        <f t="shared" si="15"/>
        <v>N/T</v>
      </c>
      <c r="E290" s="107" t="str">
        <f t="shared" si="14"/>
        <v/>
      </c>
      <c r="G290" s="19"/>
      <c r="H290" s="19"/>
      <c r="I290" s="19"/>
      <c r="J290" s="19"/>
      <c r="K290" s="233"/>
      <c r="L290" s="19"/>
      <c r="M290" s="19"/>
      <c r="N290" s="19"/>
      <c r="O290" s="19"/>
      <c r="P290" s="19"/>
      <c r="Q290" s="19"/>
      <c r="R290" s="19"/>
      <c r="S290" s="19"/>
      <c r="T290" s="19"/>
      <c r="U290" s="19"/>
      <c r="V290" s="19"/>
      <c r="W290" s="19"/>
      <c r="X290" s="19"/>
      <c r="Y290" s="19"/>
    </row>
    <row r="291" spans="1:25" ht="12" customHeight="1">
      <c r="A291" s="219" t="n" cm="1">
        <f t="array" ref="A291">IFERROR(INDEX('03.Muestra'!$B$8:$B$42,SMALL(IF("Página Web"='03.Muestra'!$D$8:$D$42,ROW('03.Muestra'!$B$8:$B$42)-MIN(ROW('03.Muestra'!$D$8:$D$42))+1,""),ROW()-284)),"")</f>
        <v>1.0</v>
      </c>
      <c r="B291" s="114" t="str" cm="1">
        <f t="array" ref="B291">IFERROR(INDEX('03.Muestra'!$C$8:$C$42,SMALL(IF("Página Web"='03.Muestra'!$D$8:$D$42,ROW('03.Muestra'!$C$8:$C$42)-MIN(ROW('03.Muestra'!$D$8:$D$42))+1,""),ROW()-284)),"")</f>
        <v>Home - PortCastelló</v>
      </c>
      <c r="C291" s="114" t="str" cm="1">
        <f t="array" ref="C291">IFERROR(INDEX('03.Muestra'!$F$8:$F$42,SMALL(IF("Página Web"='03.Muestra'!$D$8:$D$42,ROW('03.Muestra'!$F$8:$F$42)-MIN(ROW('03.Muestra'!$D$8:$D$42))+1,""),ROW()-284)),"")</f>
        <v>https://www.portcastello.com/</v>
      </c>
      <c r="D291" s="130" t="str">
        <f t="shared" si="15"/>
        <v>N/T</v>
      </c>
      <c r="E291" s="107" t="str">
        <f t="shared" si="14"/>
        <v/>
      </c>
      <c r="F291" s="19"/>
      <c r="G291" s="19"/>
      <c r="H291" s="19"/>
      <c r="I291" s="19"/>
      <c r="J291" s="19"/>
      <c r="K291" s="233"/>
      <c r="L291" s="19"/>
      <c r="M291" s="19"/>
      <c r="N291" s="19"/>
      <c r="O291" s="19"/>
      <c r="P291" s="19"/>
      <c r="Q291" s="19"/>
      <c r="R291" s="19"/>
      <c r="S291" s="19"/>
      <c r="T291" s="19"/>
      <c r="U291" s="19"/>
      <c r="V291" s="19"/>
      <c r="W291" s="19"/>
      <c r="X291" s="19"/>
      <c r="Y291" s="19"/>
    </row>
    <row r="292" spans="1:25" ht="12" customHeight="1">
      <c r="A292" s="219" t="n" cm="1">
        <f t="array" ref="A292">IFERROR(INDEX('03.Muestra'!$B$8:$B$42,SMALL(IF("Página Web"='03.Muestra'!$D$8:$D$42,ROW('03.Muestra'!$B$8:$B$42)-MIN(ROW('03.Muestra'!$D$8:$D$42))+1,""),ROW()-284)),"")</f>
        <v>1.0</v>
      </c>
      <c r="B292" s="114" t="str" cm="1">
        <f t="array" ref="B292">IFERROR(INDEX('03.Muestra'!$C$8:$C$42,SMALL(IF("Página Web"='03.Muestra'!$D$8:$D$42,ROW('03.Muestra'!$C$8:$C$42)-MIN(ROW('03.Muestra'!$D$8:$D$42))+1,""),ROW()-284)),"")</f>
        <v>Home - PortCastelló</v>
      </c>
      <c r="C292" s="114" t="str" cm="1">
        <f t="array" ref="C292">IFERROR(INDEX('03.Muestra'!$F$8:$F$42,SMALL(IF("Página Web"='03.Muestra'!$D$8:$D$42,ROW('03.Muestra'!$F$8:$F$42)-MIN(ROW('03.Muestra'!$D$8:$D$42))+1,""),ROW()-284)),"")</f>
        <v>https://www.portcastello.com/</v>
      </c>
      <c r="D292" s="130" t="str">
        <f t="shared" si="15"/>
        <v>N/T</v>
      </c>
      <c r="E292" s="107" t="str">
        <f t="shared" si="14"/>
        <v/>
      </c>
      <c r="F292" s="19"/>
      <c r="G292" s="19"/>
      <c r="H292" s="19"/>
      <c r="I292" s="19"/>
      <c r="J292" s="19"/>
      <c r="K292" s="233"/>
      <c r="L292" s="19"/>
      <c r="M292" s="19"/>
      <c r="N292" s="19"/>
      <c r="O292" s="19"/>
      <c r="P292" s="19"/>
      <c r="Q292" s="19"/>
      <c r="R292" s="19"/>
      <c r="S292" s="19"/>
      <c r="T292" s="19"/>
      <c r="U292" s="19"/>
      <c r="V292" s="19"/>
      <c r="W292" s="19"/>
      <c r="X292" s="19"/>
      <c r="Y292" s="19"/>
    </row>
    <row r="293" spans="1:25" ht="12" customHeight="1">
      <c r="A293" s="219" t="n" cm="1">
        <f t="array" ref="A293">IFERROR(INDEX('03.Muestra'!$B$8:$B$42,SMALL(IF("Página Web"='03.Muestra'!$D$8:$D$42,ROW('03.Muestra'!$B$8:$B$42)-MIN(ROW('03.Muestra'!$D$8:$D$42))+1,""),ROW()-284)),"")</f>
        <v>1.0</v>
      </c>
      <c r="B293" s="114" t="str" cm="1">
        <f t="array" ref="B293">IFERROR(INDEX('03.Muestra'!$C$8:$C$42,SMALL(IF("Página Web"='03.Muestra'!$D$8:$D$42,ROW('03.Muestra'!$C$8:$C$42)-MIN(ROW('03.Muestra'!$D$8:$D$42))+1,""),ROW()-284)),"")</f>
        <v>Home - PortCastelló</v>
      </c>
      <c r="C293" s="114" t="str" cm="1">
        <f t="array" ref="C293">IFERROR(INDEX('03.Muestra'!$F$8:$F$42,SMALL(IF("Página Web"='03.Muestra'!$D$8:$D$42,ROW('03.Muestra'!$F$8:$F$42)-MIN(ROW('03.Muestra'!$D$8:$D$42))+1,""),ROW()-284)),"")</f>
        <v>https://www.portcastello.com/</v>
      </c>
      <c r="D293" s="130" t="str">
        <f t="shared" si="15"/>
        <v>N/T</v>
      </c>
      <c r="E293" s="107" t="str">
        <f t="shared" si="14"/>
        <v/>
      </c>
      <c r="F293" s="19"/>
      <c r="G293" s="19"/>
      <c r="H293" s="19"/>
      <c r="I293" s="19"/>
      <c r="J293" s="19"/>
      <c r="K293" s="233"/>
      <c r="L293" s="19"/>
      <c r="M293" s="19"/>
      <c r="N293" s="19"/>
      <c r="O293" s="19"/>
      <c r="P293" s="19"/>
      <c r="Q293" s="19"/>
      <c r="R293" s="19"/>
      <c r="S293" s="19"/>
      <c r="T293" s="19"/>
      <c r="U293" s="19"/>
      <c r="V293" s="19"/>
      <c r="W293" s="19"/>
      <c r="X293" s="19"/>
      <c r="Y293" s="19"/>
    </row>
    <row r="294" spans="1:25" ht="12" customHeight="1">
      <c r="A294" s="219" t="n" cm="1">
        <f t="array" ref="A294">IFERROR(INDEX('03.Muestra'!$B$8:$B$42,SMALL(IF("Página Web"='03.Muestra'!$D$8:$D$42,ROW('03.Muestra'!$B$8:$B$42)-MIN(ROW('03.Muestra'!$D$8:$D$42))+1,""),ROW()-284)),"")</f>
        <v>1.0</v>
      </c>
      <c r="B294" s="114" t="str" cm="1">
        <f t="array" ref="B294">IFERROR(INDEX('03.Muestra'!$C$8:$C$42,SMALL(IF("Página Web"='03.Muestra'!$D$8:$D$42,ROW('03.Muestra'!$C$8:$C$42)-MIN(ROW('03.Muestra'!$D$8:$D$42))+1,""),ROW()-284)),"")</f>
        <v>Home - PortCastelló</v>
      </c>
      <c r="C294" s="114" t="str" cm="1">
        <f t="array" ref="C294">IFERROR(INDEX('03.Muestra'!$F$8:$F$42,SMALL(IF("Página Web"='03.Muestra'!$D$8:$D$42,ROW('03.Muestra'!$F$8:$F$42)-MIN(ROW('03.Muestra'!$D$8:$D$42))+1,""),ROW()-284)),"")</f>
        <v>https://www.portcastello.com/</v>
      </c>
      <c r="D294" s="130" t="str">
        <f t="shared" si="15"/>
        <v>N/T</v>
      </c>
      <c r="E294" s="107" t="str">
        <f t="shared" si="14"/>
        <v/>
      </c>
      <c r="F294" s="19"/>
      <c r="G294" s="19"/>
      <c r="H294" s="19"/>
      <c r="I294" s="19"/>
      <c r="J294" s="19"/>
      <c r="K294" s="233"/>
      <c r="L294" s="19"/>
      <c r="M294" s="19"/>
      <c r="N294" s="19"/>
      <c r="O294" s="19"/>
      <c r="P294" s="19"/>
      <c r="Q294" s="19"/>
      <c r="R294" s="19"/>
      <c r="S294" s="19"/>
      <c r="T294" s="19"/>
      <c r="U294" s="19"/>
      <c r="V294" s="19"/>
      <c r="W294" s="19"/>
      <c r="X294" s="19"/>
      <c r="Y294" s="19"/>
    </row>
    <row r="295" spans="1:25" ht="12" customHeight="1">
      <c r="A295" s="219" t="n" cm="1">
        <f t="array" ref="A295">IFERROR(INDEX('03.Muestra'!$B$8:$B$42,SMALL(IF("Página Web"='03.Muestra'!$D$8:$D$42,ROW('03.Muestra'!$B$8:$B$42)-MIN(ROW('03.Muestra'!$D$8:$D$42))+1,""),ROW()-284)),"")</f>
        <v>1.0</v>
      </c>
      <c r="B295" s="114" t="str" cm="1">
        <f t="array" ref="B295">IFERROR(INDEX('03.Muestra'!$C$8:$C$42,SMALL(IF("Página Web"='03.Muestra'!$D$8:$D$42,ROW('03.Muestra'!$C$8:$C$42)-MIN(ROW('03.Muestra'!$D$8:$D$42))+1,""),ROW()-284)),"")</f>
        <v>Home - PortCastelló</v>
      </c>
      <c r="C295" s="114" t="str" cm="1">
        <f t="array" ref="C295">IFERROR(INDEX('03.Muestra'!$F$8:$F$42,SMALL(IF("Página Web"='03.Muestra'!$D$8:$D$42,ROW('03.Muestra'!$F$8:$F$42)-MIN(ROW('03.Muestra'!$D$8:$D$42))+1,""),ROW()-284)),"")</f>
        <v>https://www.portcastello.com/</v>
      </c>
      <c r="D295" s="130" t="str">
        <f t="shared" si="15"/>
        <v>N/T</v>
      </c>
      <c r="E295" s="107" t="str">
        <f t="shared" si="14"/>
        <v/>
      </c>
      <c r="F295" s="19"/>
      <c r="G295" s="19"/>
      <c r="H295" s="19"/>
      <c r="I295" s="19"/>
      <c r="J295" s="19"/>
      <c r="K295" s="233"/>
      <c r="L295" s="19"/>
      <c r="M295" s="19"/>
      <c r="N295" s="19"/>
      <c r="O295" s="19"/>
      <c r="P295" s="19"/>
      <c r="Q295" s="19"/>
      <c r="R295" s="19"/>
      <c r="S295" s="19"/>
      <c r="T295" s="19"/>
      <c r="U295" s="19"/>
      <c r="V295" s="19"/>
      <c r="W295" s="19"/>
      <c r="X295" s="19"/>
      <c r="Y295" s="19"/>
    </row>
    <row r="296" spans="1:25" ht="12" customHeight="1">
      <c r="A296" s="219" t="n" cm="1">
        <f t="array" ref="A296">IFERROR(INDEX('03.Muestra'!$B$8:$B$42,SMALL(IF("Página Web"='03.Muestra'!$D$8:$D$42,ROW('03.Muestra'!$B$8:$B$42)-MIN(ROW('03.Muestra'!$D$8:$D$42))+1,""),ROW()-284)),"")</f>
        <v>1.0</v>
      </c>
      <c r="B296" s="114" t="str" cm="1">
        <f t="array" ref="B296">IFERROR(INDEX('03.Muestra'!$C$8:$C$42,SMALL(IF("Página Web"='03.Muestra'!$D$8:$D$42,ROW('03.Muestra'!$C$8:$C$42)-MIN(ROW('03.Muestra'!$D$8:$D$42))+1,""),ROW()-284)),"")</f>
        <v>Home - PortCastelló</v>
      </c>
      <c r="C296" s="114" t="str" cm="1">
        <f t="array" ref="C296">IFERROR(INDEX('03.Muestra'!$F$8:$F$42,SMALL(IF("Página Web"='03.Muestra'!$D$8:$D$42,ROW('03.Muestra'!$F$8:$F$42)-MIN(ROW('03.Muestra'!$D$8:$D$42))+1,""),ROW()-284)),"")</f>
        <v>https://www.portcastello.com/</v>
      </c>
      <c r="D296" s="130" t="str">
        <f t="shared" si="15"/>
        <v>N/T</v>
      </c>
      <c r="E296" s="107" t="str">
        <f t="shared" si="14"/>
        <v/>
      </c>
      <c r="F296" s="19"/>
      <c r="G296" s="19"/>
      <c r="H296" s="19"/>
      <c r="I296" s="19"/>
      <c r="J296" s="19"/>
      <c r="K296" s="233"/>
      <c r="L296" s="19"/>
      <c r="M296" s="19"/>
      <c r="N296" s="19"/>
      <c r="O296" s="19"/>
      <c r="P296" s="19"/>
      <c r="Q296" s="19"/>
      <c r="R296" s="19"/>
      <c r="S296" s="19"/>
      <c r="T296" s="19"/>
      <c r="U296" s="19"/>
      <c r="V296" s="19"/>
      <c r="W296" s="19"/>
      <c r="X296" s="19"/>
      <c r="Y296" s="19"/>
    </row>
    <row r="297" spans="1:25" ht="14.1" customHeight="1">
      <c r="A297" s="219" t="n" cm="1">
        <f t="array" ref="A297">IFERROR(INDEX('03.Muestra'!$B$8:$B$42,SMALL(IF("Página Web"='03.Muestra'!$D$8:$D$42,ROW('03.Muestra'!$B$8:$B$42)-MIN(ROW('03.Muestra'!$D$8:$D$42))+1,""),ROW()-284)),"")</f>
        <v>1.0</v>
      </c>
      <c r="B297" s="114" t="str" cm="1">
        <f t="array" ref="B297">IFERROR(INDEX('03.Muestra'!$C$8:$C$42,SMALL(IF("Página Web"='03.Muestra'!$D$8:$D$42,ROW('03.Muestra'!$C$8:$C$42)-MIN(ROW('03.Muestra'!$D$8:$D$42))+1,""),ROW()-284)),"")</f>
        <v>Home - PortCastelló</v>
      </c>
      <c r="C297" s="114" t="str" cm="1">
        <f t="array" ref="C297">IFERROR(INDEX('03.Muestra'!$F$8:$F$42,SMALL(IF("Página Web"='03.Muestra'!$D$8:$D$42,ROW('03.Muestra'!$F$8:$F$42)-MIN(ROW('03.Muestra'!$D$8:$D$42))+1,""),ROW()-284)),"")</f>
        <v>https://www.portcastello.com/</v>
      </c>
      <c r="D297" s="130" t="str">
        <f t="shared" si="15"/>
        <v>N/T</v>
      </c>
      <c r="E297" s="107" t="str">
        <f t="shared" si="14"/>
        <v/>
      </c>
      <c r="F297" s="19"/>
      <c r="G297" s="19"/>
      <c r="H297" s="19"/>
      <c r="I297" s="19"/>
      <c r="J297" s="19"/>
      <c r="K297" s="233"/>
      <c r="L297" s="19"/>
      <c r="M297" s="19"/>
      <c r="N297" s="19"/>
      <c r="O297" s="19"/>
      <c r="P297" s="19"/>
      <c r="Q297" s="19"/>
      <c r="R297" s="19"/>
      <c r="S297" s="19"/>
      <c r="T297" s="19"/>
      <c r="U297" s="19"/>
      <c r="V297" s="19"/>
      <c r="W297" s="19"/>
      <c r="X297" s="19"/>
      <c r="Y297" s="19"/>
    </row>
    <row r="298" spans="1:25" ht="14.1" customHeight="1">
      <c r="A298" s="219" t="n" cm="1">
        <f t="array" ref="A298">IFERROR(INDEX('03.Muestra'!$B$8:$B$42,SMALL(IF("Página Web"='03.Muestra'!$D$8:$D$42,ROW('03.Muestra'!$B$8:$B$42)-MIN(ROW('03.Muestra'!$D$8:$D$42))+1,""),ROW()-284)),"")</f>
        <v>1.0</v>
      </c>
      <c r="B298" s="114" t="str" cm="1">
        <f t="array" ref="B298">IFERROR(INDEX('03.Muestra'!$C$8:$C$42,SMALL(IF("Página Web"='03.Muestra'!$D$8:$D$42,ROW('03.Muestra'!$C$8:$C$42)-MIN(ROW('03.Muestra'!$D$8:$D$42))+1,""),ROW()-284)),"")</f>
        <v>Home - PortCastelló</v>
      </c>
      <c r="C298" s="114" t="str" cm="1">
        <f t="array" ref="C298">IFERROR(INDEX('03.Muestra'!$F$8:$F$42,SMALL(IF("Página Web"='03.Muestra'!$D$8:$D$42,ROW('03.Muestra'!$F$8:$F$42)-MIN(ROW('03.Muestra'!$D$8:$D$42))+1,""),ROW()-284)),"")</f>
        <v>https://www.portcastello.com/</v>
      </c>
      <c r="D298" s="130" t="str">
        <f t="shared" si="15"/>
        <v>N/T</v>
      </c>
      <c r="E298" s="107" t="str">
        <f t="shared" si="14"/>
        <v/>
      </c>
      <c r="F298" s="19"/>
      <c r="G298" s="19"/>
      <c r="H298" s="19"/>
      <c r="I298" s="19"/>
      <c r="J298" s="19"/>
      <c r="K298" s="233"/>
      <c r="L298" s="19"/>
      <c r="M298" s="19"/>
      <c r="N298" s="19"/>
      <c r="O298" s="19"/>
      <c r="P298" s="19"/>
      <c r="Q298" s="19"/>
      <c r="R298" s="19"/>
      <c r="S298" s="19"/>
      <c r="T298" s="19"/>
      <c r="U298" s="19"/>
      <c r="V298" s="19"/>
      <c r="W298" s="19"/>
      <c r="X298" s="19"/>
      <c r="Y298" s="19"/>
    </row>
    <row r="299" spans="1:25" ht="14.1" customHeight="1">
      <c r="A299" s="219" t="n" cm="1">
        <f t="array" ref="A299">IFERROR(INDEX('03.Muestra'!$B$8:$B$42,SMALL(IF("Página Web"='03.Muestra'!$D$8:$D$42,ROW('03.Muestra'!$B$8:$B$42)-MIN(ROW('03.Muestra'!$D$8:$D$42))+1,""),ROW()-284)),"")</f>
        <v>1.0</v>
      </c>
      <c r="B299" s="114" t="str" cm="1">
        <f t="array" ref="B299">IFERROR(INDEX('03.Muestra'!$C$8:$C$42,SMALL(IF("Página Web"='03.Muestra'!$D$8:$D$42,ROW('03.Muestra'!$C$8:$C$42)-MIN(ROW('03.Muestra'!$D$8:$D$42))+1,""),ROW()-284)),"")</f>
        <v>Home - PortCastelló</v>
      </c>
      <c r="C299" s="114" t="str" cm="1">
        <f t="array" ref="C299">IFERROR(INDEX('03.Muestra'!$F$8:$F$42,SMALL(IF("Página Web"='03.Muestra'!$D$8:$D$42,ROW('03.Muestra'!$F$8:$F$42)-MIN(ROW('03.Muestra'!$D$8:$D$42))+1,""),ROW()-284)),"")</f>
        <v>https://www.portcastello.com/</v>
      </c>
      <c r="D299" s="130" t="str">
        <f t="shared" si="15"/>
        <v>N/T</v>
      </c>
      <c r="E299" s="107" t="str">
        <f t="shared" si="14"/>
        <v/>
      </c>
      <c r="F299" s="19"/>
      <c r="G299" s="19"/>
      <c r="H299" s="19"/>
      <c r="I299" s="19"/>
      <c r="J299" s="19"/>
      <c r="K299" s="233"/>
      <c r="L299" s="19"/>
      <c r="M299" s="19"/>
      <c r="N299" s="19"/>
      <c r="O299" s="19"/>
      <c r="P299" s="19"/>
      <c r="Q299" s="19"/>
      <c r="R299" s="19"/>
      <c r="S299" s="19"/>
      <c r="T299" s="19"/>
      <c r="U299" s="19"/>
      <c r="V299" s="19"/>
      <c r="W299" s="19"/>
      <c r="X299" s="19"/>
      <c r="Y299" s="19"/>
    </row>
    <row r="300" spans="1:25" ht="14.1" customHeight="1">
      <c r="A300" s="219" t="n" cm="1">
        <f t="array" ref="A300">IFERROR(INDEX('03.Muestra'!$B$8:$B$42,SMALL(IF("Página Web"='03.Muestra'!$D$8:$D$42,ROW('03.Muestra'!$B$8:$B$42)-MIN(ROW('03.Muestra'!$D$8:$D$42))+1,""),ROW()-284)),"")</f>
        <v>1.0</v>
      </c>
      <c r="B300" s="114" t="str" cm="1">
        <f t="array" ref="B300">IFERROR(INDEX('03.Muestra'!$C$8:$C$42,SMALL(IF("Página Web"='03.Muestra'!$D$8:$D$42,ROW('03.Muestra'!$C$8:$C$42)-MIN(ROW('03.Muestra'!$D$8:$D$42))+1,""),ROW()-284)),"")</f>
        <v>Home - PortCastelló</v>
      </c>
      <c r="C300" s="114" t="str" cm="1">
        <f t="array" ref="C300">IFERROR(INDEX('03.Muestra'!$F$8:$F$42,SMALL(IF("Página Web"='03.Muestra'!$D$8:$D$42,ROW('03.Muestra'!$F$8:$F$42)-MIN(ROW('03.Muestra'!$D$8:$D$42))+1,""),ROW()-284)),"")</f>
        <v>https://www.portcastello.com/</v>
      </c>
      <c r="D300" s="130" t="str">
        <f t="shared" si="15"/>
        <v>N/T</v>
      </c>
      <c r="E300" s="107" t="str">
        <f t="shared" si="14"/>
        <v/>
      </c>
      <c r="F300" s="19"/>
      <c r="G300" s="19"/>
      <c r="H300" s="19"/>
      <c r="I300" s="19"/>
      <c r="J300" s="19"/>
      <c r="K300" s="233"/>
      <c r="L300" s="19"/>
      <c r="M300" s="19"/>
      <c r="N300" s="19"/>
      <c r="O300" s="19"/>
      <c r="P300" s="19"/>
      <c r="Q300" s="19"/>
      <c r="R300" s="19"/>
      <c r="S300" s="19"/>
      <c r="T300" s="19"/>
      <c r="U300" s="19"/>
      <c r="V300" s="19"/>
      <c r="W300" s="19"/>
      <c r="X300" s="19"/>
      <c r="Y300" s="19"/>
    </row>
    <row r="301" spans="1:25" ht="14.1" customHeight="1">
      <c r="A301" s="219" t="n" cm="1">
        <f t="array" ref="A301">IFERROR(INDEX('03.Muestra'!$B$8:$B$42,SMALL(IF("Página Web"='03.Muestra'!$D$8:$D$42,ROW('03.Muestra'!$B$8:$B$42)-MIN(ROW('03.Muestra'!$D$8:$D$42))+1,""),ROW()-284)),"")</f>
        <v>1.0</v>
      </c>
      <c r="B301" s="114" t="str" cm="1">
        <f t="array" ref="B301">IFERROR(INDEX('03.Muestra'!$C$8:$C$42,SMALL(IF("Página Web"='03.Muestra'!$D$8:$D$42,ROW('03.Muestra'!$C$8:$C$42)-MIN(ROW('03.Muestra'!$D$8:$D$42))+1,""),ROW()-284)),"")</f>
        <v>Home - PortCastelló</v>
      </c>
      <c r="C301" s="114" t="str" cm="1">
        <f t="array" ref="C301">IFERROR(INDEX('03.Muestra'!$F$8:$F$42,SMALL(IF("Página Web"='03.Muestra'!$D$8:$D$42,ROW('03.Muestra'!$F$8:$F$42)-MIN(ROW('03.Muestra'!$D$8:$D$42))+1,""),ROW()-284)),"")</f>
        <v>https://www.portcastello.com/</v>
      </c>
      <c r="D301" s="130" t="str">
        <f t="shared" si="15"/>
        <v>N/T</v>
      </c>
      <c r="E301" s="107" t="str">
        <f t="shared" si="14"/>
        <v/>
      </c>
      <c r="F301" s="19"/>
      <c r="G301" s="19"/>
      <c r="H301" s="19"/>
      <c r="I301" s="19"/>
      <c r="J301" s="19"/>
      <c r="K301" s="233"/>
      <c r="L301" s="19"/>
      <c r="M301" s="19"/>
      <c r="N301" s="19"/>
      <c r="O301" s="19"/>
      <c r="P301" s="19"/>
      <c r="Q301" s="19"/>
      <c r="R301" s="19"/>
      <c r="S301" s="19"/>
      <c r="T301" s="19"/>
      <c r="U301" s="19"/>
      <c r="V301" s="19"/>
      <c r="W301" s="19"/>
      <c r="X301" s="19"/>
      <c r="Y301" s="19"/>
    </row>
    <row r="302" spans="1:25" ht="14.1" customHeight="1">
      <c r="A302" s="219" t="n" cm="1">
        <f t="array" ref="A302">IFERROR(INDEX('03.Muestra'!$B$8:$B$42,SMALL(IF("Página Web"='03.Muestra'!$D$8:$D$42,ROW('03.Muestra'!$B$8:$B$42)-MIN(ROW('03.Muestra'!$D$8:$D$42))+1,""),ROW()-284)),"")</f>
        <v>1.0</v>
      </c>
      <c r="B302" s="114" t="str" cm="1">
        <f t="array" ref="B302">IFERROR(INDEX('03.Muestra'!$C$8:$C$42,SMALL(IF("Página Web"='03.Muestra'!$D$8:$D$42,ROW('03.Muestra'!$C$8:$C$42)-MIN(ROW('03.Muestra'!$D$8:$D$42))+1,""),ROW()-284)),"")</f>
        <v>Home - PortCastelló</v>
      </c>
      <c r="C302" s="114" t="str" cm="1">
        <f t="array" ref="C302">IFERROR(INDEX('03.Muestra'!$F$8:$F$42,SMALL(IF("Página Web"='03.Muestra'!$D$8:$D$42,ROW('03.Muestra'!$F$8:$F$42)-MIN(ROW('03.Muestra'!$D$8:$D$42))+1,""),ROW()-284)),"")</f>
        <v>https://www.portcastello.com/</v>
      </c>
      <c r="D302" s="130" t="str">
        <f t="shared" si="15"/>
        <v>N/T</v>
      </c>
      <c r="E302" s="107" t="str">
        <f t="shared" si="14"/>
        <v/>
      </c>
      <c r="F302" s="19"/>
      <c r="G302" s="19"/>
      <c r="H302" s="19"/>
      <c r="I302" s="19"/>
      <c r="J302" s="19"/>
      <c r="K302" s="233"/>
      <c r="L302" s="19"/>
      <c r="M302" s="19"/>
      <c r="N302" s="19"/>
      <c r="O302" s="19"/>
      <c r="P302" s="19"/>
      <c r="Q302" s="19"/>
      <c r="R302" s="19"/>
      <c r="S302" s="19"/>
      <c r="T302" s="19"/>
      <c r="U302" s="19"/>
      <c r="V302" s="19"/>
      <c r="W302" s="19"/>
      <c r="X302" s="19"/>
      <c r="Y302" s="19"/>
    </row>
    <row r="303" spans="1:25" ht="14.1" customHeight="1">
      <c r="A303" s="219" t="n" cm="1">
        <f t="array" ref="A303">IFERROR(INDEX('03.Muestra'!$B$8:$B$42,SMALL(IF("Página Web"='03.Muestra'!$D$8:$D$42,ROW('03.Muestra'!$B$8:$B$42)-MIN(ROW('03.Muestra'!$D$8:$D$42))+1,""),ROW()-284)),"")</f>
        <v>1.0</v>
      </c>
      <c r="B303" s="114" t="str" cm="1">
        <f t="array" ref="B303">IFERROR(INDEX('03.Muestra'!$C$8:$C$42,SMALL(IF("Página Web"='03.Muestra'!$D$8:$D$42,ROW('03.Muestra'!$C$8:$C$42)-MIN(ROW('03.Muestra'!$D$8:$D$42))+1,""),ROW()-284)),"")</f>
        <v>Home - PortCastelló</v>
      </c>
      <c r="C303" s="114" t="str" cm="1">
        <f t="array" ref="C303">IFERROR(INDEX('03.Muestra'!$F$8:$F$42,SMALL(IF("Página Web"='03.Muestra'!$D$8:$D$42,ROW('03.Muestra'!$F$8:$F$42)-MIN(ROW('03.Muestra'!$D$8:$D$42))+1,""),ROW()-284)),"")</f>
        <v>https://www.portcastello.com/</v>
      </c>
      <c r="D303" s="130" t="str">
        <f t="shared" si="15"/>
        <v>N/T</v>
      </c>
      <c r="E303" s="107" t="str">
        <f t="shared" si="14"/>
        <v/>
      </c>
      <c r="F303" s="19"/>
      <c r="G303" s="19"/>
      <c r="H303" s="19"/>
      <c r="I303" s="19"/>
      <c r="J303" s="19"/>
      <c r="K303" s="233"/>
      <c r="L303" s="19"/>
      <c r="M303" s="19"/>
      <c r="N303" s="19"/>
      <c r="O303" s="19"/>
      <c r="P303" s="19"/>
      <c r="Q303" s="19"/>
      <c r="R303" s="19"/>
      <c r="S303" s="19"/>
      <c r="T303" s="19"/>
      <c r="U303" s="19"/>
      <c r="V303" s="19"/>
      <c r="W303" s="19"/>
      <c r="X303" s="19"/>
      <c r="Y303" s="19"/>
    </row>
    <row r="304" spans="1:25" ht="14.1" customHeight="1">
      <c r="A304" s="219" t="n" cm="1">
        <f t="array" ref="A304">IFERROR(INDEX('03.Muestra'!$B$8:$B$42,SMALL(IF("Página Web"='03.Muestra'!$D$8:$D$42,ROW('03.Muestra'!$B$8:$B$42)-MIN(ROW('03.Muestra'!$D$8:$D$42))+1,""),ROW()-284)),"")</f>
        <v>1.0</v>
      </c>
      <c r="B304" s="114" t="str" cm="1">
        <f t="array" ref="B304">IFERROR(INDEX('03.Muestra'!$C$8:$C$42,SMALL(IF("Página Web"='03.Muestra'!$D$8:$D$42,ROW('03.Muestra'!$C$8:$C$42)-MIN(ROW('03.Muestra'!$D$8:$D$42))+1,""),ROW()-284)),"")</f>
        <v>Home - PortCastelló</v>
      </c>
      <c r="C304" s="114" t="str" cm="1">
        <f t="array" ref="C304">IFERROR(INDEX('03.Muestra'!$F$8:$F$42,SMALL(IF("Página Web"='03.Muestra'!$D$8:$D$42,ROW('03.Muestra'!$F$8:$F$42)-MIN(ROW('03.Muestra'!$D$8:$D$42))+1,""),ROW()-284)),"")</f>
        <v>https://www.portcastello.com/</v>
      </c>
      <c r="D304" s="130" t="str">
        <f t="shared" si="15"/>
        <v>N/T</v>
      </c>
      <c r="E304" s="107" t="str">
        <f t="shared" si="14"/>
        <v/>
      </c>
      <c r="F304" s="19"/>
      <c r="G304" s="19"/>
      <c r="H304" s="19"/>
      <c r="I304" s="19"/>
      <c r="J304" s="19"/>
      <c r="K304" s="233"/>
      <c r="L304" s="19"/>
      <c r="M304" s="19"/>
      <c r="N304" s="19"/>
      <c r="O304" s="19"/>
      <c r="P304" s="19"/>
      <c r="Q304" s="19"/>
      <c r="R304" s="19"/>
      <c r="S304" s="19"/>
      <c r="T304" s="19"/>
      <c r="U304" s="19"/>
      <c r="V304" s="19"/>
      <c r="W304" s="19"/>
      <c r="X304" s="19"/>
      <c r="Y304" s="19"/>
    </row>
    <row r="305" spans="1:25" ht="14.1" customHeight="1">
      <c r="A305" s="219" t="n" cm="1">
        <f t="array" ref="A305">IFERROR(INDEX('03.Muestra'!$B$8:$B$42,SMALL(IF("Página Web"='03.Muestra'!$D$8:$D$42,ROW('03.Muestra'!$B$8:$B$42)-MIN(ROW('03.Muestra'!$D$8:$D$42))+1,""),ROW()-284)),"")</f>
        <v>1.0</v>
      </c>
      <c r="B305" s="114" t="str" cm="1">
        <f t="array" ref="B305">IFERROR(INDEX('03.Muestra'!$C$8:$C$42,SMALL(IF("Página Web"='03.Muestra'!$D$8:$D$42,ROW('03.Muestra'!$C$8:$C$42)-MIN(ROW('03.Muestra'!$D$8:$D$42))+1,""),ROW()-284)),"")</f>
        <v>Home - PortCastelló</v>
      </c>
      <c r="C305" s="114" t="str" cm="1">
        <f t="array" ref="C305">IFERROR(INDEX('03.Muestra'!$F$8:$F$42,SMALL(IF("Página Web"='03.Muestra'!$D$8:$D$42,ROW('03.Muestra'!$F$8:$F$42)-MIN(ROW('03.Muestra'!$D$8:$D$42))+1,""),ROW()-284)),"")</f>
        <v>https://www.portcastello.com/</v>
      </c>
      <c r="D305" s="130" t="str">
        <f t="shared" si="15"/>
        <v>N/T</v>
      </c>
      <c r="E305" s="107" t="str">
        <f t="shared" si="14"/>
        <v/>
      </c>
      <c r="F305" s="19"/>
      <c r="G305" s="19"/>
      <c r="H305" s="19"/>
      <c r="I305" s="19"/>
      <c r="J305" s="19"/>
      <c r="K305" s="233"/>
      <c r="L305" s="19"/>
      <c r="M305" s="19"/>
      <c r="N305" s="19"/>
      <c r="O305" s="19"/>
      <c r="P305" s="19"/>
      <c r="Q305" s="19"/>
      <c r="R305" s="19"/>
      <c r="S305" s="19"/>
      <c r="T305" s="19"/>
      <c r="U305" s="19"/>
      <c r="V305" s="19"/>
      <c r="W305" s="19"/>
      <c r="X305" s="19"/>
      <c r="Y305" s="19"/>
    </row>
    <row r="306" spans="1:25" ht="14.1" customHeight="1">
      <c r="A306" s="219" t="n" cm="1">
        <f t="array" ref="A306">IFERROR(INDEX('03.Muestra'!$B$8:$B$42,SMALL(IF("Página Web"='03.Muestra'!$D$8:$D$42,ROW('03.Muestra'!$B$8:$B$42)-MIN(ROW('03.Muestra'!$D$8:$D$42))+1,""),ROW()-284)),"")</f>
        <v>1.0</v>
      </c>
      <c r="B306" s="114" t="str" cm="1">
        <f t="array" ref="B306">IFERROR(INDEX('03.Muestra'!$C$8:$C$42,SMALL(IF("Página Web"='03.Muestra'!$D$8:$D$42,ROW('03.Muestra'!$C$8:$C$42)-MIN(ROW('03.Muestra'!$D$8:$D$42))+1,""),ROW()-284)),"")</f>
        <v>Home - PortCastelló</v>
      </c>
      <c r="C306" s="114" t="str" cm="1">
        <f t="array" ref="C306">IFERROR(INDEX('03.Muestra'!$F$8:$F$42,SMALL(IF("Página Web"='03.Muestra'!$D$8:$D$42,ROW('03.Muestra'!$F$8:$F$42)-MIN(ROW('03.Muestra'!$D$8:$D$42))+1,""),ROW()-284)),"")</f>
        <v>https://www.portcastello.com/</v>
      </c>
      <c r="D306" s="130" t="str">
        <f t="shared" si="15"/>
        <v>N/T</v>
      </c>
      <c r="E306" s="107" t="str">
        <f t="shared" si="14"/>
        <v/>
      </c>
      <c r="F306" s="19"/>
      <c r="G306" s="19"/>
      <c r="H306" s="19"/>
      <c r="I306" s="19"/>
      <c r="J306" s="19"/>
      <c r="K306" s="233"/>
      <c r="L306" s="19"/>
      <c r="M306" s="19"/>
      <c r="N306" s="19"/>
      <c r="O306" s="19"/>
      <c r="P306" s="19"/>
      <c r="Q306" s="19"/>
      <c r="R306" s="19"/>
      <c r="S306" s="19"/>
      <c r="T306" s="19"/>
      <c r="U306" s="19"/>
      <c r="V306" s="19"/>
      <c r="W306" s="19"/>
      <c r="X306" s="19"/>
      <c r="Y306" s="19"/>
    </row>
    <row r="307" spans="1:25" ht="14.1" customHeight="1">
      <c r="A307" s="219" t="n" cm="1">
        <f t="array" ref="A307">IFERROR(INDEX('03.Muestra'!$B$8:$B$42,SMALL(IF("Página Web"='03.Muestra'!$D$8:$D$42,ROW('03.Muestra'!$B$8:$B$42)-MIN(ROW('03.Muestra'!$D$8:$D$42))+1,""),ROW()-284)),"")</f>
        <v>1.0</v>
      </c>
      <c r="B307" s="114" t="str" cm="1">
        <f t="array" ref="B307">IFERROR(INDEX('03.Muestra'!$C$8:$C$42,SMALL(IF("Página Web"='03.Muestra'!$D$8:$D$42,ROW('03.Muestra'!$C$8:$C$42)-MIN(ROW('03.Muestra'!$D$8:$D$42))+1,""),ROW()-284)),"")</f>
        <v>Home - PortCastelló</v>
      </c>
      <c r="C307" s="114" t="str" cm="1">
        <f t="array" ref="C307">IFERROR(INDEX('03.Muestra'!$F$8:$F$42,SMALL(IF("Página Web"='03.Muestra'!$D$8:$D$42,ROW('03.Muestra'!$F$8:$F$42)-MIN(ROW('03.Muestra'!$D$8:$D$42))+1,""),ROW()-284)),"")</f>
        <v>https://www.portcastello.com/</v>
      </c>
      <c r="D307" s="130" t="str">
        <f t="shared" si="15"/>
        <v>N/T</v>
      </c>
      <c r="E307" s="107" t="str">
        <f t="shared" si="14"/>
        <v/>
      </c>
      <c r="F307" s="19"/>
      <c r="G307" s="19"/>
      <c r="H307" s="19"/>
      <c r="I307" s="19"/>
      <c r="J307" s="19"/>
      <c r="K307" s="233"/>
      <c r="L307" s="19"/>
      <c r="M307" s="19"/>
      <c r="N307" s="19"/>
      <c r="O307" s="19"/>
      <c r="P307" s="19"/>
      <c r="Q307" s="19"/>
      <c r="R307" s="19"/>
      <c r="S307" s="19"/>
      <c r="T307" s="19"/>
      <c r="U307" s="19"/>
      <c r="V307" s="19"/>
      <c r="W307" s="19"/>
      <c r="X307" s="19"/>
      <c r="Y307" s="19"/>
    </row>
    <row r="308" spans="1:25" ht="12" customHeight="1">
      <c r="A308" s="219" t="n" cm="1">
        <f t="array" ref="A308">IFERROR(INDEX('03.Muestra'!$B$8:$B$42,SMALL(IF("Página Web"='03.Muestra'!$D$8:$D$42,ROW('03.Muestra'!$B$8:$B$42)-MIN(ROW('03.Muestra'!$D$8:$D$42))+1,""),ROW()-284)),"")</f>
        <v>1.0</v>
      </c>
      <c r="B308" s="114" t="str" cm="1">
        <f t="array" ref="B308">IFERROR(INDEX('03.Muestra'!$C$8:$C$42,SMALL(IF("Página Web"='03.Muestra'!$D$8:$D$42,ROW('03.Muestra'!$C$8:$C$42)-MIN(ROW('03.Muestra'!$D$8:$D$42))+1,""),ROW()-284)),"")</f>
        <v>Home - PortCastelló</v>
      </c>
      <c r="C308" s="114" t="str" cm="1">
        <f t="array" ref="C308">IFERROR(INDEX('03.Muestra'!$F$8:$F$42,SMALL(IF("Página Web"='03.Muestra'!$D$8:$D$42,ROW('03.Muestra'!$F$8:$F$42)-MIN(ROW('03.Muestra'!$D$8:$D$42))+1,""),ROW()-284)),"")</f>
        <v>https://www.portcastello.com/</v>
      </c>
      <c r="D308" s="130" t="str">
        <f t="shared" si="15"/>
        <v>N/T</v>
      </c>
      <c r="E308" s="107" t="str">
        <f t="shared" si="14"/>
        <v/>
      </c>
      <c r="F308" s="19"/>
      <c r="G308" s="19"/>
      <c r="H308" s="19"/>
      <c r="I308" s="19"/>
      <c r="J308" s="19"/>
      <c r="K308" s="233"/>
      <c r="L308" s="19"/>
      <c r="M308" s="19"/>
      <c r="N308" s="19"/>
      <c r="O308" s="19"/>
      <c r="P308" s="19"/>
      <c r="Q308" s="19"/>
      <c r="R308" s="19"/>
      <c r="S308" s="19"/>
      <c r="T308" s="19"/>
      <c r="U308" s="19"/>
      <c r="V308" s="19"/>
      <c r="W308" s="19"/>
      <c r="X308" s="19"/>
      <c r="Y308" s="19"/>
    </row>
    <row r="309" spans="1:25" ht="12" customHeight="1">
      <c r="A309" s="219" t="n" cm="1">
        <f t="array" ref="A309">IFERROR(INDEX('03.Muestra'!$B$8:$B$42,SMALL(IF("Página Web"='03.Muestra'!$D$8:$D$42,ROW('03.Muestra'!$B$8:$B$42)-MIN(ROW('03.Muestra'!$D$8:$D$42))+1,""),ROW()-284)),"")</f>
        <v>1.0</v>
      </c>
      <c r="B309" s="114" t="str" cm="1">
        <f t="array" ref="B309">IFERROR(INDEX('03.Muestra'!$C$8:$C$42,SMALL(IF("Página Web"='03.Muestra'!$D$8:$D$42,ROW('03.Muestra'!$C$8:$C$42)-MIN(ROW('03.Muestra'!$D$8:$D$42))+1,""),ROW()-284)),"")</f>
        <v>Home - PortCastelló</v>
      </c>
      <c r="C309" s="114" t="str" cm="1">
        <f t="array" ref="C309">IFERROR(INDEX('03.Muestra'!$F$8:$F$42,SMALL(IF("Página Web"='03.Muestra'!$D$8:$D$42,ROW('03.Muestra'!$F$8:$F$42)-MIN(ROW('03.Muestra'!$D$8:$D$42))+1,""),ROW()-284)),"")</f>
        <v>https://www.portcastello.com/</v>
      </c>
      <c r="D309" s="130" t="str">
        <f t="shared" si="15"/>
        <v>N/T</v>
      </c>
      <c r="E309" s="107" t="str">
        <f t="shared" si="14"/>
        <v/>
      </c>
      <c r="F309" s="19"/>
      <c r="G309" s="19"/>
      <c r="H309" s="19"/>
      <c r="I309" s="19"/>
      <c r="J309" s="19"/>
      <c r="K309" s="233"/>
      <c r="L309" s="19"/>
      <c r="M309" s="19"/>
      <c r="N309" s="19"/>
      <c r="O309" s="19"/>
      <c r="P309" s="19"/>
      <c r="Q309" s="19"/>
      <c r="R309" s="19"/>
      <c r="S309" s="19"/>
      <c r="T309" s="19"/>
      <c r="U309" s="19"/>
      <c r="V309" s="19"/>
      <c r="W309" s="19"/>
      <c r="X309" s="19"/>
      <c r="Y309" s="19"/>
    </row>
    <row r="310" spans="1:25" ht="12" customHeight="1">
      <c r="A310" s="219" t="n" cm="1">
        <f t="array" ref="A310">IFERROR(INDEX('03.Muestra'!$B$8:$B$42,SMALL(IF("Página Web"='03.Muestra'!$D$8:$D$42,ROW('03.Muestra'!$B$8:$B$42)-MIN(ROW('03.Muestra'!$D$8:$D$42))+1,""),ROW()-284)),"")</f>
        <v>1.0</v>
      </c>
      <c r="B310" s="114" t="str" cm="1">
        <f t="array" ref="B310">IFERROR(INDEX('03.Muestra'!$C$8:$C$42,SMALL(IF("Página Web"='03.Muestra'!$D$8:$D$42,ROW('03.Muestra'!$C$8:$C$42)-MIN(ROW('03.Muestra'!$D$8:$D$42))+1,""),ROW()-284)),"")</f>
        <v>Home - PortCastelló</v>
      </c>
      <c r="C310" s="114" t="str" cm="1">
        <f t="array" ref="C310">IFERROR(INDEX('03.Muestra'!$F$8:$F$42,SMALL(IF("Página Web"='03.Muestra'!$D$8:$D$42,ROW('03.Muestra'!$F$8:$F$42)-MIN(ROW('03.Muestra'!$D$8:$D$42))+1,""),ROW()-284)),"")</f>
        <v>https://www.portcastello.com/</v>
      </c>
      <c r="D310" s="130" t="str">
        <f t="shared" si="15"/>
        <v>N/T</v>
      </c>
      <c r="E310" s="107" t="str">
        <f t="shared" si="14"/>
        <v/>
      </c>
      <c r="F310" s="19"/>
      <c r="G310" s="19"/>
      <c r="H310" s="19"/>
      <c r="I310" s="19"/>
      <c r="J310" s="19"/>
      <c r="K310" s="233"/>
      <c r="L310" s="19"/>
      <c r="M310" s="19"/>
      <c r="N310" s="19"/>
      <c r="O310" s="19"/>
      <c r="P310" s="19"/>
      <c r="Q310" s="19"/>
      <c r="R310" s="19"/>
      <c r="S310" s="19"/>
      <c r="T310" s="19"/>
      <c r="U310" s="19"/>
      <c r="V310" s="19"/>
      <c r="W310" s="19"/>
      <c r="X310" s="19"/>
      <c r="Y310" s="19"/>
    </row>
    <row r="311" spans="1:25" ht="12" customHeight="1">
      <c r="A311" s="219" t="n" cm="1">
        <f t="array" ref="A311">IFERROR(INDEX('03.Muestra'!$B$8:$B$42,SMALL(IF("Página Web"='03.Muestra'!$D$8:$D$42,ROW('03.Muestra'!$B$8:$B$42)-MIN(ROW('03.Muestra'!$D$8:$D$42))+1,""),ROW()-284)),"")</f>
        <v>1.0</v>
      </c>
      <c r="B311" s="114" t="str" cm="1">
        <f t="array" ref="B311">IFERROR(INDEX('03.Muestra'!$C$8:$C$42,SMALL(IF("Página Web"='03.Muestra'!$D$8:$D$42,ROW('03.Muestra'!$C$8:$C$42)-MIN(ROW('03.Muestra'!$D$8:$D$42))+1,""),ROW()-284)),"")</f>
        <v>Home - PortCastelló</v>
      </c>
      <c r="C311" s="114" t="str" cm="1">
        <f t="array" ref="C311">IFERROR(INDEX('03.Muestra'!$F$8:$F$42,SMALL(IF("Página Web"='03.Muestra'!$D$8:$D$42,ROW('03.Muestra'!$F$8:$F$42)-MIN(ROW('03.Muestra'!$D$8:$D$42))+1,""),ROW()-284)),"")</f>
        <v>https://www.portcastello.com/</v>
      </c>
      <c r="D311" s="130" t="str">
        <f t="shared" si="15"/>
        <v>N/T</v>
      </c>
      <c r="E311" s="107" t="str">
        <f t="shared" si="14"/>
        <v/>
      </c>
      <c r="F311" s="19"/>
      <c r="G311" s="19"/>
      <c r="H311" s="19"/>
      <c r="I311" s="19"/>
      <c r="J311" s="19"/>
      <c r="K311" s="233"/>
      <c r="L311" s="19"/>
      <c r="M311" s="19"/>
      <c r="N311" s="19"/>
      <c r="O311" s="19"/>
      <c r="P311" s="19"/>
      <c r="Q311" s="19"/>
      <c r="R311" s="19"/>
      <c r="S311" s="19"/>
      <c r="T311" s="19"/>
      <c r="U311" s="19"/>
      <c r="V311" s="19"/>
      <c r="W311" s="19"/>
      <c r="X311" s="19"/>
      <c r="Y311" s="19"/>
    </row>
    <row r="312" spans="1:25" ht="12" customHeight="1">
      <c r="A312" s="219" t="n" cm="1">
        <f t="array" ref="A312">IFERROR(INDEX('03.Muestra'!$B$8:$B$42,SMALL(IF("Página Web"='03.Muestra'!$D$8:$D$42,ROW('03.Muestra'!$B$8:$B$42)-MIN(ROW('03.Muestra'!$D$8:$D$42))+1,""),ROW()-284)),"")</f>
        <v>1.0</v>
      </c>
      <c r="B312" s="114" t="str" cm="1">
        <f t="array" ref="B312">IFERROR(INDEX('03.Muestra'!$C$8:$C$42,SMALL(IF("Página Web"='03.Muestra'!$D$8:$D$42,ROW('03.Muestra'!$C$8:$C$42)-MIN(ROW('03.Muestra'!$D$8:$D$42))+1,""),ROW()-284)),"")</f>
        <v>Home - PortCastelló</v>
      </c>
      <c r="C312" s="114" t="str" cm="1">
        <f t="array" ref="C312">IFERROR(INDEX('03.Muestra'!$F$8:$F$42,SMALL(IF("Página Web"='03.Muestra'!$D$8:$D$42,ROW('03.Muestra'!$F$8:$F$42)-MIN(ROW('03.Muestra'!$D$8:$D$42))+1,""),ROW()-284)),"")</f>
        <v>https://www.portcastello.com/</v>
      </c>
      <c r="D312" s="130" t="str">
        <f t="shared" si="15"/>
        <v>N/T</v>
      </c>
      <c r="E312" s="107" t="str">
        <f t="shared" si="14"/>
        <v/>
      </c>
      <c r="G312" s="19"/>
      <c r="H312" s="19"/>
      <c r="I312" s="19"/>
      <c r="J312" s="19"/>
      <c r="K312" s="233"/>
      <c r="L312" s="19"/>
      <c r="M312" s="19"/>
      <c r="N312" s="19"/>
      <c r="O312" s="19"/>
      <c r="P312" s="19"/>
      <c r="Q312" s="19"/>
      <c r="R312" s="19"/>
      <c r="S312" s="19"/>
      <c r="T312" s="19"/>
      <c r="U312" s="19"/>
      <c r="V312" s="19"/>
      <c r="W312" s="19"/>
      <c r="X312" s="19"/>
      <c r="Y312" s="19"/>
    </row>
    <row r="313" spans="1:25" ht="12" customHeight="1">
      <c r="A313" s="219" t="n" cm="1">
        <f t="array" ref="A313">IFERROR(INDEX('03.Muestra'!$B$8:$B$42,SMALL(IF("Página Web"='03.Muestra'!$D$8:$D$42,ROW('03.Muestra'!$B$8:$B$42)-MIN(ROW('03.Muestra'!$D$8:$D$42))+1,""),ROW()-284)),"")</f>
        <v>1.0</v>
      </c>
      <c r="B313" s="114" t="str" cm="1">
        <f t="array" ref="B313">IFERROR(INDEX('03.Muestra'!$C$8:$C$42,SMALL(IF("Página Web"='03.Muestra'!$D$8:$D$42,ROW('03.Muestra'!$C$8:$C$42)-MIN(ROW('03.Muestra'!$D$8:$D$42))+1,""),ROW()-284)),"")</f>
        <v>Home - PortCastelló</v>
      </c>
      <c r="C313" s="114" t="str" cm="1">
        <f t="array" ref="C313">IFERROR(INDEX('03.Muestra'!$F$8:$F$42,SMALL(IF("Página Web"='03.Muestra'!$D$8:$D$42,ROW('03.Muestra'!$F$8:$F$42)-MIN(ROW('03.Muestra'!$D$8:$D$42))+1,""),ROW()-284)),"")</f>
        <v>https://www.portcastello.com/</v>
      </c>
      <c r="D313" s="130" t="str">
        <f t="shared" si="15"/>
        <v>N/T</v>
      </c>
      <c r="E313" s="107" t="str">
        <f t="shared" si="14"/>
        <v/>
      </c>
      <c r="F313" s="124"/>
      <c r="G313" s="19"/>
      <c r="H313" s="19"/>
      <c r="I313" s="19"/>
      <c r="J313" s="19"/>
      <c r="K313" s="233"/>
      <c r="L313" s="19"/>
      <c r="M313" s="19"/>
      <c r="N313" s="19"/>
      <c r="O313" s="19"/>
      <c r="P313" s="19"/>
      <c r="Q313" s="19"/>
      <c r="R313" s="19"/>
      <c r="S313" s="19"/>
      <c r="T313" s="19"/>
      <c r="U313" s="19"/>
      <c r="V313" s="19"/>
      <c r="W313" s="19"/>
      <c r="X313" s="19"/>
      <c r="Y313" s="19"/>
    </row>
    <row r="314" spans="1:25" ht="12" customHeight="1">
      <c r="A314" s="219" t="n" cm="1">
        <f t="array" ref="A314">IFERROR(INDEX('03.Muestra'!$B$8:$B$42,SMALL(IF("Página Web"='03.Muestra'!$D$8:$D$42,ROW('03.Muestra'!$B$8:$B$42)-MIN(ROW('03.Muestra'!$D$8:$D$42))+1,""),ROW()-284)),"")</f>
        <v>1.0</v>
      </c>
      <c r="B314" s="114" t="str" cm="1">
        <f t="array" ref="B314">IFERROR(INDEX('03.Muestra'!$C$8:$C$42,SMALL(IF("Página Web"='03.Muestra'!$D$8:$D$42,ROW('03.Muestra'!$C$8:$C$42)-MIN(ROW('03.Muestra'!$D$8:$D$42))+1,""),ROW()-284)),"")</f>
        <v>Home - PortCastelló</v>
      </c>
      <c r="C314" s="114" t="str" cm="1">
        <f t="array" ref="C314">IFERROR(INDEX('03.Muestra'!$F$8:$F$42,SMALL(IF("Página Web"='03.Muestra'!$D$8:$D$42,ROW('03.Muestra'!$F$8:$F$42)-MIN(ROW('03.Muestra'!$D$8:$D$42))+1,""),ROW()-284)),"")</f>
        <v>https://www.portcastello.com/</v>
      </c>
      <c r="D314" s="130" t="str">
        <f t="shared" si="15"/>
        <v>N/T</v>
      </c>
      <c r="E314" s="107" t="str">
        <f t="shared" si="14"/>
        <v/>
      </c>
      <c r="F314" s="124"/>
      <c r="G314" s="19"/>
      <c r="H314" s="19"/>
      <c r="I314" s="19"/>
      <c r="J314" s="19"/>
      <c r="K314" s="233"/>
      <c r="L314" s="19"/>
      <c r="M314" s="19"/>
      <c r="N314" s="19"/>
      <c r="O314" s="19"/>
      <c r="P314" s="19"/>
      <c r="Q314" s="19"/>
      <c r="R314" s="19"/>
      <c r="S314" s="19"/>
      <c r="T314" s="19"/>
      <c r="U314" s="19"/>
      <c r="V314" s="19"/>
      <c r="W314" s="19"/>
      <c r="X314" s="19"/>
      <c r="Y314" s="19"/>
    </row>
    <row r="315" spans="1:25" ht="12" customHeight="1">
      <c r="A315" s="219" t="n" cm="1">
        <f t="array" ref="A315">IFERROR(INDEX('03.Muestra'!$B$8:$B$42,SMALL(IF("Página Web"='03.Muestra'!$D$8:$D$42,ROW('03.Muestra'!$B$8:$B$42)-MIN(ROW('03.Muestra'!$D$8:$D$42))+1,""),ROW()-284)),"")</f>
        <v>1.0</v>
      </c>
      <c r="B315" s="114" t="str" cm="1">
        <f t="array" ref="B315">IFERROR(INDEX('03.Muestra'!$C$8:$C$42,SMALL(IF("Página Web"='03.Muestra'!$D$8:$D$42,ROW('03.Muestra'!$C$8:$C$42)-MIN(ROW('03.Muestra'!$D$8:$D$42))+1,""),ROW()-284)),"")</f>
        <v>Home - PortCastelló</v>
      </c>
      <c r="C315" s="114" t="str" cm="1">
        <f t="array" ref="C315">IFERROR(INDEX('03.Muestra'!$F$8:$F$42,SMALL(IF("Página Web"='03.Muestra'!$D$8:$D$42,ROW('03.Muestra'!$F$8:$F$42)-MIN(ROW('03.Muestra'!$D$8:$D$42))+1,""),ROW()-284)),"")</f>
        <v>https://www.portcastello.com/</v>
      </c>
      <c r="D315" s="130" t="str">
        <f t="shared" si="15"/>
        <v>N/T</v>
      </c>
      <c r="E315" s="107" t="str">
        <f t="shared" si="14"/>
        <v/>
      </c>
      <c r="F315" s="124"/>
      <c r="G315" s="19"/>
      <c r="H315" s="19"/>
      <c r="I315" s="19"/>
      <c r="J315" s="19"/>
      <c r="K315" s="233"/>
      <c r="L315" s="19"/>
      <c r="M315" s="19"/>
      <c r="N315" s="19"/>
      <c r="O315" s="19"/>
      <c r="P315" s="19"/>
      <c r="Q315" s="19"/>
      <c r="R315" s="19"/>
      <c r="S315" s="19"/>
      <c r="T315" s="19"/>
      <c r="U315" s="19"/>
      <c r="V315" s="19"/>
      <c r="W315" s="19"/>
      <c r="X315" s="19"/>
      <c r="Y315" s="19"/>
    </row>
    <row r="316" spans="1:25" ht="12" customHeight="1">
      <c r="A316" s="219" t="n" cm="1">
        <f t="array" ref="A316">IFERROR(INDEX('03.Muestra'!$B$8:$B$42,SMALL(IF("Página Web"='03.Muestra'!$D$8:$D$42,ROW('03.Muestra'!$B$8:$B$42)-MIN(ROW('03.Muestra'!$D$8:$D$42))+1,""),ROW()-284)),"")</f>
        <v>1.0</v>
      </c>
      <c r="B316" s="114" t="str" cm="1">
        <f t="array" ref="B316">IFERROR(INDEX('03.Muestra'!$C$8:$C$42,SMALL(IF("Página Web"='03.Muestra'!$D$8:$D$42,ROW('03.Muestra'!$C$8:$C$42)-MIN(ROW('03.Muestra'!$D$8:$D$42))+1,""),ROW()-284)),"")</f>
        <v>Home - PortCastelló</v>
      </c>
      <c r="C316" s="114" t="str" cm="1">
        <f t="array" ref="C316">IFERROR(INDEX('03.Muestra'!$F$8:$F$42,SMALL(IF("Página Web"='03.Muestra'!$D$8:$D$42,ROW('03.Muestra'!$F$8:$F$42)-MIN(ROW('03.Muestra'!$D$8:$D$42))+1,""),ROW()-284)),"")</f>
        <v>https://www.portcastello.com/</v>
      </c>
      <c r="D316" s="130" t="str">
        <f t="shared" si="15"/>
        <v>N/T</v>
      </c>
      <c r="E316" s="107" t="str">
        <f t="shared" si="14"/>
        <v/>
      </c>
      <c r="F316" s="124"/>
      <c r="G316" s="19"/>
      <c r="H316" s="19"/>
      <c r="I316" s="19"/>
      <c r="J316" s="19"/>
      <c r="K316" s="233"/>
      <c r="L316" s="19"/>
      <c r="M316" s="19"/>
      <c r="N316" s="19"/>
      <c r="O316" s="19"/>
      <c r="P316" s="19"/>
      <c r="Q316" s="19"/>
      <c r="R316" s="19"/>
      <c r="S316" s="19"/>
      <c r="T316" s="19"/>
      <c r="U316" s="19"/>
      <c r="V316" s="19"/>
      <c r="W316" s="19"/>
      <c r="X316" s="19"/>
      <c r="Y316" s="19"/>
    </row>
    <row r="317" spans="1:25" ht="12" customHeight="1">
      <c r="A317" s="219" t="n" cm="1">
        <f t="array" ref="A317">IFERROR(INDEX('03.Muestra'!$B$8:$B$42,SMALL(IF("Página Web"='03.Muestra'!$D$8:$D$42,ROW('03.Muestra'!$B$8:$B$42)-MIN(ROW('03.Muestra'!$D$8:$D$42))+1,""),ROW()-284)),"")</f>
        <v>1.0</v>
      </c>
      <c r="B317" s="114" t="str" cm="1">
        <f t="array" ref="B317">IFERROR(INDEX('03.Muestra'!$C$8:$C$42,SMALL(IF("Página Web"='03.Muestra'!$D$8:$D$42,ROW('03.Muestra'!$C$8:$C$42)-MIN(ROW('03.Muestra'!$D$8:$D$42))+1,""),ROW()-284)),"")</f>
        <v>Home - PortCastelló</v>
      </c>
      <c r="C317" s="114" t="str" cm="1">
        <f t="array" ref="C317">IFERROR(INDEX('03.Muestra'!$F$8:$F$42,SMALL(IF("Página Web"='03.Muestra'!$D$8:$D$42,ROW('03.Muestra'!$F$8:$F$42)-MIN(ROW('03.Muestra'!$D$8:$D$42))+1,""),ROW()-284)),"")</f>
        <v>https://www.portcastello.com/</v>
      </c>
      <c r="D317" s="130" t="str">
        <f t="shared" si="15"/>
        <v>N/T</v>
      </c>
      <c r="E317" s="107" t="str">
        <f t="shared" si="14"/>
        <v/>
      </c>
      <c r="F317" s="124"/>
      <c r="G317" s="19"/>
      <c r="H317" s="19"/>
      <c r="I317" s="19"/>
      <c r="J317" s="19"/>
      <c r="K317" s="233"/>
      <c r="L317" s="19"/>
      <c r="M317" s="19"/>
      <c r="N317" s="19"/>
      <c r="O317" s="19"/>
      <c r="P317" s="19"/>
      <c r="Q317" s="19"/>
      <c r="R317" s="19"/>
      <c r="S317" s="19"/>
      <c r="T317" s="19"/>
      <c r="U317" s="19"/>
      <c r="V317" s="19"/>
      <c r="W317" s="19"/>
      <c r="X317" s="19"/>
      <c r="Y317" s="19"/>
    </row>
    <row r="318" spans="1:25" ht="12" customHeight="1">
      <c r="A318" s="219" t="str" cm="1">
        <f t="array" ref="A318">IFERROR(INDEX('03.Muestra'!$B$8:$B$42,SMALL(IF("Página Web"='03.Muestra'!$D$8:$D$42,ROW('03.Muestra'!$B$8:$B$42)-MIN(ROW('03.Muestra'!$D$8:$D$42))+1,""),ROW()-284)),"")</f>
        <v/>
      </c>
      <c r="B318" s="114" t="str" cm="1">
        <f t="array" ref="B318">IFERROR(INDEX('03.Muestra'!$C$8:$C$42,SMALL(IF("Página Web"='03.Muestra'!$D$8:$D$42,ROW('03.Muestra'!$C$8:$C$42)-MIN(ROW('03.Muestra'!$D$8:$D$42))+1,""),ROW()-284)),"")</f>
        <v/>
      </c>
      <c r="C318" s="114" t="str" cm="1">
        <f t="array" ref="C318">IFERROR(INDEX('03.Muestra'!$F$8:$F$42,SMALL(IF("Página Web"='03.Muestra'!$D$8:$D$42,ROW('03.Muestra'!$F$8:$F$42)-MIN(ROW('03.Muestra'!$D$8:$D$42))+1,""),ROW()-284)),"")</f>
        <v/>
      </c>
      <c r="D318" s="130" t="str">
        <f t="shared" si="15"/>
        <v/>
      </c>
      <c r="E318" s="107" t="str">
        <f t="shared" si="14"/>
        <v/>
      </c>
      <c r="F318" s="124"/>
      <c r="G318" s="19"/>
      <c r="H318" s="19"/>
      <c r="I318" s="19"/>
      <c r="J318" s="19"/>
      <c r="K318" s="233"/>
      <c r="L318" s="19"/>
      <c r="M318" s="19"/>
      <c r="N318" s="19"/>
      <c r="O318" s="19"/>
      <c r="P318" s="19"/>
      <c r="Q318" s="19"/>
      <c r="R318" s="19"/>
      <c r="S318" s="19"/>
      <c r="T318" s="19"/>
      <c r="U318" s="19"/>
      <c r="V318" s="19"/>
      <c r="W318" s="19"/>
      <c r="X318" s="19"/>
      <c r="Y318" s="19"/>
    </row>
    <row r="319" spans="1:25" ht="12" customHeight="1">
      <c r="A319" s="219" t="str" cm="1">
        <f t="array" ref="A319">IFERROR(INDEX('03.Muestra'!$B$8:$B$42,SMALL(IF("Página Web"='03.Muestra'!$D$8:$D$42,ROW('03.Muestra'!$B$8:$B$42)-MIN(ROW('03.Muestra'!$D$8:$D$42))+1,""),ROW()-284)),"")</f>
        <v/>
      </c>
      <c r="B319" s="114" t="str" cm="1">
        <f t="array" ref="B319">IFERROR(INDEX('03.Muestra'!$C$8:$C$42,SMALL(IF("Página Web"='03.Muestra'!$D$8:$D$42,ROW('03.Muestra'!$C$8:$C$42)-MIN(ROW('03.Muestra'!$D$8:$D$42))+1,""),ROW()-284)),"")</f>
        <v/>
      </c>
      <c r="C319" s="114" t="str" cm="1">
        <f t="array" ref="C319">IFERROR(INDEX('03.Muestra'!$F$8:$F$42,SMALL(IF("Página Web"='03.Muestra'!$D$8:$D$42,ROW('03.Muestra'!$F$8:$F$42)-MIN(ROW('03.Muestra'!$D$8:$D$42))+1,""),ROW()-284)),"")</f>
        <v/>
      </c>
      <c r="D319" s="130" t="str">
        <f t="shared" si="15"/>
        <v/>
      </c>
      <c r="E319" s="107" t="str">
        <f t="shared" si="14"/>
        <v/>
      </c>
      <c r="F319" s="19"/>
      <c r="G319" s="19"/>
      <c r="H319" s="19"/>
      <c r="I319" s="19"/>
      <c r="J319" s="19"/>
      <c r="K319" s="233"/>
      <c r="L319" s="19"/>
      <c r="M319" s="19"/>
      <c r="N319" s="19"/>
      <c r="O319" s="19"/>
      <c r="P319" s="19"/>
      <c r="Q319" s="19"/>
      <c r="R319" s="19"/>
      <c r="S319" s="19"/>
      <c r="T319" s="19"/>
      <c r="U319" s="19"/>
      <c r="V319" s="19"/>
      <c r="W319" s="19"/>
      <c r="X319" s="19"/>
      <c r="Y319" s="19"/>
    </row>
    <row r="320" spans="1:25" ht="12" customHeight="1">
      <c r="B320" s="19"/>
      <c r="C320" s="19"/>
      <c r="D320" s="107"/>
      <c r="E320" s="107"/>
      <c r="F320" s="19"/>
      <c r="G320" s="19"/>
      <c r="H320" s="19"/>
      <c r="I320" s="19"/>
      <c r="J320" s="19"/>
      <c r="K320" s="233"/>
      <c r="L320" s="19"/>
      <c r="M320" s="19"/>
      <c r="N320" s="19"/>
      <c r="O320" s="19"/>
      <c r="P320" s="19"/>
      <c r="Q320" s="19"/>
      <c r="R320" s="19"/>
      <c r="S320" s="19"/>
      <c r="T320" s="19"/>
      <c r="U320" s="19"/>
      <c r="V320" s="19"/>
      <c r="W320" s="19"/>
      <c r="X320" s="19"/>
      <c r="Y320" s="19"/>
    </row>
    <row r="321" spans="1:25" ht="12" customHeight="1">
      <c r="B321" s="19"/>
      <c r="C321" s="19"/>
      <c r="D321" s="107"/>
      <c r="E321" s="112"/>
      <c r="F321" s="19"/>
      <c r="G321" s="19"/>
      <c r="H321" s="19"/>
      <c r="I321" s="19"/>
      <c r="J321" s="19"/>
      <c r="K321" s="233"/>
      <c r="L321" s="19"/>
      <c r="M321" s="19"/>
      <c r="N321" s="19"/>
      <c r="O321" s="19"/>
      <c r="P321" s="19"/>
      <c r="Q321" s="19"/>
      <c r="R321" s="19"/>
      <c r="S321" s="19"/>
      <c r="T321" s="19"/>
      <c r="U321" s="19"/>
      <c r="V321" s="19"/>
      <c r="W321" s="19"/>
      <c r="X321" s="19"/>
      <c r="Y321" s="19"/>
    </row>
    <row r="322" spans="1:25" ht="32.25" customHeight="1">
      <c r="A322" s="218" t="s">
        <v>268</v>
      </c>
      <c r="B322" s="24" t="s">
        <v>90</v>
      </c>
      <c r="C322" s="25" t="s">
        <v>261</v>
      </c>
      <c r="D322" s="26" t="s">
        <v>32</v>
      </c>
      <c r="E322" s="123"/>
      <c r="K322" s="233"/>
      <c r="L322" s="19"/>
      <c r="M322" s="19"/>
      <c r="N322" s="19"/>
      <c r="O322" s="19"/>
      <c r="P322" s="19"/>
      <c r="Q322" s="19"/>
      <c r="R322" s="19"/>
      <c r="S322" s="19"/>
      <c r="T322" s="19"/>
      <c r="U322" s="19"/>
      <c r="V322" s="19"/>
      <c r="W322" s="19"/>
      <c r="X322" s="19"/>
      <c r="Y322" s="19"/>
    </row>
    <row r="323" spans="1:25" ht="12" customHeight="1">
      <c r="A323" s="219" t="n" cm="1">
        <f t="array" ref="A323">IFERROR(INDEX('03.Muestra'!$B$8:$B$42,SMALL(IF("Página Web"='03.Muestra'!$D$8:$D$42,ROW('03.Muestra'!$B$8:$B$42)-MIN(ROW('03.Muestra'!$D$8:$D$42))+1,""),ROW()-322)),"")</f>
        <v>1.0</v>
      </c>
      <c r="B323" s="114" t="str" cm="1">
        <f t="array" ref="B323">IFERROR(INDEX('03.Muestra'!$C$8:$C$42,SMALL(IF("Página Web"='03.Muestra'!$D$8:$D$42,ROW('03.Muestra'!$C$8:$C$42)-MIN(ROW('03.Muestra'!$D$8:$D$42))+1,""),ROW()-322)),"")</f>
        <v>Home - PortCastelló</v>
      </c>
      <c r="C323" s="114" t="str" cm="1">
        <f t="array" ref="C323">IFERROR(INDEX('03.Muestra'!$F$8:$F$42,SMALL(IF("Página Web"='03.Muestra'!$D$8:$D$42,ROW('03.Muestra'!$F$8:$F$42)-MIN(ROW('03.Muestra'!$D$8:$D$42))+1,""),ROW()-322)),"")</f>
        <v>https://www.portcastello.com/</v>
      </c>
      <c r="D323" s="130" t="str">
        <f>IF(AND(B323&lt;&gt;"",C323&lt;&gt;""),"N/T","")</f>
        <v>N/T</v>
      </c>
      <c r="E323" s="107" t="str">
        <f t="shared" ref="E323:E357" si="16">IF(D323&lt;&gt;"",IF(AND(B323&lt;&gt;"",C323&lt;&gt;""),"","ERR"),"")</f>
        <v/>
      </c>
      <c r="F323" s="115" t="s">
        <v>33</v>
      </c>
      <c r="G323" s="116" t="s">
        <v>37</v>
      </c>
      <c r="H323" s="117" t="s">
        <v>35</v>
      </c>
      <c r="I323" s="118" t="s">
        <v>28</v>
      </c>
      <c r="J323" s="119" t="s">
        <v>26</v>
      </c>
      <c r="K323" s="226" t="s">
        <v>474</v>
      </c>
      <c r="L323" s="19"/>
      <c r="M323" s="19"/>
      <c r="N323" s="19"/>
      <c r="O323" s="19"/>
      <c r="P323" s="19"/>
      <c r="Q323" s="19"/>
      <c r="R323" s="19"/>
      <c r="S323" s="19"/>
      <c r="T323" s="19"/>
      <c r="U323" s="19"/>
      <c r="V323" s="19"/>
      <c r="W323" s="19"/>
      <c r="X323" s="19"/>
      <c r="Y323" s="19"/>
    </row>
    <row r="324" spans="1:25" ht="12" customHeight="1">
      <c r="A324" s="219" t="n" cm="1">
        <f t="array" ref="A324">IFERROR(INDEX('03.Muestra'!$B$8:$B$42,SMALL(IF("Página Web"='03.Muestra'!$D$8:$D$42,ROW('03.Muestra'!$B$8:$B$42)-MIN(ROW('03.Muestra'!$D$8:$D$42))+1,""),ROW()-322)),"")</f>
        <v>1.0</v>
      </c>
      <c r="B324" s="114" t="str" cm="1">
        <f t="array" ref="B324">IFERROR(INDEX('03.Muestra'!$C$8:$C$42,SMALL(IF("Página Web"='03.Muestra'!$D$8:$D$42,ROW('03.Muestra'!$C$8:$C$42)-MIN(ROW('03.Muestra'!$D$8:$D$42))+1,""),ROW()-322)),"")</f>
        <v>Home - PortCastelló</v>
      </c>
      <c r="C324" s="114" t="str" cm="1">
        <f t="array" ref="C324">IFERROR(INDEX('03.Muestra'!$F$8:$F$42,SMALL(IF("Página Web"='03.Muestra'!$D$8:$D$42,ROW('03.Muestra'!$F$8:$F$42)-MIN(ROW('03.Muestra'!$D$8:$D$42))+1,""),ROW()-322)),"")</f>
        <v>https://www.portcastello.com/</v>
      </c>
      <c r="D324" s="130" t="str">
        <f t="shared" ref="D324:D357" si="17">IF(AND(B324&lt;&gt;"",C324&lt;&gt;""),"N/T","")</f>
        <v>N/T</v>
      </c>
      <c r="E324" s="107" t="str">
        <f t="shared" si="16"/>
        <v/>
      </c>
      <c r="F324" s="120" t="n">
        <f ca="1">COUNTIF($D323:INDIRECT("$D" &amp;  SUM(ROW()-1,'03.Muestra'!$D$45)-1),F323)</f>
        <v>33.0</v>
      </c>
      <c r="G324" s="120" t="n">
        <f ca="1">COUNTIF($D323:INDIRECT("$D" &amp;  SUM(ROW()-1,'03.Muestra'!$D$45)-1),G323)</f>
        <v>0.0</v>
      </c>
      <c r="H324" s="120" t="n">
        <f ca="1">COUNTIF($D323:INDIRECT("$D" &amp;  SUM(ROW()-1,'03.Muestra'!$D$45)-1),H323)</f>
        <v>0.0</v>
      </c>
      <c r="I324" s="120" t="n">
        <f ca="1">COUNTIF($D323:INDIRECT("$D" &amp;  SUM(ROW()-1,'03.Muestra'!$D$45)-1),I323)</f>
        <v>0.0</v>
      </c>
      <c r="J324" s="120" t="n">
        <f ca="1">COUNTIF($D323:INDIRECT("$D" &amp;  SUM(ROW()-1,'03.Muestra'!$D$45)-1),J323)</f>
        <v>0.0</v>
      </c>
      <c r="K324" s="227" t="n">
        <f ca="1">IF(COUNTIF('03.Muestra'!$D$8:$D$42,"Página Web")=0,0,COUNTBLANK($D323:INDIRECT("$D" &amp;  SUM(ROW()-1,COUNTIF('03.Muestra'!$D$8:$D$42,"Página Web"))-1)))</f>
        <v>0.0</v>
      </c>
      <c r="L324" s="19"/>
      <c r="M324" s="19"/>
      <c r="N324" s="19"/>
      <c r="O324" s="19"/>
      <c r="P324" s="19"/>
      <c r="Q324" s="19"/>
      <c r="R324" s="19"/>
      <c r="S324" s="19"/>
      <c r="T324" s="19"/>
      <c r="U324" s="19"/>
      <c r="V324" s="19"/>
      <c r="W324" s="19"/>
      <c r="X324" s="19"/>
      <c r="Y324" s="19"/>
    </row>
    <row r="325" spans="1:25" ht="12" customHeight="1">
      <c r="A325" s="219" t="n" cm="1">
        <f t="array" ref="A325">IFERROR(INDEX('03.Muestra'!$B$8:$B$42,SMALL(IF("Página Web"='03.Muestra'!$D$8:$D$42,ROW('03.Muestra'!$B$8:$B$42)-MIN(ROW('03.Muestra'!$D$8:$D$42))+1,""),ROW()-322)),"")</f>
        <v>1.0</v>
      </c>
      <c r="B325" s="114" t="str" cm="1">
        <f t="array" ref="B325">IFERROR(INDEX('03.Muestra'!$C$8:$C$42,SMALL(IF("Página Web"='03.Muestra'!$D$8:$D$42,ROW('03.Muestra'!$C$8:$C$42)-MIN(ROW('03.Muestra'!$D$8:$D$42))+1,""),ROW()-322)),"")</f>
        <v>Home - PortCastelló</v>
      </c>
      <c r="C325" s="114" t="str" cm="1">
        <f t="array" ref="C325">IFERROR(INDEX('03.Muestra'!$F$8:$F$42,SMALL(IF("Página Web"='03.Muestra'!$D$8:$D$42,ROW('03.Muestra'!$F$8:$F$42)-MIN(ROW('03.Muestra'!$D$8:$D$42))+1,""),ROW()-322)),"")</f>
        <v>https://www.portcastello.com/</v>
      </c>
      <c r="D325" s="130" t="str">
        <f t="shared" si="17"/>
        <v>N/T</v>
      </c>
      <c r="E325" s="107" t="str">
        <f t="shared" si="16"/>
        <v/>
      </c>
      <c r="G325" s="19"/>
      <c r="H325" s="19"/>
      <c r="I325" s="19"/>
      <c r="J325" s="19"/>
      <c r="K325" s="233"/>
      <c r="L325" s="19"/>
      <c r="M325" s="19"/>
      <c r="N325" s="19"/>
      <c r="O325" s="19"/>
      <c r="P325" s="19"/>
      <c r="Q325" s="19"/>
      <c r="R325" s="19"/>
      <c r="S325" s="19"/>
      <c r="T325" s="19"/>
      <c r="U325" s="19"/>
      <c r="V325" s="19"/>
      <c r="W325" s="19"/>
      <c r="X325" s="19"/>
      <c r="Y325" s="19"/>
    </row>
    <row r="326" spans="1:25" ht="12" customHeight="1">
      <c r="A326" s="219" t="n" cm="1">
        <f t="array" ref="A326">IFERROR(INDEX('03.Muestra'!$B$8:$B$42,SMALL(IF("Página Web"='03.Muestra'!$D$8:$D$42,ROW('03.Muestra'!$B$8:$B$42)-MIN(ROW('03.Muestra'!$D$8:$D$42))+1,""),ROW()-322)),"")</f>
        <v>1.0</v>
      </c>
      <c r="B326" s="114" t="str" cm="1">
        <f t="array" ref="B326">IFERROR(INDEX('03.Muestra'!$C$8:$C$42,SMALL(IF("Página Web"='03.Muestra'!$D$8:$D$42,ROW('03.Muestra'!$C$8:$C$42)-MIN(ROW('03.Muestra'!$D$8:$D$42))+1,""),ROW()-322)),"")</f>
        <v>Home - PortCastelló</v>
      </c>
      <c r="C326" s="114" t="str" cm="1">
        <f t="array" ref="C326">IFERROR(INDEX('03.Muestra'!$F$8:$F$42,SMALL(IF("Página Web"='03.Muestra'!$D$8:$D$42,ROW('03.Muestra'!$F$8:$F$42)-MIN(ROW('03.Muestra'!$D$8:$D$42))+1,""),ROW()-322)),"")</f>
        <v>https://www.portcastello.com/</v>
      </c>
      <c r="D326" s="130" t="str">
        <f t="shared" si="17"/>
        <v>N/T</v>
      </c>
      <c r="E326" s="107" t="str">
        <f t="shared" si="16"/>
        <v/>
      </c>
      <c r="G326" s="19"/>
      <c r="H326" s="19"/>
      <c r="I326" s="19"/>
      <c r="J326" s="19"/>
      <c r="K326" s="233"/>
      <c r="L326" s="19"/>
      <c r="M326" s="19"/>
      <c r="N326" s="19"/>
      <c r="O326" s="19"/>
      <c r="P326" s="19"/>
      <c r="Q326" s="19"/>
      <c r="R326" s="19"/>
      <c r="S326" s="19"/>
      <c r="T326" s="19"/>
      <c r="U326" s="19"/>
      <c r="V326" s="19"/>
      <c r="W326" s="19"/>
      <c r="X326" s="19"/>
      <c r="Y326" s="19"/>
    </row>
    <row r="327" spans="1:25" ht="12" customHeight="1">
      <c r="A327" s="219" t="n" cm="1">
        <f t="array" ref="A327">IFERROR(INDEX('03.Muestra'!$B$8:$B$42,SMALL(IF("Página Web"='03.Muestra'!$D$8:$D$42,ROW('03.Muestra'!$B$8:$B$42)-MIN(ROW('03.Muestra'!$D$8:$D$42))+1,""),ROW()-322)),"")</f>
        <v>1.0</v>
      </c>
      <c r="B327" s="114" t="str" cm="1">
        <f t="array" ref="B327">IFERROR(INDEX('03.Muestra'!$C$8:$C$42,SMALL(IF("Página Web"='03.Muestra'!$D$8:$D$42,ROW('03.Muestra'!$C$8:$C$42)-MIN(ROW('03.Muestra'!$D$8:$D$42))+1,""),ROW()-322)),"")</f>
        <v>Home - PortCastelló</v>
      </c>
      <c r="C327" s="114" t="str" cm="1">
        <f t="array" ref="C327">IFERROR(INDEX('03.Muestra'!$F$8:$F$42,SMALL(IF("Página Web"='03.Muestra'!$D$8:$D$42,ROW('03.Muestra'!$F$8:$F$42)-MIN(ROW('03.Muestra'!$D$8:$D$42))+1,""),ROW()-322)),"")</f>
        <v>https://www.portcastello.com/</v>
      </c>
      <c r="D327" s="130" t="str">
        <f t="shared" si="17"/>
        <v>N/T</v>
      </c>
      <c r="E327" s="107" t="str">
        <f t="shared" si="16"/>
        <v/>
      </c>
      <c r="G327" s="19"/>
      <c r="H327" s="19"/>
      <c r="I327" s="19"/>
      <c r="J327" s="19"/>
      <c r="K327" s="233"/>
      <c r="L327" s="19"/>
      <c r="M327" s="19"/>
      <c r="N327" s="19"/>
      <c r="O327" s="19"/>
      <c r="P327" s="19"/>
      <c r="Q327" s="19"/>
      <c r="R327" s="19"/>
      <c r="S327" s="19"/>
      <c r="T327" s="19"/>
      <c r="U327" s="19"/>
      <c r="V327" s="19"/>
      <c r="W327" s="19"/>
      <c r="X327" s="19"/>
      <c r="Y327" s="19"/>
    </row>
    <row r="328" spans="1:25" ht="12" customHeight="1">
      <c r="A328" s="219" t="n" cm="1">
        <f t="array" ref="A328">IFERROR(INDEX('03.Muestra'!$B$8:$B$42,SMALL(IF("Página Web"='03.Muestra'!$D$8:$D$42,ROW('03.Muestra'!$B$8:$B$42)-MIN(ROW('03.Muestra'!$D$8:$D$42))+1,""),ROW()-322)),"")</f>
        <v>1.0</v>
      </c>
      <c r="B328" s="114" t="str" cm="1">
        <f t="array" ref="B328">IFERROR(INDEX('03.Muestra'!$C$8:$C$42,SMALL(IF("Página Web"='03.Muestra'!$D$8:$D$42,ROW('03.Muestra'!$C$8:$C$42)-MIN(ROW('03.Muestra'!$D$8:$D$42))+1,""),ROW()-322)),"")</f>
        <v>Home - PortCastelló</v>
      </c>
      <c r="C328" s="114" t="str" cm="1">
        <f t="array" ref="C328">IFERROR(INDEX('03.Muestra'!$F$8:$F$42,SMALL(IF("Página Web"='03.Muestra'!$D$8:$D$42,ROW('03.Muestra'!$F$8:$F$42)-MIN(ROW('03.Muestra'!$D$8:$D$42))+1,""),ROW()-322)),"")</f>
        <v>https://www.portcastello.com/</v>
      </c>
      <c r="D328" s="130" t="str">
        <f t="shared" si="17"/>
        <v>N/T</v>
      </c>
      <c r="E328" s="107" t="str">
        <f t="shared" si="16"/>
        <v/>
      </c>
      <c r="G328" s="19"/>
      <c r="H328" s="19"/>
      <c r="I328" s="19"/>
      <c r="J328" s="19"/>
      <c r="K328" s="233"/>
      <c r="L328" s="19"/>
      <c r="M328" s="19"/>
      <c r="N328" s="19"/>
      <c r="O328" s="19"/>
      <c r="P328" s="19"/>
      <c r="Q328" s="19"/>
      <c r="R328" s="19"/>
      <c r="S328" s="19"/>
      <c r="T328" s="19"/>
      <c r="U328" s="19"/>
      <c r="V328" s="19"/>
      <c r="W328" s="19"/>
      <c r="X328" s="19"/>
      <c r="Y328" s="19"/>
    </row>
    <row r="329" spans="1:25" ht="12" customHeight="1">
      <c r="A329" s="219" t="n" cm="1">
        <f t="array" ref="A329">IFERROR(INDEX('03.Muestra'!$B$8:$B$42,SMALL(IF("Página Web"='03.Muestra'!$D$8:$D$42,ROW('03.Muestra'!$B$8:$B$42)-MIN(ROW('03.Muestra'!$D$8:$D$42))+1,""),ROW()-322)),"")</f>
        <v>1.0</v>
      </c>
      <c r="B329" s="114" t="str" cm="1">
        <f t="array" ref="B329">IFERROR(INDEX('03.Muestra'!$C$8:$C$42,SMALL(IF("Página Web"='03.Muestra'!$D$8:$D$42,ROW('03.Muestra'!$C$8:$C$42)-MIN(ROW('03.Muestra'!$D$8:$D$42))+1,""),ROW()-322)),"")</f>
        <v>Home - PortCastelló</v>
      </c>
      <c r="C329" s="114" t="str" cm="1">
        <f t="array" ref="C329">IFERROR(INDEX('03.Muestra'!$F$8:$F$42,SMALL(IF("Página Web"='03.Muestra'!$D$8:$D$42,ROW('03.Muestra'!$F$8:$F$42)-MIN(ROW('03.Muestra'!$D$8:$D$42))+1,""),ROW()-322)),"")</f>
        <v>https://www.portcastello.com/</v>
      </c>
      <c r="D329" s="130" t="str">
        <f t="shared" si="17"/>
        <v>N/T</v>
      </c>
      <c r="E329" s="107" t="str">
        <f t="shared" si="16"/>
        <v/>
      </c>
      <c r="F329" s="19"/>
      <c r="G329" s="19"/>
      <c r="H329" s="19"/>
      <c r="I329" s="19"/>
      <c r="J329" s="19"/>
      <c r="K329" s="233"/>
      <c r="L329" s="19"/>
      <c r="M329" s="19"/>
      <c r="N329" s="19"/>
      <c r="O329" s="19"/>
      <c r="P329" s="19"/>
      <c r="Q329" s="19"/>
      <c r="R329" s="19"/>
      <c r="S329" s="19"/>
      <c r="T329" s="19"/>
      <c r="U329" s="19"/>
      <c r="V329" s="19"/>
      <c r="W329" s="19"/>
      <c r="X329" s="19"/>
      <c r="Y329" s="19"/>
    </row>
    <row r="330" spans="1:25" ht="12" customHeight="1">
      <c r="A330" s="219" t="n" cm="1">
        <f t="array" ref="A330">IFERROR(INDEX('03.Muestra'!$B$8:$B$42,SMALL(IF("Página Web"='03.Muestra'!$D$8:$D$42,ROW('03.Muestra'!$B$8:$B$42)-MIN(ROW('03.Muestra'!$D$8:$D$42))+1,""),ROW()-322)),"")</f>
        <v>1.0</v>
      </c>
      <c r="B330" s="114" t="str" cm="1">
        <f t="array" ref="B330">IFERROR(INDEX('03.Muestra'!$C$8:$C$42,SMALL(IF("Página Web"='03.Muestra'!$D$8:$D$42,ROW('03.Muestra'!$C$8:$C$42)-MIN(ROW('03.Muestra'!$D$8:$D$42))+1,""),ROW()-322)),"")</f>
        <v>Home - PortCastelló</v>
      </c>
      <c r="C330" s="114" t="str" cm="1">
        <f t="array" ref="C330">IFERROR(INDEX('03.Muestra'!$F$8:$F$42,SMALL(IF("Página Web"='03.Muestra'!$D$8:$D$42,ROW('03.Muestra'!$F$8:$F$42)-MIN(ROW('03.Muestra'!$D$8:$D$42))+1,""),ROW()-322)),"")</f>
        <v>https://www.portcastello.com/</v>
      </c>
      <c r="D330" s="130" t="str">
        <f t="shared" si="17"/>
        <v>N/T</v>
      </c>
      <c r="E330" s="107" t="str">
        <f t="shared" si="16"/>
        <v/>
      </c>
      <c r="F330" s="19"/>
      <c r="G330" s="19"/>
      <c r="H330" s="19"/>
      <c r="I330" s="19"/>
      <c r="J330" s="19"/>
      <c r="K330" s="233"/>
      <c r="L330" s="19"/>
      <c r="M330" s="19"/>
      <c r="N330" s="19"/>
      <c r="O330" s="19"/>
      <c r="P330" s="19"/>
      <c r="Q330" s="19"/>
      <c r="R330" s="19"/>
      <c r="S330" s="19"/>
      <c r="T330" s="19"/>
      <c r="U330" s="19"/>
      <c r="V330" s="19"/>
      <c r="W330" s="19"/>
      <c r="X330" s="19"/>
      <c r="Y330" s="19"/>
    </row>
    <row r="331" spans="1:25" ht="12" customHeight="1">
      <c r="A331" s="219" t="n" cm="1">
        <f t="array" ref="A331">IFERROR(INDEX('03.Muestra'!$B$8:$B$42,SMALL(IF("Página Web"='03.Muestra'!$D$8:$D$42,ROW('03.Muestra'!$B$8:$B$42)-MIN(ROW('03.Muestra'!$D$8:$D$42))+1,""),ROW()-322)),"")</f>
        <v>1.0</v>
      </c>
      <c r="B331" s="114" t="str" cm="1">
        <f t="array" ref="B331">IFERROR(INDEX('03.Muestra'!$C$8:$C$42,SMALL(IF("Página Web"='03.Muestra'!$D$8:$D$42,ROW('03.Muestra'!$C$8:$C$42)-MIN(ROW('03.Muestra'!$D$8:$D$42))+1,""),ROW()-322)),"")</f>
        <v>Home - PortCastelló</v>
      </c>
      <c r="C331" s="114" t="str" cm="1">
        <f t="array" ref="C331">IFERROR(INDEX('03.Muestra'!$F$8:$F$42,SMALL(IF("Página Web"='03.Muestra'!$D$8:$D$42,ROW('03.Muestra'!$F$8:$F$42)-MIN(ROW('03.Muestra'!$D$8:$D$42))+1,""),ROW()-322)),"")</f>
        <v>https://www.portcastello.com/</v>
      </c>
      <c r="D331" s="130" t="str">
        <f t="shared" si="17"/>
        <v>N/T</v>
      </c>
      <c r="E331" s="107" t="str">
        <f t="shared" si="16"/>
        <v/>
      </c>
      <c r="F331" s="19"/>
      <c r="G331" s="19"/>
      <c r="H331" s="19"/>
      <c r="I331" s="19"/>
      <c r="J331" s="19"/>
      <c r="K331" s="233"/>
      <c r="L331" s="19"/>
      <c r="M331" s="19"/>
      <c r="N331" s="19"/>
      <c r="O331" s="19"/>
      <c r="P331" s="19"/>
      <c r="Q331" s="19"/>
      <c r="R331" s="19"/>
      <c r="S331" s="19"/>
      <c r="T331" s="19"/>
      <c r="U331" s="19"/>
      <c r="V331" s="19"/>
      <c r="W331" s="19"/>
      <c r="X331" s="19"/>
      <c r="Y331" s="19"/>
    </row>
    <row r="332" spans="1:25" ht="12" customHeight="1">
      <c r="A332" s="219" t="n" cm="1">
        <f t="array" ref="A332">IFERROR(INDEX('03.Muestra'!$B$8:$B$42,SMALL(IF("Página Web"='03.Muestra'!$D$8:$D$42,ROW('03.Muestra'!$B$8:$B$42)-MIN(ROW('03.Muestra'!$D$8:$D$42))+1,""),ROW()-322)),"")</f>
        <v>1.0</v>
      </c>
      <c r="B332" s="114" t="str" cm="1">
        <f t="array" ref="B332">IFERROR(INDEX('03.Muestra'!$C$8:$C$42,SMALL(IF("Página Web"='03.Muestra'!$D$8:$D$42,ROW('03.Muestra'!$C$8:$C$42)-MIN(ROW('03.Muestra'!$D$8:$D$42))+1,""),ROW()-322)),"")</f>
        <v>Home - PortCastelló</v>
      </c>
      <c r="C332" s="114" t="str" cm="1">
        <f t="array" ref="C332">IFERROR(INDEX('03.Muestra'!$F$8:$F$42,SMALL(IF("Página Web"='03.Muestra'!$D$8:$D$42,ROW('03.Muestra'!$F$8:$F$42)-MIN(ROW('03.Muestra'!$D$8:$D$42))+1,""),ROW()-322)),"")</f>
        <v>https://www.portcastello.com/</v>
      </c>
      <c r="D332" s="130" t="str">
        <f t="shared" si="17"/>
        <v>N/T</v>
      </c>
      <c r="E332" s="107" t="str">
        <f t="shared" si="16"/>
        <v/>
      </c>
      <c r="F332" s="19"/>
      <c r="G332" s="19"/>
      <c r="H332" s="19"/>
      <c r="I332" s="19"/>
      <c r="J332" s="19"/>
      <c r="K332" s="233"/>
      <c r="L332" s="19"/>
      <c r="M332" s="19"/>
      <c r="N332" s="19"/>
      <c r="O332" s="19"/>
      <c r="P332" s="19"/>
      <c r="Q332" s="19"/>
      <c r="R332" s="19"/>
      <c r="S332" s="19"/>
      <c r="T332" s="19"/>
      <c r="U332" s="19"/>
      <c r="V332" s="19"/>
      <c r="W332" s="19"/>
      <c r="X332" s="19"/>
      <c r="Y332" s="19"/>
    </row>
    <row r="333" spans="1:25" ht="12" customHeight="1">
      <c r="A333" s="219" t="n" cm="1">
        <f t="array" ref="A333">IFERROR(INDEX('03.Muestra'!$B$8:$B$42,SMALL(IF("Página Web"='03.Muestra'!$D$8:$D$42,ROW('03.Muestra'!$B$8:$B$42)-MIN(ROW('03.Muestra'!$D$8:$D$42))+1,""),ROW()-322)),"")</f>
        <v>1.0</v>
      </c>
      <c r="B333" s="114" t="str" cm="1">
        <f t="array" ref="B333">IFERROR(INDEX('03.Muestra'!$C$8:$C$42,SMALL(IF("Página Web"='03.Muestra'!$D$8:$D$42,ROW('03.Muestra'!$C$8:$C$42)-MIN(ROW('03.Muestra'!$D$8:$D$42))+1,""),ROW()-322)),"")</f>
        <v>Home - PortCastelló</v>
      </c>
      <c r="C333" s="114" t="str" cm="1">
        <f t="array" ref="C333">IFERROR(INDEX('03.Muestra'!$F$8:$F$42,SMALL(IF("Página Web"='03.Muestra'!$D$8:$D$42,ROW('03.Muestra'!$F$8:$F$42)-MIN(ROW('03.Muestra'!$D$8:$D$42))+1,""),ROW()-322)),"")</f>
        <v>https://www.portcastello.com/</v>
      </c>
      <c r="D333" s="130" t="str">
        <f t="shared" si="17"/>
        <v>N/T</v>
      </c>
      <c r="E333" s="107" t="str">
        <f t="shared" si="16"/>
        <v/>
      </c>
      <c r="F333" s="19"/>
      <c r="G333" s="19"/>
      <c r="H333" s="19"/>
      <c r="I333" s="19"/>
      <c r="J333" s="19"/>
      <c r="K333" s="233"/>
      <c r="L333" s="19"/>
      <c r="M333" s="19"/>
      <c r="N333" s="19"/>
      <c r="O333" s="19"/>
      <c r="P333" s="19"/>
      <c r="Q333" s="19"/>
      <c r="R333" s="19"/>
      <c r="S333" s="19"/>
      <c r="T333" s="19"/>
      <c r="U333" s="19"/>
      <c r="V333" s="19"/>
      <c r="W333" s="19"/>
      <c r="X333" s="19"/>
      <c r="Y333" s="19"/>
    </row>
    <row r="334" spans="1:25" ht="12" customHeight="1">
      <c r="A334" s="219" t="n" cm="1">
        <f t="array" ref="A334">IFERROR(INDEX('03.Muestra'!$B$8:$B$42,SMALL(IF("Página Web"='03.Muestra'!$D$8:$D$42,ROW('03.Muestra'!$B$8:$B$42)-MIN(ROW('03.Muestra'!$D$8:$D$42))+1,""),ROW()-322)),"")</f>
        <v>1.0</v>
      </c>
      <c r="B334" s="114" t="str" cm="1">
        <f t="array" ref="B334">IFERROR(INDEX('03.Muestra'!$C$8:$C$42,SMALL(IF("Página Web"='03.Muestra'!$D$8:$D$42,ROW('03.Muestra'!$C$8:$C$42)-MIN(ROW('03.Muestra'!$D$8:$D$42))+1,""),ROW()-322)),"")</f>
        <v>Home - PortCastelló</v>
      </c>
      <c r="C334" s="114" t="str" cm="1">
        <f t="array" ref="C334">IFERROR(INDEX('03.Muestra'!$F$8:$F$42,SMALL(IF("Página Web"='03.Muestra'!$D$8:$D$42,ROW('03.Muestra'!$F$8:$F$42)-MIN(ROW('03.Muestra'!$D$8:$D$42))+1,""),ROW()-322)),"")</f>
        <v>https://www.portcastello.com/</v>
      </c>
      <c r="D334" s="130" t="str">
        <f t="shared" si="17"/>
        <v>N/T</v>
      </c>
      <c r="E334" s="107" t="str">
        <f t="shared" si="16"/>
        <v/>
      </c>
      <c r="F334" s="19"/>
      <c r="G334" s="19"/>
      <c r="H334" s="19"/>
      <c r="I334" s="19"/>
      <c r="J334" s="19"/>
      <c r="K334" s="233"/>
      <c r="L334" s="19"/>
      <c r="M334" s="19"/>
      <c r="N334" s="19"/>
      <c r="O334" s="19"/>
      <c r="P334" s="19"/>
      <c r="Q334" s="19"/>
      <c r="R334" s="19"/>
      <c r="S334" s="19"/>
      <c r="T334" s="19"/>
      <c r="U334" s="19"/>
      <c r="V334" s="19"/>
      <c r="W334" s="19"/>
      <c r="X334" s="19"/>
      <c r="Y334" s="19"/>
    </row>
    <row r="335" spans="1:25" ht="14.1" customHeight="1">
      <c r="A335" s="219" t="n" cm="1">
        <f t="array" ref="A335">IFERROR(INDEX('03.Muestra'!$B$8:$B$42,SMALL(IF("Página Web"='03.Muestra'!$D$8:$D$42,ROW('03.Muestra'!$B$8:$B$42)-MIN(ROW('03.Muestra'!$D$8:$D$42))+1,""),ROW()-322)),"")</f>
        <v>1.0</v>
      </c>
      <c r="B335" s="114" t="str" cm="1">
        <f t="array" ref="B335">IFERROR(INDEX('03.Muestra'!$C$8:$C$42,SMALL(IF("Página Web"='03.Muestra'!$D$8:$D$42,ROW('03.Muestra'!$C$8:$C$42)-MIN(ROW('03.Muestra'!$D$8:$D$42))+1,""),ROW()-322)),"")</f>
        <v>Home - PortCastelló</v>
      </c>
      <c r="C335" s="114" t="str" cm="1">
        <f t="array" ref="C335">IFERROR(INDEX('03.Muestra'!$F$8:$F$42,SMALL(IF("Página Web"='03.Muestra'!$D$8:$D$42,ROW('03.Muestra'!$F$8:$F$42)-MIN(ROW('03.Muestra'!$D$8:$D$42))+1,""),ROW()-322)),"")</f>
        <v>https://www.portcastello.com/</v>
      </c>
      <c r="D335" s="130" t="str">
        <f t="shared" si="17"/>
        <v>N/T</v>
      </c>
      <c r="E335" s="107" t="str">
        <f t="shared" si="16"/>
        <v/>
      </c>
      <c r="F335" s="19"/>
      <c r="G335" s="19"/>
      <c r="H335" s="19"/>
      <c r="I335" s="19"/>
      <c r="J335" s="19"/>
      <c r="K335" s="233"/>
      <c r="L335" s="19"/>
      <c r="M335" s="19"/>
      <c r="N335" s="19"/>
      <c r="O335" s="19"/>
      <c r="P335" s="19"/>
      <c r="Q335" s="19"/>
      <c r="R335" s="19"/>
      <c r="S335" s="19"/>
      <c r="T335" s="19"/>
      <c r="U335" s="19"/>
      <c r="V335" s="19"/>
      <c r="W335" s="19"/>
      <c r="X335" s="19"/>
      <c r="Y335" s="19"/>
    </row>
    <row r="336" spans="1:25" ht="14.1" customHeight="1">
      <c r="A336" s="219" t="n" cm="1">
        <f t="array" ref="A336">IFERROR(INDEX('03.Muestra'!$B$8:$B$42,SMALL(IF("Página Web"='03.Muestra'!$D$8:$D$42,ROW('03.Muestra'!$B$8:$B$42)-MIN(ROW('03.Muestra'!$D$8:$D$42))+1,""),ROW()-322)),"")</f>
        <v>1.0</v>
      </c>
      <c r="B336" s="114" t="str" cm="1">
        <f t="array" ref="B336">IFERROR(INDEX('03.Muestra'!$C$8:$C$42,SMALL(IF("Página Web"='03.Muestra'!$D$8:$D$42,ROW('03.Muestra'!$C$8:$C$42)-MIN(ROW('03.Muestra'!$D$8:$D$42))+1,""),ROW()-322)),"")</f>
        <v>Home - PortCastelló</v>
      </c>
      <c r="C336" s="114" t="str" cm="1">
        <f t="array" ref="C336">IFERROR(INDEX('03.Muestra'!$F$8:$F$42,SMALL(IF("Página Web"='03.Muestra'!$D$8:$D$42,ROW('03.Muestra'!$F$8:$F$42)-MIN(ROW('03.Muestra'!$D$8:$D$42))+1,""),ROW()-322)),"")</f>
        <v>https://www.portcastello.com/</v>
      </c>
      <c r="D336" s="130" t="str">
        <f t="shared" si="17"/>
        <v>N/T</v>
      </c>
      <c r="E336" s="107" t="str">
        <f t="shared" si="16"/>
        <v/>
      </c>
      <c r="F336" s="19"/>
      <c r="G336" s="19"/>
      <c r="H336" s="19"/>
      <c r="I336" s="19"/>
      <c r="J336" s="19"/>
      <c r="K336" s="233"/>
      <c r="L336" s="19"/>
      <c r="M336" s="19"/>
      <c r="N336" s="19"/>
      <c r="O336" s="19"/>
      <c r="P336" s="19"/>
      <c r="Q336" s="19"/>
      <c r="R336" s="19"/>
      <c r="S336" s="19"/>
      <c r="T336" s="19"/>
      <c r="U336" s="19"/>
      <c r="V336" s="19"/>
      <c r="W336" s="19"/>
      <c r="X336" s="19"/>
      <c r="Y336" s="19"/>
    </row>
    <row r="337" spans="1:25" ht="14.1" customHeight="1">
      <c r="A337" s="219" t="n" cm="1">
        <f t="array" ref="A337">IFERROR(INDEX('03.Muestra'!$B$8:$B$42,SMALL(IF("Página Web"='03.Muestra'!$D$8:$D$42,ROW('03.Muestra'!$B$8:$B$42)-MIN(ROW('03.Muestra'!$D$8:$D$42))+1,""),ROW()-322)),"")</f>
        <v>1.0</v>
      </c>
      <c r="B337" s="114" t="str" cm="1">
        <f t="array" ref="B337">IFERROR(INDEX('03.Muestra'!$C$8:$C$42,SMALL(IF("Página Web"='03.Muestra'!$D$8:$D$42,ROW('03.Muestra'!$C$8:$C$42)-MIN(ROW('03.Muestra'!$D$8:$D$42))+1,""),ROW()-322)),"")</f>
        <v>Home - PortCastelló</v>
      </c>
      <c r="C337" s="114" t="str" cm="1">
        <f t="array" ref="C337">IFERROR(INDEX('03.Muestra'!$F$8:$F$42,SMALL(IF("Página Web"='03.Muestra'!$D$8:$D$42,ROW('03.Muestra'!$F$8:$F$42)-MIN(ROW('03.Muestra'!$D$8:$D$42))+1,""),ROW()-322)),"")</f>
        <v>https://www.portcastello.com/</v>
      </c>
      <c r="D337" s="130" t="str">
        <f t="shared" si="17"/>
        <v>N/T</v>
      </c>
      <c r="E337" s="107" t="str">
        <f t="shared" si="16"/>
        <v/>
      </c>
      <c r="F337" s="19"/>
      <c r="G337" s="19"/>
      <c r="H337" s="19"/>
      <c r="I337" s="19"/>
      <c r="J337" s="19"/>
      <c r="K337" s="233"/>
      <c r="L337" s="19"/>
      <c r="M337" s="19"/>
      <c r="N337" s="19"/>
      <c r="O337" s="19"/>
      <c r="P337" s="19"/>
      <c r="Q337" s="19"/>
      <c r="R337" s="19"/>
      <c r="S337" s="19"/>
      <c r="T337" s="19"/>
      <c r="U337" s="19"/>
      <c r="V337" s="19"/>
      <c r="W337" s="19"/>
      <c r="X337" s="19"/>
      <c r="Y337" s="19"/>
    </row>
    <row r="338" spans="1:25" ht="14.1" customHeight="1">
      <c r="A338" s="219" t="n" cm="1">
        <f t="array" ref="A338">IFERROR(INDEX('03.Muestra'!$B$8:$B$42,SMALL(IF("Página Web"='03.Muestra'!$D$8:$D$42,ROW('03.Muestra'!$B$8:$B$42)-MIN(ROW('03.Muestra'!$D$8:$D$42))+1,""),ROW()-322)),"")</f>
        <v>1.0</v>
      </c>
      <c r="B338" s="114" t="str" cm="1">
        <f t="array" ref="B338">IFERROR(INDEX('03.Muestra'!$C$8:$C$42,SMALL(IF("Página Web"='03.Muestra'!$D$8:$D$42,ROW('03.Muestra'!$C$8:$C$42)-MIN(ROW('03.Muestra'!$D$8:$D$42))+1,""),ROW()-322)),"")</f>
        <v>Home - PortCastelló</v>
      </c>
      <c r="C338" s="114" t="str" cm="1">
        <f t="array" ref="C338">IFERROR(INDEX('03.Muestra'!$F$8:$F$42,SMALL(IF("Página Web"='03.Muestra'!$D$8:$D$42,ROW('03.Muestra'!$F$8:$F$42)-MIN(ROW('03.Muestra'!$D$8:$D$42))+1,""),ROW()-322)),"")</f>
        <v>https://www.portcastello.com/</v>
      </c>
      <c r="D338" s="130" t="str">
        <f t="shared" si="17"/>
        <v>N/T</v>
      </c>
      <c r="E338" s="107" t="str">
        <f t="shared" si="16"/>
        <v/>
      </c>
      <c r="F338" s="19"/>
      <c r="G338" s="19"/>
      <c r="H338" s="19"/>
      <c r="I338" s="19"/>
      <c r="J338" s="19"/>
      <c r="K338" s="233"/>
      <c r="L338" s="19"/>
      <c r="M338" s="19"/>
      <c r="N338" s="19"/>
      <c r="O338" s="19"/>
      <c r="P338" s="19"/>
      <c r="Q338" s="19"/>
      <c r="R338" s="19"/>
      <c r="S338" s="19"/>
      <c r="T338" s="19"/>
      <c r="U338" s="19"/>
      <c r="V338" s="19"/>
      <c r="W338" s="19"/>
      <c r="X338" s="19"/>
      <c r="Y338" s="19"/>
    </row>
    <row r="339" spans="1:25" ht="14.1" customHeight="1">
      <c r="A339" s="219" t="n" cm="1">
        <f t="array" ref="A339">IFERROR(INDEX('03.Muestra'!$B$8:$B$42,SMALL(IF("Página Web"='03.Muestra'!$D$8:$D$42,ROW('03.Muestra'!$B$8:$B$42)-MIN(ROW('03.Muestra'!$D$8:$D$42))+1,""),ROW()-322)),"")</f>
        <v>1.0</v>
      </c>
      <c r="B339" s="114" t="str" cm="1">
        <f t="array" ref="B339">IFERROR(INDEX('03.Muestra'!$C$8:$C$42,SMALL(IF("Página Web"='03.Muestra'!$D$8:$D$42,ROW('03.Muestra'!$C$8:$C$42)-MIN(ROW('03.Muestra'!$D$8:$D$42))+1,""),ROW()-322)),"")</f>
        <v>Home - PortCastelló</v>
      </c>
      <c r="C339" s="114" t="str" cm="1">
        <f t="array" ref="C339">IFERROR(INDEX('03.Muestra'!$F$8:$F$42,SMALL(IF("Página Web"='03.Muestra'!$D$8:$D$42,ROW('03.Muestra'!$F$8:$F$42)-MIN(ROW('03.Muestra'!$D$8:$D$42))+1,""),ROW()-322)),"")</f>
        <v>https://www.portcastello.com/</v>
      </c>
      <c r="D339" s="130" t="str">
        <f t="shared" si="17"/>
        <v>N/T</v>
      </c>
      <c r="E339" s="107" t="str">
        <f t="shared" si="16"/>
        <v/>
      </c>
      <c r="F339" s="19"/>
      <c r="G339" s="19"/>
      <c r="H339" s="19"/>
      <c r="I339" s="19"/>
      <c r="J339" s="19"/>
      <c r="K339" s="233"/>
      <c r="L339" s="19"/>
      <c r="M339" s="19"/>
      <c r="N339" s="19"/>
      <c r="O339" s="19"/>
      <c r="P339" s="19"/>
      <c r="Q339" s="19"/>
      <c r="R339" s="19"/>
      <c r="S339" s="19"/>
      <c r="T339" s="19"/>
      <c r="U339" s="19"/>
      <c r="V339" s="19"/>
      <c r="W339" s="19"/>
      <c r="X339" s="19"/>
      <c r="Y339" s="19"/>
    </row>
    <row r="340" spans="1:25" ht="14.1" customHeight="1">
      <c r="A340" s="219" t="n" cm="1">
        <f t="array" ref="A340">IFERROR(INDEX('03.Muestra'!$B$8:$B$42,SMALL(IF("Página Web"='03.Muestra'!$D$8:$D$42,ROW('03.Muestra'!$B$8:$B$42)-MIN(ROW('03.Muestra'!$D$8:$D$42))+1,""),ROW()-322)),"")</f>
        <v>1.0</v>
      </c>
      <c r="B340" s="114" t="str" cm="1">
        <f t="array" ref="B340">IFERROR(INDEX('03.Muestra'!$C$8:$C$42,SMALL(IF("Página Web"='03.Muestra'!$D$8:$D$42,ROW('03.Muestra'!$C$8:$C$42)-MIN(ROW('03.Muestra'!$D$8:$D$42))+1,""),ROW()-322)),"")</f>
        <v>Home - PortCastelló</v>
      </c>
      <c r="C340" s="114" t="str" cm="1">
        <f t="array" ref="C340">IFERROR(INDEX('03.Muestra'!$F$8:$F$42,SMALL(IF("Página Web"='03.Muestra'!$D$8:$D$42,ROW('03.Muestra'!$F$8:$F$42)-MIN(ROW('03.Muestra'!$D$8:$D$42))+1,""),ROW()-322)),"")</f>
        <v>https://www.portcastello.com/</v>
      </c>
      <c r="D340" s="130" t="str">
        <f t="shared" si="17"/>
        <v>N/T</v>
      </c>
      <c r="E340" s="107" t="str">
        <f t="shared" si="16"/>
        <v/>
      </c>
      <c r="F340" s="19"/>
      <c r="G340" s="19"/>
      <c r="H340" s="19"/>
      <c r="I340" s="19"/>
      <c r="J340" s="19"/>
      <c r="K340" s="233"/>
      <c r="L340" s="19"/>
      <c r="M340" s="19"/>
      <c r="N340" s="19"/>
      <c r="O340" s="19"/>
      <c r="P340" s="19"/>
      <c r="Q340" s="19"/>
      <c r="R340" s="19"/>
      <c r="S340" s="19"/>
      <c r="T340" s="19"/>
      <c r="U340" s="19"/>
      <c r="V340" s="19"/>
      <c r="W340" s="19"/>
      <c r="X340" s="19"/>
      <c r="Y340" s="19"/>
    </row>
    <row r="341" spans="1:25" ht="14.1" customHeight="1">
      <c r="A341" s="219" t="n" cm="1">
        <f t="array" ref="A341">IFERROR(INDEX('03.Muestra'!$B$8:$B$42,SMALL(IF("Página Web"='03.Muestra'!$D$8:$D$42,ROW('03.Muestra'!$B$8:$B$42)-MIN(ROW('03.Muestra'!$D$8:$D$42))+1,""),ROW()-322)),"")</f>
        <v>1.0</v>
      </c>
      <c r="B341" s="114" t="str" cm="1">
        <f t="array" ref="B341">IFERROR(INDEX('03.Muestra'!$C$8:$C$42,SMALL(IF("Página Web"='03.Muestra'!$D$8:$D$42,ROW('03.Muestra'!$C$8:$C$42)-MIN(ROW('03.Muestra'!$D$8:$D$42))+1,""),ROW()-322)),"")</f>
        <v>Home - PortCastelló</v>
      </c>
      <c r="C341" s="114" t="str" cm="1">
        <f t="array" ref="C341">IFERROR(INDEX('03.Muestra'!$F$8:$F$42,SMALL(IF("Página Web"='03.Muestra'!$D$8:$D$42,ROW('03.Muestra'!$F$8:$F$42)-MIN(ROW('03.Muestra'!$D$8:$D$42))+1,""),ROW()-322)),"")</f>
        <v>https://www.portcastello.com/</v>
      </c>
      <c r="D341" s="130" t="str">
        <f t="shared" si="17"/>
        <v>N/T</v>
      </c>
      <c r="E341" s="107" t="str">
        <f t="shared" si="16"/>
        <v/>
      </c>
      <c r="F341" s="19"/>
      <c r="G341" s="19"/>
      <c r="H341" s="19"/>
      <c r="I341" s="19"/>
      <c r="J341" s="19"/>
      <c r="K341" s="233"/>
      <c r="L341" s="19"/>
      <c r="M341" s="19"/>
      <c r="N341" s="19"/>
      <c r="O341" s="19"/>
      <c r="P341" s="19"/>
      <c r="Q341" s="19"/>
      <c r="R341" s="19"/>
      <c r="S341" s="19"/>
      <c r="T341" s="19"/>
      <c r="U341" s="19"/>
      <c r="V341" s="19"/>
      <c r="W341" s="19"/>
      <c r="X341" s="19"/>
      <c r="Y341" s="19"/>
    </row>
    <row r="342" spans="1:25" ht="14.1" customHeight="1">
      <c r="A342" s="219" t="n" cm="1">
        <f t="array" ref="A342">IFERROR(INDEX('03.Muestra'!$B$8:$B$42,SMALL(IF("Página Web"='03.Muestra'!$D$8:$D$42,ROW('03.Muestra'!$B$8:$B$42)-MIN(ROW('03.Muestra'!$D$8:$D$42))+1,""),ROW()-322)),"")</f>
        <v>1.0</v>
      </c>
      <c r="B342" s="114" t="str" cm="1">
        <f t="array" ref="B342">IFERROR(INDEX('03.Muestra'!$C$8:$C$42,SMALL(IF("Página Web"='03.Muestra'!$D$8:$D$42,ROW('03.Muestra'!$C$8:$C$42)-MIN(ROW('03.Muestra'!$D$8:$D$42))+1,""),ROW()-322)),"")</f>
        <v>Home - PortCastelló</v>
      </c>
      <c r="C342" s="114" t="str" cm="1">
        <f t="array" ref="C342">IFERROR(INDEX('03.Muestra'!$F$8:$F$42,SMALL(IF("Página Web"='03.Muestra'!$D$8:$D$42,ROW('03.Muestra'!$F$8:$F$42)-MIN(ROW('03.Muestra'!$D$8:$D$42))+1,""),ROW()-322)),"")</f>
        <v>https://www.portcastello.com/</v>
      </c>
      <c r="D342" s="130" t="str">
        <f t="shared" si="17"/>
        <v>N/T</v>
      </c>
      <c r="E342" s="107" t="str">
        <f t="shared" si="16"/>
        <v/>
      </c>
      <c r="F342" s="19"/>
      <c r="G342" s="19"/>
      <c r="H342" s="19"/>
      <c r="I342" s="19"/>
      <c r="J342" s="19"/>
      <c r="K342" s="233"/>
      <c r="L342" s="19"/>
      <c r="M342" s="19"/>
      <c r="N342" s="19"/>
      <c r="O342" s="19"/>
      <c r="P342" s="19"/>
      <c r="Q342" s="19"/>
      <c r="R342" s="19"/>
      <c r="S342" s="19"/>
      <c r="T342" s="19"/>
      <c r="U342" s="19"/>
      <c r="V342" s="19"/>
      <c r="W342" s="19"/>
      <c r="X342" s="19"/>
      <c r="Y342" s="19"/>
    </row>
    <row r="343" spans="1:25" ht="14.1" customHeight="1">
      <c r="A343" s="219" t="n" cm="1">
        <f t="array" ref="A343">IFERROR(INDEX('03.Muestra'!$B$8:$B$42,SMALL(IF("Página Web"='03.Muestra'!$D$8:$D$42,ROW('03.Muestra'!$B$8:$B$42)-MIN(ROW('03.Muestra'!$D$8:$D$42))+1,""),ROW()-322)),"")</f>
        <v>1.0</v>
      </c>
      <c r="B343" s="114" t="str" cm="1">
        <f t="array" ref="B343">IFERROR(INDEX('03.Muestra'!$C$8:$C$42,SMALL(IF("Página Web"='03.Muestra'!$D$8:$D$42,ROW('03.Muestra'!$C$8:$C$42)-MIN(ROW('03.Muestra'!$D$8:$D$42))+1,""),ROW()-322)),"")</f>
        <v>Home - PortCastelló</v>
      </c>
      <c r="C343" s="114" t="str" cm="1">
        <f t="array" ref="C343">IFERROR(INDEX('03.Muestra'!$F$8:$F$42,SMALL(IF("Página Web"='03.Muestra'!$D$8:$D$42,ROW('03.Muestra'!$F$8:$F$42)-MIN(ROW('03.Muestra'!$D$8:$D$42))+1,""),ROW()-322)),"")</f>
        <v>https://www.portcastello.com/</v>
      </c>
      <c r="D343" s="130" t="str">
        <f t="shared" si="17"/>
        <v>N/T</v>
      </c>
      <c r="E343" s="107" t="str">
        <f t="shared" si="16"/>
        <v/>
      </c>
      <c r="F343" s="19"/>
      <c r="G343" s="19"/>
      <c r="H343" s="19"/>
      <c r="I343" s="19"/>
      <c r="J343" s="19"/>
      <c r="K343" s="233"/>
      <c r="L343" s="19"/>
      <c r="M343" s="19"/>
      <c r="N343" s="19"/>
      <c r="O343" s="19"/>
      <c r="P343" s="19"/>
      <c r="Q343" s="19"/>
      <c r="R343" s="19"/>
      <c r="S343" s="19"/>
      <c r="T343" s="19"/>
      <c r="U343" s="19"/>
      <c r="V343" s="19"/>
      <c r="W343" s="19"/>
      <c r="X343" s="19"/>
      <c r="Y343" s="19"/>
    </row>
    <row r="344" spans="1:25" ht="14.1" customHeight="1">
      <c r="A344" s="219" t="n" cm="1">
        <f t="array" ref="A344">IFERROR(INDEX('03.Muestra'!$B$8:$B$42,SMALL(IF("Página Web"='03.Muestra'!$D$8:$D$42,ROW('03.Muestra'!$B$8:$B$42)-MIN(ROW('03.Muestra'!$D$8:$D$42))+1,""),ROW()-322)),"")</f>
        <v>1.0</v>
      </c>
      <c r="B344" s="114" t="str" cm="1">
        <f t="array" ref="B344">IFERROR(INDEX('03.Muestra'!$C$8:$C$42,SMALL(IF("Página Web"='03.Muestra'!$D$8:$D$42,ROW('03.Muestra'!$C$8:$C$42)-MIN(ROW('03.Muestra'!$D$8:$D$42))+1,""),ROW()-322)),"")</f>
        <v>Home - PortCastelló</v>
      </c>
      <c r="C344" s="114" t="str" cm="1">
        <f t="array" ref="C344">IFERROR(INDEX('03.Muestra'!$F$8:$F$42,SMALL(IF("Página Web"='03.Muestra'!$D$8:$D$42,ROW('03.Muestra'!$F$8:$F$42)-MIN(ROW('03.Muestra'!$D$8:$D$42))+1,""),ROW()-322)),"")</f>
        <v>https://www.portcastello.com/</v>
      </c>
      <c r="D344" s="130" t="str">
        <f t="shared" si="17"/>
        <v>N/T</v>
      </c>
      <c r="E344" s="107" t="str">
        <f t="shared" si="16"/>
        <v/>
      </c>
      <c r="F344" s="19"/>
      <c r="G344" s="19"/>
      <c r="H344" s="19"/>
      <c r="I344" s="19"/>
      <c r="J344" s="19"/>
      <c r="K344" s="233"/>
      <c r="L344" s="19"/>
      <c r="M344" s="19"/>
      <c r="N344" s="19"/>
      <c r="O344" s="19"/>
      <c r="P344" s="19"/>
      <c r="Q344" s="19"/>
      <c r="R344" s="19"/>
      <c r="S344" s="19"/>
      <c r="T344" s="19"/>
      <c r="U344" s="19"/>
      <c r="V344" s="19"/>
      <c r="W344" s="19"/>
      <c r="X344" s="19"/>
      <c r="Y344" s="19"/>
    </row>
    <row r="345" spans="1:25" ht="14.1" customHeight="1">
      <c r="A345" s="219" t="n" cm="1">
        <f t="array" ref="A345">IFERROR(INDEX('03.Muestra'!$B$8:$B$42,SMALL(IF("Página Web"='03.Muestra'!$D$8:$D$42,ROW('03.Muestra'!$B$8:$B$42)-MIN(ROW('03.Muestra'!$D$8:$D$42))+1,""),ROW()-322)),"")</f>
        <v>1.0</v>
      </c>
      <c r="B345" s="114" t="str" cm="1">
        <f t="array" ref="B345">IFERROR(INDEX('03.Muestra'!$C$8:$C$42,SMALL(IF("Página Web"='03.Muestra'!$D$8:$D$42,ROW('03.Muestra'!$C$8:$C$42)-MIN(ROW('03.Muestra'!$D$8:$D$42))+1,""),ROW()-322)),"")</f>
        <v>Home - PortCastelló</v>
      </c>
      <c r="C345" s="114" t="str" cm="1">
        <f t="array" ref="C345">IFERROR(INDEX('03.Muestra'!$F$8:$F$42,SMALL(IF("Página Web"='03.Muestra'!$D$8:$D$42,ROW('03.Muestra'!$F$8:$F$42)-MIN(ROW('03.Muestra'!$D$8:$D$42))+1,""),ROW()-322)),"")</f>
        <v>https://www.portcastello.com/</v>
      </c>
      <c r="D345" s="130" t="str">
        <f t="shared" si="17"/>
        <v>N/T</v>
      </c>
      <c r="E345" s="107" t="str">
        <f t="shared" si="16"/>
        <v/>
      </c>
      <c r="F345" s="19"/>
      <c r="G345" s="19"/>
      <c r="H345" s="19"/>
      <c r="I345" s="19"/>
      <c r="J345" s="19"/>
      <c r="K345" s="233"/>
      <c r="L345" s="19"/>
      <c r="M345" s="19"/>
      <c r="N345" s="19"/>
      <c r="O345" s="19"/>
      <c r="P345" s="19"/>
      <c r="Q345" s="19"/>
      <c r="R345" s="19"/>
      <c r="S345" s="19"/>
      <c r="T345" s="19"/>
      <c r="U345" s="19"/>
      <c r="V345" s="19"/>
      <c r="W345" s="19"/>
      <c r="X345" s="19"/>
      <c r="Y345" s="19"/>
    </row>
    <row r="346" spans="1:25" ht="12" customHeight="1">
      <c r="A346" s="219" t="n" cm="1">
        <f t="array" ref="A346">IFERROR(INDEX('03.Muestra'!$B$8:$B$42,SMALL(IF("Página Web"='03.Muestra'!$D$8:$D$42,ROW('03.Muestra'!$B$8:$B$42)-MIN(ROW('03.Muestra'!$D$8:$D$42))+1,""),ROW()-322)),"")</f>
        <v>1.0</v>
      </c>
      <c r="B346" s="114" t="str" cm="1">
        <f t="array" ref="B346">IFERROR(INDEX('03.Muestra'!$C$8:$C$42,SMALL(IF("Página Web"='03.Muestra'!$D$8:$D$42,ROW('03.Muestra'!$C$8:$C$42)-MIN(ROW('03.Muestra'!$D$8:$D$42))+1,""),ROW()-322)),"")</f>
        <v>Home - PortCastelló</v>
      </c>
      <c r="C346" s="114" t="str" cm="1">
        <f t="array" ref="C346">IFERROR(INDEX('03.Muestra'!$F$8:$F$42,SMALL(IF("Página Web"='03.Muestra'!$D$8:$D$42,ROW('03.Muestra'!$F$8:$F$42)-MIN(ROW('03.Muestra'!$D$8:$D$42))+1,""),ROW()-322)),"")</f>
        <v>https://www.portcastello.com/</v>
      </c>
      <c r="D346" s="130" t="str">
        <f t="shared" si="17"/>
        <v>N/T</v>
      </c>
      <c r="E346" s="107" t="str">
        <f t="shared" si="16"/>
        <v/>
      </c>
      <c r="F346" s="19"/>
      <c r="G346" s="19"/>
      <c r="H346" s="19"/>
      <c r="I346" s="19"/>
      <c r="J346" s="19"/>
      <c r="K346" s="233"/>
      <c r="L346" s="19"/>
      <c r="M346" s="19"/>
      <c r="N346" s="19"/>
      <c r="O346" s="19"/>
      <c r="P346" s="19"/>
      <c r="Q346" s="19"/>
      <c r="R346" s="19"/>
      <c r="S346" s="19"/>
      <c r="T346" s="19"/>
      <c r="U346" s="19"/>
      <c r="V346" s="19"/>
      <c r="W346" s="19"/>
      <c r="X346" s="19"/>
      <c r="Y346" s="19"/>
    </row>
    <row r="347" spans="1:25" ht="12" customHeight="1">
      <c r="A347" s="219" t="n" cm="1">
        <f t="array" ref="A347">IFERROR(INDEX('03.Muestra'!$B$8:$B$42,SMALL(IF("Página Web"='03.Muestra'!$D$8:$D$42,ROW('03.Muestra'!$B$8:$B$42)-MIN(ROW('03.Muestra'!$D$8:$D$42))+1,""),ROW()-322)),"")</f>
        <v>1.0</v>
      </c>
      <c r="B347" s="114" t="str" cm="1">
        <f t="array" ref="B347">IFERROR(INDEX('03.Muestra'!$C$8:$C$42,SMALL(IF("Página Web"='03.Muestra'!$D$8:$D$42,ROW('03.Muestra'!$C$8:$C$42)-MIN(ROW('03.Muestra'!$D$8:$D$42))+1,""),ROW()-322)),"")</f>
        <v>Home - PortCastelló</v>
      </c>
      <c r="C347" s="114" t="str" cm="1">
        <f t="array" ref="C347">IFERROR(INDEX('03.Muestra'!$F$8:$F$42,SMALL(IF("Página Web"='03.Muestra'!$D$8:$D$42,ROW('03.Muestra'!$F$8:$F$42)-MIN(ROW('03.Muestra'!$D$8:$D$42))+1,""),ROW()-322)),"")</f>
        <v>https://www.portcastello.com/</v>
      </c>
      <c r="D347" s="130" t="str">
        <f t="shared" si="17"/>
        <v>N/T</v>
      </c>
      <c r="E347" s="107" t="str">
        <f t="shared" si="16"/>
        <v/>
      </c>
      <c r="F347" s="19"/>
      <c r="G347" s="19"/>
      <c r="H347" s="19"/>
      <c r="I347" s="19"/>
      <c r="J347" s="19"/>
      <c r="K347" s="233"/>
      <c r="L347" s="19"/>
      <c r="M347" s="19"/>
      <c r="N347" s="19"/>
      <c r="O347" s="19"/>
      <c r="P347" s="19"/>
      <c r="Q347" s="19"/>
      <c r="R347" s="19"/>
      <c r="S347" s="19"/>
      <c r="T347" s="19"/>
      <c r="U347" s="19"/>
      <c r="V347" s="19"/>
      <c r="W347" s="19"/>
      <c r="X347" s="19"/>
      <c r="Y347" s="19"/>
    </row>
    <row r="348" spans="1:25" ht="12" customHeight="1">
      <c r="A348" s="219" t="n" cm="1">
        <f t="array" ref="A348">IFERROR(INDEX('03.Muestra'!$B$8:$B$42,SMALL(IF("Página Web"='03.Muestra'!$D$8:$D$42,ROW('03.Muestra'!$B$8:$B$42)-MIN(ROW('03.Muestra'!$D$8:$D$42))+1,""),ROW()-322)),"")</f>
        <v>1.0</v>
      </c>
      <c r="B348" s="114" t="str" cm="1">
        <f t="array" ref="B348">IFERROR(INDEX('03.Muestra'!$C$8:$C$42,SMALL(IF("Página Web"='03.Muestra'!$D$8:$D$42,ROW('03.Muestra'!$C$8:$C$42)-MIN(ROW('03.Muestra'!$D$8:$D$42))+1,""),ROW()-322)),"")</f>
        <v>Home - PortCastelló</v>
      </c>
      <c r="C348" s="114" t="str" cm="1">
        <f t="array" ref="C348">IFERROR(INDEX('03.Muestra'!$F$8:$F$42,SMALL(IF("Página Web"='03.Muestra'!$D$8:$D$42,ROW('03.Muestra'!$F$8:$F$42)-MIN(ROW('03.Muestra'!$D$8:$D$42))+1,""),ROW()-322)),"")</f>
        <v>https://www.portcastello.com/</v>
      </c>
      <c r="D348" s="130" t="str">
        <f t="shared" si="17"/>
        <v>N/T</v>
      </c>
      <c r="E348" s="107" t="str">
        <f t="shared" si="16"/>
        <v/>
      </c>
      <c r="F348" s="19"/>
      <c r="G348" s="19"/>
      <c r="H348" s="19"/>
      <c r="I348" s="19"/>
      <c r="J348" s="19"/>
      <c r="K348" s="233"/>
      <c r="L348" s="19"/>
      <c r="M348" s="19"/>
      <c r="N348" s="19"/>
      <c r="O348" s="19"/>
      <c r="P348" s="19"/>
      <c r="Q348" s="19"/>
      <c r="R348" s="19"/>
      <c r="S348" s="19"/>
      <c r="T348" s="19"/>
      <c r="U348" s="19"/>
      <c r="V348" s="19"/>
      <c r="W348" s="19"/>
      <c r="X348" s="19"/>
      <c r="Y348" s="19"/>
    </row>
    <row r="349" spans="1:25" ht="12" customHeight="1">
      <c r="A349" s="219" t="n" cm="1">
        <f t="array" ref="A349">IFERROR(INDEX('03.Muestra'!$B$8:$B$42,SMALL(IF("Página Web"='03.Muestra'!$D$8:$D$42,ROW('03.Muestra'!$B$8:$B$42)-MIN(ROW('03.Muestra'!$D$8:$D$42))+1,""),ROW()-322)),"")</f>
        <v>1.0</v>
      </c>
      <c r="B349" s="114" t="str" cm="1">
        <f t="array" ref="B349">IFERROR(INDEX('03.Muestra'!$C$8:$C$42,SMALL(IF("Página Web"='03.Muestra'!$D$8:$D$42,ROW('03.Muestra'!$C$8:$C$42)-MIN(ROW('03.Muestra'!$D$8:$D$42))+1,""),ROW()-322)),"")</f>
        <v>Home - PortCastelló</v>
      </c>
      <c r="C349" s="114" t="str" cm="1">
        <f t="array" ref="C349">IFERROR(INDEX('03.Muestra'!$F$8:$F$42,SMALL(IF("Página Web"='03.Muestra'!$D$8:$D$42,ROW('03.Muestra'!$F$8:$F$42)-MIN(ROW('03.Muestra'!$D$8:$D$42))+1,""),ROW()-322)),"")</f>
        <v>https://www.portcastello.com/</v>
      </c>
      <c r="D349" s="130" t="str">
        <f t="shared" si="17"/>
        <v>N/T</v>
      </c>
      <c r="E349" s="107" t="str">
        <f t="shared" si="16"/>
        <v/>
      </c>
      <c r="F349" s="19"/>
      <c r="G349" s="19"/>
      <c r="H349" s="19"/>
      <c r="I349" s="19"/>
      <c r="J349" s="19"/>
      <c r="K349" s="233"/>
      <c r="L349" s="19"/>
      <c r="M349" s="19"/>
      <c r="N349" s="19"/>
      <c r="O349" s="19"/>
      <c r="P349" s="19"/>
      <c r="Q349" s="19"/>
      <c r="R349" s="19"/>
      <c r="S349" s="19"/>
      <c r="T349" s="19"/>
      <c r="U349" s="19"/>
      <c r="V349" s="19"/>
      <c r="W349" s="19"/>
      <c r="X349" s="19"/>
      <c r="Y349" s="19"/>
    </row>
    <row r="350" spans="1:25" ht="12" customHeight="1">
      <c r="A350" s="219" t="n" cm="1">
        <f t="array" ref="A350">IFERROR(INDEX('03.Muestra'!$B$8:$B$42,SMALL(IF("Página Web"='03.Muestra'!$D$8:$D$42,ROW('03.Muestra'!$B$8:$B$42)-MIN(ROW('03.Muestra'!$D$8:$D$42))+1,""),ROW()-322)),"")</f>
        <v>1.0</v>
      </c>
      <c r="B350" s="114" t="str" cm="1">
        <f t="array" ref="B350">IFERROR(INDEX('03.Muestra'!$C$8:$C$42,SMALL(IF("Página Web"='03.Muestra'!$D$8:$D$42,ROW('03.Muestra'!$C$8:$C$42)-MIN(ROW('03.Muestra'!$D$8:$D$42))+1,""),ROW()-322)),"")</f>
        <v>Home - PortCastelló</v>
      </c>
      <c r="C350" s="114" t="str" cm="1">
        <f t="array" ref="C350">IFERROR(INDEX('03.Muestra'!$F$8:$F$42,SMALL(IF("Página Web"='03.Muestra'!$D$8:$D$42,ROW('03.Muestra'!$F$8:$F$42)-MIN(ROW('03.Muestra'!$D$8:$D$42))+1,""),ROW()-322)),"")</f>
        <v>https://www.portcastello.com/</v>
      </c>
      <c r="D350" s="130" t="str">
        <f t="shared" si="17"/>
        <v>N/T</v>
      </c>
      <c r="E350" s="107" t="str">
        <f t="shared" si="16"/>
        <v/>
      </c>
      <c r="G350" s="19"/>
      <c r="H350" s="19"/>
      <c r="I350" s="19"/>
      <c r="J350" s="19"/>
      <c r="K350" s="233"/>
      <c r="L350" s="19"/>
      <c r="M350" s="19"/>
      <c r="N350" s="19"/>
      <c r="O350" s="19"/>
      <c r="P350" s="19"/>
      <c r="Q350" s="19"/>
      <c r="R350" s="19"/>
      <c r="S350" s="19"/>
      <c r="T350" s="19"/>
      <c r="U350" s="19"/>
      <c r="V350" s="19"/>
      <c r="W350" s="19"/>
      <c r="X350" s="19"/>
      <c r="Y350" s="19"/>
    </row>
    <row r="351" spans="1:25" ht="12" customHeight="1">
      <c r="A351" s="219" t="n" cm="1">
        <f t="array" ref="A351">IFERROR(INDEX('03.Muestra'!$B$8:$B$42,SMALL(IF("Página Web"='03.Muestra'!$D$8:$D$42,ROW('03.Muestra'!$B$8:$B$42)-MIN(ROW('03.Muestra'!$D$8:$D$42))+1,""),ROW()-322)),"")</f>
        <v>1.0</v>
      </c>
      <c r="B351" s="114" t="str" cm="1">
        <f t="array" ref="B351">IFERROR(INDEX('03.Muestra'!$C$8:$C$42,SMALL(IF("Página Web"='03.Muestra'!$D$8:$D$42,ROW('03.Muestra'!$C$8:$C$42)-MIN(ROW('03.Muestra'!$D$8:$D$42))+1,""),ROW()-322)),"")</f>
        <v>Home - PortCastelló</v>
      </c>
      <c r="C351" s="114" t="str" cm="1">
        <f t="array" ref="C351">IFERROR(INDEX('03.Muestra'!$F$8:$F$42,SMALL(IF("Página Web"='03.Muestra'!$D$8:$D$42,ROW('03.Muestra'!$F$8:$F$42)-MIN(ROW('03.Muestra'!$D$8:$D$42))+1,""),ROW()-322)),"")</f>
        <v>https://www.portcastello.com/</v>
      </c>
      <c r="D351" s="130" t="str">
        <f t="shared" si="17"/>
        <v>N/T</v>
      </c>
      <c r="E351" s="107" t="str">
        <f t="shared" si="16"/>
        <v/>
      </c>
      <c r="F351" s="124"/>
      <c r="G351" s="19"/>
      <c r="H351" s="19"/>
      <c r="I351" s="19"/>
      <c r="J351" s="19"/>
      <c r="K351" s="233"/>
      <c r="L351" s="19"/>
      <c r="M351" s="19"/>
      <c r="N351" s="19"/>
      <c r="O351" s="19"/>
      <c r="P351" s="19"/>
      <c r="Q351" s="19"/>
      <c r="R351" s="19"/>
      <c r="S351" s="19"/>
      <c r="T351" s="19"/>
      <c r="U351" s="19"/>
      <c r="V351" s="19"/>
      <c r="W351" s="19"/>
      <c r="X351" s="19"/>
      <c r="Y351" s="19"/>
    </row>
    <row r="352" spans="1:25" ht="12" customHeight="1">
      <c r="A352" s="219" t="n" cm="1">
        <f t="array" ref="A352">IFERROR(INDEX('03.Muestra'!$B$8:$B$42,SMALL(IF("Página Web"='03.Muestra'!$D$8:$D$42,ROW('03.Muestra'!$B$8:$B$42)-MIN(ROW('03.Muestra'!$D$8:$D$42))+1,""),ROW()-322)),"")</f>
        <v>1.0</v>
      </c>
      <c r="B352" s="114" t="str" cm="1">
        <f t="array" ref="B352">IFERROR(INDEX('03.Muestra'!$C$8:$C$42,SMALL(IF("Página Web"='03.Muestra'!$D$8:$D$42,ROW('03.Muestra'!$C$8:$C$42)-MIN(ROW('03.Muestra'!$D$8:$D$42))+1,""),ROW()-322)),"")</f>
        <v>Home - PortCastelló</v>
      </c>
      <c r="C352" s="114" t="str" cm="1">
        <f t="array" ref="C352">IFERROR(INDEX('03.Muestra'!$F$8:$F$42,SMALL(IF("Página Web"='03.Muestra'!$D$8:$D$42,ROW('03.Muestra'!$F$8:$F$42)-MIN(ROW('03.Muestra'!$D$8:$D$42))+1,""),ROW()-322)),"")</f>
        <v>https://www.portcastello.com/</v>
      </c>
      <c r="D352" s="130" t="str">
        <f t="shared" si="17"/>
        <v>N/T</v>
      </c>
      <c r="E352" s="107" t="str">
        <f t="shared" si="16"/>
        <v/>
      </c>
      <c r="F352" s="124"/>
      <c r="G352" s="19"/>
      <c r="H352" s="19"/>
      <c r="I352" s="19"/>
      <c r="J352" s="19"/>
      <c r="K352" s="233"/>
      <c r="L352" s="19"/>
      <c r="M352" s="19"/>
      <c r="N352" s="19"/>
      <c r="O352" s="19"/>
      <c r="P352" s="19"/>
      <c r="Q352" s="19"/>
      <c r="R352" s="19"/>
      <c r="S352" s="19"/>
      <c r="T352" s="19"/>
      <c r="U352" s="19"/>
      <c r="V352" s="19"/>
      <c r="W352" s="19"/>
      <c r="X352" s="19"/>
      <c r="Y352" s="19"/>
    </row>
    <row r="353" spans="1:25" ht="12" customHeight="1">
      <c r="A353" s="219" t="n" cm="1">
        <f t="array" ref="A353">IFERROR(INDEX('03.Muestra'!$B$8:$B$42,SMALL(IF("Página Web"='03.Muestra'!$D$8:$D$42,ROW('03.Muestra'!$B$8:$B$42)-MIN(ROW('03.Muestra'!$D$8:$D$42))+1,""),ROW()-322)),"")</f>
        <v>1.0</v>
      </c>
      <c r="B353" s="114" t="str" cm="1">
        <f t="array" ref="B353">IFERROR(INDEX('03.Muestra'!$C$8:$C$42,SMALL(IF("Página Web"='03.Muestra'!$D$8:$D$42,ROW('03.Muestra'!$C$8:$C$42)-MIN(ROW('03.Muestra'!$D$8:$D$42))+1,""),ROW()-322)),"")</f>
        <v>Home - PortCastelló</v>
      </c>
      <c r="C353" s="114" t="str" cm="1">
        <f t="array" ref="C353">IFERROR(INDEX('03.Muestra'!$F$8:$F$42,SMALL(IF("Página Web"='03.Muestra'!$D$8:$D$42,ROW('03.Muestra'!$F$8:$F$42)-MIN(ROW('03.Muestra'!$D$8:$D$42))+1,""),ROW()-322)),"")</f>
        <v>https://www.portcastello.com/</v>
      </c>
      <c r="D353" s="130" t="str">
        <f t="shared" si="17"/>
        <v>N/T</v>
      </c>
      <c r="E353" s="107" t="str">
        <f t="shared" si="16"/>
        <v/>
      </c>
      <c r="F353" s="124"/>
      <c r="G353" s="19"/>
      <c r="H353" s="19"/>
      <c r="I353" s="19"/>
      <c r="J353" s="19"/>
      <c r="K353" s="233"/>
      <c r="L353" s="19"/>
      <c r="M353" s="19"/>
      <c r="N353" s="19"/>
      <c r="O353" s="19"/>
      <c r="P353" s="19"/>
      <c r="Q353" s="19"/>
      <c r="R353" s="19"/>
      <c r="S353" s="19"/>
      <c r="T353" s="19"/>
      <c r="U353" s="19"/>
      <c r="V353" s="19"/>
      <c r="W353" s="19"/>
      <c r="X353" s="19"/>
      <c r="Y353" s="19"/>
    </row>
    <row r="354" spans="1:25" ht="12" customHeight="1">
      <c r="A354" s="219" t="n" cm="1">
        <f t="array" ref="A354">IFERROR(INDEX('03.Muestra'!$B$8:$B$42,SMALL(IF("Página Web"='03.Muestra'!$D$8:$D$42,ROW('03.Muestra'!$B$8:$B$42)-MIN(ROW('03.Muestra'!$D$8:$D$42))+1,""),ROW()-322)),"")</f>
        <v>1.0</v>
      </c>
      <c r="B354" s="114" t="str" cm="1">
        <f t="array" ref="B354">IFERROR(INDEX('03.Muestra'!$C$8:$C$42,SMALL(IF("Página Web"='03.Muestra'!$D$8:$D$42,ROW('03.Muestra'!$C$8:$C$42)-MIN(ROW('03.Muestra'!$D$8:$D$42))+1,""),ROW()-322)),"")</f>
        <v>Home - PortCastelló</v>
      </c>
      <c r="C354" s="114" t="str" cm="1">
        <f t="array" ref="C354">IFERROR(INDEX('03.Muestra'!$F$8:$F$42,SMALL(IF("Página Web"='03.Muestra'!$D$8:$D$42,ROW('03.Muestra'!$F$8:$F$42)-MIN(ROW('03.Muestra'!$D$8:$D$42))+1,""),ROW()-322)),"")</f>
        <v>https://www.portcastello.com/</v>
      </c>
      <c r="D354" s="130" t="str">
        <f t="shared" si="17"/>
        <v>N/T</v>
      </c>
      <c r="E354" s="107" t="str">
        <f t="shared" si="16"/>
        <v/>
      </c>
      <c r="F354" s="124"/>
      <c r="G354" s="19"/>
      <c r="H354" s="19"/>
      <c r="I354" s="19"/>
      <c r="J354" s="19"/>
      <c r="K354" s="233"/>
      <c r="L354" s="19"/>
      <c r="M354" s="19"/>
      <c r="N354" s="19"/>
      <c r="O354" s="19"/>
      <c r="P354" s="19"/>
      <c r="Q354" s="19"/>
      <c r="R354" s="19"/>
      <c r="S354" s="19"/>
      <c r="T354" s="19"/>
      <c r="U354" s="19"/>
      <c r="V354" s="19"/>
      <c r="W354" s="19"/>
      <c r="X354" s="19"/>
      <c r="Y354" s="19"/>
    </row>
    <row r="355" spans="1:25" ht="12" customHeight="1">
      <c r="A355" s="219" t="n" cm="1">
        <f t="array" ref="A355">IFERROR(INDEX('03.Muestra'!$B$8:$B$42,SMALL(IF("Página Web"='03.Muestra'!$D$8:$D$42,ROW('03.Muestra'!$B$8:$B$42)-MIN(ROW('03.Muestra'!$D$8:$D$42))+1,""),ROW()-322)),"")</f>
        <v>1.0</v>
      </c>
      <c r="B355" s="114" t="str" cm="1">
        <f t="array" ref="B355">IFERROR(INDEX('03.Muestra'!$C$8:$C$42,SMALL(IF("Página Web"='03.Muestra'!$D$8:$D$42,ROW('03.Muestra'!$C$8:$C$42)-MIN(ROW('03.Muestra'!$D$8:$D$42))+1,""),ROW()-322)),"")</f>
        <v>Home - PortCastelló</v>
      </c>
      <c r="C355" s="114" t="str" cm="1">
        <f t="array" ref="C355">IFERROR(INDEX('03.Muestra'!$F$8:$F$42,SMALL(IF("Página Web"='03.Muestra'!$D$8:$D$42,ROW('03.Muestra'!$F$8:$F$42)-MIN(ROW('03.Muestra'!$D$8:$D$42))+1,""),ROW()-322)),"")</f>
        <v>https://www.portcastello.com/</v>
      </c>
      <c r="D355" s="130" t="str">
        <f t="shared" si="17"/>
        <v>N/T</v>
      </c>
      <c r="E355" s="107" t="str">
        <f t="shared" si="16"/>
        <v/>
      </c>
      <c r="F355" s="124"/>
      <c r="G355" s="19"/>
      <c r="H355" s="19"/>
      <c r="I355" s="19"/>
      <c r="J355" s="19"/>
      <c r="K355" s="233"/>
      <c r="L355" s="19"/>
      <c r="M355" s="19"/>
      <c r="N355" s="19"/>
      <c r="O355" s="19"/>
      <c r="P355" s="19"/>
      <c r="Q355" s="19"/>
      <c r="R355" s="19"/>
      <c r="S355" s="19"/>
      <c r="T355" s="19"/>
      <c r="U355" s="19"/>
      <c r="V355" s="19"/>
      <c r="W355" s="19"/>
      <c r="X355" s="19"/>
      <c r="Y355" s="19"/>
    </row>
    <row r="356" spans="1:25" ht="12" customHeight="1">
      <c r="A356" s="219" t="str" cm="1">
        <f t="array" ref="A356">IFERROR(INDEX('03.Muestra'!$B$8:$B$42,SMALL(IF("Página Web"='03.Muestra'!$D$8:$D$42,ROW('03.Muestra'!$B$8:$B$42)-MIN(ROW('03.Muestra'!$D$8:$D$42))+1,""),ROW()-322)),"")</f>
        <v/>
      </c>
      <c r="B356" s="114" t="str" cm="1">
        <f t="array" ref="B356">IFERROR(INDEX('03.Muestra'!$C$8:$C$42,SMALL(IF("Página Web"='03.Muestra'!$D$8:$D$42,ROW('03.Muestra'!$C$8:$C$42)-MIN(ROW('03.Muestra'!$D$8:$D$42))+1,""),ROW()-322)),"")</f>
        <v/>
      </c>
      <c r="C356" s="114" t="str" cm="1">
        <f t="array" ref="C356">IFERROR(INDEX('03.Muestra'!$F$8:$F$42,SMALL(IF("Página Web"='03.Muestra'!$D$8:$D$42,ROW('03.Muestra'!$F$8:$F$42)-MIN(ROW('03.Muestra'!$D$8:$D$42))+1,""),ROW()-322)),"")</f>
        <v/>
      </c>
      <c r="D356" s="130" t="str">
        <f t="shared" si="17"/>
        <v/>
      </c>
      <c r="E356" s="107" t="str">
        <f t="shared" si="16"/>
        <v/>
      </c>
      <c r="F356" s="124"/>
      <c r="G356" s="19"/>
      <c r="H356" s="19"/>
      <c r="I356" s="19"/>
      <c r="J356" s="19"/>
      <c r="K356" s="233"/>
      <c r="L356" s="19"/>
      <c r="M356" s="19"/>
      <c r="N356" s="19"/>
      <c r="O356" s="19"/>
      <c r="P356" s="19"/>
      <c r="Q356" s="19"/>
      <c r="R356" s="19"/>
      <c r="S356" s="19"/>
      <c r="T356" s="19"/>
      <c r="U356" s="19"/>
      <c r="V356" s="19"/>
      <c r="W356" s="19"/>
      <c r="X356" s="19"/>
      <c r="Y356" s="19"/>
    </row>
    <row r="357" spans="1:25" ht="12" customHeight="1">
      <c r="A357" s="219" t="str" cm="1">
        <f t="array" ref="A357">IFERROR(INDEX('03.Muestra'!$B$8:$B$42,SMALL(IF("Página Web"='03.Muestra'!$D$8:$D$42,ROW('03.Muestra'!$B$8:$B$42)-MIN(ROW('03.Muestra'!$D$8:$D$42))+1,""),ROW()-322)),"")</f>
        <v/>
      </c>
      <c r="B357" s="114" t="str" cm="1">
        <f t="array" ref="B357">IFERROR(INDEX('03.Muestra'!$C$8:$C$42,SMALL(IF("Página Web"='03.Muestra'!$D$8:$D$42,ROW('03.Muestra'!$C$8:$C$42)-MIN(ROW('03.Muestra'!$D$8:$D$42))+1,""),ROW()-322)),"")</f>
        <v/>
      </c>
      <c r="C357" s="114" t="str" cm="1">
        <f t="array" ref="C357">IFERROR(INDEX('03.Muestra'!$F$8:$F$42,SMALL(IF("Página Web"='03.Muestra'!$D$8:$D$42,ROW('03.Muestra'!$F$8:$F$42)-MIN(ROW('03.Muestra'!$D$8:$D$42))+1,""),ROW()-322)),"")</f>
        <v/>
      </c>
      <c r="D357" s="130" t="str">
        <f t="shared" si="17"/>
        <v/>
      </c>
      <c r="E357" s="107" t="str">
        <f t="shared" si="16"/>
        <v/>
      </c>
      <c r="F357" s="19"/>
      <c r="G357" s="19"/>
      <c r="H357" s="19"/>
      <c r="I357" s="19"/>
      <c r="J357" s="19"/>
      <c r="K357" s="233"/>
      <c r="L357" s="19"/>
      <c r="M357" s="19"/>
      <c r="N357" s="19"/>
      <c r="O357" s="19"/>
      <c r="P357" s="19"/>
      <c r="Q357" s="19"/>
      <c r="R357" s="19"/>
      <c r="S357" s="19"/>
      <c r="T357" s="19"/>
      <c r="U357" s="19"/>
      <c r="V357" s="19"/>
      <c r="W357" s="19"/>
      <c r="X357" s="19"/>
      <c r="Y357" s="19"/>
    </row>
    <row r="358" spans="1:25" ht="12" customHeight="1">
      <c r="B358" s="19"/>
      <c r="C358" s="19"/>
      <c r="D358" s="107"/>
      <c r="E358" s="107"/>
      <c r="F358" s="19"/>
      <c r="G358" s="19"/>
      <c r="H358" s="19"/>
      <c r="I358" s="19"/>
      <c r="J358" s="19"/>
      <c r="K358" s="233"/>
      <c r="L358" s="19"/>
      <c r="M358" s="19"/>
      <c r="N358" s="19"/>
      <c r="O358" s="19"/>
      <c r="P358" s="19"/>
      <c r="Q358" s="19"/>
      <c r="R358" s="19"/>
      <c r="S358" s="19"/>
      <c r="T358" s="19"/>
      <c r="U358" s="19"/>
      <c r="V358" s="19"/>
      <c r="W358" s="19"/>
      <c r="X358" s="19"/>
      <c r="Y358" s="19"/>
    </row>
    <row r="359" spans="1:25" ht="12" customHeight="1">
      <c r="B359" s="19"/>
      <c r="C359" s="19"/>
      <c r="D359" s="107"/>
      <c r="E359" s="107"/>
      <c r="F359" s="19"/>
      <c r="G359" s="19"/>
      <c r="H359" s="19"/>
      <c r="I359" s="19"/>
      <c r="J359" s="19"/>
      <c r="K359" s="233"/>
      <c r="L359" s="19"/>
      <c r="M359" s="19"/>
      <c r="N359" s="19"/>
      <c r="O359" s="19"/>
      <c r="P359" s="19"/>
      <c r="Q359" s="19"/>
      <c r="R359" s="19"/>
      <c r="S359" s="19"/>
      <c r="T359" s="19"/>
      <c r="U359" s="19"/>
      <c r="V359" s="19"/>
      <c r="W359" s="19"/>
      <c r="X359" s="19"/>
      <c r="Y359" s="19"/>
    </row>
    <row r="360" spans="1:25" ht="12" customHeight="1">
      <c r="B360" s="19"/>
      <c r="C360" s="19"/>
      <c r="D360" s="107"/>
      <c r="E360" s="107"/>
      <c r="F360" s="19"/>
      <c r="G360" s="19"/>
      <c r="H360" s="19"/>
      <c r="I360" s="19"/>
      <c r="J360" s="19"/>
      <c r="K360" s="233"/>
      <c r="L360" s="19"/>
      <c r="M360" s="19"/>
      <c r="N360" s="19"/>
      <c r="O360" s="19"/>
      <c r="P360" s="19"/>
      <c r="Q360" s="19"/>
      <c r="R360" s="19"/>
      <c r="S360" s="19"/>
      <c r="T360" s="19"/>
      <c r="U360" s="19"/>
      <c r="V360" s="19"/>
      <c r="W360" s="19"/>
      <c r="X360" s="19"/>
      <c r="Y360" s="19"/>
    </row>
    <row r="361" spans="1:25" ht="12" customHeight="1">
      <c r="B361" s="19"/>
      <c r="C361" s="19"/>
      <c r="D361" s="107"/>
      <c r="E361" s="107"/>
      <c r="F361" s="19"/>
      <c r="G361" s="19"/>
      <c r="H361" s="19"/>
      <c r="I361" s="19"/>
      <c r="J361" s="19"/>
      <c r="K361" s="233"/>
      <c r="L361" s="19"/>
      <c r="M361" s="19"/>
      <c r="N361" s="19"/>
      <c r="O361" s="19"/>
      <c r="P361" s="19"/>
      <c r="Q361" s="19"/>
      <c r="R361" s="19"/>
      <c r="S361" s="19"/>
      <c r="T361" s="19"/>
      <c r="U361" s="19"/>
      <c r="V361" s="19"/>
      <c r="W361" s="19"/>
      <c r="X361" s="19"/>
      <c r="Y361" s="19"/>
    </row>
    <row r="362" spans="1:25" ht="12" customHeight="1">
      <c r="B362" s="19"/>
      <c r="C362" s="19"/>
      <c r="D362" s="107"/>
      <c r="E362" s="107"/>
      <c r="F362" s="19"/>
      <c r="G362" s="19"/>
      <c r="H362" s="19"/>
      <c r="I362" s="19"/>
      <c r="J362" s="19"/>
      <c r="K362" s="233"/>
      <c r="L362" s="19"/>
      <c r="M362" s="19"/>
      <c r="N362" s="19"/>
      <c r="O362" s="19"/>
      <c r="P362" s="19"/>
      <c r="Q362" s="19"/>
      <c r="R362" s="19"/>
      <c r="S362" s="19"/>
      <c r="T362" s="19"/>
      <c r="U362" s="19"/>
      <c r="V362" s="19"/>
      <c r="W362" s="19"/>
      <c r="X362" s="19"/>
      <c r="Y362" s="19"/>
    </row>
    <row r="363" spans="1:25" ht="12" customHeight="1">
      <c r="B363" s="19"/>
      <c r="C363" s="19"/>
      <c r="D363" s="107"/>
      <c r="E363" s="107"/>
      <c r="F363" s="19"/>
      <c r="G363" s="19"/>
      <c r="H363" s="19"/>
      <c r="I363" s="19"/>
      <c r="J363" s="19"/>
      <c r="K363" s="233"/>
      <c r="L363" s="19"/>
      <c r="M363" s="19"/>
      <c r="N363" s="19"/>
      <c r="O363" s="19"/>
      <c r="P363" s="19"/>
      <c r="Q363" s="19"/>
      <c r="R363" s="19"/>
      <c r="S363" s="19"/>
      <c r="T363" s="19"/>
      <c r="U363" s="19"/>
      <c r="V363" s="19"/>
      <c r="W363" s="19"/>
      <c r="X363" s="19"/>
      <c r="Y363" s="19"/>
    </row>
    <row r="364" spans="1:25" ht="12" customHeight="1">
      <c r="B364" s="19"/>
      <c r="C364" s="19"/>
      <c r="D364" s="107"/>
      <c r="E364" s="107"/>
      <c r="F364" s="19"/>
      <c r="G364" s="19"/>
      <c r="H364" s="19"/>
      <c r="I364" s="19"/>
      <c r="J364" s="19"/>
      <c r="K364" s="233"/>
      <c r="L364" s="19"/>
      <c r="M364" s="19"/>
      <c r="N364" s="19"/>
      <c r="O364" s="19"/>
      <c r="P364" s="19"/>
      <c r="Q364" s="19"/>
      <c r="R364" s="19"/>
      <c r="S364" s="19"/>
      <c r="T364" s="19"/>
      <c r="U364" s="19"/>
      <c r="V364" s="19"/>
      <c r="W364" s="19"/>
      <c r="X364" s="19"/>
      <c r="Y364" s="19"/>
    </row>
    <row r="365" spans="1:25" ht="12" customHeight="1">
      <c r="B365" s="19"/>
      <c r="C365" s="19"/>
      <c r="D365" s="107"/>
      <c r="E365" s="107"/>
      <c r="F365" s="19"/>
      <c r="G365" s="19"/>
      <c r="H365" s="19"/>
      <c r="I365" s="19"/>
      <c r="J365" s="19"/>
      <c r="K365" s="233"/>
      <c r="L365" s="19"/>
      <c r="M365" s="19"/>
      <c r="N365" s="19"/>
      <c r="O365" s="19"/>
      <c r="P365" s="19"/>
      <c r="Q365" s="19"/>
      <c r="R365" s="19"/>
      <c r="S365" s="19"/>
      <c r="T365" s="19"/>
      <c r="U365" s="19"/>
      <c r="V365" s="19"/>
      <c r="W365" s="19"/>
      <c r="X365" s="19"/>
      <c r="Y365" s="19"/>
    </row>
    <row r="366" spans="1:25" ht="12" customHeight="1">
      <c r="B366" s="19"/>
      <c r="C366" s="19"/>
      <c r="D366" s="107"/>
      <c r="E366" s="107"/>
      <c r="F366" s="19"/>
      <c r="G366" s="19"/>
      <c r="H366" s="19"/>
      <c r="I366" s="19"/>
      <c r="J366" s="19"/>
      <c r="K366" s="233"/>
      <c r="L366" s="19"/>
      <c r="M366" s="19"/>
      <c r="N366" s="19"/>
      <c r="O366" s="19"/>
      <c r="P366" s="19"/>
      <c r="Q366" s="19"/>
      <c r="R366" s="19"/>
      <c r="S366" s="19"/>
      <c r="T366" s="19"/>
      <c r="U366" s="19"/>
      <c r="V366" s="19"/>
      <c r="W366" s="19"/>
      <c r="X366" s="19"/>
      <c r="Y366" s="19"/>
    </row>
    <row r="367" spans="1:25" ht="12" customHeight="1">
      <c r="B367" s="19"/>
      <c r="C367" s="19"/>
      <c r="D367" s="107"/>
      <c r="E367" s="107"/>
      <c r="F367" s="19"/>
      <c r="G367" s="19"/>
      <c r="H367" s="19"/>
      <c r="I367" s="19"/>
      <c r="J367" s="19"/>
      <c r="K367" s="233"/>
      <c r="L367" s="19"/>
      <c r="M367" s="19"/>
      <c r="N367" s="19"/>
      <c r="O367" s="19"/>
      <c r="P367" s="19"/>
      <c r="Q367" s="19"/>
      <c r="R367" s="19"/>
      <c r="S367" s="19"/>
      <c r="T367" s="19"/>
      <c r="U367" s="19"/>
      <c r="V367" s="19"/>
      <c r="W367" s="19"/>
      <c r="X367" s="19"/>
      <c r="Y367" s="19"/>
    </row>
    <row r="368" spans="1:25" ht="12" customHeight="1">
      <c r="B368" s="19"/>
      <c r="C368" s="19"/>
      <c r="D368" s="107"/>
      <c r="E368" s="107"/>
      <c r="F368" s="19"/>
      <c r="G368" s="19"/>
      <c r="H368" s="19"/>
      <c r="I368" s="19"/>
      <c r="J368" s="19"/>
      <c r="K368" s="233"/>
      <c r="L368" s="19"/>
      <c r="M368" s="19"/>
      <c r="N368" s="19"/>
      <c r="O368" s="19"/>
      <c r="P368" s="19"/>
      <c r="Q368" s="19"/>
      <c r="R368" s="19"/>
      <c r="S368" s="19"/>
      <c r="T368" s="19"/>
      <c r="U368" s="19"/>
      <c r="V368" s="19"/>
      <c r="W368" s="19"/>
      <c r="X368" s="19"/>
      <c r="Y368" s="19"/>
    </row>
    <row r="369" spans="2:25" ht="12" customHeight="1">
      <c r="B369" s="19"/>
      <c r="C369" s="19"/>
      <c r="D369" s="107"/>
      <c r="E369" s="107"/>
      <c r="F369" s="19"/>
      <c r="G369" s="19"/>
      <c r="H369" s="19"/>
      <c r="I369" s="19"/>
      <c r="J369" s="19"/>
      <c r="K369" s="233"/>
      <c r="L369" s="19"/>
      <c r="M369" s="19"/>
      <c r="N369" s="19"/>
      <c r="O369" s="19"/>
      <c r="P369" s="19"/>
      <c r="Q369" s="19"/>
      <c r="R369" s="19"/>
      <c r="S369" s="19"/>
      <c r="T369" s="19"/>
      <c r="U369" s="19"/>
      <c r="V369" s="19"/>
      <c r="W369" s="19"/>
      <c r="X369" s="19"/>
      <c r="Y369" s="19"/>
    </row>
    <row r="370" spans="2:25" ht="12" customHeight="1">
      <c r="B370" s="19"/>
      <c r="C370" s="19"/>
      <c r="D370" s="107"/>
      <c r="E370" s="107"/>
      <c r="F370" s="19"/>
      <c r="G370" s="19"/>
      <c r="H370" s="19"/>
      <c r="I370" s="19"/>
      <c r="J370" s="19"/>
      <c r="K370" s="233"/>
      <c r="L370" s="19"/>
      <c r="M370" s="19"/>
      <c r="N370" s="19"/>
      <c r="O370" s="19"/>
      <c r="P370" s="19"/>
      <c r="Q370" s="19"/>
      <c r="R370" s="19"/>
      <c r="S370" s="19"/>
      <c r="T370" s="19"/>
      <c r="U370" s="19"/>
      <c r="V370" s="19"/>
      <c r="W370" s="19"/>
      <c r="X370" s="19"/>
      <c r="Y370" s="19"/>
    </row>
    <row r="371" spans="2:25" ht="12" customHeight="1">
      <c r="B371" s="19"/>
      <c r="C371" s="19"/>
      <c r="D371" s="107"/>
      <c r="E371" s="107"/>
      <c r="F371" s="19"/>
      <c r="G371" s="19"/>
      <c r="H371" s="19"/>
      <c r="I371" s="19"/>
      <c r="J371" s="19"/>
      <c r="K371" s="233"/>
      <c r="L371" s="19"/>
      <c r="M371" s="19"/>
      <c r="N371" s="19"/>
      <c r="O371" s="19"/>
      <c r="P371" s="19"/>
      <c r="Q371" s="19"/>
      <c r="R371" s="19"/>
      <c r="S371" s="19"/>
      <c r="T371" s="19"/>
      <c r="U371" s="19"/>
      <c r="V371" s="19"/>
      <c r="W371" s="19"/>
      <c r="X371" s="19"/>
      <c r="Y371" s="19"/>
    </row>
    <row r="372" spans="2:25" ht="12" customHeight="1">
      <c r="B372" s="19"/>
      <c r="C372" s="19"/>
      <c r="D372" s="107"/>
      <c r="E372" s="107"/>
      <c r="F372" s="19"/>
      <c r="G372" s="19"/>
      <c r="H372" s="19"/>
      <c r="I372" s="19"/>
      <c r="J372" s="19"/>
      <c r="K372" s="233"/>
      <c r="L372" s="19"/>
      <c r="M372" s="19"/>
      <c r="N372" s="19"/>
      <c r="O372" s="19"/>
      <c r="P372" s="19"/>
      <c r="Q372" s="19"/>
      <c r="R372" s="19"/>
      <c r="S372" s="19"/>
      <c r="T372" s="19"/>
      <c r="U372" s="19"/>
      <c r="V372" s="19"/>
      <c r="W372" s="19"/>
      <c r="X372" s="19"/>
      <c r="Y372" s="19"/>
    </row>
    <row r="373" spans="2:25" ht="12" customHeight="1">
      <c r="B373" s="19"/>
      <c r="C373" s="19"/>
      <c r="D373" s="107"/>
      <c r="E373" s="107"/>
      <c r="F373" s="19"/>
      <c r="G373" s="19"/>
      <c r="H373" s="19"/>
      <c r="I373" s="19"/>
      <c r="J373" s="19"/>
      <c r="K373" s="233"/>
      <c r="L373" s="19"/>
      <c r="M373" s="19"/>
      <c r="N373" s="19"/>
      <c r="O373" s="19"/>
      <c r="P373" s="19"/>
      <c r="Q373" s="19"/>
      <c r="R373" s="19"/>
      <c r="S373" s="19"/>
      <c r="T373" s="19"/>
      <c r="U373" s="19"/>
      <c r="V373" s="19"/>
      <c r="W373" s="19"/>
      <c r="X373" s="19"/>
      <c r="Y373" s="19"/>
    </row>
    <row r="374" spans="2:25" ht="12" customHeight="1">
      <c r="B374" s="19"/>
      <c r="C374" s="19"/>
      <c r="D374" s="107"/>
      <c r="E374" s="107"/>
      <c r="F374" s="19"/>
      <c r="G374" s="19"/>
      <c r="H374" s="19"/>
      <c r="I374" s="19"/>
      <c r="J374" s="19"/>
      <c r="K374" s="233"/>
      <c r="L374" s="19"/>
      <c r="M374" s="19"/>
      <c r="N374" s="19"/>
      <c r="O374" s="19"/>
      <c r="P374" s="19"/>
      <c r="Q374" s="19"/>
      <c r="R374" s="19"/>
      <c r="S374" s="19"/>
      <c r="T374" s="19"/>
      <c r="U374" s="19"/>
      <c r="V374" s="19"/>
      <c r="W374" s="19"/>
      <c r="X374" s="19"/>
      <c r="Y374" s="19"/>
    </row>
    <row r="375" spans="2:25" ht="12" customHeight="1">
      <c r="B375" s="19"/>
      <c r="C375" s="19"/>
      <c r="D375" s="107"/>
      <c r="E375" s="107"/>
      <c r="F375" s="19"/>
      <c r="G375" s="19"/>
      <c r="H375" s="19"/>
      <c r="I375" s="19"/>
      <c r="J375" s="19"/>
      <c r="K375" s="233"/>
      <c r="L375" s="19"/>
      <c r="M375" s="19"/>
      <c r="N375" s="19"/>
      <c r="O375" s="19"/>
      <c r="P375" s="19"/>
      <c r="Q375" s="19"/>
      <c r="R375" s="19"/>
      <c r="S375" s="19"/>
      <c r="T375" s="19"/>
      <c r="U375" s="19"/>
      <c r="V375" s="19"/>
      <c r="W375" s="19"/>
      <c r="X375" s="19"/>
      <c r="Y375" s="19"/>
    </row>
    <row r="376" spans="2:25" ht="12" customHeight="1">
      <c r="B376" s="19"/>
      <c r="C376" s="19"/>
      <c r="D376" s="107"/>
      <c r="E376" s="107"/>
      <c r="F376" s="19"/>
      <c r="G376" s="19"/>
      <c r="H376" s="19"/>
      <c r="I376" s="19"/>
      <c r="J376" s="19"/>
      <c r="K376" s="233"/>
      <c r="L376" s="19"/>
      <c r="M376" s="19"/>
      <c r="N376" s="19"/>
      <c r="O376" s="19"/>
      <c r="P376" s="19"/>
      <c r="Q376" s="19"/>
      <c r="R376" s="19"/>
      <c r="S376" s="19"/>
      <c r="T376" s="19"/>
      <c r="U376" s="19"/>
      <c r="V376" s="19"/>
      <c r="W376" s="19"/>
      <c r="X376" s="19"/>
      <c r="Y376" s="19"/>
    </row>
    <row r="377" spans="2:25" ht="12" customHeight="1">
      <c r="B377" s="19"/>
      <c r="C377" s="19"/>
      <c r="D377" s="107"/>
      <c r="E377" s="107"/>
      <c r="F377" s="19"/>
      <c r="G377" s="19"/>
      <c r="H377" s="19"/>
      <c r="I377" s="19"/>
      <c r="J377" s="19"/>
      <c r="K377" s="233"/>
      <c r="L377" s="19"/>
      <c r="M377" s="19"/>
      <c r="N377" s="19"/>
      <c r="O377" s="19"/>
      <c r="P377" s="19"/>
      <c r="Q377" s="19"/>
      <c r="R377" s="19"/>
      <c r="S377" s="19"/>
      <c r="T377" s="19"/>
      <c r="U377" s="19"/>
      <c r="V377" s="19"/>
      <c r="W377" s="19"/>
      <c r="X377" s="19"/>
      <c r="Y377" s="19"/>
    </row>
    <row r="378" spans="2:25" ht="12" customHeight="1">
      <c r="B378" s="19"/>
      <c r="C378" s="19"/>
      <c r="D378" s="107"/>
      <c r="E378" s="107"/>
      <c r="F378" s="19"/>
      <c r="G378" s="19"/>
      <c r="H378" s="19"/>
      <c r="I378" s="19"/>
      <c r="J378" s="19"/>
      <c r="K378" s="233"/>
      <c r="L378" s="19"/>
      <c r="M378" s="19"/>
      <c r="N378" s="19"/>
      <c r="O378" s="19"/>
      <c r="P378" s="19"/>
      <c r="Q378" s="19"/>
      <c r="R378" s="19"/>
      <c r="S378" s="19"/>
      <c r="T378" s="19"/>
      <c r="U378" s="19"/>
      <c r="V378" s="19"/>
      <c r="W378" s="19"/>
      <c r="X378" s="19"/>
      <c r="Y378" s="19"/>
    </row>
    <row r="379" spans="2:25" ht="12" customHeight="1">
      <c r="B379" s="19"/>
      <c r="C379" s="19"/>
      <c r="D379" s="107"/>
      <c r="E379" s="107"/>
      <c r="F379" s="19"/>
      <c r="G379" s="19"/>
      <c r="H379" s="19"/>
      <c r="I379" s="19"/>
      <c r="J379" s="19"/>
      <c r="K379" s="233"/>
      <c r="L379" s="19"/>
      <c r="M379" s="19"/>
      <c r="N379" s="19"/>
      <c r="O379" s="19"/>
      <c r="P379" s="19"/>
      <c r="Q379" s="19"/>
      <c r="R379" s="19"/>
      <c r="S379" s="19"/>
      <c r="T379" s="19"/>
      <c r="U379" s="19"/>
      <c r="V379" s="19"/>
      <c r="W379" s="19"/>
      <c r="X379" s="19"/>
      <c r="Y379" s="19"/>
    </row>
    <row r="380" spans="2:25" ht="12" customHeight="1">
      <c r="B380" s="19"/>
      <c r="C380" s="19"/>
      <c r="D380" s="107"/>
      <c r="E380" s="107"/>
      <c r="F380" s="19"/>
      <c r="G380" s="19"/>
      <c r="H380" s="19"/>
      <c r="I380" s="19"/>
      <c r="J380" s="19"/>
      <c r="K380" s="233"/>
      <c r="L380" s="19"/>
      <c r="M380" s="19"/>
      <c r="N380" s="19"/>
      <c r="O380" s="19"/>
      <c r="P380" s="19"/>
      <c r="Q380" s="19"/>
      <c r="R380" s="19"/>
      <c r="S380" s="19"/>
      <c r="T380" s="19"/>
      <c r="U380" s="19"/>
      <c r="V380" s="19"/>
      <c r="W380" s="19"/>
      <c r="X380" s="19"/>
      <c r="Y380" s="19"/>
    </row>
    <row r="381" spans="2:25" ht="12" customHeight="1">
      <c r="B381" s="19"/>
      <c r="C381" s="19"/>
      <c r="D381" s="107"/>
      <c r="E381" s="107"/>
      <c r="F381" s="19"/>
      <c r="G381" s="19"/>
      <c r="H381" s="19"/>
      <c r="I381" s="19"/>
      <c r="J381" s="19"/>
      <c r="K381" s="233"/>
      <c r="L381" s="19"/>
      <c r="M381" s="19"/>
      <c r="N381" s="19"/>
      <c r="O381" s="19"/>
      <c r="P381" s="19"/>
      <c r="Q381" s="19"/>
      <c r="R381" s="19"/>
      <c r="S381" s="19"/>
      <c r="T381" s="19"/>
      <c r="U381" s="19"/>
      <c r="V381" s="19"/>
      <c r="W381" s="19"/>
      <c r="X381" s="19"/>
      <c r="Y381" s="19"/>
    </row>
    <row r="382" spans="2:25" ht="12" customHeight="1">
      <c r="B382" s="19"/>
      <c r="C382" s="19"/>
      <c r="D382" s="107"/>
      <c r="E382" s="107"/>
      <c r="F382" s="19"/>
      <c r="G382" s="19"/>
      <c r="H382" s="19"/>
      <c r="I382" s="19"/>
      <c r="J382" s="19"/>
      <c r="K382" s="233"/>
      <c r="L382" s="19"/>
      <c r="M382" s="19"/>
      <c r="N382" s="19"/>
      <c r="O382" s="19"/>
      <c r="P382" s="19"/>
      <c r="Q382" s="19"/>
      <c r="R382" s="19"/>
      <c r="S382" s="19"/>
      <c r="T382" s="19"/>
      <c r="U382" s="19"/>
      <c r="V382" s="19"/>
      <c r="W382" s="19"/>
      <c r="X382" s="19"/>
      <c r="Y382" s="19"/>
    </row>
    <row r="383" spans="2:25" ht="12" customHeight="1">
      <c r="B383" s="19"/>
      <c r="C383" s="19"/>
      <c r="D383" s="107"/>
      <c r="E383" s="107"/>
      <c r="F383" s="19"/>
      <c r="G383" s="19"/>
      <c r="H383" s="19"/>
      <c r="I383" s="19"/>
      <c r="J383" s="19"/>
      <c r="K383" s="233"/>
      <c r="L383" s="19"/>
      <c r="M383" s="19"/>
      <c r="N383" s="19"/>
      <c r="O383" s="19"/>
      <c r="P383" s="19"/>
      <c r="Q383" s="19"/>
      <c r="R383" s="19"/>
      <c r="S383" s="19"/>
      <c r="T383" s="19"/>
      <c r="U383" s="19"/>
      <c r="V383" s="19"/>
      <c r="W383" s="19"/>
      <c r="X383" s="19"/>
      <c r="Y383" s="19"/>
    </row>
    <row r="384" spans="2:25" ht="12" customHeight="1">
      <c r="B384" s="19"/>
      <c r="C384" s="19"/>
      <c r="D384" s="107"/>
      <c r="E384" s="107"/>
      <c r="F384" s="19"/>
      <c r="G384" s="19"/>
      <c r="H384" s="19"/>
      <c r="I384" s="19"/>
      <c r="J384" s="19"/>
      <c r="K384" s="233"/>
      <c r="L384" s="19"/>
      <c r="M384" s="19"/>
      <c r="N384" s="19"/>
      <c r="O384" s="19"/>
      <c r="P384" s="19"/>
      <c r="Q384" s="19"/>
      <c r="R384" s="19"/>
      <c r="S384" s="19"/>
      <c r="T384" s="19"/>
      <c r="U384" s="19"/>
      <c r="V384" s="19"/>
      <c r="W384" s="19"/>
      <c r="X384" s="19"/>
      <c r="Y384" s="19"/>
    </row>
    <row r="385" spans="2:25" ht="12" customHeight="1">
      <c r="B385" s="19"/>
      <c r="C385" s="19"/>
      <c r="D385" s="107"/>
      <c r="E385" s="107"/>
      <c r="F385" s="19"/>
      <c r="G385" s="19"/>
      <c r="H385" s="19"/>
      <c r="I385" s="19"/>
      <c r="J385" s="19"/>
      <c r="K385" s="233"/>
      <c r="L385" s="19"/>
      <c r="M385" s="19"/>
      <c r="N385" s="19"/>
      <c r="O385" s="19"/>
      <c r="P385" s="19"/>
      <c r="Q385" s="19"/>
      <c r="R385" s="19"/>
      <c r="S385" s="19"/>
      <c r="T385" s="19"/>
      <c r="U385" s="19"/>
      <c r="V385" s="19"/>
      <c r="W385" s="19"/>
      <c r="X385" s="19"/>
      <c r="Y385" s="19"/>
    </row>
    <row r="386" spans="2:25" ht="12" customHeight="1">
      <c r="B386" s="19"/>
      <c r="C386" s="19"/>
      <c r="D386" s="107"/>
      <c r="E386" s="107"/>
      <c r="F386" s="19"/>
      <c r="G386" s="19"/>
      <c r="H386" s="19"/>
      <c r="I386" s="19"/>
      <c r="J386" s="19"/>
      <c r="K386" s="233"/>
      <c r="L386" s="19"/>
      <c r="M386" s="19"/>
      <c r="N386" s="19"/>
      <c r="O386" s="19"/>
      <c r="P386" s="19"/>
      <c r="Q386" s="19"/>
      <c r="R386" s="19"/>
      <c r="S386" s="19"/>
      <c r="T386" s="19"/>
      <c r="U386" s="19"/>
      <c r="V386" s="19"/>
      <c r="W386" s="19"/>
      <c r="X386" s="19"/>
      <c r="Y386" s="19"/>
    </row>
    <row r="387" spans="2:25" ht="12" customHeight="1">
      <c r="B387" s="19"/>
      <c r="C387" s="19"/>
      <c r="D387" s="107"/>
      <c r="E387" s="107"/>
      <c r="F387" s="19"/>
      <c r="G387" s="19"/>
      <c r="H387" s="19"/>
      <c r="I387" s="19"/>
      <c r="J387" s="19"/>
      <c r="K387" s="233"/>
      <c r="L387" s="19"/>
      <c r="M387" s="19"/>
      <c r="N387" s="19"/>
      <c r="O387" s="19"/>
      <c r="P387" s="19"/>
      <c r="Q387" s="19"/>
      <c r="R387" s="19"/>
      <c r="S387" s="19"/>
      <c r="T387" s="19"/>
      <c r="U387" s="19"/>
      <c r="V387" s="19"/>
      <c r="W387" s="19"/>
      <c r="X387" s="19"/>
      <c r="Y387" s="19"/>
    </row>
    <row r="388" spans="2:25" ht="12" customHeight="1">
      <c r="B388" s="19"/>
      <c r="C388" s="19"/>
      <c r="D388" s="107"/>
      <c r="E388" s="107"/>
      <c r="F388" s="19"/>
      <c r="G388" s="19"/>
      <c r="H388" s="19"/>
      <c r="I388" s="19"/>
      <c r="J388" s="19"/>
      <c r="K388" s="233"/>
      <c r="L388" s="19"/>
      <c r="M388" s="19"/>
      <c r="N388" s="19"/>
      <c r="O388" s="19"/>
      <c r="P388" s="19"/>
      <c r="Q388" s="19"/>
      <c r="R388" s="19"/>
      <c r="S388" s="19"/>
      <c r="T388" s="19"/>
      <c r="U388" s="19"/>
      <c r="V388" s="19"/>
      <c r="W388" s="19"/>
      <c r="X388" s="19"/>
      <c r="Y388" s="19"/>
    </row>
    <row r="389" spans="2:25" ht="12" customHeight="1">
      <c r="B389" s="19"/>
      <c r="C389" s="19"/>
      <c r="D389" s="107"/>
      <c r="E389" s="107"/>
      <c r="F389" s="19"/>
      <c r="G389" s="19"/>
      <c r="H389" s="19"/>
      <c r="I389" s="19"/>
      <c r="J389" s="19"/>
      <c r="K389" s="233"/>
      <c r="L389" s="19"/>
      <c r="M389" s="19"/>
      <c r="N389" s="19"/>
      <c r="O389" s="19"/>
      <c r="P389" s="19"/>
      <c r="Q389" s="19"/>
      <c r="R389" s="19"/>
      <c r="S389" s="19"/>
      <c r="T389" s="19"/>
      <c r="U389" s="19"/>
      <c r="V389" s="19"/>
      <c r="W389" s="19"/>
      <c r="X389" s="19"/>
      <c r="Y389" s="19"/>
    </row>
    <row r="390" spans="2:25" ht="12" customHeight="1">
      <c r="B390" s="19"/>
      <c r="C390" s="19"/>
      <c r="D390" s="107"/>
      <c r="E390" s="107"/>
      <c r="F390" s="19"/>
      <c r="G390" s="19"/>
      <c r="H390" s="19"/>
      <c r="I390" s="19"/>
      <c r="J390" s="19"/>
      <c r="K390" s="233"/>
      <c r="L390" s="19"/>
      <c r="M390" s="19"/>
      <c r="N390" s="19"/>
      <c r="O390" s="19"/>
      <c r="P390" s="19"/>
      <c r="Q390" s="19"/>
      <c r="R390" s="19"/>
      <c r="S390" s="19"/>
      <c r="T390" s="19"/>
      <c r="U390" s="19"/>
      <c r="V390" s="19"/>
      <c r="W390" s="19"/>
      <c r="X390" s="19"/>
      <c r="Y390" s="19"/>
    </row>
    <row r="391" spans="2:25" ht="12" customHeight="1">
      <c r="B391" s="19"/>
      <c r="C391" s="19"/>
      <c r="D391" s="107"/>
      <c r="E391" s="107"/>
      <c r="F391" s="19"/>
      <c r="G391" s="19"/>
      <c r="H391" s="19"/>
      <c r="I391" s="19"/>
      <c r="J391" s="19"/>
      <c r="K391" s="233"/>
      <c r="L391" s="19"/>
      <c r="M391" s="19"/>
      <c r="N391" s="19"/>
      <c r="O391" s="19"/>
      <c r="P391" s="19"/>
      <c r="Q391" s="19"/>
      <c r="R391" s="19"/>
      <c r="S391" s="19"/>
      <c r="T391" s="19"/>
      <c r="U391" s="19"/>
      <c r="V391" s="19"/>
      <c r="W391" s="19"/>
      <c r="X391" s="19"/>
      <c r="Y391" s="19"/>
    </row>
    <row r="392" spans="2:25" ht="12" customHeight="1">
      <c r="B392" s="19"/>
      <c r="C392" s="19"/>
      <c r="D392" s="107"/>
      <c r="E392" s="107"/>
      <c r="F392" s="19"/>
      <c r="G392" s="19"/>
      <c r="H392" s="19"/>
      <c r="I392" s="19"/>
      <c r="J392" s="19"/>
      <c r="K392" s="233"/>
      <c r="L392" s="19"/>
      <c r="M392" s="19"/>
      <c r="N392" s="19"/>
      <c r="O392" s="19"/>
      <c r="P392" s="19"/>
      <c r="Q392" s="19"/>
      <c r="R392" s="19"/>
      <c r="S392" s="19"/>
      <c r="T392" s="19"/>
      <c r="U392" s="19"/>
      <c r="V392" s="19"/>
      <c r="W392" s="19"/>
      <c r="X392" s="19"/>
      <c r="Y392" s="19"/>
    </row>
    <row r="393" spans="2:25" ht="12" customHeight="1">
      <c r="B393" s="19"/>
      <c r="C393" s="19"/>
      <c r="D393" s="107"/>
      <c r="E393" s="107"/>
      <c r="F393" s="19"/>
      <c r="G393" s="19"/>
      <c r="H393" s="19"/>
      <c r="I393" s="19"/>
      <c r="J393" s="19"/>
      <c r="K393" s="233"/>
      <c r="L393" s="19"/>
      <c r="M393" s="19"/>
      <c r="N393" s="19"/>
      <c r="O393" s="19"/>
      <c r="P393" s="19"/>
      <c r="Q393" s="19"/>
      <c r="R393" s="19"/>
      <c r="S393" s="19"/>
      <c r="T393" s="19"/>
      <c r="U393" s="19"/>
      <c r="V393" s="19"/>
      <c r="W393" s="19"/>
      <c r="X393" s="19"/>
      <c r="Y393" s="19"/>
    </row>
    <row r="394" spans="2:25" ht="12" customHeight="1">
      <c r="B394" s="19"/>
      <c r="C394" s="19"/>
      <c r="D394" s="107"/>
      <c r="E394" s="107"/>
      <c r="F394" s="19"/>
      <c r="G394" s="19"/>
      <c r="H394" s="19"/>
      <c r="I394" s="19"/>
      <c r="J394" s="19"/>
      <c r="K394" s="233"/>
      <c r="L394" s="19"/>
      <c r="M394" s="19"/>
      <c r="N394" s="19"/>
      <c r="O394" s="19"/>
      <c r="P394" s="19"/>
      <c r="Q394" s="19"/>
      <c r="R394" s="19"/>
      <c r="S394" s="19"/>
      <c r="T394" s="19"/>
      <c r="U394" s="19"/>
      <c r="V394" s="19"/>
      <c r="W394" s="19"/>
      <c r="X394" s="19"/>
      <c r="Y394" s="19"/>
    </row>
    <row r="395" spans="2:25" ht="12" customHeight="1">
      <c r="B395" s="19"/>
      <c r="C395" s="19"/>
      <c r="D395" s="107"/>
      <c r="E395" s="107"/>
      <c r="F395" s="19"/>
      <c r="G395" s="19"/>
      <c r="H395" s="19"/>
      <c r="I395" s="19"/>
      <c r="J395" s="19"/>
      <c r="K395" s="233"/>
      <c r="L395" s="19"/>
      <c r="M395" s="19"/>
      <c r="N395" s="19"/>
      <c r="O395" s="19"/>
      <c r="P395" s="19"/>
      <c r="Q395" s="19"/>
      <c r="R395" s="19"/>
      <c r="S395" s="19"/>
      <c r="T395" s="19"/>
      <c r="U395" s="19"/>
      <c r="V395" s="19"/>
      <c r="W395" s="19"/>
      <c r="X395" s="19"/>
      <c r="Y395" s="19"/>
    </row>
    <row r="396" spans="2:25" ht="12" customHeight="1">
      <c r="B396" s="19"/>
      <c r="C396" s="19"/>
      <c r="D396" s="107"/>
      <c r="E396" s="107"/>
      <c r="F396" s="19"/>
      <c r="G396" s="19"/>
      <c r="H396" s="19"/>
      <c r="I396" s="19"/>
      <c r="J396" s="19"/>
      <c r="K396" s="233"/>
      <c r="L396" s="19"/>
      <c r="M396" s="19"/>
      <c r="N396" s="19"/>
      <c r="O396" s="19"/>
      <c r="P396" s="19"/>
      <c r="Q396" s="19"/>
      <c r="R396" s="19"/>
      <c r="S396" s="19"/>
      <c r="T396" s="19"/>
      <c r="U396" s="19"/>
      <c r="V396" s="19"/>
      <c r="W396" s="19"/>
      <c r="X396" s="19"/>
      <c r="Y396" s="19"/>
    </row>
    <row r="397" spans="2:25" ht="12" customHeight="1">
      <c r="B397" s="19"/>
      <c r="C397" s="19"/>
      <c r="D397" s="107"/>
      <c r="E397" s="107"/>
      <c r="F397" s="19"/>
      <c r="G397" s="19"/>
      <c r="H397" s="19"/>
      <c r="I397" s="19"/>
      <c r="J397" s="19"/>
      <c r="K397" s="233"/>
      <c r="L397" s="19"/>
      <c r="M397" s="19"/>
      <c r="N397" s="19"/>
      <c r="O397" s="19"/>
      <c r="P397" s="19"/>
      <c r="Q397" s="19"/>
      <c r="R397" s="19"/>
      <c r="S397" s="19"/>
      <c r="T397" s="19"/>
      <c r="U397" s="19"/>
      <c r="V397" s="19"/>
      <c r="W397" s="19"/>
      <c r="X397" s="19"/>
      <c r="Y397" s="19"/>
    </row>
    <row r="398" spans="2:25" ht="12" customHeight="1">
      <c r="B398" s="19"/>
      <c r="C398" s="19"/>
      <c r="D398" s="107"/>
      <c r="E398" s="107"/>
      <c r="F398" s="19"/>
      <c r="G398" s="19"/>
      <c r="H398" s="19"/>
      <c r="I398" s="19"/>
      <c r="J398" s="19"/>
      <c r="K398" s="233"/>
      <c r="L398" s="19"/>
      <c r="M398" s="19"/>
      <c r="N398" s="19"/>
      <c r="O398" s="19"/>
      <c r="P398" s="19"/>
      <c r="Q398" s="19"/>
      <c r="R398" s="19"/>
      <c r="S398" s="19"/>
      <c r="T398" s="19"/>
      <c r="U398" s="19"/>
      <c r="V398" s="19"/>
      <c r="W398" s="19"/>
      <c r="X398" s="19"/>
      <c r="Y398" s="19"/>
    </row>
    <row r="399" spans="2:25" ht="12" customHeight="1">
      <c r="B399" s="19"/>
      <c r="C399" s="19"/>
      <c r="D399" s="107"/>
      <c r="E399" s="107"/>
      <c r="F399" s="19"/>
      <c r="G399" s="19"/>
      <c r="H399" s="19"/>
      <c r="I399" s="19"/>
      <c r="J399" s="19"/>
      <c r="K399" s="233"/>
      <c r="L399" s="19"/>
      <c r="M399" s="19"/>
      <c r="N399" s="19"/>
      <c r="O399" s="19"/>
      <c r="P399" s="19"/>
      <c r="Q399" s="19"/>
      <c r="R399" s="19"/>
      <c r="S399" s="19"/>
      <c r="T399" s="19"/>
      <c r="U399" s="19"/>
      <c r="V399" s="19"/>
      <c r="W399" s="19"/>
      <c r="X399" s="19"/>
      <c r="Y399" s="19"/>
    </row>
    <row r="400" spans="2:25" ht="12" customHeight="1">
      <c r="B400" s="19"/>
      <c r="C400" s="19"/>
      <c r="D400" s="107"/>
      <c r="E400" s="107"/>
      <c r="F400" s="19"/>
      <c r="G400" s="19"/>
      <c r="H400" s="19"/>
      <c r="I400" s="19"/>
      <c r="J400" s="19"/>
      <c r="K400" s="233"/>
      <c r="L400" s="19"/>
      <c r="M400" s="19"/>
      <c r="N400" s="19"/>
      <c r="O400" s="19"/>
      <c r="P400" s="19"/>
      <c r="Q400" s="19"/>
      <c r="R400" s="19"/>
      <c r="S400" s="19"/>
      <c r="T400" s="19"/>
      <c r="U400" s="19"/>
      <c r="V400" s="19"/>
      <c r="W400" s="19"/>
      <c r="X400" s="19"/>
      <c r="Y400" s="19"/>
    </row>
    <row r="401" spans="2:25" ht="12" customHeight="1">
      <c r="B401" s="19"/>
      <c r="C401" s="19"/>
      <c r="D401" s="107"/>
      <c r="E401" s="107"/>
      <c r="F401" s="19"/>
      <c r="G401" s="19"/>
      <c r="H401" s="19"/>
      <c r="I401" s="19"/>
      <c r="J401" s="19"/>
      <c r="K401" s="233"/>
      <c r="L401" s="19"/>
      <c r="M401" s="19"/>
      <c r="N401" s="19"/>
      <c r="O401" s="19"/>
      <c r="P401" s="19"/>
      <c r="Q401" s="19"/>
      <c r="R401" s="19"/>
      <c r="S401" s="19"/>
      <c r="T401" s="19"/>
      <c r="U401" s="19"/>
      <c r="V401" s="19"/>
      <c r="W401" s="19"/>
      <c r="X401" s="19"/>
      <c r="Y401" s="19"/>
    </row>
    <row r="402" spans="2:25" ht="12" customHeight="1">
      <c r="B402" s="19"/>
      <c r="C402" s="19"/>
      <c r="D402" s="107"/>
      <c r="E402" s="107"/>
      <c r="F402" s="19"/>
      <c r="G402" s="19"/>
      <c r="H402" s="19"/>
      <c r="I402" s="19"/>
      <c r="J402" s="19"/>
      <c r="K402" s="233"/>
      <c r="L402" s="19"/>
      <c r="M402" s="19"/>
      <c r="N402" s="19"/>
      <c r="O402" s="19"/>
      <c r="P402" s="19"/>
      <c r="Q402" s="19"/>
      <c r="R402" s="19"/>
      <c r="S402" s="19"/>
      <c r="T402" s="19"/>
      <c r="U402" s="19"/>
      <c r="V402" s="19"/>
      <c r="W402" s="19"/>
      <c r="X402" s="19"/>
      <c r="Y402" s="19"/>
    </row>
    <row r="403" spans="2:25" ht="12" customHeight="1">
      <c r="B403" s="19"/>
      <c r="C403" s="19"/>
      <c r="D403" s="107"/>
      <c r="E403" s="107"/>
      <c r="F403" s="19"/>
      <c r="G403" s="19"/>
      <c r="H403" s="19"/>
      <c r="I403" s="19"/>
      <c r="J403" s="19"/>
      <c r="K403" s="233"/>
      <c r="L403" s="19"/>
      <c r="M403" s="19"/>
      <c r="N403" s="19"/>
      <c r="O403" s="19"/>
      <c r="P403" s="19"/>
      <c r="Q403" s="19"/>
      <c r="R403" s="19"/>
      <c r="S403" s="19"/>
      <c r="T403" s="19"/>
      <c r="U403" s="19"/>
      <c r="V403" s="19"/>
      <c r="W403" s="19"/>
      <c r="X403" s="19"/>
      <c r="Y403" s="19"/>
    </row>
    <row r="404" spans="2:25" ht="12" customHeight="1">
      <c r="B404" s="19"/>
      <c r="C404" s="19"/>
      <c r="D404" s="107"/>
      <c r="E404" s="107"/>
      <c r="F404" s="19"/>
      <c r="G404" s="19"/>
      <c r="H404" s="19"/>
      <c r="I404" s="19"/>
      <c r="J404" s="19"/>
      <c r="K404" s="233"/>
      <c r="L404" s="19"/>
      <c r="M404" s="19"/>
      <c r="N404" s="19"/>
      <c r="O404" s="19"/>
      <c r="P404" s="19"/>
      <c r="Q404" s="19"/>
      <c r="R404" s="19"/>
      <c r="S404" s="19"/>
      <c r="T404" s="19"/>
      <c r="U404" s="19"/>
      <c r="V404" s="19"/>
      <c r="W404" s="19"/>
      <c r="X404" s="19"/>
      <c r="Y404" s="19"/>
    </row>
    <row r="405" spans="2:25" ht="12" customHeight="1">
      <c r="B405" s="19"/>
      <c r="C405" s="19"/>
      <c r="D405" s="107"/>
      <c r="E405" s="107"/>
      <c r="F405" s="19"/>
      <c r="G405" s="19"/>
      <c r="H405" s="19"/>
      <c r="I405" s="19"/>
      <c r="J405" s="19"/>
      <c r="K405" s="233"/>
      <c r="L405" s="19"/>
      <c r="M405" s="19"/>
      <c r="N405" s="19"/>
      <c r="O405" s="19"/>
      <c r="P405" s="19"/>
      <c r="Q405" s="19"/>
      <c r="R405" s="19"/>
      <c r="S405" s="19"/>
      <c r="T405" s="19"/>
      <c r="U405" s="19"/>
      <c r="V405" s="19"/>
      <c r="W405" s="19"/>
      <c r="X405" s="19"/>
      <c r="Y405" s="19"/>
    </row>
    <row r="406" spans="2:25" ht="12" customHeight="1">
      <c r="B406" s="19"/>
      <c r="C406" s="19"/>
      <c r="D406" s="107"/>
      <c r="E406" s="107"/>
      <c r="F406" s="19"/>
      <c r="G406" s="19"/>
      <c r="H406" s="19"/>
      <c r="I406" s="19"/>
      <c r="J406" s="19"/>
      <c r="K406" s="233"/>
      <c r="L406" s="19"/>
      <c r="M406" s="19"/>
      <c r="N406" s="19"/>
      <c r="O406" s="19"/>
      <c r="P406" s="19"/>
      <c r="Q406" s="19"/>
      <c r="R406" s="19"/>
      <c r="S406" s="19"/>
      <c r="T406" s="19"/>
      <c r="U406" s="19"/>
      <c r="V406" s="19"/>
      <c r="W406" s="19"/>
      <c r="X406" s="19"/>
      <c r="Y406" s="19"/>
    </row>
    <row r="407" spans="2:25" ht="12" customHeight="1">
      <c r="B407" s="19"/>
      <c r="C407" s="19"/>
      <c r="D407" s="107"/>
      <c r="E407" s="107"/>
      <c r="F407" s="19"/>
      <c r="G407" s="19"/>
      <c r="H407" s="19"/>
      <c r="I407" s="19"/>
      <c r="J407" s="19"/>
      <c r="K407" s="233"/>
      <c r="L407" s="19"/>
      <c r="M407" s="19"/>
      <c r="N407" s="19"/>
      <c r="O407" s="19"/>
      <c r="P407" s="19"/>
      <c r="Q407" s="19"/>
      <c r="R407" s="19"/>
      <c r="S407" s="19"/>
      <c r="T407" s="19"/>
      <c r="U407" s="19"/>
      <c r="V407" s="19"/>
      <c r="W407" s="19"/>
      <c r="X407" s="19"/>
      <c r="Y407" s="19"/>
    </row>
    <row r="408" spans="2:25" ht="12" customHeight="1">
      <c r="B408" s="19"/>
      <c r="C408" s="19"/>
      <c r="D408" s="107"/>
      <c r="E408" s="107"/>
      <c r="F408" s="19"/>
      <c r="G408" s="19"/>
      <c r="H408" s="19"/>
      <c r="I408" s="19"/>
      <c r="J408" s="19"/>
      <c r="K408" s="233"/>
      <c r="L408" s="19"/>
      <c r="M408" s="19"/>
      <c r="N408" s="19"/>
      <c r="O408" s="19"/>
      <c r="P408" s="19"/>
      <c r="Q408" s="19"/>
      <c r="R408" s="19"/>
      <c r="S408" s="19"/>
      <c r="T408" s="19"/>
      <c r="U408" s="19"/>
      <c r="V408" s="19"/>
      <c r="W408" s="19"/>
      <c r="X408" s="19"/>
      <c r="Y408" s="19"/>
    </row>
    <row r="409" spans="2:25" ht="12" customHeight="1">
      <c r="B409" s="19"/>
      <c r="C409" s="19"/>
      <c r="D409" s="107"/>
      <c r="E409" s="107"/>
      <c r="F409" s="19"/>
      <c r="G409" s="19"/>
      <c r="H409" s="19"/>
      <c r="I409" s="19"/>
      <c r="J409" s="19"/>
      <c r="K409" s="233"/>
      <c r="L409" s="19"/>
      <c r="M409" s="19"/>
      <c r="N409" s="19"/>
      <c r="O409" s="19"/>
      <c r="P409" s="19"/>
      <c r="Q409" s="19"/>
      <c r="R409" s="19"/>
      <c r="S409" s="19"/>
      <c r="T409" s="19"/>
      <c r="U409" s="19"/>
      <c r="V409" s="19"/>
      <c r="W409" s="19"/>
      <c r="X409" s="19"/>
      <c r="Y409" s="19"/>
    </row>
    <row r="410" spans="2:25" ht="12" customHeight="1">
      <c r="B410" s="19"/>
      <c r="C410" s="19"/>
      <c r="D410" s="107"/>
      <c r="E410" s="107"/>
      <c r="F410" s="19"/>
      <c r="G410" s="19"/>
      <c r="H410" s="19"/>
      <c r="I410" s="19"/>
      <c r="J410" s="19"/>
      <c r="K410" s="233"/>
      <c r="L410" s="19"/>
      <c r="M410" s="19"/>
      <c r="N410" s="19"/>
      <c r="O410" s="19"/>
      <c r="P410" s="19"/>
      <c r="Q410" s="19"/>
      <c r="R410" s="19"/>
      <c r="S410" s="19"/>
      <c r="T410" s="19"/>
      <c r="U410" s="19"/>
      <c r="V410" s="19"/>
      <c r="W410" s="19"/>
      <c r="X410" s="19"/>
      <c r="Y410" s="19"/>
    </row>
    <row r="411" spans="2:25" ht="12" customHeight="1">
      <c r="B411" s="19"/>
      <c r="C411" s="19"/>
      <c r="D411" s="107"/>
      <c r="E411" s="107"/>
      <c r="F411" s="19"/>
      <c r="G411" s="19"/>
      <c r="H411" s="19"/>
      <c r="I411" s="19"/>
      <c r="J411" s="19"/>
      <c r="K411" s="233"/>
      <c r="L411" s="19"/>
      <c r="M411" s="19"/>
      <c r="N411" s="19"/>
      <c r="O411" s="19"/>
      <c r="P411" s="19"/>
      <c r="Q411" s="19"/>
      <c r="R411" s="19"/>
      <c r="S411" s="19"/>
      <c r="T411" s="19"/>
      <c r="U411" s="19"/>
      <c r="V411" s="19"/>
      <c r="W411" s="19"/>
      <c r="X411" s="19"/>
      <c r="Y411" s="19"/>
    </row>
    <row r="412" spans="2:25" ht="12" customHeight="1">
      <c r="B412" s="19"/>
      <c r="C412" s="19"/>
      <c r="D412" s="107"/>
      <c r="E412" s="107"/>
      <c r="F412" s="19"/>
      <c r="G412" s="19"/>
      <c r="H412" s="19"/>
      <c r="I412" s="19"/>
      <c r="J412" s="19"/>
      <c r="K412" s="233"/>
      <c r="L412" s="19"/>
      <c r="M412" s="19"/>
      <c r="N412" s="19"/>
      <c r="O412" s="19"/>
      <c r="P412" s="19"/>
      <c r="Q412" s="19"/>
      <c r="R412" s="19"/>
      <c r="S412" s="19"/>
      <c r="T412" s="19"/>
      <c r="U412" s="19"/>
      <c r="V412" s="19"/>
      <c r="W412" s="19"/>
      <c r="X412" s="19"/>
      <c r="Y412" s="19"/>
    </row>
    <row r="413" spans="2:25" ht="12" customHeight="1">
      <c r="B413" s="19"/>
      <c r="C413" s="19"/>
      <c r="D413" s="107"/>
      <c r="E413" s="107"/>
      <c r="F413" s="19"/>
      <c r="G413" s="19"/>
      <c r="H413" s="19"/>
      <c r="I413" s="19"/>
      <c r="J413" s="19"/>
      <c r="K413" s="233"/>
      <c r="L413" s="19"/>
      <c r="M413" s="19"/>
      <c r="N413" s="19"/>
      <c r="O413" s="19"/>
      <c r="P413" s="19"/>
      <c r="Q413" s="19"/>
      <c r="R413" s="19"/>
      <c r="S413" s="19"/>
      <c r="T413" s="19"/>
      <c r="U413" s="19"/>
      <c r="V413" s="19"/>
      <c r="W413" s="19"/>
      <c r="X413" s="19"/>
      <c r="Y413" s="19"/>
    </row>
    <row r="414" spans="2:25" ht="12" customHeight="1">
      <c r="B414" s="19"/>
      <c r="C414" s="19"/>
      <c r="D414" s="107"/>
      <c r="E414" s="107"/>
      <c r="F414" s="19"/>
      <c r="G414" s="19"/>
      <c r="H414" s="19"/>
      <c r="I414" s="19"/>
      <c r="J414" s="19"/>
      <c r="K414" s="233"/>
      <c r="L414" s="19"/>
      <c r="M414" s="19"/>
      <c r="N414" s="19"/>
      <c r="O414" s="19"/>
      <c r="P414" s="19"/>
      <c r="Q414" s="19"/>
      <c r="R414" s="19"/>
      <c r="S414" s="19"/>
      <c r="T414" s="19"/>
      <c r="U414" s="19"/>
      <c r="V414" s="19"/>
      <c r="W414" s="19"/>
      <c r="X414" s="19"/>
      <c r="Y414" s="19"/>
    </row>
    <row r="415" spans="2:25" ht="12" customHeight="1">
      <c r="B415" s="19"/>
      <c r="C415" s="19"/>
      <c r="D415" s="107"/>
      <c r="E415" s="107"/>
      <c r="F415" s="19"/>
      <c r="G415" s="19"/>
      <c r="H415" s="19"/>
      <c r="I415" s="19"/>
      <c r="J415" s="19"/>
      <c r="K415" s="233"/>
      <c r="L415" s="19"/>
      <c r="M415" s="19"/>
      <c r="N415" s="19"/>
      <c r="O415" s="19"/>
      <c r="P415" s="19"/>
      <c r="Q415" s="19"/>
      <c r="R415" s="19"/>
      <c r="S415" s="19"/>
      <c r="T415" s="19"/>
      <c r="U415" s="19"/>
      <c r="V415" s="19"/>
      <c r="W415" s="19"/>
      <c r="X415" s="19"/>
      <c r="Y415" s="19"/>
    </row>
    <row r="416" spans="2:25" ht="12" customHeight="1">
      <c r="B416" s="19"/>
      <c r="C416" s="19"/>
      <c r="D416" s="107"/>
      <c r="E416" s="107"/>
      <c r="F416" s="19"/>
      <c r="G416" s="19"/>
      <c r="H416" s="19"/>
      <c r="I416" s="19"/>
      <c r="J416" s="19"/>
      <c r="K416" s="233"/>
      <c r="L416" s="19"/>
      <c r="M416" s="19"/>
      <c r="N416" s="19"/>
      <c r="O416" s="19"/>
      <c r="P416" s="19"/>
      <c r="Q416" s="19"/>
      <c r="R416" s="19"/>
      <c r="S416" s="19"/>
      <c r="T416" s="19"/>
      <c r="U416" s="19"/>
      <c r="V416" s="19"/>
      <c r="W416" s="19"/>
      <c r="X416" s="19"/>
      <c r="Y416" s="19"/>
    </row>
    <row r="417" spans="2:25" ht="12" customHeight="1">
      <c r="B417" s="19"/>
      <c r="C417" s="19"/>
      <c r="D417" s="107"/>
      <c r="E417" s="107"/>
      <c r="F417" s="19"/>
      <c r="G417" s="19"/>
      <c r="H417" s="19"/>
      <c r="I417" s="19"/>
      <c r="J417" s="19"/>
      <c r="K417" s="233"/>
      <c r="L417" s="19"/>
      <c r="M417" s="19"/>
      <c r="N417" s="19"/>
      <c r="O417" s="19"/>
      <c r="P417" s="19"/>
      <c r="Q417" s="19"/>
      <c r="R417" s="19"/>
      <c r="S417" s="19"/>
      <c r="T417" s="19"/>
      <c r="U417" s="19"/>
      <c r="V417" s="19"/>
      <c r="W417" s="19"/>
      <c r="X417" s="19"/>
      <c r="Y417" s="19"/>
    </row>
    <row r="418" spans="2:25" ht="12" customHeight="1">
      <c r="B418" s="19"/>
      <c r="C418" s="19"/>
      <c r="D418" s="107"/>
      <c r="E418" s="107"/>
      <c r="F418" s="19"/>
      <c r="G418" s="19"/>
      <c r="H418" s="19"/>
      <c r="I418" s="19"/>
      <c r="J418" s="19"/>
      <c r="K418" s="233"/>
      <c r="L418" s="19"/>
      <c r="M418" s="19"/>
      <c r="N418" s="19"/>
      <c r="O418" s="19"/>
      <c r="P418" s="19"/>
      <c r="Q418" s="19"/>
      <c r="R418" s="19"/>
      <c r="S418" s="19"/>
      <c r="T418" s="19"/>
      <c r="U418" s="19"/>
      <c r="V418" s="19"/>
      <c r="W418" s="19"/>
      <c r="X418" s="19"/>
      <c r="Y418" s="19"/>
    </row>
    <row r="419" spans="2:25" ht="12" customHeight="1">
      <c r="B419" s="19"/>
      <c r="C419" s="19"/>
      <c r="D419" s="107"/>
      <c r="E419" s="107"/>
      <c r="F419" s="19"/>
      <c r="G419" s="19"/>
      <c r="H419" s="19"/>
      <c r="I419" s="19"/>
      <c r="J419" s="19"/>
      <c r="K419" s="233"/>
      <c r="L419" s="19"/>
      <c r="M419" s="19"/>
      <c r="N419" s="19"/>
      <c r="O419" s="19"/>
      <c r="P419" s="19"/>
      <c r="Q419" s="19"/>
      <c r="R419" s="19"/>
      <c r="S419" s="19"/>
      <c r="T419" s="19"/>
      <c r="U419" s="19"/>
      <c r="V419" s="19"/>
      <c r="W419" s="19"/>
      <c r="X419" s="19"/>
      <c r="Y419" s="19"/>
    </row>
    <row r="420" spans="2:25" ht="12" customHeight="1">
      <c r="B420" s="19"/>
      <c r="C420" s="19"/>
      <c r="D420" s="107"/>
      <c r="E420" s="107"/>
      <c r="F420" s="19"/>
      <c r="G420" s="19"/>
      <c r="H420" s="19"/>
      <c r="I420" s="19"/>
      <c r="J420" s="19"/>
      <c r="K420" s="233"/>
      <c r="L420" s="19"/>
      <c r="M420" s="19"/>
      <c r="N420" s="19"/>
      <c r="O420" s="19"/>
      <c r="P420" s="19"/>
      <c r="Q420" s="19"/>
      <c r="R420" s="19"/>
      <c r="S420" s="19"/>
      <c r="T420" s="19"/>
      <c r="U420" s="19"/>
      <c r="V420" s="19"/>
      <c r="W420" s="19"/>
      <c r="X420" s="19"/>
      <c r="Y420" s="19"/>
    </row>
    <row r="421" spans="2:25" ht="12" customHeight="1">
      <c r="B421" s="19"/>
      <c r="C421" s="19"/>
      <c r="D421" s="107"/>
      <c r="E421" s="107"/>
      <c r="F421" s="19"/>
      <c r="G421" s="19"/>
      <c r="H421" s="19"/>
      <c r="I421" s="19"/>
      <c r="J421" s="19"/>
      <c r="K421" s="233"/>
      <c r="L421" s="19"/>
      <c r="M421" s="19"/>
      <c r="N421" s="19"/>
      <c r="O421" s="19"/>
      <c r="P421" s="19"/>
      <c r="Q421" s="19"/>
      <c r="R421" s="19"/>
      <c r="S421" s="19"/>
      <c r="T421" s="19"/>
      <c r="U421" s="19"/>
      <c r="V421" s="19"/>
      <c r="W421" s="19"/>
      <c r="X421" s="19"/>
      <c r="Y421" s="19"/>
    </row>
    <row r="422" spans="2:25" ht="12" customHeight="1">
      <c r="B422" s="19"/>
      <c r="C422" s="19"/>
      <c r="D422" s="107"/>
      <c r="E422" s="107"/>
      <c r="F422" s="19"/>
      <c r="G422" s="19"/>
      <c r="H422" s="19"/>
      <c r="I422" s="19"/>
      <c r="J422" s="19"/>
      <c r="K422" s="233"/>
      <c r="L422" s="19"/>
      <c r="M422" s="19"/>
      <c r="N422" s="19"/>
      <c r="O422" s="19"/>
      <c r="P422" s="19"/>
      <c r="Q422" s="19"/>
      <c r="R422" s="19"/>
      <c r="S422" s="19"/>
      <c r="T422" s="19"/>
      <c r="U422" s="19"/>
      <c r="V422" s="19"/>
      <c r="W422" s="19"/>
      <c r="X422" s="19"/>
      <c r="Y422" s="19"/>
    </row>
    <row r="423" spans="2:25" ht="12" customHeight="1">
      <c r="B423" s="19"/>
      <c r="C423" s="19"/>
      <c r="D423" s="107"/>
      <c r="E423" s="107"/>
      <c r="F423" s="19"/>
      <c r="G423" s="19"/>
      <c r="H423" s="19"/>
      <c r="I423" s="19"/>
      <c r="J423" s="19"/>
      <c r="K423" s="233"/>
      <c r="L423" s="19"/>
      <c r="M423" s="19"/>
      <c r="N423" s="19"/>
      <c r="O423" s="19"/>
      <c r="P423" s="19"/>
      <c r="Q423" s="19"/>
      <c r="R423" s="19"/>
      <c r="S423" s="19"/>
      <c r="T423" s="19"/>
      <c r="U423" s="19"/>
      <c r="V423" s="19"/>
      <c r="W423" s="19"/>
      <c r="X423" s="19"/>
      <c r="Y423" s="19"/>
    </row>
    <row r="424" spans="2:25" ht="12" customHeight="1">
      <c r="B424" s="19"/>
      <c r="C424" s="19"/>
      <c r="D424" s="107"/>
      <c r="E424" s="107"/>
      <c r="F424" s="19"/>
      <c r="G424" s="19"/>
      <c r="H424" s="19"/>
      <c r="I424" s="19"/>
      <c r="J424" s="19"/>
      <c r="K424" s="233"/>
      <c r="L424" s="19"/>
      <c r="M424" s="19"/>
      <c r="N424" s="19"/>
      <c r="O424" s="19"/>
      <c r="P424" s="19"/>
      <c r="Q424" s="19"/>
      <c r="R424" s="19"/>
      <c r="S424" s="19"/>
      <c r="T424" s="19"/>
      <c r="U424" s="19"/>
      <c r="V424" s="19"/>
      <c r="W424" s="19"/>
      <c r="X424" s="19"/>
      <c r="Y424" s="19"/>
    </row>
    <row r="425" spans="2:25" ht="12" customHeight="1">
      <c r="B425" s="19"/>
      <c r="C425" s="19"/>
      <c r="D425" s="107"/>
      <c r="E425" s="107"/>
      <c r="F425" s="19"/>
      <c r="G425" s="19"/>
      <c r="H425" s="19"/>
      <c r="I425" s="19"/>
      <c r="J425" s="19"/>
      <c r="K425" s="233"/>
      <c r="L425" s="19"/>
      <c r="M425" s="19"/>
      <c r="N425" s="19"/>
      <c r="O425" s="19"/>
      <c r="P425" s="19"/>
      <c r="Q425" s="19"/>
      <c r="R425" s="19"/>
      <c r="S425" s="19"/>
      <c r="T425" s="19"/>
      <c r="U425" s="19"/>
      <c r="V425" s="19"/>
      <c r="W425" s="19"/>
      <c r="X425" s="19"/>
      <c r="Y425" s="19"/>
    </row>
    <row r="426" spans="2:25" ht="12" customHeight="1">
      <c r="B426" s="19"/>
      <c r="C426" s="19"/>
      <c r="D426" s="107"/>
      <c r="E426" s="107"/>
      <c r="F426" s="19"/>
      <c r="G426" s="19"/>
      <c r="H426" s="19"/>
      <c r="I426" s="19"/>
      <c r="J426" s="19"/>
      <c r="K426" s="233"/>
      <c r="L426" s="19"/>
      <c r="M426" s="19"/>
      <c r="N426" s="19"/>
      <c r="O426" s="19"/>
      <c r="P426" s="19"/>
      <c r="Q426" s="19"/>
      <c r="R426" s="19"/>
      <c r="S426" s="19"/>
      <c r="T426" s="19"/>
      <c r="U426" s="19"/>
      <c r="V426" s="19"/>
      <c r="W426" s="19"/>
      <c r="X426" s="19"/>
      <c r="Y426" s="19"/>
    </row>
    <row r="427" spans="2:25" ht="12" customHeight="1">
      <c r="B427" s="19"/>
      <c r="C427" s="19"/>
      <c r="D427" s="107"/>
      <c r="E427" s="107"/>
      <c r="F427" s="19"/>
      <c r="G427" s="19"/>
      <c r="H427" s="19"/>
      <c r="I427" s="19"/>
      <c r="J427" s="19"/>
      <c r="K427" s="233"/>
      <c r="L427" s="19"/>
      <c r="M427" s="19"/>
      <c r="N427" s="19"/>
      <c r="O427" s="19"/>
      <c r="P427" s="19"/>
      <c r="Q427" s="19"/>
      <c r="R427" s="19"/>
      <c r="S427" s="19"/>
      <c r="T427" s="19"/>
      <c r="U427" s="19"/>
      <c r="V427" s="19"/>
      <c r="W427" s="19"/>
      <c r="X427" s="19"/>
      <c r="Y427" s="19"/>
    </row>
    <row r="428" spans="2:25" ht="12" customHeight="1">
      <c r="B428" s="19"/>
      <c r="C428" s="19"/>
      <c r="D428" s="107"/>
      <c r="E428" s="107"/>
      <c r="F428" s="19"/>
      <c r="G428" s="19"/>
      <c r="H428" s="19"/>
      <c r="I428" s="19"/>
      <c r="J428" s="19"/>
      <c r="K428" s="233"/>
      <c r="L428" s="19"/>
      <c r="M428" s="19"/>
      <c r="N428" s="19"/>
      <c r="O428" s="19"/>
      <c r="P428" s="19"/>
      <c r="Q428" s="19"/>
      <c r="R428" s="19"/>
      <c r="S428" s="19"/>
      <c r="T428" s="19"/>
      <c r="U428" s="19"/>
      <c r="V428" s="19"/>
      <c r="W428" s="19"/>
      <c r="X428" s="19"/>
      <c r="Y428" s="19"/>
    </row>
    <row r="429" spans="2:25" ht="12" customHeight="1">
      <c r="B429" s="19"/>
      <c r="C429" s="19"/>
      <c r="D429" s="107"/>
      <c r="E429" s="107"/>
      <c r="F429" s="19"/>
      <c r="G429" s="19"/>
      <c r="H429" s="19"/>
      <c r="I429" s="19"/>
      <c r="J429" s="19"/>
      <c r="K429" s="233"/>
      <c r="L429" s="19"/>
      <c r="M429" s="19"/>
      <c r="N429" s="19"/>
      <c r="O429" s="19"/>
      <c r="P429" s="19"/>
      <c r="Q429" s="19"/>
      <c r="R429" s="19"/>
      <c r="S429" s="19"/>
      <c r="T429" s="19"/>
      <c r="U429" s="19"/>
      <c r="V429" s="19"/>
      <c r="W429" s="19"/>
      <c r="X429" s="19"/>
      <c r="Y429" s="19"/>
    </row>
    <row r="430" spans="2:25" ht="12" customHeight="1">
      <c r="B430" s="19"/>
      <c r="C430" s="19"/>
      <c r="D430" s="107"/>
      <c r="E430" s="107"/>
      <c r="F430" s="19"/>
      <c r="G430" s="19"/>
      <c r="H430" s="19"/>
      <c r="I430" s="19"/>
      <c r="J430" s="19"/>
      <c r="K430" s="233"/>
      <c r="L430" s="19"/>
      <c r="M430" s="19"/>
      <c r="N430" s="19"/>
      <c r="O430" s="19"/>
      <c r="P430" s="19"/>
      <c r="Q430" s="19"/>
      <c r="R430" s="19"/>
      <c r="S430" s="19"/>
      <c r="T430" s="19"/>
      <c r="U430" s="19"/>
      <c r="V430" s="19"/>
      <c r="W430" s="19"/>
      <c r="X430" s="19"/>
      <c r="Y430" s="19"/>
    </row>
    <row r="431" spans="2:25" ht="12" customHeight="1">
      <c r="B431" s="19"/>
      <c r="C431" s="19"/>
      <c r="D431" s="107"/>
      <c r="E431" s="107"/>
      <c r="F431" s="19"/>
      <c r="G431" s="19"/>
      <c r="H431" s="19"/>
      <c r="I431" s="19"/>
      <c r="J431" s="19"/>
      <c r="K431" s="233"/>
      <c r="L431" s="19"/>
      <c r="M431" s="19"/>
      <c r="N431" s="19"/>
      <c r="O431" s="19"/>
      <c r="P431" s="19"/>
      <c r="Q431" s="19"/>
      <c r="R431" s="19"/>
      <c r="S431" s="19"/>
      <c r="T431" s="19"/>
      <c r="U431" s="19"/>
      <c r="V431" s="19"/>
      <c r="W431" s="19"/>
      <c r="X431" s="19"/>
      <c r="Y431" s="19"/>
    </row>
    <row r="432" spans="2:25" ht="12" customHeight="1">
      <c r="B432" s="19"/>
      <c r="C432" s="19"/>
      <c r="D432" s="107"/>
      <c r="E432" s="107"/>
      <c r="F432" s="19"/>
      <c r="G432" s="19"/>
      <c r="H432" s="19"/>
      <c r="I432" s="19"/>
      <c r="J432" s="19"/>
      <c r="K432" s="233"/>
      <c r="L432" s="19"/>
      <c r="M432" s="19"/>
      <c r="N432" s="19"/>
      <c r="O432" s="19"/>
      <c r="P432" s="19"/>
      <c r="Q432" s="19"/>
      <c r="R432" s="19"/>
      <c r="S432" s="19"/>
      <c r="T432" s="19"/>
      <c r="U432" s="19"/>
      <c r="V432" s="19"/>
      <c r="W432" s="19"/>
      <c r="X432" s="19"/>
      <c r="Y432" s="19"/>
    </row>
    <row r="433" spans="2:25" ht="12" customHeight="1">
      <c r="B433" s="19"/>
      <c r="C433" s="19"/>
      <c r="D433" s="107"/>
      <c r="E433" s="107"/>
      <c r="F433" s="19"/>
      <c r="G433" s="19"/>
      <c r="H433" s="19"/>
      <c r="I433" s="19"/>
      <c r="J433" s="19"/>
      <c r="K433" s="233"/>
      <c r="L433" s="19"/>
      <c r="M433" s="19"/>
      <c r="N433" s="19"/>
      <c r="O433" s="19"/>
      <c r="P433" s="19"/>
      <c r="Q433" s="19"/>
      <c r="R433" s="19"/>
      <c r="S433" s="19"/>
      <c r="T433" s="19"/>
      <c r="U433" s="19"/>
      <c r="V433" s="19"/>
      <c r="W433" s="19"/>
      <c r="X433" s="19"/>
      <c r="Y433" s="19"/>
    </row>
    <row r="434" spans="2:25" ht="12" customHeight="1">
      <c r="B434" s="19"/>
      <c r="C434" s="19"/>
      <c r="D434" s="107"/>
      <c r="E434" s="107"/>
      <c r="F434" s="19"/>
      <c r="G434" s="19"/>
      <c r="H434" s="19"/>
      <c r="I434" s="19"/>
      <c r="J434" s="19"/>
      <c r="K434" s="233"/>
      <c r="L434" s="19"/>
      <c r="M434" s="19"/>
      <c r="N434" s="19"/>
      <c r="O434" s="19"/>
      <c r="P434" s="19"/>
      <c r="Q434" s="19"/>
      <c r="R434" s="19"/>
      <c r="S434" s="19"/>
      <c r="T434" s="19"/>
      <c r="U434" s="19"/>
      <c r="V434" s="19"/>
      <c r="W434" s="19"/>
      <c r="X434" s="19"/>
      <c r="Y434" s="19"/>
    </row>
    <row r="435" spans="2:25" ht="12" customHeight="1">
      <c r="B435" s="19"/>
      <c r="C435" s="19"/>
      <c r="D435" s="107"/>
      <c r="E435" s="107"/>
      <c r="F435" s="19"/>
      <c r="G435" s="19"/>
      <c r="H435" s="19"/>
      <c r="I435" s="19"/>
      <c r="J435" s="19"/>
      <c r="K435" s="233"/>
      <c r="L435" s="19"/>
      <c r="M435" s="19"/>
      <c r="N435" s="19"/>
      <c r="O435" s="19"/>
      <c r="P435" s="19"/>
      <c r="Q435" s="19"/>
      <c r="R435" s="19"/>
      <c r="S435" s="19"/>
      <c r="T435" s="19"/>
      <c r="U435" s="19"/>
      <c r="V435" s="19"/>
      <c r="W435" s="19"/>
      <c r="X435" s="19"/>
      <c r="Y435" s="19"/>
    </row>
    <row r="436" spans="2:25" ht="12" customHeight="1">
      <c r="B436" s="19"/>
      <c r="C436" s="19"/>
      <c r="D436" s="107"/>
      <c r="E436" s="107"/>
      <c r="F436" s="19"/>
      <c r="G436" s="19"/>
      <c r="H436" s="19"/>
      <c r="I436" s="19"/>
      <c r="J436" s="19"/>
      <c r="K436" s="233"/>
      <c r="L436" s="19"/>
      <c r="M436" s="19"/>
      <c r="N436" s="19"/>
      <c r="O436" s="19"/>
      <c r="P436" s="19"/>
      <c r="Q436" s="19"/>
      <c r="R436" s="19"/>
      <c r="S436" s="19"/>
      <c r="T436" s="19"/>
      <c r="U436" s="19"/>
      <c r="V436" s="19"/>
      <c r="W436" s="19"/>
      <c r="X436" s="19"/>
      <c r="Y436" s="19"/>
    </row>
    <row r="437" spans="2:25" ht="12" customHeight="1">
      <c r="B437" s="19"/>
      <c r="C437" s="19"/>
      <c r="D437" s="107"/>
      <c r="E437" s="107"/>
      <c r="F437" s="19"/>
      <c r="G437" s="19"/>
      <c r="H437" s="19"/>
      <c r="I437" s="19"/>
      <c r="J437" s="19"/>
      <c r="K437" s="233"/>
      <c r="L437" s="19"/>
      <c r="M437" s="19"/>
      <c r="N437" s="19"/>
      <c r="O437" s="19"/>
      <c r="P437" s="19"/>
      <c r="Q437" s="19"/>
      <c r="R437" s="19"/>
      <c r="S437" s="19"/>
      <c r="T437" s="19"/>
      <c r="U437" s="19"/>
      <c r="V437" s="19"/>
      <c r="W437" s="19"/>
      <c r="X437" s="19"/>
      <c r="Y437" s="19"/>
    </row>
    <row r="438" spans="2:25" ht="12" customHeight="1">
      <c r="B438" s="19"/>
      <c r="C438" s="19"/>
      <c r="D438" s="107"/>
      <c r="E438" s="107"/>
      <c r="F438" s="19"/>
      <c r="G438" s="19"/>
      <c r="H438" s="19"/>
      <c r="I438" s="19"/>
      <c r="J438" s="19"/>
      <c r="K438" s="233"/>
      <c r="L438" s="19"/>
      <c r="M438" s="19"/>
      <c r="N438" s="19"/>
      <c r="O438" s="19"/>
      <c r="P438" s="19"/>
      <c r="Q438" s="19"/>
      <c r="R438" s="19"/>
      <c r="S438" s="19"/>
      <c r="T438" s="19"/>
      <c r="U438" s="19"/>
      <c r="V438" s="19"/>
      <c r="W438" s="19"/>
      <c r="X438" s="19"/>
      <c r="Y438" s="19"/>
    </row>
    <row r="439" spans="2:25" ht="12" customHeight="1">
      <c r="B439" s="19"/>
      <c r="C439" s="19"/>
      <c r="D439" s="107"/>
      <c r="E439" s="107"/>
      <c r="F439" s="19"/>
      <c r="G439" s="19"/>
      <c r="H439" s="19"/>
      <c r="I439" s="19"/>
      <c r="J439" s="19"/>
      <c r="K439" s="233"/>
      <c r="L439" s="19"/>
      <c r="M439" s="19"/>
      <c r="N439" s="19"/>
      <c r="O439" s="19"/>
      <c r="P439" s="19"/>
      <c r="Q439" s="19"/>
      <c r="R439" s="19"/>
      <c r="S439" s="19"/>
      <c r="T439" s="19"/>
      <c r="U439" s="19"/>
      <c r="V439" s="19"/>
      <c r="W439" s="19"/>
      <c r="X439" s="19"/>
      <c r="Y439" s="19"/>
    </row>
    <row r="440" spans="2:25" ht="12" customHeight="1">
      <c r="B440" s="19"/>
      <c r="C440" s="19"/>
      <c r="D440" s="107"/>
      <c r="E440" s="107"/>
      <c r="F440" s="19"/>
      <c r="G440" s="19"/>
      <c r="H440" s="19"/>
      <c r="I440" s="19"/>
      <c r="J440" s="19"/>
      <c r="K440" s="233"/>
      <c r="L440" s="19"/>
      <c r="M440" s="19"/>
      <c r="N440" s="19"/>
      <c r="O440" s="19"/>
      <c r="P440" s="19"/>
      <c r="Q440" s="19"/>
      <c r="R440" s="19"/>
      <c r="S440" s="19"/>
      <c r="T440" s="19"/>
      <c r="U440" s="19"/>
      <c r="V440" s="19"/>
      <c r="W440" s="19"/>
      <c r="X440" s="19"/>
      <c r="Y440" s="19"/>
    </row>
    <row r="441" spans="2:25" ht="12" customHeight="1">
      <c r="B441" s="19"/>
      <c r="C441" s="19"/>
      <c r="D441" s="107"/>
      <c r="E441" s="107"/>
      <c r="F441" s="19"/>
      <c r="G441" s="19"/>
      <c r="H441" s="19"/>
      <c r="I441" s="19"/>
      <c r="J441" s="19"/>
      <c r="K441" s="233"/>
      <c r="L441" s="19"/>
      <c r="M441" s="19"/>
      <c r="N441" s="19"/>
      <c r="O441" s="19"/>
      <c r="P441" s="19"/>
      <c r="Q441" s="19"/>
      <c r="R441" s="19"/>
      <c r="S441" s="19"/>
      <c r="T441" s="19"/>
      <c r="U441" s="19"/>
      <c r="V441" s="19"/>
      <c r="W441" s="19"/>
      <c r="X441" s="19"/>
      <c r="Y441" s="19"/>
    </row>
    <row r="442" spans="2:25" ht="12" customHeight="1">
      <c r="B442" s="19"/>
      <c r="C442" s="19"/>
      <c r="D442" s="107"/>
      <c r="E442" s="107"/>
      <c r="F442" s="19"/>
      <c r="G442" s="19"/>
      <c r="H442" s="19"/>
      <c r="I442" s="19"/>
      <c r="J442" s="19"/>
      <c r="K442" s="233"/>
      <c r="L442" s="19"/>
      <c r="M442" s="19"/>
      <c r="N442" s="19"/>
      <c r="O442" s="19"/>
      <c r="P442" s="19"/>
      <c r="Q442" s="19"/>
      <c r="R442" s="19"/>
      <c r="S442" s="19"/>
      <c r="T442" s="19"/>
      <c r="U442" s="19"/>
      <c r="V442" s="19"/>
      <c r="W442" s="19"/>
      <c r="X442" s="19"/>
      <c r="Y442" s="19"/>
    </row>
    <row r="443" spans="2:25" ht="12" customHeight="1">
      <c r="B443" s="19"/>
      <c r="C443" s="19"/>
      <c r="D443" s="107"/>
      <c r="E443" s="107"/>
      <c r="F443" s="19"/>
      <c r="G443" s="19"/>
      <c r="H443" s="19"/>
      <c r="I443" s="19"/>
      <c r="J443" s="19"/>
      <c r="K443" s="233"/>
      <c r="L443" s="19"/>
      <c r="M443" s="19"/>
      <c r="N443" s="19"/>
      <c r="O443" s="19"/>
      <c r="P443" s="19"/>
      <c r="Q443" s="19"/>
      <c r="R443" s="19"/>
      <c r="S443" s="19"/>
      <c r="T443" s="19"/>
      <c r="U443" s="19"/>
      <c r="V443" s="19"/>
      <c r="W443" s="19"/>
      <c r="X443" s="19"/>
      <c r="Y443" s="19"/>
    </row>
    <row r="444" spans="2:25" ht="12" customHeight="1">
      <c r="B444" s="19"/>
      <c r="C444" s="19"/>
      <c r="D444" s="107"/>
      <c r="E444" s="107"/>
      <c r="F444" s="19"/>
      <c r="G444" s="19"/>
      <c r="H444" s="19"/>
      <c r="I444" s="19"/>
      <c r="J444" s="19"/>
      <c r="K444" s="233"/>
      <c r="L444" s="19"/>
      <c r="M444" s="19"/>
      <c r="N444" s="19"/>
      <c r="O444" s="19"/>
      <c r="P444" s="19"/>
      <c r="Q444" s="19"/>
      <c r="R444" s="19"/>
      <c r="S444" s="19"/>
      <c r="T444" s="19"/>
      <c r="U444" s="19"/>
      <c r="V444" s="19"/>
      <c r="W444" s="19"/>
      <c r="X444" s="19"/>
      <c r="Y444" s="19"/>
    </row>
    <row r="445" spans="2:25" ht="12" customHeight="1">
      <c r="B445" s="19"/>
      <c r="C445" s="19"/>
      <c r="D445" s="107"/>
      <c r="E445" s="107"/>
      <c r="F445" s="19"/>
      <c r="G445" s="19"/>
      <c r="H445" s="19"/>
      <c r="I445" s="19"/>
      <c r="J445" s="19"/>
      <c r="K445" s="233"/>
      <c r="L445" s="19"/>
      <c r="M445" s="19"/>
      <c r="N445" s="19"/>
      <c r="O445" s="19"/>
      <c r="P445" s="19"/>
      <c r="Q445" s="19"/>
      <c r="R445" s="19"/>
      <c r="S445" s="19"/>
      <c r="T445" s="19"/>
      <c r="U445" s="19"/>
      <c r="V445" s="19"/>
      <c r="W445" s="19"/>
      <c r="X445" s="19"/>
      <c r="Y445" s="19"/>
    </row>
    <row r="446" spans="2:25" ht="12" customHeight="1">
      <c r="B446" s="19"/>
      <c r="C446" s="19"/>
      <c r="D446" s="107"/>
      <c r="E446" s="107"/>
      <c r="F446" s="19"/>
      <c r="G446" s="19"/>
      <c r="H446" s="19"/>
      <c r="I446" s="19"/>
      <c r="J446" s="19"/>
      <c r="K446" s="233"/>
      <c r="L446" s="19"/>
      <c r="M446" s="19"/>
      <c r="N446" s="19"/>
      <c r="O446" s="19"/>
      <c r="P446" s="19"/>
      <c r="Q446" s="19"/>
      <c r="R446" s="19"/>
      <c r="S446" s="19"/>
      <c r="T446" s="19"/>
      <c r="U446" s="19"/>
      <c r="V446" s="19"/>
      <c r="W446" s="19"/>
      <c r="X446" s="19"/>
      <c r="Y446" s="19"/>
    </row>
    <row r="447" spans="2:25" ht="12" customHeight="1">
      <c r="B447" s="19"/>
      <c r="C447" s="19"/>
      <c r="D447" s="107"/>
      <c r="E447" s="107"/>
      <c r="F447" s="19"/>
      <c r="G447" s="19"/>
      <c r="H447" s="19"/>
      <c r="I447" s="19"/>
      <c r="J447" s="19"/>
      <c r="K447" s="233"/>
      <c r="L447" s="19"/>
      <c r="M447" s="19"/>
      <c r="N447" s="19"/>
      <c r="O447" s="19"/>
      <c r="P447" s="19"/>
      <c r="Q447" s="19"/>
      <c r="R447" s="19"/>
      <c r="S447" s="19"/>
      <c r="T447" s="19"/>
      <c r="U447" s="19"/>
      <c r="V447" s="19"/>
      <c r="W447" s="19"/>
      <c r="X447" s="19"/>
      <c r="Y447" s="19"/>
    </row>
    <row r="448" spans="2:25" ht="12" customHeight="1">
      <c r="B448" s="19"/>
      <c r="C448" s="19"/>
      <c r="D448" s="107"/>
      <c r="E448" s="107"/>
      <c r="F448" s="19"/>
      <c r="G448" s="19"/>
      <c r="H448" s="19"/>
      <c r="I448" s="19"/>
      <c r="J448" s="19"/>
      <c r="K448" s="233"/>
      <c r="L448" s="19"/>
      <c r="M448" s="19"/>
      <c r="N448" s="19"/>
      <c r="O448" s="19"/>
      <c r="P448" s="19"/>
      <c r="Q448" s="19"/>
      <c r="R448" s="19"/>
      <c r="S448" s="19"/>
      <c r="T448" s="19"/>
      <c r="U448" s="19"/>
      <c r="V448" s="19"/>
      <c r="W448" s="19"/>
      <c r="X448" s="19"/>
      <c r="Y448" s="19"/>
    </row>
    <row r="449" spans="2:25" ht="12" customHeight="1">
      <c r="B449" s="19"/>
      <c r="C449" s="19"/>
      <c r="D449" s="107"/>
      <c r="E449" s="107"/>
      <c r="F449" s="19"/>
      <c r="G449" s="19"/>
      <c r="H449" s="19"/>
      <c r="I449" s="19"/>
      <c r="J449" s="19"/>
      <c r="K449" s="233"/>
      <c r="L449" s="19"/>
      <c r="M449" s="19"/>
      <c r="N449" s="19"/>
      <c r="O449" s="19"/>
      <c r="P449" s="19"/>
      <c r="Q449" s="19"/>
      <c r="R449" s="19"/>
      <c r="S449" s="19"/>
      <c r="T449" s="19"/>
      <c r="U449" s="19"/>
      <c r="V449" s="19"/>
      <c r="W449" s="19"/>
      <c r="X449" s="19"/>
      <c r="Y449" s="19"/>
    </row>
    <row r="450" spans="2:25" ht="12" customHeight="1">
      <c r="B450" s="19"/>
      <c r="C450" s="19"/>
      <c r="D450" s="107"/>
      <c r="E450" s="107"/>
      <c r="F450" s="19"/>
      <c r="G450" s="19"/>
      <c r="H450" s="19"/>
      <c r="I450" s="19"/>
      <c r="J450" s="19"/>
      <c r="K450" s="233"/>
      <c r="L450" s="19"/>
      <c r="M450" s="19"/>
      <c r="N450" s="19"/>
      <c r="O450" s="19"/>
      <c r="P450" s="19"/>
      <c r="Q450" s="19"/>
      <c r="R450" s="19"/>
      <c r="S450" s="19"/>
      <c r="T450" s="19"/>
      <c r="U450" s="19"/>
      <c r="V450" s="19"/>
      <c r="W450" s="19"/>
      <c r="X450" s="19"/>
      <c r="Y450" s="19"/>
    </row>
    <row r="451" spans="2:25" ht="12" customHeight="1">
      <c r="B451" s="19"/>
      <c r="C451" s="19"/>
      <c r="D451" s="107"/>
      <c r="E451" s="107"/>
      <c r="F451" s="19"/>
      <c r="G451" s="19"/>
      <c r="H451" s="19"/>
      <c r="I451" s="19"/>
      <c r="J451" s="19"/>
      <c r="K451" s="233"/>
      <c r="L451" s="19"/>
      <c r="M451" s="19"/>
      <c r="N451" s="19"/>
      <c r="O451" s="19"/>
      <c r="P451" s="19"/>
      <c r="Q451" s="19"/>
      <c r="R451" s="19"/>
      <c r="S451" s="19"/>
      <c r="T451" s="19"/>
      <c r="U451" s="19"/>
      <c r="V451" s="19"/>
      <c r="W451" s="19"/>
      <c r="X451" s="19"/>
      <c r="Y451" s="19"/>
    </row>
    <row r="452" spans="2:25" ht="12" customHeight="1">
      <c r="B452" s="19"/>
      <c r="C452" s="19"/>
      <c r="D452" s="107"/>
      <c r="E452" s="107"/>
      <c r="F452" s="19"/>
      <c r="G452" s="19"/>
      <c r="H452" s="19"/>
      <c r="I452" s="19"/>
      <c r="J452" s="19"/>
      <c r="K452" s="233"/>
      <c r="L452" s="19"/>
      <c r="M452" s="19"/>
      <c r="N452" s="19"/>
      <c r="O452" s="19"/>
      <c r="P452" s="19"/>
      <c r="Q452" s="19"/>
      <c r="R452" s="19"/>
      <c r="S452" s="19"/>
      <c r="T452" s="19"/>
      <c r="U452" s="19"/>
      <c r="V452" s="19"/>
      <c r="W452" s="19"/>
      <c r="X452" s="19"/>
      <c r="Y452" s="19"/>
    </row>
    <row r="453" spans="2:25" ht="12" customHeight="1">
      <c r="B453" s="19"/>
      <c r="C453" s="19"/>
      <c r="D453" s="107"/>
      <c r="E453" s="107"/>
      <c r="F453" s="19"/>
      <c r="G453" s="19"/>
      <c r="H453" s="19"/>
      <c r="I453" s="19"/>
      <c r="J453" s="19"/>
      <c r="K453" s="233"/>
      <c r="L453" s="19"/>
      <c r="M453" s="19"/>
      <c r="N453" s="19"/>
      <c r="O453" s="19"/>
      <c r="P453" s="19"/>
      <c r="Q453" s="19"/>
      <c r="R453" s="19"/>
      <c r="S453" s="19"/>
      <c r="T453" s="19"/>
      <c r="U453" s="19"/>
      <c r="V453" s="19"/>
      <c r="W453" s="19"/>
      <c r="X453" s="19"/>
      <c r="Y453" s="19"/>
    </row>
    <row r="454" spans="2:25" ht="12" customHeight="1">
      <c r="B454" s="19"/>
      <c r="C454" s="19"/>
      <c r="D454" s="107"/>
      <c r="E454" s="107"/>
      <c r="F454" s="19"/>
      <c r="G454" s="19"/>
      <c r="H454" s="19"/>
      <c r="I454" s="19"/>
      <c r="J454" s="19"/>
      <c r="K454" s="233"/>
      <c r="L454" s="19"/>
      <c r="M454" s="19"/>
      <c r="N454" s="19"/>
      <c r="O454" s="19"/>
      <c r="P454" s="19"/>
      <c r="Q454" s="19"/>
      <c r="R454" s="19"/>
      <c r="S454" s="19"/>
      <c r="T454" s="19"/>
      <c r="U454" s="19"/>
      <c r="V454" s="19"/>
      <c r="W454" s="19"/>
      <c r="X454" s="19"/>
      <c r="Y454" s="19"/>
    </row>
    <row r="455" spans="2:25" ht="12" customHeight="1">
      <c r="B455" s="19"/>
      <c r="C455" s="19"/>
      <c r="D455" s="107"/>
      <c r="E455" s="107"/>
      <c r="F455" s="19"/>
      <c r="G455" s="19"/>
      <c r="H455" s="19"/>
      <c r="I455" s="19"/>
      <c r="J455" s="19"/>
      <c r="K455" s="233"/>
      <c r="L455" s="19"/>
      <c r="M455" s="19"/>
      <c r="N455" s="19"/>
      <c r="O455" s="19"/>
      <c r="P455" s="19"/>
      <c r="Q455" s="19"/>
      <c r="R455" s="19"/>
      <c r="S455" s="19"/>
      <c r="T455" s="19"/>
      <c r="U455" s="19"/>
      <c r="V455" s="19"/>
      <c r="W455" s="19"/>
      <c r="X455" s="19"/>
      <c r="Y455" s="19"/>
    </row>
    <row r="456" spans="2:25" ht="12" customHeight="1">
      <c r="B456" s="19"/>
      <c r="C456" s="19"/>
      <c r="D456" s="107"/>
      <c r="E456" s="107"/>
      <c r="F456" s="19"/>
      <c r="G456" s="19"/>
      <c r="H456" s="19"/>
      <c r="I456" s="19"/>
      <c r="J456" s="19"/>
      <c r="K456" s="233"/>
      <c r="L456" s="19"/>
      <c r="M456" s="19"/>
      <c r="N456" s="19"/>
      <c r="O456" s="19"/>
      <c r="P456" s="19"/>
      <c r="Q456" s="19"/>
      <c r="R456" s="19"/>
      <c r="S456" s="19"/>
      <c r="T456" s="19"/>
      <c r="U456" s="19"/>
      <c r="V456" s="19"/>
      <c r="W456" s="19"/>
      <c r="X456" s="19"/>
      <c r="Y456" s="19"/>
    </row>
    <row r="457" spans="2:25" ht="12" customHeight="1">
      <c r="B457" s="19"/>
      <c r="C457" s="19"/>
      <c r="D457" s="107"/>
      <c r="E457" s="107"/>
      <c r="F457" s="19"/>
      <c r="G457" s="19"/>
      <c r="H457" s="19"/>
      <c r="I457" s="19"/>
      <c r="J457" s="19"/>
      <c r="K457" s="233"/>
      <c r="L457" s="19"/>
      <c r="M457" s="19"/>
      <c r="N457" s="19"/>
      <c r="O457" s="19"/>
      <c r="P457" s="19"/>
      <c r="Q457" s="19"/>
      <c r="R457" s="19"/>
      <c r="S457" s="19"/>
      <c r="T457" s="19"/>
      <c r="U457" s="19"/>
      <c r="V457" s="19"/>
      <c r="W457" s="19"/>
      <c r="X457" s="19"/>
      <c r="Y457" s="19"/>
    </row>
    <row r="458" spans="2:25" ht="12" customHeight="1">
      <c r="B458" s="19"/>
      <c r="C458" s="19"/>
      <c r="D458" s="107"/>
      <c r="E458" s="107"/>
      <c r="F458" s="19"/>
      <c r="G458" s="19"/>
      <c r="H458" s="19"/>
      <c r="I458" s="19"/>
      <c r="J458" s="19"/>
      <c r="K458" s="233"/>
      <c r="L458" s="19"/>
      <c r="M458" s="19"/>
      <c r="N458" s="19"/>
      <c r="O458" s="19"/>
      <c r="P458" s="19"/>
      <c r="Q458" s="19"/>
      <c r="R458" s="19"/>
      <c r="S458" s="19"/>
      <c r="T458" s="19"/>
      <c r="U458" s="19"/>
      <c r="V458" s="19"/>
      <c r="W458" s="19"/>
      <c r="X458" s="19"/>
      <c r="Y458" s="19"/>
    </row>
    <row r="459" spans="2:25" ht="12" customHeight="1">
      <c r="B459" s="19"/>
      <c r="C459" s="19"/>
      <c r="D459" s="107"/>
      <c r="E459" s="107"/>
      <c r="F459" s="19"/>
      <c r="G459" s="19"/>
      <c r="H459" s="19"/>
      <c r="I459" s="19"/>
      <c r="J459" s="19"/>
      <c r="K459" s="233"/>
      <c r="L459" s="19"/>
      <c r="M459" s="19"/>
      <c r="N459" s="19"/>
      <c r="O459" s="19"/>
      <c r="P459" s="19"/>
      <c r="Q459" s="19"/>
      <c r="R459" s="19"/>
      <c r="S459" s="19"/>
      <c r="T459" s="19"/>
      <c r="U459" s="19"/>
      <c r="V459" s="19"/>
      <c r="W459" s="19"/>
      <c r="X459" s="19"/>
      <c r="Y459" s="19"/>
    </row>
    <row r="460" spans="2:25" ht="12" customHeight="1">
      <c r="B460" s="19"/>
      <c r="C460" s="19"/>
      <c r="D460" s="107"/>
      <c r="E460" s="107"/>
      <c r="F460" s="19"/>
      <c r="G460" s="19"/>
      <c r="H460" s="19"/>
      <c r="I460" s="19"/>
      <c r="J460" s="19"/>
      <c r="K460" s="233"/>
      <c r="L460" s="19"/>
      <c r="M460" s="19"/>
      <c r="N460" s="19"/>
      <c r="O460" s="19"/>
      <c r="P460" s="19"/>
      <c r="Q460" s="19"/>
      <c r="R460" s="19"/>
      <c r="S460" s="19"/>
      <c r="T460" s="19"/>
      <c r="U460" s="19"/>
      <c r="V460" s="19"/>
      <c r="W460" s="19"/>
      <c r="X460" s="19"/>
      <c r="Y460" s="19"/>
    </row>
    <row r="461" spans="2:25" ht="12" customHeight="1">
      <c r="B461" s="19"/>
      <c r="C461" s="19"/>
      <c r="D461" s="107"/>
      <c r="E461" s="107"/>
      <c r="F461" s="19"/>
      <c r="G461" s="19"/>
      <c r="H461" s="19"/>
      <c r="I461" s="19"/>
      <c r="J461" s="19"/>
      <c r="K461" s="233"/>
      <c r="L461" s="19"/>
      <c r="M461" s="19"/>
      <c r="N461" s="19"/>
      <c r="O461" s="19"/>
      <c r="P461" s="19"/>
      <c r="Q461" s="19"/>
      <c r="R461" s="19"/>
      <c r="S461" s="19"/>
      <c r="T461" s="19"/>
      <c r="U461" s="19"/>
      <c r="V461" s="19"/>
      <c r="W461" s="19"/>
      <c r="X461" s="19"/>
      <c r="Y461" s="19"/>
    </row>
    <row r="462" spans="2:25" ht="12" customHeight="1">
      <c r="B462" s="19"/>
      <c r="C462" s="19"/>
      <c r="D462" s="107"/>
      <c r="E462" s="107"/>
      <c r="F462" s="19"/>
      <c r="G462" s="19"/>
      <c r="H462" s="19"/>
      <c r="I462" s="19"/>
      <c r="J462" s="19"/>
      <c r="K462" s="233"/>
      <c r="L462" s="19"/>
      <c r="M462" s="19"/>
      <c r="N462" s="19"/>
      <c r="O462" s="19"/>
      <c r="P462" s="19"/>
      <c r="Q462" s="19"/>
      <c r="R462" s="19"/>
      <c r="S462" s="19"/>
      <c r="T462" s="19"/>
      <c r="U462" s="19"/>
      <c r="V462" s="19"/>
      <c r="W462" s="19"/>
      <c r="X462" s="19"/>
      <c r="Y462" s="19"/>
    </row>
    <row r="463" spans="2:25" ht="12" customHeight="1">
      <c r="B463" s="19"/>
      <c r="C463" s="19"/>
      <c r="D463" s="107"/>
      <c r="E463" s="107"/>
      <c r="F463" s="19"/>
      <c r="G463" s="19"/>
      <c r="H463" s="19"/>
      <c r="I463" s="19"/>
      <c r="J463" s="19"/>
      <c r="K463" s="233"/>
      <c r="L463" s="19"/>
      <c r="M463" s="19"/>
      <c r="N463" s="19"/>
      <c r="O463" s="19"/>
      <c r="P463" s="19"/>
      <c r="Q463" s="19"/>
      <c r="R463" s="19"/>
      <c r="S463" s="19"/>
      <c r="T463" s="19"/>
      <c r="U463" s="19"/>
      <c r="V463" s="19"/>
      <c r="W463" s="19"/>
      <c r="X463" s="19"/>
      <c r="Y463" s="19"/>
    </row>
    <row r="464" spans="2:25" ht="12" customHeight="1">
      <c r="B464" s="19"/>
      <c r="C464" s="19"/>
      <c r="D464" s="107"/>
      <c r="E464" s="107"/>
      <c r="F464" s="19"/>
      <c r="G464" s="19"/>
      <c r="H464" s="19"/>
      <c r="I464" s="19"/>
      <c r="J464" s="19"/>
      <c r="K464" s="233"/>
      <c r="L464" s="19"/>
      <c r="M464" s="19"/>
      <c r="N464" s="19"/>
      <c r="O464" s="19"/>
      <c r="P464" s="19"/>
      <c r="Q464" s="19"/>
      <c r="R464" s="19"/>
      <c r="S464" s="19"/>
      <c r="T464" s="19"/>
      <c r="U464" s="19"/>
      <c r="V464" s="19"/>
      <c r="W464" s="19"/>
      <c r="X464" s="19"/>
      <c r="Y464" s="19"/>
    </row>
    <row r="465" spans="2:25" ht="12" customHeight="1">
      <c r="B465" s="19"/>
      <c r="C465" s="19"/>
      <c r="D465" s="107"/>
      <c r="E465" s="107"/>
      <c r="F465" s="19"/>
      <c r="G465" s="19"/>
      <c r="H465" s="19"/>
      <c r="I465" s="19"/>
      <c r="J465" s="19"/>
      <c r="K465" s="233"/>
      <c r="L465" s="19"/>
      <c r="M465" s="19"/>
      <c r="N465" s="19"/>
      <c r="O465" s="19"/>
      <c r="P465" s="19"/>
      <c r="Q465" s="19"/>
      <c r="R465" s="19"/>
      <c r="S465" s="19"/>
      <c r="T465" s="19"/>
      <c r="U465" s="19"/>
      <c r="V465" s="19"/>
      <c r="W465" s="19"/>
      <c r="X465" s="19"/>
      <c r="Y465" s="19"/>
    </row>
    <row r="466" spans="2:25" ht="12" customHeight="1">
      <c r="B466" s="19"/>
      <c r="C466" s="19"/>
      <c r="D466" s="107"/>
      <c r="E466" s="107"/>
      <c r="F466" s="19"/>
      <c r="G466" s="19"/>
      <c r="H466" s="19"/>
      <c r="I466" s="19"/>
      <c r="J466" s="19"/>
      <c r="K466" s="233"/>
      <c r="L466" s="19"/>
      <c r="M466" s="19"/>
      <c r="N466" s="19"/>
      <c r="O466" s="19"/>
      <c r="P466" s="19"/>
      <c r="Q466" s="19"/>
      <c r="R466" s="19"/>
      <c r="S466" s="19"/>
      <c r="T466" s="19"/>
      <c r="U466" s="19"/>
      <c r="V466" s="19"/>
      <c r="W466" s="19"/>
      <c r="X466" s="19"/>
      <c r="Y466" s="19"/>
    </row>
    <row r="467" spans="2:25" ht="12" customHeight="1">
      <c r="B467" s="19"/>
      <c r="C467" s="19"/>
      <c r="D467" s="107"/>
      <c r="E467" s="107"/>
      <c r="F467" s="19"/>
      <c r="G467" s="19"/>
      <c r="H467" s="19"/>
      <c r="I467" s="19"/>
      <c r="J467" s="19"/>
      <c r="K467" s="233"/>
      <c r="L467" s="19"/>
      <c r="M467" s="19"/>
      <c r="N467" s="19"/>
      <c r="O467" s="19"/>
      <c r="P467" s="19"/>
      <c r="Q467" s="19"/>
      <c r="R467" s="19"/>
      <c r="S467" s="19"/>
      <c r="T467" s="19"/>
      <c r="U467" s="19"/>
      <c r="V467" s="19"/>
      <c r="W467" s="19"/>
      <c r="X467" s="19"/>
      <c r="Y467" s="19"/>
    </row>
    <row r="468" spans="2:25" ht="12" customHeight="1">
      <c r="B468" s="19"/>
      <c r="C468" s="19"/>
      <c r="D468" s="107"/>
      <c r="E468" s="107"/>
      <c r="F468" s="19"/>
      <c r="G468" s="19"/>
      <c r="H468" s="19"/>
      <c r="I468" s="19"/>
      <c r="J468" s="19"/>
      <c r="K468" s="233"/>
      <c r="L468" s="19"/>
      <c r="M468" s="19"/>
      <c r="N468" s="19"/>
      <c r="O468" s="19"/>
      <c r="P468" s="19"/>
      <c r="Q468" s="19"/>
      <c r="R468" s="19"/>
      <c r="S468" s="19"/>
      <c r="T468" s="19"/>
      <c r="U468" s="19"/>
      <c r="V468" s="19"/>
      <c r="W468" s="19"/>
      <c r="X468" s="19"/>
      <c r="Y468" s="19"/>
    </row>
    <row r="469" spans="2:25" ht="12" customHeight="1">
      <c r="B469" s="19"/>
      <c r="C469" s="19"/>
      <c r="D469" s="107"/>
      <c r="E469" s="107"/>
      <c r="F469" s="19"/>
      <c r="G469" s="19"/>
      <c r="H469" s="19"/>
      <c r="I469" s="19"/>
      <c r="J469" s="19"/>
      <c r="K469" s="233"/>
      <c r="L469" s="19"/>
      <c r="M469" s="19"/>
      <c r="N469" s="19"/>
      <c r="O469" s="19"/>
      <c r="P469" s="19"/>
      <c r="Q469" s="19"/>
      <c r="R469" s="19"/>
      <c r="S469" s="19"/>
      <c r="T469" s="19"/>
      <c r="U469" s="19"/>
      <c r="V469" s="19"/>
      <c r="W469" s="19"/>
      <c r="X469" s="19"/>
      <c r="Y469" s="19"/>
    </row>
    <row r="470" spans="2:25" ht="12" customHeight="1">
      <c r="B470" s="19"/>
      <c r="C470" s="19"/>
      <c r="D470" s="107"/>
      <c r="E470" s="107"/>
      <c r="F470" s="19"/>
      <c r="G470" s="19"/>
      <c r="H470" s="19"/>
      <c r="I470" s="19"/>
      <c r="J470" s="19"/>
      <c r="K470" s="233"/>
      <c r="L470" s="19"/>
      <c r="M470" s="19"/>
      <c r="N470" s="19"/>
      <c r="O470" s="19"/>
      <c r="P470" s="19"/>
      <c r="Q470" s="19"/>
      <c r="R470" s="19"/>
      <c r="S470" s="19"/>
      <c r="T470" s="19"/>
      <c r="U470" s="19"/>
      <c r="V470" s="19"/>
      <c r="W470" s="19"/>
      <c r="X470" s="19"/>
      <c r="Y470" s="19"/>
    </row>
    <row r="471" spans="2:25" ht="12" customHeight="1">
      <c r="B471" s="19"/>
      <c r="C471" s="19"/>
      <c r="D471" s="107"/>
      <c r="E471" s="107"/>
      <c r="F471" s="19"/>
      <c r="G471" s="19"/>
      <c r="H471" s="19"/>
      <c r="I471" s="19"/>
      <c r="J471" s="19"/>
      <c r="K471" s="233"/>
      <c r="L471" s="19"/>
      <c r="M471" s="19"/>
      <c r="N471" s="19"/>
      <c r="O471" s="19"/>
      <c r="P471" s="19"/>
      <c r="Q471" s="19"/>
      <c r="R471" s="19"/>
      <c r="S471" s="19"/>
      <c r="T471" s="19"/>
      <c r="U471" s="19"/>
      <c r="V471" s="19"/>
      <c r="W471" s="19"/>
      <c r="X471" s="19"/>
      <c r="Y471" s="19"/>
    </row>
    <row r="472" spans="2:25" ht="12" customHeight="1">
      <c r="B472" s="19"/>
      <c r="C472" s="19"/>
      <c r="D472" s="107"/>
      <c r="E472" s="107"/>
      <c r="F472" s="19"/>
      <c r="G472" s="19"/>
      <c r="H472" s="19"/>
      <c r="I472" s="19"/>
      <c r="J472" s="19"/>
      <c r="K472" s="233"/>
      <c r="L472" s="19"/>
      <c r="M472" s="19"/>
      <c r="N472" s="19"/>
      <c r="O472" s="19"/>
      <c r="P472" s="19"/>
      <c r="Q472" s="19"/>
      <c r="R472" s="19"/>
      <c r="S472" s="19"/>
      <c r="T472" s="19"/>
      <c r="U472" s="19"/>
      <c r="V472" s="19"/>
      <c r="W472" s="19"/>
      <c r="X472" s="19"/>
      <c r="Y472" s="19"/>
    </row>
    <row r="473" spans="2:25" ht="12" customHeight="1">
      <c r="B473" s="19"/>
      <c r="C473" s="19"/>
      <c r="D473" s="107"/>
      <c r="E473" s="107"/>
      <c r="F473" s="19"/>
      <c r="G473" s="19"/>
      <c r="H473" s="19"/>
      <c r="I473" s="19"/>
      <c r="J473" s="19"/>
      <c r="K473" s="233"/>
      <c r="L473" s="19"/>
      <c r="M473" s="19"/>
      <c r="N473" s="19"/>
      <c r="O473" s="19"/>
      <c r="P473" s="19"/>
      <c r="Q473" s="19"/>
      <c r="R473" s="19"/>
      <c r="S473" s="19"/>
      <c r="T473" s="19"/>
      <c r="U473" s="19"/>
      <c r="V473" s="19"/>
      <c r="W473" s="19"/>
      <c r="X473" s="19"/>
      <c r="Y473" s="19"/>
    </row>
    <row r="474" spans="2:25" ht="12" customHeight="1">
      <c r="B474" s="19"/>
      <c r="C474" s="19"/>
      <c r="D474" s="107"/>
      <c r="E474" s="107"/>
      <c r="F474" s="19"/>
      <c r="G474" s="19"/>
      <c r="H474" s="19"/>
      <c r="I474" s="19"/>
      <c r="J474" s="19"/>
      <c r="K474" s="233"/>
      <c r="L474" s="19"/>
      <c r="M474" s="19"/>
      <c r="N474" s="19"/>
      <c r="O474" s="19"/>
      <c r="P474" s="19"/>
      <c r="Q474" s="19"/>
      <c r="R474" s="19"/>
      <c r="S474" s="19"/>
      <c r="T474" s="19"/>
      <c r="U474" s="19"/>
      <c r="V474" s="19"/>
      <c r="W474" s="19"/>
      <c r="X474" s="19"/>
      <c r="Y474" s="19"/>
    </row>
    <row r="475" spans="2:25" ht="12" customHeight="1">
      <c r="B475" s="19"/>
      <c r="C475" s="19"/>
      <c r="D475" s="107"/>
      <c r="E475" s="107"/>
      <c r="F475" s="19"/>
      <c r="G475" s="19"/>
      <c r="H475" s="19"/>
      <c r="I475" s="19"/>
      <c r="J475" s="19"/>
      <c r="K475" s="233"/>
      <c r="L475" s="19"/>
      <c r="M475" s="19"/>
      <c r="N475" s="19"/>
      <c r="O475" s="19"/>
      <c r="P475" s="19"/>
      <c r="Q475" s="19"/>
      <c r="R475" s="19"/>
      <c r="S475" s="19"/>
      <c r="T475" s="19"/>
      <c r="U475" s="19"/>
      <c r="V475" s="19"/>
      <c r="W475" s="19"/>
      <c r="X475" s="19"/>
      <c r="Y475" s="19"/>
    </row>
    <row r="476" spans="2:25" ht="12" customHeight="1">
      <c r="B476" s="19"/>
      <c r="C476" s="19"/>
      <c r="D476" s="107"/>
      <c r="E476" s="107"/>
      <c r="F476" s="19"/>
      <c r="G476" s="19"/>
      <c r="H476" s="19"/>
      <c r="I476" s="19"/>
      <c r="J476" s="19"/>
      <c r="K476" s="233"/>
      <c r="L476" s="19"/>
      <c r="M476" s="19"/>
      <c r="N476" s="19"/>
      <c r="O476" s="19"/>
      <c r="P476" s="19"/>
      <c r="Q476" s="19"/>
      <c r="R476" s="19"/>
      <c r="S476" s="19"/>
      <c r="T476" s="19"/>
      <c r="U476" s="19"/>
      <c r="V476" s="19"/>
      <c r="W476" s="19"/>
      <c r="X476" s="19"/>
      <c r="Y476" s="19"/>
    </row>
    <row r="477" spans="2:25" ht="12" customHeight="1">
      <c r="B477" s="19"/>
      <c r="C477" s="19"/>
      <c r="D477" s="107"/>
      <c r="E477" s="107"/>
      <c r="F477" s="19"/>
      <c r="G477" s="19"/>
      <c r="H477" s="19"/>
      <c r="I477" s="19"/>
      <c r="J477" s="19"/>
      <c r="K477" s="233"/>
      <c r="L477" s="19"/>
      <c r="M477" s="19"/>
      <c r="N477" s="19"/>
      <c r="O477" s="19"/>
      <c r="P477" s="19"/>
      <c r="Q477" s="19"/>
      <c r="R477" s="19"/>
      <c r="S477" s="19"/>
      <c r="T477" s="19"/>
      <c r="U477" s="19"/>
      <c r="V477" s="19"/>
      <c r="W477" s="19"/>
      <c r="X477" s="19"/>
      <c r="Y477" s="19"/>
    </row>
    <row r="478" spans="2:25" ht="12" customHeight="1">
      <c r="B478" s="19"/>
      <c r="C478" s="19"/>
      <c r="D478" s="107"/>
      <c r="E478" s="107"/>
      <c r="F478" s="19"/>
      <c r="G478" s="19"/>
      <c r="H478" s="19"/>
      <c r="I478" s="19"/>
      <c r="J478" s="19"/>
      <c r="K478" s="233"/>
      <c r="L478" s="19"/>
      <c r="M478" s="19"/>
      <c r="N478" s="19"/>
      <c r="O478" s="19"/>
      <c r="P478" s="19"/>
      <c r="Q478" s="19"/>
      <c r="R478" s="19"/>
      <c r="S478" s="19"/>
      <c r="T478" s="19"/>
      <c r="U478" s="19"/>
      <c r="V478" s="19"/>
      <c r="W478" s="19"/>
      <c r="X478" s="19"/>
      <c r="Y478" s="19"/>
    </row>
    <row r="479" spans="2:25" ht="12" customHeight="1">
      <c r="B479" s="19"/>
      <c r="C479" s="19"/>
      <c r="D479" s="107"/>
      <c r="E479" s="107"/>
      <c r="F479" s="19"/>
      <c r="G479" s="19"/>
      <c r="H479" s="19"/>
      <c r="I479" s="19"/>
      <c r="J479" s="19"/>
      <c r="K479" s="233"/>
      <c r="L479" s="19"/>
      <c r="M479" s="19"/>
      <c r="N479" s="19"/>
      <c r="O479" s="19"/>
      <c r="P479" s="19"/>
      <c r="Q479" s="19"/>
      <c r="R479" s="19"/>
      <c r="S479" s="19"/>
      <c r="T479" s="19"/>
      <c r="U479" s="19"/>
      <c r="V479" s="19"/>
      <c r="W479" s="19"/>
      <c r="X479" s="19"/>
      <c r="Y479" s="19"/>
    </row>
    <row r="480" spans="2:25" ht="12" customHeight="1">
      <c r="B480" s="19"/>
      <c r="C480" s="19"/>
      <c r="D480" s="107"/>
      <c r="E480" s="107"/>
      <c r="F480" s="19"/>
      <c r="G480" s="19"/>
      <c r="H480" s="19"/>
      <c r="I480" s="19"/>
      <c r="J480" s="19"/>
      <c r="K480" s="233"/>
      <c r="L480" s="19"/>
      <c r="M480" s="19"/>
      <c r="N480" s="19"/>
      <c r="O480" s="19"/>
      <c r="P480" s="19"/>
      <c r="Q480" s="19"/>
      <c r="R480" s="19"/>
      <c r="S480" s="19"/>
      <c r="T480" s="19"/>
      <c r="U480" s="19"/>
      <c r="V480" s="19"/>
      <c r="W480" s="19"/>
      <c r="X480" s="19"/>
      <c r="Y480" s="19"/>
    </row>
    <row r="481" spans="2:25" ht="12" customHeight="1">
      <c r="B481" s="19"/>
      <c r="C481" s="19"/>
      <c r="D481" s="107"/>
      <c r="E481" s="107"/>
      <c r="F481" s="19"/>
      <c r="G481" s="19"/>
      <c r="H481" s="19"/>
      <c r="I481" s="19"/>
      <c r="J481" s="19"/>
      <c r="K481" s="233"/>
      <c r="L481" s="19"/>
      <c r="M481" s="19"/>
      <c r="N481" s="19"/>
      <c r="O481" s="19"/>
      <c r="P481" s="19"/>
      <c r="Q481" s="19"/>
      <c r="R481" s="19"/>
      <c r="S481" s="19"/>
      <c r="T481" s="19"/>
      <c r="U481" s="19"/>
      <c r="V481" s="19"/>
      <c r="W481" s="19"/>
      <c r="X481" s="19"/>
      <c r="Y481" s="19"/>
    </row>
    <row r="482" spans="2:25" ht="12" customHeight="1">
      <c r="B482" s="19"/>
      <c r="C482" s="19"/>
      <c r="D482" s="107"/>
      <c r="E482" s="107"/>
      <c r="F482" s="19"/>
      <c r="G482" s="19"/>
      <c r="H482" s="19"/>
      <c r="I482" s="19"/>
      <c r="J482" s="19"/>
      <c r="K482" s="233"/>
      <c r="L482" s="19"/>
      <c r="M482" s="19"/>
      <c r="N482" s="19"/>
      <c r="O482" s="19"/>
      <c r="P482" s="19"/>
      <c r="Q482" s="19"/>
      <c r="R482" s="19"/>
      <c r="S482" s="19"/>
      <c r="T482" s="19"/>
      <c r="U482" s="19"/>
      <c r="V482" s="19"/>
      <c r="W482" s="19"/>
      <c r="X482" s="19"/>
      <c r="Y482" s="19"/>
    </row>
    <row r="483" spans="2:25" ht="12" customHeight="1">
      <c r="B483" s="19"/>
      <c r="C483" s="19"/>
      <c r="D483" s="107"/>
      <c r="E483" s="107"/>
      <c r="F483" s="19"/>
      <c r="G483" s="19"/>
      <c r="H483" s="19"/>
      <c r="I483" s="19"/>
      <c r="J483" s="19"/>
      <c r="K483" s="233"/>
      <c r="L483" s="19"/>
      <c r="M483" s="19"/>
      <c r="N483" s="19"/>
      <c r="O483" s="19"/>
      <c r="P483" s="19"/>
      <c r="Q483" s="19"/>
      <c r="R483" s="19"/>
      <c r="S483" s="19"/>
      <c r="T483" s="19"/>
      <c r="U483" s="19"/>
      <c r="V483" s="19"/>
      <c r="W483" s="19"/>
      <c r="X483" s="19"/>
      <c r="Y483" s="19"/>
    </row>
    <row r="484" spans="2:25" ht="12" customHeight="1">
      <c r="B484" s="19"/>
      <c r="C484" s="19"/>
      <c r="D484" s="107"/>
      <c r="E484" s="107"/>
      <c r="F484" s="19"/>
      <c r="G484" s="19"/>
      <c r="H484" s="19"/>
      <c r="I484" s="19"/>
      <c r="J484" s="19"/>
      <c r="K484" s="233"/>
      <c r="L484" s="19"/>
      <c r="M484" s="19"/>
      <c r="N484" s="19"/>
      <c r="O484" s="19"/>
      <c r="P484" s="19"/>
      <c r="Q484" s="19"/>
      <c r="R484" s="19"/>
      <c r="S484" s="19"/>
      <c r="T484" s="19"/>
      <c r="U484" s="19"/>
      <c r="V484" s="19"/>
      <c r="W484" s="19"/>
      <c r="X484" s="19"/>
      <c r="Y484" s="19"/>
    </row>
    <row r="485" spans="2:25" ht="12" customHeight="1">
      <c r="B485" s="19"/>
      <c r="C485" s="19"/>
      <c r="D485" s="107"/>
      <c r="E485" s="107"/>
      <c r="F485" s="19"/>
      <c r="G485" s="19"/>
      <c r="H485" s="19"/>
      <c r="I485" s="19"/>
      <c r="J485" s="19"/>
      <c r="K485" s="233"/>
      <c r="L485" s="19"/>
      <c r="M485" s="19"/>
      <c r="N485" s="19"/>
      <c r="O485" s="19"/>
      <c r="P485" s="19"/>
      <c r="Q485" s="19"/>
      <c r="R485" s="19"/>
      <c r="S485" s="19"/>
      <c r="T485" s="19"/>
      <c r="U485" s="19"/>
      <c r="V485" s="19"/>
      <c r="W485" s="19"/>
      <c r="X485" s="19"/>
      <c r="Y485" s="19"/>
    </row>
    <row r="486" spans="2:25" ht="12" customHeight="1">
      <c r="B486" s="19"/>
      <c r="C486" s="19"/>
      <c r="D486" s="107"/>
      <c r="E486" s="107"/>
      <c r="F486" s="19"/>
      <c r="G486" s="19"/>
      <c r="H486" s="19"/>
      <c r="I486" s="19"/>
      <c r="J486" s="19"/>
      <c r="K486" s="233"/>
      <c r="L486" s="19"/>
      <c r="M486" s="19"/>
      <c r="N486" s="19"/>
      <c r="O486" s="19"/>
      <c r="P486" s="19"/>
      <c r="Q486" s="19"/>
      <c r="R486" s="19"/>
      <c r="S486" s="19"/>
      <c r="T486" s="19"/>
      <c r="U486" s="19"/>
      <c r="V486" s="19"/>
      <c r="W486" s="19"/>
      <c r="X486" s="19"/>
      <c r="Y486" s="19"/>
    </row>
    <row r="487" spans="2:25" ht="12" customHeight="1">
      <c r="B487" s="19"/>
      <c r="C487" s="19"/>
      <c r="D487" s="107"/>
      <c r="E487" s="107"/>
      <c r="F487" s="19"/>
      <c r="G487" s="19"/>
      <c r="H487" s="19"/>
      <c r="I487" s="19"/>
      <c r="J487" s="19"/>
      <c r="K487" s="233"/>
      <c r="L487" s="19"/>
      <c r="M487" s="19"/>
      <c r="N487" s="19"/>
      <c r="O487" s="19"/>
      <c r="P487" s="19"/>
      <c r="Q487" s="19"/>
      <c r="R487" s="19"/>
      <c r="S487" s="19"/>
      <c r="T487" s="19"/>
      <c r="U487" s="19"/>
      <c r="V487" s="19"/>
      <c r="W487" s="19"/>
      <c r="X487" s="19"/>
      <c r="Y487" s="19"/>
    </row>
    <row r="488" spans="2:25" ht="12" customHeight="1">
      <c r="B488" s="19"/>
      <c r="C488" s="19"/>
      <c r="D488" s="107"/>
      <c r="E488" s="107"/>
      <c r="F488" s="19"/>
      <c r="G488" s="19"/>
      <c r="H488" s="19"/>
      <c r="I488" s="19"/>
      <c r="J488" s="19"/>
      <c r="K488" s="233"/>
      <c r="L488" s="19"/>
      <c r="M488" s="19"/>
      <c r="N488" s="19"/>
      <c r="O488" s="19"/>
      <c r="P488" s="19"/>
      <c r="Q488" s="19"/>
      <c r="R488" s="19"/>
      <c r="S488" s="19"/>
      <c r="T488" s="19"/>
      <c r="U488" s="19"/>
      <c r="V488" s="19"/>
      <c r="W488" s="19"/>
      <c r="X488" s="19"/>
      <c r="Y488" s="19"/>
    </row>
    <row r="489" spans="2:25" ht="12" customHeight="1">
      <c r="B489" s="19"/>
      <c r="C489" s="19"/>
      <c r="D489" s="107"/>
      <c r="E489" s="107"/>
      <c r="F489" s="19"/>
      <c r="G489" s="19"/>
      <c r="H489" s="19"/>
      <c r="I489" s="19"/>
      <c r="J489" s="19"/>
      <c r="K489" s="233"/>
      <c r="L489" s="19"/>
      <c r="M489" s="19"/>
      <c r="N489" s="19"/>
      <c r="O489" s="19"/>
      <c r="P489" s="19"/>
      <c r="Q489" s="19"/>
      <c r="R489" s="19"/>
      <c r="S489" s="19"/>
      <c r="T489" s="19"/>
      <c r="U489" s="19"/>
      <c r="V489" s="19"/>
      <c r="W489" s="19"/>
      <c r="X489" s="19"/>
      <c r="Y489" s="19"/>
    </row>
    <row r="490" spans="2:25" ht="12" customHeight="1">
      <c r="B490" s="19"/>
      <c r="C490" s="19"/>
      <c r="D490" s="107"/>
      <c r="E490" s="107"/>
      <c r="F490" s="19"/>
      <c r="G490" s="19"/>
      <c r="H490" s="19"/>
      <c r="I490" s="19"/>
      <c r="J490" s="19"/>
      <c r="K490" s="233"/>
      <c r="L490" s="19"/>
      <c r="M490" s="19"/>
      <c r="N490" s="19"/>
      <c r="O490" s="19"/>
      <c r="P490" s="19"/>
      <c r="Q490" s="19"/>
      <c r="R490" s="19"/>
      <c r="S490" s="19"/>
      <c r="T490" s="19"/>
      <c r="U490" s="19"/>
      <c r="V490" s="19"/>
      <c r="W490" s="19"/>
      <c r="X490" s="19"/>
      <c r="Y490" s="19"/>
    </row>
    <row r="491" spans="2:25" ht="12" customHeight="1">
      <c r="B491" s="19"/>
      <c r="C491" s="19"/>
      <c r="D491" s="107"/>
      <c r="E491" s="107"/>
      <c r="F491" s="19"/>
      <c r="G491" s="19"/>
      <c r="H491" s="19"/>
      <c r="I491" s="19"/>
      <c r="J491" s="19"/>
      <c r="K491" s="233"/>
      <c r="L491" s="19"/>
      <c r="M491" s="19"/>
      <c r="N491" s="19"/>
      <c r="O491" s="19"/>
      <c r="P491" s="19"/>
      <c r="Q491" s="19"/>
      <c r="R491" s="19"/>
      <c r="S491" s="19"/>
      <c r="T491" s="19"/>
      <c r="U491" s="19"/>
      <c r="V491" s="19"/>
      <c r="W491" s="19"/>
      <c r="X491" s="19"/>
      <c r="Y491" s="19"/>
    </row>
    <row r="492" spans="2:25" ht="12" customHeight="1">
      <c r="B492" s="19"/>
      <c r="C492" s="19"/>
      <c r="D492" s="107"/>
      <c r="E492" s="107"/>
      <c r="F492" s="19"/>
      <c r="G492" s="19"/>
      <c r="H492" s="19"/>
      <c r="I492" s="19"/>
      <c r="J492" s="19"/>
      <c r="K492" s="233"/>
      <c r="L492" s="19"/>
      <c r="M492" s="19"/>
      <c r="N492" s="19"/>
      <c r="O492" s="19"/>
      <c r="P492" s="19"/>
      <c r="Q492" s="19"/>
      <c r="R492" s="19"/>
      <c r="S492" s="19"/>
      <c r="T492" s="19"/>
      <c r="U492" s="19"/>
      <c r="V492" s="19"/>
      <c r="W492" s="19"/>
      <c r="X492" s="19"/>
      <c r="Y492" s="19"/>
    </row>
    <row r="493" spans="2:25" ht="12" customHeight="1">
      <c r="B493" s="19"/>
      <c r="C493" s="19"/>
      <c r="D493" s="107"/>
      <c r="E493" s="107"/>
      <c r="F493" s="19"/>
      <c r="G493" s="19"/>
      <c r="H493" s="19"/>
      <c r="I493" s="19"/>
      <c r="J493" s="19"/>
      <c r="K493" s="233"/>
      <c r="L493" s="19"/>
      <c r="M493" s="19"/>
      <c r="N493" s="19"/>
      <c r="O493" s="19"/>
      <c r="P493" s="19"/>
      <c r="Q493" s="19"/>
      <c r="R493" s="19"/>
      <c r="S493" s="19"/>
      <c r="T493" s="19"/>
      <c r="U493" s="19"/>
      <c r="V493" s="19"/>
      <c r="W493" s="19"/>
      <c r="X493" s="19"/>
      <c r="Y493" s="19"/>
    </row>
    <row r="494" spans="2:25" ht="12" customHeight="1">
      <c r="B494" s="19"/>
      <c r="C494" s="19"/>
      <c r="D494" s="107"/>
      <c r="E494" s="107"/>
      <c r="F494" s="19"/>
      <c r="G494" s="19"/>
      <c r="H494" s="19"/>
      <c r="I494" s="19"/>
      <c r="J494" s="19"/>
      <c r="K494" s="233"/>
      <c r="L494" s="19"/>
      <c r="M494" s="19"/>
      <c r="N494" s="19"/>
      <c r="O494" s="19"/>
      <c r="P494" s="19"/>
      <c r="Q494" s="19"/>
      <c r="R494" s="19"/>
      <c r="S494" s="19"/>
      <c r="T494" s="19"/>
      <c r="U494" s="19"/>
      <c r="V494" s="19"/>
      <c r="W494" s="19"/>
      <c r="X494" s="19"/>
      <c r="Y494" s="19"/>
    </row>
    <row r="495" spans="2:25" ht="12" customHeight="1">
      <c r="B495" s="19"/>
      <c r="C495" s="19"/>
      <c r="D495" s="107"/>
      <c r="E495" s="107"/>
      <c r="F495" s="19"/>
      <c r="G495" s="19"/>
      <c r="H495" s="19"/>
      <c r="I495" s="19"/>
      <c r="J495" s="19"/>
      <c r="K495" s="233"/>
      <c r="L495" s="19"/>
      <c r="M495" s="19"/>
      <c r="N495" s="19"/>
      <c r="O495" s="19"/>
      <c r="P495" s="19"/>
      <c r="Q495" s="19"/>
      <c r="R495" s="19"/>
      <c r="S495" s="19"/>
      <c r="T495" s="19"/>
      <c r="U495" s="19"/>
      <c r="V495" s="19"/>
      <c r="W495" s="19"/>
      <c r="X495" s="19"/>
      <c r="Y495" s="19"/>
    </row>
    <row r="496" spans="2:25" ht="12" customHeight="1">
      <c r="B496" s="19"/>
      <c r="C496" s="19"/>
      <c r="D496" s="107"/>
      <c r="E496" s="107"/>
      <c r="F496" s="19"/>
      <c r="G496" s="19"/>
      <c r="H496" s="19"/>
      <c r="I496" s="19"/>
      <c r="J496" s="19"/>
      <c r="K496" s="233"/>
      <c r="L496" s="19"/>
      <c r="M496" s="19"/>
      <c r="N496" s="19"/>
      <c r="O496" s="19"/>
      <c r="P496" s="19"/>
      <c r="Q496" s="19"/>
      <c r="R496" s="19"/>
      <c r="S496" s="19"/>
      <c r="T496" s="19"/>
      <c r="U496" s="19"/>
      <c r="V496" s="19"/>
      <c r="W496" s="19"/>
      <c r="X496" s="19"/>
      <c r="Y496" s="19"/>
    </row>
    <row r="497" spans="2:25" ht="12" customHeight="1">
      <c r="B497" s="19"/>
      <c r="C497" s="19"/>
      <c r="D497" s="107"/>
      <c r="E497" s="107"/>
      <c r="F497" s="19"/>
      <c r="G497" s="19"/>
      <c r="H497" s="19"/>
      <c r="I497" s="19"/>
      <c r="J497" s="19"/>
      <c r="K497" s="233"/>
      <c r="L497" s="19"/>
      <c r="M497" s="19"/>
      <c r="N497" s="19"/>
      <c r="O497" s="19"/>
      <c r="P497" s="19"/>
      <c r="Q497" s="19"/>
      <c r="R497" s="19"/>
      <c r="S497" s="19"/>
      <c r="T497" s="19"/>
      <c r="U497" s="19"/>
      <c r="V497" s="19"/>
      <c r="W497" s="19"/>
      <c r="X497" s="19"/>
      <c r="Y497" s="19"/>
    </row>
    <row r="498" spans="2:25" ht="12" customHeight="1">
      <c r="B498" s="19"/>
      <c r="C498" s="19"/>
      <c r="D498" s="107"/>
      <c r="E498" s="107"/>
      <c r="F498" s="19"/>
      <c r="G498" s="19"/>
      <c r="H498" s="19"/>
      <c r="I498" s="19"/>
      <c r="J498" s="19"/>
      <c r="K498" s="233"/>
      <c r="L498" s="19"/>
      <c r="M498" s="19"/>
      <c r="N498" s="19"/>
      <c r="O498" s="19"/>
      <c r="P498" s="19"/>
      <c r="Q498" s="19"/>
      <c r="R498" s="19"/>
      <c r="S498" s="19"/>
      <c r="T498" s="19"/>
      <c r="U498" s="19"/>
      <c r="V498" s="19"/>
      <c r="W498" s="19"/>
      <c r="X498" s="19"/>
      <c r="Y498" s="19"/>
    </row>
    <row r="499" spans="2:25" ht="12" customHeight="1">
      <c r="B499" s="19"/>
      <c r="C499" s="19"/>
      <c r="D499" s="107"/>
      <c r="E499" s="107"/>
      <c r="F499" s="19"/>
      <c r="G499" s="19"/>
      <c r="H499" s="19"/>
      <c r="I499" s="19"/>
      <c r="J499" s="19"/>
      <c r="K499" s="233"/>
      <c r="L499" s="19"/>
      <c r="M499" s="19"/>
      <c r="N499" s="19"/>
      <c r="O499" s="19"/>
      <c r="P499" s="19"/>
      <c r="Q499" s="19"/>
      <c r="R499" s="19"/>
      <c r="S499" s="19"/>
      <c r="T499" s="19"/>
      <c r="U499" s="19"/>
      <c r="V499" s="19"/>
      <c r="W499" s="19"/>
      <c r="X499" s="19"/>
      <c r="Y499" s="19"/>
    </row>
    <row r="500" spans="2:25" ht="12" customHeight="1">
      <c r="B500" s="19"/>
      <c r="C500" s="19"/>
      <c r="D500" s="107"/>
      <c r="E500" s="107"/>
      <c r="F500" s="19"/>
      <c r="G500" s="19"/>
      <c r="H500" s="19"/>
      <c r="I500" s="19"/>
      <c r="J500" s="19"/>
      <c r="K500" s="233"/>
      <c r="L500" s="19"/>
      <c r="M500" s="19"/>
      <c r="N500" s="19"/>
      <c r="O500" s="19"/>
      <c r="P500" s="19"/>
      <c r="Q500" s="19"/>
      <c r="R500" s="19"/>
      <c r="S500" s="19"/>
      <c r="T500" s="19"/>
      <c r="U500" s="19"/>
      <c r="V500" s="19"/>
      <c r="W500" s="19"/>
      <c r="X500" s="19"/>
      <c r="Y500" s="19"/>
    </row>
    <row r="501" spans="2:25" ht="12" customHeight="1">
      <c r="B501" s="19"/>
      <c r="C501" s="19"/>
      <c r="D501" s="107"/>
      <c r="E501" s="107"/>
      <c r="F501" s="19"/>
      <c r="G501" s="19"/>
      <c r="H501" s="19"/>
      <c r="I501" s="19"/>
      <c r="J501" s="19"/>
      <c r="K501" s="233"/>
      <c r="L501" s="19"/>
      <c r="M501" s="19"/>
      <c r="N501" s="19"/>
      <c r="O501" s="19"/>
      <c r="P501" s="19"/>
      <c r="Q501" s="19"/>
      <c r="R501" s="19"/>
      <c r="S501" s="19"/>
      <c r="T501" s="19"/>
      <c r="U501" s="19"/>
      <c r="V501" s="19"/>
      <c r="W501" s="19"/>
      <c r="X501" s="19"/>
      <c r="Y501" s="19"/>
    </row>
    <row r="502" spans="2:25" ht="12" customHeight="1">
      <c r="B502" s="19"/>
      <c r="C502" s="19"/>
      <c r="D502" s="107"/>
      <c r="E502" s="107"/>
      <c r="F502" s="19"/>
      <c r="G502" s="19"/>
      <c r="H502" s="19"/>
      <c r="I502" s="19"/>
      <c r="J502" s="19"/>
      <c r="K502" s="233"/>
      <c r="L502" s="19"/>
      <c r="M502" s="19"/>
      <c r="N502" s="19"/>
      <c r="O502" s="19"/>
      <c r="P502" s="19"/>
      <c r="Q502" s="19"/>
      <c r="R502" s="19"/>
      <c r="S502" s="19"/>
      <c r="T502" s="19"/>
      <c r="U502" s="19"/>
      <c r="V502" s="19"/>
      <c r="W502" s="19"/>
      <c r="X502" s="19"/>
      <c r="Y502" s="19"/>
    </row>
    <row r="503" spans="2:25" ht="12" customHeight="1">
      <c r="B503" s="19"/>
      <c r="C503" s="19"/>
      <c r="D503" s="107"/>
      <c r="E503" s="107"/>
      <c r="F503" s="19"/>
      <c r="G503" s="19"/>
      <c r="H503" s="19"/>
      <c r="I503" s="19"/>
      <c r="J503" s="19"/>
      <c r="K503" s="233"/>
      <c r="L503" s="19"/>
      <c r="M503" s="19"/>
      <c r="N503" s="19"/>
      <c r="O503" s="19"/>
      <c r="P503" s="19"/>
      <c r="Q503" s="19"/>
      <c r="R503" s="19"/>
      <c r="S503" s="19"/>
      <c r="T503" s="19"/>
      <c r="U503" s="19"/>
      <c r="V503" s="19"/>
      <c r="W503" s="19"/>
      <c r="X503" s="19"/>
      <c r="Y503" s="19"/>
    </row>
    <row r="504" spans="2:25" ht="12" customHeight="1">
      <c r="B504" s="19"/>
      <c r="C504" s="19"/>
      <c r="D504" s="107"/>
      <c r="E504" s="107"/>
      <c r="F504" s="19"/>
      <c r="G504" s="19"/>
      <c r="H504" s="19"/>
      <c r="I504" s="19"/>
      <c r="J504" s="19"/>
      <c r="K504" s="233"/>
      <c r="L504" s="19"/>
      <c r="M504" s="19"/>
      <c r="N504" s="19"/>
      <c r="O504" s="19"/>
      <c r="P504" s="19"/>
      <c r="Q504" s="19"/>
      <c r="R504" s="19"/>
      <c r="S504" s="19"/>
      <c r="T504" s="19"/>
      <c r="U504" s="19"/>
      <c r="V504" s="19"/>
      <c r="W504" s="19"/>
      <c r="X504" s="19"/>
      <c r="Y504" s="19"/>
    </row>
    <row r="505" spans="2:25" ht="12" customHeight="1">
      <c r="B505" s="19"/>
      <c r="C505" s="19"/>
      <c r="D505" s="107"/>
      <c r="E505" s="107"/>
      <c r="F505" s="19"/>
      <c r="G505" s="19"/>
      <c r="H505" s="19"/>
      <c r="I505" s="19"/>
      <c r="J505" s="19"/>
      <c r="K505" s="233"/>
      <c r="L505" s="19"/>
      <c r="M505" s="19"/>
      <c r="N505" s="19"/>
      <c r="O505" s="19"/>
      <c r="P505" s="19"/>
      <c r="Q505" s="19"/>
      <c r="R505" s="19"/>
      <c r="S505" s="19"/>
      <c r="T505" s="19"/>
      <c r="U505" s="19"/>
      <c r="V505" s="19"/>
      <c r="W505" s="19"/>
      <c r="X505" s="19"/>
      <c r="Y505" s="19"/>
    </row>
    <row r="506" spans="2:25" ht="12" customHeight="1">
      <c r="B506" s="19"/>
      <c r="C506" s="19"/>
      <c r="D506" s="107"/>
      <c r="E506" s="107"/>
      <c r="F506" s="19"/>
      <c r="G506" s="19"/>
      <c r="H506" s="19"/>
      <c r="I506" s="19"/>
      <c r="J506" s="19"/>
      <c r="K506" s="233"/>
      <c r="L506" s="19"/>
      <c r="M506" s="19"/>
      <c r="N506" s="19"/>
      <c r="O506" s="19"/>
      <c r="P506" s="19"/>
      <c r="Q506" s="19"/>
      <c r="R506" s="19"/>
      <c r="S506" s="19"/>
      <c r="T506" s="19"/>
      <c r="U506" s="19"/>
      <c r="V506" s="19"/>
      <c r="W506" s="19"/>
      <c r="X506" s="19"/>
      <c r="Y506" s="19"/>
    </row>
    <row r="507" spans="2:25" ht="12" customHeight="1">
      <c r="B507" s="19"/>
      <c r="C507" s="19"/>
      <c r="D507" s="107"/>
      <c r="E507" s="107"/>
      <c r="F507" s="19"/>
      <c r="G507" s="19"/>
      <c r="H507" s="19"/>
      <c r="I507" s="19"/>
      <c r="J507" s="19"/>
      <c r="K507" s="233"/>
      <c r="L507" s="19"/>
      <c r="M507" s="19"/>
      <c r="N507" s="19"/>
      <c r="O507" s="19"/>
      <c r="P507" s="19"/>
      <c r="Q507" s="19"/>
      <c r="R507" s="19"/>
      <c r="S507" s="19"/>
      <c r="T507" s="19"/>
      <c r="U507" s="19"/>
      <c r="V507" s="19"/>
      <c r="W507" s="19"/>
      <c r="X507" s="19"/>
      <c r="Y507" s="19"/>
    </row>
    <row r="508" spans="2:25" ht="12" customHeight="1">
      <c r="B508" s="19"/>
      <c r="C508" s="19"/>
      <c r="D508" s="107"/>
      <c r="E508" s="107"/>
      <c r="F508" s="19"/>
      <c r="G508" s="19"/>
      <c r="H508" s="19"/>
      <c r="I508" s="19"/>
      <c r="J508" s="19"/>
      <c r="K508" s="233"/>
      <c r="L508" s="19"/>
      <c r="M508" s="19"/>
      <c r="N508" s="19"/>
      <c r="O508" s="19"/>
      <c r="P508" s="19"/>
      <c r="Q508" s="19"/>
      <c r="R508" s="19"/>
      <c r="S508" s="19"/>
      <c r="T508" s="19"/>
      <c r="U508" s="19"/>
      <c r="V508" s="19"/>
      <c r="W508" s="19"/>
      <c r="X508" s="19"/>
      <c r="Y508" s="19"/>
    </row>
    <row r="509" spans="2:25" ht="12" customHeight="1">
      <c r="B509" s="19"/>
      <c r="C509" s="19"/>
      <c r="D509" s="107"/>
      <c r="E509" s="107"/>
      <c r="F509" s="19"/>
      <c r="G509" s="19"/>
      <c r="H509" s="19"/>
      <c r="I509" s="19"/>
      <c r="J509" s="19"/>
      <c r="K509" s="233"/>
      <c r="L509" s="19"/>
      <c r="M509" s="19"/>
      <c r="N509" s="19"/>
      <c r="O509" s="19"/>
      <c r="P509" s="19"/>
      <c r="Q509" s="19"/>
      <c r="R509" s="19"/>
      <c r="S509" s="19"/>
      <c r="T509" s="19"/>
      <c r="U509" s="19"/>
      <c r="V509" s="19"/>
      <c r="W509" s="19"/>
      <c r="X509" s="19"/>
      <c r="Y509" s="19"/>
    </row>
    <row r="510" spans="2:25" ht="12" customHeight="1">
      <c r="B510" s="19"/>
      <c r="C510" s="19"/>
      <c r="D510" s="107"/>
      <c r="E510" s="107"/>
      <c r="F510" s="19"/>
      <c r="G510" s="19"/>
      <c r="H510" s="19"/>
      <c r="I510" s="19"/>
      <c r="J510" s="19"/>
      <c r="K510" s="233"/>
      <c r="L510" s="19"/>
      <c r="M510" s="19"/>
      <c r="N510" s="19"/>
      <c r="O510" s="19"/>
      <c r="P510" s="19"/>
      <c r="Q510" s="19"/>
      <c r="R510" s="19"/>
      <c r="S510" s="19"/>
      <c r="T510" s="19"/>
      <c r="U510" s="19"/>
      <c r="V510" s="19"/>
      <c r="W510" s="19"/>
      <c r="X510" s="19"/>
      <c r="Y510" s="19"/>
    </row>
    <row r="511" spans="2:25" ht="12" customHeight="1">
      <c r="B511" s="19"/>
      <c r="C511" s="19"/>
      <c r="D511" s="107"/>
      <c r="E511" s="107"/>
      <c r="F511" s="19"/>
      <c r="G511" s="19"/>
      <c r="H511" s="19"/>
      <c r="I511" s="19"/>
      <c r="J511" s="19"/>
      <c r="K511" s="233"/>
      <c r="L511" s="19"/>
      <c r="M511" s="19"/>
      <c r="N511" s="19"/>
      <c r="O511" s="19"/>
      <c r="P511" s="19"/>
      <c r="Q511" s="19"/>
      <c r="R511" s="19"/>
      <c r="S511" s="19"/>
      <c r="T511" s="19"/>
      <c r="U511" s="19"/>
      <c r="V511" s="19"/>
      <c r="W511" s="19"/>
      <c r="X511" s="19"/>
      <c r="Y511" s="19"/>
    </row>
    <row r="512" spans="2:25" ht="12" customHeight="1">
      <c r="B512" s="19"/>
      <c r="C512" s="19"/>
      <c r="D512" s="107"/>
      <c r="E512" s="107"/>
      <c r="F512" s="19"/>
      <c r="G512" s="19"/>
      <c r="H512" s="19"/>
      <c r="I512" s="19"/>
      <c r="J512" s="19"/>
      <c r="K512" s="233"/>
      <c r="L512" s="19"/>
      <c r="M512" s="19"/>
      <c r="N512" s="19"/>
      <c r="O512" s="19"/>
      <c r="P512" s="19"/>
      <c r="Q512" s="19"/>
      <c r="R512" s="19"/>
      <c r="S512" s="19"/>
      <c r="T512" s="19"/>
      <c r="U512" s="19"/>
      <c r="V512" s="19"/>
      <c r="W512" s="19"/>
      <c r="X512" s="19"/>
      <c r="Y512" s="19"/>
    </row>
    <row r="513" spans="2:25" ht="12" customHeight="1">
      <c r="B513" s="19"/>
      <c r="C513" s="19"/>
      <c r="D513" s="107"/>
      <c r="E513" s="107"/>
      <c r="F513" s="19"/>
      <c r="G513" s="19"/>
      <c r="H513" s="19"/>
      <c r="I513" s="19"/>
      <c r="J513" s="19"/>
      <c r="K513" s="233"/>
      <c r="L513" s="19"/>
      <c r="M513" s="19"/>
      <c r="N513" s="19"/>
      <c r="O513" s="19"/>
      <c r="P513" s="19"/>
      <c r="Q513" s="19"/>
      <c r="R513" s="19"/>
      <c r="S513" s="19"/>
      <c r="T513" s="19"/>
      <c r="U513" s="19"/>
      <c r="V513" s="19"/>
      <c r="W513" s="19"/>
      <c r="X513" s="19"/>
      <c r="Y513" s="19"/>
    </row>
    <row r="514" spans="2:25" ht="12" customHeight="1">
      <c r="B514" s="19"/>
      <c r="C514" s="19"/>
      <c r="D514" s="107"/>
      <c r="E514" s="107"/>
      <c r="F514" s="19"/>
      <c r="G514" s="19"/>
      <c r="H514" s="19"/>
      <c r="I514" s="19"/>
      <c r="J514" s="19"/>
      <c r="K514" s="233"/>
      <c r="L514" s="19"/>
      <c r="M514" s="19"/>
      <c r="N514" s="19"/>
      <c r="O514" s="19"/>
      <c r="P514" s="19"/>
      <c r="Q514" s="19"/>
      <c r="R514" s="19"/>
      <c r="S514" s="19"/>
      <c r="T514" s="19"/>
      <c r="U514" s="19"/>
      <c r="V514" s="19"/>
      <c r="W514" s="19"/>
      <c r="X514" s="19"/>
      <c r="Y514" s="19"/>
    </row>
    <row r="515" spans="2:25" ht="12" customHeight="1">
      <c r="B515" s="19"/>
      <c r="C515" s="19"/>
      <c r="D515" s="107"/>
      <c r="E515" s="107"/>
      <c r="F515" s="19"/>
      <c r="G515" s="19"/>
      <c r="H515" s="19"/>
      <c r="I515" s="19"/>
      <c r="J515" s="19"/>
      <c r="K515" s="233"/>
      <c r="L515" s="19"/>
      <c r="M515" s="19"/>
      <c r="N515" s="19"/>
      <c r="O515" s="19"/>
      <c r="P515" s="19"/>
      <c r="Q515" s="19"/>
      <c r="R515" s="19"/>
      <c r="S515" s="19"/>
      <c r="T515" s="19"/>
      <c r="U515" s="19"/>
      <c r="V515" s="19"/>
      <c r="W515" s="19"/>
      <c r="X515" s="19"/>
      <c r="Y515" s="19"/>
    </row>
    <row r="516" spans="2:25" ht="12" customHeight="1">
      <c r="B516" s="19"/>
      <c r="C516" s="19"/>
      <c r="D516" s="107"/>
      <c r="E516" s="107"/>
      <c r="F516" s="19"/>
      <c r="G516" s="19"/>
      <c r="H516" s="19"/>
      <c r="I516" s="19"/>
      <c r="J516" s="19"/>
      <c r="K516" s="233"/>
      <c r="L516" s="19"/>
      <c r="M516" s="19"/>
      <c r="N516" s="19"/>
      <c r="O516" s="19"/>
      <c r="P516" s="19"/>
      <c r="Q516" s="19"/>
      <c r="R516" s="19"/>
      <c r="S516" s="19"/>
      <c r="T516" s="19"/>
      <c r="U516" s="19"/>
      <c r="V516" s="19"/>
      <c r="W516" s="19"/>
      <c r="X516" s="19"/>
      <c r="Y516" s="19"/>
    </row>
    <row r="517" spans="2:25" ht="12" customHeight="1">
      <c r="B517" s="19"/>
      <c r="C517" s="19"/>
      <c r="D517" s="107"/>
      <c r="E517" s="107"/>
      <c r="F517" s="19"/>
      <c r="G517" s="19"/>
      <c r="H517" s="19"/>
      <c r="I517" s="19"/>
      <c r="J517" s="19"/>
      <c r="K517" s="233"/>
      <c r="L517" s="19"/>
      <c r="M517" s="19"/>
      <c r="N517" s="19"/>
      <c r="O517" s="19"/>
      <c r="P517" s="19"/>
      <c r="Q517" s="19"/>
      <c r="R517" s="19"/>
      <c r="S517" s="19"/>
      <c r="T517" s="19"/>
      <c r="U517" s="19"/>
      <c r="V517" s="19"/>
      <c r="W517" s="19"/>
      <c r="X517" s="19"/>
      <c r="Y517" s="19"/>
    </row>
    <row r="518" spans="2:25" ht="12" customHeight="1">
      <c r="B518" s="19"/>
      <c r="C518" s="19"/>
      <c r="D518" s="107"/>
      <c r="E518" s="107"/>
      <c r="F518" s="19"/>
      <c r="G518" s="19"/>
      <c r="H518" s="19"/>
      <c r="I518" s="19"/>
      <c r="J518" s="19"/>
      <c r="K518" s="233"/>
      <c r="L518" s="19"/>
      <c r="M518" s="19"/>
      <c r="N518" s="19"/>
      <c r="O518" s="19"/>
      <c r="P518" s="19"/>
      <c r="Q518" s="19"/>
      <c r="R518" s="19"/>
      <c r="S518" s="19"/>
      <c r="T518" s="19"/>
      <c r="U518" s="19"/>
      <c r="V518" s="19"/>
      <c r="W518" s="19"/>
      <c r="X518" s="19"/>
      <c r="Y518" s="19"/>
    </row>
    <row r="519" spans="2:25" ht="12" customHeight="1">
      <c r="B519" s="19"/>
      <c r="C519" s="19"/>
      <c r="D519" s="107"/>
      <c r="E519" s="107"/>
      <c r="F519" s="19"/>
      <c r="G519" s="19"/>
      <c r="H519" s="19"/>
      <c r="I519" s="19"/>
      <c r="J519" s="19"/>
      <c r="K519" s="233"/>
      <c r="L519" s="19"/>
      <c r="M519" s="19"/>
      <c r="N519" s="19"/>
      <c r="O519" s="19"/>
      <c r="P519" s="19"/>
      <c r="Q519" s="19"/>
      <c r="R519" s="19"/>
      <c r="S519" s="19"/>
      <c r="T519" s="19"/>
      <c r="U519" s="19"/>
      <c r="V519" s="19"/>
      <c r="W519" s="19"/>
      <c r="X519" s="19"/>
      <c r="Y519" s="19"/>
    </row>
    <row r="520" spans="2:25" ht="12" customHeight="1">
      <c r="B520" s="19"/>
      <c r="C520" s="19"/>
      <c r="D520" s="107"/>
      <c r="E520" s="107"/>
      <c r="F520" s="19"/>
      <c r="G520" s="19"/>
      <c r="H520" s="19"/>
      <c r="I520" s="19"/>
      <c r="J520" s="19"/>
      <c r="K520" s="233"/>
      <c r="L520" s="19"/>
      <c r="M520" s="19"/>
      <c r="N520" s="19"/>
      <c r="O520" s="19"/>
      <c r="P520" s="19"/>
      <c r="Q520" s="19"/>
      <c r="R520" s="19"/>
      <c r="S520" s="19"/>
      <c r="T520" s="19"/>
      <c r="U520" s="19"/>
      <c r="V520" s="19"/>
      <c r="W520" s="19"/>
      <c r="X520" s="19"/>
      <c r="Y520" s="19"/>
    </row>
    <row r="521" spans="2:25" ht="12" customHeight="1">
      <c r="B521" s="19"/>
      <c r="C521" s="19"/>
      <c r="D521" s="107"/>
      <c r="E521" s="107"/>
      <c r="F521" s="19"/>
      <c r="G521" s="19"/>
      <c r="H521" s="19"/>
      <c r="I521" s="19"/>
      <c r="J521" s="19"/>
      <c r="K521" s="233"/>
      <c r="L521" s="19"/>
      <c r="M521" s="19"/>
      <c r="N521" s="19"/>
      <c r="O521" s="19"/>
      <c r="P521" s="19"/>
      <c r="Q521" s="19"/>
      <c r="R521" s="19"/>
      <c r="S521" s="19"/>
      <c r="T521" s="19"/>
      <c r="U521" s="19"/>
      <c r="V521" s="19"/>
      <c r="W521" s="19"/>
      <c r="X521" s="19"/>
      <c r="Y521" s="19"/>
    </row>
    <row r="522" spans="2:25" ht="12" customHeight="1">
      <c r="B522" s="19"/>
      <c r="C522" s="19"/>
      <c r="D522" s="107"/>
      <c r="E522" s="107"/>
      <c r="F522" s="19"/>
      <c r="G522" s="19"/>
      <c r="H522" s="19"/>
      <c r="I522" s="19"/>
      <c r="J522" s="19"/>
      <c r="K522" s="233"/>
      <c r="L522" s="19"/>
      <c r="M522" s="19"/>
      <c r="N522" s="19"/>
      <c r="O522" s="19"/>
      <c r="P522" s="19"/>
      <c r="Q522" s="19"/>
      <c r="R522" s="19"/>
      <c r="S522" s="19"/>
      <c r="T522" s="19"/>
      <c r="U522" s="19"/>
      <c r="V522" s="19"/>
      <c r="W522" s="19"/>
      <c r="X522" s="19"/>
      <c r="Y522" s="19"/>
    </row>
    <row r="523" spans="2:25" ht="12" customHeight="1">
      <c r="B523" s="19"/>
      <c r="C523" s="19"/>
      <c r="D523" s="107"/>
      <c r="E523" s="107"/>
      <c r="F523" s="19"/>
      <c r="G523" s="19"/>
      <c r="H523" s="19"/>
      <c r="I523" s="19"/>
      <c r="J523" s="19"/>
      <c r="K523" s="233"/>
      <c r="L523" s="19"/>
      <c r="M523" s="19"/>
      <c r="N523" s="19"/>
      <c r="O523" s="19"/>
      <c r="P523" s="19"/>
      <c r="Q523" s="19"/>
      <c r="R523" s="19"/>
      <c r="S523" s="19"/>
      <c r="T523" s="19"/>
      <c r="U523" s="19"/>
      <c r="V523" s="19"/>
      <c r="W523" s="19"/>
      <c r="X523" s="19"/>
      <c r="Y523" s="19"/>
    </row>
    <row r="524" spans="2:25" ht="12" customHeight="1">
      <c r="B524" s="19"/>
      <c r="C524" s="19"/>
      <c r="D524" s="107"/>
      <c r="E524" s="107"/>
      <c r="F524" s="19"/>
      <c r="G524" s="19"/>
      <c r="H524" s="19"/>
      <c r="I524" s="19"/>
      <c r="J524" s="19"/>
      <c r="K524" s="233"/>
      <c r="L524" s="19"/>
      <c r="M524" s="19"/>
      <c r="N524" s="19"/>
      <c r="O524" s="19"/>
      <c r="P524" s="19"/>
      <c r="Q524" s="19"/>
      <c r="R524" s="19"/>
      <c r="S524" s="19"/>
      <c r="T524" s="19"/>
      <c r="U524" s="19"/>
      <c r="V524" s="19"/>
      <c r="W524" s="19"/>
      <c r="X524" s="19"/>
      <c r="Y524" s="19"/>
    </row>
    <row r="525" spans="2:25" ht="12" customHeight="1">
      <c r="B525" s="19"/>
      <c r="C525" s="19"/>
      <c r="D525" s="107"/>
      <c r="E525" s="107"/>
      <c r="F525" s="19"/>
      <c r="G525" s="19"/>
      <c r="H525" s="19"/>
      <c r="I525" s="19"/>
      <c r="J525" s="19"/>
      <c r="K525" s="233"/>
      <c r="L525" s="19"/>
      <c r="M525" s="19"/>
      <c r="N525" s="19"/>
      <c r="O525" s="19"/>
      <c r="P525" s="19"/>
      <c r="Q525" s="19"/>
      <c r="R525" s="19"/>
      <c r="S525" s="19"/>
      <c r="T525" s="19"/>
      <c r="U525" s="19"/>
      <c r="V525" s="19"/>
      <c r="W525" s="19"/>
      <c r="X525" s="19"/>
      <c r="Y525" s="19"/>
    </row>
    <row r="526" spans="2:25" ht="12" customHeight="1">
      <c r="B526" s="19"/>
      <c r="C526" s="19"/>
      <c r="D526" s="107"/>
      <c r="E526" s="107"/>
      <c r="F526" s="19"/>
      <c r="G526" s="19"/>
      <c r="H526" s="19"/>
      <c r="I526" s="19"/>
      <c r="J526" s="19"/>
      <c r="K526" s="233"/>
      <c r="L526" s="19"/>
      <c r="M526" s="19"/>
      <c r="N526" s="19"/>
      <c r="O526" s="19"/>
      <c r="P526" s="19"/>
      <c r="Q526" s="19"/>
      <c r="R526" s="19"/>
      <c r="S526" s="19"/>
      <c r="T526" s="19"/>
      <c r="U526" s="19"/>
      <c r="V526" s="19"/>
      <c r="W526" s="19"/>
      <c r="X526" s="19"/>
      <c r="Y526" s="19"/>
    </row>
    <row r="527" spans="2:25" ht="12" customHeight="1">
      <c r="B527" s="19"/>
      <c r="C527" s="19"/>
      <c r="D527" s="107"/>
      <c r="E527" s="107"/>
      <c r="F527" s="19"/>
      <c r="G527" s="19"/>
      <c r="H527" s="19"/>
      <c r="I527" s="19"/>
      <c r="J527" s="19"/>
      <c r="K527" s="233"/>
      <c r="L527" s="19"/>
      <c r="M527" s="19"/>
      <c r="N527" s="19"/>
      <c r="O527" s="19"/>
      <c r="P527" s="19"/>
      <c r="Q527" s="19"/>
      <c r="R527" s="19"/>
      <c r="S527" s="19"/>
      <c r="T527" s="19"/>
      <c r="U527" s="19"/>
      <c r="V527" s="19"/>
      <c r="W527" s="19"/>
      <c r="X527" s="19"/>
      <c r="Y527" s="19"/>
    </row>
    <row r="528" spans="2:25" ht="12" customHeight="1">
      <c r="B528" s="19"/>
      <c r="C528" s="19"/>
      <c r="D528" s="107"/>
      <c r="E528" s="107"/>
      <c r="F528" s="19"/>
      <c r="G528" s="19"/>
      <c r="H528" s="19"/>
      <c r="I528" s="19"/>
      <c r="J528" s="19"/>
      <c r="K528" s="233"/>
      <c r="L528" s="19"/>
      <c r="M528" s="19"/>
      <c r="N528" s="19"/>
      <c r="O528" s="19"/>
      <c r="P528" s="19"/>
      <c r="Q528" s="19"/>
      <c r="R528" s="19"/>
      <c r="S528" s="19"/>
      <c r="T528" s="19"/>
      <c r="U528" s="19"/>
      <c r="V528" s="19"/>
      <c r="W528" s="19"/>
      <c r="X528" s="19"/>
      <c r="Y528" s="19"/>
    </row>
    <row r="529" spans="2:25" ht="12" customHeight="1">
      <c r="B529" s="19"/>
      <c r="C529" s="19"/>
      <c r="D529" s="107"/>
      <c r="E529" s="107"/>
      <c r="F529" s="19"/>
      <c r="G529" s="19"/>
      <c r="H529" s="19"/>
      <c r="I529" s="19"/>
      <c r="J529" s="19"/>
      <c r="K529" s="233"/>
      <c r="L529" s="19"/>
      <c r="M529" s="19"/>
      <c r="N529" s="19"/>
      <c r="O529" s="19"/>
      <c r="P529" s="19"/>
      <c r="Q529" s="19"/>
      <c r="R529" s="19"/>
      <c r="S529" s="19"/>
      <c r="T529" s="19"/>
      <c r="U529" s="19"/>
      <c r="V529" s="19"/>
      <c r="W529" s="19"/>
      <c r="X529" s="19"/>
      <c r="Y529" s="19"/>
    </row>
    <row r="530" spans="2:25" ht="12" customHeight="1">
      <c r="B530" s="19"/>
      <c r="C530" s="19"/>
      <c r="D530" s="107"/>
      <c r="E530" s="107"/>
      <c r="F530" s="19"/>
      <c r="G530" s="19"/>
      <c r="H530" s="19"/>
      <c r="I530" s="19"/>
      <c r="J530" s="19"/>
      <c r="K530" s="233"/>
      <c r="L530" s="19"/>
      <c r="M530" s="19"/>
      <c r="N530" s="19"/>
      <c r="O530" s="19"/>
      <c r="P530" s="19"/>
      <c r="Q530" s="19"/>
      <c r="R530" s="19"/>
      <c r="S530" s="19"/>
      <c r="T530" s="19"/>
      <c r="U530" s="19"/>
      <c r="V530" s="19"/>
      <c r="W530" s="19"/>
      <c r="X530" s="19"/>
      <c r="Y530" s="19"/>
    </row>
    <row r="531" spans="2:25" ht="12" customHeight="1">
      <c r="B531" s="19"/>
      <c r="C531" s="19"/>
      <c r="D531" s="107"/>
      <c r="E531" s="107"/>
      <c r="F531" s="19"/>
      <c r="G531" s="19"/>
      <c r="H531" s="19"/>
      <c r="I531" s="19"/>
      <c r="J531" s="19"/>
      <c r="K531" s="233"/>
      <c r="L531" s="19"/>
      <c r="M531" s="19"/>
      <c r="N531" s="19"/>
      <c r="O531" s="19"/>
      <c r="P531" s="19"/>
      <c r="Q531" s="19"/>
      <c r="R531" s="19"/>
      <c r="S531" s="19"/>
      <c r="T531" s="19"/>
      <c r="U531" s="19"/>
      <c r="V531" s="19"/>
      <c r="W531" s="19"/>
      <c r="X531" s="19"/>
      <c r="Y531" s="19"/>
    </row>
    <row r="532" spans="2:25" ht="12" customHeight="1">
      <c r="B532" s="19"/>
      <c r="C532" s="19"/>
      <c r="D532" s="107"/>
      <c r="E532" s="107"/>
      <c r="F532" s="19"/>
      <c r="G532" s="19"/>
      <c r="H532" s="19"/>
      <c r="I532" s="19"/>
      <c r="J532" s="19"/>
      <c r="K532" s="233"/>
      <c r="L532" s="19"/>
      <c r="M532" s="19"/>
      <c r="N532" s="19"/>
      <c r="O532" s="19"/>
      <c r="P532" s="19"/>
      <c r="Q532" s="19"/>
      <c r="R532" s="19"/>
      <c r="S532" s="19"/>
      <c r="T532" s="19"/>
      <c r="U532" s="19"/>
      <c r="V532" s="19"/>
      <c r="W532" s="19"/>
      <c r="X532" s="19"/>
      <c r="Y532" s="19"/>
    </row>
    <row r="533" spans="2:25" ht="12" customHeight="1">
      <c r="B533" s="19"/>
      <c r="C533" s="19"/>
      <c r="D533" s="107"/>
      <c r="E533" s="107"/>
      <c r="F533" s="19"/>
      <c r="G533" s="19"/>
      <c r="H533" s="19"/>
      <c r="I533" s="19"/>
      <c r="J533" s="19"/>
      <c r="K533" s="233"/>
      <c r="L533" s="19"/>
      <c r="M533" s="19"/>
      <c r="N533" s="19"/>
      <c r="O533" s="19"/>
      <c r="P533" s="19"/>
      <c r="Q533" s="19"/>
      <c r="R533" s="19"/>
      <c r="S533" s="19"/>
      <c r="T533" s="19"/>
      <c r="U533" s="19"/>
      <c r="V533" s="19"/>
      <c r="W533" s="19"/>
      <c r="X533" s="19"/>
      <c r="Y533" s="19"/>
    </row>
    <row r="534" spans="2:25" ht="12" customHeight="1">
      <c r="B534" s="19"/>
      <c r="C534" s="19"/>
      <c r="D534" s="107"/>
      <c r="E534" s="107"/>
      <c r="F534" s="19"/>
      <c r="G534" s="19"/>
      <c r="H534" s="19"/>
      <c r="I534" s="19"/>
      <c r="J534" s="19"/>
      <c r="K534" s="233"/>
      <c r="L534" s="19"/>
      <c r="M534" s="19"/>
      <c r="N534" s="19"/>
      <c r="O534" s="19"/>
      <c r="P534" s="19"/>
      <c r="Q534" s="19"/>
      <c r="R534" s="19"/>
      <c r="S534" s="19"/>
      <c r="T534" s="19"/>
      <c r="U534" s="19"/>
      <c r="V534" s="19"/>
      <c r="W534" s="19"/>
      <c r="X534" s="19"/>
      <c r="Y534" s="19"/>
    </row>
    <row r="535" spans="2:25" ht="12" customHeight="1">
      <c r="B535" s="19"/>
      <c r="C535" s="19"/>
      <c r="D535" s="107"/>
      <c r="E535" s="107"/>
      <c r="F535" s="19"/>
      <c r="G535" s="19"/>
      <c r="H535" s="19"/>
      <c r="I535" s="19"/>
      <c r="J535" s="19"/>
      <c r="K535" s="233"/>
      <c r="L535" s="19"/>
      <c r="M535" s="19"/>
      <c r="N535" s="19"/>
      <c r="O535" s="19"/>
      <c r="P535" s="19"/>
      <c r="Q535" s="19"/>
      <c r="R535" s="19"/>
      <c r="S535" s="19"/>
      <c r="T535" s="19"/>
      <c r="U535" s="19"/>
      <c r="V535" s="19"/>
      <c r="W535" s="19"/>
      <c r="X535" s="19"/>
      <c r="Y535" s="19"/>
    </row>
    <row r="536" spans="2:25" ht="12" customHeight="1">
      <c r="B536" s="19"/>
      <c r="C536" s="19"/>
      <c r="D536" s="107"/>
      <c r="E536" s="107"/>
      <c r="F536" s="19"/>
      <c r="G536" s="19"/>
      <c r="H536" s="19"/>
      <c r="I536" s="19"/>
      <c r="J536" s="19"/>
      <c r="K536" s="233"/>
      <c r="L536" s="19"/>
      <c r="M536" s="19"/>
      <c r="N536" s="19"/>
      <c r="O536" s="19"/>
      <c r="P536" s="19"/>
      <c r="Q536" s="19"/>
      <c r="R536" s="19"/>
      <c r="S536" s="19"/>
      <c r="T536" s="19"/>
      <c r="U536" s="19"/>
      <c r="V536" s="19"/>
      <c r="W536" s="19"/>
      <c r="X536" s="19"/>
      <c r="Y536" s="19"/>
    </row>
    <row r="537" spans="2:25" ht="12" customHeight="1">
      <c r="B537" s="19"/>
      <c r="C537" s="19"/>
      <c r="D537" s="107"/>
      <c r="E537" s="107"/>
      <c r="F537" s="19"/>
      <c r="G537" s="19"/>
      <c r="H537" s="19"/>
      <c r="I537" s="19"/>
      <c r="J537" s="19"/>
      <c r="K537" s="233"/>
      <c r="L537" s="19"/>
      <c r="M537" s="19"/>
      <c r="N537" s="19"/>
      <c r="O537" s="19"/>
      <c r="P537" s="19"/>
      <c r="Q537" s="19"/>
      <c r="R537" s="19"/>
      <c r="S537" s="19"/>
      <c r="T537" s="19"/>
      <c r="U537" s="19"/>
      <c r="V537" s="19"/>
      <c r="W537" s="19"/>
      <c r="X537" s="19"/>
      <c r="Y537" s="19"/>
    </row>
    <row r="538" spans="2:25" ht="12" customHeight="1">
      <c r="B538" s="19"/>
      <c r="C538" s="19"/>
      <c r="D538" s="107"/>
      <c r="E538" s="107"/>
      <c r="F538" s="19"/>
      <c r="G538" s="19"/>
      <c r="H538" s="19"/>
      <c r="I538" s="19"/>
      <c r="J538" s="19"/>
      <c r="K538" s="233"/>
      <c r="L538" s="19"/>
      <c r="M538" s="19"/>
      <c r="N538" s="19"/>
      <c r="O538" s="19"/>
      <c r="P538" s="19"/>
      <c r="Q538" s="19"/>
      <c r="R538" s="19"/>
      <c r="S538" s="19"/>
      <c r="T538" s="19"/>
      <c r="U538" s="19"/>
      <c r="V538" s="19"/>
      <c r="W538" s="19"/>
      <c r="X538" s="19"/>
      <c r="Y538" s="19"/>
    </row>
    <row r="539" spans="2:25" ht="12" customHeight="1">
      <c r="B539" s="19"/>
      <c r="C539" s="19"/>
      <c r="D539" s="107"/>
      <c r="E539" s="107"/>
      <c r="F539" s="19"/>
      <c r="G539" s="19"/>
      <c r="H539" s="19"/>
      <c r="I539" s="19"/>
      <c r="J539" s="19"/>
      <c r="K539" s="233"/>
      <c r="L539" s="19"/>
      <c r="M539" s="19"/>
      <c r="N539" s="19"/>
      <c r="O539" s="19"/>
      <c r="P539" s="19"/>
      <c r="Q539" s="19"/>
      <c r="R539" s="19"/>
      <c r="S539" s="19"/>
      <c r="T539" s="19"/>
      <c r="U539" s="19"/>
      <c r="V539" s="19"/>
      <c r="W539" s="19"/>
      <c r="X539" s="19"/>
      <c r="Y539" s="19"/>
    </row>
    <row r="540" spans="2:25" ht="12" customHeight="1">
      <c r="B540" s="19"/>
      <c r="C540" s="19"/>
      <c r="D540" s="107"/>
      <c r="E540" s="107"/>
      <c r="F540" s="19"/>
      <c r="G540" s="19"/>
      <c r="H540" s="19"/>
      <c r="I540" s="19"/>
      <c r="J540" s="19"/>
      <c r="K540" s="233"/>
      <c r="L540" s="19"/>
      <c r="M540" s="19"/>
      <c r="N540" s="19"/>
      <c r="O540" s="19"/>
      <c r="P540" s="19"/>
      <c r="Q540" s="19"/>
      <c r="R540" s="19"/>
      <c r="S540" s="19"/>
      <c r="T540" s="19"/>
      <c r="U540" s="19"/>
      <c r="V540" s="19"/>
      <c r="W540" s="19"/>
      <c r="X540" s="19"/>
      <c r="Y540" s="19"/>
    </row>
    <row r="541" spans="2:25" ht="12" customHeight="1">
      <c r="B541" s="19"/>
      <c r="C541" s="19"/>
      <c r="D541" s="107"/>
      <c r="E541" s="107"/>
      <c r="F541" s="19"/>
      <c r="G541" s="19"/>
      <c r="H541" s="19"/>
      <c r="I541" s="19"/>
      <c r="J541" s="19"/>
      <c r="K541" s="233"/>
      <c r="L541" s="19"/>
      <c r="M541" s="19"/>
      <c r="N541" s="19"/>
      <c r="O541" s="19"/>
      <c r="P541" s="19"/>
      <c r="Q541" s="19"/>
      <c r="R541" s="19"/>
      <c r="S541" s="19"/>
      <c r="T541" s="19"/>
      <c r="U541" s="19"/>
      <c r="V541" s="19"/>
      <c r="W541" s="19"/>
      <c r="X541" s="19"/>
      <c r="Y541" s="19"/>
    </row>
    <row r="542" spans="2:25" ht="12" customHeight="1">
      <c r="B542" s="19"/>
      <c r="C542" s="19"/>
      <c r="D542" s="107"/>
      <c r="E542" s="107"/>
      <c r="F542" s="19"/>
      <c r="G542" s="19"/>
      <c r="H542" s="19"/>
      <c r="I542" s="19"/>
      <c r="J542" s="19"/>
      <c r="K542" s="233"/>
      <c r="L542" s="19"/>
      <c r="M542" s="19"/>
      <c r="N542" s="19"/>
      <c r="O542" s="19"/>
      <c r="P542" s="19"/>
      <c r="Q542" s="19"/>
      <c r="R542" s="19"/>
      <c r="S542" s="19"/>
      <c r="T542" s="19"/>
      <c r="U542" s="19"/>
      <c r="V542" s="19"/>
      <c r="W542" s="19"/>
      <c r="X542" s="19"/>
      <c r="Y542" s="19"/>
    </row>
    <row r="543" spans="2:25" ht="12" customHeight="1">
      <c r="B543" s="19"/>
      <c r="C543" s="19"/>
      <c r="D543" s="107"/>
      <c r="E543" s="107"/>
      <c r="F543" s="19"/>
      <c r="G543" s="19"/>
      <c r="H543" s="19"/>
      <c r="I543" s="19"/>
      <c r="J543" s="19"/>
      <c r="K543" s="233"/>
      <c r="L543" s="19"/>
      <c r="M543" s="19"/>
      <c r="N543" s="19"/>
      <c r="O543" s="19"/>
      <c r="P543" s="19"/>
      <c r="Q543" s="19"/>
      <c r="R543" s="19"/>
      <c r="S543" s="19"/>
      <c r="T543" s="19"/>
      <c r="U543" s="19"/>
      <c r="V543" s="19"/>
      <c r="W543" s="19"/>
      <c r="X543" s="19"/>
      <c r="Y543" s="19"/>
    </row>
    <row r="544" spans="2:25" ht="12" customHeight="1">
      <c r="B544" s="19"/>
      <c r="C544" s="19"/>
      <c r="D544" s="107"/>
      <c r="E544" s="107"/>
      <c r="F544" s="19"/>
      <c r="G544" s="19"/>
      <c r="H544" s="19"/>
      <c r="I544" s="19"/>
      <c r="J544" s="19"/>
      <c r="K544" s="233"/>
      <c r="L544" s="19"/>
      <c r="M544" s="19"/>
      <c r="N544" s="19"/>
      <c r="O544" s="19"/>
      <c r="P544" s="19"/>
      <c r="Q544" s="19"/>
      <c r="R544" s="19"/>
      <c r="S544" s="19"/>
      <c r="T544" s="19"/>
      <c r="U544" s="19"/>
      <c r="V544" s="19"/>
      <c r="W544" s="19"/>
      <c r="X544" s="19"/>
      <c r="Y544" s="19"/>
    </row>
    <row r="545" spans="2:25" ht="12" customHeight="1">
      <c r="B545" s="19"/>
      <c r="C545" s="19"/>
      <c r="D545" s="107"/>
      <c r="E545" s="107"/>
      <c r="F545" s="19"/>
      <c r="G545" s="19"/>
      <c r="H545" s="19"/>
      <c r="I545" s="19"/>
      <c r="J545" s="19"/>
      <c r="K545" s="233"/>
      <c r="L545" s="19"/>
      <c r="M545" s="19"/>
      <c r="N545" s="19"/>
      <c r="O545" s="19"/>
      <c r="P545" s="19"/>
      <c r="Q545" s="19"/>
      <c r="R545" s="19"/>
      <c r="S545" s="19"/>
      <c r="T545" s="19"/>
      <c r="U545" s="19"/>
      <c r="V545" s="19"/>
      <c r="W545" s="19"/>
      <c r="X545" s="19"/>
      <c r="Y545" s="19"/>
    </row>
    <row r="546" spans="2:25" ht="12" customHeight="1">
      <c r="B546" s="19"/>
      <c r="C546" s="19"/>
      <c r="D546" s="107"/>
      <c r="E546" s="107"/>
      <c r="F546" s="19"/>
      <c r="G546" s="19"/>
      <c r="H546" s="19"/>
      <c r="I546" s="19"/>
      <c r="J546" s="19"/>
      <c r="K546" s="233"/>
      <c r="L546" s="19"/>
      <c r="M546" s="19"/>
      <c r="N546" s="19"/>
      <c r="O546" s="19"/>
      <c r="P546" s="19"/>
      <c r="Q546" s="19"/>
      <c r="R546" s="19"/>
      <c r="S546" s="19"/>
      <c r="T546" s="19"/>
      <c r="U546" s="19"/>
      <c r="V546" s="19"/>
      <c r="W546" s="19"/>
      <c r="X546" s="19"/>
      <c r="Y546" s="19"/>
    </row>
    <row r="547" spans="2:25" ht="12" customHeight="1">
      <c r="B547" s="19"/>
      <c r="C547" s="19"/>
      <c r="D547" s="107"/>
      <c r="E547" s="107"/>
      <c r="F547" s="19"/>
      <c r="G547" s="19"/>
      <c r="H547" s="19"/>
      <c r="I547" s="19"/>
      <c r="J547" s="19"/>
      <c r="K547" s="233"/>
      <c r="L547" s="19"/>
      <c r="M547" s="19"/>
      <c r="N547" s="19"/>
      <c r="O547" s="19"/>
      <c r="P547" s="19"/>
      <c r="Q547" s="19"/>
      <c r="R547" s="19"/>
      <c r="S547" s="19"/>
      <c r="T547" s="19"/>
      <c r="U547" s="19"/>
      <c r="V547" s="19"/>
      <c r="W547" s="19"/>
      <c r="X547" s="19"/>
      <c r="Y547" s="19"/>
    </row>
    <row r="548" spans="2:25" ht="12" customHeight="1">
      <c r="B548" s="19"/>
      <c r="C548" s="19"/>
      <c r="D548" s="107"/>
      <c r="E548" s="107"/>
      <c r="F548" s="19"/>
      <c r="G548" s="19"/>
      <c r="H548" s="19"/>
      <c r="I548" s="19"/>
      <c r="J548" s="19"/>
      <c r="K548" s="233"/>
      <c r="L548" s="19"/>
      <c r="M548" s="19"/>
      <c r="N548" s="19"/>
      <c r="O548" s="19"/>
      <c r="P548" s="19"/>
      <c r="Q548" s="19"/>
      <c r="R548" s="19"/>
      <c r="S548" s="19"/>
      <c r="T548" s="19"/>
      <c r="U548" s="19"/>
      <c r="V548" s="19"/>
      <c r="W548" s="19"/>
      <c r="X548" s="19"/>
      <c r="Y548" s="19"/>
    </row>
    <row r="549" spans="2:25" ht="12" customHeight="1">
      <c r="B549" s="19"/>
      <c r="C549" s="19"/>
      <c r="D549" s="107"/>
      <c r="E549" s="107"/>
      <c r="F549" s="19"/>
      <c r="G549" s="19"/>
      <c r="H549" s="19"/>
      <c r="I549" s="19"/>
      <c r="J549" s="19"/>
      <c r="K549" s="233"/>
      <c r="L549" s="19"/>
      <c r="M549" s="19"/>
      <c r="N549" s="19"/>
      <c r="O549" s="19"/>
      <c r="P549" s="19"/>
      <c r="Q549" s="19"/>
      <c r="R549" s="19"/>
      <c r="S549" s="19"/>
      <c r="T549" s="19"/>
      <c r="U549" s="19"/>
      <c r="V549" s="19"/>
      <c r="W549" s="19"/>
      <c r="X549" s="19"/>
      <c r="Y549" s="19"/>
    </row>
    <row r="550" spans="2:25" ht="12" customHeight="1">
      <c r="B550" s="19"/>
      <c r="C550" s="19"/>
      <c r="D550" s="107"/>
      <c r="E550" s="107"/>
      <c r="F550" s="19"/>
      <c r="G550" s="19"/>
      <c r="H550" s="19"/>
      <c r="I550" s="19"/>
      <c r="J550" s="19"/>
      <c r="K550" s="233"/>
      <c r="L550" s="19"/>
      <c r="M550" s="19"/>
      <c r="N550" s="19"/>
      <c r="O550" s="19"/>
      <c r="P550" s="19"/>
      <c r="Q550" s="19"/>
      <c r="R550" s="19"/>
      <c r="S550" s="19"/>
      <c r="T550" s="19"/>
      <c r="U550" s="19"/>
      <c r="V550" s="19"/>
      <c r="W550" s="19"/>
      <c r="X550" s="19"/>
      <c r="Y550" s="19"/>
    </row>
    <row r="551" spans="2:25" ht="12" customHeight="1">
      <c r="B551" s="19"/>
      <c r="C551" s="19"/>
      <c r="D551" s="107"/>
      <c r="E551" s="107"/>
      <c r="F551" s="19"/>
      <c r="G551" s="19"/>
      <c r="H551" s="19"/>
      <c r="I551" s="19"/>
      <c r="J551" s="19"/>
      <c r="K551" s="233"/>
      <c r="L551" s="19"/>
      <c r="M551" s="19"/>
      <c r="N551" s="19"/>
      <c r="O551" s="19"/>
      <c r="P551" s="19"/>
      <c r="Q551" s="19"/>
      <c r="R551" s="19"/>
      <c r="S551" s="19"/>
      <c r="T551" s="19"/>
      <c r="U551" s="19"/>
      <c r="V551" s="19"/>
      <c r="W551" s="19"/>
      <c r="X551" s="19"/>
      <c r="Y551" s="19"/>
    </row>
    <row r="552" spans="2:25" ht="12" customHeight="1">
      <c r="B552" s="19"/>
      <c r="C552" s="19"/>
      <c r="D552" s="107"/>
      <c r="E552" s="107"/>
      <c r="F552" s="19"/>
      <c r="G552" s="19"/>
      <c r="H552" s="19"/>
      <c r="I552" s="19"/>
      <c r="J552" s="19"/>
      <c r="K552" s="233"/>
      <c r="L552" s="19"/>
      <c r="M552" s="19"/>
      <c r="N552" s="19"/>
      <c r="O552" s="19"/>
      <c r="P552" s="19"/>
      <c r="Q552" s="19"/>
      <c r="R552" s="19"/>
      <c r="S552" s="19"/>
      <c r="T552" s="19"/>
      <c r="U552" s="19"/>
      <c r="V552" s="19"/>
      <c r="W552" s="19"/>
      <c r="X552" s="19"/>
      <c r="Y552" s="19"/>
    </row>
    <row r="553" spans="2:25" ht="12" customHeight="1">
      <c r="B553" s="19"/>
      <c r="C553" s="19"/>
      <c r="D553" s="107"/>
      <c r="E553" s="107"/>
      <c r="F553" s="19"/>
      <c r="G553" s="19"/>
      <c r="H553" s="19"/>
      <c r="I553" s="19"/>
      <c r="J553" s="19"/>
      <c r="K553" s="233"/>
      <c r="L553" s="19"/>
      <c r="M553" s="19"/>
      <c r="N553" s="19"/>
      <c r="O553" s="19"/>
      <c r="P553" s="19"/>
      <c r="Q553" s="19"/>
      <c r="R553" s="19"/>
      <c r="S553" s="19"/>
      <c r="T553" s="19"/>
      <c r="U553" s="19"/>
      <c r="V553" s="19"/>
      <c r="W553" s="19"/>
      <c r="X553" s="19"/>
      <c r="Y553" s="19"/>
    </row>
    <row r="554" spans="2:25" ht="12" customHeight="1">
      <c r="B554" s="19"/>
      <c r="C554" s="19"/>
      <c r="D554" s="107"/>
      <c r="E554" s="107"/>
      <c r="F554" s="19"/>
      <c r="G554" s="19"/>
      <c r="H554" s="19"/>
      <c r="I554" s="19"/>
      <c r="J554" s="19"/>
      <c r="K554" s="233"/>
      <c r="L554" s="19"/>
      <c r="M554" s="19"/>
      <c r="N554" s="19"/>
      <c r="O554" s="19"/>
      <c r="P554" s="19"/>
      <c r="Q554" s="19"/>
      <c r="R554" s="19"/>
      <c r="S554" s="19"/>
      <c r="T554" s="19"/>
      <c r="U554" s="19"/>
      <c r="V554" s="19"/>
      <c r="W554" s="19"/>
      <c r="X554" s="19"/>
      <c r="Y554" s="19"/>
    </row>
    <row r="555" spans="2:25" ht="12" customHeight="1">
      <c r="B555" s="19"/>
      <c r="C555" s="19"/>
      <c r="D555" s="107"/>
      <c r="E555" s="107"/>
      <c r="F555" s="19"/>
      <c r="G555" s="19"/>
      <c r="H555" s="19"/>
      <c r="I555" s="19"/>
      <c r="J555" s="19"/>
      <c r="K555" s="233"/>
      <c r="L555" s="19"/>
      <c r="M555" s="19"/>
      <c r="N555" s="19"/>
      <c r="O555" s="19"/>
      <c r="P555" s="19"/>
      <c r="Q555" s="19"/>
      <c r="R555" s="19"/>
      <c r="S555" s="19"/>
      <c r="T555" s="19"/>
      <c r="U555" s="19"/>
      <c r="V555" s="19"/>
      <c r="W555" s="19"/>
      <c r="X555" s="19"/>
      <c r="Y555" s="19"/>
    </row>
    <row r="556" spans="2:25" ht="12" customHeight="1">
      <c r="B556" s="19"/>
      <c r="C556" s="19"/>
      <c r="D556" s="107"/>
      <c r="E556" s="107"/>
      <c r="F556" s="19"/>
      <c r="G556" s="19"/>
      <c r="H556" s="19"/>
      <c r="I556" s="19"/>
      <c r="J556" s="19"/>
      <c r="K556" s="233"/>
      <c r="L556" s="19"/>
      <c r="M556" s="19"/>
      <c r="N556" s="19"/>
      <c r="O556" s="19"/>
      <c r="P556" s="19"/>
      <c r="Q556" s="19"/>
      <c r="R556" s="19"/>
      <c r="S556" s="19"/>
      <c r="T556" s="19"/>
      <c r="U556" s="19"/>
      <c r="V556" s="19"/>
      <c r="W556" s="19"/>
      <c r="X556" s="19"/>
      <c r="Y556" s="19"/>
    </row>
    <row r="557" spans="2:25" ht="12" customHeight="1">
      <c r="B557" s="19"/>
      <c r="C557" s="19"/>
      <c r="D557" s="107"/>
      <c r="E557" s="107"/>
      <c r="F557" s="19"/>
      <c r="G557" s="19"/>
      <c r="H557" s="19"/>
      <c r="I557" s="19"/>
      <c r="J557" s="19"/>
      <c r="K557" s="233"/>
      <c r="L557" s="19"/>
      <c r="M557" s="19"/>
      <c r="N557" s="19"/>
      <c r="O557" s="19"/>
      <c r="P557" s="19"/>
      <c r="Q557" s="19"/>
      <c r="R557" s="19"/>
      <c r="S557" s="19"/>
      <c r="T557" s="19"/>
      <c r="U557" s="19"/>
      <c r="V557" s="19"/>
      <c r="W557" s="19"/>
      <c r="X557" s="19"/>
      <c r="Y557" s="19"/>
    </row>
    <row r="558" spans="2:25" ht="12" customHeight="1">
      <c r="B558" s="19"/>
      <c r="C558" s="19"/>
      <c r="D558" s="107"/>
      <c r="E558" s="107"/>
      <c r="F558" s="19"/>
      <c r="G558" s="19"/>
      <c r="H558" s="19"/>
      <c r="I558" s="19"/>
      <c r="J558" s="19"/>
      <c r="K558" s="233"/>
      <c r="L558" s="19"/>
      <c r="M558" s="19"/>
      <c r="N558" s="19"/>
      <c r="O558" s="19"/>
      <c r="P558" s="19"/>
      <c r="Q558" s="19"/>
      <c r="R558" s="19"/>
      <c r="S558" s="19"/>
      <c r="T558" s="19"/>
      <c r="U558" s="19"/>
      <c r="V558" s="19"/>
      <c r="W558" s="19"/>
      <c r="X558" s="19"/>
      <c r="Y558" s="19"/>
    </row>
    <row r="559" spans="2:25" ht="12" customHeight="1">
      <c r="B559" s="19"/>
      <c r="C559" s="19"/>
      <c r="D559" s="107"/>
      <c r="E559" s="107"/>
      <c r="F559" s="19"/>
      <c r="G559" s="19"/>
      <c r="H559" s="19"/>
      <c r="I559" s="19"/>
      <c r="J559" s="19"/>
      <c r="K559" s="233"/>
      <c r="L559" s="19"/>
      <c r="M559" s="19"/>
      <c r="N559" s="19"/>
      <c r="O559" s="19"/>
      <c r="P559" s="19"/>
      <c r="Q559" s="19"/>
      <c r="R559" s="19"/>
      <c r="S559" s="19"/>
      <c r="T559" s="19"/>
      <c r="U559" s="19"/>
      <c r="V559" s="19"/>
      <c r="W559" s="19"/>
      <c r="X559" s="19"/>
      <c r="Y559" s="19"/>
    </row>
    <row r="560" spans="2:25" ht="12" customHeight="1">
      <c r="B560" s="19"/>
      <c r="C560" s="19"/>
      <c r="D560" s="107"/>
      <c r="E560" s="107"/>
      <c r="F560" s="19"/>
      <c r="G560" s="19"/>
      <c r="H560" s="19"/>
      <c r="I560" s="19"/>
      <c r="J560" s="19"/>
      <c r="K560" s="233"/>
      <c r="L560" s="19"/>
      <c r="M560" s="19"/>
      <c r="N560" s="19"/>
      <c r="O560" s="19"/>
      <c r="P560" s="19"/>
      <c r="Q560" s="19"/>
      <c r="R560" s="19"/>
      <c r="S560" s="19"/>
      <c r="T560" s="19"/>
      <c r="U560" s="19"/>
      <c r="V560" s="19"/>
      <c r="W560" s="19"/>
      <c r="X560" s="19"/>
      <c r="Y560" s="19"/>
    </row>
    <row r="561" spans="2:25" ht="12" customHeight="1">
      <c r="B561" s="19"/>
      <c r="C561" s="19"/>
      <c r="D561" s="107"/>
      <c r="E561" s="107"/>
      <c r="F561" s="19"/>
      <c r="G561" s="19"/>
      <c r="H561" s="19"/>
      <c r="I561" s="19"/>
      <c r="J561" s="19"/>
      <c r="K561" s="233"/>
      <c r="L561" s="19"/>
      <c r="M561" s="19"/>
      <c r="N561" s="19"/>
      <c r="O561" s="19"/>
      <c r="P561" s="19"/>
      <c r="Q561" s="19"/>
      <c r="R561" s="19"/>
      <c r="S561" s="19"/>
      <c r="T561" s="19"/>
      <c r="U561" s="19"/>
      <c r="V561" s="19"/>
      <c r="W561" s="19"/>
      <c r="X561" s="19"/>
      <c r="Y561" s="19"/>
    </row>
    <row r="562" spans="2:25" ht="12" customHeight="1">
      <c r="B562" s="19"/>
      <c r="C562" s="19"/>
      <c r="D562" s="107"/>
      <c r="E562" s="107"/>
      <c r="F562" s="19"/>
      <c r="G562" s="19"/>
      <c r="H562" s="19"/>
      <c r="I562" s="19"/>
      <c r="J562" s="19"/>
      <c r="K562" s="233"/>
      <c r="L562" s="19"/>
      <c r="M562" s="19"/>
      <c r="N562" s="19"/>
      <c r="O562" s="19"/>
      <c r="P562" s="19"/>
      <c r="Q562" s="19"/>
      <c r="R562" s="19"/>
      <c r="S562" s="19"/>
      <c r="T562" s="19"/>
      <c r="U562" s="19"/>
      <c r="V562" s="19"/>
      <c r="W562" s="19"/>
      <c r="X562" s="19"/>
      <c r="Y562" s="19"/>
    </row>
    <row r="563" spans="2:25" ht="12" customHeight="1">
      <c r="B563" s="19"/>
      <c r="C563" s="19"/>
      <c r="D563" s="107"/>
      <c r="E563" s="107"/>
      <c r="F563" s="19"/>
      <c r="G563" s="19"/>
      <c r="H563" s="19"/>
      <c r="I563" s="19"/>
      <c r="J563" s="19"/>
      <c r="K563" s="233"/>
      <c r="L563" s="19"/>
      <c r="M563" s="19"/>
      <c r="N563" s="19"/>
      <c r="O563" s="19"/>
      <c r="P563" s="19"/>
      <c r="Q563" s="19"/>
      <c r="R563" s="19"/>
      <c r="S563" s="19"/>
      <c r="T563" s="19"/>
      <c r="U563" s="19"/>
      <c r="V563" s="19"/>
      <c r="W563" s="19"/>
      <c r="X563" s="19"/>
      <c r="Y563" s="19"/>
    </row>
    <row r="564" spans="2:25" ht="12" customHeight="1">
      <c r="B564" s="19"/>
      <c r="C564" s="19"/>
      <c r="D564" s="107"/>
      <c r="E564" s="107"/>
      <c r="F564" s="19"/>
      <c r="G564" s="19"/>
      <c r="H564" s="19"/>
      <c r="I564" s="19"/>
      <c r="J564" s="19"/>
      <c r="K564" s="233"/>
      <c r="L564" s="19"/>
      <c r="M564" s="19"/>
      <c r="N564" s="19"/>
      <c r="O564" s="19"/>
      <c r="P564" s="19"/>
      <c r="Q564" s="19"/>
      <c r="R564" s="19"/>
      <c r="S564" s="19"/>
      <c r="T564" s="19"/>
      <c r="U564" s="19"/>
      <c r="V564" s="19"/>
      <c r="W564" s="19"/>
      <c r="X564" s="19"/>
      <c r="Y564" s="19"/>
    </row>
    <row r="565" spans="2:25" ht="12" customHeight="1">
      <c r="B565" s="19"/>
      <c r="C565" s="19"/>
      <c r="D565" s="107"/>
      <c r="E565" s="107"/>
      <c r="F565" s="19"/>
      <c r="G565" s="19"/>
      <c r="H565" s="19"/>
      <c r="I565" s="19"/>
      <c r="J565" s="19"/>
      <c r="K565" s="233"/>
      <c r="L565" s="19"/>
      <c r="M565" s="19"/>
      <c r="N565" s="19"/>
      <c r="O565" s="19"/>
      <c r="P565" s="19"/>
      <c r="Q565" s="19"/>
      <c r="R565" s="19"/>
      <c r="S565" s="19"/>
      <c r="T565" s="19"/>
      <c r="U565" s="19"/>
      <c r="V565" s="19"/>
      <c r="W565" s="19"/>
      <c r="X565" s="19"/>
      <c r="Y565" s="19"/>
    </row>
    <row r="566" spans="2:25" ht="12" customHeight="1">
      <c r="B566" s="19"/>
      <c r="C566" s="19"/>
      <c r="D566" s="107"/>
      <c r="E566" s="107"/>
      <c r="F566" s="19"/>
      <c r="G566" s="19"/>
      <c r="H566" s="19"/>
      <c r="I566" s="19"/>
      <c r="J566" s="19"/>
      <c r="K566" s="233"/>
      <c r="L566" s="19"/>
      <c r="M566" s="19"/>
      <c r="N566" s="19"/>
      <c r="O566" s="19"/>
      <c r="P566" s="19"/>
      <c r="Q566" s="19"/>
      <c r="R566" s="19"/>
      <c r="S566" s="19"/>
      <c r="T566" s="19"/>
      <c r="U566" s="19"/>
      <c r="V566" s="19"/>
      <c r="W566" s="19"/>
      <c r="X566" s="19"/>
      <c r="Y566" s="19"/>
    </row>
    <row r="567" spans="2:25" ht="12" customHeight="1">
      <c r="B567" s="19"/>
      <c r="C567" s="19"/>
      <c r="D567" s="107"/>
      <c r="E567" s="107"/>
      <c r="F567" s="19"/>
      <c r="G567" s="19"/>
      <c r="H567" s="19"/>
      <c r="I567" s="19"/>
      <c r="J567" s="19"/>
      <c r="K567" s="233"/>
      <c r="L567" s="19"/>
      <c r="M567" s="19"/>
      <c r="N567" s="19"/>
      <c r="O567" s="19"/>
      <c r="P567" s="19"/>
      <c r="Q567" s="19"/>
      <c r="R567" s="19"/>
      <c r="S567" s="19"/>
      <c r="T567" s="19"/>
      <c r="U567" s="19"/>
      <c r="V567" s="19"/>
      <c r="W567" s="19"/>
      <c r="X567" s="19"/>
      <c r="Y567" s="19"/>
    </row>
    <row r="568" spans="2:25" ht="12" customHeight="1">
      <c r="B568" s="19"/>
      <c r="C568" s="19"/>
      <c r="D568" s="107"/>
      <c r="E568" s="107"/>
      <c r="F568" s="19"/>
      <c r="G568" s="19"/>
      <c r="H568" s="19"/>
      <c r="I568" s="19"/>
      <c r="J568" s="19"/>
      <c r="K568" s="233"/>
      <c r="L568" s="19"/>
      <c r="M568" s="19"/>
      <c r="N568" s="19"/>
      <c r="O568" s="19"/>
      <c r="P568" s="19"/>
      <c r="Q568" s="19"/>
      <c r="R568" s="19"/>
      <c r="S568" s="19"/>
      <c r="T568" s="19"/>
      <c r="U568" s="19"/>
      <c r="V568" s="19"/>
      <c r="W568" s="19"/>
      <c r="X568" s="19"/>
      <c r="Y568" s="19"/>
    </row>
    <row r="569" spans="2:25" ht="12" customHeight="1">
      <c r="B569" s="19"/>
      <c r="C569" s="19"/>
      <c r="D569" s="107"/>
      <c r="E569" s="107"/>
      <c r="F569" s="19"/>
      <c r="G569" s="19"/>
      <c r="H569" s="19"/>
      <c r="I569" s="19"/>
      <c r="J569" s="19"/>
      <c r="K569" s="233"/>
      <c r="L569" s="19"/>
      <c r="M569" s="19"/>
      <c r="N569" s="19"/>
      <c r="O569" s="19"/>
      <c r="P569" s="19"/>
      <c r="Q569" s="19"/>
      <c r="R569" s="19"/>
      <c r="S569" s="19"/>
      <c r="T569" s="19"/>
      <c r="U569" s="19"/>
      <c r="V569" s="19"/>
      <c r="W569" s="19"/>
      <c r="X569" s="19"/>
      <c r="Y569" s="19"/>
    </row>
    <row r="570" spans="2:25" ht="12" customHeight="1">
      <c r="B570" s="19"/>
      <c r="C570" s="19"/>
      <c r="D570" s="107"/>
      <c r="E570" s="107"/>
      <c r="F570" s="19"/>
      <c r="G570" s="19"/>
      <c r="H570" s="19"/>
      <c r="I570" s="19"/>
      <c r="J570" s="19"/>
      <c r="K570" s="233"/>
      <c r="L570" s="19"/>
      <c r="M570" s="19"/>
      <c r="N570" s="19"/>
      <c r="O570" s="19"/>
      <c r="P570" s="19"/>
      <c r="Q570" s="19"/>
      <c r="R570" s="19"/>
      <c r="S570" s="19"/>
      <c r="T570" s="19"/>
      <c r="U570" s="19"/>
      <c r="V570" s="19"/>
      <c r="W570" s="19"/>
      <c r="X570" s="19"/>
      <c r="Y570" s="19"/>
    </row>
    <row r="571" spans="2:25" ht="12" customHeight="1">
      <c r="B571" s="19"/>
      <c r="C571" s="19"/>
      <c r="D571" s="107"/>
      <c r="E571" s="107"/>
      <c r="F571" s="19"/>
      <c r="G571" s="19"/>
      <c r="H571" s="19"/>
      <c r="I571" s="19"/>
      <c r="J571" s="19"/>
      <c r="K571" s="233"/>
      <c r="L571" s="19"/>
      <c r="M571" s="19"/>
      <c r="N571" s="19"/>
      <c r="O571" s="19"/>
      <c r="P571" s="19"/>
      <c r="Q571" s="19"/>
      <c r="R571" s="19"/>
      <c r="S571" s="19"/>
      <c r="T571" s="19"/>
      <c r="U571" s="19"/>
      <c r="V571" s="19"/>
      <c r="W571" s="19"/>
      <c r="X571" s="19"/>
      <c r="Y571" s="19"/>
    </row>
    <row r="572" spans="2:25" ht="12" customHeight="1">
      <c r="B572" s="19"/>
      <c r="C572" s="19"/>
      <c r="D572" s="107"/>
      <c r="E572" s="107"/>
      <c r="F572" s="19"/>
      <c r="G572" s="19"/>
      <c r="H572" s="19"/>
      <c r="I572" s="19"/>
      <c r="J572" s="19"/>
      <c r="K572" s="233"/>
      <c r="L572" s="19"/>
      <c r="M572" s="19"/>
      <c r="N572" s="19"/>
      <c r="O572" s="19"/>
      <c r="P572" s="19"/>
      <c r="Q572" s="19"/>
      <c r="R572" s="19"/>
      <c r="S572" s="19"/>
      <c r="T572" s="19"/>
      <c r="U572" s="19"/>
      <c r="V572" s="19"/>
      <c r="W572" s="19"/>
      <c r="X572" s="19"/>
      <c r="Y572" s="19"/>
    </row>
    <row r="573" spans="2:25" ht="12" customHeight="1">
      <c r="B573" s="19"/>
      <c r="C573" s="19"/>
      <c r="D573" s="107"/>
      <c r="E573" s="107"/>
      <c r="F573" s="19"/>
      <c r="G573" s="19"/>
      <c r="H573" s="19"/>
      <c r="I573" s="19"/>
      <c r="J573" s="19"/>
      <c r="K573" s="233"/>
      <c r="L573" s="19"/>
      <c r="M573" s="19"/>
      <c r="N573" s="19"/>
      <c r="O573" s="19"/>
      <c r="P573" s="19"/>
      <c r="Q573" s="19"/>
      <c r="R573" s="19"/>
      <c r="S573" s="19"/>
      <c r="T573" s="19"/>
      <c r="U573" s="19"/>
      <c r="V573" s="19"/>
      <c r="W573" s="19"/>
      <c r="X573" s="19"/>
      <c r="Y573" s="19"/>
    </row>
    <row r="574" spans="2:25" ht="12" customHeight="1">
      <c r="B574" s="19"/>
      <c r="C574" s="19"/>
      <c r="D574" s="107"/>
      <c r="E574" s="107"/>
      <c r="F574" s="19"/>
      <c r="G574" s="19"/>
      <c r="H574" s="19"/>
      <c r="I574" s="19"/>
      <c r="J574" s="19"/>
      <c r="K574" s="233"/>
      <c r="L574" s="19"/>
      <c r="M574" s="19"/>
      <c r="N574" s="19"/>
      <c r="O574" s="19"/>
      <c r="P574" s="19"/>
      <c r="Q574" s="19"/>
      <c r="R574" s="19"/>
      <c r="S574" s="19"/>
      <c r="T574" s="19"/>
      <c r="U574" s="19"/>
      <c r="V574" s="19"/>
      <c r="W574" s="19"/>
      <c r="X574" s="19"/>
      <c r="Y574" s="19"/>
    </row>
    <row r="575" spans="2:25" ht="12" customHeight="1">
      <c r="B575" s="19"/>
      <c r="C575" s="19"/>
      <c r="D575" s="107"/>
      <c r="E575" s="107"/>
      <c r="F575" s="19"/>
      <c r="G575" s="19"/>
      <c r="H575" s="19"/>
      <c r="I575" s="19"/>
      <c r="J575" s="19"/>
      <c r="K575" s="233"/>
      <c r="L575" s="19"/>
      <c r="M575" s="19"/>
      <c r="N575" s="19"/>
      <c r="O575" s="19"/>
      <c r="P575" s="19"/>
      <c r="Q575" s="19"/>
      <c r="R575" s="19"/>
      <c r="S575" s="19"/>
      <c r="T575" s="19"/>
      <c r="U575" s="19"/>
      <c r="V575" s="19"/>
      <c r="W575" s="19"/>
      <c r="X575" s="19"/>
      <c r="Y575" s="19"/>
    </row>
    <row r="576" spans="2:25" ht="12" customHeight="1">
      <c r="B576" s="19"/>
      <c r="C576" s="19"/>
      <c r="D576" s="107"/>
      <c r="E576" s="107"/>
      <c r="F576" s="19"/>
      <c r="G576" s="19"/>
      <c r="H576" s="19"/>
      <c r="I576" s="19"/>
      <c r="J576" s="19"/>
      <c r="K576" s="233"/>
      <c r="L576" s="19"/>
      <c r="M576" s="19"/>
      <c r="N576" s="19"/>
      <c r="O576" s="19"/>
      <c r="P576" s="19"/>
      <c r="Q576" s="19"/>
      <c r="R576" s="19"/>
      <c r="S576" s="19"/>
      <c r="T576" s="19"/>
      <c r="U576" s="19"/>
      <c r="V576" s="19"/>
      <c r="W576" s="19"/>
      <c r="X576" s="19"/>
      <c r="Y576" s="19"/>
    </row>
    <row r="577" spans="2:25" ht="12" customHeight="1">
      <c r="B577" s="19"/>
      <c r="C577" s="19"/>
      <c r="D577" s="107"/>
      <c r="E577" s="107"/>
      <c r="F577" s="19"/>
      <c r="G577" s="19"/>
      <c r="H577" s="19"/>
      <c r="I577" s="19"/>
      <c r="J577" s="19"/>
      <c r="K577" s="233"/>
      <c r="L577" s="19"/>
      <c r="M577" s="19"/>
      <c r="N577" s="19"/>
      <c r="O577" s="19"/>
      <c r="P577" s="19"/>
      <c r="Q577" s="19"/>
      <c r="R577" s="19"/>
      <c r="S577" s="19"/>
      <c r="T577" s="19"/>
      <c r="U577" s="19"/>
      <c r="V577" s="19"/>
      <c r="W577" s="19"/>
      <c r="X577" s="19"/>
      <c r="Y577" s="19"/>
    </row>
    <row r="578" spans="2:25" ht="12" customHeight="1">
      <c r="B578" s="19"/>
      <c r="C578" s="19"/>
      <c r="D578" s="107"/>
      <c r="E578" s="107"/>
      <c r="F578" s="19"/>
      <c r="G578" s="19"/>
      <c r="H578" s="19"/>
      <c r="I578" s="19"/>
      <c r="J578" s="19"/>
      <c r="K578" s="233"/>
      <c r="L578" s="19"/>
      <c r="M578" s="19"/>
      <c r="N578" s="19"/>
      <c r="O578" s="19"/>
      <c r="P578" s="19"/>
      <c r="Q578" s="19"/>
      <c r="R578" s="19"/>
      <c r="S578" s="19"/>
      <c r="T578" s="19"/>
      <c r="U578" s="19"/>
      <c r="V578" s="19"/>
      <c r="W578" s="19"/>
      <c r="X578" s="19"/>
      <c r="Y578" s="19"/>
    </row>
    <row r="579" spans="2:25" ht="12" customHeight="1">
      <c r="B579" s="19"/>
      <c r="C579" s="19"/>
      <c r="D579" s="107"/>
      <c r="E579" s="107"/>
      <c r="F579" s="19"/>
      <c r="G579" s="19"/>
      <c r="H579" s="19"/>
      <c r="I579" s="19"/>
      <c r="J579" s="19"/>
      <c r="K579" s="233"/>
      <c r="L579" s="19"/>
      <c r="M579" s="19"/>
      <c r="N579" s="19"/>
      <c r="O579" s="19"/>
      <c r="P579" s="19"/>
      <c r="Q579" s="19"/>
      <c r="R579" s="19"/>
      <c r="S579" s="19"/>
      <c r="T579" s="19"/>
      <c r="U579" s="19"/>
      <c r="V579" s="19"/>
      <c r="W579" s="19"/>
      <c r="X579" s="19"/>
      <c r="Y579" s="19"/>
    </row>
    <row r="580" spans="2:25" ht="12" customHeight="1">
      <c r="B580" s="19"/>
      <c r="C580" s="19"/>
      <c r="D580" s="107"/>
      <c r="E580" s="107"/>
      <c r="F580" s="19"/>
      <c r="G580" s="19"/>
      <c r="H580" s="19"/>
      <c r="I580" s="19"/>
      <c r="J580" s="19"/>
      <c r="K580" s="233"/>
      <c r="L580" s="19"/>
      <c r="M580" s="19"/>
      <c r="N580" s="19"/>
      <c r="O580" s="19"/>
      <c r="P580" s="19"/>
      <c r="Q580" s="19"/>
      <c r="R580" s="19"/>
      <c r="S580" s="19"/>
      <c r="T580" s="19"/>
      <c r="U580" s="19"/>
      <c r="V580" s="19"/>
      <c r="W580" s="19"/>
      <c r="X580" s="19"/>
      <c r="Y580" s="19"/>
    </row>
    <row r="581" spans="2:25" ht="12" customHeight="1">
      <c r="B581" s="19"/>
      <c r="C581" s="19"/>
      <c r="D581" s="107"/>
      <c r="E581" s="107"/>
      <c r="F581" s="19"/>
      <c r="G581" s="19"/>
      <c r="H581" s="19"/>
      <c r="I581" s="19"/>
      <c r="J581" s="19"/>
      <c r="K581" s="233"/>
      <c r="L581" s="19"/>
      <c r="M581" s="19"/>
      <c r="N581" s="19"/>
      <c r="O581" s="19"/>
      <c r="P581" s="19"/>
      <c r="Q581" s="19"/>
      <c r="R581" s="19"/>
      <c r="S581" s="19"/>
      <c r="T581" s="19"/>
      <c r="U581" s="19"/>
      <c r="V581" s="19"/>
      <c r="W581" s="19"/>
      <c r="X581" s="19"/>
      <c r="Y581" s="19"/>
    </row>
    <row r="582" spans="2:25" ht="12" customHeight="1">
      <c r="B582" s="19"/>
      <c r="C582" s="19"/>
      <c r="D582" s="107"/>
      <c r="E582" s="107"/>
      <c r="F582" s="19"/>
      <c r="G582" s="19"/>
      <c r="H582" s="19"/>
      <c r="I582" s="19"/>
      <c r="J582" s="19"/>
      <c r="K582" s="233"/>
      <c r="L582" s="19"/>
      <c r="M582" s="19"/>
      <c r="N582" s="19"/>
      <c r="O582" s="19"/>
      <c r="P582" s="19"/>
      <c r="Q582" s="19"/>
      <c r="R582" s="19"/>
      <c r="S582" s="19"/>
      <c r="T582" s="19"/>
      <c r="U582" s="19"/>
      <c r="V582" s="19"/>
      <c r="W582" s="19"/>
      <c r="X582" s="19"/>
      <c r="Y582" s="19"/>
    </row>
    <row r="583" spans="2:25" ht="12" customHeight="1">
      <c r="B583" s="19"/>
      <c r="C583" s="19"/>
      <c r="D583" s="107"/>
      <c r="E583" s="107"/>
      <c r="F583" s="19"/>
      <c r="G583" s="19"/>
      <c r="H583" s="19"/>
      <c r="I583" s="19"/>
      <c r="J583" s="19"/>
      <c r="K583" s="233"/>
      <c r="L583" s="19"/>
      <c r="M583" s="19"/>
      <c r="N583" s="19"/>
      <c r="O583" s="19"/>
      <c r="P583" s="19"/>
      <c r="Q583" s="19"/>
      <c r="R583" s="19"/>
      <c r="S583" s="19"/>
      <c r="T583" s="19"/>
      <c r="U583" s="19"/>
      <c r="V583" s="19"/>
      <c r="W583" s="19"/>
      <c r="X583" s="19"/>
      <c r="Y583" s="19"/>
    </row>
    <row r="584" spans="2:25" ht="12" customHeight="1">
      <c r="B584" s="19"/>
      <c r="C584" s="19"/>
      <c r="D584" s="107"/>
      <c r="E584" s="107"/>
      <c r="F584" s="19"/>
      <c r="G584" s="19"/>
      <c r="H584" s="19"/>
      <c r="I584" s="19"/>
      <c r="J584" s="19"/>
      <c r="K584" s="233"/>
      <c r="L584" s="19"/>
      <c r="M584" s="19"/>
      <c r="N584" s="19"/>
      <c r="O584" s="19"/>
      <c r="P584" s="19"/>
      <c r="Q584" s="19"/>
      <c r="R584" s="19"/>
      <c r="S584" s="19"/>
      <c r="T584" s="19"/>
      <c r="U584" s="19"/>
      <c r="V584" s="19"/>
      <c r="W584" s="19"/>
      <c r="X584" s="19"/>
      <c r="Y584" s="19"/>
    </row>
    <row r="585" spans="2:25" ht="12" customHeight="1">
      <c r="B585" s="19"/>
      <c r="C585" s="19"/>
      <c r="D585" s="107"/>
      <c r="E585" s="107"/>
      <c r="F585" s="19"/>
      <c r="G585" s="19"/>
      <c r="H585" s="19"/>
      <c r="I585" s="19"/>
      <c r="J585" s="19"/>
      <c r="K585" s="233"/>
      <c r="L585" s="19"/>
      <c r="M585" s="19"/>
      <c r="N585" s="19"/>
      <c r="O585" s="19"/>
      <c r="P585" s="19"/>
      <c r="Q585" s="19"/>
      <c r="R585" s="19"/>
      <c r="S585" s="19"/>
      <c r="T585" s="19"/>
      <c r="U585" s="19"/>
      <c r="V585" s="19"/>
      <c r="W585" s="19"/>
      <c r="X585" s="19"/>
      <c r="Y585" s="19"/>
    </row>
    <row r="586" spans="2:25" ht="12" customHeight="1">
      <c r="B586" s="19"/>
      <c r="C586" s="19"/>
      <c r="D586" s="107"/>
      <c r="E586" s="107"/>
      <c r="F586" s="19"/>
      <c r="G586" s="19"/>
      <c r="H586" s="19"/>
      <c r="I586" s="19"/>
      <c r="J586" s="19"/>
      <c r="K586" s="233"/>
      <c r="L586" s="19"/>
      <c r="M586" s="19"/>
      <c r="N586" s="19"/>
      <c r="O586" s="19"/>
      <c r="P586" s="19"/>
      <c r="Q586" s="19"/>
      <c r="R586" s="19"/>
      <c r="S586" s="19"/>
      <c r="T586" s="19"/>
      <c r="U586" s="19"/>
      <c r="V586" s="19"/>
      <c r="W586" s="19"/>
      <c r="X586" s="19"/>
      <c r="Y586" s="19"/>
    </row>
    <row r="587" spans="2:25" ht="12" customHeight="1">
      <c r="B587" s="19"/>
      <c r="C587" s="19"/>
      <c r="D587" s="107"/>
      <c r="E587" s="107"/>
      <c r="F587" s="19"/>
      <c r="G587" s="19"/>
      <c r="H587" s="19"/>
      <c r="I587" s="19"/>
      <c r="J587" s="19"/>
      <c r="K587" s="233"/>
      <c r="L587" s="19"/>
      <c r="M587" s="19"/>
      <c r="N587" s="19"/>
      <c r="O587" s="19"/>
      <c r="P587" s="19"/>
      <c r="Q587" s="19"/>
      <c r="R587" s="19"/>
      <c r="S587" s="19"/>
      <c r="T587" s="19"/>
      <c r="U587" s="19"/>
      <c r="V587" s="19"/>
      <c r="W587" s="19"/>
      <c r="X587" s="19"/>
      <c r="Y587" s="19"/>
    </row>
    <row r="588" spans="2:25" ht="12" customHeight="1">
      <c r="B588" s="19"/>
      <c r="C588" s="19"/>
      <c r="D588" s="107"/>
      <c r="E588" s="107"/>
      <c r="F588" s="19"/>
      <c r="G588" s="19"/>
      <c r="H588" s="19"/>
      <c r="I588" s="19"/>
      <c r="J588" s="19"/>
      <c r="K588" s="233"/>
      <c r="L588" s="19"/>
      <c r="M588" s="19"/>
      <c r="N588" s="19"/>
      <c r="O588" s="19"/>
      <c r="P588" s="19"/>
      <c r="Q588" s="19"/>
      <c r="R588" s="19"/>
      <c r="S588" s="19"/>
      <c r="T588" s="19"/>
      <c r="U588" s="19"/>
      <c r="V588" s="19"/>
      <c r="W588" s="19"/>
      <c r="X588" s="19"/>
      <c r="Y588" s="19"/>
    </row>
    <row r="589" spans="2:25" ht="12" customHeight="1">
      <c r="B589" s="19"/>
      <c r="C589" s="19"/>
      <c r="D589" s="107"/>
      <c r="E589" s="107"/>
      <c r="F589" s="19"/>
      <c r="G589" s="19"/>
      <c r="H589" s="19"/>
      <c r="I589" s="19"/>
      <c r="J589" s="19"/>
      <c r="K589" s="233"/>
      <c r="L589" s="19"/>
      <c r="M589" s="19"/>
      <c r="N589" s="19"/>
      <c r="O589" s="19"/>
      <c r="P589" s="19"/>
      <c r="Q589" s="19"/>
      <c r="R589" s="19"/>
      <c r="S589" s="19"/>
      <c r="T589" s="19"/>
      <c r="U589" s="19"/>
      <c r="V589" s="19"/>
      <c r="W589" s="19"/>
      <c r="X589" s="19"/>
      <c r="Y589" s="19"/>
    </row>
    <row r="590" spans="2:25" ht="12" customHeight="1">
      <c r="B590" s="19"/>
      <c r="C590" s="19"/>
      <c r="D590" s="107"/>
      <c r="E590" s="107"/>
      <c r="F590" s="19"/>
      <c r="G590" s="19"/>
      <c r="H590" s="19"/>
      <c r="I590" s="19"/>
      <c r="J590" s="19"/>
      <c r="K590" s="233"/>
      <c r="L590" s="19"/>
      <c r="M590" s="19"/>
      <c r="N590" s="19"/>
      <c r="O590" s="19"/>
      <c r="P590" s="19"/>
      <c r="Q590" s="19"/>
      <c r="R590" s="19"/>
      <c r="S590" s="19"/>
      <c r="T590" s="19"/>
      <c r="U590" s="19"/>
      <c r="V590" s="19"/>
      <c r="W590" s="19"/>
      <c r="X590" s="19"/>
      <c r="Y590" s="19"/>
    </row>
    <row r="591" spans="2:25" ht="12" customHeight="1">
      <c r="B591" s="19"/>
      <c r="C591" s="19"/>
      <c r="D591" s="107"/>
      <c r="E591" s="107"/>
      <c r="F591" s="19"/>
      <c r="G591" s="19"/>
      <c r="H591" s="19"/>
      <c r="I591" s="19"/>
      <c r="J591" s="19"/>
      <c r="K591" s="233"/>
      <c r="L591" s="19"/>
      <c r="M591" s="19"/>
      <c r="N591" s="19"/>
      <c r="O591" s="19"/>
      <c r="P591" s="19"/>
      <c r="Q591" s="19"/>
      <c r="R591" s="19"/>
      <c r="S591" s="19"/>
      <c r="T591" s="19"/>
      <c r="U591" s="19"/>
      <c r="V591" s="19"/>
      <c r="W591" s="19"/>
      <c r="X591" s="19"/>
      <c r="Y591" s="19"/>
    </row>
    <row r="592" spans="2:25" ht="12" customHeight="1">
      <c r="B592" s="19"/>
      <c r="C592" s="19"/>
      <c r="D592" s="107"/>
      <c r="E592" s="107"/>
      <c r="F592" s="19"/>
      <c r="G592" s="19"/>
      <c r="H592" s="19"/>
      <c r="I592" s="19"/>
      <c r="J592" s="19"/>
      <c r="K592" s="233"/>
      <c r="L592" s="19"/>
      <c r="M592" s="19"/>
      <c r="N592" s="19"/>
      <c r="O592" s="19"/>
      <c r="P592" s="19"/>
      <c r="Q592" s="19"/>
      <c r="R592" s="19"/>
      <c r="S592" s="19"/>
      <c r="T592" s="19"/>
      <c r="U592" s="19"/>
      <c r="V592" s="19"/>
      <c r="W592" s="19"/>
      <c r="X592" s="19"/>
      <c r="Y592" s="19"/>
    </row>
    <row r="593" spans="2:25" ht="12" customHeight="1">
      <c r="B593" s="19"/>
      <c r="C593" s="19"/>
      <c r="D593" s="107"/>
      <c r="E593" s="107"/>
      <c r="F593" s="19"/>
      <c r="G593" s="19"/>
      <c r="H593" s="19"/>
      <c r="I593" s="19"/>
      <c r="J593" s="19"/>
      <c r="K593" s="233"/>
      <c r="L593" s="19"/>
      <c r="M593" s="19"/>
      <c r="N593" s="19"/>
      <c r="O593" s="19"/>
      <c r="P593" s="19"/>
      <c r="Q593" s="19"/>
      <c r="R593" s="19"/>
      <c r="S593" s="19"/>
      <c r="T593" s="19"/>
      <c r="U593" s="19"/>
      <c r="V593" s="19"/>
      <c r="W593" s="19"/>
      <c r="X593" s="19"/>
      <c r="Y593" s="19"/>
    </row>
    <row r="594" spans="2:25" ht="12" customHeight="1">
      <c r="B594" s="19"/>
      <c r="C594" s="19"/>
      <c r="D594" s="107"/>
      <c r="E594" s="107"/>
      <c r="F594" s="19"/>
      <c r="G594" s="19"/>
      <c r="H594" s="19"/>
      <c r="I594" s="19"/>
      <c r="J594" s="19"/>
      <c r="K594" s="233"/>
      <c r="L594" s="19"/>
      <c r="M594" s="19"/>
      <c r="N594" s="19"/>
      <c r="O594" s="19"/>
      <c r="P594" s="19"/>
      <c r="Q594" s="19"/>
      <c r="R594" s="19"/>
      <c r="S594" s="19"/>
      <c r="T594" s="19"/>
      <c r="U594" s="19"/>
      <c r="V594" s="19"/>
      <c r="W594" s="19"/>
      <c r="X594" s="19"/>
      <c r="Y594" s="19"/>
    </row>
    <row r="595" spans="2:25" ht="12" customHeight="1">
      <c r="B595" s="19"/>
      <c r="C595" s="19"/>
      <c r="D595" s="107"/>
      <c r="E595" s="107"/>
      <c r="F595" s="19"/>
      <c r="G595" s="19"/>
      <c r="H595" s="19"/>
      <c r="I595" s="19"/>
      <c r="J595" s="19"/>
      <c r="K595" s="233"/>
      <c r="L595" s="19"/>
      <c r="M595" s="19"/>
      <c r="N595" s="19"/>
      <c r="O595" s="19"/>
      <c r="P595" s="19"/>
      <c r="Q595" s="19"/>
      <c r="R595" s="19"/>
      <c r="S595" s="19"/>
      <c r="T595" s="19"/>
      <c r="U595" s="19"/>
      <c r="V595" s="19"/>
      <c r="W595" s="19"/>
      <c r="X595" s="19"/>
      <c r="Y595" s="19"/>
    </row>
    <row r="596" spans="2:25" ht="12" customHeight="1">
      <c r="B596" s="19"/>
      <c r="C596" s="19"/>
      <c r="D596" s="107"/>
      <c r="E596" s="107"/>
      <c r="F596" s="19"/>
      <c r="G596" s="19"/>
      <c r="H596" s="19"/>
      <c r="I596" s="19"/>
      <c r="J596" s="19"/>
      <c r="K596" s="233"/>
      <c r="L596" s="19"/>
      <c r="M596" s="19"/>
      <c r="N596" s="19"/>
      <c r="O596" s="19"/>
      <c r="P596" s="19"/>
      <c r="Q596" s="19"/>
      <c r="R596" s="19"/>
      <c r="S596" s="19"/>
      <c r="T596" s="19"/>
      <c r="U596" s="19"/>
      <c r="V596" s="19"/>
      <c r="W596" s="19"/>
      <c r="X596" s="19"/>
      <c r="Y596" s="19"/>
    </row>
    <row r="597" spans="2:25" ht="12" customHeight="1">
      <c r="B597" s="19"/>
      <c r="C597" s="19"/>
      <c r="D597" s="107"/>
      <c r="E597" s="107"/>
      <c r="F597" s="19"/>
      <c r="G597" s="19"/>
      <c r="H597" s="19"/>
      <c r="I597" s="19"/>
      <c r="J597" s="19"/>
      <c r="K597" s="233"/>
      <c r="L597" s="19"/>
      <c r="M597" s="19"/>
      <c r="N597" s="19"/>
      <c r="O597" s="19"/>
      <c r="P597" s="19"/>
      <c r="Q597" s="19"/>
      <c r="R597" s="19"/>
      <c r="S597" s="19"/>
      <c r="T597" s="19"/>
      <c r="U597" s="19"/>
      <c r="V597" s="19"/>
      <c r="W597" s="19"/>
      <c r="X597" s="19"/>
      <c r="Y597" s="19"/>
    </row>
    <row r="598" spans="2:25" ht="12" customHeight="1">
      <c r="B598" s="19"/>
      <c r="C598" s="19"/>
      <c r="D598" s="107"/>
      <c r="E598" s="107"/>
      <c r="F598" s="19"/>
      <c r="G598" s="19"/>
      <c r="H598" s="19"/>
      <c r="I598" s="19"/>
      <c r="J598" s="19"/>
      <c r="K598" s="233"/>
      <c r="L598" s="19"/>
      <c r="M598" s="19"/>
      <c r="N598" s="19"/>
      <c r="O598" s="19"/>
      <c r="P598" s="19"/>
      <c r="Q598" s="19"/>
      <c r="R598" s="19"/>
      <c r="S598" s="19"/>
      <c r="T598" s="19"/>
      <c r="U598" s="19"/>
      <c r="V598" s="19"/>
      <c r="W598" s="19"/>
      <c r="X598" s="19"/>
      <c r="Y598" s="19"/>
    </row>
    <row r="599" spans="2:25" ht="12" customHeight="1">
      <c r="B599" s="19"/>
      <c r="C599" s="19"/>
      <c r="D599" s="107"/>
      <c r="E599" s="107"/>
      <c r="F599" s="19"/>
      <c r="G599" s="19"/>
      <c r="H599" s="19"/>
      <c r="I599" s="19"/>
      <c r="J599" s="19"/>
      <c r="K599" s="233"/>
      <c r="L599" s="19"/>
      <c r="M599" s="19"/>
      <c r="N599" s="19"/>
      <c r="O599" s="19"/>
      <c r="P599" s="19"/>
      <c r="Q599" s="19"/>
      <c r="R599" s="19"/>
      <c r="S599" s="19"/>
      <c r="T599" s="19"/>
      <c r="U599" s="19"/>
      <c r="V599" s="19"/>
      <c r="W599" s="19"/>
      <c r="X599" s="19"/>
      <c r="Y599" s="19"/>
    </row>
    <row r="600" spans="2:25" ht="12" customHeight="1">
      <c r="B600" s="19"/>
      <c r="C600" s="19"/>
      <c r="D600" s="107"/>
      <c r="E600" s="107"/>
      <c r="F600" s="19"/>
      <c r="G600" s="19"/>
      <c r="H600" s="19"/>
      <c r="I600" s="19"/>
      <c r="J600" s="19"/>
      <c r="K600" s="19"/>
      <c r="L600" s="19"/>
      <c r="M600" s="19"/>
      <c r="N600" s="19"/>
      <c r="O600" s="19"/>
      <c r="P600" s="19"/>
      <c r="Q600" s="19"/>
      <c r="R600" s="19"/>
      <c r="S600" s="19"/>
      <c r="T600" s="19"/>
      <c r="U600" s="19"/>
      <c r="V600" s="19"/>
      <c r="W600" s="19"/>
      <c r="X600" s="19"/>
      <c r="Y600" s="19"/>
    </row>
    <row r="601" spans="2:25" ht="12" customHeight="1">
      <c r="B601" s="19"/>
      <c r="C601" s="19"/>
      <c r="D601" s="107"/>
      <c r="E601" s="107"/>
      <c r="F601" s="19"/>
      <c r="G601" s="19"/>
      <c r="H601" s="19"/>
      <c r="I601" s="19"/>
      <c r="J601" s="19"/>
      <c r="K601" s="19"/>
      <c r="L601" s="19"/>
      <c r="M601" s="19"/>
      <c r="N601" s="19"/>
      <c r="O601" s="19"/>
      <c r="P601" s="19"/>
      <c r="Q601" s="19"/>
      <c r="R601" s="19"/>
      <c r="S601" s="19"/>
      <c r="T601" s="19"/>
      <c r="U601" s="19"/>
      <c r="V601" s="19"/>
      <c r="W601" s="19"/>
      <c r="X601" s="19"/>
      <c r="Y601" s="19"/>
    </row>
    <row r="602" spans="2:25" ht="12" customHeight="1">
      <c r="B602" s="19"/>
      <c r="C602" s="19"/>
      <c r="D602" s="107"/>
      <c r="E602" s="107"/>
      <c r="F602" s="19"/>
      <c r="G602" s="19"/>
      <c r="H602" s="19"/>
      <c r="I602" s="19"/>
      <c r="J602" s="19"/>
      <c r="K602" s="19"/>
      <c r="L602" s="19"/>
      <c r="M602" s="19"/>
      <c r="N602" s="19"/>
      <c r="O602" s="19"/>
      <c r="P602" s="19"/>
      <c r="Q602" s="19"/>
      <c r="R602" s="19"/>
      <c r="S602" s="19"/>
      <c r="T602" s="19"/>
      <c r="U602" s="19"/>
      <c r="V602" s="19"/>
      <c r="W602" s="19"/>
      <c r="X602" s="19"/>
      <c r="Y602" s="19"/>
    </row>
    <row r="603" spans="2:25" ht="12" customHeight="1">
      <c r="B603" s="19"/>
      <c r="C603" s="19"/>
      <c r="D603" s="107"/>
      <c r="E603" s="107"/>
      <c r="F603" s="19"/>
      <c r="G603" s="19"/>
      <c r="H603" s="19"/>
      <c r="I603" s="19"/>
      <c r="J603" s="19"/>
      <c r="K603" s="19"/>
      <c r="L603" s="19"/>
      <c r="M603" s="19"/>
      <c r="N603" s="19"/>
      <c r="O603" s="19"/>
      <c r="P603" s="19"/>
      <c r="Q603" s="19"/>
      <c r="R603" s="19"/>
      <c r="S603" s="19"/>
      <c r="T603" s="19"/>
      <c r="U603" s="19"/>
      <c r="V603" s="19"/>
      <c r="W603" s="19"/>
      <c r="X603" s="19"/>
      <c r="Y603" s="19"/>
    </row>
    <row r="604" spans="2:25" ht="12" customHeight="1">
      <c r="B604" s="19"/>
      <c r="C604" s="19"/>
      <c r="D604" s="107"/>
      <c r="E604" s="107"/>
      <c r="F604" s="19"/>
      <c r="G604" s="19"/>
      <c r="H604" s="19"/>
      <c r="I604" s="19"/>
      <c r="J604" s="19"/>
      <c r="K604" s="19"/>
      <c r="L604" s="19"/>
      <c r="M604" s="19"/>
      <c r="N604" s="19"/>
      <c r="O604" s="19"/>
      <c r="P604" s="19"/>
      <c r="Q604" s="19"/>
      <c r="R604" s="19"/>
      <c r="S604" s="19"/>
      <c r="T604" s="19"/>
      <c r="U604" s="19"/>
      <c r="V604" s="19"/>
      <c r="W604" s="19"/>
      <c r="X604" s="19"/>
      <c r="Y604" s="19"/>
    </row>
    <row r="605" spans="2:25" ht="12" customHeight="1">
      <c r="B605" s="19"/>
      <c r="C605" s="19"/>
      <c r="D605" s="107"/>
      <c r="E605" s="107"/>
      <c r="F605" s="19"/>
      <c r="G605" s="19"/>
      <c r="H605" s="19"/>
      <c r="I605" s="19"/>
      <c r="J605" s="19"/>
      <c r="K605" s="19"/>
      <c r="L605" s="19"/>
      <c r="M605" s="19"/>
      <c r="N605" s="19"/>
      <c r="O605" s="19"/>
      <c r="P605" s="19"/>
      <c r="Q605" s="19"/>
      <c r="R605" s="19"/>
      <c r="S605" s="19"/>
      <c r="T605" s="19"/>
      <c r="U605" s="19"/>
      <c r="V605" s="19"/>
      <c r="W605" s="19"/>
      <c r="X605" s="19"/>
      <c r="Y605" s="19"/>
    </row>
    <row r="606" spans="2:25" ht="12" customHeight="1">
      <c r="B606" s="19"/>
      <c r="C606" s="19"/>
      <c r="D606" s="107"/>
      <c r="E606" s="107"/>
      <c r="F606" s="19"/>
      <c r="G606" s="19"/>
      <c r="H606" s="19"/>
      <c r="I606" s="19"/>
      <c r="J606" s="19"/>
      <c r="K606" s="19"/>
      <c r="L606" s="19"/>
      <c r="M606" s="19"/>
      <c r="N606" s="19"/>
      <c r="O606" s="19"/>
      <c r="P606" s="19"/>
      <c r="Q606" s="19"/>
      <c r="R606" s="19"/>
      <c r="S606" s="19"/>
      <c r="T606" s="19"/>
      <c r="U606" s="19"/>
      <c r="V606" s="19"/>
      <c r="W606" s="19"/>
      <c r="X606" s="19"/>
      <c r="Y606" s="19"/>
    </row>
    <row r="607" spans="2:25" ht="12" customHeight="1">
      <c r="B607" s="19"/>
      <c r="C607" s="19"/>
      <c r="D607" s="107"/>
      <c r="E607" s="107"/>
      <c r="F607" s="19"/>
      <c r="G607" s="19"/>
      <c r="H607" s="19"/>
      <c r="I607" s="19"/>
      <c r="J607" s="19"/>
      <c r="K607" s="19"/>
      <c r="L607" s="19"/>
      <c r="M607" s="19"/>
      <c r="N607" s="19"/>
      <c r="O607" s="19"/>
      <c r="P607" s="19"/>
      <c r="Q607" s="19"/>
      <c r="R607" s="19"/>
      <c r="S607" s="19"/>
      <c r="T607" s="19"/>
      <c r="U607" s="19"/>
      <c r="V607" s="19"/>
      <c r="W607" s="19"/>
      <c r="X607" s="19"/>
      <c r="Y607" s="19"/>
    </row>
    <row r="608" spans="2:25" ht="12" customHeight="1">
      <c r="B608" s="19"/>
      <c r="C608" s="19"/>
      <c r="D608" s="107"/>
      <c r="E608" s="107"/>
      <c r="F608" s="19"/>
      <c r="G608" s="19"/>
      <c r="H608" s="19"/>
      <c r="I608" s="19"/>
      <c r="J608" s="19"/>
      <c r="K608" s="19"/>
      <c r="L608" s="19"/>
      <c r="M608" s="19"/>
      <c r="N608" s="19"/>
      <c r="O608" s="19"/>
      <c r="P608" s="19"/>
      <c r="Q608" s="19"/>
      <c r="R608" s="19"/>
      <c r="S608" s="19"/>
      <c r="T608" s="19"/>
      <c r="U608" s="19"/>
      <c r="V608" s="19"/>
      <c r="W608" s="19"/>
      <c r="X608" s="19"/>
      <c r="Y608" s="19"/>
    </row>
    <row r="609" spans="2:25" ht="12" customHeight="1">
      <c r="B609" s="19"/>
      <c r="C609" s="19"/>
      <c r="D609" s="107"/>
      <c r="E609" s="107"/>
      <c r="F609" s="19"/>
      <c r="G609" s="19"/>
      <c r="H609" s="19"/>
      <c r="I609" s="19"/>
      <c r="J609" s="19"/>
      <c r="K609" s="19"/>
      <c r="L609" s="19"/>
      <c r="M609" s="19"/>
      <c r="N609" s="19"/>
      <c r="O609" s="19"/>
      <c r="P609" s="19"/>
      <c r="Q609" s="19"/>
      <c r="R609" s="19"/>
      <c r="S609" s="19"/>
      <c r="T609" s="19"/>
      <c r="U609" s="19"/>
      <c r="V609" s="19"/>
      <c r="W609" s="19"/>
      <c r="X609" s="19"/>
      <c r="Y609" s="19"/>
    </row>
    <row r="610" spans="2:25" ht="12" customHeight="1">
      <c r="B610" s="19"/>
      <c r="C610" s="19"/>
      <c r="D610" s="107"/>
      <c r="E610" s="107"/>
      <c r="F610" s="19"/>
      <c r="G610" s="19"/>
      <c r="H610" s="19"/>
      <c r="I610" s="19"/>
      <c r="J610" s="19"/>
      <c r="K610" s="19"/>
      <c r="L610" s="19"/>
      <c r="M610" s="19"/>
      <c r="N610" s="19"/>
      <c r="O610" s="19"/>
      <c r="P610" s="19"/>
      <c r="Q610" s="19"/>
      <c r="R610" s="19"/>
      <c r="S610" s="19"/>
      <c r="T610" s="19"/>
      <c r="U610" s="19"/>
      <c r="V610" s="19"/>
      <c r="W610" s="19"/>
      <c r="X610" s="19"/>
      <c r="Y610" s="19"/>
    </row>
    <row r="611" spans="2:25" ht="12" customHeight="1">
      <c r="B611" s="19"/>
      <c r="C611" s="19"/>
      <c r="D611" s="107"/>
      <c r="E611" s="107"/>
      <c r="F611" s="19"/>
      <c r="G611" s="19"/>
      <c r="H611" s="19"/>
      <c r="I611" s="19"/>
      <c r="J611" s="19"/>
      <c r="K611" s="19"/>
      <c r="L611" s="19"/>
      <c r="M611" s="19"/>
      <c r="N611" s="19"/>
      <c r="O611" s="19"/>
      <c r="P611" s="19"/>
      <c r="Q611" s="19"/>
      <c r="R611" s="19"/>
      <c r="S611" s="19"/>
      <c r="T611" s="19"/>
      <c r="U611" s="19"/>
      <c r="V611" s="19"/>
      <c r="W611" s="19"/>
      <c r="X611" s="19"/>
      <c r="Y611" s="19"/>
    </row>
    <row r="612" spans="2:25" ht="12" customHeight="1">
      <c r="B612" s="19"/>
      <c r="C612" s="19"/>
      <c r="D612" s="107"/>
      <c r="E612" s="107"/>
      <c r="F612" s="19"/>
      <c r="G612" s="19"/>
      <c r="H612" s="19"/>
      <c r="I612" s="19"/>
      <c r="J612" s="19"/>
      <c r="K612" s="19"/>
      <c r="L612" s="19"/>
      <c r="M612" s="19"/>
      <c r="N612" s="19"/>
      <c r="O612" s="19"/>
      <c r="P612" s="19"/>
      <c r="Q612" s="19"/>
      <c r="R612" s="19"/>
      <c r="S612" s="19"/>
      <c r="T612" s="19"/>
      <c r="U612" s="19"/>
      <c r="V612" s="19"/>
      <c r="W612" s="19"/>
      <c r="X612" s="19"/>
      <c r="Y612" s="19"/>
    </row>
    <row r="613" spans="2:25" ht="12" customHeight="1">
      <c r="B613" s="19"/>
      <c r="C613" s="19"/>
      <c r="D613" s="107"/>
      <c r="E613" s="107"/>
      <c r="F613" s="19"/>
      <c r="G613" s="19"/>
      <c r="H613" s="19"/>
      <c r="I613" s="19"/>
      <c r="J613" s="19"/>
      <c r="K613" s="19"/>
      <c r="L613" s="19"/>
      <c r="M613" s="19"/>
      <c r="N613" s="19"/>
      <c r="O613" s="19"/>
      <c r="P613" s="19"/>
      <c r="Q613" s="19"/>
      <c r="R613" s="19"/>
      <c r="S613" s="19"/>
      <c r="T613" s="19"/>
      <c r="U613" s="19"/>
      <c r="V613" s="19"/>
      <c r="W613" s="19"/>
      <c r="X613" s="19"/>
      <c r="Y613" s="19"/>
    </row>
    <row r="614" spans="2:25" ht="12" customHeight="1">
      <c r="B614" s="19"/>
      <c r="C614" s="19"/>
      <c r="D614" s="107"/>
      <c r="E614" s="107"/>
      <c r="F614" s="19"/>
      <c r="G614" s="19"/>
      <c r="H614" s="19"/>
      <c r="I614" s="19"/>
      <c r="J614" s="19"/>
      <c r="K614" s="19"/>
      <c r="L614" s="19"/>
      <c r="M614" s="19"/>
      <c r="N614" s="19"/>
      <c r="O614" s="19"/>
      <c r="P614" s="19"/>
      <c r="Q614" s="19"/>
      <c r="R614" s="19"/>
      <c r="S614" s="19"/>
      <c r="T614" s="19"/>
      <c r="U614" s="19"/>
      <c r="V614" s="19"/>
      <c r="W614" s="19"/>
      <c r="X614" s="19"/>
      <c r="Y614" s="19"/>
    </row>
    <row r="615" spans="2:25" ht="12" customHeight="1">
      <c r="B615" s="19"/>
      <c r="C615" s="19"/>
      <c r="D615" s="107"/>
      <c r="E615" s="107"/>
      <c r="F615" s="19"/>
      <c r="G615" s="19"/>
      <c r="H615" s="19"/>
      <c r="I615" s="19"/>
      <c r="J615" s="19"/>
      <c r="K615" s="19"/>
      <c r="L615" s="19"/>
      <c r="M615" s="19"/>
      <c r="N615" s="19"/>
      <c r="O615" s="19"/>
      <c r="P615" s="19"/>
      <c r="Q615" s="19"/>
      <c r="R615" s="19"/>
      <c r="S615" s="19"/>
      <c r="T615" s="19"/>
      <c r="U615" s="19"/>
      <c r="V615" s="19"/>
      <c r="W615" s="19"/>
      <c r="X615" s="19"/>
      <c r="Y615" s="19"/>
    </row>
    <row r="616" spans="2:25" ht="12" customHeight="1">
      <c r="B616" s="19"/>
      <c r="C616" s="19"/>
      <c r="D616" s="107"/>
      <c r="E616" s="107"/>
      <c r="F616" s="19"/>
      <c r="G616" s="19"/>
      <c r="H616" s="19"/>
      <c r="I616" s="19"/>
      <c r="J616" s="19"/>
      <c r="K616" s="19"/>
      <c r="L616" s="19"/>
      <c r="M616" s="19"/>
      <c r="N616" s="19"/>
      <c r="O616" s="19"/>
      <c r="P616" s="19"/>
      <c r="Q616" s="19"/>
      <c r="R616" s="19"/>
      <c r="S616" s="19"/>
      <c r="T616" s="19"/>
      <c r="U616" s="19"/>
      <c r="V616" s="19"/>
      <c r="W616" s="19"/>
      <c r="X616" s="19"/>
      <c r="Y616" s="19"/>
    </row>
    <row r="617" spans="2:25" ht="12" customHeight="1">
      <c r="B617" s="19"/>
      <c r="C617" s="19"/>
      <c r="D617" s="107"/>
      <c r="E617" s="107"/>
      <c r="F617" s="19"/>
      <c r="G617" s="19"/>
      <c r="H617" s="19"/>
      <c r="I617" s="19"/>
      <c r="J617" s="19"/>
      <c r="K617" s="19"/>
      <c r="L617" s="19"/>
      <c r="M617" s="19"/>
      <c r="N617" s="19"/>
      <c r="O617" s="19"/>
      <c r="P617" s="19"/>
      <c r="Q617" s="19"/>
      <c r="R617" s="19"/>
      <c r="S617" s="19"/>
      <c r="T617" s="19"/>
      <c r="U617" s="19"/>
      <c r="V617" s="19"/>
      <c r="W617" s="19"/>
      <c r="X617" s="19"/>
      <c r="Y617" s="19"/>
    </row>
    <row r="618" spans="2:25" ht="12" customHeight="1">
      <c r="B618" s="19"/>
      <c r="C618" s="19"/>
      <c r="D618" s="107"/>
      <c r="E618" s="107"/>
      <c r="F618" s="19"/>
      <c r="G618" s="19"/>
      <c r="H618" s="19"/>
      <c r="I618" s="19"/>
      <c r="J618" s="19"/>
      <c r="K618" s="19"/>
      <c r="L618" s="19"/>
      <c r="M618" s="19"/>
      <c r="N618" s="19"/>
      <c r="O618" s="19"/>
      <c r="P618" s="19"/>
      <c r="Q618" s="19"/>
      <c r="R618" s="19"/>
      <c r="S618" s="19"/>
      <c r="T618" s="19"/>
      <c r="U618" s="19"/>
      <c r="V618" s="19"/>
      <c r="W618" s="19"/>
      <c r="X618" s="19"/>
      <c r="Y618" s="19"/>
    </row>
    <row r="619" spans="2:25" ht="12" customHeight="1">
      <c r="B619" s="19"/>
      <c r="C619" s="19"/>
      <c r="D619" s="107"/>
      <c r="E619" s="107"/>
      <c r="F619" s="19"/>
      <c r="G619" s="19"/>
      <c r="H619" s="19"/>
      <c r="I619" s="19"/>
      <c r="J619" s="19"/>
      <c r="K619" s="19"/>
      <c r="L619" s="19"/>
      <c r="M619" s="19"/>
      <c r="N619" s="19"/>
      <c r="O619" s="19"/>
      <c r="P619" s="19"/>
      <c r="Q619" s="19"/>
      <c r="R619" s="19"/>
      <c r="S619" s="19"/>
      <c r="T619" s="19"/>
      <c r="U619" s="19"/>
      <c r="V619" s="19"/>
      <c r="W619" s="19"/>
      <c r="X619" s="19"/>
      <c r="Y619" s="19"/>
    </row>
    <row r="620" spans="2:25" ht="12" customHeight="1">
      <c r="B620" s="19"/>
      <c r="C620" s="19"/>
      <c r="D620" s="107"/>
      <c r="E620" s="107"/>
      <c r="F620" s="19"/>
      <c r="G620" s="19"/>
      <c r="H620" s="19"/>
      <c r="I620" s="19"/>
      <c r="J620" s="19"/>
      <c r="K620" s="19"/>
      <c r="L620" s="19"/>
      <c r="M620" s="19"/>
      <c r="N620" s="19"/>
      <c r="O620" s="19"/>
      <c r="P620" s="19"/>
      <c r="Q620" s="19"/>
      <c r="R620" s="19"/>
      <c r="S620" s="19"/>
      <c r="T620" s="19"/>
      <c r="U620" s="19"/>
      <c r="V620" s="19"/>
      <c r="W620" s="19"/>
      <c r="X620" s="19"/>
      <c r="Y620" s="19"/>
    </row>
    <row r="621" spans="2:25" ht="12" customHeight="1">
      <c r="B621" s="19"/>
      <c r="C621" s="19"/>
      <c r="D621" s="107"/>
      <c r="E621" s="107"/>
      <c r="F621" s="19"/>
      <c r="G621" s="19"/>
      <c r="H621" s="19"/>
      <c r="I621" s="19"/>
      <c r="J621" s="19"/>
      <c r="K621" s="19"/>
      <c r="L621" s="19"/>
      <c r="M621" s="19"/>
      <c r="N621" s="19"/>
      <c r="O621" s="19"/>
      <c r="P621" s="19"/>
      <c r="Q621" s="19"/>
      <c r="R621" s="19"/>
      <c r="S621" s="19"/>
      <c r="T621" s="19"/>
      <c r="U621" s="19"/>
      <c r="V621" s="19"/>
      <c r="W621" s="19"/>
      <c r="X621" s="19"/>
      <c r="Y621" s="19"/>
    </row>
    <row r="622" spans="2:25" ht="12" customHeight="1">
      <c r="B622" s="19"/>
      <c r="C622" s="19"/>
      <c r="D622" s="107"/>
      <c r="E622" s="107"/>
      <c r="F622" s="19"/>
      <c r="G622" s="19"/>
      <c r="H622" s="19"/>
      <c r="I622" s="19"/>
      <c r="J622" s="19"/>
      <c r="K622" s="19"/>
      <c r="L622" s="19"/>
      <c r="M622" s="19"/>
      <c r="N622" s="19"/>
      <c r="O622" s="19"/>
      <c r="P622" s="19"/>
      <c r="Q622" s="19"/>
      <c r="R622" s="19"/>
      <c r="S622" s="19"/>
      <c r="T622" s="19"/>
      <c r="U622" s="19"/>
      <c r="V622" s="19"/>
      <c r="W622" s="19"/>
      <c r="X622" s="19"/>
      <c r="Y622" s="19"/>
    </row>
    <row r="623" spans="2:25" ht="12" customHeight="1">
      <c r="B623" s="19"/>
      <c r="C623" s="19"/>
      <c r="D623" s="107"/>
      <c r="E623" s="107"/>
      <c r="F623" s="19"/>
      <c r="G623" s="19"/>
      <c r="H623" s="19"/>
      <c r="I623" s="19"/>
      <c r="J623" s="19"/>
      <c r="K623" s="19"/>
      <c r="L623" s="19"/>
      <c r="M623" s="19"/>
      <c r="N623" s="19"/>
      <c r="O623" s="19"/>
      <c r="P623" s="19"/>
      <c r="Q623" s="19"/>
      <c r="R623" s="19"/>
      <c r="S623" s="19"/>
      <c r="T623" s="19"/>
      <c r="U623" s="19"/>
      <c r="V623" s="19"/>
      <c r="W623" s="19"/>
      <c r="X623" s="19"/>
      <c r="Y623" s="19"/>
    </row>
    <row r="624" spans="2:25" ht="12" customHeight="1">
      <c r="B624" s="19"/>
      <c r="C624" s="19"/>
      <c r="D624" s="107"/>
      <c r="E624" s="107"/>
      <c r="F624" s="19"/>
      <c r="G624" s="19"/>
      <c r="H624" s="19"/>
      <c r="I624" s="19"/>
      <c r="J624" s="19"/>
      <c r="K624" s="19"/>
      <c r="L624" s="19"/>
      <c r="M624" s="19"/>
      <c r="N624" s="19"/>
      <c r="O624" s="19"/>
      <c r="P624" s="19"/>
      <c r="Q624" s="19"/>
      <c r="R624" s="19"/>
      <c r="S624" s="19"/>
      <c r="T624" s="19"/>
      <c r="U624" s="19"/>
      <c r="V624" s="19"/>
      <c r="W624" s="19"/>
      <c r="X624" s="19"/>
      <c r="Y624" s="19"/>
    </row>
    <row r="625" spans="2:25" ht="12" customHeight="1">
      <c r="B625" s="19"/>
      <c r="C625" s="19"/>
      <c r="D625" s="107"/>
      <c r="E625" s="107"/>
      <c r="F625" s="19"/>
      <c r="G625" s="19"/>
      <c r="H625" s="19"/>
      <c r="I625" s="19"/>
      <c r="J625" s="19"/>
      <c r="K625" s="19"/>
      <c r="L625" s="19"/>
      <c r="M625" s="19"/>
      <c r="N625" s="19"/>
      <c r="O625" s="19"/>
      <c r="P625" s="19"/>
      <c r="Q625" s="19"/>
      <c r="R625" s="19"/>
      <c r="S625" s="19"/>
      <c r="T625" s="19"/>
      <c r="U625" s="19"/>
      <c r="V625" s="19"/>
      <c r="W625" s="19"/>
      <c r="X625" s="19"/>
      <c r="Y625" s="19"/>
    </row>
    <row r="626" spans="2:25" ht="12" customHeight="1">
      <c r="B626" s="19"/>
      <c r="C626" s="19"/>
      <c r="D626" s="107"/>
      <c r="E626" s="107"/>
      <c r="F626" s="19"/>
      <c r="G626" s="19"/>
      <c r="H626" s="19"/>
      <c r="I626" s="19"/>
      <c r="J626" s="19"/>
      <c r="K626" s="19"/>
      <c r="L626" s="19"/>
      <c r="M626" s="19"/>
      <c r="N626" s="19"/>
      <c r="O626" s="19"/>
      <c r="P626" s="19"/>
      <c r="Q626" s="19"/>
      <c r="R626" s="19"/>
      <c r="S626" s="19"/>
      <c r="T626" s="19"/>
      <c r="U626" s="19"/>
      <c r="V626" s="19"/>
      <c r="W626" s="19"/>
      <c r="X626" s="19"/>
      <c r="Y626" s="19"/>
    </row>
    <row r="627" spans="2:25" ht="12" customHeight="1">
      <c r="B627" s="19"/>
      <c r="C627" s="19"/>
      <c r="D627" s="107"/>
      <c r="E627" s="107"/>
      <c r="F627" s="19"/>
      <c r="G627" s="19"/>
      <c r="H627" s="19"/>
      <c r="I627" s="19"/>
      <c r="J627" s="19"/>
      <c r="K627" s="19"/>
      <c r="L627" s="19"/>
      <c r="M627" s="19"/>
      <c r="N627" s="19"/>
      <c r="O627" s="19"/>
      <c r="P627" s="19"/>
      <c r="Q627" s="19"/>
      <c r="R627" s="19"/>
      <c r="S627" s="19"/>
      <c r="T627" s="19"/>
      <c r="U627" s="19"/>
      <c r="V627" s="19"/>
      <c r="W627" s="19"/>
      <c r="X627" s="19"/>
      <c r="Y627" s="19"/>
    </row>
    <row r="628" spans="2:25" ht="12" customHeight="1">
      <c r="B628" s="19"/>
      <c r="C628" s="19"/>
      <c r="D628" s="107"/>
      <c r="E628" s="107"/>
      <c r="F628" s="19"/>
      <c r="G628" s="19"/>
      <c r="H628" s="19"/>
      <c r="I628" s="19"/>
      <c r="J628" s="19"/>
      <c r="K628" s="19"/>
      <c r="L628" s="19"/>
      <c r="M628" s="19"/>
      <c r="N628" s="19"/>
      <c r="O628" s="19"/>
      <c r="P628" s="19"/>
      <c r="Q628" s="19"/>
      <c r="R628" s="19"/>
      <c r="S628" s="19"/>
      <c r="T628" s="19"/>
      <c r="U628" s="19"/>
      <c r="V628" s="19"/>
      <c r="W628" s="19"/>
      <c r="X628" s="19"/>
      <c r="Y628" s="19"/>
    </row>
    <row r="629" spans="2:25" ht="12" customHeight="1">
      <c r="B629" s="19"/>
      <c r="C629" s="19"/>
      <c r="D629" s="107"/>
      <c r="E629" s="107"/>
      <c r="F629" s="19"/>
      <c r="G629" s="19"/>
      <c r="H629" s="19"/>
      <c r="I629" s="19"/>
      <c r="J629" s="19"/>
      <c r="K629" s="19"/>
      <c r="L629" s="19"/>
      <c r="M629" s="19"/>
      <c r="N629" s="19"/>
      <c r="O629" s="19"/>
      <c r="P629" s="19"/>
      <c r="Q629" s="19"/>
      <c r="R629" s="19"/>
      <c r="S629" s="19"/>
      <c r="T629" s="19"/>
      <c r="U629" s="19"/>
      <c r="V629" s="19"/>
      <c r="W629" s="19"/>
      <c r="X629" s="19"/>
      <c r="Y629" s="19"/>
    </row>
    <row r="630" spans="2:25" ht="12" customHeight="1">
      <c r="B630" s="19"/>
      <c r="C630" s="19"/>
      <c r="D630" s="107"/>
      <c r="E630" s="107"/>
      <c r="F630" s="19"/>
      <c r="G630" s="19"/>
      <c r="H630" s="19"/>
      <c r="I630" s="19"/>
      <c r="J630" s="19"/>
      <c r="K630" s="19"/>
      <c r="L630" s="19"/>
      <c r="M630" s="19"/>
      <c r="N630" s="19"/>
      <c r="O630" s="19"/>
      <c r="P630" s="19"/>
      <c r="Q630" s="19"/>
      <c r="R630" s="19"/>
      <c r="S630" s="19"/>
      <c r="T630" s="19"/>
      <c r="U630" s="19"/>
      <c r="V630" s="19"/>
      <c r="W630" s="19"/>
      <c r="X630" s="19"/>
      <c r="Y630" s="19"/>
    </row>
    <row r="631" spans="2:25" ht="12" customHeight="1">
      <c r="B631" s="19"/>
      <c r="C631" s="19"/>
      <c r="D631" s="107"/>
      <c r="E631" s="107"/>
      <c r="F631" s="19"/>
      <c r="G631" s="19"/>
      <c r="H631" s="19"/>
      <c r="I631" s="19"/>
      <c r="J631" s="19"/>
      <c r="K631" s="19"/>
      <c r="L631" s="19"/>
      <c r="M631" s="19"/>
      <c r="N631" s="19"/>
      <c r="O631" s="19"/>
      <c r="P631" s="19"/>
      <c r="Q631" s="19"/>
      <c r="R631" s="19"/>
      <c r="S631" s="19"/>
      <c r="T631" s="19"/>
      <c r="U631" s="19"/>
      <c r="V631" s="19"/>
      <c r="W631" s="19"/>
      <c r="X631" s="19"/>
      <c r="Y631" s="19"/>
    </row>
    <row r="632" spans="2:25" ht="12" customHeight="1">
      <c r="B632" s="19"/>
      <c r="C632" s="19"/>
      <c r="D632" s="107"/>
      <c r="E632" s="107"/>
      <c r="F632" s="19"/>
      <c r="G632" s="19"/>
      <c r="H632" s="19"/>
      <c r="I632" s="19"/>
      <c r="J632" s="19"/>
      <c r="K632" s="19"/>
      <c r="L632" s="19"/>
      <c r="M632" s="19"/>
      <c r="N632" s="19"/>
      <c r="O632" s="19"/>
      <c r="P632" s="19"/>
      <c r="Q632" s="19"/>
      <c r="R632" s="19"/>
      <c r="S632" s="19"/>
      <c r="T632" s="19"/>
      <c r="U632" s="19"/>
      <c r="V632" s="19"/>
      <c r="W632" s="19"/>
      <c r="X632" s="19"/>
      <c r="Y632" s="19"/>
    </row>
    <row r="633" spans="2:25" ht="12" customHeight="1">
      <c r="B633" s="19"/>
      <c r="C633" s="19"/>
      <c r="D633" s="107"/>
      <c r="E633" s="107"/>
      <c r="F633" s="19"/>
      <c r="G633" s="19"/>
      <c r="H633" s="19"/>
      <c r="I633" s="19"/>
      <c r="J633" s="19"/>
      <c r="K633" s="19"/>
      <c r="L633" s="19"/>
      <c r="M633" s="19"/>
      <c r="N633" s="19"/>
      <c r="O633" s="19"/>
      <c r="P633" s="19"/>
      <c r="Q633" s="19"/>
      <c r="R633" s="19"/>
      <c r="S633" s="19"/>
      <c r="T633" s="19"/>
      <c r="U633" s="19"/>
      <c r="V633" s="19"/>
      <c r="W633" s="19"/>
      <c r="X633" s="19"/>
      <c r="Y633" s="19"/>
    </row>
    <row r="634" spans="2:25" ht="12" customHeight="1">
      <c r="B634" s="19"/>
      <c r="C634" s="19"/>
      <c r="D634" s="107"/>
      <c r="E634" s="107"/>
      <c r="F634" s="19"/>
      <c r="G634" s="19"/>
      <c r="H634" s="19"/>
      <c r="I634" s="19"/>
      <c r="J634" s="19"/>
      <c r="K634" s="19"/>
      <c r="L634" s="19"/>
      <c r="M634" s="19"/>
      <c r="N634" s="19"/>
      <c r="O634" s="19"/>
      <c r="P634" s="19"/>
      <c r="Q634" s="19"/>
      <c r="R634" s="19"/>
      <c r="S634" s="19"/>
      <c r="T634" s="19"/>
      <c r="U634" s="19"/>
      <c r="V634" s="19"/>
      <c r="W634" s="19"/>
      <c r="X634" s="19"/>
      <c r="Y634" s="19"/>
    </row>
    <row r="635" spans="2:25" ht="12" customHeight="1">
      <c r="B635" s="19"/>
      <c r="C635" s="19"/>
      <c r="D635" s="107"/>
      <c r="E635" s="107"/>
      <c r="F635" s="19"/>
      <c r="G635" s="19"/>
      <c r="H635" s="19"/>
      <c r="I635" s="19"/>
      <c r="J635" s="19"/>
      <c r="K635" s="19"/>
      <c r="L635" s="19"/>
      <c r="M635" s="19"/>
      <c r="N635" s="19"/>
      <c r="O635" s="19"/>
      <c r="P635" s="19"/>
      <c r="Q635" s="19"/>
      <c r="R635" s="19"/>
      <c r="S635" s="19"/>
      <c r="T635" s="19"/>
      <c r="U635" s="19"/>
      <c r="V635" s="19"/>
      <c r="W635" s="19"/>
      <c r="X635" s="19"/>
      <c r="Y635" s="19"/>
    </row>
    <row r="636" spans="2:25" ht="12" customHeight="1">
      <c r="B636" s="19"/>
      <c r="C636" s="19"/>
      <c r="D636" s="107"/>
      <c r="E636" s="107"/>
      <c r="F636" s="19"/>
      <c r="G636" s="19"/>
      <c r="H636" s="19"/>
      <c r="I636" s="19"/>
      <c r="J636" s="19"/>
      <c r="K636" s="19"/>
      <c r="L636" s="19"/>
      <c r="M636" s="19"/>
      <c r="N636" s="19"/>
      <c r="O636" s="19"/>
      <c r="P636" s="19"/>
      <c r="Q636" s="19"/>
      <c r="R636" s="19"/>
      <c r="S636" s="19"/>
      <c r="T636" s="19"/>
      <c r="U636" s="19"/>
      <c r="V636" s="19"/>
      <c r="W636" s="19"/>
      <c r="X636" s="19"/>
      <c r="Y636" s="19"/>
    </row>
    <row r="637" spans="2:25" ht="12" customHeight="1">
      <c r="B637" s="19"/>
      <c r="C637" s="19"/>
      <c r="D637" s="107"/>
      <c r="E637" s="107"/>
      <c r="F637" s="19"/>
      <c r="G637" s="19"/>
      <c r="H637" s="19"/>
      <c r="I637" s="19"/>
      <c r="J637" s="19"/>
      <c r="K637" s="19"/>
      <c r="L637" s="19"/>
      <c r="M637" s="19"/>
      <c r="N637" s="19"/>
      <c r="O637" s="19"/>
      <c r="P637" s="19"/>
      <c r="Q637" s="19"/>
      <c r="R637" s="19"/>
      <c r="S637" s="19"/>
      <c r="T637" s="19"/>
      <c r="U637" s="19"/>
      <c r="V637" s="19"/>
      <c r="W637" s="19"/>
      <c r="X637" s="19"/>
      <c r="Y637" s="19"/>
    </row>
    <row r="638" spans="2:25" ht="12" customHeight="1">
      <c r="B638" s="19"/>
      <c r="C638" s="19"/>
      <c r="D638" s="107"/>
      <c r="E638" s="107"/>
      <c r="F638" s="19"/>
      <c r="G638" s="19"/>
      <c r="H638" s="19"/>
      <c r="I638" s="19"/>
      <c r="J638" s="19"/>
      <c r="K638" s="19"/>
      <c r="L638" s="19"/>
      <c r="M638" s="19"/>
      <c r="N638" s="19"/>
      <c r="O638" s="19"/>
      <c r="P638" s="19"/>
      <c r="Q638" s="19"/>
      <c r="R638" s="19"/>
      <c r="S638" s="19"/>
      <c r="T638" s="19"/>
      <c r="U638" s="19"/>
      <c r="V638" s="19"/>
      <c r="W638" s="19"/>
      <c r="X638" s="19"/>
      <c r="Y638" s="19"/>
    </row>
    <row r="639" spans="2:25" ht="12" customHeight="1">
      <c r="B639" s="19"/>
      <c r="C639" s="19"/>
      <c r="D639" s="107"/>
      <c r="E639" s="107"/>
      <c r="F639" s="19"/>
      <c r="G639" s="19"/>
      <c r="H639" s="19"/>
      <c r="I639" s="19"/>
      <c r="J639" s="19"/>
      <c r="K639" s="19"/>
      <c r="L639" s="19"/>
      <c r="M639" s="19"/>
      <c r="N639" s="19"/>
      <c r="O639" s="19"/>
      <c r="P639" s="19"/>
      <c r="Q639" s="19"/>
      <c r="R639" s="19"/>
      <c r="S639" s="19"/>
      <c r="T639" s="19"/>
      <c r="U639" s="19"/>
      <c r="V639" s="19"/>
      <c r="W639" s="19"/>
      <c r="X639" s="19"/>
      <c r="Y639" s="19"/>
    </row>
    <row r="640" spans="2:25" ht="12" customHeight="1">
      <c r="B640" s="19"/>
      <c r="C640" s="19"/>
      <c r="D640" s="107"/>
      <c r="E640" s="107"/>
      <c r="F640" s="19"/>
      <c r="G640" s="19"/>
      <c r="H640" s="19"/>
      <c r="I640" s="19"/>
      <c r="J640" s="19"/>
      <c r="K640" s="19"/>
      <c r="L640" s="19"/>
      <c r="M640" s="19"/>
      <c r="N640" s="19"/>
      <c r="O640" s="19"/>
      <c r="P640" s="19"/>
      <c r="Q640" s="19"/>
      <c r="R640" s="19"/>
      <c r="S640" s="19"/>
      <c r="T640" s="19"/>
      <c r="U640" s="19"/>
      <c r="V640" s="19"/>
      <c r="W640" s="19"/>
      <c r="X640" s="19"/>
      <c r="Y640" s="19"/>
    </row>
    <row r="641" spans="2:25" ht="12" customHeight="1">
      <c r="B641" s="19"/>
      <c r="C641" s="19"/>
      <c r="D641" s="107"/>
      <c r="E641" s="107"/>
      <c r="F641" s="19"/>
      <c r="G641" s="19"/>
      <c r="H641" s="19"/>
      <c r="I641" s="19"/>
      <c r="J641" s="19"/>
      <c r="K641" s="19"/>
      <c r="L641" s="19"/>
      <c r="M641" s="19"/>
      <c r="N641" s="19"/>
      <c r="O641" s="19"/>
      <c r="P641" s="19"/>
      <c r="Q641" s="19"/>
      <c r="R641" s="19"/>
      <c r="S641" s="19"/>
      <c r="T641" s="19"/>
      <c r="U641" s="19"/>
      <c r="V641" s="19"/>
      <c r="W641" s="19"/>
      <c r="X641" s="19"/>
      <c r="Y641" s="19"/>
    </row>
    <row r="642" spans="2:25" ht="12" customHeight="1">
      <c r="B642" s="19"/>
      <c r="C642" s="19"/>
      <c r="D642" s="107"/>
      <c r="E642" s="107"/>
      <c r="F642" s="19"/>
      <c r="G642" s="19"/>
      <c r="H642" s="19"/>
      <c r="I642" s="19"/>
      <c r="J642" s="19"/>
      <c r="K642" s="19"/>
      <c r="L642" s="19"/>
      <c r="M642" s="19"/>
      <c r="N642" s="19"/>
      <c r="O642" s="19"/>
      <c r="P642" s="19"/>
      <c r="Q642" s="19"/>
      <c r="R642" s="19"/>
      <c r="S642" s="19"/>
      <c r="T642" s="19"/>
      <c r="U642" s="19"/>
      <c r="V642" s="19"/>
      <c r="W642" s="19"/>
      <c r="X642" s="19"/>
      <c r="Y642" s="19"/>
    </row>
    <row r="643" spans="2:25" ht="12" customHeight="1">
      <c r="B643" s="19"/>
      <c r="C643" s="19"/>
      <c r="D643" s="107"/>
      <c r="E643" s="107"/>
      <c r="F643" s="19"/>
      <c r="G643" s="19"/>
      <c r="H643" s="19"/>
      <c r="I643" s="19"/>
      <c r="J643" s="19"/>
      <c r="K643" s="19"/>
      <c r="L643" s="19"/>
      <c r="M643" s="19"/>
      <c r="N643" s="19"/>
      <c r="O643" s="19"/>
      <c r="P643" s="19"/>
      <c r="Q643" s="19"/>
      <c r="R643" s="19"/>
      <c r="S643" s="19"/>
      <c r="T643" s="19"/>
      <c r="U643" s="19"/>
      <c r="V643" s="19"/>
      <c r="W643" s="19"/>
      <c r="X643" s="19"/>
      <c r="Y643" s="19"/>
    </row>
    <row r="644" spans="2:25" ht="12" customHeight="1">
      <c r="B644" s="19"/>
      <c r="C644" s="19"/>
      <c r="D644" s="107"/>
      <c r="E644" s="107"/>
      <c r="F644" s="19"/>
      <c r="G644" s="19"/>
      <c r="H644" s="19"/>
      <c r="I644" s="19"/>
      <c r="J644" s="19"/>
      <c r="K644" s="19"/>
      <c r="L644" s="19"/>
      <c r="M644" s="19"/>
      <c r="N644" s="19"/>
      <c r="O644" s="19"/>
      <c r="P644" s="19"/>
      <c r="Q644" s="19"/>
      <c r="R644" s="19"/>
      <c r="S644" s="19"/>
      <c r="T644" s="19"/>
      <c r="U644" s="19"/>
      <c r="V644" s="19"/>
      <c r="W644" s="19"/>
      <c r="X644" s="19"/>
      <c r="Y644" s="19"/>
    </row>
    <row r="645" spans="2:25" ht="12" customHeight="1">
      <c r="B645" s="19"/>
      <c r="C645" s="19"/>
      <c r="D645" s="107"/>
      <c r="E645" s="107"/>
      <c r="F645" s="19"/>
      <c r="G645" s="19"/>
      <c r="H645" s="19"/>
      <c r="I645" s="19"/>
      <c r="J645" s="19"/>
      <c r="K645" s="19"/>
      <c r="L645" s="19"/>
      <c r="M645" s="19"/>
      <c r="N645" s="19"/>
      <c r="O645" s="19"/>
      <c r="P645" s="19"/>
      <c r="Q645" s="19"/>
      <c r="R645" s="19"/>
      <c r="S645" s="19"/>
      <c r="T645" s="19"/>
      <c r="U645" s="19"/>
      <c r="V645" s="19"/>
      <c r="W645" s="19"/>
      <c r="X645" s="19"/>
      <c r="Y645" s="19"/>
    </row>
    <row r="646" spans="2:25" ht="12" customHeight="1">
      <c r="B646" s="19"/>
      <c r="C646" s="19"/>
      <c r="D646" s="107"/>
      <c r="E646" s="107"/>
      <c r="F646" s="19"/>
      <c r="G646" s="19"/>
      <c r="H646" s="19"/>
      <c r="I646" s="19"/>
      <c r="J646" s="19"/>
      <c r="K646" s="19"/>
      <c r="L646" s="19"/>
      <c r="M646" s="19"/>
      <c r="N646" s="19"/>
      <c r="O646" s="19"/>
      <c r="P646" s="19"/>
      <c r="Q646" s="19"/>
      <c r="R646" s="19"/>
      <c r="S646" s="19"/>
      <c r="T646" s="19"/>
      <c r="U646" s="19"/>
      <c r="V646" s="19"/>
      <c r="W646" s="19"/>
      <c r="X646" s="19"/>
      <c r="Y646" s="19"/>
    </row>
    <row r="647" spans="2:25" ht="12" customHeight="1">
      <c r="B647" s="19"/>
      <c r="C647" s="19"/>
      <c r="D647" s="107"/>
      <c r="E647" s="107"/>
      <c r="F647" s="19"/>
      <c r="G647" s="19"/>
      <c r="H647" s="19"/>
      <c r="I647" s="19"/>
      <c r="J647" s="19"/>
      <c r="K647" s="19"/>
      <c r="L647" s="19"/>
      <c r="M647" s="19"/>
      <c r="N647" s="19"/>
      <c r="O647" s="19"/>
      <c r="P647" s="19"/>
      <c r="Q647" s="19"/>
      <c r="R647" s="19"/>
      <c r="S647" s="19"/>
      <c r="T647" s="19"/>
      <c r="U647" s="19"/>
      <c r="V647" s="19"/>
      <c r="W647" s="19"/>
      <c r="X647" s="19"/>
      <c r="Y647" s="19"/>
    </row>
    <row r="648" spans="2:25" ht="12" customHeight="1">
      <c r="B648" s="19"/>
      <c r="C648" s="19"/>
      <c r="D648" s="107"/>
      <c r="E648" s="107"/>
      <c r="F648" s="19"/>
      <c r="G648" s="19"/>
      <c r="H648" s="19"/>
      <c r="I648" s="19"/>
      <c r="J648" s="19"/>
      <c r="K648" s="19"/>
      <c r="L648" s="19"/>
      <c r="M648" s="19"/>
      <c r="N648" s="19"/>
      <c r="O648" s="19"/>
      <c r="P648" s="19"/>
      <c r="Q648" s="19"/>
      <c r="R648" s="19"/>
      <c r="S648" s="19"/>
      <c r="T648" s="19"/>
      <c r="U648" s="19"/>
      <c r="V648" s="19"/>
      <c r="W648" s="19"/>
      <c r="X648" s="19"/>
      <c r="Y648" s="19"/>
    </row>
    <row r="649" spans="2:25" ht="12" customHeight="1">
      <c r="B649" s="19"/>
      <c r="C649" s="19"/>
      <c r="D649" s="107"/>
      <c r="E649" s="107"/>
      <c r="F649" s="19"/>
      <c r="G649" s="19"/>
      <c r="H649" s="19"/>
      <c r="I649" s="19"/>
      <c r="J649" s="19"/>
      <c r="K649" s="19"/>
      <c r="L649" s="19"/>
      <c r="M649" s="19"/>
      <c r="N649" s="19"/>
      <c r="O649" s="19"/>
      <c r="P649" s="19"/>
      <c r="Q649" s="19"/>
      <c r="R649" s="19"/>
      <c r="S649" s="19"/>
      <c r="T649" s="19"/>
      <c r="U649" s="19"/>
      <c r="V649" s="19"/>
      <c r="W649" s="19"/>
      <c r="X649" s="19"/>
      <c r="Y649" s="19"/>
    </row>
    <row r="650" spans="2:25" ht="12" customHeight="1">
      <c r="B650" s="19"/>
      <c r="C650" s="19"/>
      <c r="D650" s="107"/>
      <c r="E650" s="107"/>
      <c r="F650" s="19"/>
      <c r="G650" s="19"/>
      <c r="H650" s="19"/>
      <c r="I650" s="19"/>
      <c r="J650" s="19"/>
      <c r="K650" s="19"/>
      <c r="L650" s="19"/>
      <c r="M650" s="19"/>
      <c r="N650" s="19"/>
      <c r="O650" s="19"/>
      <c r="P650" s="19"/>
      <c r="Q650" s="19"/>
      <c r="R650" s="19"/>
      <c r="S650" s="19"/>
      <c r="T650" s="19"/>
      <c r="U650" s="19"/>
      <c r="V650" s="19"/>
      <c r="W650" s="19"/>
      <c r="X650" s="19"/>
      <c r="Y650" s="19"/>
    </row>
    <row r="651" spans="2:25" ht="12" customHeight="1">
      <c r="B651" s="19"/>
      <c r="C651" s="19"/>
      <c r="D651" s="107"/>
      <c r="E651" s="107"/>
      <c r="F651" s="19"/>
      <c r="G651" s="19"/>
      <c r="H651" s="19"/>
      <c r="I651" s="19"/>
      <c r="J651" s="19"/>
      <c r="K651" s="19"/>
      <c r="L651" s="19"/>
      <c r="M651" s="19"/>
      <c r="N651" s="19"/>
      <c r="O651" s="19"/>
      <c r="P651" s="19"/>
      <c r="Q651" s="19"/>
      <c r="R651" s="19"/>
      <c r="S651" s="19"/>
      <c r="T651" s="19"/>
      <c r="U651" s="19"/>
      <c r="V651" s="19"/>
      <c r="W651" s="19"/>
      <c r="X651" s="19"/>
      <c r="Y651" s="19"/>
    </row>
    <row r="652" spans="2:25" ht="12" customHeight="1">
      <c r="B652" s="19"/>
      <c r="C652" s="19"/>
      <c r="D652" s="107"/>
      <c r="E652" s="107"/>
      <c r="F652" s="19"/>
      <c r="G652" s="19"/>
      <c r="H652" s="19"/>
      <c r="I652" s="19"/>
      <c r="J652" s="19"/>
      <c r="K652" s="19"/>
      <c r="L652" s="19"/>
      <c r="M652" s="19"/>
      <c r="N652" s="19"/>
      <c r="O652" s="19"/>
      <c r="P652" s="19"/>
      <c r="Q652" s="19"/>
      <c r="R652" s="19"/>
      <c r="S652" s="19"/>
      <c r="T652" s="19"/>
      <c r="U652" s="19"/>
      <c r="V652" s="19"/>
      <c r="W652" s="19"/>
      <c r="X652" s="19"/>
      <c r="Y652" s="19"/>
    </row>
    <row r="653" spans="2:25" ht="12" customHeight="1">
      <c r="B653" s="19"/>
      <c r="C653" s="19"/>
      <c r="D653" s="107"/>
      <c r="E653" s="107"/>
      <c r="F653" s="19"/>
      <c r="G653" s="19"/>
      <c r="H653" s="19"/>
      <c r="I653" s="19"/>
      <c r="J653" s="19"/>
      <c r="K653" s="19"/>
      <c r="L653" s="19"/>
      <c r="M653" s="19"/>
      <c r="N653" s="19"/>
      <c r="O653" s="19"/>
      <c r="P653" s="19"/>
      <c r="Q653" s="19"/>
      <c r="R653" s="19"/>
      <c r="S653" s="19"/>
      <c r="T653" s="19"/>
      <c r="U653" s="19"/>
      <c r="V653" s="19"/>
      <c r="W653" s="19"/>
      <c r="X653" s="19"/>
      <c r="Y653" s="19"/>
    </row>
    <row r="654" spans="2:25" ht="12" customHeight="1">
      <c r="B654" s="19"/>
      <c r="C654" s="19"/>
      <c r="D654" s="107"/>
      <c r="E654" s="107"/>
      <c r="F654" s="19"/>
      <c r="G654" s="19"/>
      <c r="H654" s="19"/>
      <c r="I654" s="19"/>
      <c r="J654" s="19"/>
      <c r="K654" s="19"/>
      <c r="L654" s="19"/>
      <c r="M654" s="19"/>
      <c r="N654" s="19"/>
      <c r="O654" s="19"/>
      <c r="P654" s="19"/>
      <c r="Q654" s="19"/>
      <c r="R654" s="19"/>
      <c r="S654" s="19"/>
      <c r="T654" s="19"/>
      <c r="U654" s="19"/>
      <c r="V654" s="19"/>
      <c r="W654" s="19"/>
      <c r="X654" s="19"/>
      <c r="Y654" s="19"/>
    </row>
    <row r="655" spans="2:25" ht="12" customHeight="1">
      <c r="B655" s="19"/>
      <c r="C655" s="19"/>
      <c r="D655" s="107"/>
      <c r="E655" s="107"/>
      <c r="F655" s="19"/>
      <c r="G655" s="19"/>
      <c r="H655" s="19"/>
      <c r="I655" s="19"/>
      <c r="J655" s="19"/>
      <c r="K655" s="19"/>
      <c r="L655" s="19"/>
      <c r="M655" s="19"/>
      <c r="N655" s="19"/>
      <c r="O655" s="19"/>
      <c r="P655" s="19"/>
      <c r="Q655" s="19"/>
      <c r="R655" s="19"/>
      <c r="S655" s="19"/>
      <c r="T655" s="19"/>
      <c r="U655" s="19"/>
      <c r="V655" s="19"/>
      <c r="W655" s="19"/>
      <c r="X655" s="19"/>
      <c r="Y655" s="19"/>
    </row>
    <row r="656" spans="2:25" ht="12" customHeight="1">
      <c r="B656" s="19"/>
      <c r="C656" s="19"/>
      <c r="D656" s="107"/>
      <c r="E656" s="107"/>
      <c r="F656" s="19"/>
      <c r="G656" s="19"/>
      <c r="H656" s="19"/>
      <c r="I656" s="19"/>
      <c r="J656" s="19"/>
      <c r="K656" s="19"/>
      <c r="L656" s="19"/>
      <c r="M656" s="19"/>
      <c r="N656" s="19"/>
      <c r="O656" s="19"/>
      <c r="P656" s="19"/>
      <c r="Q656" s="19"/>
      <c r="R656" s="19"/>
      <c r="S656" s="19"/>
      <c r="T656" s="19"/>
      <c r="U656" s="19"/>
      <c r="V656" s="19"/>
      <c r="W656" s="19"/>
      <c r="X656" s="19"/>
      <c r="Y656" s="19"/>
    </row>
    <row r="657" spans="2:25" ht="12" customHeight="1">
      <c r="B657" s="19"/>
      <c r="C657" s="19"/>
      <c r="D657" s="107"/>
      <c r="E657" s="107"/>
      <c r="F657" s="19"/>
      <c r="G657" s="19"/>
      <c r="H657" s="19"/>
      <c r="I657" s="19"/>
      <c r="J657" s="19"/>
      <c r="K657" s="19"/>
      <c r="L657" s="19"/>
      <c r="M657" s="19"/>
      <c r="N657" s="19"/>
      <c r="O657" s="19"/>
      <c r="P657" s="19"/>
      <c r="Q657" s="19"/>
      <c r="R657" s="19"/>
      <c r="S657" s="19"/>
      <c r="T657" s="19"/>
      <c r="U657" s="19"/>
      <c r="V657" s="19"/>
      <c r="W657" s="19"/>
      <c r="X657" s="19"/>
      <c r="Y657" s="19"/>
    </row>
    <row r="658" spans="2:25" ht="12" customHeight="1">
      <c r="B658" s="19"/>
      <c r="C658" s="19"/>
      <c r="D658" s="107"/>
      <c r="E658" s="107"/>
      <c r="F658" s="19"/>
      <c r="G658" s="19"/>
      <c r="H658" s="19"/>
      <c r="I658" s="19"/>
      <c r="J658" s="19"/>
      <c r="K658" s="19"/>
      <c r="L658" s="19"/>
      <c r="M658" s="19"/>
      <c r="N658" s="19"/>
      <c r="O658" s="19"/>
      <c r="P658" s="19"/>
      <c r="Q658" s="19"/>
      <c r="R658" s="19"/>
      <c r="S658" s="19"/>
      <c r="T658" s="19"/>
      <c r="U658" s="19"/>
      <c r="V658" s="19"/>
      <c r="W658" s="19"/>
      <c r="X658" s="19"/>
      <c r="Y658" s="19"/>
    </row>
    <row r="659" spans="2:25" ht="12" customHeight="1">
      <c r="B659" s="19"/>
      <c r="C659" s="19"/>
      <c r="D659" s="107"/>
      <c r="E659" s="107"/>
      <c r="F659" s="19"/>
      <c r="G659" s="19"/>
      <c r="H659" s="19"/>
      <c r="I659" s="19"/>
      <c r="J659" s="19"/>
      <c r="K659" s="19"/>
      <c r="L659" s="19"/>
      <c r="M659" s="19"/>
      <c r="N659" s="19"/>
      <c r="O659" s="19"/>
      <c r="P659" s="19"/>
      <c r="Q659" s="19"/>
      <c r="R659" s="19"/>
      <c r="S659" s="19"/>
      <c r="T659" s="19"/>
      <c r="U659" s="19"/>
      <c r="V659" s="19"/>
      <c r="W659" s="19"/>
      <c r="X659" s="19"/>
      <c r="Y659" s="19"/>
    </row>
    <row r="660" spans="2:25" ht="12" customHeight="1">
      <c r="B660" s="19"/>
      <c r="C660" s="19"/>
      <c r="D660" s="107"/>
      <c r="E660" s="107"/>
      <c r="F660" s="19"/>
      <c r="G660" s="19"/>
      <c r="H660" s="19"/>
      <c r="I660" s="19"/>
      <c r="J660" s="19"/>
      <c r="K660" s="19"/>
      <c r="L660" s="19"/>
      <c r="M660" s="19"/>
      <c r="N660" s="19"/>
      <c r="O660" s="19"/>
      <c r="P660" s="19"/>
      <c r="Q660" s="19"/>
      <c r="R660" s="19"/>
      <c r="S660" s="19"/>
      <c r="T660" s="19"/>
      <c r="U660" s="19"/>
      <c r="V660" s="19"/>
      <c r="W660" s="19"/>
      <c r="X660" s="19"/>
      <c r="Y660" s="19"/>
    </row>
    <row r="661" spans="2:25" ht="12" customHeight="1">
      <c r="B661" s="19"/>
      <c r="C661" s="19"/>
      <c r="D661" s="107"/>
      <c r="E661" s="107"/>
      <c r="F661" s="19"/>
      <c r="G661" s="19"/>
      <c r="H661" s="19"/>
      <c r="I661" s="19"/>
      <c r="J661" s="19"/>
      <c r="K661" s="19"/>
      <c r="L661" s="19"/>
      <c r="M661" s="19"/>
      <c r="N661" s="19"/>
      <c r="O661" s="19"/>
      <c r="P661" s="19"/>
      <c r="Q661" s="19"/>
      <c r="R661" s="19"/>
      <c r="S661" s="19"/>
      <c r="T661" s="19"/>
      <c r="U661" s="19"/>
      <c r="V661" s="19"/>
      <c r="W661" s="19"/>
      <c r="X661" s="19"/>
      <c r="Y661" s="19"/>
    </row>
    <row r="662" spans="2:25" ht="12" customHeight="1">
      <c r="B662" s="19"/>
      <c r="C662" s="19"/>
      <c r="D662" s="107"/>
      <c r="E662" s="107"/>
      <c r="F662" s="19"/>
      <c r="G662" s="19"/>
      <c r="H662" s="19"/>
      <c r="I662" s="19"/>
      <c r="J662" s="19"/>
      <c r="K662" s="19"/>
      <c r="L662" s="19"/>
      <c r="M662" s="19"/>
      <c r="N662" s="19"/>
      <c r="O662" s="19"/>
      <c r="P662" s="19"/>
      <c r="Q662" s="19"/>
      <c r="R662" s="19"/>
      <c r="S662" s="19"/>
      <c r="T662" s="19"/>
      <c r="U662" s="19"/>
      <c r="V662" s="19"/>
      <c r="W662" s="19"/>
      <c r="X662" s="19"/>
      <c r="Y662" s="19"/>
    </row>
    <row r="663" spans="2:25" ht="12" customHeight="1">
      <c r="B663" s="19"/>
      <c r="C663" s="19"/>
      <c r="D663" s="107"/>
      <c r="E663" s="107"/>
      <c r="F663" s="19"/>
      <c r="G663" s="19"/>
      <c r="H663" s="19"/>
      <c r="I663" s="19"/>
      <c r="J663" s="19"/>
      <c r="K663" s="19"/>
      <c r="L663" s="19"/>
      <c r="M663" s="19"/>
      <c r="N663" s="19"/>
      <c r="O663" s="19"/>
      <c r="P663" s="19"/>
      <c r="Q663" s="19"/>
      <c r="R663" s="19"/>
      <c r="S663" s="19"/>
      <c r="T663" s="19"/>
      <c r="U663" s="19"/>
      <c r="V663" s="19"/>
      <c r="W663" s="19"/>
      <c r="X663" s="19"/>
      <c r="Y663" s="19"/>
    </row>
    <row r="664" spans="2:25" ht="12" customHeight="1">
      <c r="B664" s="19"/>
      <c r="C664" s="19"/>
      <c r="D664" s="107"/>
      <c r="E664" s="107"/>
      <c r="F664" s="19"/>
      <c r="G664" s="19"/>
      <c r="H664" s="19"/>
      <c r="I664" s="19"/>
      <c r="J664" s="19"/>
      <c r="K664" s="19"/>
      <c r="L664" s="19"/>
      <c r="M664" s="19"/>
      <c r="N664" s="19"/>
      <c r="O664" s="19"/>
      <c r="P664" s="19"/>
      <c r="Q664" s="19"/>
      <c r="R664" s="19"/>
      <c r="S664" s="19"/>
      <c r="T664" s="19"/>
      <c r="U664" s="19"/>
      <c r="V664" s="19"/>
      <c r="W664" s="19"/>
      <c r="X664" s="19"/>
      <c r="Y664" s="19"/>
    </row>
    <row r="665" spans="2:25" ht="12" customHeight="1">
      <c r="B665" s="19"/>
      <c r="C665" s="19"/>
      <c r="D665" s="107"/>
      <c r="E665" s="107"/>
      <c r="F665" s="19"/>
      <c r="G665" s="19"/>
      <c r="H665" s="19"/>
      <c r="I665" s="19"/>
      <c r="J665" s="19"/>
      <c r="K665" s="19"/>
      <c r="L665" s="19"/>
      <c r="M665" s="19"/>
      <c r="N665" s="19"/>
      <c r="O665" s="19"/>
      <c r="P665" s="19"/>
      <c r="Q665" s="19"/>
      <c r="R665" s="19"/>
      <c r="S665" s="19"/>
      <c r="T665" s="19"/>
      <c r="U665" s="19"/>
      <c r="V665" s="19"/>
      <c r="W665" s="19"/>
      <c r="X665" s="19"/>
      <c r="Y665" s="19"/>
    </row>
    <row r="666" spans="2:25" ht="12" customHeight="1">
      <c r="B666" s="19"/>
      <c r="C666" s="19"/>
      <c r="D666" s="107"/>
      <c r="E666" s="107"/>
      <c r="F666" s="19"/>
      <c r="G666" s="19"/>
      <c r="H666" s="19"/>
      <c r="I666" s="19"/>
      <c r="J666" s="19"/>
      <c r="K666" s="19"/>
      <c r="L666" s="19"/>
      <c r="M666" s="19"/>
      <c r="N666" s="19"/>
      <c r="O666" s="19"/>
      <c r="P666" s="19"/>
      <c r="Q666" s="19"/>
      <c r="R666" s="19"/>
      <c r="S666" s="19"/>
      <c r="T666" s="19"/>
      <c r="U666" s="19"/>
      <c r="V666" s="19"/>
      <c r="W666" s="19"/>
      <c r="X666" s="19"/>
      <c r="Y666" s="19"/>
    </row>
    <row r="667" spans="2:25" ht="12" customHeight="1">
      <c r="B667" s="19"/>
      <c r="C667" s="19"/>
      <c r="D667" s="107"/>
      <c r="E667" s="107"/>
      <c r="F667" s="19"/>
      <c r="G667" s="19"/>
      <c r="H667" s="19"/>
      <c r="I667" s="19"/>
      <c r="J667" s="19"/>
      <c r="K667" s="19"/>
      <c r="L667" s="19"/>
      <c r="M667" s="19"/>
      <c r="N667" s="19"/>
      <c r="O667" s="19"/>
      <c r="P667" s="19"/>
      <c r="Q667" s="19"/>
      <c r="R667" s="19"/>
      <c r="S667" s="19"/>
      <c r="T667" s="19"/>
      <c r="U667" s="19"/>
      <c r="V667" s="19"/>
      <c r="W667" s="19"/>
      <c r="X667" s="19"/>
      <c r="Y667" s="19"/>
    </row>
    <row r="668" spans="2:25" ht="12" customHeight="1">
      <c r="B668" s="19"/>
      <c r="C668" s="19"/>
      <c r="D668" s="107"/>
      <c r="E668" s="107"/>
      <c r="F668" s="19"/>
      <c r="G668" s="19"/>
      <c r="H668" s="19"/>
      <c r="I668" s="19"/>
      <c r="J668" s="19"/>
      <c r="K668" s="19"/>
      <c r="L668" s="19"/>
      <c r="M668" s="19"/>
      <c r="N668" s="19"/>
      <c r="O668" s="19"/>
      <c r="P668" s="19"/>
      <c r="Q668" s="19"/>
      <c r="R668" s="19"/>
      <c r="S668" s="19"/>
      <c r="T668" s="19"/>
      <c r="U668" s="19"/>
      <c r="V668" s="19"/>
      <c r="W668" s="19"/>
      <c r="X668" s="19"/>
      <c r="Y668" s="19"/>
    </row>
    <row r="669" spans="2:25" ht="12" customHeight="1">
      <c r="B669" s="19"/>
      <c r="C669" s="19"/>
      <c r="D669" s="107"/>
      <c r="E669" s="107"/>
      <c r="F669" s="19"/>
      <c r="G669" s="19"/>
      <c r="H669" s="19"/>
      <c r="I669" s="19"/>
      <c r="J669" s="19"/>
      <c r="K669" s="19"/>
      <c r="L669" s="19"/>
      <c r="M669" s="19"/>
      <c r="N669" s="19"/>
      <c r="O669" s="19"/>
      <c r="P669" s="19"/>
      <c r="Q669" s="19"/>
      <c r="R669" s="19"/>
      <c r="S669" s="19"/>
      <c r="T669" s="19"/>
      <c r="U669" s="19"/>
      <c r="V669" s="19"/>
      <c r="W669" s="19"/>
      <c r="X669" s="19"/>
      <c r="Y669" s="19"/>
    </row>
    <row r="670" spans="2:25" ht="12" customHeight="1">
      <c r="B670" s="19"/>
      <c r="C670" s="19"/>
      <c r="D670" s="107"/>
      <c r="E670" s="107"/>
      <c r="F670" s="19"/>
      <c r="G670" s="19"/>
      <c r="H670" s="19"/>
      <c r="I670" s="19"/>
      <c r="J670" s="19"/>
      <c r="K670" s="19"/>
      <c r="L670" s="19"/>
      <c r="M670" s="19"/>
      <c r="N670" s="19"/>
      <c r="O670" s="19"/>
      <c r="P670" s="19"/>
      <c r="Q670" s="19"/>
      <c r="R670" s="19"/>
      <c r="S670" s="19"/>
      <c r="T670" s="19"/>
      <c r="U670" s="19"/>
      <c r="V670" s="19"/>
      <c r="W670" s="19"/>
      <c r="X670" s="19"/>
      <c r="Y670" s="19"/>
    </row>
    <row r="671" spans="2:25" ht="12" customHeight="1">
      <c r="B671" s="19"/>
      <c r="C671" s="19"/>
      <c r="D671" s="107"/>
      <c r="E671" s="107"/>
      <c r="F671" s="19"/>
      <c r="G671" s="19"/>
      <c r="H671" s="19"/>
      <c r="I671" s="19"/>
      <c r="J671" s="19"/>
      <c r="K671" s="19"/>
      <c r="L671" s="19"/>
      <c r="M671" s="19"/>
      <c r="N671" s="19"/>
      <c r="O671" s="19"/>
      <c r="P671" s="19"/>
      <c r="Q671" s="19"/>
      <c r="R671" s="19"/>
      <c r="S671" s="19"/>
      <c r="T671" s="19"/>
      <c r="U671" s="19"/>
      <c r="V671" s="19"/>
      <c r="W671" s="19"/>
      <c r="X671" s="19"/>
      <c r="Y671" s="19"/>
    </row>
    <row r="672" spans="2:25" ht="12" customHeight="1">
      <c r="B672" s="19"/>
      <c r="C672" s="19"/>
      <c r="D672" s="107"/>
      <c r="E672" s="107"/>
      <c r="F672" s="19"/>
      <c r="G672" s="19"/>
      <c r="H672" s="19"/>
      <c r="I672" s="19"/>
      <c r="J672" s="19"/>
      <c r="K672" s="19"/>
      <c r="L672" s="19"/>
      <c r="M672" s="19"/>
      <c r="N672" s="19"/>
      <c r="O672" s="19"/>
      <c r="P672" s="19"/>
      <c r="Q672" s="19"/>
      <c r="R672" s="19"/>
      <c r="S672" s="19"/>
      <c r="T672" s="19"/>
      <c r="U672" s="19"/>
      <c r="V672" s="19"/>
      <c r="W672" s="19"/>
      <c r="X672" s="19"/>
      <c r="Y672" s="19"/>
    </row>
    <row r="673" spans="2:25" ht="12" customHeight="1">
      <c r="B673" s="19"/>
      <c r="C673" s="19"/>
      <c r="D673" s="107"/>
      <c r="E673" s="107"/>
      <c r="F673" s="19"/>
      <c r="G673" s="19"/>
      <c r="H673" s="19"/>
      <c r="I673" s="19"/>
      <c r="J673" s="19"/>
      <c r="K673" s="19"/>
      <c r="L673" s="19"/>
      <c r="M673" s="19"/>
      <c r="N673" s="19"/>
      <c r="O673" s="19"/>
      <c r="P673" s="19"/>
      <c r="Q673" s="19"/>
      <c r="R673" s="19"/>
      <c r="S673" s="19"/>
      <c r="T673" s="19"/>
      <c r="U673" s="19"/>
      <c r="V673" s="19"/>
      <c r="W673" s="19"/>
      <c r="X673" s="19"/>
      <c r="Y673" s="19"/>
    </row>
    <row r="674" spans="2:25" ht="12" customHeight="1">
      <c r="B674" s="19"/>
      <c r="C674" s="19"/>
      <c r="D674" s="107"/>
      <c r="E674" s="107"/>
      <c r="F674" s="19"/>
      <c r="G674" s="19"/>
      <c r="H674" s="19"/>
      <c r="I674" s="19"/>
      <c r="J674" s="19"/>
      <c r="K674" s="19"/>
      <c r="L674" s="19"/>
      <c r="M674" s="19"/>
      <c r="N674" s="19"/>
      <c r="O674" s="19"/>
      <c r="P674" s="19"/>
      <c r="Q674" s="19"/>
      <c r="R674" s="19"/>
      <c r="S674" s="19"/>
      <c r="T674" s="19"/>
      <c r="U674" s="19"/>
      <c r="V674" s="19"/>
      <c r="W674" s="19"/>
      <c r="X674" s="19"/>
      <c r="Y674" s="19"/>
    </row>
    <row r="675" spans="2:25" ht="12" customHeight="1">
      <c r="B675" s="19"/>
      <c r="C675" s="19"/>
      <c r="D675" s="107"/>
      <c r="E675" s="107"/>
      <c r="F675" s="19"/>
      <c r="G675" s="19"/>
      <c r="H675" s="19"/>
      <c r="I675" s="19"/>
      <c r="J675" s="19"/>
      <c r="K675" s="19"/>
      <c r="L675" s="19"/>
      <c r="M675" s="19"/>
      <c r="N675" s="19"/>
      <c r="O675" s="19"/>
      <c r="P675" s="19"/>
      <c r="Q675" s="19"/>
      <c r="R675" s="19"/>
      <c r="S675" s="19"/>
      <c r="T675" s="19"/>
      <c r="U675" s="19"/>
      <c r="V675" s="19"/>
      <c r="W675" s="19"/>
      <c r="X675" s="19"/>
      <c r="Y675" s="19"/>
    </row>
    <row r="676" spans="2:25" ht="12" customHeight="1">
      <c r="B676" s="19"/>
      <c r="C676" s="19"/>
      <c r="D676" s="107"/>
      <c r="E676" s="107"/>
      <c r="F676" s="19"/>
      <c r="G676" s="19"/>
      <c r="H676" s="19"/>
      <c r="I676" s="19"/>
      <c r="J676" s="19"/>
      <c r="K676" s="19"/>
      <c r="L676" s="19"/>
      <c r="M676" s="19"/>
      <c r="N676" s="19"/>
      <c r="O676" s="19"/>
      <c r="P676" s="19"/>
      <c r="Q676" s="19"/>
      <c r="R676" s="19"/>
      <c r="S676" s="19"/>
      <c r="T676" s="19"/>
      <c r="U676" s="19"/>
      <c r="V676" s="19"/>
      <c r="W676" s="19"/>
      <c r="X676" s="19"/>
      <c r="Y676" s="19"/>
    </row>
    <row r="677" spans="2:25" ht="12" customHeight="1">
      <c r="B677" s="19"/>
      <c r="C677" s="19"/>
      <c r="D677" s="107"/>
      <c r="E677" s="107"/>
      <c r="F677" s="19"/>
      <c r="G677" s="19"/>
      <c r="H677" s="19"/>
      <c r="I677" s="19"/>
      <c r="J677" s="19"/>
      <c r="K677" s="19"/>
      <c r="L677" s="19"/>
      <c r="M677" s="19"/>
      <c r="N677" s="19"/>
      <c r="O677" s="19"/>
      <c r="P677" s="19"/>
      <c r="Q677" s="19"/>
      <c r="R677" s="19"/>
      <c r="S677" s="19"/>
      <c r="T677" s="19"/>
      <c r="U677" s="19"/>
      <c r="V677" s="19"/>
      <c r="W677" s="19"/>
      <c r="X677" s="19"/>
      <c r="Y677" s="19"/>
    </row>
    <row r="678" spans="2:25" ht="12" customHeight="1">
      <c r="B678" s="19"/>
      <c r="C678" s="19"/>
      <c r="D678" s="107"/>
      <c r="E678" s="107"/>
      <c r="F678" s="19"/>
      <c r="G678" s="19"/>
      <c r="H678" s="19"/>
      <c r="I678" s="19"/>
      <c r="J678" s="19"/>
      <c r="K678" s="19"/>
      <c r="L678" s="19"/>
      <c r="M678" s="19"/>
      <c r="N678" s="19"/>
      <c r="O678" s="19"/>
      <c r="P678" s="19"/>
      <c r="Q678" s="19"/>
      <c r="R678" s="19"/>
      <c r="S678" s="19"/>
      <c r="T678" s="19"/>
      <c r="U678" s="19"/>
      <c r="V678" s="19"/>
      <c r="W678" s="19"/>
      <c r="X678" s="19"/>
      <c r="Y678" s="19"/>
    </row>
    <row r="679" spans="2:25" ht="12" customHeight="1">
      <c r="B679" s="19"/>
      <c r="C679" s="19"/>
      <c r="D679" s="107"/>
      <c r="E679" s="107"/>
      <c r="F679" s="19"/>
      <c r="G679" s="19"/>
      <c r="H679" s="19"/>
      <c r="I679" s="19"/>
      <c r="J679" s="19"/>
      <c r="K679" s="19"/>
      <c r="L679" s="19"/>
      <c r="M679" s="19"/>
      <c r="N679" s="19"/>
      <c r="O679" s="19"/>
      <c r="P679" s="19"/>
      <c r="Q679" s="19"/>
      <c r="R679" s="19"/>
      <c r="S679" s="19"/>
      <c r="T679" s="19"/>
      <c r="U679" s="19"/>
      <c r="V679" s="19"/>
      <c r="W679" s="19"/>
      <c r="X679" s="19"/>
      <c r="Y679" s="19"/>
    </row>
    <row r="680" spans="2:25" ht="12" customHeight="1">
      <c r="B680" s="19"/>
      <c r="C680" s="19"/>
      <c r="D680" s="107"/>
      <c r="E680" s="107"/>
      <c r="F680" s="19"/>
      <c r="G680" s="19"/>
      <c r="H680" s="19"/>
      <c r="I680" s="19"/>
      <c r="J680" s="19"/>
      <c r="K680" s="19"/>
      <c r="L680" s="19"/>
      <c r="M680" s="19"/>
      <c r="N680" s="19"/>
      <c r="O680" s="19"/>
      <c r="P680" s="19"/>
      <c r="Q680" s="19"/>
      <c r="R680" s="19"/>
      <c r="S680" s="19"/>
      <c r="T680" s="19"/>
      <c r="U680" s="19"/>
      <c r="V680" s="19"/>
      <c r="W680" s="19"/>
      <c r="X680" s="19"/>
      <c r="Y680" s="19"/>
    </row>
    <row r="681" spans="2:25" ht="12" customHeight="1">
      <c r="B681" s="19"/>
      <c r="C681" s="19"/>
      <c r="D681" s="107"/>
      <c r="E681" s="107"/>
      <c r="F681" s="19"/>
      <c r="G681" s="19"/>
      <c r="H681" s="19"/>
      <c r="I681" s="19"/>
      <c r="J681" s="19"/>
      <c r="K681" s="19"/>
      <c r="L681" s="19"/>
      <c r="M681" s="19"/>
      <c r="N681" s="19"/>
      <c r="O681" s="19"/>
      <c r="P681" s="19"/>
      <c r="Q681" s="19"/>
      <c r="R681" s="19"/>
      <c r="S681" s="19"/>
      <c r="T681" s="19"/>
      <c r="U681" s="19"/>
      <c r="V681" s="19"/>
      <c r="W681" s="19"/>
      <c r="X681" s="19"/>
      <c r="Y681" s="19"/>
    </row>
    <row r="682" spans="2:25" ht="12" customHeight="1">
      <c r="B682" s="19"/>
      <c r="C682" s="19"/>
      <c r="D682" s="107"/>
      <c r="E682" s="107"/>
      <c r="F682" s="19"/>
      <c r="G682" s="19"/>
      <c r="H682" s="19"/>
      <c r="I682" s="19"/>
      <c r="J682" s="19"/>
      <c r="K682" s="19"/>
      <c r="L682" s="19"/>
      <c r="M682" s="19"/>
      <c r="N682" s="19"/>
      <c r="O682" s="19"/>
      <c r="P682" s="19"/>
      <c r="Q682" s="19"/>
      <c r="R682" s="19"/>
      <c r="S682" s="19"/>
      <c r="T682" s="19"/>
      <c r="U682" s="19"/>
      <c r="V682" s="19"/>
      <c r="W682" s="19"/>
      <c r="X682" s="19"/>
      <c r="Y682" s="19"/>
    </row>
    <row r="683" spans="2:25" ht="12" customHeight="1">
      <c r="B683" s="19"/>
      <c r="C683" s="19"/>
      <c r="D683" s="107"/>
      <c r="E683" s="107"/>
      <c r="F683" s="19"/>
      <c r="G683" s="19"/>
      <c r="H683" s="19"/>
      <c r="I683" s="19"/>
      <c r="J683" s="19"/>
      <c r="K683" s="19"/>
      <c r="L683" s="19"/>
      <c r="M683" s="19"/>
      <c r="N683" s="19"/>
      <c r="O683" s="19"/>
      <c r="P683" s="19"/>
      <c r="Q683" s="19"/>
      <c r="R683" s="19"/>
      <c r="S683" s="19"/>
      <c r="T683" s="19"/>
      <c r="U683" s="19"/>
      <c r="V683" s="19"/>
      <c r="W683" s="19"/>
      <c r="X683" s="19"/>
      <c r="Y683" s="19"/>
    </row>
    <row r="684" spans="2:25" ht="12" customHeight="1">
      <c r="B684" s="19"/>
      <c r="C684" s="19"/>
      <c r="D684" s="107"/>
      <c r="E684" s="107"/>
      <c r="F684" s="19"/>
      <c r="G684" s="19"/>
      <c r="H684" s="19"/>
      <c r="I684" s="19"/>
      <c r="J684" s="19"/>
      <c r="K684" s="19"/>
      <c r="L684" s="19"/>
      <c r="M684" s="19"/>
      <c r="N684" s="19"/>
      <c r="O684" s="19"/>
      <c r="P684" s="19"/>
      <c r="Q684" s="19"/>
      <c r="R684" s="19"/>
      <c r="S684" s="19"/>
      <c r="T684" s="19"/>
      <c r="U684" s="19"/>
      <c r="V684" s="19"/>
      <c r="W684" s="19"/>
      <c r="X684" s="19"/>
      <c r="Y684" s="19"/>
    </row>
    <row r="685" spans="2:25" ht="12" customHeight="1">
      <c r="B685" s="19"/>
      <c r="C685" s="19"/>
      <c r="D685" s="107"/>
      <c r="E685" s="107"/>
      <c r="F685" s="19"/>
      <c r="G685" s="19"/>
      <c r="H685" s="19"/>
      <c r="I685" s="19"/>
      <c r="J685" s="19"/>
      <c r="K685" s="19"/>
      <c r="L685" s="19"/>
      <c r="M685" s="19"/>
      <c r="N685" s="19"/>
      <c r="O685" s="19"/>
      <c r="P685" s="19"/>
      <c r="Q685" s="19"/>
      <c r="R685" s="19"/>
      <c r="S685" s="19"/>
      <c r="T685" s="19"/>
      <c r="U685" s="19"/>
      <c r="V685" s="19"/>
      <c r="W685" s="19"/>
      <c r="X685" s="19"/>
      <c r="Y685" s="19"/>
    </row>
    <row r="686" spans="2:25" ht="12" customHeight="1">
      <c r="B686" s="19"/>
      <c r="C686" s="19"/>
      <c r="D686" s="107"/>
      <c r="E686" s="107"/>
      <c r="F686" s="19"/>
      <c r="G686" s="19"/>
      <c r="H686" s="19"/>
      <c r="I686" s="19"/>
      <c r="J686" s="19"/>
      <c r="K686" s="19"/>
      <c r="L686" s="19"/>
      <c r="M686" s="19"/>
      <c r="N686" s="19"/>
      <c r="O686" s="19"/>
      <c r="P686" s="19"/>
      <c r="Q686" s="19"/>
      <c r="R686" s="19"/>
      <c r="S686" s="19"/>
      <c r="T686" s="19"/>
      <c r="U686" s="19"/>
      <c r="V686" s="19"/>
      <c r="W686" s="19"/>
      <c r="X686" s="19"/>
      <c r="Y686" s="19"/>
    </row>
    <row r="687" spans="2:25" ht="12" customHeight="1">
      <c r="B687" s="19"/>
      <c r="C687" s="19"/>
      <c r="D687" s="107"/>
      <c r="E687" s="107"/>
      <c r="F687" s="19"/>
      <c r="G687" s="19"/>
      <c r="H687" s="19"/>
      <c r="I687" s="19"/>
      <c r="J687" s="19"/>
      <c r="K687" s="19"/>
      <c r="L687" s="19"/>
      <c r="M687" s="19"/>
      <c r="N687" s="19"/>
      <c r="O687" s="19"/>
      <c r="P687" s="19"/>
      <c r="Q687" s="19"/>
      <c r="R687" s="19"/>
      <c r="S687" s="19"/>
      <c r="T687" s="19"/>
      <c r="U687" s="19"/>
      <c r="V687" s="19"/>
      <c r="W687" s="19"/>
      <c r="X687" s="19"/>
      <c r="Y687" s="19"/>
    </row>
    <row r="688" spans="2:25" ht="12" customHeight="1">
      <c r="B688" s="19"/>
      <c r="C688" s="19"/>
      <c r="D688" s="107"/>
      <c r="E688" s="107"/>
      <c r="F688" s="19"/>
      <c r="G688" s="19"/>
      <c r="H688" s="19"/>
      <c r="I688" s="19"/>
      <c r="J688" s="19"/>
      <c r="K688" s="19"/>
      <c r="L688" s="19"/>
      <c r="M688" s="19"/>
      <c r="N688" s="19"/>
      <c r="O688" s="19"/>
      <c r="P688" s="19"/>
      <c r="Q688" s="19"/>
      <c r="R688" s="19"/>
      <c r="S688" s="19"/>
      <c r="T688" s="19"/>
      <c r="U688" s="19"/>
      <c r="V688" s="19"/>
      <c r="W688" s="19"/>
      <c r="X688" s="19"/>
      <c r="Y688" s="19"/>
    </row>
    <row r="689" spans="2:25" ht="12" customHeight="1">
      <c r="B689" s="19"/>
      <c r="C689" s="19"/>
      <c r="D689" s="107"/>
      <c r="E689" s="107"/>
      <c r="F689" s="19"/>
      <c r="G689" s="19"/>
      <c r="H689" s="19"/>
      <c r="I689" s="19"/>
      <c r="J689" s="19"/>
      <c r="K689" s="19"/>
      <c r="L689" s="19"/>
      <c r="M689" s="19"/>
      <c r="N689" s="19"/>
      <c r="O689" s="19"/>
      <c r="P689" s="19"/>
      <c r="Q689" s="19"/>
      <c r="R689" s="19"/>
      <c r="S689" s="19"/>
      <c r="T689" s="19"/>
      <c r="U689" s="19"/>
      <c r="V689" s="19"/>
      <c r="W689" s="19"/>
      <c r="X689" s="19"/>
      <c r="Y689" s="19"/>
    </row>
    <row r="690" spans="2:25" ht="12" customHeight="1">
      <c r="B690" s="19"/>
      <c r="C690" s="19"/>
      <c r="D690" s="107"/>
      <c r="E690" s="107"/>
      <c r="F690" s="19"/>
      <c r="G690" s="19"/>
      <c r="H690" s="19"/>
      <c r="I690" s="19"/>
      <c r="J690" s="19"/>
      <c r="K690" s="19"/>
      <c r="L690" s="19"/>
      <c r="M690" s="19"/>
      <c r="N690" s="19"/>
      <c r="O690" s="19"/>
      <c r="P690" s="19"/>
      <c r="Q690" s="19"/>
      <c r="R690" s="19"/>
      <c r="S690" s="19"/>
      <c r="T690" s="19"/>
      <c r="U690" s="19"/>
      <c r="V690" s="19"/>
      <c r="W690" s="19"/>
      <c r="X690" s="19"/>
      <c r="Y690" s="19"/>
    </row>
    <row r="691" spans="2:25" ht="12" customHeight="1">
      <c r="B691" s="19"/>
      <c r="C691" s="19"/>
      <c r="D691" s="107"/>
      <c r="E691" s="107"/>
      <c r="F691" s="19"/>
      <c r="G691" s="19"/>
      <c r="H691" s="19"/>
      <c r="I691" s="19"/>
      <c r="J691" s="19"/>
      <c r="K691" s="19"/>
      <c r="L691" s="19"/>
      <c r="M691" s="19"/>
      <c r="N691" s="19"/>
      <c r="O691" s="19"/>
      <c r="P691" s="19"/>
      <c r="Q691" s="19"/>
      <c r="R691" s="19"/>
      <c r="S691" s="19"/>
      <c r="T691" s="19"/>
      <c r="U691" s="19"/>
      <c r="V691" s="19"/>
      <c r="W691" s="19"/>
      <c r="X691" s="19"/>
      <c r="Y691" s="19"/>
    </row>
    <row r="692" spans="2:25" ht="12" customHeight="1">
      <c r="B692" s="19"/>
      <c r="C692" s="19"/>
      <c r="D692" s="107"/>
      <c r="E692" s="107"/>
      <c r="F692" s="19"/>
      <c r="G692" s="19"/>
      <c r="H692" s="19"/>
      <c r="I692" s="19"/>
      <c r="J692" s="19"/>
      <c r="K692" s="19"/>
      <c r="L692" s="19"/>
      <c r="M692" s="19"/>
      <c r="N692" s="19"/>
      <c r="O692" s="19"/>
      <c r="P692" s="19"/>
      <c r="Q692" s="19"/>
      <c r="R692" s="19"/>
      <c r="S692" s="19"/>
      <c r="T692" s="19"/>
      <c r="U692" s="19"/>
      <c r="V692" s="19"/>
      <c r="W692" s="19"/>
      <c r="X692" s="19"/>
      <c r="Y692" s="19"/>
    </row>
    <row r="693" spans="2:25" ht="12" customHeight="1">
      <c r="B693" s="19"/>
      <c r="C693" s="19"/>
      <c r="D693" s="107"/>
      <c r="E693" s="107"/>
      <c r="F693" s="19"/>
      <c r="G693" s="19"/>
      <c r="H693" s="19"/>
      <c r="I693" s="19"/>
      <c r="J693" s="19"/>
      <c r="K693" s="19"/>
      <c r="L693" s="19"/>
      <c r="M693" s="19"/>
      <c r="N693" s="19"/>
      <c r="O693" s="19"/>
      <c r="P693" s="19"/>
      <c r="Q693" s="19"/>
      <c r="R693" s="19"/>
      <c r="S693" s="19"/>
      <c r="T693" s="19"/>
      <c r="U693" s="19"/>
      <c r="V693" s="19"/>
      <c r="W693" s="19"/>
      <c r="X693" s="19"/>
      <c r="Y693" s="19"/>
    </row>
    <row r="694" spans="2:25" ht="12" customHeight="1">
      <c r="B694" s="19"/>
      <c r="C694" s="19"/>
      <c r="D694" s="107"/>
      <c r="E694" s="107"/>
      <c r="F694" s="19"/>
      <c r="G694" s="19"/>
      <c r="H694" s="19"/>
      <c r="I694" s="19"/>
      <c r="J694" s="19"/>
      <c r="K694" s="19"/>
      <c r="L694" s="19"/>
      <c r="M694" s="19"/>
      <c r="N694" s="19"/>
      <c r="O694" s="19"/>
      <c r="P694" s="19"/>
      <c r="Q694" s="19"/>
      <c r="R694" s="19"/>
      <c r="S694" s="19"/>
      <c r="T694" s="19"/>
      <c r="U694" s="19"/>
      <c r="V694" s="19"/>
      <c r="W694" s="19"/>
      <c r="X694" s="19"/>
      <c r="Y694" s="19"/>
    </row>
    <row r="695" spans="2:25" ht="12" customHeight="1">
      <c r="B695" s="19"/>
      <c r="C695" s="19"/>
      <c r="D695" s="107"/>
      <c r="E695" s="107"/>
      <c r="F695" s="19"/>
      <c r="G695" s="19"/>
      <c r="H695" s="19"/>
      <c r="I695" s="19"/>
      <c r="J695" s="19"/>
      <c r="K695" s="19"/>
      <c r="L695" s="19"/>
      <c r="M695" s="19"/>
      <c r="N695" s="19"/>
      <c r="O695" s="19"/>
      <c r="P695" s="19"/>
      <c r="Q695" s="19"/>
      <c r="R695" s="19"/>
      <c r="S695" s="19"/>
      <c r="T695" s="19"/>
      <c r="U695" s="19"/>
      <c r="V695" s="19"/>
      <c r="W695" s="19"/>
      <c r="X695" s="19"/>
      <c r="Y695" s="19"/>
    </row>
  </sheetData>
  <sheetCalcPr fullCalcOnLoad="true"/>
  <sheetProtection password="DC4E" sheet="true" scenarios="true" objects="true"/>
  <mergeCells count="2">
    <mergeCell ref="B11:C11"/>
    <mergeCell ref="B9:M9"/>
  </mergeCells>
  <conditionalFormatting sqref="E57:E91 E95:E129 E209:E243 E247:E281 E285:E319 E323:E357 E19:E53">
    <cfRule type="cellIs" dxfId="1037" priority="210" stopIfTrue="1" operator="equal">
      <formula>"ERR"</formula>
    </cfRule>
  </conditionalFormatting>
  <conditionalFormatting sqref="F19:J19 F57:J57 F95:J95 F209:J209 F247:J247 F285:J285 F323:J323 F133:J133 F171:J171">
    <cfRule type="expression" dxfId="1036" priority="204" stopIfTrue="1">
      <formula>ISBLANK(F19)</formula>
    </cfRule>
    <cfRule type="cellIs" dxfId="1035" priority="205" stopIfTrue="1" operator="equal">
      <formula>"Pasa"</formula>
    </cfRule>
    <cfRule type="cellIs" dxfId="1034" priority="206" stopIfTrue="1" operator="equal">
      <formula>"Falla"</formula>
    </cfRule>
    <cfRule type="cellIs" dxfId="1033" priority="207" stopIfTrue="1" operator="equal">
      <formula>"N/A"</formula>
    </cfRule>
    <cfRule type="cellIs" dxfId="1032" priority="208" stopIfTrue="1" operator="equal">
      <formula>"N/T"</formula>
    </cfRule>
    <cfRule type="cellIs" dxfId="1031" priority="209" stopIfTrue="1" operator="equal">
      <formula>"N/D"</formula>
    </cfRule>
  </conditionalFormatting>
  <conditionalFormatting sqref="D19:D53">
    <cfRule type="expression" dxfId="1030" priority="84" stopIfTrue="1">
      <formula>ISBLANK(D19)</formula>
    </cfRule>
    <cfRule type="cellIs" dxfId="1029" priority="85" stopIfTrue="1" operator="equal">
      <formula>"Pasa"</formula>
    </cfRule>
    <cfRule type="cellIs" dxfId="1028" priority="86" stopIfTrue="1" operator="equal">
      <formula>"Falla"</formula>
    </cfRule>
    <cfRule type="cellIs" dxfId="1027" priority="87" stopIfTrue="1" operator="equal">
      <formula>"N/A"</formula>
    </cfRule>
    <cfRule type="cellIs" dxfId="1026" priority="88" stopIfTrue="1" operator="equal">
      <formula>"N/T"</formula>
    </cfRule>
    <cfRule type="cellIs" dxfId="1025" priority="89" stopIfTrue="1" operator="equal">
      <formula>"N/D"</formula>
    </cfRule>
  </conditionalFormatting>
  <conditionalFormatting sqref="D19:D53">
    <cfRule type="cellIs" dxfId="1024" priority="83" stopIfTrue="1" operator="equal">
      <formula>"-"</formula>
    </cfRule>
  </conditionalFormatting>
  <conditionalFormatting sqref="D57:D91">
    <cfRule type="expression" dxfId="1023" priority="77" stopIfTrue="1">
      <formula>ISBLANK(D57)</formula>
    </cfRule>
    <cfRule type="cellIs" dxfId="1022" priority="78" stopIfTrue="1" operator="equal">
      <formula>"Pasa"</formula>
    </cfRule>
    <cfRule type="cellIs" dxfId="1021" priority="79" stopIfTrue="1" operator="equal">
      <formula>"Falla"</formula>
    </cfRule>
    <cfRule type="cellIs" dxfId="1020" priority="80" stopIfTrue="1" operator="equal">
      <formula>"N/A"</formula>
    </cfRule>
    <cfRule type="cellIs" dxfId="1019" priority="81" stopIfTrue="1" operator="equal">
      <formula>"N/T"</formula>
    </cfRule>
    <cfRule type="cellIs" dxfId="1018" priority="82" stopIfTrue="1" operator="equal">
      <formula>"N/D"</formula>
    </cfRule>
  </conditionalFormatting>
  <conditionalFormatting sqref="D57:D91">
    <cfRule type="cellIs" dxfId="1017" priority="76" stopIfTrue="1" operator="equal">
      <formula>"-"</formula>
    </cfRule>
  </conditionalFormatting>
  <conditionalFormatting sqref="D95:D129">
    <cfRule type="expression" dxfId="1016" priority="70" stopIfTrue="1">
      <formula>ISBLANK(D95)</formula>
    </cfRule>
    <cfRule type="cellIs" dxfId="1015" priority="71" stopIfTrue="1" operator="equal">
      <formula>"Pasa"</formula>
    </cfRule>
    <cfRule type="cellIs" dxfId="1014" priority="72" stopIfTrue="1" operator="equal">
      <formula>"Falla"</formula>
    </cfRule>
    <cfRule type="cellIs" dxfId="1013" priority="73" stopIfTrue="1" operator="equal">
      <formula>"N/A"</formula>
    </cfRule>
    <cfRule type="cellIs" dxfId="1012" priority="74" stopIfTrue="1" operator="equal">
      <formula>"N/T"</formula>
    </cfRule>
    <cfRule type="cellIs" dxfId="1011" priority="75" stopIfTrue="1" operator="equal">
      <formula>"N/D"</formula>
    </cfRule>
  </conditionalFormatting>
  <conditionalFormatting sqref="D95:D129">
    <cfRule type="cellIs" dxfId="1010" priority="69" stopIfTrue="1" operator="equal">
      <formula>"-"</formula>
    </cfRule>
  </conditionalFormatting>
  <conditionalFormatting sqref="D209:D243">
    <cfRule type="expression" dxfId="1009" priority="63" stopIfTrue="1">
      <formula>ISBLANK(D209)</formula>
    </cfRule>
    <cfRule type="cellIs" dxfId="1008" priority="64" stopIfTrue="1" operator="equal">
      <formula>"Pasa"</formula>
    </cfRule>
    <cfRule type="cellIs" dxfId="1007" priority="65" stopIfTrue="1" operator="equal">
      <formula>"Falla"</formula>
    </cfRule>
    <cfRule type="cellIs" dxfId="1006" priority="66" stopIfTrue="1" operator="equal">
      <formula>"N/A"</formula>
    </cfRule>
    <cfRule type="cellIs" dxfId="1005" priority="67" stopIfTrue="1" operator="equal">
      <formula>"N/T"</formula>
    </cfRule>
    <cfRule type="cellIs" dxfId="1004" priority="68" stopIfTrue="1" operator="equal">
      <formula>"N/D"</formula>
    </cfRule>
  </conditionalFormatting>
  <conditionalFormatting sqref="D209:D243">
    <cfRule type="cellIs" dxfId="1003" priority="62" stopIfTrue="1" operator="equal">
      <formula>"-"</formula>
    </cfRule>
  </conditionalFormatting>
  <conditionalFormatting sqref="D247:D281">
    <cfRule type="expression" dxfId="1002" priority="56" stopIfTrue="1">
      <formula>ISBLANK(D247)</formula>
    </cfRule>
    <cfRule type="cellIs" dxfId="1001" priority="57" stopIfTrue="1" operator="equal">
      <formula>"Pasa"</formula>
    </cfRule>
    <cfRule type="cellIs" dxfId="1000" priority="58" stopIfTrue="1" operator="equal">
      <formula>"Falla"</formula>
    </cfRule>
    <cfRule type="cellIs" dxfId="999" priority="59" stopIfTrue="1" operator="equal">
      <formula>"N/A"</formula>
    </cfRule>
    <cfRule type="cellIs" dxfId="998" priority="60" stopIfTrue="1" operator="equal">
      <formula>"N/T"</formula>
    </cfRule>
    <cfRule type="cellIs" dxfId="997" priority="61" stopIfTrue="1" operator="equal">
      <formula>"N/D"</formula>
    </cfRule>
  </conditionalFormatting>
  <conditionalFormatting sqref="D247:D281">
    <cfRule type="cellIs" dxfId="996" priority="55" stopIfTrue="1" operator="equal">
      <formula>"-"</formula>
    </cfRule>
  </conditionalFormatting>
  <conditionalFormatting sqref="D285:D319">
    <cfRule type="expression" dxfId="995" priority="49" stopIfTrue="1">
      <formula>ISBLANK(D285)</formula>
    </cfRule>
    <cfRule type="cellIs" dxfId="994" priority="50" stopIfTrue="1" operator="equal">
      <formula>"Pasa"</formula>
    </cfRule>
    <cfRule type="cellIs" dxfId="993" priority="51" stopIfTrue="1" operator="equal">
      <formula>"Falla"</formula>
    </cfRule>
    <cfRule type="cellIs" dxfId="992" priority="52" stopIfTrue="1" operator="equal">
      <formula>"N/A"</formula>
    </cfRule>
    <cfRule type="cellIs" dxfId="991" priority="53" stopIfTrue="1" operator="equal">
      <formula>"N/T"</formula>
    </cfRule>
    <cfRule type="cellIs" dxfId="990" priority="54" stopIfTrue="1" operator="equal">
      <formula>"N/D"</formula>
    </cfRule>
  </conditionalFormatting>
  <conditionalFormatting sqref="D285:D319">
    <cfRule type="cellIs" dxfId="989" priority="48" stopIfTrue="1" operator="equal">
      <formula>"-"</formula>
    </cfRule>
  </conditionalFormatting>
  <conditionalFormatting sqref="D323:D357">
    <cfRule type="expression" dxfId="988" priority="42" stopIfTrue="1">
      <formula>ISBLANK(D323)</formula>
    </cfRule>
    <cfRule type="cellIs" dxfId="987" priority="43" stopIfTrue="1" operator="equal">
      <formula>"Pasa"</formula>
    </cfRule>
    <cfRule type="cellIs" dxfId="986" priority="44" stopIfTrue="1" operator="equal">
      <formula>"Falla"</formula>
    </cfRule>
    <cfRule type="cellIs" dxfId="985" priority="45" stopIfTrue="1" operator="equal">
      <formula>"N/A"</formula>
    </cfRule>
    <cfRule type="cellIs" dxfId="984" priority="46" stopIfTrue="1" operator="equal">
      <formula>"N/T"</formula>
    </cfRule>
    <cfRule type="cellIs" dxfId="983" priority="47" stopIfTrue="1" operator="equal">
      <formula>"N/D"</formula>
    </cfRule>
  </conditionalFormatting>
  <conditionalFormatting sqref="D323:D357">
    <cfRule type="cellIs" dxfId="982" priority="41" stopIfTrue="1" operator="equal">
      <formula>"-"</formula>
    </cfRule>
  </conditionalFormatting>
  <conditionalFormatting sqref="E133:E167">
    <cfRule type="cellIs" dxfId="981" priority="40" stopIfTrue="1" operator="equal">
      <formula>"ERR"</formula>
    </cfRule>
  </conditionalFormatting>
  <conditionalFormatting sqref="D133:D167">
    <cfRule type="expression" dxfId="980" priority="28" stopIfTrue="1">
      <formula>ISBLANK(D133)</formula>
    </cfRule>
    <cfRule type="cellIs" dxfId="979" priority="29" stopIfTrue="1" operator="equal">
      <formula>"Pasa"</formula>
    </cfRule>
    <cfRule type="cellIs" dxfId="978" priority="30" stopIfTrue="1" operator="equal">
      <formula>"Falla"</formula>
    </cfRule>
    <cfRule type="cellIs" dxfId="977" priority="31" stopIfTrue="1" operator="equal">
      <formula>"N/A"</formula>
    </cfRule>
    <cfRule type="cellIs" dxfId="976" priority="32" stopIfTrue="1" operator="equal">
      <formula>"N/T"</formula>
    </cfRule>
    <cfRule type="cellIs" dxfId="975" priority="33" stopIfTrue="1" operator="equal">
      <formula>"N/D"</formula>
    </cfRule>
  </conditionalFormatting>
  <conditionalFormatting sqref="D133:D167">
    <cfRule type="cellIs" dxfId="974" priority="27" stopIfTrue="1" operator="equal">
      <formula>"-"</formula>
    </cfRule>
  </conditionalFormatting>
  <conditionalFormatting sqref="E171:E205">
    <cfRule type="cellIs" dxfId="973" priority="26" stopIfTrue="1" operator="equal">
      <formula>"ERR"</formula>
    </cfRule>
  </conditionalFormatting>
  <conditionalFormatting sqref="D171:D205">
    <cfRule type="expression" dxfId="972" priority="14" stopIfTrue="1">
      <formula>ISBLANK(D171)</formula>
    </cfRule>
    <cfRule type="cellIs" dxfId="971" priority="15" stopIfTrue="1" operator="equal">
      <formula>"Pasa"</formula>
    </cfRule>
    <cfRule type="cellIs" dxfId="970" priority="16" stopIfTrue="1" operator="equal">
      <formula>"Falla"</formula>
    </cfRule>
    <cfRule type="cellIs" dxfId="969" priority="17" stopIfTrue="1" operator="equal">
      <formula>"N/A"</formula>
    </cfRule>
    <cfRule type="cellIs" dxfId="968" priority="18" stopIfTrue="1" operator="equal">
      <formula>"N/T"</formula>
    </cfRule>
    <cfRule type="cellIs" dxfId="967" priority="19" stopIfTrue="1" operator="equal">
      <formula>"N/D"</formula>
    </cfRule>
  </conditionalFormatting>
  <conditionalFormatting sqref="D171:D205">
    <cfRule type="cellIs" dxfId="966" priority="13" stopIfTrue="1" operator="equal">
      <formula>"-"</formula>
    </cfRule>
  </conditionalFormatting>
  <conditionalFormatting sqref="K23">
    <cfRule type="expression" dxfId="965" priority="7" stopIfTrue="1">
      <formula>ISBLANK(K23)</formula>
    </cfRule>
    <cfRule type="cellIs" dxfId="964" priority="8" stopIfTrue="1" operator="equal">
      <formula>"Pasa"</formula>
    </cfRule>
    <cfRule type="cellIs" dxfId="963" priority="9" stopIfTrue="1" operator="equal">
      <formula>"Falla"</formula>
    </cfRule>
    <cfRule type="cellIs" dxfId="962" priority="10" stopIfTrue="1" operator="equal">
      <formula>"N/A"</formula>
    </cfRule>
    <cfRule type="cellIs" dxfId="961" priority="11" stopIfTrue="1" operator="equal">
      <formula>"N/T"</formula>
    </cfRule>
    <cfRule type="cellIs" dxfId="960" priority="12" stopIfTrue="1" operator="equal">
      <formula>"N/D"</formula>
    </cfRule>
  </conditionalFormatting>
  <conditionalFormatting sqref="K24">
    <cfRule type="expression" dxfId="959" priority="1" stopIfTrue="1">
      <formula>ISBLANK(K24)</formula>
    </cfRule>
    <cfRule type="cellIs" dxfId="958" priority="2" stopIfTrue="1" operator="equal">
      <formula>"Pasa"</formula>
    </cfRule>
    <cfRule type="cellIs" dxfId="957" priority="3" stopIfTrue="1" operator="equal">
      <formula>"Falla"</formula>
    </cfRule>
    <cfRule type="cellIs" dxfId="956" priority="4" stopIfTrue="1" operator="equal">
      <formula>"N/A"</formula>
    </cfRule>
    <cfRule type="cellIs" dxfId="955" priority="5" stopIfTrue="1" operator="equal">
      <formula>"N/T"</formula>
    </cfRule>
    <cfRule type="cellIs" dxfId="954" priority="6" stopIfTrue="1" operator="equal">
      <formula>"N/D"</formula>
    </cfRule>
  </conditionalFormatting>
  <pageMargins left="0.7" right="0.7" top="0.75" bottom="0.75" header="0.51180555555555496" footer="0.51180555555555496"/>
  <pageSetup firstPageNumber="0" orientation="portrait" horizontalDpi="300" verticalDpi="300" r:id="rId1"/>
  <drawing r:id="rId2"/>
  <legacyDrawing r:id="rId3"/>
  <extLst>
    <ext uri="{CCE6A557-97BC-4b89-ADB6-D9C93CAAB3DF}">
      <x14:dataValidations xmlns:xm="http://schemas.microsoft.com/office/excel/2006/main" count="1">
        <x14:dataValidation type="list" operator="equal" showErrorMessage="1">
          <x14:formula1>
            <xm:f>'DATA - Oculta'!$U$9:$U$13</xm:f>
          </x14:formula1>
          <xm:sqref>D95:D129 D247:D281 D209:D243 D285:D319 D19:D53 D57:D91 D323:D357 D133:D167 D171:D205</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6"/>
  <dimension ref="A1:BL1982"/>
  <sheetViews>
    <sheetView topLeftCell="A1349" zoomScale="90" zoomScaleNormal="90" workbookViewId="0">
      <selection activeCell="E1379" sqref="E1379"/>
    </sheetView>
  </sheetViews>
  <sheetFormatPr baseColWidth="10" defaultColWidth="11.5703125" defaultRowHeight="12.75"/>
  <cols>
    <col min="1" max="1" customWidth="true" style="14" width="7.85546875" collapsed="false"/>
    <col min="2" max="2" customWidth="true" style="14" width="16.140625" collapsed="false"/>
    <col min="3" max="3" customWidth="true" style="14" width="56.0" collapsed="false"/>
    <col min="4" max="4" customWidth="true" style="113" width="18.28515625" collapsed="false"/>
    <col min="5" max="5" customWidth="true" style="113" width="5.5703125" collapsed="false"/>
    <col min="6" max="6" bestFit="true" customWidth="true" style="14" width="16.42578125" collapsed="false"/>
    <col min="7" max="7" customWidth="true" style="14" width="14.7109375" collapsed="false"/>
    <col min="8" max="8" customWidth="true" style="14" width="12.5703125" collapsed="false"/>
    <col min="9" max="9" customWidth="true" style="14" width="11.7109375" collapsed="false"/>
    <col min="10" max="10" bestFit="true" customWidth="true" style="14" width="17.28515625" collapsed="false"/>
    <col min="11" max="11" customWidth="true" style="14" width="14.5703125" collapsed="false"/>
    <col min="12" max="12" customWidth="true" style="14" width="12.5703125" collapsed="false"/>
    <col min="13" max="13" customWidth="true" style="14" width="16.7109375" collapsed="false"/>
    <col min="14" max="15" customWidth="true" style="14" width="12.5703125" collapsed="false"/>
    <col min="16" max="16" customWidth="true" style="14" width="19.5703125" collapsed="false"/>
    <col min="17" max="17" customWidth="true" style="14" width="6.85546875" collapsed="false"/>
    <col min="18" max="18" customWidth="true" style="14" width="4.7109375" collapsed="false"/>
    <col min="19" max="19" customWidth="true" style="14" width="12.85546875" collapsed="false"/>
    <col min="20" max="20" customWidth="true" style="14" width="12.140625" collapsed="false"/>
    <col min="21" max="21" customWidth="true" style="14" width="6.7109375" collapsed="false"/>
    <col min="22" max="22" customWidth="true" style="14" width="5.5703125" collapsed="false"/>
    <col min="23" max="23" customWidth="true" style="14" width="12.0" collapsed="false"/>
    <col min="24" max="24" customWidth="true" style="14" width="11.85546875" collapsed="false"/>
    <col min="25" max="25" customWidth="true" style="14" width="7.28515625" collapsed="false"/>
    <col min="26" max="64" customWidth="true" style="14" width="14.42578125" collapsed="false"/>
    <col min="65" max="16384" style="14" width="11.5703125" collapsed="false"/>
  </cols>
  <sheetData>
    <row r="1" spans="1:64" ht="14.1" customHeight="1">
      <c r="A1" s="28"/>
      <c r="B1" s="21"/>
      <c r="C1" s="21"/>
      <c r="D1" s="106"/>
      <c r="E1" s="107"/>
      <c r="F1" s="19"/>
      <c r="G1" s="19"/>
      <c r="H1" s="19"/>
      <c r="I1" s="19"/>
      <c r="J1" s="19"/>
      <c r="K1" s="19"/>
      <c r="L1" s="19"/>
      <c r="M1" s="19"/>
      <c r="N1" s="19"/>
      <c r="O1" s="19"/>
      <c r="P1" s="19"/>
      <c r="Q1" s="19"/>
      <c r="R1" s="19"/>
      <c r="S1" s="19"/>
      <c r="T1" s="19"/>
      <c r="U1" s="19"/>
      <c r="V1" s="19"/>
      <c r="W1" s="19"/>
      <c r="X1" s="19"/>
      <c r="Y1" s="19"/>
      <c r="Z1" s="19"/>
    </row>
    <row r="2" spans="1:64" ht="27" customHeight="1">
      <c r="A2" s="28"/>
      <c r="B2" s="64" t="s">
        <v>0</v>
      </c>
      <c r="C2" s="28"/>
      <c r="D2" s="106"/>
      <c r="E2" s="107"/>
      <c r="P2" s="19"/>
      <c r="Q2" s="19"/>
      <c r="R2" s="19"/>
      <c r="S2" s="19"/>
      <c r="T2" s="19"/>
      <c r="U2" s="19"/>
      <c r="V2" s="19"/>
      <c r="W2" s="19"/>
      <c r="X2" s="19"/>
      <c r="Y2" s="19"/>
      <c r="Z2" s="19"/>
    </row>
    <row r="3" spans="1:64" ht="26.1" customHeight="1">
      <c r="A3" s="28"/>
      <c r="B3" s="65" t="s">
        <v>278</v>
      </c>
      <c r="C3" s="28"/>
      <c r="D3" s="106"/>
      <c r="E3" s="107"/>
    </row>
    <row r="4" spans="1:64" ht="26.1" customHeight="1">
      <c r="B4" s="27"/>
      <c r="C4" s="66"/>
      <c r="D4" s="14"/>
      <c r="E4" s="14"/>
      <c r="K4" s="19"/>
      <c r="N4" s="19"/>
      <c r="O4" s="19"/>
    </row>
    <row r="5" spans="1:64" ht="27.95" customHeight="1">
      <c r="B5" s="159" t="s">
        <v>22</v>
      </c>
      <c r="C5" s="159"/>
      <c r="D5" s="78"/>
      <c r="E5" s="108"/>
      <c r="F5" s="78"/>
      <c r="G5" s="78"/>
      <c r="H5" s="78"/>
      <c r="I5" s="78"/>
      <c r="J5" s="78"/>
      <c r="K5" s="78"/>
      <c r="L5" s="78"/>
      <c r="M5" s="78"/>
      <c r="N5" s="67"/>
      <c r="O5" s="67"/>
      <c r="AA5" s="68"/>
      <c r="AB5" s="68"/>
      <c r="AC5" s="68"/>
      <c r="AD5" s="68"/>
      <c r="AE5" s="68"/>
      <c r="AF5" s="68"/>
      <c r="AG5" s="68"/>
      <c r="AH5" s="68"/>
      <c r="AI5" s="68"/>
      <c r="AJ5" s="68"/>
      <c r="AK5" s="68"/>
      <c r="AL5" s="68"/>
      <c r="AM5" s="68"/>
      <c r="AN5" s="68"/>
      <c r="AO5" s="68"/>
      <c r="AP5" s="68"/>
      <c r="AQ5" s="68"/>
      <c r="AR5" s="68"/>
      <c r="AS5" s="68"/>
      <c r="AT5" s="68"/>
      <c r="AU5" s="68"/>
      <c r="AV5" s="68"/>
      <c r="AW5" s="68"/>
      <c r="AX5" s="68"/>
      <c r="AY5" s="68"/>
      <c r="AZ5" s="68"/>
      <c r="BA5" s="68"/>
      <c r="BB5" s="68"/>
      <c r="BC5" s="68"/>
      <c r="BD5" s="68"/>
      <c r="BE5" s="68"/>
      <c r="BF5" s="68"/>
      <c r="BG5" s="68"/>
      <c r="BH5" s="68"/>
      <c r="BI5" s="68"/>
      <c r="BJ5" s="68"/>
      <c r="BK5" s="68"/>
      <c r="BL5" s="68"/>
    </row>
    <row r="6" spans="1:64" ht="11.65" customHeight="1">
      <c r="B6" s="167"/>
      <c r="C6" s="167"/>
      <c r="D6" s="167"/>
      <c r="E6" s="168"/>
      <c r="F6" s="167"/>
      <c r="G6" s="167"/>
      <c r="H6" s="167"/>
      <c r="I6" s="167"/>
      <c r="J6" s="167"/>
      <c r="K6" s="167"/>
      <c r="L6" s="167"/>
      <c r="M6" s="167"/>
      <c r="N6" s="19"/>
      <c r="O6" s="19"/>
    </row>
    <row r="7" spans="1:64" ht="12.6" customHeight="1">
      <c r="B7" s="19"/>
      <c r="C7" s="19"/>
      <c r="D7" s="19"/>
      <c r="E7" s="107"/>
      <c r="F7" s="19"/>
      <c r="G7" s="19"/>
      <c r="H7" s="19"/>
      <c r="I7" s="19"/>
      <c r="J7" s="19"/>
      <c r="K7" s="19"/>
      <c r="L7" s="19"/>
      <c r="M7" s="19"/>
      <c r="N7" s="19"/>
      <c r="O7" s="19"/>
    </row>
    <row r="8" spans="1:64" ht="18.95" customHeight="1">
      <c r="B8" s="111" t="s">
        <v>153</v>
      </c>
      <c r="C8" s="19"/>
      <c r="D8" s="107"/>
      <c r="E8" s="107"/>
      <c r="F8" s="19"/>
      <c r="G8" s="19"/>
      <c r="H8" s="19"/>
      <c r="I8" s="19"/>
      <c r="J8" s="19"/>
      <c r="K8" s="19"/>
      <c r="L8" s="19"/>
      <c r="M8" s="19"/>
      <c r="N8" s="19"/>
      <c r="O8" s="19"/>
    </row>
    <row r="9" spans="1:64" ht="30" customHeight="1">
      <c r="B9" s="264" t="s">
        <v>471</v>
      </c>
      <c r="C9" s="264"/>
      <c r="D9" s="264"/>
      <c r="E9" s="264"/>
      <c r="F9" s="264"/>
      <c r="G9" s="264"/>
      <c r="H9" s="264"/>
      <c r="I9" s="264"/>
      <c r="J9" s="264"/>
      <c r="K9" s="264"/>
      <c r="L9" s="264"/>
      <c r="M9" s="264"/>
      <c r="N9" s="19"/>
      <c r="O9" s="19"/>
    </row>
    <row r="10" spans="1:64" ht="17.100000000000001" customHeight="1" thickBot="1">
      <c r="B10" s="19"/>
      <c r="C10" s="19"/>
      <c r="D10" s="107"/>
      <c r="E10" s="107"/>
      <c r="K10" s="19"/>
      <c r="L10" s="19"/>
      <c r="M10" s="19"/>
      <c r="N10" s="19"/>
      <c r="O10" s="19"/>
      <c r="P10" s="19"/>
      <c r="Q10" s="19"/>
      <c r="R10" s="19"/>
      <c r="U10" s="19"/>
      <c r="V10" s="19"/>
      <c r="W10" s="19"/>
      <c r="X10" s="19"/>
      <c r="Y10" s="19"/>
    </row>
    <row r="11" spans="1:64" ht="25.35" customHeight="1">
      <c r="B11" s="262" t="s">
        <v>152</v>
      </c>
      <c r="C11" s="263"/>
      <c r="D11" s="28"/>
      <c r="E11" s="14"/>
      <c r="F11" s="160" t="s">
        <v>23</v>
      </c>
      <c r="G11" s="136" t="s">
        <v>359</v>
      </c>
      <c r="H11" s="161" t="s">
        <v>24</v>
      </c>
      <c r="I11" s="23"/>
      <c r="J11" s="160" t="s">
        <v>25</v>
      </c>
      <c r="K11" s="136" t="s">
        <v>359</v>
      </c>
      <c r="L11" s="161" t="s">
        <v>24</v>
      </c>
      <c r="M11" s="19"/>
      <c r="N11" s="19"/>
      <c r="O11" s="19"/>
      <c r="P11" s="19"/>
      <c r="Q11" s="19"/>
      <c r="R11" s="19"/>
      <c r="U11" s="19"/>
      <c r="V11" s="19"/>
      <c r="W11" s="19"/>
      <c r="X11" s="19"/>
      <c r="Y11" s="19"/>
    </row>
    <row r="12" spans="1:64" ht="12" customHeight="1">
      <c r="B12" s="143" t="s">
        <v>90</v>
      </c>
      <c r="C12" s="57" t="n">
        <f>COUNTIF($B$18:$B$3962,B12)</f>
        <v>50.0</v>
      </c>
      <c r="D12" s="28"/>
      <c r="E12" s="14"/>
      <c r="F12" s="62" t="s">
        <v>26</v>
      </c>
      <c r="G12" s="61" t="n">
        <f ca="1">J20+J58+J96+J134+J172+J210+J248+J286+J324+J362+J400+J438+J476+J514+J552+J590+J628+J666+J704+J742+J780+J818+J856+J894+J932+J970+J1008+J1046+J1084+J1122+J1160+J1198+J1236+J1274+J1312+J1350+J1388+J1426+J1464+J1502+J1540+J1578+J1616+J1654+J1692+J1730+J1768+J1806+J1844+J1882</f>
        <v>0.0</v>
      </c>
      <c r="H12" s="53" t="n">
        <f ca="1">IF(($G$15+$K$15)=0,0,G12/($G$15+$K$15))</f>
        <v>0.0</v>
      </c>
      <c r="I12" s="28"/>
      <c r="J12" s="60" t="s">
        <v>27</v>
      </c>
      <c r="K12" s="61" t="n">
        <f ca="1">G20+G58+G96+G134+G172+G210+G248+G286+G324+G362+G400+G438+G476+G514+G552+G590+G628+G666+G704+G742+G780+G818+G856+G894+G932+G970+G1008+G1046+G1084+G1122+G1160+G1198+G1236+G1274+G1312+G1350+G1388+G1426+G1464+G1502+G1540+G1578+G1616+G1654+G1692+G1730+G1768+G1806+G1844+G1882</f>
        <v>740.0</v>
      </c>
      <c r="L12" s="53" t="n">
        <f ca="1">IF(($G$15+$K$15)=0,0,K12/($G$15+$K$15))</f>
        <v>0.4484848484848485</v>
      </c>
      <c r="M12" s="19"/>
      <c r="N12" s="19"/>
      <c r="O12" s="19"/>
      <c r="P12" s="19"/>
      <c r="Q12" s="19"/>
      <c r="R12" s="19"/>
      <c r="U12" s="19"/>
      <c r="V12" s="19"/>
      <c r="W12" s="19"/>
      <c r="X12" s="19"/>
      <c r="Y12" s="19"/>
    </row>
    <row r="13" spans="1:64" ht="12" customHeight="1">
      <c r="B13" s="56"/>
      <c r="C13" s="57"/>
      <c r="D13" s="28"/>
      <c r="E13" s="14"/>
      <c r="F13" s="62" t="s">
        <v>28</v>
      </c>
      <c r="G13" s="61" t="n">
        <f ca="1">I20+I58+I96+I134+I172+I210+I248+I286+I324+I362+I400+I438+I476+I514+I552+I590+I628+I666+I704+I742+I780+I818+I856+I894+I932+I970+I1008+I1046+I1084+I1122+I1160+I1198+I1236+I1274+I1312+I1350+I1388+I1426+I1464+I1502+I1540+I1578+I1616+I1654+I1692+I1730+I1768+I1806+I1844+I1882</f>
        <v>52.0</v>
      </c>
      <c r="H13" s="53" t="n">
        <f ca="1">IF(($G$15+$K$15)=0,0,G13/($G$15+$K$15))</f>
        <v>0.03151515151515152</v>
      </c>
      <c r="I13" s="28"/>
      <c r="J13" s="60" t="s">
        <v>29</v>
      </c>
      <c r="K13" s="61" t="n">
        <f ca="1">F20+F58+F96+F134+F172+F210+F248+F286+F324+F362+F400+F438+F476+F514+F552+F590+F628+F666+F704+F742+F780+F818+F856+F894+F932+F970+F1008+F1046+F1084+F1122+F1160+F1198+F1236+F1274+F1312+F1350+F1388+F1426+F1464+F1502+F1540+F1578+F1616+F1654+F1692+F1730+F1768+F1806+F1844+F1882</f>
        <v>858.0</v>
      </c>
      <c r="L13" s="53" t="n">
        <f ca="1">IF(($G$15+$K$15)=0,0,K13/($G$15+$K$15))</f>
        <v>0.52</v>
      </c>
      <c r="M13" s="19"/>
      <c r="N13" s="19"/>
      <c r="O13" s="19"/>
      <c r="P13" s="19"/>
      <c r="Q13" s="19"/>
      <c r="R13" s="19"/>
      <c r="U13" s="19"/>
      <c r="V13" s="19"/>
      <c r="W13" s="19"/>
      <c r="X13" s="19"/>
      <c r="Y13" s="19"/>
    </row>
    <row r="14" spans="1:64" ht="12" customHeight="1" thickBot="1">
      <c r="B14" s="58" t="s">
        <v>30</v>
      </c>
      <c r="C14" s="59" t="n">
        <f>C12+C13</f>
        <v>50.0</v>
      </c>
      <c r="D14" s="28"/>
      <c r="E14" s="14"/>
      <c r="F14" s="62" t="s">
        <v>31</v>
      </c>
      <c r="G14" s="61" t="n">
        <f ca="1">H20+H58+H96+H134+H172+H210+H248+H286+H324+H362+H400+H438+H476+H514+H552+H590+H628+H666+H704+H742+H780+H818+H856+H894+H932+H970+H1008+H1046+H1084+H1122+H1160+H1198+H1236+H1274+H1312+H1350+H1388+H1426+H1464+H1502+H1540+H1578+H1616+H1654+H1692+H1730+H1768+H1806+H1844+H1882</f>
        <v>0.0</v>
      </c>
      <c r="H14" s="53" t="n">
        <f ca="1">IF(($G$15+$K$15)=0,0,G14/($G$15+$K$15))</f>
        <v>0.0</v>
      </c>
      <c r="I14" s="28"/>
      <c r="J14" s="231" t="s">
        <v>474</v>
      </c>
      <c r="K14" s="232" t="n">
        <f ca="1">K20+K58+K96+K134+K172+K210+K248+K286+K324+K362+K400+K438+K476+K514+K552+K590+K628+K666+K704+K742+K780+K818+K856+K894+K932+K970+K1008+K1046+K1084+K1122+K1160+K1198+K1236+K1274+K1312+K1350+K1388+K1426+K1464+K1502+K1540+K1578+K1616+K1654+K1692+K1730+K1768+K1806+K1844+K1882</f>
        <v>0.0</v>
      </c>
      <c r="L14" s="53" t="n">
        <f ca="1">IF(($G$15+$K$15)=0,0,K14/($G$15+$K$15))</f>
        <v>0.0</v>
      </c>
      <c r="M14" s="19"/>
      <c r="N14" s="19"/>
      <c r="O14" s="19"/>
      <c r="P14" s="19"/>
      <c r="Q14" s="19"/>
      <c r="R14" s="19"/>
      <c r="U14" s="19"/>
      <c r="V14" s="19"/>
      <c r="W14" s="19"/>
      <c r="X14" s="19"/>
      <c r="Y14" s="19"/>
    </row>
    <row r="15" spans="1:64" ht="12" customHeight="1" thickBot="1">
      <c r="B15" s="23"/>
      <c r="C15" s="28"/>
      <c r="D15" s="28"/>
      <c r="E15" s="14"/>
      <c r="F15" s="58" t="s">
        <v>30</v>
      </c>
      <c r="G15" s="49" t="n">
        <f ca="1">SUM(G12:G14)</f>
        <v>52.0</v>
      </c>
      <c r="H15" s="55" t="n">
        <f ca="1">SUM(H12:H14)</f>
        <v>0.03151515151515152</v>
      </c>
      <c r="I15" s="28"/>
      <c r="J15" s="58" t="s">
        <v>30</v>
      </c>
      <c r="K15" s="49" t="n">
        <f ca="1">SUM(K12:K13)</f>
        <v>1598.0</v>
      </c>
      <c r="L15" s="55" t="n">
        <f ca="1">SUM(L12:L13)</f>
        <v>0.9684848484848485</v>
      </c>
      <c r="M15" s="19"/>
      <c r="N15" s="19"/>
      <c r="O15" s="19"/>
      <c r="P15" s="19"/>
      <c r="Q15" s="19"/>
      <c r="R15" s="19"/>
      <c r="U15" s="19"/>
      <c r="V15" s="19"/>
      <c r="W15" s="19"/>
      <c r="X15" s="19"/>
      <c r="Y15" s="19"/>
    </row>
    <row r="16" spans="1:64" ht="12" customHeight="1">
      <c r="B16" s="19"/>
      <c r="C16" s="19"/>
      <c r="D16" s="28"/>
      <c r="E16" s="28"/>
      <c r="F16" s="28"/>
      <c r="G16" s="28"/>
      <c r="H16" s="28"/>
      <c r="I16" s="28"/>
      <c r="J16" s="28"/>
      <c r="K16" s="28"/>
      <c r="L16" s="19"/>
      <c r="M16" s="19"/>
      <c r="N16" s="19"/>
      <c r="O16" s="19"/>
      <c r="P16" s="19"/>
      <c r="Q16" s="19"/>
      <c r="R16" s="19"/>
      <c r="U16" s="19"/>
      <c r="V16" s="19"/>
      <c r="W16" s="19"/>
      <c r="X16" s="19"/>
      <c r="Y16" s="19"/>
    </row>
    <row r="17" spans="1:30" ht="12" customHeight="1">
      <c r="B17" s="19"/>
      <c r="C17" s="19"/>
      <c r="D17" s="107"/>
      <c r="E17" s="112"/>
      <c r="K17" s="19"/>
      <c r="L17" s="19"/>
      <c r="M17" s="19"/>
    </row>
    <row r="18" spans="1:30" ht="29.85" customHeight="1">
      <c r="A18" s="218" t="s">
        <v>268</v>
      </c>
      <c r="B18" s="24" t="s">
        <v>90</v>
      </c>
      <c r="C18" s="25" t="s">
        <v>373</v>
      </c>
      <c r="D18" s="26" t="s">
        <v>32</v>
      </c>
      <c r="K18" s="19"/>
      <c r="L18" s="19"/>
    </row>
    <row r="19" spans="1:30" ht="12" customHeight="1">
      <c r="A19" s="219" t="n" cm="1">
        <f t="array" ref="A19">IFERROR(INDEX('03.Muestra'!$B$8:$B$42,SMALL(IF("Página Web"='03.Muestra'!$D$8:$D$42,ROW('03.Muestra'!$B$8:$B$42)-MIN(ROW('03.Muestra'!$D$8:$D$42))+1,""),ROW()-18)),"")</f>
        <v>1.0</v>
      </c>
      <c r="B19" s="114" t="str" cm="1">
        <f t="array" ref="B19">IFERROR(INDEX('03.Muestra'!$C$8:$C$42,SMALL(IF("Página Web"='03.Muestra'!$D$8:$D$42,ROW('03.Muestra'!$C$8:$C$42)-MIN(ROW('03.Muestra'!$D$8:$D$42))+1,""),ROW()-18)),"")</f>
        <v>Home - PortCastelló</v>
      </c>
      <c r="C19" s="114" t="str" cm="1">
        <f t="array" ref="C19">IFERROR(INDEX('03.Muestra'!$F$8:$F$42,SMALL(IF("Página Web"='03.Muestra'!$D$8:$D$42,ROW('03.Muestra'!$F$8:$F$42)-MIN(ROW('03.Muestra'!$D$8:$D$42))+1,""),ROW()-18)),"")</f>
        <v>https://www.portcastello.com/</v>
      </c>
      <c r="D19" s="130" t="s">
        <v>37</v>
      </c>
      <c r="E19" s="107" t="str">
        <f t="shared" ref="E19:E53" si="0">IF(D19&lt;&gt;"",IF(AND(B19&lt;&gt;"",C19&lt;&gt;""),"","ERR"),"")</f>
        <v/>
      </c>
      <c r="F19" s="115" t="s">
        <v>33</v>
      </c>
      <c r="G19" s="116" t="s">
        <v>37</v>
      </c>
      <c r="H19" s="117" t="s">
        <v>35</v>
      </c>
      <c r="I19" s="118" t="s">
        <v>28</v>
      </c>
      <c r="J19" s="119" t="s">
        <v>26</v>
      </c>
      <c r="K19" s="226" t="s">
        <v>474</v>
      </c>
      <c r="L19" s="19"/>
    </row>
    <row r="20" spans="1:30" ht="12" customHeight="1">
      <c r="A20" s="219" t="n" cm="1">
        <f t="array" ref="A20">IFERROR(INDEX('03.Muestra'!$B$8:$B$42,SMALL(IF("Página Web"='03.Muestra'!$D$8:$D$42,ROW('03.Muestra'!$B$8:$B$42)-MIN(ROW('03.Muestra'!$D$8:$D$42))+1,""),ROW()-18)),"")</f>
        <v>1.0</v>
      </c>
      <c r="B20" s="114" t="str" cm="1">
        <f t="array" ref="B20">IFERROR(INDEX('03.Muestra'!$C$8:$C$42,SMALL(IF("Página Web"='03.Muestra'!$D$8:$D$42,ROW('03.Muestra'!$C$8:$C$42)-MIN(ROW('03.Muestra'!$D$8:$D$42))+1,""),ROW()-18)),"")</f>
        <v>Home - PortCastelló</v>
      </c>
      <c r="C20" s="114" t="str" cm="1">
        <f t="array" ref="C20">IFERROR(INDEX('03.Muestra'!$F$8:$F$42,SMALL(IF("Página Web"='03.Muestra'!$D$8:$D$42,ROW('03.Muestra'!$F$8:$F$42)-MIN(ROW('03.Muestra'!$D$8:$D$42))+1,""),ROW()-18)),"")</f>
        <v>https://www.portcastello.com/</v>
      </c>
      <c r="D20" s="130" t="s">
        <v>37</v>
      </c>
      <c r="E20" s="107" t="str">
        <f t="shared" si="0"/>
        <v/>
      </c>
      <c r="F20" s="120" t="n">
        <f ca="1">COUNTIF($D19:INDIRECT("$D" &amp;  SUM(ROW()-1,'03.Muestra'!$D$45)-1),F19)</f>
        <v>0.0</v>
      </c>
      <c r="G20" s="120" t="n">
        <f ca="1">COUNTIF($D19:INDIRECT("$D" &amp;  SUM(ROW()-1,'03.Muestra'!$D$45)-1),G19)</f>
        <v>33.0</v>
      </c>
      <c r="H20" s="120" t="n">
        <f ca="1">COUNTIF($D19:INDIRECT("$D" &amp;  SUM(ROW()-1,'03.Muestra'!$D$45)-1),H19)</f>
        <v>0.0</v>
      </c>
      <c r="I20" s="120" t="n">
        <f ca="1">COUNTIF($D19:INDIRECT("$D" &amp;  SUM(ROW()-1,'03.Muestra'!$D$45)-1),I19)</f>
        <v>0.0</v>
      </c>
      <c r="J20" s="120" t="n">
        <f ca="1">COUNTIF($D19:INDIRECT("$D" &amp;  SUM(ROW()-1,'03.Muestra'!$D$45)-1),J19)</f>
        <v>0.0</v>
      </c>
      <c r="K20" s="227" t="n">
        <f ca="1">IF(COUNTIF('03.Muestra'!$D$8:$D$42,"Página Web")=0,0,COUNTBLANK($D19:INDIRECT("$D" &amp;  SUM(ROW()-1,COUNTIF('03.Muestra'!$D$8:$D$42,"Página Web"))-1)))</f>
        <v>0.0</v>
      </c>
      <c r="L20" s="19"/>
    </row>
    <row r="21" spans="1:30" ht="12" customHeight="1">
      <c r="A21" s="219" t="n" cm="1">
        <f t="array" ref="A21">IFERROR(INDEX('03.Muestra'!$B$8:$B$42,SMALL(IF("Página Web"='03.Muestra'!$D$8:$D$42,ROW('03.Muestra'!$B$8:$B$42)-MIN(ROW('03.Muestra'!$D$8:$D$42))+1,""),ROW()-18)),"")</f>
        <v>1.0</v>
      </c>
      <c r="B21" s="114" t="str" cm="1">
        <f t="array" ref="B21">IFERROR(INDEX('03.Muestra'!$C$8:$C$42,SMALL(IF("Página Web"='03.Muestra'!$D$8:$D$42,ROW('03.Muestra'!$C$8:$C$42)-MIN(ROW('03.Muestra'!$D$8:$D$42))+1,""),ROW()-18)),"")</f>
        <v>Home - PortCastelló</v>
      </c>
      <c r="C21" s="114" t="str" cm="1">
        <f t="array" ref="C21">IFERROR(INDEX('03.Muestra'!$F$8:$F$42,SMALL(IF("Página Web"='03.Muestra'!$D$8:$D$42,ROW('03.Muestra'!$F$8:$F$42)-MIN(ROW('03.Muestra'!$D$8:$D$42))+1,""),ROW()-18)),"")</f>
        <v>https://www.portcastello.com/</v>
      </c>
      <c r="D21" s="130" t="s">
        <v>37</v>
      </c>
      <c r="E21" s="107" t="str">
        <f t="shared" si="0"/>
        <v/>
      </c>
      <c r="F21" s="19"/>
      <c r="G21" s="19"/>
      <c r="H21" s="19"/>
      <c r="I21" s="19"/>
      <c r="J21" s="19"/>
      <c r="K21" s="19"/>
    </row>
    <row r="22" spans="1:30" ht="12" customHeight="1">
      <c r="A22" s="219" t="n" cm="1">
        <f t="array" ref="A22">IFERROR(INDEX('03.Muestra'!$B$8:$B$42,SMALL(IF("Página Web"='03.Muestra'!$D$8:$D$42,ROW('03.Muestra'!$B$8:$B$42)-MIN(ROW('03.Muestra'!$D$8:$D$42))+1,""),ROW()-18)),"")</f>
        <v>1.0</v>
      </c>
      <c r="B22" s="114" t="str" cm="1">
        <f t="array" ref="B22">IFERROR(INDEX('03.Muestra'!$C$8:$C$42,SMALL(IF("Página Web"='03.Muestra'!$D$8:$D$42,ROW('03.Muestra'!$C$8:$C$42)-MIN(ROW('03.Muestra'!$D$8:$D$42))+1,""),ROW()-18)),"")</f>
        <v>Home - PortCastelló</v>
      </c>
      <c r="C22" s="114" t="str" cm="1">
        <f t="array" ref="C22">IFERROR(INDEX('03.Muestra'!$F$8:$F$42,SMALL(IF("Página Web"='03.Muestra'!$D$8:$D$42,ROW('03.Muestra'!$F$8:$F$42)-MIN(ROW('03.Muestra'!$D$8:$D$42))+1,""),ROW()-18)),"")</f>
        <v>https://www.portcastello.com/</v>
      </c>
      <c r="D22" s="130" t="s">
        <v>37</v>
      </c>
      <c r="E22" s="107" t="str">
        <f t="shared" si="0"/>
        <v/>
      </c>
      <c r="F22" s="19"/>
      <c r="G22" s="19"/>
      <c r="H22" s="19"/>
      <c r="I22" s="19"/>
      <c r="K22" s="214" t="s">
        <v>33</v>
      </c>
      <c r="L22" s="121" t="s">
        <v>34</v>
      </c>
    </row>
    <row r="23" spans="1:30" ht="12" customHeight="1">
      <c r="A23" s="219" t="n" cm="1">
        <f t="array" ref="A23">IFERROR(INDEX('03.Muestra'!$B$8:$B$42,SMALL(IF("Página Web"='03.Muestra'!$D$8:$D$42,ROW('03.Muestra'!$B$8:$B$42)-MIN(ROW('03.Muestra'!$D$8:$D$42))+1,""),ROW()-18)),"")</f>
        <v>1.0</v>
      </c>
      <c r="B23" s="114" t="str" cm="1">
        <f t="array" ref="B23">IFERROR(INDEX('03.Muestra'!$C$8:$C$42,SMALL(IF("Página Web"='03.Muestra'!$D$8:$D$42,ROW('03.Muestra'!$C$8:$C$42)-MIN(ROW('03.Muestra'!$D$8:$D$42))+1,""),ROW()-18)),"")</f>
        <v>Home - PortCastelló</v>
      </c>
      <c r="C23" s="114" t="str" cm="1">
        <f t="array" ref="C23">IFERROR(INDEX('03.Muestra'!$F$8:$F$42,SMALL(IF("Página Web"='03.Muestra'!$D$8:$D$42,ROW('03.Muestra'!$F$8:$F$42)-MIN(ROW('03.Muestra'!$D$8:$D$42))+1,""),ROW()-18)),"")</f>
        <v>https://www.portcastello.com/</v>
      </c>
      <c r="D23" s="130" t="s">
        <v>37</v>
      </c>
      <c r="E23" s="107" t="str">
        <f t="shared" si="0"/>
        <v/>
      </c>
      <c r="F23" s="122"/>
      <c r="G23" s="19"/>
      <c r="H23" s="19"/>
      <c r="I23" s="19"/>
      <c r="K23" s="117" t="s">
        <v>35</v>
      </c>
      <c r="L23" s="121" t="s">
        <v>36</v>
      </c>
    </row>
    <row r="24" spans="1:30" ht="12" customHeight="1">
      <c r="A24" s="219" t="n" cm="1">
        <f t="array" ref="A24">IFERROR(INDEX('03.Muestra'!$B$8:$B$42,SMALL(IF("Página Web"='03.Muestra'!$D$8:$D$42,ROW('03.Muestra'!$B$8:$B$42)-MIN(ROW('03.Muestra'!$D$8:$D$42))+1,""),ROW()-18)),"")</f>
        <v>1.0</v>
      </c>
      <c r="B24" s="114" t="str" cm="1">
        <f t="array" ref="B24">IFERROR(INDEX('03.Muestra'!$C$8:$C$42,SMALL(IF("Página Web"='03.Muestra'!$D$8:$D$42,ROW('03.Muestra'!$C$8:$C$42)-MIN(ROW('03.Muestra'!$D$8:$D$42))+1,""),ROW()-18)),"")</f>
        <v>Home - PortCastelló</v>
      </c>
      <c r="C24" s="114" t="str" cm="1">
        <f t="array" ref="C24">IFERROR(INDEX('03.Muestra'!$F$8:$F$42,SMALL(IF("Página Web"='03.Muestra'!$D$8:$D$42,ROW('03.Muestra'!$F$8:$F$42)-MIN(ROW('03.Muestra'!$D$8:$D$42))+1,""),ROW()-18)),"")</f>
        <v>https://www.portcastello.com/</v>
      </c>
      <c r="D24" s="130" t="s">
        <v>37</v>
      </c>
      <c r="E24" s="107" t="str">
        <f t="shared" si="0"/>
        <v/>
      </c>
      <c r="F24" s="19"/>
      <c r="G24" s="19"/>
      <c r="H24" s="19"/>
      <c r="I24" s="19"/>
      <c r="K24" s="116" t="s">
        <v>37</v>
      </c>
      <c r="L24" s="121" t="s">
        <v>38</v>
      </c>
      <c r="AD24" s="19"/>
    </row>
    <row r="25" spans="1:30" ht="12" customHeight="1">
      <c r="A25" s="219" t="n" cm="1">
        <f t="array" ref="A25">IFERROR(INDEX('03.Muestra'!$B$8:$B$42,SMALL(IF("Página Web"='03.Muestra'!$D$8:$D$42,ROW('03.Muestra'!$B$8:$B$42)-MIN(ROW('03.Muestra'!$D$8:$D$42))+1,""),ROW()-18)),"")</f>
        <v>1.0</v>
      </c>
      <c r="B25" s="114" t="str" cm="1">
        <f t="array" ref="B25">IFERROR(INDEX('03.Muestra'!$C$8:$C$42,SMALL(IF("Página Web"='03.Muestra'!$D$8:$D$42,ROW('03.Muestra'!$C$8:$C$42)-MIN(ROW('03.Muestra'!$D$8:$D$42))+1,""),ROW()-18)),"")</f>
        <v>Home - PortCastelló</v>
      </c>
      <c r="C25" s="114" t="str" cm="1">
        <f t="array" ref="C25">IFERROR(INDEX('03.Muestra'!$F$8:$F$42,SMALL(IF("Página Web"='03.Muestra'!$D$8:$D$42,ROW('03.Muestra'!$F$8:$F$42)-MIN(ROW('03.Muestra'!$D$8:$D$42))+1,""),ROW()-18)),"")</f>
        <v>https://www.portcastello.com/</v>
      </c>
      <c r="D25" s="130" t="s">
        <v>37</v>
      </c>
      <c r="E25" s="107" t="str">
        <f t="shared" si="0"/>
        <v/>
      </c>
      <c r="F25" s="19"/>
      <c r="G25" s="19"/>
      <c r="H25" s="19"/>
      <c r="I25" s="19"/>
      <c r="J25" s="19"/>
      <c r="L25" s="121"/>
      <c r="AD25" s="19"/>
    </row>
    <row r="26" spans="1:30" ht="12" customHeight="1">
      <c r="A26" s="219" t="n" cm="1">
        <f t="array" ref="A26">IFERROR(INDEX('03.Muestra'!$B$8:$B$42,SMALL(IF("Página Web"='03.Muestra'!$D$8:$D$42,ROW('03.Muestra'!$B$8:$B$42)-MIN(ROW('03.Muestra'!$D$8:$D$42))+1,""),ROW()-18)),"")</f>
        <v>1.0</v>
      </c>
      <c r="B26" s="114" t="str" cm="1">
        <f t="array" ref="B26">IFERROR(INDEX('03.Muestra'!$C$8:$C$42,SMALL(IF("Página Web"='03.Muestra'!$D$8:$D$42,ROW('03.Muestra'!$C$8:$C$42)-MIN(ROW('03.Muestra'!$D$8:$D$42))+1,""),ROW()-18)),"")</f>
        <v>Home - PortCastelló</v>
      </c>
      <c r="C26" s="114" t="str" cm="1">
        <f t="array" ref="C26">IFERROR(INDEX('03.Muestra'!$F$8:$F$42,SMALL(IF("Página Web"='03.Muestra'!$D$8:$D$42,ROW('03.Muestra'!$F$8:$F$42)-MIN(ROW('03.Muestra'!$D$8:$D$42))+1,""),ROW()-18)),"")</f>
        <v>https://www.portcastello.com/</v>
      </c>
      <c r="D26" s="130" t="s">
        <v>37</v>
      </c>
      <c r="E26" s="107" t="str">
        <f t="shared" si="0"/>
        <v/>
      </c>
      <c r="F26" s="19"/>
      <c r="G26" s="19"/>
      <c r="H26" s="19"/>
      <c r="I26" s="19"/>
      <c r="J26" s="19"/>
      <c r="K26" s="19"/>
      <c r="L26" s="19"/>
      <c r="AD26" s="19"/>
    </row>
    <row r="27" spans="1:30" ht="12" customHeight="1">
      <c r="A27" s="219" t="n" cm="1">
        <f t="array" ref="A27">IFERROR(INDEX('03.Muestra'!$B$8:$B$42,SMALL(IF("Página Web"='03.Muestra'!$D$8:$D$42,ROW('03.Muestra'!$B$8:$B$42)-MIN(ROW('03.Muestra'!$D$8:$D$42))+1,""),ROW()-18)),"")</f>
        <v>1.0</v>
      </c>
      <c r="B27" s="114" t="str" cm="1">
        <f t="array" ref="B27">IFERROR(INDEX('03.Muestra'!$C$8:$C$42,SMALL(IF("Página Web"='03.Muestra'!$D$8:$D$42,ROW('03.Muestra'!$C$8:$C$42)-MIN(ROW('03.Muestra'!$D$8:$D$42))+1,""),ROW()-18)),"")</f>
        <v>Home - PortCastelló</v>
      </c>
      <c r="C27" s="114" t="str" cm="1">
        <f t="array" ref="C27">IFERROR(INDEX('03.Muestra'!$F$8:$F$42,SMALL(IF("Página Web"='03.Muestra'!$D$8:$D$42,ROW('03.Muestra'!$F$8:$F$42)-MIN(ROW('03.Muestra'!$D$8:$D$42))+1,""),ROW()-18)),"")</f>
        <v>https://www.portcastello.com/</v>
      </c>
      <c r="D27" s="130" t="s">
        <v>37</v>
      </c>
      <c r="E27" s="107" t="str">
        <f t="shared" si="0"/>
        <v/>
      </c>
      <c r="F27" s="19"/>
      <c r="G27" s="19"/>
      <c r="H27" s="19"/>
      <c r="I27" s="19"/>
      <c r="J27" s="19"/>
      <c r="Q27" s="19"/>
      <c r="R27" s="19"/>
      <c r="S27" s="19"/>
      <c r="T27" s="19"/>
      <c r="U27" s="19"/>
      <c r="AD27" s="19"/>
    </row>
    <row r="28" spans="1:30" ht="12" customHeight="1">
      <c r="A28" s="219" t="n" cm="1">
        <f t="array" ref="A28">IFERROR(INDEX('03.Muestra'!$B$8:$B$42,SMALL(IF("Página Web"='03.Muestra'!$D$8:$D$42,ROW('03.Muestra'!$B$8:$B$42)-MIN(ROW('03.Muestra'!$D$8:$D$42))+1,""),ROW()-18)),"")</f>
        <v>1.0</v>
      </c>
      <c r="B28" s="114" t="str" cm="1">
        <f t="array" ref="B28">IFERROR(INDEX('03.Muestra'!$C$8:$C$42,SMALL(IF("Página Web"='03.Muestra'!$D$8:$D$42,ROW('03.Muestra'!$C$8:$C$42)-MIN(ROW('03.Muestra'!$D$8:$D$42))+1,""),ROW()-18)),"")</f>
        <v>Home - PortCastelló</v>
      </c>
      <c r="C28" s="114" t="str" cm="1">
        <f t="array" ref="C28">IFERROR(INDEX('03.Muestra'!$F$8:$F$42,SMALL(IF("Página Web"='03.Muestra'!$D$8:$D$42,ROW('03.Muestra'!$F$8:$F$42)-MIN(ROW('03.Muestra'!$D$8:$D$42))+1,""),ROW()-18)),"")</f>
        <v>https://www.portcastello.com/</v>
      </c>
      <c r="D28" s="130" t="s">
        <v>37</v>
      </c>
      <c r="E28" s="107" t="str">
        <f t="shared" si="0"/>
        <v/>
      </c>
      <c r="F28" s="19"/>
      <c r="G28" s="19"/>
      <c r="H28" s="19"/>
      <c r="I28" s="19"/>
      <c r="J28" s="19"/>
      <c r="N28" s="19"/>
      <c r="O28" s="19"/>
      <c r="P28" s="19"/>
      <c r="Q28" s="19"/>
      <c r="R28" s="19"/>
      <c r="S28" s="19"/>
      <c r="T28" s="19"/>
      <c r="U28" s="19"/>
      <c r="AD28" s="19"/>
    </row>
    <row r="29" spans="1:30" ht="12" customHeight="1">
      <c r="A29" s="219" t="n" cm="1">
        <f t="array" ref="A29">IFERROR(INDEX('03.Muestra'!$B$8:$B$42,SMALL(IF("Página Web"='03.Muestra'!$D$8:$D$42,ROW('03.Muestra'!$B$8:$B$42)-MIN(ROW('03.Muestra'!$D$8:$D$42))+1,""),ROW()-18)),"")</f>
        <v>1.0</v>
      </c>
      <c r="B29" s="114" t="str" cm="1">
        <f t="array" ref="B29">IFERROR(INDEX('03.Muestra'!$C$8:$C$42,SMALL(IF("Página Web"='03.Muestra'!$D$8:$D$42,ROW('03.Muestra'!$C$8:$C$42)-MIN(ROW('03.Muestra'!$D$8:$D$42))+1,""),ROW()-18)),"")</f>
        <v>Home - PortCastelló</v>
      </c>
      <c r="C29" s="114" t="str" cm="1">
        <f t="array" ref="C29">IFERROR(INDEX('03.Muestra'!$F$8:$F$42,SMALL(IF("Página Web"='03.Muestra'!$D$8:$D$42,ROW('03.Muestra'!$F$8:$F$42)-MIN(ROW('03.Muestra'!$D$8:$D$42))+1,""),ROW()-18)),"")</f>
        <v>https://www.portcastello.com/</v>
      </c>
      <c r="D29" s="130" t="s">
        <v>37</v>
      </c>
      <c r="E29" s="107" t="str">
        <f t="shared" si="0"/>
        <v/>
      </c>
      <c r="F29" s="19"/>
      <c r="G29" s="19"/>
      <c r="H29" s="19"/>
      <c r="I29" s="19"/>
      <c r="J29" s="19"/>
      <c r="P29" s="19"/>
      <c r="Q29" s="121"/>
      <c r="R29" s="121"/>
      <c r="S29" s="19"/>
      <c r="T29" s="19"/>
      <c r="U29" s="19"/>
      <c r="V29" s="19"/>
      <c r="W29" s="19"/>
      <c r="X29" s="19"/>
      <c r="Y29" s="19"/>
    </row>
    <row r="30" spans="1:30" ht="12" customHeight="1">
      <c r="A30" s="219" t="n" cm="1">
        <f t="array" ref="A30">IFERROR(INDEX('03.Muestra'!$B$8:$B$42,SMALL(IF("Página Web"='03.Muestra'!$D$8:$D$42,ROW('03.Muestra'!$B$8:$B$42)-MIN(ROW('03.Muestra'!$D$8:$D$42))+1,""),ROW()-18)),"")</f>
        <v>1.0</v>
      </c>
      <c r="B30" s="114" t="str" cm="1">
        <f t="array" ref="B30">IFERROR(INDEX('03.Muestra'!$C$8:$C$42,SMALL(IF("Página Web"='03.Muestra'!$D$8:$D$42,ROW('03.Muestra'!$C$8:$C$42)-MIN(ROW('03.Muestra'!$D$8:$D$42))+1,""),ROW()-18)),"")</f>
        <v>Home - PortCastelló</v>
      </c>
      <c r="C30" s="114" t="str" cm="1">
        <f t="array" ref="C30">IFERROR(INDEX('03.Muestra'!$F$8:$F$42,SMALL(IF("Página Web"='03.Muestra'!$D$8:$D$42,ROW('03.Muestra'!$F$8:$F$42)-MIN(ROW('03.Muestra'!$D$8:$D$42))+1,""),ROW()-18)),"")</f>
        <v>https://www.portcastello.com/</v>
      </c>
      <c r="D30" s="130" t="s">
        <v>37</v>
      </c>
      <c r="E30" s="107" t="str">
        <f t="shared" si="0"/>
        <v/>
      </c>
      <c r="F30" s="19"/>
      <c r="G30" s="19"/>
      <c r="H30" s="19"/>
      <c r="I30" s="19"/>
      <c r="J30" s="19"/>
      <c r="K30" s="19"/>
      <c r="L30" s="19"/>
      <c r="O30" s="19"/>
      <c r="P30" s="19"/>
      <c r="Q30" s="19"/>
      <c r="R30" s="19"/>
      <c r="S30" s="19"/>
      <c r="T30" s="19"/>
      <c r="U30" s="19"/>
      <c r="V30" s="19"/>
      <c r="W30" s="19"/>
      <c r="X30" s="19"/>
      <c r="Y30" s="19"/>
    </row>
    <row r="31" spans="1:30" ht="12" customHeight="1">
      <c r="A31" s="219" t="n" cm="1">
        <f t="array" ref="A31">IFERROR(INDEX('03.Muestra'!$B$8:$B$42,SMALL(IF("Página Web"='03.Muestra'!$D$8:$D$42,ROW('03.Muestra'!$B$8:$B$42)-MIN(ROW('03.Muestra'!$D$8:$D$42))+1,""),ROW()-18)),"")</f>
        <v>1.0</v>
      </c>
      <c r="B31" s="114" t="str" cm="1">
        <f t="array" ref="B31">IFERROR(INDEX('03.Muestra'!$C$8:$C$42,SMALL(IF("Página Web"='03.Muestra'!$D$8:$D$42,ROW('03.Muestra'!$C$8:$C$42)-MIN(ROW('03.Muestra'!$D$8:$D$42))+1,""),ROW()-18)),"")</f>
        <v>Home - PortCastelló</v>
      </c>
      <c r="C31" s="114" t="str" cm="1">
        <f t="array" ref="C31">IFERROR(INDEX('03.Muestra'!$F$8:$F$42,SMALL(IF("Página Web"='03.Muestra'!$D$8:$D$42,ROW('03.Muestra'!$F$8:$F$42)-MIN(ROW('03.Muestra'!$D$8:$D$42))+1,""),ROW()-18)),"")</f>
        <v>https://www.portcastello.com/</v>
      </c>
      <c r="D31" s="130" t="s">
        <v>37</v>
      </c>
      <c r="E31" s="107" t="str">
        <f t="shared" si="0"/>
        <v/>
      </c>
      <c r="F31" s="19"/>
      <c r="G31" s="19"/>
      <c r="H31" s="19"/>
      <c r="I31" s="19"/>
      <c r="J31" s="19"/>
      <c r="K31" s="19"/>
      <c r="L31" s="19"/>
      <c r="O31" s="19"/>
      <c r="P31" s="19"/>
      <c r="Q31" s="19"/>
      <c r="R31" s="19"/>
      <c r="S31" s="19"/>
      <c r="T31" s="19"/>
      <c r="U31" s="19"/>
      <c r="V31" s="19"/>
      <c r="W31" s="19"/>
      <c r="X31" s="19"/>
      <c r="Y31" s="19"/>
    </row>
    <row r="32" spans="1:30" ht="12" customHeight="1">
      <c r="A32" s="219" t="n" cm="1">
        <f t="array" ref="A32">IFERROR(INDEX('03.Muestra'!$B$8:$B$42,SMALL(IF("Página Web"='03.Muestra'!$D$8:$D$42,ROW('03.Muestra'!$B$8:$B$42)-MIN(ROW('03.Muestra'!$D$8:$D$42))+1,""),ROW()-18)),"")</f>
        <v>1.0</v>
      </c>
      <c r="B32" s="114" t="str" cm="1">
        <f t="array" ref="B32">IFERROR(INDEX('03.Muestra'!$C$8:$C$42,SMALL(IF("Página Web"='03.Muestra'!$D$8:$D$42,ROW('03.Muestra'!$C$8:$C$42)-MIN(ROW('03.Muestra'!$D$8:$D$42))+1,""),ROW()-18)),"")</f>
        <v>Home - PortCastelló</v>
      </c>
      <c r="C32" s="114" t="str" cm="1">
        <f t="array" ref="C32">IFERROR(INDEX('03.Muestra'!$F$8:$F$42,SMALL(IF("Página Web"='03.Muestra'!$D$8:$D$42,ROW('03.Muestra'!$F$8:$F$42)-MIN(ROW('03.Muestra'!$D$8:$D$42))+1,""),ROW()-18)),"")</f>
        <v>https://www.portcastello.com/</v>
      </c>
      <c r="D32" s="130" t="s">
        <v>37</v>
      </c>
      <c r="E32" s="107" t="str">
        <f t="shared" si="0"/>
        <v/>
      </c>
      <c r="F32" s="19"/>
      <c r="G32" s="19"/>
      <c r="H32" s="19"/>
      <c r="I32" s="19"/>
      <c r="J32" s="19"/>
      <c r="K32" s="19"/>
      <c r="L32" s="19"/>
      <c r="O32" s="19"/>
      <c r="P32" s="19"/>
      <c r="Q32" s="19"/>
      <c r="R32" s="19"/>
      <c r="S32" s="19"/>
      <c r="T32" s="19"/>
      <c r="U32" s="19"/>
      <c r="V32" s="19"/>
      <c r="W32" s="19"/>
      <c r="X32" s="19"/>
      <c r="Y32" s="19"/>
    </row>
    <row r="33" spans="1:25" ht="12" customHeight="1">
      <c r="A33" s="219" t="n" cm="1">
        <f t="array" ref="A33">IFERROR(INDEX('03.Muestra'!$B$8:$B$42,SMALL(IF("Página Web"='03.Muestra'!$D$8:$D$42,ROW('03.Muestra'!$B$8:$B$42)-MIN(ROW('03.Muestra'!$D$8:$D$42))+1,""),ROW()-18)),"")</f>
        <v>1.0</v>
      </c>
      <c r="B33" s="114" t="str" cm="1">
        <f t="array" ref="B33">IFERROR(INDEX('03.Muestra'!$C$8:$C$42,SMALL(IF("Página Web"='03.Muestra'!$D$8:$D$42,ROW('03.Muestra'!$C$8:$C$42)-MIN(ROW('03.Muestra'!$D$8:$D$42))+1,""),ROW()-18)),"")</f>
        <v>Home - PortCastelló</v>
      </c>
      <c r="C33" s="114" t="str" cm="1">
        <f t="array" ref="C33">IFERROR(INDEX('03.Muestra'!$F$8:$F$42,SMALL(IF("Página Web"='03.Muestra'!$D$8:$D$42,ROW('03.Muestra'!$F$8:$F$42)-MIN(ROW('03.Muestra'!$D$8:$D$42))+1,""),ROW()-18)),"")</f>
        <v>https://www.portcastello.com/</v>
      </c>
      <c r="D33" s="130" t="s">
        <v>37</v>
      </c>
      <c r="E33" s="107" t="str">
        <f t="shared" si="0"/>
        <v/>
      </c>
      <c r="F33" s="19"/>
      <c r="G33" s="19"/>
      <c r="H33" s="19"/>
      <c r="I33" s="19"/>
      <c r="J33" s="19"/>
      <c r="K33" s="19"/>
      <c r="L33" s="19"/>
      <c r="N33" s="19"/>
      <c r="O33" s="19"/>
      <c r="P33" s="19"/>
      <c r="Q33" s="19"/>
      <c r="R33" s="19"/>
      <c r="S33" s="19"/>
      <c r="T33" s="19"/>
      <c r="U33" s="19"/>
      <c r="V33" s="19"/>
      <c r="W33" s="19"/>
      <c r="X33" s="19"/>
      <c r="Y33" s="19"/>
    </row>
    <row r="34" spans="1:25" ht="12" customHeight="1">
      <c r="A34" s="219" t="n" cm="1">
        <f t="array" ref="A34">IFERROR(INDEX('03.Muestra'!$B$8:$B$42,SMALL(IF("Página Web"='03.Muestra'!$D$8:$D$42,ROW('03.Muestra'!$B$8:$B$42)-MIN(ROW('03.Muestra'!$D$8:$D$42))+1,""),ROW()-18)),"")</f>
        <v>1.0</v>
      </c>
      <c r="B34" s="114" t="str" cm="1">
        <f t="array" ref="B34">IFERROR(INDEX('03.Muestra'!$C$8:$C$42,SMALL(IF("Página Web"='03.Muestra'!$D$8:$D$42,ROW('03.Muestra'!$C$8:$C$42)-MIN(ROW('03.Muestra'!$D$8:$D$42))+1,""),ROW()-18)),"")</f>
        <v>Home - PortCastelló</v>
      </c>
      <c r="C34" s="114" t="str" cm="1">
        <f t="array" ref="C34">IFERROR(INDEX('03.Muestra'!$F$8:$F$42,SMALL(IF("Página Web"='03.Muestra'!$D$8:$D$42,ROW('03.Muestra'!$F$8:$F$42)-MIN(ROW('03.Muestra'!$D$8:$D$42))+1,""),ROW()-18)),"")</f>
        <v>https://www.portcastello.com/</v>
      </c>
      <c r="D34" s="130" t="s">
        <v>37</v>
      </c>
      <c r="E34" s="107" t="str">
        <f t="shared" si="0"/>
        <v/>
      </c>
      <c r="F34" s="19"/>
      <c r="G34" s="19"/>
      <c r="H34" s="19"/>
      <c r="I34" s="19"/>
      <c r="J34" s="19"/>
      <c r="K34" s="19"/>
      <c r="W34" s="19"/>
      <c r="X34" s="19"/>
      <c r="Y34" s="19"/>
    </row>
    <row r="35" spans="1:25" ht="12" customHeight="1">
      <c r="A35" s="219" t="n" cm="1">
        <f t="array" ref="A35">IFERROR(INDEX('03.Muestra'!$B$8:$B$42,SMALL(IF("Página Web"='03.Muestra'!$D$8:$D$42,ROW('03.Muestra'!$B$8:$B$42)-MIN(ROW('03.Muestra'!$D$8:$D$42))+1,""),ROW()-18)),"")</f>
        <v>1.0</v>
      </c>
      <c r="B35" s="114" t="str" cm="1">
        <f t="array" ref="B35">IFERROR(INDEX('03.Muestra'!$C$8:$C$42,SMALL(IF("Página Web"='03.Muestra'!$D$8:$D$42,ROW('03.Muestra'!$C$8:$C$42)-MIN(ROW('03.Muestra'!$D$8:$D$42))+1,""),ROW()-18)),"")</f>
        <v>Home - PortCastelló</v>
      </c>
      <c r="C35" s="114" t="str" cm="1">
        <f t="array" ref="C35">IFERROR(INDEX('03.Muestra'!$F$8:$F$42,SMALL(IF("Página Web"='03.Muestra'!$D$8:$D$42,ROW('03.Muestra'!$F$8:$F$42)-MIN(ROW('03.Muestra'!$D$8:$D$42))+1,""),ROW()-18)),"")</f>
        <v>https://www.portcastello.com/</v>
      </c>
      <c r="D35" s="130" t="s">
        <v>37</v>
      </c>
      <c r="E35" s="107" t="str">
        <f t="shared" si="0"/>
        <v/>
      </c>
      <c r="F35" s="19"/>
      <c r="G35" s="19"/>
      <c r="H35" s="19"/>
      <c r="I35" s="19"/>
      <c r="J35" s="19"/>
      <c r="K35" s="19"/>
      <c r="W35" s="19"/>
      <c r="X35" s="19"/>
      <c r="Y35" s="19"/>
    </row>
    <row r="36" spans="1:25" ht="12" customHeight="1">
      <c r="A36" s="219" t="n" cm="1">
        <f t="array" ref="A36">IFERROR(INDEX('03.Muestra'!$B$8:$B$42,SMALL(IF("Página Web"='03.Muestra'!$D$8:$D$42,ROW('03.Muestra'!$B$8:$B$42)-MIN(ROW('03.Muestra'!$D$8:$D$42))+1,""),ROW()-18)),"")</f>
        <v>1.0</v>
      </c>
      <c r="B36" s="114" t="str" cm="1">
        <f t="array" ref="B36">IFERROR(INDEX('03.Muestra'!$C$8:$C$42,SMALL(IF("Página Web"='03.Muestra'!$D$8:$D$42,ROW('03.Muestra'!$C$8:$C$42)-MIN(ROW('03.Muestra'!$D$8:$D$42))+1,""),ROW()-18)),"")</f>
        <v>Home - PortCastelló</v>
      </c>
      <c r="C36" s="114" t="str" cm="1">
        <f t="array" ref="C36">IFERROR(INDEX('03.Muestra'!$F$8:$F$42,SMALL(IF("Página Web"='03.Muestra'!$D$8:$D$42,ROW('03.Muestra'!$F$8:$F$42)-MIN(ROW('03.Muestra'!$D$8:$D$42))+1,""),ROW()-18)),"")</f>
        <v>https://www.portcastello.com/</v>
      </c>
      <c r="D36" s="130" t="s">
        <v>37</v>
      </c>
      <c r="E36" s="107" t="str">
        <f t="shared" si="0"/>
        <v/>
      </c>
      <c r="F36" s="19"/>
      <c r="G36" s="19"/>
      <c r="H36" s="19"/>
      <c r="I36" s="19"/>
      <c r="J36" s="19"/>
      <c r="K36" s="19"/>
      <c r="W36" s="19"/>
      <c r="X36" s="19"/>
      <c r="Y36" s="19"/>
    </row>
    <row r="37" spans="1:25" ht="12" customHeight="1">
      <c r="A37" s="219" t="n" cm="1">
        <f t="array" ref="A37">IFERROR(INDEX('03.Muestra'!$B$8:$B$42,SMALL(IF("Página Web"='03.Muestra'!$D$8:$D$42,ROW('03.Muestra'!$B$8:$B$42)-MIN(ROW('03.Muestra'!$D$8:$D$42))+1,""),ROW()-18)),"")</f>
        <v>1.0</v>
      </c>
      <c r="B37" s="114" t="str" cm="1">
        <f t="array" ref="B37">IFERROR(INDEX('03.Muestra'!$C$8:$C$42,SMALL(IF("Página Web"='03.Muestra'!$D$8:$D$42,ROW('03.Muestra'!$C$8:$C$42)-MIN(ROW('03.Muestra'!$D$8:$D$42))+1,""),ROW()-18)),"")</f>
        <v>Home - PortCastelló</v>
      </c>
      <c r="C37" s="114" t="str" cm="1">
        <f t="array" ref="C37">IFERROR(INDEX('03.Muestra'!$F$8:$F$42,SMALL(IF("Página Web"='03.Muestra'!$D$8:$D$42,ROW('03.Muestra'!$F$8:$F$42)-MIN(ROW('03.Muestra'!$D$8:$D$42))+1,""),ROW()-18)),"")</f>
        <v>https://www.portcastello.com/</v>
      </c>
      <c r="D37" s="130" t="s">
        <v>37</v>
      </c>
      <c r="E37" s="107" t="str">
        <f t="shared" si="0"/>
        <v/>
      </c>
      <c r="F37" s="19"/>
      <c r="G37" s="19"/>
      <c r="H37" s="19"/>
      <c r="I37" s="19"/>
      <c r="J37" s="19"/>
      <c r="K37" s="19"/>
      <c r="L37" s="19"/>
      <c r="Q37" s="19"/>
      <c r="W37" s="19"/>
      <c r="X37" s="19"/>
      <c r="Y37" s="19"/>
    </row>
    <row r="38" spans="1:25" ht="12" customHeight="1">
      <c r="A38" s="219" t="n" cm="1">
        <f t="array" ref="A38">IFERROR(INDEX('03.Muestra'!$B$8:$B$42,SMALL(IF("Página Web"='03.Muestra'!$D$8:$D$42,ROW('03.Muestra'!$B$8:$B$42)-MIN(ROW('03.Muestra'!$D$8:$D$42))+1,""),ROW()-18)),"")</f>
        <v>1.0</v>
      </c>
      <c r="B38" s="114" t="str" cm="1">
        <f t="array" ref="B38">IFERROR(INDEX('03.Muestra'!$C$8:$C$42,SMALL(IF("Página Web"='03.Muestra'!$D$8:$D$42,ROW('03.Muestra'!$C$8:$C$42)-MIN(ROW('03.Muestra'!$D$8:$D$42))+1,""),ROW()-18)),"")</f>
        <v>Home - PortCastelló</v>
      </c>
      <c r="C38" s="114" t="str" cm="1">
        <f t="array" ref="C38">IFERROR(INDEX('03.Muestra'!$F$8:$F$42,SMALL(IF("Página Web"='03.Muestra'!$D$8:$D$42,ROW('03.Muestra'!$F$8:$F$42)-MIN(ROW('03.Muestra'!$D$8:$D$42))+1,""),ROW()-18)),"")</f>
        <v>https://www.portcastello.com/</v>
      </c>
      <c r="D38" s="130" t="s">
        <v>37</v>
      </c>
      <c r="E38" s="107" t="str">
        <f t="shared" si="0"/>
        <v/>
      </c>
      <c r="F38" s="19"/>
      <c r="G38" s="19"/>
      <c r="H38" s="19"/>
      <c r="I38" s="19"/>
      <c r="J38" s="19"/>
      <c r="K38" s="19"/>
      <c r="L38" s="19"/>
      <c r="Q38" s="19"/>
      <c r="W38" s="19"/>
      <c r="X38" s="19"/>
      <c r="Y38" s="19"/>
    </row>
    <row r="39" spans="1:25" ht="12" customHeight="1">
      <c r="A39" s="219" t="n" cm="1">
        <f t="array" ref="A39">IFERROR(INDEX('03.Muestra'!$B$8:$B$42,SMALL(IF("Página Web"='03.Muestra'!$D$8:$D$42,ROW('03.Muestra'!$B$8:$B$42)-MIN(ROW('03.Muestra'!$D$8:$D$42))+1,""),ROW()-18)),"")</f>
        <v>1.0</v>
      </c>
      <c r="B39" s="114" t="str" cm="1">
        <f t="array" ref="B39">IFERROR(INDEX('03.Muestra'!$C$8:$C$42,SMALL(IF("Página Web"='03.Muestra'!$D$8:$D$42,ROW('03.Muestra'!$C$8:$C$42)-MIN(ROW('03.Muestra'!$D$8:$D$42))+1,""),ROW()-18)),"")</f>
        <v>Home - PortCastelló</v>
      </c>
      <c r="C39" s="114" t="str" cm="1">
        <f t="array" ref="C39">IFERROR(INDEX('03.Muestra'!$F$8:$F$42,SMALL(IF("Página Web"='03.Muestra'!$D$8:$D$42,ROW('03.Muestra'!$F$8:$F$42)-MIN(ROW('03.Muestra'!$D$8:$D$42))+1,""),ROW()-18)),"")</f>
        <v>https://www.portcastello.com/</v>
      </c>
      <c r="D39" s="130" t="s">
        <v>37</v>
      </c>
      <c r="E39" s="107" t="str">
        <f t="shared" si="0"/>
        <v/>
      </c>
      <c r="F39" s="19"/>
      <c r="G39" s="19"/>
      <c r="H39" s="19"/>
      <c r="I39" s="19"/>
      <c r="J39" s="19"/>
      <c r="K39" s="19"/>
      <c r="L39" s="19"/>
      <c r="Q39" s="19"/>
      <c r="W39" s="19"/>
      <c r="X39" s="19"/>
      <c r="Y39" s="19"/>
    </row>
    <row r="40" spans="1:25" ht="12" customHeight="1">
      <c r="A40" s="219" t="n" cm="1">
        <f t="array" ref="A40">IFERROR(INDEX('03.Muestra'!$B$8:$B$42,SMALL(IF("Página Web"='03.Muestra'!$D$8:$D$42,ROW('03.Muestra'!$B$8:$B$42)-MIN(ROW('03.Muestra'!$D$8:$D$42))+1,""),ROW()-18)),"")</f>
        <v>1.0</v>
      </c>
      <c r="B40" s="114" t="str" cm="1">
        <f t="array" ref="B40">IFERROR(INDEX('03.Muestra'!$C$8:$C$42,SMALL(IF("Página Web"='03.Muestra'!$D$8:$D$42,ROW('03.Muestra'!$C$8:$C$42)-MIN(ROW('03.Muestra'!$D$8:$D$42))+1,""),ROW()-18)),"")</f>
        <v>Home - PortCastelló</v>
      </c>
      <c r="C40" s="114" t="str" cm="1">
        <f t="array" ref="C40">IFERROR(INDEX('03.Muestra'!$F$8:$F$42,SMALL(IF("Página Web"='03.Muestra'!$D$8:$D$42,ROW('03.Muestra'!$F$8:$F$42)-MIN(ROW('03.Muestra'!$D$8:$D$42))+1,""),ROW()-18)),"")</f>
        <v>https://www.portcastello.com/</v>
      </c>
      <c r="D40" s="130" t="s">
        <v>37</v>
      </c>
      <c r="E40" s="107" t="str">
        <f t="shared" si="0"/>
        <v/>
      </c>
      <c r="F40" s="19"/>
      <c r="G40" s="19"/>
      <c r="H40" s="19"/>
      <c r="I40" s="19"/>
      <c r="J40" s="19"/>
      <c r="K40" s="19"/>
      <c r="L40" s="19"/>
      <c r="Q40" s="19"/>
      <c r="R40" s="19"/>
      <c r="T40" s="19"/>
      <c r="U40" s="19"/>
      <c r="V40" s="19"/>
      <c r="W40" s="19"/>
      <c r="X40" s="19"/>
      <c r="Y40" s="19"/>
    </row>
    <row r="41" spans="1:25" ht="12" customHeight="1">
      <c r="A41" s="219" t="n" cm="1">
        <f t="array" ref="A41">IFERROR(INDEX('03.Muestra'!$B$8:$B$42,SMALL(IF("Página Web"='03.Muestra'!$D$8:$D$42,ROW('03.Muestra'!$B$8:$B$42)-MIN(ROW('03.Muestra'!$D$8:$D$42))+1,""),ROW()-18)),"")</f>
        <v>1.0</v>
      </c>
      <c r="B41" s="114" t="str" cm="1">
        <f t="array" ref="B41">IFERROR(INDEX('03.Muestra'!$C$8:$C$42,SMALL(IF("Página Web"='03.Muestra'!$D$8:$D$42,ROW('03.Muestra'!$C$8:$C$42)-MIN(ROW('03.Muestra'!$D$8:$D$42))+1,""),ROW()-18)),"")</f>
        <v>Home - PortCastelló</v>
      </c>
      <c r="C41" s="114" t="str" cm="1">
        <f t="array" ref="C41">IFERROR(INDEX('03.Muestra'!$F$8:$F$42,SMALL(IF("Página Web"='03.Muestra'!$D$8:$D$42,ROW('03.Muestra'!$F$8:$F$42)-MIN(ROW('03.Muestra'!$D$8:$D$42))+1,""),ROW()-18)),"")</f>
        <v>https://www.portcastello.com/</v>
      </c>
      <c r="D41" s="130" t="s">
        <v>37</v>
      </c>
      <c r="E41" s="107" t="str">
        <f t="shared" si="0"/>
        <v/>
      </c>
      <c r="F41" s="19"/>
      <c r="G41" s="19"/>
      <c r="H41" s="19"/>
      <c r="I41" s="19"/>
      <c r="J41" s="19"/>
      <c r="K41" s="19"/>
      <c r="L41" s="19"/>
      <c r="Y41" s="19"/>
    </row>
    <row r="42" spans="1:25" ht="12" customHeight="1">
      <c r="A42" s="219" t="n" cm="1">
        <f t="array" ref="A42">IFERROR(INDEX('03.Muestra'!$B$8:$B$42,SMALL(IF("Página Web"='03.Muestra'!$D$8:$D$42,ROW('03.Muestra'!$B$8:$B$42)-MIN(ROW('03.Muestra'!$D$8:$D$42))+1,""),ROW()-18)),"")</f>
        <v>1.0</v>
      </c>
      <c r="B42" s="114" t="str" cm="1">
        <f t="array" ref="B42">IFERROR(INDEX('03.Muestra'!$C$8:$C$42,SMALL(IF("Página Web"='03.Muestra'!$D$8:$D$42,ROW('03.Muestra'!$C$8:$C$42)-MIN(ROW('03.Muestra'!$D$8:$D$42))+1,""),ROW()-18)),"")</f>
        <v>Home - PortCastelló</v>
      </c>
      <c r="C42" s="114" t="str" cm="1">
        <f t="array" ref="C42">IFERROR(INDEX('03.Muestra'!$F$8:$F$42,SMALL(IF("Página Web"='03.Muestra'!$D$8:$D$42,ROW('03.Muestra'!$F$8:$F$42)-MIN(ROW('03.Muestra'!$D$8:$D$42))+1,""),ROW()-18)),"")</f>
        <v>https://www.portcastello.com/</v>
      </c>
      <c r="D42" s="130" t="s">
        <v>37</v>
      </c>
      <c r="E42" s="107" t="str">
        <f t="shared" si="0"/>
        <v/>
      </c>
      <c r="F42" s="19"/>
      <c r="G42" s="19"/>
      <c r="H42" s="19"/>
      <c r="I42" s="19"/>
      <c r="J42" s="19"/>
      <c r="K42" s="19"/>
      <c r="L42" s="19"/>
      <c r="Y42" s="19"/>
    </row>
    <row r="43" spans="1:25" ht="12" customHeight="1">
      <c r="A43" s="219" t="n" cm="1">
        <f t="array" ref="A43">IFERROR(INDEX('03.Muestra'!$B$8:$B$42,SMALL(IF("Página Web"='03.Muestra'!$D$8:$D$42,ROW('03.Muestra'!$B$8:$B$42)-MIN(ROW('03.Muestra'!$D$8:$D$42))+1,""),ROW()-18)),"")</f>
        <v>1.0</v>
      </c>
      <c r="B43" s="114" t="str" cm="1">
        <f t="array" ref="B43">IFERROR(INDEX('03.Muestra'!$C$8:$C$42,SMALL(IF("Página Web"='03.Muestra'!$D$8:$D$42,ROW('03.Muestra'!$C$8:$C$42)-MIN(ROW('03.Muestra'!$D$8:$D$42))+1,""),ROW()-18)),"")</f>
        <v>Home - PortCastelló</v>
      </c>
      <c r="C43" s="114" t="str" cm="1">
        <f t="array" ref="C43">IFERROR(INDEX('03.Muestra'!$F$8:$F$42,SMALL(IF("Página Web"='03.Muestra'!$D$8:$D$42,ROW('03.Muestra'!$F$8:$F$42)-MIN(ROW('03.Muestra'!$D$8:$D$42))+1,""),ROW()-18)),"")</f>
        <v>https://www.portcastello.com/</v>
      </c>
      <c r="D43" s="130" t="s">
        <v>37</v>
      </c>
      <c r="E43" s="107" t="str">
        <f t="shared" si="0"/>
        <v/>
      </c>
      <c r="F43" s="19"/>
      <c r="G43" s="19"/>
      <c r="H43" s="19"/>
      <c r="I43" s="19"/>
      <c r="J43" s="19"/>
      <c r="K43" s="19"/>
      <c r="L43" s="19"/>
      <c r="Y43" s="19"/>
    </row>
    <row r="44" spans="1:25" ht="12" customHeight="1">
      <c r="A44" s="219" t="n" cm="1">
        <f t="array" ref="A44">IFERROR(INDEX('03.Muestra'!$B$8:$B$42,SMALL(IF("Página Web"='03.Muestra'!$D$8:$D$42,ROW('03.Muestra'!$B$8:$B$42)-MIN(ROW('03.Muestra'!$D$8:$D$42))+1,""),ROW()-18)),"")</f>
        <v>1.0</v>
      </c>
      <c r="B44" s="114" t="str" cm="1">
        <f t="array" ref="B44">IFERROR(INDEX('03.Muestra'!$C$8:$C$42,SMALL(IF("Página Web"='03.Muestra'!$D$8:$D$42,ROW('03.Muestra'!$C$8:$C$42)-MIN(ROW('03.Muestra'!$D$8:$D$42))+1,""),ROW()-18)),"")</f>
        <v>Home - PortCastelló</v>
      </c>
      <c r="C44" s="114" t="str" cm="1">
        <f t="array" ref="C44">IFERROR(INDEX('03.Muestra'!$F$8:$F$42,SMALL(IF("Página Web"='03.Muestra'!$D$8:$D$42,ROW('03.Muestra'!$F$8:$F$42)-MIN(ROW('03.Muestra'!$D$8:$D$42))+1,""),ROW()-18)),"")</f>
        <v>https://www.portcastello.com/</v>
      </c>
      <c r="D44" s="130" t="s">
        <v>37</v>
      </c>
      <c r="E44" s="107" t="str">
        <f t="shared" si="0"/>
        <v/>
      </c>
      <c r="F44" s="19"/>
      <c r="G44" s="19"/>
      <c r="H44" s="19"/>
      <c r="I44" s="19"/>
      <c r="J44" s="19"/>
      <c r="K44" s="19"/>
      <c r="L44" s="19"/>
      <c r="Q44" s="19"/>
      <c r="R44" s="19"/>
      <c r="T44" s="19"/>
      <c r="U44" s="19"/>
      <c r="V44" s="19"/>
      <c r="W44" s="19"/>
      <c r="X44" s="19"/>
      <c r="Y44" s="19"/>
    </row>
    <row r="45" spans="1:25" ht="12" customHeight="1">
      <c r="A45" s="219" t="n" cm="1">
        <f t="array" ref="A45">IFERROR(INDEX('03.Muestra'!$B$8:$B$42,SMALL(IF("Página Web"='03.Muestra'!$D$8:$D$42,ROW('03.Muestra'!$B$8:$B$42)-MIN(ROW('03.Muestra'!$D$8:$D$42))+1,""),ROW()-18)),"")</f>
        <v>1.0</v>
      </c>
      <c r="B45" s="114" t="str" cm="1">
        <f t="array" ref="B45">IFERROR(INDEX('03.Muestra'!$C$8:$C$42,SMALL(IF("Página Web"='03.Muestra'!$D$8:$D$42,ROW('03.Muestra'!$C$8:$C$42)-MIN(ROW('03.Muestra'!$D$8:$D$42))+1,""),ROW()-18)),"")</f>
        <v>Home - PortCastelló</v>
      </c>
      <c r="C45" s="114" t="str" cm="1">
        <f t="array" ref="C45">IFERROR(INDEX('03.Muestra'!$F$8:$F$42,SMALL(IF("Página Web"='03.Muestra'!$D$8:$D$42,ROW('03.Muestra'!$F$8:$F$42)-MIN(ROW('03.Muestra'!$D$8:$D$42))+1,""),ROW()-18)),"")</f>
        <v>https://www.portcastello.com/</v>
      </c>
      <c r="D45" s="130" t="s">
        <v>37</v>
      </c>
      <c r="E45" s="107" t="str">
        <f t="shared" si="0"/>
        <v/>
      </c>
      <c r="F45" s="19"/>
      <c r="G45" s="19"/>
      <c r="H45" s="19"/>
      <c r="I45" s="19"/>
      <c r="J45" s="19"/>
      <c r="K45" s="19"/>
      <c r="L45" s="19"/>
      <c r="Q45" s="19"/>
      <c r="R45" s="19"/>
      <c r="T45" s="19"/>
      <c r="U45" s="19"/>
      <c r="V45" s="19"/>
      <c r="W45" s="19"/>
      <c r="X45" s="19"/>
      <c r="Y45" s="19"/>
    </row>
    <row r="46" spans="1:25" ht="12" customHeight="1">
      <c r="A46" s="219" t="n" cm="1">
        <f t="array" ref="A46">IFERROR(INDEX('03.Muestra'!$B$8:$B$42,SMALL(IF("Página Web"='03.Muestra'!$D$8:$D$42,ROW('03.Muestra'!$B$8:$B$42)-MIN(ROW('03.Muestra'!$D$8:$D$42))+1,""),ROW()-18)),"")</f>
        <v>1.0</v>
      </c>
      <c r="B46" s="114" t="str" cm="1">
        <f t="array" ref="B46">IFERROR(INDEX('03.Muestra'!$C$8:$C$42,SMALL(IF("Página Web"='03.Muestra'!$D$8:$D$42,ROW('03.Muestra'!$C$8:$C$42)-MIN(ROW('03.Muestra'!$D$8:$D$42))+1,""),ROW()-18)),"")</f>
        <v>Home - PortCastelló</v>
      </c>
      <c r="C46" s="114" t="str" cm="1">
        <f t="array" ref="C46">IFERROR(INDEX('03.Muestra'!$F$8:$F$42,SMALL(IF("Página Web"='03.Muestra'!$D$8:$D$42,ROW('03.Muestra'!$F$8:$F$42)-MIN(ROW('03.Muestra'!$D$8:$D$42))+1,""),ROW()-18)),"")</f>
        <v>https://www.portcastello.com/</v>
      </c>
      <c r="D46" s="130" t="s">
        <v>37</v>
      </c>
      <c r="E46" s="107" t="str">
        <f t="shared" si="0"/>
        <v/>
      </c>
      <c r="I46" s="19"/>
      <c r="J46" s="19"/>
      <c r="K46" s="19"/>
      <c r="L46" s="19"/>
      <c r="Q46" s="19"/>
      <c r="R46" s="19"/>
      <c r="T46" s="19"/>
      <c r="U46" s="19"/>
      <c r="V46" s="19"/>
      <c r="W46" s="19"/>
      <c r="X46" s="19"/>
      <c r="Y46" s="19"/>
    </row>
    <row r="47" spans="1:25" ht="12" customHeight="1">
      <c r="A47" s="219" t="n" cm="1">
        <f t="array" ref="A47">IFERROR(INDEX('03.Muestra'!$B$8:$B$42,SMALL(IF("Página Web"='03.Muestra'!$D$8:$D$42,ROW('03.Muestra'!$B$8:$B$42)-MIN(ROW('03.Muestra'!$D$8:$D$42))+1,""),ROW()-18)),"")</f>
        <v>1.0</v>
      </c>
      <c r="B47" s="114" t="str" cm="1">
        <f t="array" ref="B47">IFERROR(INDEX('03.Muestra'!$C$8:$C$42,SMALL(IF("Página Web"='03.Muestra'!$D$8:$D$42,ROW('03.Muestra'!$C$8:$C$42)-MIN(ROW('03.Muestra'!$D$8:$D$42))+1,""),ROW()-18)),"")</f>
        <v>Home - PortCastelló</v>
      </c>
      <c r="C47" s="114" t="str" cm="1">
        <f t="array" ref="C47">IFERROR(INDEX('03.Muestra'!$F$8:$F$42,SMALL(IF("Página Web"='03.Muestra'!$D$8:$D$42,ROW('03.Muestra'!$F$8:$F$42)-MIN(ROW('03.Muestra'!$D$8:$D$42))+1,""),ROW()-18)),"")</f>
        <v>https://www.portcastello.com/</v>
      </c>
      <c r="D47" s="130" t="s">
        <v>37</v>
      </c>
      <c r="E47" s="107" t="str">
        <f t="shared" si="0"/>
        <v/>
      </c>
      <c r="I47" s="19"/>
      <c r="J47" s="19"/>
      <c r="K47" s="19"/>
      <c r="L47" s="19"/>
      <c r="Q47" s="19"/>
      <c r="R47" s="19"/>
      <c r="T47" s="19"/>
      <c r="U47" s="19"/>
      <c r="V47" s="19"/>
      <c r="W47" s="19"/>
      <c r="X47" s="19"/>
      <c r="Y47" s="19"/>
    </row>
    <row r="48" spans="1:25" ht="12" customHeight="1">
      <c r="A48" s="219" t="n" cm="1">
        <f t="array" ref="A48">IFERROR(INDEX('03.Muestra'!$B$8:$B$42,SMALL(IF("Página Web"='03.Muestra'!$D$8:$D$42,ROW('03.Muestra'!$B$8:$B$42)-MIN(ROW('03.Muestra'!$D$8:$D$42))+1,""),ROW()-18)),"")</f>
        <v>1.0</v>
      </c>
      <c r="B48" s="114" t="str" cm="1">
        <f t="array" ref="B48">IFERROR(INDEX('03.Muestra'!$C$8:$C$42,SMALL(IF("Página Web"='03.Muestra'!$D$8:$D$42,ROW('03.Muestra'!$C$8:$C$42)-MIN(ROW('03.Muestra'!$D$8:$D$42))+1,""),ROW()-18)),"")</f>
        <v>Home - PortCastelló</v>
      </c>
      <c r="C48" s="114" t="str" cm="1">
        <f t="array" ref="C48">IFERROR(INDEX('03.Muestra'!$F$8:$F$42,SMALL(IF("Página Web"='03.Muestra'!$D$8:$D$42,ROW('03.Muestra'!$F$8:$F$42)-MIN(ROW('03.Muestra'!$D$8:$D$42))+1,""),ROW()-18)),"")</f>
        <v>https://www.portcastello.com/</v>
      </c>
      <c r="D48" s="130" t="s">
        <v>37</v>
      </c>
      <c r="E48" s="107" t="str">
        <f t="shared" si="0"/>
        <v/>
      </c>
      <c r="I48" s="19"/>
      <c r="J48" s="19"/>
      <c r="K48" s="19"/>
      <c r="L48" s="19"/>
      <c r="Q48" s="19"/>
      <c r="R48" s="19"/>
      <c r="T48" s="19"/>
      <c r="U48" s="19"/>
      <c r="V48" s="19"/>
      <c r="W48" s="19"/>
      <c r="X48" s="19"/>
      <c r="Y48" s="19"/>
    </row>
    <row r="49" spans="1:25" ht="12" customHeight="1">
      <c r="A49" s="219" t="n" cm="1">
        <f t="array" ref="A49">IFERROR(INDEX('03.Muestra'!$B$8:$B$42,SMALL(IF("Página Web"='03.Muestra'!$D$8:$D$42,ROW('03.Muestra'!$B$8:$B$42)-MIN(ROW('03.Muestra'!$D$8:$D$42))+1,""),ROW()-18)),"")</f>
        <v>1.0</v>
      </c>
      <c r="B49" s="114" t="str" cm="1">
        <f t="array" ref="B49">IFERROR(INDEX('03.Muestra'!$C$8:$C$42,SMALL(IF("Página Web"='03.Muestra'!$D$8:$D$42,ROW('03.Muestra'!$C$8:$C$42)-MIN(ROW('03.Muestra'!$D$8:$D$42))+1,""),ROW()-18)),"")</f>
        <v>Home - PortCastelló</v>
      </c>
      <c r="C49" s="114" t="str" cm="1">
        <f t="array" ref="C49">IFERROR(INDEX('03.Muestra'!$F$8:$F$42,SMALL(IF("Página Web"='03.Muestra'!$D$8:$D$42,ROW('03.Muestra'!$F$8:$F$42)-MIN(ROW('03.Muestra'!$D$8:$D$42))+1,""),ROW()-18)),"")</f>
        <v>https://www.portcastello.com/</v>
      </c>
      <c r="D49" s="130" t="s">
        <v>37</v>
      </c>
      <c r="E49" s="107" t="str">
        <f t="shared" si="0"/>
        <v/>
      </c>
      <c r="I49" s="19"/>
      <c r="J49" s="19"/>
      <c r="K49" s="19"/>
      <c r="L49" s="19"/>
      <c r="Q49" s="19"/>
      <c r="R49" s="19"/>
      <c r="T49" s="19"/>
      <c r="U49" s="19"/>
      <c r="V49" s="19"/>
      <c r="W49" s="19"/>
      <c r="X49" s="19"/>
      <c r="Y49" s="19"/>
    </row>
    <row r="50" spans="1:25" ht="12" customHeight="1">
      <c r="A50" s="219" t="n" cm="1">
        <f t="array" ref="A50">IFERROR(INDEX('03.Muestra'!$B$8:$B$42,SMALL(IF("Página Web"='03.Muestra'!$D$8:$D$42,ROW('03.Muestra'!$B$8:$B$42)-MIN(ROW('03.Muestra'!$D$8:$D$42))+1,""),ROW()-18)),"")</f>
        <v>1.0</v>
      </c>
      <c r="B50" s="114" t="str" cm="1">
        <f t="array" ref="B50">IFERROR(INDEX('03.Muestra'!$C$8:$C$42,SMALL(IF("Página Web"='03.Muestra'!$D$8:$D$42,ROW('03.Muestra'!$C$8:$C$42)-MIN(ROW('03.Muestra'!$D$8:$D$42))+1,""),ROW()-18)),"")</f>
        <v>Home - PortCastelló</v>
      </c>
      <c r="C50" s="114" t="str" cm="1">
        <f t="array" ref="C50">IFERROR(INDEX('03.Muestra'!$F$8:$F$42,SMALL(IF("Página Web"='03.Muestra'!$D$8:$D$42,ROW('03.Muestra'!$F$8:$F$42)-MIN(ROW('03.Muestra'!$D$8:$D$42))+1,""),ROW()-18)),"")</f>
        <v>https://www.portcastello.com/</v>
      </c>
      <c r="D50" s="130" t="s">
        <v>37</v>
      </c>
      <c r="E50" s="107" t="str">
        <f t="shared" si="0"/>
        <v/>
      </c>
      <c r="I50" s="19"/>
      <c r="J50" s="19"/>
      <c r="K50" s="19"/>
      <c r="L50" s="19"/>
      <c r="Q50" s="19"/>
      <c r="R50" s="19"/>
      <c r="T50" s="19"/>
      <c r="U50" s="19"/>
      <c r="V50" s="19"/>
      <c r="W50" s="19"/>
      <c r="X50" s="19"/>
      <c r="Y50" s="19"/>
    </row>
    <row r="51" spans="1:25" ht="12" customHeight="1">
      <c r="A51" s="219" t="n" cm="1">
        <f t="array" ref="A51">IFERROR(INDEX('03.Muestra'!$B$8:$B$42,SMALL(IF("Página Web"='03.Muestra'!$D$8:$D$42,ROW('03.Muestra'!$B$8:$B$42)-MIN(ROW('03.Muestra'!$D$8:$D$42))+1,""),ROW()-18)),"")</f>
        <v>1.0</v>
      </c>
      <c r="B51" s="114" t="str" cm="1">
        <f t="array" ref="B51">IFERROR(INDEX('03.Muestra'!$C$8:$C$42,SMALL(IF("Página Web"='03.Muestra'!$D$8:$D$42,ROW('03.Muestra'!$C$8:$C$42)-MIN(ROW('03.Muestra'!$D$8:$D$42))+1,""),ROW()-18)),"")</f>
        <v>Home - PortCastelló</v>
      </c>
      <c r="C51" s="114" t="str" cm="1">
        <f t="array" ref="C51">IFERROR(INDEX('03.Muestra'!$F$8:$F$42,SMALL(IF("Página Web"='03.Muestra'!$D$8:$D$42,ROW('03.Muestra'!$F$8:$F$42)-MIN(ROW('03.Muestra'!$D$8:$D$42))+1,""),ROW()-18)),"")</f>
        <v>https://www.portcastello.com/</v>
      </c>
      <c r="D51" s="130" t="s">
        <v>37</v>
      </c>
      <c r="E51" s="107" t="str">
        <f t="shared" si="0"/>
        <v/>
      </c>
      <c r="I51" s="19"/>
      <c r="J51" s="19"/>
      <c r="K51" s="19"/>
      <c r="L51" s="19"/>
      <c r="Q51" s="19"/>
      <c r="R51" s="19"/>
      <c r="T51" s="19"/>
      <c r="U51" s="19"/>
      <c r="V51" s="19"/>
      <c r="W51" s="19"/>
      <c r="X51" s="19"/>
      <c r="Y51" s="19"/>
    </row>
    <row r="52" spans="1:25" ht="12" customHeight="1">
      <c r="A52" s="219" t="str" cm="1">
        <f t="array" ref="A52">IFERROR(INDEX('03.Muestra'!$B$8:$B$42,SMALL(IF("Página Web"='03.Muestra'!$D$8:$D$42,ROW('03.Muestra'!$B$8:$B$42)-MIN(ROW('03.Muestra'!$D$8:$D$42))+1,""),ROW()-18)),"")</f>
        <v/>
      </c>
      <c r="B52" s="114" t="str" cm="1">
        <f t="array" ref="B52">IFERROR(INDEX('03.Muestra'!$C$8:$C$42,SMALL(IF("Página Web"='03.Muestra'!$D$8:$D$42,ROW('03.Muestra'!$C$8:$C$42)-MIN(ROW('03.Muestra'!$D$8:$D$42))+1,""),ROW()-18)),"")</f>
        <v/>
      </c>
      <c r="C52" s="114" t="str" cm="1">
        <f t="array" ref="C52">IFERROR(INDEX('03.Muestra'!$F$8:$F$42,SMALL(IF("Página Web"='03.Muestra'!$D$8:$D$42,ROW('03.Muestra'!$F$8:$F$42)-MIN(ROW('03.Muestra'!$D$8:$D$42))+1,""),ROW()-18)),"")</f>
        <v/>
      </c>
      <c r="D52" s="130" t="str">
        <f t="shared" si="1" ref="D52:D53">IF(AND(B52&lt;&gt;"",C52&lt;&gt;""),"N/T","")</f>
        <v/>
      </c>
      <c r="E52" s="107" t="str">
        <f t="shared" si="0"/>
        <v/>
      </c>
      <c r="I52" s="19"/>
      <c r="J52" s="19"/>
      <c r="K52" s="19"/>
      <c r="L52" s="19"/>
      <c r="Q52" s="19"/>
      <c r="R52" s="19"/>
      <c r="T52" s="19"/>
      <c r="U52" s="19"/>
      <c r="V52" s="19"/>
      <c r="W52" s="19"/>
      <c r="X52" s="19"/>
      <c r="Y52" s="19"/>
    </row>
    <row r="53" spans="1:25" ht="12" customHeight="1">
      <c r="A53" s="219" t="str" cm="1">
        <f t="array" ref="A53">IFERROR(INDEX('03.Muestra'!$B$8:$B$42,SMALL(IF("Página Web"='03.Muestra'!$D$8:$D$42,ROW('03.Muestra'!$B$8:$B$42)-MIN(ROW('03.Muestra'!$D$8:$D$42))+1,""),ROW()-18)),"")</f>
        <v/>
      </c>
      <c r="B53" s="114" t="str" cm="1">
        <f t="array" ref="B53">IFERROR(INDEX('03.Muestra'!$C$8:$C$42,SMALL(IF("Página Web"='03.Muestra'!$D$8:$D$42,ROW('03.Muestra'!$C$8:$C$42)-MIN(ROW('03.Muestra'!$D$8:$D$42))+1,""),ROW()-18)),"")</f>
        <v/>
      </c>
      <c r="C53" s="114" t="str" cm="1">
        <f t="array" ref="C53">IFERROR(INDEX('03.Muestra'!$F$8:$F$42,SMALL(IF("Página Web"='03.Muestra'!$D$8:$D$42,ROW('03.Muestra'!$F$8:$F$42)-MIN(ROW('03.Muestra'!$D$8:$D$42))+1,""),ROW()-18)),"")</f>
        <v/>
      </c>
      <c r="D53" s="130" t="str">
        <f t="shared" si="1"/>
        <v/>
      </c>
      <c r="E53" s="107" t="str">
        <f t="shared" si="0"/>
        <v/>
      </c>
      <c r="I53" s="19"/>
      <c r="J53" s="19"/>
      <c r="K53" s="19"/>
      <c r="L53" s="19"/>
      <c r="Q53" s="19"/>
      <c r="R53" s="19"/>
      <c r="T53" s="19"/>
      <c r="U53" s="19"/>
      <c r="V53" s="19"/>
      <c r="W53" s="19"/>
      <c r="X53" s="19"/>
      <c r="Y53" s="19"/>
    </row>
    <row r="54" spans="1:25" ht="12" customHeight="1">
      <c r="B54" s="19"/>
      <c r="C54" s="19"/>
      <c r="D54" s="107"/>
      <c r="E54" s="107"/>
      <c r="F54" s="19"/>
      <c r="G54" s="19"/>
      <c r="H54" s="19"/>
      <c r="I54" s="19"/>
      <c r="J54" s="19"/>
      <c r="K54" s="19"/>
      <c r="L54" s="19"/>
      <c r="Q54" s="19"/>
      <c r="R54" s="19"/>
      <c r="T54" s="19"/>
      <c r="U54" s="19"/>
      <c r="V54" s="19"/>
      <c r="W54" s="19"/>
      <c r="X54" s="19"/>
      <c r="Y54" s="19"/>
    </row>
    <row r="55" spans="1:25" ht="12" customHeight="1">
      <c r="B55" s="19"/>
      <c r="C55" s="19"/>
      <c r="D55" s="107"/>
      <c r="E55" s="112"/>
      <c r="F55" s="19"/>
      <c r="G55" s="19"/>
      <c r="H55" s="19"/>
      <c r="I55" s="19"/>
      <c r="J55" s="19"/>
      <c r="K55" s="19"/>
      <c r="L55" s="19"/>
      <c r="M55" s="19"/>
      <c r="N55" s="19"/>
      <c r="O55" s="19"/>
      <c r="P55" s="19"/>
      <c r="Q55" s="19"/>
      <c r="R55" s="19"/>
      <c r="T55" s="19"/>
      <c r="U55" s="19"/>
      <c r="V55" s="19"/>
      <c r="W55" s="19"/>
      <c r="X55" s="19"/>
      <c r="Y55" s="19"/>
    </row>
    <row r="56" spans="1:25" ht="29.25" customHeight="1">
      <c r="A56" s="218" t="s">
        <v>268</v>
      </c>
      <c r="B56" s="24" t="s">
        <v>90</v>
      </c>
      <c r="C56" s="25" t="s">
        <v>374</v>
      </c>
      <c r="D56" s="26" t="s">
        <v>32</v>
      </c>
      <c r="E56" s="123"/>
      <c r="K56" s="19"/>
      <c r="L56" s="19"/>
      <c r="M56" s="19"/>
      <c r="N56" s="19"/>
      <c r="O56" s="19"/>
      <c r="P56" s="19"/>
      <c r="Q56" s="19"/>
      <c r="R56" s="19"/>
      <c r="T56" s="19"/>
      <c r="U56" s="19"/>
      <c r="V56" s="19"/>
      <c r="W56" s="19"/>
      <c r="X56" s="19"/>
      <c r="Y56" s="19"/>
    </row>
    <row r="57" spans="1:25" ht="12" customHeight="1">
      <c r="A57" s="219" t="n" cm="1">
        <f t="array" ref="A57">IFERROR(INDEX('03.Muestra'!$B$8:$B$42,SMALL(IF("Página Web"='03.Muestra'!$D$8:$D$42,ROW('03.Muestra'!$B$8:$B$42)-MIN(ROW('03.Muestra'!$D$8:$D$42))+1,""),ROW()-56)),"")</f>
        <v>1.0</v>
      </c>
      <c r="B57" s="114" t="str" cm="1">
        <f t="array" ref="B57">IFERROR(INDEX('03.Muestra'!$C$8:$C$42,SMALL(IF("Página Web"='03.Muestra'!$D$8:$D$42,ROW('03.Muestra'!$C$8:$C$42)-MIN(ROW('03.Muestra'!$D$8:$D$42))+1,""),ROW()-56)),"")</f>
        <v>Home - PortCastelló</v>
      </c>
      <c r="C57" s="114" t="str" cm="1">
        <f t="array" ref="C57">IFERROR(INDEX('03.Muestra'!$F$8:$F$42,SMALL(IF("Página Web"='03.Muestra'!$D$8:$D$42,ROW('03.Muestra'!$F$8:$F$42)-MIN(ROW('03.Muestra'!$D$8:$D$42))+1,""),ROW()-56)),"")</f>
        <v>https://www.portcastello.com/</v>
      </c>
      <c r="D57" s="130" t="str">
        <f>IF(AND(B57&lt;&gt;"",C57&lt;&gt;""),"N/T","")</f>
        <v>N/T</v>
      </c>
      <c r="E57" s="107" t="str">
        <f t="shared" ref="E57:E91" si="2">IF(D57&lt;&gt;"",IF(AND(B57&lt;&gt;"",C57&lt;&gt;""),"","ERR"),"")</f>
        <v/>
      </c>
      <c r="F57" s="115" t="s">
        <v>33</v>
      </c>
      <c r="G57" s="116" t="s">
        <v>37</v>
      </c>
      <c r="H57" s="117" t="s">
        <v>35</v>
      </c>
      <c r="I57" s="118" t="s">
        <v>28</v>
      </c>
      <c r="J57" s="119" t="s">
        <v>26</v>
      </c>
      <c r="K57" s="226" t="s">
        <v>474</v>
      </c>
      <c r="L57" s="19"/>
      <c r="M57" s="19"/>
      <c r="N57" s="19"/>
      <c r="O57" s="19"/>
      <c r="P57" s="19"/>
      <c r="Q57" s="19"/>
      <c r="R57" s="19"/>
      <c r="T57" s="19"/>
      <c r="U57" s="19"/>
      <c r="V57" s="19"/>
      <c r="W57" s="19"/>
      <c r="X57" s="19"/>
      <c r="Y57" s="19"/>
    </row>
    <row r="58" spans="1:25" ht="12" customHeight="1">
      <c r="A58" s="219" t="n" cm="1">
        <f t="array" ref="A58">IFERROR(INDEX('03.Muestra'!$B$8:$B$42,SMALL(IF("Página Web"='03.Muestra'!$D$8:$D$42,ROW('03.Muestra'!$B$8:$B$42)-MIN(ROW('03.Muestra'!$D$8:$D$42))+1,""),ROW()-56)),"")</f>
        <v>1.0</v>
      </c>
      <c r="B58" s="114" t="str" cm="1">
        <f t="array" ref="B58">IFERROR(INDEX('03.Muestra'!$C$8:$C$42,SMALL(IF("Página Web"='03.Muestra'!$D$8:$D$42,ROW('03.Muestra'!$C$8:$C$42)-MIN(ROW('03.Muestra'!$D$8:$D$42))+1,""),ROW()-56)),"")</f>
        <v>Home - PortCastelló</v>
      </c>
      <c r="C58" s="114" t="str" cm="1">
        <f t="array" ref="C58">IFERROR(INDEX('03.Muestra'!$F$8:$F$42,SMALL(IF("Página Web"='03.Muestra'!$D$8:$D$42,ROW('03.Muestra'!$F$8:$F$42)-MIN(ROW('03.Muestra'!$D$8:$D$42))+1,""),ROW()-56)),"")</f>
        <v>https://www.portcastello.com/</v>
      </c>
      <c r="D58" s="130" t="str">
        <f t="shared" ref="D58:D91" si="3">IF(AND(B58&lt;&gt;"",C58&lt;&gt;""),"N/T","")</f>
        <v>N/T</v>
      </c>
      <c r="E58" s="107" t="str">
        <f t="shared" si="2"/>
        <v/>
      </c>
      <c r="F58" s="120" t="n">
        <f ca="1">COUNTIF($D57:INDIRECT("$D" &amp;  SUM(ROW()-1,'03.Muestra'!$D$45)-1),F57)</f>
        <v>33.0</v>
      </c>
      <c r="G58" s="120" t="n">
        <f ca="1">COUNTIF($D57:INDIRECT("$D" &amp;  SUM(ROW()-1,'03.Muestra'!$D$45)-1),G57)</f>
        <v>0.0</v>
      </c>
      <c r="H58" s="120" t="n">
        <f ca="1">COUNTIF($D57:INDIRECT("$D" &amp;  SUM(ROW()-1,'03.Muestra'!$D$45)-1),H57)</f>
        <v>0.0</v>
      </c>
      <c r="I58" s="120" t="n">
        <f ca="1">COUNTIF($D57:INDIRECT("$D" &amp;  SUM(ROW()-1,'03.Muestra'!$D$45)-1),I57)</f>
        <v>0.0</v>
      </c>
      <c r="J58" s="120" t="n">
        <f ca="1">COUNTIF($D57:INDIRECT("$D" &amp;  SUM(ROW()-1,'03.Muestra'!$D$45)-1),J57)</f>
        <v>0.0</v>
      </c>
      <c r="K58" s="227" t="n">
        <f ca="1">IF(COUNTIF('03.Muestra'!$D$8:$D$42,"Página Web")=0,0,COUNTBLANK($D57:INDIRECT("$D" &amp;  SUM(ROW()-1,COUNTIF('03.Muestra'!$D$8:$D$42,"Página Web"))-1)))</f>
        <v>0.0</v>
      </c>
      <c r="L58" s="19"/>
      <c r="M58" s="19"/>
      <c r="N58" s="19"/>
      <c r="O58" s="19"/>
      <c r="P58" s="19"/>
      <c r="Q58" s="19"/>
      <c r="R58" s="19"/>
      <c r="T58" s="19"/>
      <c r="U58" s="19"/>
      <c r="V58" s="19"/>
      <c r="W58" s="19"/>
      <c r="X58" s="19"/>
      <c r="Y58" s="19"/>
    </row>
    <row r="59" spans="1:25" ht="12" customHeight="1">
      <c r="A59" s="219" t="n" cm="1">
        <f t="array" ref="A59">IFERROR(INDEX('03.Muestra'!$B$8:$B$42,SMALL(IF("Página Web"='03.Muestra'!$D$8:$D$42,ROW('03.Muestra'!$B$8:$B$42)-MIN(ROW('03.Muestra'!$D$8:$D$42))+1,""),ROW()-56)),"")</f>
        <v>1.0</v>
      </c>
      <c r="B59" s="114" t="str" cm="1">
        <f t="array" ref="B59">IFERROR(INDEX('03.Muestra'!$C$8:$C$42,SMALL(IF("Página Web"='03.Muestra'!$D$8:$D$42,ROW('03.Muestra'!$C$8:$C$42)-MIN(ROW('03.Muestra'!$D$8:$D$42))+1,""),ROW()-56)),"")</f>
        <v>Home - PortCastelló</v>
      </c>
      <c r="C59" s="114" t="str" cm="1">
        <f t="array" ref="C59">IFERROR(INDEX('03.Muestra'!$F$8:$F$42,SMALL(IF("Página Web"='03.Muestra'!$D$8:$D$42,ROW('03.Muestra'!$F$8:$F$42)-MIN(ROW('03.Muestra'!$D$8:$D$42))+1,""),ROW()-56)),"")</f>
        <v>https://www.portcastello.com/</v>
      </c>
      <c r="D59" s="130" t="str">
        <f t="shared" si="3"/>
        <v>N/T</v>
      </c>
      <c r="E59" s="107" t="str">
        <f t="shared" si="2"/>
        <v/>
      </c>
      <c r="G59" s="19"/>
      <c r="H59" s="19"/>
      <c r="I59" s="19"/>
      <c r="J59" s="19"/>
      <c r="K59" s="233"/>
      <c r="L59" s="19"/>
      <c r="M59" s="19"/>
      <c r="N59" s="19"/>
      <c r="O59" s="19"/>
      <c r="P59" s="19"/>
      <c r="Q59" s="19"/>
      <c r="R59" s="19"/>
      <c r="S59" s="19"/>
      <c r="T59" s="19"/>
      <c r="U59" s="19"/>
      <c r="V59" s="19"/>
      <c r="W59" s="19"/>
      <c r="X59" s="19"/>
      <c r="Y59" s="19"/>
    </row>
    <row r="60" spans="1:25" ht="12" customHeight="1">
      <c r="A60" s="219" t="n" cm="1">
        <f t="array" ref="A60">IFERROR(INDEX('03.Muestra'!$B$8:$B$42,SMALL(IF("Página Web"='03.Muestra'!$D$8:$D$42,ROW('03.Muestra'!$B$8:$B$42)-MIN(ROW('03.Muestra'!$D$8:$D$42))+1,""),ROW()-56)),"")</f>
        <v>1.0</v>
      </c>
      <c r="B60" s="114" t="str" cm="1">
        <f t="array" ref="B60">IFERROR(INDEX('03.Muestra'!$C$8:$C$42,SMALL(IF("Página Web"='03.Muestra'!$D$8:$D$42,ROW('03.Muestra'!$C$8:$C$42)-MIN(ROW('03.Muestra'!$D$8:$D$42))+1,""),ROW()-56)),"")</f>
        <v>Home - PortCastelló</v>
      </c>
      <c r="C60" s="114" t="str" cm="1">
        <f t="array" ref="C60">IFERROR(INDEX('03.Muestra'!$F$8:$F$42,SMALL(IF("Página Web"='03.Muestra'!$D$8:$D$42,ROW('03.Muestra'!$F$8:$F$42)-MIN(ROW('03.Muestra'!$D$8:$D$42))+1,""),ROW()-56)),"")</f>
        <v>https://www.portcastello.com/</v>
      </c>
      <c r="D60" s="130" t="str">
        <f t="shared" si="3"/>
        <v>N/T</v>
      </c>
      <c r="E60" s="107" t="str">
        <f t="shared" si="2"/>
        <v/>
      </c>
      <c r="G60" s="19"/>
      <c r="H60" s="19"/>
      <c r="I60" s="19"/>
      <c r="J60" s="19"/>
      <c r="K60" s="233"/>
      <c r="L60" s="19"/>
      <c r="M60" s="19"/>
      <c r="N60" s="19"/>
      <c r="O60" s="19"/>
      <c r="P60" s="19"/>
      <c r="Q60" s="19"/>
      <c r="R60" s="19"/>
      <c r="S60" s="19"/>
      <c r="T60" s="19"/>
      <c r="U60" s="19"/>
      <c r="V60" s="19"/>
      <c r="W60" s="19"/>
      <c r="X60" s="19"/>
      <c r="Y60" s="19"/>
    </row>
    <row r="61" spans="1:25" ht="12" customHeight="1">
      <c r="A61" s="219" t="n" cm="1">
        <f t="array" ref="A61">IFERROR(INDEX('03.Muestra'!$B$8:$B$42,SMALL(IF("Página Web"='03.Muestra'!$D$8:$D$42,ROW('03.Muestra'!$B$8:$B$42)-MIN(ROW('03.Muestra'!$D$8:$D$42))+1,""),ROW()-56)),"")</f>
        <v>1.0</v>
      </c>
      <c r="B61" s="114" t="str" cm="1">
        <f t="array" ref="B61">IFERROR(INDEX('03.Muestra'!$C$8:$C$42,SMALL(IF("Página Web"='03.Muestra'!$D$8:$D$42,ROW('03.Muestra'!$C$8:$C$42)-MIN(ROW('03.Muestra'!$D$8:$D$42))+1,""),ROW()-56)),"")</f>
        <v>Home - PortCastelló</v>
      </c>
      <c r="C61" s="114" t="str" cm="1">
        <f t="array" ref="C61">IFERROR(INDEX('03.Muestra'!$F$8:$F$42,SMALL(IF("Página Web"='03.Muestra'!$D$8:$D$42,ROW('03.Muestra'!$F$8:$F$42)-MIN(ROW('03.Muestra'!$D$8:$D$42))+1,""),ROW()-56)),"")</f>
        <v>https://www.portcastello.com/</v>
      </c>
      <c r="D61" s="130" t="str">
        <f t="shared" si="3"/>
        <v>N/T</v>
      </c>
      <c r="E61" s="107" t="str">
        <f t="shared" si="2"/>
        <v/>
      </c>
      <c r="G61" s="19"/>
      <c r="H61" s="19"/>
      <c r="I61" s="19"/>
      <c r="J61" s="19"/>
      <c r="K61" s="233"/>
      <c r="L61" s="19"/>
      <c r="M61" s="19"/>
      <c r="N61" s="19"/>
      <c r="O61" s="19"/>
      <c r="P61" s="19"/>
      <c r="Q61" s="19"/>
      <c r="R61" s="19"/>
      <c r="S61" s="19"/>
      <c r="T61" s="19"/>
      <c r="U61" s="19"/>
      <c r="V61" s="19"/>
      <c r="W61" s="19"/>
      <c r="X61" s="19"/>
      <c r="Y61" s="19"/>
    </row>
    <row r="62" spans="1:25" ht="12" customHeight="1">
      <c r="A62" s="219" t="n" cm="1">
        <f t="array" ref="A62">IFERROR(INDEX('03.Muestra'!$B$8:$B$42,SMALL(IF("Página Web"='03.Muestra'!$D$8:$D$42,ROW('03.Muestra'!$B$8:$B$42)-MIN(ROW('03.Muestra'!$D$8:$D$42))+1,""),ROW()-56)),"")</f>
        <v>1.0</v>
      </c>
      <c r="B62" s="114" t="str" cm="1">
        <f t="array" ref="B62">IFERROR(INDEX('03.Muestra'!$C$8:$C$42,SMALL(IF("Página Web"='03.Muestra'!$D$8:$D$42,ROW('03.Muestra'!$C$8:$C$42)-MIN(ROW('03.Muestra'!$D$8:$D$42))+1,""),ROW()-56)),"")</f>
        <v>Home - PortCastelló</v>
      </c>
      <c r="C62" s="114" t="str" cm="1">
        <f t="array" ref="C62">IFERROR(INDEX('03.Muestra'!$F$8:$F$42,SMALL(IF("Página Web"='03.Muestra'!$D$8:$D$42,ROW('03.Muestra'!$F$8:$F$42)-MIN(ROW('03.Muestra'!$D$8:$D$42))+1,""),ROW()-56)),"")</f>
        <v>https://www.portcastello.com/</v>
      </c>
      <c r="D62" s="130" t="str">
        <f t="shared" si="3"/>
        <v>N/T</v>
      </c>
      <c r="E62" s="107" t="str">
        <f t="shared" si="2"/>
        <v/>
      </c>
      <c r="G62" s="19"/>
      <c r="H62" s="19"/>
      <c r="I62" s="19"/>
      <c r="J62" s="19"/>
      <c r="K62" s="233"/>
      <c r="L62" s="19"/>
      <c r="M62" s="19"/>
      <c r="N62" s="19"/>
      <c r="O62" s="19"/>
      <c r="P62" s="19"/>
      <c r="Q62" s="19"/>
      <c r="R62" s="19"/>
      <c r="S62" s="19"/>
      <c r="T62" s="19"/>
      <c r="U62" s="19"/>
      <c r="V62" s="19"/>
      <c r="W62" s="19"/>
      <c r="X62" s="19"/>
      <c r="Y62" s="19"/>
    </row>
    <row r="63" spans="1:25" ht="12" customHeight="1">
      <c r="A63" s="219" t="n" cm="1">
        <f t="array" ref="A63">IFERROR(INDEX('03.Muestra'!$B$8:$B$42,SMALL(IF("Página Web"='03.Muestra'!$D$8:$D$42,ROW('03.Muestra'!$B$8:$B$42)-MIN(ROW('03.Muestra'!$D$8:$D$42))+1,""),ROW()-56)),"")</f>
        <v>1.0</v>
      </c>
      <c r="B63" s="114" t="str" cm="1">
        <f t="array" ref="B63">IFERROR(INDEX('03.Muestra'!$C$8:$C$42,SMALL(IF("Página Web"='03.Muestra'!$D$8:$D$42,ROW('03.Muestra'!$C$8:$C$42)-MIN(ROW('03.Muestra'!$D$8:$D$42))+1,""),ROW()-56)),"")</f>
        <v>Home - PortCastelló</v>
      </c>
      <c r="C63" s="114" t="str" cm="1">
        <f t="array" ref="C63">IFERROR(INDEX('03.Muestra'!$F$8:$F$42,SMALL(IF("Página Web"='03.Muestra'!$D$8:$D$42,ROW('03.Muestra'!$F$8:$F$42)-MIN(ROW('03.Muestra'!$D$8:$D$42))+1,""),ROW()-56)),"")</f>
        <v>https://www.portcastello.com/</v>
      </c>
      <c r="D63" s="130" t="str">
        <f t="shared" si="3"/>
        <v>N/T</v>
      </c>
      <c r="E63" s="107" t="str">
        <f t="shared" si="2"/>
        <v/>
      </c>
      <c r="F63" s="19"/>
      <c r="G63" s="19"/>
      <c r="H63" s="19"/>
      <c r="I63" s="19"/>
      <c r="J63" s="19"/>
      <c r="K63" s="233"/>
      <c r="L63" s="19"/>
      <c r="M63" s="19"/>
      <c r="N63" s="19"/>
      <c r="O63" s="19"/>
      <c r="P63" s="19"/>
      <c r="Q63" s="19"/>
      <c r="R63" s="19"/>
      <c r="S63" s="19"/>
      <c r="T63" s="19"/>
      <c r="U63" s="19"/>
      <c r="V63" s="19"/>
      <c r="W63" s="19"/>
      <c r="X63" s="19"/>
      <c r="Y63" s="19"/>
    </row>
    <row r="64" spans="1:25" ht="12" customHeight="1">
      <c r="A64" s="219" t="n" cm="1">
        <f t="array" ref="A64">IFERROR(INDEX('03.Muestra'!$B$8:$B$42,SMALL(IF("Página Web"='03.Muestra'!$D$8:$D$42,ROW('03.Muestra'!$B$8:$B$42)-MIN(ROW('03.Muestra'!$D$8:$D$42))+1,""),ROW()-56)),"")</f>
        <v>1.0</v>
      </c>
      <c r="B64" s="114" t="str" cm="1">
        <f t="array" ref="B64">IFERROR(INDEX('03.Muestra'!$C$8:$C$42,SMALL(IF("Página Web"='03.Muestra'!$D$8:$D$42,ROW('03.Muestra'!$C$8:$C$42)-MIN(ROW('03.Muestra'!$D$8:$D$42))+1,""),ROW()-56)),"")</f>
        <v>Home - PortCastelló</v>
      </c>
      <c r="C64" s="114" t="str" cm="1">
        <f t="array" ref="C64">IFERROR(INDEX('03.Muestra'!$F$8:$F$42,SMALL(IF("Página Web"='03.Muestra'!$D$8:$D$42,ROW('03.Muestra'!$F$8:$F$42)-MIN(ROW('03.Muestra'!$D$8:$D$42))+1,""),ROW()-56)),"")</f>
        <v>https://www.portcastello.com/</v>
      </c>
      <c r="D64" s="130" t="str">
        <f t="shared" si="3"/>
        <v>N/T</v>
      </c>
      <c r="E64" s="107" t="str">
        <f t="shared" si="2"/>
        <v/>
      </c>
      <c r="F64" s="19"/>
      <c r="G64" s="19"/>
      <c r="H64" s="19"/>
      <c r="I64" s="19"/>
      <c r="J64" s="19"/>
      <c r="K64" s="233"/>
      <c r="L64" s="19"/>
      <c r="M64" s="19"/>
      <c r="N64" s="19"/>
      <c r="O64" s="19"/>
      <c r="P64" s="19"/>
      <c r="Q64" s="19"/>
      <c r="R64" s="19"/>
      <c r="S64" s="19"/>
      <c r="T64" s="19"/>
      <c r="U64" s="19"/>
      <c r="V64" s="19"/>
      <c r="W64" s="19"/>
      <c r="X64" s="19"/>
      <c r="Y64" s="19"/>
    </row>
    <row r="65" spans="1:25" ht="12" customHeight="1">
      <c r="A65" s="219" t="n" cm="1">
        <f t="array" ref="A65">IFERROR(INDEX('03.Muestra'!$B$8:$B$42,SMALL(IF("Página Web"='03.Muestra'!$D$8:$D$42,ROW('03.Muestra'!$B$8:$B$42)-MIN(ROW('03.Muestra'!$D$8:$D$42))+1,""),ROW()-56)),"")</f>
        <v>1.0</v>
      </c>
      <c r="B65" s="114" t="str" cm="1">
        <f t="array" ref="B65">IFERROR(INDEX('03.Muestra'!$C$8:$C$42,SMALL(IF("Página Web"='03.Muestra'!$D$8:$D$42,ROW('03.Muestra'!$C$8:$C$42)-MIN(ROW('03.Muestra'!$D$8:$D$42))+1,""),ROW()-56)),"")</f>
        <v>Home - PortCastelló</v>
      </c>
      <c r="C65" s="114" t="str" cm="1">
        <f t="array" ref="C65">IFERROR(INDEX('03.Muestra'!$F$8:$F$42,SMALL(IF("Página Web"='03.Muestra'!$D$8:$D$42,ROW('03.Muestra'!$F$8:$F$42)-MIN(ROW('03.Muestra'!$D$8:$D$42))+1,""),ROW()-56)),"")</f>
        <v>https://www.portcastello.com/</v>
      </c>
      <c r="D65" s="130" t="str">
        <f t="shared" si="3"/>
        <v>N/T</v>
      </c>
      <c r="E65" s="107" t="str">
        <f t="shared" si="2"/>
        <v/>
      </c>
      <c r="F65" s="19"/>
      <c r="G65" s="19"/>
      <c r="H65" s="19"/>
      <c r="I65" s="19"/>
      <c r="J65" s="19"/>
      <c r="K65" s="233"/>
      <c r="L65" s="19"/>
      <c r="M65" s="19"/>
      <c r="N65" s="19"/>
      <c r="O65" s="19"/>
      <c r="P65" s="19"/>
      <c r="Q65" s="19"/>
      <c r="R65" s="19"/>
      <c r="S65" s="19"/>
      <c r="T65" s="19"/>
      <c r="U65" s="19"/>
      <c r="V65" s="19"/>
      <c r="W65" s="19"/>
      <c r="X65" s="19"/>
      <c r="Y65" s="19"/>
    </row>
    <row r="66" spans="1:25" ht="12" customHeight="1">
      <c r="A66" s="219" t="n" cm="1">
        <f t="array" ref="A66">IFERROR(INDEX('03.Muestra'!$B$8:$B$42,SMALL(IF("Página Web"='03.Muestra'!$D$8:$D$42,ROW('03.Muestra'!$B$8:$B$42)-MIN(ROW('03.Muestra'!$D$8:$D$42))+1,""),ROW()-56)),"")</f>
        <v>1.0</v>
      </c>
      <c r="B66" s="114" t="str" cm="1">
        <f t="array" ref="B66">IFERROR(INDEX('03.Muestra'!$C$8:$C$42,SMALL(IF("Página Web"='03.Muestra'!$D$8:$D$42,ROW('03.Muestra'!$C$8:$C$42)-MIN(ROW('03.Muestra'!$D$8:$D$42))+1,""),ROW()-56)),"")</f>
        <v>Home - PortCastelló</v>
      </c>
      <c r="C66" s="114" t="str" cm="1">
        <f t="array" ref="C66">IFERROR(INDEX('03.Muestra'!$F$8:$F$42,SMALL(IF("Página Web"='03.Muestra'!$D$8:$D$42,ROW('03.Muestra'!$F$8:$F$42)-MIN(ROW('03.Muestra'!$D$8:$D$42))+1,""),ROW()-56)),"")</f>
        <v>https://www.portcastello.com/</v>
      </c>
      <c r="D66" s="130" t="str">
        <f t="shared" si="3"/>
        <v>N/T</v>
      </c>
      <c r="E66" s="107" t="str">
        <f t="shared" si="2"/>
        <v/>
      </c>
      <c r="F66" s="19"/>
      <c r="G66" s="19"/>
      <c r="H66" s="19"/>
      <c r="I66" s="19"/>
      <c r="J66" s="19"/>
      <c r="K66" s="233"/>
      <c r="L66" s="19"/>
      <c r="M66" s="19"/>
      <c r="N66" s="19"/>
      <c r="O66" s="19"/>
      <c r="P66" s="19"/>
      <c r="Q66" s="19"/>
      <c r="R66" s="19"/>
      <c r="S66" s="19"/>
      <c r="T66" s="19"/>
      <c r="U66" s="19"/>
      <c r="V66" s="19"/>
      <c r="W66" s="19"/>
      <c r="X66" s="19"/>
      <c r="Y66" s="19"/>
    </row>
    <row r="67" spans="1:25" ht="12" customHeight="1">
      <c r="A67" s="219" t="n" cm="1">
        <f t="array" ref="A67">IFERROR(INDEX('03.Muestra'!$B$8:$B$42,SMALL(IF("Página Web"='03.Muestra'!$D$8:$D$42,ROW('03.Muestra'!$B$8:$B$42)-MIN(ROW('03.Muestra'!$D$8:$D$42))+1,""),ROW()-56)),"")</f>
        <v>1.0</v>
      </c>
      <c r="B67" s="114" t="str" cm="1">
        <f t="array" ref="B67">IFERROR(INDEX('03.Muestra'!$C$8:$C$42,SMALL(IF("Página Web"='03.Muestra'!$D$8:$D$42,ROW('03.Muestra'!$C$8:$C$42)-MIN(ROW('03.Muestra'!$D$8:$D$42))+1,""),ROW()-56)),"")</f>
        <v>Home - PortCastelló</v>
      </c>
      <c r="C67" s="114" t="str" cm="1">
        <f t="array" ref="C67">IFERROR(INDEX('03.Muestra'!$F$8:$F$42,SMALL(IF("Página Web"='03.Muestra'!$D$8:$D$42,ROW('03.Muestra'!$F$8:$F$42)-MIN(ROW('03.Muestra'!$D$8:$D$42))+1,""),ROW()-56)),"")</f>
        <v>https://www.portcastello.com/</v>
      </c>
      <c r="D67" s="130" t="str">
        <f t="shared" si="3"/>
        <v>N/T</v>
      </c>
      <c r="E67" s="107" t="str">
        <f t="shared" si="2"/>
        <v/>
      </c>
      <c r="F67" s="19"/>
      <c r="G67" s="19"/>
      <c r="H67" s="19"/>
      <c r="I67" s="19"/>
      <c r="J67" s="19"/>
      <c r="K67" s="233"/>
      <c r="L67" s="19"/>
      <c r="M67" s="19"/>
      <c r="N67" s="19"/>
      <c r="O67" s="19"/>
      <c r="P67" s="19"/>
      <c r="Q67" s="19"/>
      <c r="R67" s="19"/>
      <c r="S67" s="19"/>
      <c r="T67" s="19"/>
      <c r="U67" s="19"/>
      <c r="V67" s="19"/>
      <c r="W67" s="19"/>
      <c r="X67" s="19"/>
      <c r="Y67" s="19"/>
    </row>
    <row r="68" spans="1:25" ht="12" customHeight="1">
      <c r="A68" s="219" t="n" cm="1">
        <f t="array" ref="A68">IFERROR(INDEX('03.Muestra'!$B$8:$B$42,SMALL(IF("Página Web"='03.Muestra'!$D$8:$D$42,ROW('03.Muestra'!$B$8:$B$42)-MIN(ROW('03.Muestra'!$D$8:$D$42))+1,""),ROW()-56)),"")</f>
        <v>1.0</v>
      </c>
      <c r="B68" s="114" t="str" cm="1">
        <f t="array" ref="B68">IFERROR(INDEX('03.Muestra'!$C$8:$C$42,SMALL(IF("Página Web"='03.Muestra'!$D$8:$D$42,ROW('03.Muestra'!$C$8:$C$42)-MIN(ROW('03.Muestra'!$D$8:$D$42))+1,""),ROW()-56)),"")</f>
        <v>Home - PortCastelló</v>
      </c>
      <c r="C68" s="114" t="str" cm="1">
        <f t="array" ref="C68">IFERROR(INDEX('03.Muestra'!$F$8:$F$42,SMALL(IF("Página Web"='03.Muestra'!$D$8:$D$42,ROW('03.Muestra'!$F$8:$F$42)-MIN(ROW('03.Muestra'!$D$8:$D$42))+1,""),ROW()-56)),"")</f>
        <v>https://www.portcastello.com/</v>
      </c>
      <c r="D68" s="130" t="str">
        <f t="shared" si="3"/>
        <v>N/T</v>
      </c>
      <c r="E68" s="107" t="str">
        <f t="shared" si="2"/>
        <v/>
      </c>
      <c r="F68" s="19"/>
      <c r="G68" s="19"/>
      <c r="H68" s="19"/>
      <c r="I68" s="19"/>
      <c r="J68" s="19"/>
      <c r="K68" s="233"/>
      <c r="L68" s="19"/>
      <c r="M68" s="19"/>
      <c r="N68" s="19"/>
      <c r="O68" s="19"/>
      <c r="P68" s="19"/>
      <c r="Q68" s="19"/>
      <c r="R68" s="19"/>
      <c r="S68" s="19"/>
      <c r="T68" s="19"/>
      <c r="U68" s="19"/>
      <c r="V68" s="19"/>
      <c r="W68" s="19"/>
      <c r="X68" s="19"/>
      <c r="Y68" s="19"/>
    </row>
    <row r="69" spans="1:25" ht="12" customHeight="1">
      <c r="A69" s="219" t="n" cm="1">
        <f t="array" ref="A69">IFERROR(INDEX('03.Muestra'!$B$8:$B$42,SMALL(IF("Página Web"='03.Muestra'!$D$8:$D$42,ROW('03.Muestra'!$B$8:$B$42)-MIN(ROW('03.Muestra'!$D$8:$D$42))+1,""),ROW()-56)),"")</f>
        <v>1.0</v>
      </c>
      <c r="B69" s="114" t="str" cm="1">
        <f t="array" ref="B69">IFERROR(INDEX('03.Muestra'!$C$8:$C$42,SMALL(IF("Página Web"='03.Muestra'!$D$8:$D$42,ROW('03.Muestra'!$C$8:$C$42)-MIN(ROW('03.Muestra'!$D$8:$D$42))+1,""),ROW()-56)),"")</f>
        <v>Home - PortCastelló</v>
      </c>
      <c r="C69" s="114" t="str" cm="1">
        <f t="array" ref="C69">IFERROR(INDEX('03.Muestra'!$F$8:$F$42,SMALL(IF("Página Web"='03.Muestra'!$D$8:$D$42,ROW('03.Muestra'!$F$8:$F$42)-MIN(ROW('03.Muestra'!$D$8:$D$42))+1,""),ROW()-56)),"")</f>
        <v>https://www.portcastello.com/</v>
      </c>
      <c r="D69" s="130" t="str">
        <f t="shared" si="3"/>
        <v>N/T</v>
      </c>
      <c r="E69" s="107" t="str">
        <f t="shared" si="2"/>
        <v/>
      </c>
      <c r="F69" s="19"/>
      <c r="G69" s="19"/>
      <c r="H69" s="19"/>
      <c r="I69" s="19"/>
      <c r="J69" s="19"/>
      <c r="K69" s="233"/>
      <c r="L69" s="19"/>
      <c r="M69" s="19"/>
      <c r="N69" s="19"/>
      <c r="O69" s="19"/>
      <c r="P69" s="19"/>
      <c r="Q69" s="19"/>
      <c r="R69" s="19"/>
      <c r="S69" s="19"/>
      <c r="T69" s="19"/>
      <c r="U69" s="19"/>
      <c r="V69" s="19"/>
      <c r="W69" s="19"/>
      <c r="X69" s="19"/>
      <c r="Y69" s="19"/>
    </row>
    <row r="70" spans="1:25" ht="12" customHeight="1">
      <c r="A70" s="219" t="n" cm="1">
        <f t="array" ref="A70">IFERROR(INDEX('03.Muestra'!$B$8:$B$42,SMALL(IF("Página Web"='03.Muestra'!$D$8:$D$42,ROW('03.Muestra'!$B$8:$B$42)-MIN(ROW('03.Muestra'!$D$8:$D$42))+1,""),ROW()-56)),"")</f>
        <v>1.0</v>
      </c>
      <c r="B70" s="114" t="str" cm="1">
        <f t="array" ref="B70">IFERROR(INDEX('03.Muestra'!$C$8:$C$42,SMALL(IF("Página Web"='03.Muestra'!$D$8:$D$42,ROW('03.Muestra'!$C$8:$C$42)-MIN(ROW('03.Muestra'!$D$8:$D$42))+1,""),ROW()-56)),"")</f>
        <v>Home - PortCastelló</v>
      </c>
      <c r="C70" s="114" t="str" cm="1">
        <f t="array" ref="C70">IFERROR(INDEX('03.Muestra'!$F$8:$F$42,SMALL(IF("Página Web"='03.Muestra'!$D$8:$D$42,ROW('03.Muestra'!$F$8:$F$42)-MIN(ROW('03.Muestra'!$D$8:$D$42))+1,""),ROW()-56)),"")</f>
        <v>https://www.portcastello.com/</v>
      </c>
      <c r="D70" s="130" t="str">
        <f t="shared" si="3"/>
        <v>N/T</v>
      </c>
      <c r="E70" s="107" t="str">
        <f t="shared" si="2"/>
        <v/>
      </c>
      <c r="F70" s="19"/>
      <c r="G70" s="19"/>
      <c r="H70" s="19"/>
      <c r="I70" s="19"/>
      <c r="J70" s="19"/>
      <c r="K70" s="233"/>
      <c r="L70" s="19"/>
      <c r="M70" s="19"/>
      <c r="N70" s="19"/>
      <c r="O70" s="19"/>
      <c r="P70" s="19"/>
      <c r="Q70" s="19"/>
      <c r="R70" s="19"/>
      <c r="S70" s="19"/>
      <c r="T70" s="19"/>
      <c r="U70" s="19"/>
      <c r="V70" s="19"/>
      <c r="W70" s="19"/>
      <c r="X70" s="19"/>
      <c r="Y70" s="19"/>
    </row>
    <row r="71" spans="1:25" ht="12" customHeight="1">
      <c r="A71" s="219" t="n" cm="1">
        <f t="array" ref="A71">IFERROR(INDEX('03.Muestra'!$B$8:$B$42,SMALL(IF("Página Web"='03.Muestra'!$D$8:$D$42,ROW('03.Muestra'!$B$8:$B$42)-MIN(ROW('03.Muestra'!$D$8:$D$42))+1,""),ROW()-56)),"")</f>
        <v>1.0</v>
      </c>
      <c r="B71" s="114" t="str" cm="1">
        <f t="array" ref="B71">IFERROR(INDEX('03.Muestra'!$C$8:$C$42,SMALL(IF("Página Web"='03.Muestra'!$D$8:$D$42,ROW('03.Muestra'!$C$8:$C$42)-MIN(ROW('03.Muestra'!$D$8:$D$42))+1,""),ROW()-56)),"")</f>
        <v>Home - PortCastelló</v>
      </c>
      <c r="C71" s="114" t="str" cm="1">
        <f t="array" ref="C71">IFERROR(INDEX('03.Muestra'!$F$8:$F$42,SMALL(IF("Página Web"='03.Muestra'!$D$8:$D$42,ROW('03.Muestra'!$F$8:$F$42)-MIN(ROW('03.Muestra'!$D$8:$D$42))+1,""),ROW()-56)),"")</f>
        <v>https://www.portcastello.com/</v>
      </c>
      <c r="D71" s="130" t="str">
        <f t="shared" si="3"/>
        <v>N/T</v>
      </c>
      <c r="E71" s="107" t="str">
        <f t="shared" si="2"/>
        <v/>
      </c>
      <c r="F71" s="19"/>
      <c r="G71" s="19"/>
      <c r="H71" s="19"/>
      <c r="I71" s="19"/>
      <c r="J71" s="19"/>
      <c r="K71" s="233"/>
      <c r="L71" s="19"/>
      <c r="M71" s="19"/>
      <c r="N71" s="19"/>
      <c r="O71" s="19"/>
      <c r="P71" s="19"/>
      <c r="Q71" s="19"/>
      <c r="R71" s="19"/>
      <c r="S71" s="19"/>
      <c r="T71" s="19"/>
      <c r="U71" s="19"/>
      <c r="V71" s="19"/>
      <c r="W71" s="19"/>
      <c r="X71" s="19"/>
      <c r="Y71" s="19"/>
    </row>
    <row r="72" spans="1:25" ht="12" customHeight="1">
      <c r="A72" s="219" t="n" cm="1">
        <f t="array" ref="A72">IFERROR(INDEX('03.Muestra'!$B$8:$B$42,SMALL(IF("Página Web"='03.Muestra'!$D$8:$D$42,ROW('03.Muestra'!$B$8:$B$42)-MIN(ROW('03.Muestra'!$D$8:$D$42))+1,""),ROW()-56)),"")</f>
        <v>1.0</v>
      </c>
      <c r="B72" s="114" t="str" cm="1">
        <f t="array" ref="B72">IFERROR(INDEX('03.Muestra'!$C$8:$C$42,SMALL(IF("Página Web"='03.Muestra'!$D$8:$D$42,ROW('03.Muestra'!$C$8:$C$42)-MIN(ROW('03.Muestra'!$D$8:$D$42))+1,""),ROW()-56)),"")</f>
        <v>Home - PortCastelló</v>
      </c>
      <c r="C72" s="114" t="str" cm="1">
        <f t="array" ref="C72">IFERROR(INDEX('03.Muestra'!$F$8:$F$42,SMALL(IF("Página Web"='03.Muestra'!$D$8:$D$42,ROW('03.Muestra'!$F$8:$F$42)-MIN(ROW('03.Muestra'!$D$8:$D$42))+1,""),ROW()-56)),"")</f>
        <v>https://www.portcastello.com/</v>
      </c>
      <c r="D72" s="130" t="str">
        <f t="shared" si="3"/>
        <v>N/T</v>
      </c>
      <c r="E72" s="107" t="str">
        <f t="shared" si="2"/>
        <v/>
      </c>
      <c r="F72" s="19"/>
      <c r="G72" s="19"/>
      <c r="H72" s="19"/>
      <c r="I72" s="19"/>
      <c r="J72" s="19"/>
      <c r="K72" s="233"/>
      <c r="L72" s="19"/>
      <c r="M72" s="19"/>
      <c r="N72" s="19"/>
      <c r="O72" s="19"/>
      <c r="P72" s="19"/>
      <c r="Q72" s="19"/>
      <c r="R72" s="19"/>
      <c r="S72" s="19"/>
      <c r="T72" s="19"/>
      <c r="U72" s="19"/>
      <c r="V72" s="19"/>
      <c r="W72" s="19"/>
      <c r="X72" s="19"/>
      <c r="Y72" s="19"/>
    </row>
    <row r="73" spans="1:25" ht="12" customHeight="1">
      <c r="A73" s="219" t="n" cm="1">
        <f t="array" ref="A73">IFERROR(INDEX('03.Muestra'!$B$8:$B$42,SMALL(IF("Página Web"='03.Muestra'!$D$8:$D$42,ROW('03.Muestra'!$B$8:$B$42)-MIN(ROW('03.Muestra'!$D$8:$D$42))+1,""),ROW()-56)),"")</f>
        <v>1.0</v>
      </c>
      <c r="B73" s="114" t="str" cm="1">
        <f t="array" ref="B73">IFERROR(INDEX('03.Muestra'!$C$8:$C$42,SMALL(IF("Página Web"='03.Muestra'!$D$8:$D$42,ROW('03.Muestra'!$C$8:$C$42)-MIN(ROW('03.Muestra'!$D$8:$D$42))+1,""),ROW()-56)),"")</f>
        <v>Home - PortCastelló</v>
      </c>
      <c r="C73" s="114" t="str" cm="1">
        <f t="array" ref="C73">IFERROR(INDEX('03.Muestra'!$F$8:$F$42,SMALL(IF("Página Web"='03.Muestra'!$D$8:$D$42,ROW('03.Muestra'!$F$8:$F$42)-MIN(ROW('03.Muestra'!$D$8:$D$42))+1,""),ROW()-56)),"")</f>
        <v>https://www.portcastello.com/</v>
      </c>
      <c r="D73" s="130" t="str">
        <f t="shared" si="3"/>
        <v>N/T</v>
      </c>
      <c r="E73" s="107" t="str">
        <f t="shared" si="2"/>
        <v/>
      </c>
      <c r="F73" s="19"/>
      <c r="G73" s="19"/>
      <c r="H73" s="19"/>
      <c r="I73" s="19"/>
      <c r="J73" s="19"/>
      <c r="K73" s="233"/>
      <c r="L73" s="19"/>
      <c r="M73" s="19"/>
      <c r="N73" s="19"/>
      <c r="O73" s="19"/>
      <c r="P73" s="19"/>
      <c r="Q73" s="19"/>
      <c r="R73" s="19"/>
      <c r="S73" s="19"/>
      <c r="T73" s="19"/>
      <c r="U73" s="19"/>
      <c r="V73" s="19"/>
      <c r="W73" s="19"/>
      <c r="X73" s="19"/>
      <c r="Y73" s="19"/>
    </row>
    <row r="74" spans="1:25" ht="12" customHeight="1">
      <c r="A74" s="219" t="n" cm="1">
        <f t="array" ref="A74">IFERROR(INDEX('03.Muestra'!$B$8:$B$42,SMALL(IF("Página Web"='03.Muestra'!$D$8:$D$42,ROW('03.Muestra'!$B$8:$B$42)-MIN(ROW('03.Muestra'!$D$8:$D$42))+1,""),ROW()-56)),"")</f>
        <v>1.0</v>
      </c>
      <c r="B74" s="114" t="str" cm="1">
        <f t="array" ref="B74">IFERROR(INDEX('03.Muestra'!$C$8:$C$42,SMALL(IF("Página Web"='03.Muestra'!$D$8:$D$42,ROW('03.Muestra'!$C$8:$C$42)-MIN(ROW('03.Muestra'!$D$8:$D$42))+1,""),ROW()-56)),"")</f>
        <v>Home - PortCastelló</v>
      </c>
      <c r="C74" s="114" t="str" cm="1">
        <f t="array" ref="C74">IFERROR(INDEX('03.Muestra'!$F$8:$F$42,SMALL(IF("Página Web"='03.Muestra'!$D$8:$D$42,ROW('03.Muestra'!$F$8:$F$42)-MIN(ROW('03.Muestra'!$D$8:$D$42))+1,""),ROW()-56)),"")</f>
        <v>https://www.portcastello.com/</v>
      </c>
      <c r="D74" s="130" t="str">
        <f t="shared" si="3"/>
        <v>N/T</v>
      </c>
      <c r="E74" s="107" t="str">
        <f t="shared" si="2"/>
        <v/>
      </c>
      <c r="F74" s="19"/>
      <c r="G74" s="19"/>
      <c r="H74" s="19"/>
      <c r="I74" s="19"/>
      <c r="J74" s="19"/>
      <c r="K74" s="233"/>
      <c r="L74" s="19"/>
      <c r="M74" s="19"/>
      <c r="N74" s="19"/>
      <c r="O74" s="19"/>
      <c r="P74" s="19"/>
      <c r="Q74" s="19"/>
      <c r="R74" s="19"/>
      <c r="S74" s="19"/>
      <c r="T74" s="19"/>
      <c r="U74" s="19"/>
      <c r="V74" s="19"/>
      <c r="W74" s="19"/>
      <c r="X74" s="19"/>
      <c r="Y74" s="19"/>
    </row>
    <row r="75" spans="1:25" ht="12" customHeight="1">
      <c r="A75" s="219" t="n" cm="1">
        <f t="array" ref="A75">IFERROR(INDEX('03.Muestra'!$B$8:$B$42,SMALL(IF("Página Web"='03.Muestra'!$D$8:$D$42,ROW('03.Muestra'!$B$8:$B$42)-MIN(ROW('03.Muestra'!$D$8:$D$42))+1,""),ROW()-56)),"")</f>
        <v>1.0</v>
      </c>
      <c r="B75" s="114" t="str" cm="1">
        <f t="array" ref="B75">IFERROR(INDEX('03.Muestra'!$C$8:$C$42,SMALL(IF("Página Web"='03.Muestra'!$D$8:$D$42,ROW('03.Muestra'!$C$8:$C$42)-MIN(ROW('03.Muestra'!$D$8:$D$42))+1,""),ROW()-56)),"")</f>
        <v>Home - PortCastelló</v>
      </c>
      <c r="C75" s="114" t="str" cm="1">
        <f t="array" ref="C75">IFERROR(INDEX('03.Muestra'!$F$8:$F$42,SMALL(IF("Página Web"='03.Muestra'!$D$8:$D$42,ROW('03.Muestra'!$F$8:$F$42)-MIN(ROW('03.Muestra'!$D$8:$D$42))+1,""),ROW()-56)),"")</f>
        <v>https://www.portcastello.com/</v>
      </c>
      <c r="D75" s="130" t="str">
        <f t="shared" si="3"/>
        <v>N/T</v>
      </c>
      <c r="E75" s="107" t="str">
        <f t="shared" si="2"/>
        <v/>
      </c>
      <c r="F75" s="19"/>
      <c r="G75" s="19"/>
      <c r="H75" s="19"/>
      <c r="I75" s="19"/>
      <c r="J75" s="19"/>
      <c r="K75" s="233"/>
      <c r="L75" s="19"/>
      <c r="M75" s="19"/>
      <c r="N75" s="19"/>
      <c r="O75" s="19"/>
      <c r="P75" s="19"/>
      <c r="Q75" s="19"/>
      <c r="R75" s="19"/>
      <c r="S75" s="19"/>
      <c r="T75" s="19"/>
      <c r="U75" s="19"/>
      <c r="V75" s="19"/>
      <c r="W75" s="19"/>
      <c r="X75" s="19"/>
      <c r="Y75" s="19"/>
    </row>
    <row r="76" spans="1:25" ht="12" customHeight="1">
      <c r="A76" s="219" t="n" cm="1">
        <f t="array" ref="A76">IFERROR(INDEX('03.Muestra'!$B$8:$B$42,SMALL(IF("Página Web"='03.Muestra'!$D$8:$D$42,ROW('03.Muestra'!$B$8:$B$42)-MIN(ROW('03.Muestra'!$D$8:$D$42))+1,""),ROW()-56)),"")</f>
        <v>1.0</v>
      </c>
      <c r="B76" s="114" t="str" cm="1">
        <f t="array" ref="B76">IFERROR(INDEX('03.Muestra'!$C$8:$C$42,SMALL(IF("Página Web"='03.Muestra'!$D$8:$D$42,ROW('03.Muestra'!$C$8:$C$42)-MIN(ROW('03.Muestra'!$D$8:$D$42))+1,""),ROW()-56)),"")</f>
        <v>Home - PortCastelló</v>
      </c>
      <c r="C76" s="114" t="str" cm="1">
        <f t="array" ref="C76">IFERROR(INDEX('03.Muestra'!$F$8:$F$42,SMALL(IF("Página Web"='03.Muestra'!$D$8:$D$42,ROW('03.Muestra'!$F$8:$F$42)-MIN(ROW('03.Muestra'!$D$8:$D$42))+1,""),ROW()-56)),"")</f>
        <v>https://www.portcastello.com/</v>
      </c>
      <c r="D76" s="130" t="str">
        <f t="shared" si="3"/>
        <v>N/T</v>
      </c>
      <c r="E76" s="107" t="str">
        <f t="shared" si="2"/>
        <v/>
      </c>
      <c r="F76" s="19"/>
      <c r="G76" s="19"/>
      <c r="H76" s="19"/>
      <c r="I76" s="19"/>
      <c r="J76" s="19"/>
      <c r="K76" s="233"/>
      <c r="L76" s="19"/>
      <c r="M76" s="19"/>
      <c r="N76" s="19"/>
      <c r="O76" s="19"/>
      <c r="P76" s="19"/>
      <c r="Q76" s="19"/>
      <c r="R76" s="19"/>
      <c r="S76" s="19"/>
      <c r="T76" s="19"/>
      <c r="U76" s="19"/>
      <c r="V76" s="19"/>
      <c r="W76" s="19"/>
      <c r="X76" s="19"/>
      <c r="Y76" s="19"/>
    </row>
    <row r="77" spans="1:25" ht="12" customHeight="1">
      <c r="A77" s="219" t="n" cm="1">
        <f t="array" ref="A77">IFERROR(INDEX('03.Muestra'!$B$8:$B$42,SMALL(IF("Página Web"='03.Muestra'!$D$8:$D$42,ROW('03.Muestra'!$B$8:$B$42)-MIN(ROW('03.Muestra'!$D$8:$D$42))+1,""),ROW()-56)),"")</f>
        <v>1.0</v>
      </c>
      <c r="B77" s="114" t="str" cm="1">
        <f t="array" ref="B77">IFERROR(INDEX('03.Muestra'!$C$8:$C$42,SMALL(IF("Página Web"='03.Muestra'!$D$8:$D$42,ROW('03.Muestra'!$C$8:$C$42)-MIN(ROW('03.Muestra'!$D$8:$D$42))+1,""),ROW()-56)),"")</f>
        <v>Home - PortCastelló</v>
      </c>
      <c r="C77" s="114" t="str" cm="1">
        <f t="array" ref="C77">IFERROR(INDEX('03.Muestra'!$F$8:$F$42,SMALL(IF("Página Web"='03.Muestra'!$D$8:$D$42,ROW('03.Muestra'!$F$8:$F$42)-MIN(ROW('03.Muestra'!$D$8:$D$42))+1,""),ROW()-56)),"")</f>
        <v>https://www.portcastello.com/</v>
      </c>
      <c r="D77" s="130" t="str">
        <f t="shared" si="3"/>
        <v>N/T</v>
      </c>
      <c r="E77" s="107" t="str">
        <f t="shared" si="2"/>
        <v/>
      </c>
      <c r="F77" s="19"/>
      <c r="G77" s="19"/>
      <c r="H77" s="19"/>
      <c r="I77" s="19"/>
      <c r="J77" s="19"/>
      <c r="K77" s="233"/>
      <c r="L77" s="19"/>
      <c r="M77" s="19"/>
      <c r="N77" s="19"/>
      <c r="O77" s="19"/>
      <c r="P77" s="19"/>
      <c r="Q77" s="19"/>
      <c r="R77" s="19"/>
      <c r="S77" s="19"/>
      <c r="T77" s="19"/>
      <c r="U77" s="19"/>
      <c r="V77" s="19"/>
      <c r="W77" s="19"/>
      <c r="X77" s="19"/>
      <c r="Y77" s="19"/>
    </row>
    <row r="78" spans="1:25" ht="12" customHeight="1">
      <c r="A78" s="219" t="n" cm="1">
        <f t="array" ref="A78">IFERROR(INDEX('03.Muestra'!$B$8:$B$42,SMALL(IF("Página Web"='03.Muestra'!$D$8:$D$42,ROW('03.Muestra'!$B$8:$B$42)-MIN(ROW('03.Muestra'!$D$8:$D$42))+1,""),ROW()-56)),"")</f>
        <v>1.0</v>
      </c>
      <c r="B78" s="114" t="str" cm="1">
        <f t="array" ref="B78">IFERROR(INDEX('03.Muestra'!$C$8:$C$42,SMALL(IF("Página Web"='03.Muestra'!$D$8:$D$42,ROW('03.Muestra'!$C$8:$C$42)-MIN(ROW('03.Muestra'!$D$8:$D$42))+1,""),ROW()-56)),"")</f>
        <v>Home - PortCastelló</v>
      </c>
      <c r="C78" s="114" t="str" cm="1">
        <f t="array" ref="C78">IFERROR(INDEX('03.Muestra'!$F$8:$F$42,SMALL(IF("Página Web"='03.Muestra'!$D$8:$D$42,ROW('03.Muestra'!$F$8:$F$42)-MIN(ROW('03.Muestra'!$D$8:$D$42))+1,""),ROW()-56)),"")</f>
        <v>https://www.portcastello.com/</v>
      </c>
      <c r="D78" s="130" t="str">
        <f t="shared" si="3"/>
        <v>N/T</v>
      </c>
      <c r="E78" s="107" t="str">
        <f t="shared" si="2"/>
        <v/>
      </c>
      <c r="F78" s="19"/>
      <c r="G78" s="19"/>
      <c r="H78" s="19"/>
      <c r="I78" s="19"/>
      <c r="J78" s="19"/>
      <c r="K78" s="233"/>
      <c r="L78" s="19"/>
      <c r="M78" s="19"/>
      <c r="N78" s="19"/>
      <c r="O78" s="19"/>
      <c r="P78" s="19"/>
      <c r="Q78" s="19"/>
      <c r="R78" s="19"/>
      <c r="S78" s="19"/>
      <c r="T78" s="19"/>
      <c r="U78" s="19"/>
      <c r="V78" s="19"/>
      <c r="W78" s="19"/>
      <c r="X78" s="19"/>
      <c r="Y78" s="19"/>
    </row>
    <row r="79" spans="1:25" ht="12" customHeight="1">
      <c r="A79" s="219" t="n" cm="1">
        <f t="array" ref="A79">IFERROR(INDEX('03.Muestra'!$B$8:$B$42,SMALL(IF("Página Web"='03.Muestra'!$D$8:$D$42,ROW('03.Muestra'!$B$8:$B$42)-MIN(ROW('03.Muestra'!$D$8:$D$42))+1,""),ROW()-56)),"")</f>
        <v>1.0</v>
      </c>
      <c r="B79" s="114" t="str" cm="1">
        <f t="array" ref="B79">IFERROR(INDEX('03.Muestra'!$C$8:$C$42,SMALL(IF("Página Web"='03.Muestra'!$D$8:$D$42,ROW('03.Muestra'!$C$8:$C$42)-MIN(ROW('03.Muestra'!$D$8:$D$42))+1,""),ROW()-56)),"")</f>
        <v>Home - PortCastelló</v>
      </c>
      <c r="C79" s="114" t="str" cm="1">
        <f t="array" ref="C79">IFERROR(INDEX('03.Muestra'!$F$8:$F$42,SMALL(IF("Página Web"='03.Muestra'!$D$8:$D$42,ROW('03.Muestra'!$F$8:$F$42)-MIN(ROW('03.Muestra'!$D$8:$D$42))+1,""),ROW()-56)),"")</f>
        <v>https://www.portcastello.com/</v>
      </c>
      <c r="D79" s="130" t="str">
        <f t="shared" si="3"/>
        <v>N/T</v>
      </c>
      <c r="E79" s="107" t="str">
        <f t="shared" si="2"/>
        <v/>
      </c>
      <c r="F79" s="19"/>
      <c r="G79" s="19"/>
      <c r="H79" s="19"/>
      <c r="I79" s="19"/>
      <c r="J79" s="19"/>
      <c r="K79" s="233"/>
      <c r="L79" s="19"/>
      <c r="M79" s="19"/>
      <c r="N79" s="19"/>
      <c r="O79" s="19"/>
      <c r="P79" s="19"/>
      <c r="Q79" s="19"/>
      <c r="R79" s="19"/>
      <c r="S79" s="19"/>
      <c r="T79" s="19"/>
      <c r="U79" s="19"/>
      <c r="V79" s="19"/>
      <c r="W79" s="19"/>
      <c r="X79" s="19"/>
      <c r="Y79" s="19"/>
    </row>
    <row r="80" spans="1:25" ht="12" customHeight="1">
      <c r="A80" s="219" t="n" cm="1">
        <f t="array" ref="A80">IFERROR(INDEX('03.Muestra'!$B$8:$B$42,SMALL(IF("Página Web"='03.Muestra'!$D$8:$D$42,ROW('03.Muestra'!$B$8:$B$42)-MIN(ROW('03.Muestra'!$D$8:$D$42))+1,""),ROW()-56)),"")</f>
        <v>1.0</v>
      </c>
      <c r="B80" s="114" t="str" cm="1">
        <f t="array" ref="B80">IFERROR(INDEX('03.Muestra'!$C$8:$C$42,SMALL(IF("Página Web"='03.Muestra'!$D$8:$D$42,ROW('03.Muestra'!$C$8:$C$42)-MIN(ROW('03.Muestra'!$D$8:$D$42))+1,""),ROW()-56)),"")</f>
        <v>Home - PortCastelló</v>
      </c>
      <c r="C80" s="114" t="str" cm="1">
        <f t="array" ref="C80">IFERROR(INDEX('03.Muestra'!$F$8:$F$42,SMALL(IF("Página Web"='03.Muestra'!$D$8:$D$42,ROW('03.Muestra'!$F$8:$F$42)-MIN(ROW('03.Muestra'!$D$8:$D$42))+1,""),ROW()-56)),"")</f>
        <v>https://www.portcastello.com/</v>
      </c>
      <c r="D80" s="130" t="str">
        <f t="shared" si="3"/>
        <v>N/T</v>
      </c>
      <c r="E80" s="107" t="str">
        <f t="shared" si="2"/>
        <v/>
      </c>
      <c r="F80" s="19"/>
      <c r="G80" s="19"/>
      <c r="H80" s="19"/>
      <c r="I80" s="19"/>
      <c r="J80" s="19"/>
      <c r="K80" s="233"/>
      <c r="L80" s="19"/>
      <c r="M80" s="19"/>
      <c r="N80" s="19"/>
      <c r="O80" s="19"/>
      <c r="P80" s="19"/>
      <c r="Q80" s="19"/>
      <c r="R80" s="19"/>
      <c r="S80" s="19"/>
      <c r="T80" s="19"/>
      <c r="U80" s="19"/>
      <c r="V80" s="19"/>
      <c r="W80" s="19"/>
      <c r="X80" s="19"/>
      <c r="Y80" s="19"/>
    </row>
    <row r="81" spans="1:25" ht="12" customHeight="1">
      <c r="A81" s="219" t="n" cm="1">
        <f t="array" ref="A81">IFERROR(INDEX('03.Muestra'!$B$8:$B$42,SMALL(IF("Página Web"='03.Muestra'!$D$8:$D$42,ROW('03.Muestra'!$B$8:$B$42)-MIN(ROW('03.Muestra'!$D$8:$D$42))+1,""),ROW()-56)),"")</f>
        <v>1.0</v>
      </c>
      <c r="B81" s="114" t="str" cm="1">
        <f t="array" ref="B81">IFERROR(INDEX('03.Muestra'!$C$8:$C$42,SMALL(IF("Página Web"='03.Muestra'!$D$8:$D$42,ROW('03.Muestra'!$C$8:$C$42)-MIN(ROW('03.Muestra'!$D$8:$D$42))+1,""),ROW()-56)),"")</f>
        <v>Home - PortCastelló</v>
      </c>
      <c r="C81" s="114" t="str" cm="1">
        <f t="array" ref="C81">IFERROR(INDEX('03.Muestra'!$F$8:$F$42,SMALL(IF("Página Web"='03.Muestra'!$D$8:$D$42,ROW('03.Muestra'!$F$8:$F$42)-MIN(ROW('03.Muestra'!$D$8:$D$42))+1,""),ROW()-56)),"")</f>
        <v>https://www.portcastello.com/</v>
      </c>
      <c r="D81" s="130" t="str">
        <f t="shared" si="3"/>
        <v>N/T</v>
      </c>
      <c r="E81" s="107" t="str">
        <f t="shared" si="2"/>
        <v/>
      </c>
      <c r="F81" s="19"/>
      <c r="G81" s="19"/>
      <c r="H81" s="19"/>
      <c r="I81" s="19"/>
      <c r="J81" s="19"/>
      <c r="K81" s="233"/>
      <c r="L81" s="19"/>
      <c r="M81" s="19"/>
      <c r="N81" s="19"/>
      <c r="O81" s="19"/>
      <c r="P81" s="19"/>
      <c r="Q81" s="19"/>
      <c r="R81" s="19"/>
      <c r="S81" s="19"/>
      <c r="T81" s="19"/>
      <c r="U81" s="19"/>
      <c r="V81" s="19"/>
      <c r="W81" s="19"/>
      <c r="X81" s="19"/>
      <c r="Y81" s="19"/>
    </row>
    <row r="82" spans="1:25" ht="12" customHeight="1">
      <c r="A82" s="219" t="n" cm="1">
        <f t="array" ref="A82">IFERROR(INDEX('03.Muestra'!$B$8:$B$42,SMALL(IF("Página Web"='03.Muestra'!$D$8:$D$42,ROW('03.Muestra'!$B$8:$B$42)-MIN(ROW('03.Muestra'!$D$8:$D$42))+1,""),ROW()-56)),"")</f>
        <v>1.0</v>
      </c>
      <c r="B82" s="114" t="str" cm="1">
        <f t="array" ref="B82">IFERROR(INDEX('03.Muestra'!$C$8:$C$42,SMALL(IF("Página Web"='03.Muestra'!$D$8:$D$42,ROW('03.Muestra'!$C$8:$C$42)-MIN(ROW('03.Muestra'!$D$8:$D$42))+1,""),ROW()-56)),"")</f>
        <v>Home - PortCastelló</v>
      </c>
      <c r="C82" s="114" t="str" cm="1">
        <f t="array" ref="C82">IFERROR(INDEX('03.Muestra'!$F$8:$F$42,SMALL(IF("Página Web"='03.Muestra'!$D$8:$D$42,ROW('03.Muestra'!$F$8:$F$42)-MIN(ROW('03.Muestra'!$D$8:$D$42))+1,""),ROW()-56)),"")</f>
        <v>https://www.portcastello.com/</v>
      </c>
      <c r="D82" s="130" t="str">
        <f t="shared" si="3"/>
        <v>N/T</v>
      </c>
      <c r="E82" s="107" t="str">
        <f t="shared" si="2"/>
        <v/>
      </c>
      <c r="F82" s="19"/>
      <c r="G82" s="19"/>
      <c r="H82" s="19"/>
      <c r="I82" s="19"/>
      <c r="J82" s="19"/>
      <c r="K82" s="233"/>
      <c r="L82" s="19"/>
      <c r="M82" s="19"/>
      <c r="N82" s="19"/>
      <c r="O82" s="19"/>
      <c r="P82" s="19"/>
      <c r="Q82" s="19"/>
      <c r="R82" s="19"/>
      <c r="S82" s="19"/>
      <c r="T82" s="19"/>
      <c r="U82" s="19"/>
      <c r="V82" s="19"/>
      <c r="W82" s="19"/>
      <c r="X82" s="19"/>
      <c r="Y82" s="19"/>
    </row>
    <row r="83" spans="1:25" ht="12" customHeight="1">
      <c r="A83" s="219" t="n" cm="1">
        <f t="array" ref="A83">IFERROR(INDEX('03.Muestra'!$B$8:$B$42,SMALL(IF("Página Web"='03.Muestra'!$D$8:$D$42,ROW('03.Muestra'!$B$8:$B$42)-MIN(ROW('03.Muestra'!$D$8:$D$42))+1,""),ROW()-56)),"")</f>
        <v>1.0</v>
      </c>
      <c r="B83" s="114" t="str" cm="1">
        <f t="array" ref="B83">IFERROR(INDEX('03.Muestra'!$C$8:$C$42,SMALL(IF("Página Web"='03.Muestra'!$D$8:$D$42,ROW('03.Muestra'!$C$8:$C$42)-MIN(ROW('03.Muestra'!$D$8:$D$42))+1,""),ROW()-56)),"")</f>
        <v>Home - PortCastelló</v>
      </c>
      <c r="C83" s="114" t="str" cm="1">
        <f t="array" ref="C83">IFERROR(INDEX('03.Muestra'!$F$8:$F$42,SMALL(IF("Página Web"='03.Muestra'!$D$8:$D$42,ROW('03.Muestra'!$F$8:$F$42)-MIN(ROW('03.Muestra'!$D$8:$D$42))+1,""),ROW()-56)),"")</f>
        <v>https://www.portcastello.com/</v>
      </c>
      <c r="D83" s="130" t="str">
        <f t="shared" si="3"/>
        <v>N/T</v>
      </c>
      <c r="E83" s="107" t="str">
        <f t="shared" si="2"/>
        <v/>
      </c>
      <c r="F83" s="19"/>
      <c r="G83" s="19"/>
      <c r="H83" s="19"/>
      <c r="I83" s="19"/>
      <c r="J83" s="19"/>
      <c r="K83" s="233"/>
      <c r="L83" s="19"/>
      <c r="M83" s="19"/>
      <c r="N83" s="19"/>
      <c r="O83" s="19"/>
      <c r="P83" s="19"/>
      <c r="Q83" s="19"/>
      <c r="R83" s="19"/>
      <c r="S83" s="19"/>
      <c r="T83" s="19"/>
      <c r="U83" s="19"/>
      <c r="V83" s="19"/>
      <c r="W83" s="19"/>
      <c r="X83" s="19"/>
      <c r="Y83" s="19"/>
    </row>
    <row r="84" spans="1:25" ht="12" customHeight="1">
      <c r="A84" s="219" t="n" cm="1">
        <f t="array" ref="A84">IFERROR(INDEX('03.Muestra'!$B$8:$B$42,SMALL(IF("Página Web"='03.Muestra'!$D$8:$D$42,ROW('03.Muestra'!$B$8:$B$42)-MIN(ROW('03.Muestra'!$D$8:$D$42))+1,""),ROW()-56)),"")</f>
        <v>1.0</v>
      </c>
      <c r="B84" s="114" t="str" cm="1">
        <f t="array" ref="B84">IFERROR(INDEX('03.Muestra'!$C$8:$C$42,SMALL(IF("Página Web"='03.Muestra'!$D$8:$D$42,ROW('03.Muestra'!$C$8:$C$42)-MIN(ROW('03.Muestra'!$D$8:$D$42))+1,""),ROW()-56)),"")</f>
        <v>Home - PortCastelló</v>
      </c>
      <c r="C84" s="114" t="str" cm="1">
        <f t="array" ref="C84">IFERROR(INDEX('03.Muestra'!$F$8:$F$42,SMALL(IF("Página Web"='03.Muestra'!$D$8:$D$42,ROW('03.Muestra'!$F$8:$F$42)-MIN(ROW('03.Muestra'!$D$8:$D$42))+1,""),ROW()-56)),"")</f>
        <v>https://www.portcastello.com/</v>
      </c>
      <c r="D84" s="130" t="str">
        <f t="shared" si="3"/>
        <v>N/T</v>
      </c>
      <c r="E84" s="107" t="str">
        <f t="shared" si="2"/>
        <v/>
      </c>
      <c r="G84" s="19"/>
      <c r="H84" s="19"/>
      <c r="I84" s="19"/>
      <c r="J84" s="19"/>
      <c r="K84" s="233"/>
      <c r="L84" s="19"/>
      <c r="M84" s="19"/>
      <c r="N84" s="19"/>
      <c r="O84" s="19"/>
      <c r="P84" s="19"/>
      <c r="Q84" s="19"/>
      <c r="R84" s="19"/>
      <c r="S84" s="19"/>
      <c r="T84" s="19"/>
      <c r="U84" s="19"/>
      <c r="V84" s="19"/>
      <c r="W84" s="19"/>
      <c r="X84" s="19"/>
      <c r="Y84" s="19"/>
    </row>
    <row r="85" spans="1:25" ht="12" customHeight="1">
      <c r="A85" s="219" t="n" cm="1">
        <f t="array" ref="A85">IFERROR(INDEX('03.Muestra'!$B$8:$B$42,SMALL(IF("Página Web"='03.Muestra'!$D$8:$D$42,ROW('03.Muestra'!$B$8:$B$42)-MIN(ROW('03.Muestra'!$D$8:$D$42))+1,""),ROW()-56)),"")</f>
        <v>1.0</v>
      </c>
      <c r="B85" s="114" t="str" cm="1">
        <f t="array" ref="B85">IFERROR(INDEX('03.Muestra'!$C$8:$C$42,SMALL(IF("Página Web"='03.Muestra'!$D$8:$D$42,ROW('03.Muestra'!$C$8:$C$42)-MIN(ROW('03.Muestra'!$D$8:$D$42))+1,""),ROW()-56)),"")</f>
        <v>Home - PortCastelló</v>
      </c>
      <c r="C85" s="114" t="str" cm="1">
        <f t="array" ref="C85">IFERROR(INDEX('03.Muestra'!$F$8:$F$42,SMALL(IF("Página Web"='03.Muestra'!$D$8:$D$42,ROW('03.Muestra'!$F$8:$F$42)-MIN(ROW('03.Muestra'!$D$8:$D$42))+1,""),ROW()-56)),"")</f>
        <v>https://www.portcastello.com/</v>
      </c>
      <c r="D85" s="130" t="str">
        <f t="shared" si="3"/>
        <v>N/T</v>
      </c>
      <c r="E85" s="107" t="str">
        <f t="shared" si="2"/>
        <v/>
      </c>
      <c r="G85" s="19"/>
      <c r="H85" s="19"/>
      <c r="I85" s="19"/>
      <c r="J85" s="19"/>
      <c r="K85" s="233"/>
      <c r="L85" s="19"/>
      <c r="M85" s="19"/>
      <c r="N85" s="19"/>
      <c r="O85" s="19"/>
      <c r="P85" s="19"/>
      <c r="Q85" s="19"/>
      <c r="R85" s="19"/>
      <c r="S85" s="19"/>
      <c r="T85" s="19"/>
      <c r="U85" s="19"/>
      <c r="V85" s="19"/>
      <c r="W85" s="19"/>
      <c r="X85" s="19"/>
      <c r="Y85" s="19"/>
    </row>
    <row r="86" spans="1:25" ht="12" customHeight="1">
      <c r="A86" s="219" t="n" cm="1">
        <f t="array" ref="A86">IFERROR(INDEX('03.Muestra'!$B$8:$B$42,SMALL(IF("Página Web"='03.Muestra'!$D$8:$D$42,ROW('03.Muestra'!$B$8:$B$42)-MIN(ROW('03.Muestra'!$D$8:$D$42))+1,""),ROW()-56)),"")</f>
        <v>1.0</v>
      </c>
      <c r="B86" s="114" t="str" cm="1">
        <f t="array" ref="B86">IFERROR(INDEX('03.Muestra'!$C$8:$C$42,SMALL(IF("Página Web"='03.Muestra'!$D$8:$D$42,ROW('03.Muestra'!$C$8:$C$42)-MIN(ROW('03.Muestra'!$D$8:$D$42))+1,""),ROW()-56)),"")</f>
        <v>Home - PortCastelló</v>
      </c>
      <c r="C86" s="114" t="str" cm="1">
        <f t="array" ref="C86">IFERROR(INDEX('03.Muestra'!$F$8:$F$42,SMALL(IF("Página Web"='03.Muestra'!$D$8:$D$42,ROW('03.Muestra'!$F$8:$F$42)-MIN(ROW('03.Muestra'!$D$8:$D$42))+1,""),ROW()-56)),"")</f>
        <v>https://www.portcastello.com/</v>
      </c>
      <c r="D86" s="130" t="str">
        <f t="shared" si="3"/>
        <v>N/T</v>
      </c>
      <c r="E86" s="107" t="str">
        <f t="shared" si="2"/>
        <v/>
      </c>
      <c r="G86" s="19"/>
      <c r="H86" s="19"/>
      <c r="I86" s="19"/>
      <c r="J86" s="19"/>
      <c r="K86" s="233"/>
      <c r="L86" s="19"/>
      <c r="M86" s="19"/>
      <c r="N86" s="19"/>
      <c r="O86" s="19"/>
      <c r="P86" s="19"/>
      <c r="Q86" s="19"/>
      <c r="R86" s="19"/>
      <c r="S86" s="19"/>
      <c r="T86" s="19"/>
      <c r="U86" s="19"/>
      <c r="V86" s="19"/>
      <c r="W86" s="19"/>
      <c r="X86" s="19"/>
      <c r="Y86" s="19"/>
    </row>
    <row r="87" spans="1:25" ht="12" customHeight="1">
      <c r="A87" s="219" t="n" cm="1">
        <f t="array" ref="A87">IFERROR(INDEX('03.Muestra'!$B$8:$B$42,SMALL(IF("Página Web"='03.Muestra'!$D$8:$D$42,ROW('03.Muestra'!$B$8:$B$42)-MIN(ROW('03.Muestra'!$D$8:$D$42))+1,""),ROW()-56)),"")</f>
        <v>1.0</v>
      </c>
      <c r="B87" s="114" t="str" cm="1">
        <f t="array" ref="B87">IFERROR(INDEX('03.Muestra'!$C$8:$C$42,SMALL(IF("Página Web"='03.Muestra'!$D$8:$D$42,ROW('03.Muestra'!$C$8:$C$42)-MIN(ROW('03.Muestra'!$D$8:$D$42))+1,""),ROW()-56)),"")</f>
        <v>Home - PortCastelló</v>
      </c>
      <c r="C87" s="114" t="str" cm="1">
        <f t="array" ref="C87">IFERROR(INDEX('03.Muestra'!$F$8:$F$42,SMALL(IF("Página Web"='03.Muestra'!$D$8:$D$42,ROW('03.Muestra'!$F$8:$F$42)-MIN(ROW('03.Muestra'!$D$8:$D$42))+1,""),ROW()-56)),"")</f>
        <v>https://www.portcastello.com/</v>
      </c>
      <c r="D87" s="130" t="str">
        <f t="shared" si="3"/>
        <v>N/T</v>
      </c>
      <c r="E87" s="107" t="str">
        <f t="shared" si="2"/>
        <v/>
      </c>
      <c r="G87" s="19"/>
      <c r="H87" s="19"/>
      <c r="I87" s="19"/>
      <c r="J87" s="19"/>
      <c r="K87" s="233"/>
      <c r="L87" s="19"/>
      <c r="M87" s="19"/>
      <c r="N87" s="19"/>
      <c r="O87" s="19"/>
      <c r="P87" s="19"/>
      <c r="Q87" s="19"/>
      <c r="R87" s="19"/>
      <c r="S87" s="19"/>
      <c r="T87" s="19"/>
      <c r="U87" s="19"/>
      <c r="V87" s="19"/>
      <c r="W87" s="19"/>
      <c r="X87" s="19"/>
      <c r="Y87" s="19"/>
    </row>
    <row r="88" spans="1:25" ht="12" customHeight="1">
      <c r="A88" s="219" t="n" cm="1">
        <f t="array" ref="A88">IFERROR(INDEX('03.Muestra'!$B$8:$B$42,SMALL(IF("Página Web"='03.Muestra'!$D$8:$D$42,ROW('03.Muestra'!$B$8:$B$42)-MIN(ROW('03.Muestra'!$D$8:$D$42))+1,""),ROW()-56)),"")</f>
        <v>1.0</v>
      </c>
      <c r="B88" s="114" t="str" cm="1">
        <f t="array" ref="B88">IFERROR(INDEX('03.Muestra'!$C$8:$C$42,SMALL(IF("Página Web"='03.Muestra'!$D$8:$D$42,ROW('03.Muestra'!$C$8:$C$42)-MIN(ROW('03.Muestra'!$D$8:$D$42))+1,""),ROW()-56)),"")</f>
        <v>Home - PortCastelló</v>
      </c>
      <c r="C88" s="114" t="str" cm="1">
        <f t="array" ref="C88">IFERROR(INDEX('03.Muestra'!$F$8:$F$42,SMALL(IF("Página Web"='03.Muestra'!$D$8:$D$42,ROW('03.Muestra'!$F$8:$F$42)-MIN(ROW('03.Muestra'!$D$8:$D$42))+1,""),ROW()-56)),"")</f>
        <v>https://www.portcastello.com/</v>
      </c>
      <c r="D88" s="130" t="str">
        <f t="shared" si="3"/>
        <v>N/T</v>
      </c>
      <c r="E88" s="107" t="str">
        <f t="shared" si="2"/>
        <v/>
      </c>
      <c r="G88" s="19"/>
      <c r="H88" s="19"/>
      <c r="I88" s="19"/>
      <c r="J88" s="19"/>
      <c r="K88" s="233"/>
      <c r="L88" s="19"/>
      <c r="M88" s="19"/>
      <c r="N88" s="19"/>
      <c r="O88" s="19"/>
      <c r="P88" s="19"/>
      <c r="Q88" s="19"/>
      <c r="R88" s="19"/>
      <c r="S88" s="19"/>
      <c r="T88" s="19"/>
      <c r="U88" s="19"/>
      <c r="V88" s="19"/>
      <c r="W88" s="19"/>
      <c r="X88" s="19"/>
      <c r="Y88" s="19"/>
    </row>
    <row r="89" spans="1:25" ht="12" customHeight="1">
      <c r="A89" s="219" t="n" cm="1">
        <f t="array" ref="A89">IFERROR(INDEX('03.Muestra'!$B$8:$B$42,SMALL(IF("Página Web"='03.Muestra'!$D$8:$D$42,ROW('03.Muestra'!$B$8:$B$42)-MIN(ROW('03.Muestra'!$D$8:$D$42))+1,""),ROW()-56)),"")</f>
        <v>1.0</v>
      </c>
      <c r="B89" s="114" t="str" cm="1">
        <f t="array" ref="B89">IFERROR(INDEX('03.Muestra'!$C$8:$C$42,SMALL(IF("Página Web"='03.Muestra'!$D$8:$D$42,ROW('03.Muestra'!$C$8:$C$42)-MIN(ROW('03.Muestra'!$D$8:$D$42))+1,""),ROW()-56)),"")</f>
        <v>Home - PortCastelló</v>
      </c>
      <c r="C89" s="114" t="str" cm="1">
        <f t="array" ref="C89">IFERROR(INDEX('03.Muestra'!$F$8:$F$42,SMALL(IF("Página Web"='03.Muestra'!$D$8:$D$42,ROW('03.Muestra'!$F$8:$F$42)-MIN(ROW('03.Muestra'!$D$8:$D$42))+1,""),ROW()-56)),"")</f>
        <v>https://www.portcastello.com/</v>
      </c>
      <c r="D89" s="130" t="str">
        <f t="shared" si="3"/>
        <v>N/T</v>
      </c>
      <c r="E89" s="107" t="str">
        <f t="shared" si="2"/>
        <v/>
      </c>
      <c r="G89" s="19"/>
      <c r="H89" s="19"/>
      <c r="I89" s="19"/>
      <c r="J89" s="19"/>
      <c r="K89" s="233"/>
      <c r="L89" s="19"/>
      <c r="M89" s="19"/>
      <c r="N89" s="19"/>
      <c r="O89" s="19"/>
      <c r="P89" s="19"/>
      <c r="Q89" s="19"/>
      <c r="R89" s="19"/>
      <c r="S89" s="19"/>
      <c r="T89" s="19"/>
      <c r="U89" s="19"/>
      <c r="V89" s="19"/>
      <c r="W89" s="19"/>
      <c r="X89" s="19"/>
      <c r="Y89" s="19"/>
    </row>
    <row r="90" spans="1:25" ht="12" customHeight="1">
      <c r="A90" s="219" t="str" cm="1">
        <f t="array" ref="A90">IFERROR(INDEX('03.Muestra'!$B$8:$B$42,SMALL(IF("Página Web"='03.Muestra'!$D$8:$D$42,ROW('03.Muestra'!$B$8:$B$42)-MIN(ROW('03.Muestra'!$D$8:$D$42))+1,""),ROW()-56)),"")</f>
        <v/>
      </c>
      <c r="B90" s="114" t="str" cm="1">
        <f t="array" ref="B90">IFERROR(INDEX('03.Muestra'!$C$8:$C$42,SMALL(IF("Página Web"='03.Muestra'!$D$8:$D$42,ROW('03.Muestra'!$C$8:$C$42)-MIN(ROW('03.Muestra'!$D$8:$D$42))+1,""),ROW()-56)),"")</f>
        <v/>
      </c>
      <c r="C90" s="114" t="str" cm="1">
        <f t="array" ref="C90">IFERROR(INDEX('03.Muestra'!$F$8:$F$42,SMALL(IF("Página Web"='03.Muestra'!$D$8:$D$42,ROW('03.Muestra'!$F$8:$F$42)-MIN(ROW('03.Muestra'!$D$8:$D$42))+1,""),ROW()-56)),"")</f>
        <v/>
      </c>
      <c r="D90" s="130" t="str">
        <f t="shared" si="3"/>
        <v/>
      </c>
      <c r="E90" s="107" t="str">
        <f t="shared" si="2"/>
        <v/>
      </c>
      <c r="F90" s="124"/>
      <c r="G90" s="19"/>
      <c r="H90" s="19"/>
      <c r="I90" s="19"/>
      <c r="J90" s="19"/>
      <c r="K90" s="233"/>
      <c r="L90" s="19"/>
      <c r="M90" s="19"/>
      <c r="N90" s="19"/>
      <c r="O90" s="19"/>
      <c r="P90" s="19"/>
      <c r="Q90" s="19"/>
      <c r="R90" s="19"/>
      <c r="S90" s="19"/>
      <c r="T90" s="19"/>
      <c r="U90" s="19"/>
      <c r="V90" s="19"/>
      <c r="W90" s="19"/>
      <c r="X90" s="19"/>
      <c r="Y90" s="19"/>
    </row>
    <row r="91" spans="1:25" ht="12" customHeight="1">
      <c r="A91" s="219" t="str" cm="1">
        <f t="array" ref="A91">IFERROR(INDEX('03.Muestra'!$B$8:$B$42,SMALL(IF("Página Web"='03.Muestra'!$D$8:$D$42,ROW('03.Muestra'!$B$8:$B$42)-MIN(ROW('03.Muestra'!$D$8:$D$42))+1,""),ROW()-56)),"")</f>
        <v/>
      </c>
      <c r="B91" s="114" t="str" cm="1">
        <f t="array" ref="B91">IFERROR(INDEX('03.Muestra'!$C$8:$C$42,SMALL(IF("Página Web"='03.Muestra'!$D$8:$D$42,ROW('03.Muestra'!$C$8:$C$42)-MIN(ROW('03.Muestra'!$D$8:$D$42))+1,""),ROW()-56)),"")</f>
        <v/>
      </c>
      <c r="C91" s="114" t="str" cm="1">
        <f t="array" ref="C91">IFERROR(INDEX('03.Muestra'!$F$8:$F$42,SMALL(IF("Página Web"='03.Muestra'!$D$8:$D$42,ROW('03.Muestra'!$F$8:$F$42)-MIN(ROW('03.Muestra'!$D$8:$D$42))+1,""),ROW()-56)),"")</f>
        <v/>
      </c>
      <c r="D91" s="130" t="str">
        <f t="shared" si="3"/>
        <v/>
      </c>
      <c r="E91" s="107" t="str">
        <f t="shared" si="2"/>
        <v/>
      </c>
      <c r="F91" s="19"/>
      <c r="G91" s="19"/>
      <c r="H91" s="19"/>
      <c r="I91" s="19"/>
      <c r="J91" s="19"/>
      <c r="K91" s="233"/>
      <c r="L91" s="19"/>
      <c r="M91" s="19"/>
      <c r="N91" s="19"/>
      <c r="O91" s="19"/>
      <c r="P91" s="19"/>
      <c r="Q91" s="19"/>
      <c r="R91" s="19"/>
      <c r="S91" s="19"/>
      <c r="T91" s="19"/>
      <c r="U91" s="19"/>
      <c r="V91" s="19"/>
      <c r="W91" s="19"/>
      <c r="X91" s="19"/>
      <c r="Y91" s="19"/>
    </row>
    <row r="92" spans="1:25" ht="12" customHeight="1">
      <c r="B92" s="19"/>
      <c r="C92" s="19"/>
      <c r="D92" s="107"/>
      <c r="E92" s="107"/>
      <c r="F92" s="19"/>
      <c r="G92" s="19"/>
      <c r="H92" s="19"/>
      <c r="I92" s="19"/>
      <c r="J92" s="19"/>
      <c r="K92" s="233"/>
      <c r="L92" s="19"/>
      <c r="M92" s="19"/>
      <c r="N92" s="19"/>
      <c r="O92" s="19"/>
      <c r="P92" s="19"/>
      <c r="Q92" s="19"/>
      <c r="R92" s="19"/>
      <c r="S92" s="19"/>
      <c r="T92" s="19"/>
      <c r="U92" s="19"/>
      <c r="V92" s="19"/>
      <c r="W92" s="19"/>
      <c r="X92" s="19"/>
      <c r="Y92" s="19"/>
    </row>
    <row r="93" spans="1:25" ht="12" customHeight="1">
      <c r="B93" s="19"/>
      <c r="C93" s="19"/>
      <c r="D93" s="107"/>
      <c r="E93" s="112"/>
      <c r="F93" s="19"/>
      <c r="G93" s="19"/>
      <c r="H93" s="19"/>
      <c r="I93" s="19"/>
      <c r="J93" s="19"/>
      <c r="K93" s="233"/>
      <c r="L93" s="19"/>
      <c r="M93" s="19"/>
      <c r="N93" s="19"/>
      <c r="O93" s="19"/>
      <c r="P93" s="19"/>
      <c r="Q93" s="19"/>
      <c r="R93" s="19"/>
      <c r="S93" s="19"/>
      <c r="T93" s="19"/>
      <c r="U93" s="19"/>
      <c r="V93" s="19"/>
      <c r="W93" s="19"/>
      <c r="X93" s="19"/>
      <c r="Y93" s="19"/>
    </row>
    <row r="94" spans="1:25" ht="29.25" customHeight="1">
      <c r="A94" s="218" t="s">
        <v>268</v>
      </c>
      <c r="B94" s="24" t="s">
        <v>90</v>
      </c>
      <c r="C94" s="25" t="s">
        <v>375</v>
      </c>
      <c r="D94" s="26" t="s">
        <v>32</v>
      </c>
      <c r="E94" s="123"/>
      <c r="K94" s="233"/>
      <c r="L94" s="19"/>
      <c r="M94" s="19"/>
      <c r="N94" s="19"/>
      <c r="O94" s="19"/>
      <c r="P94" s="19"/>
      <c r="Q94" s="19"/>
      <c r="R94" s="19"/>
      <c r="S94" s="19"/>
      <c r="T94" s="19"/>
      <c r="U94" s="19"/>
      <c r="V94" s="19"/>
      <c r="W94" s="19"/>
      <c r="X94" s="19"/>
      <c r="Y94" s="19"/>
    </row>
    <row r="95" spans="1:25" ht="12" customHeight="1">
      <c r="A95" s="219" t="n" cm="1">
        <f t="array" ref="A95">IFERROR(INDEX('03.Muestra'!$B$8:$B$42,SMALL(IF("Página Web"='03.Muestra'!$D$8:$D$42,ROW('03.Muestra'!$B$8:$B$42)-MIN(ROW('03.Muestra'!$D$8:$D$42))+1,""),ROW()-94)),"")</f>
        <v>1.0</v>
      </c>
      <c r="B95" s="114" t="str" cm="1">
        <f t="array" ref="B95">IFERROR(INDEX('03.Muestra'!$C$8:$C$42,SMALL(IF("Página Web"='03.Muestra'!$D$8:$D$42,ROW('03.Muestra'!$C$8:$C$42)-MIN(ROW('03.Muestra'!$D$8:$D$42))+1,""),ROW()-94)),"")</f>
        <v>Home - PortCastelló</v>
      </c>
      <c r="C95" s="114" t="str" cm="1">
        <f t="array" ref="C95">IFERROR(INDEX('03.Muestra'!$F$8:$F$42,SMALL(IF("Página Web"='03.Muestra'!$D$8:$D$42,ROW('03.Muestra'!$F$8:$F$42)-MIN(ROW('03.Muestra'!$D$8:$D$42))+1,""),ROW()-94)),"")</f>
        <v>https://www.portcastello.com/</v>
      </c>
      <c r="D95" s="130" t="str">
        <f>IF(AND(B95&lt;&gt;"",C95&lt;&gt;""),"N/T","")</f>
        <v>N/T</v>
      </c>
      <c r="E95" s="107" t="str">
        <f t="shared" ref="E95:E129" si="4">IF(D95&lt;&gt;"",IF(AND(B95&lt;&gt;"",C95&lt;&gt;""),"","ERR"),"")</f>
        <v/>
      </c>
      <c r="F95" s="115" t="s">
        <v>33</v>
      </c>
      <c r="G95" s="116" t="s">
        <v>37</v>
      </c>
      <c r="H95" s="117" t="s">
        <v>35</v>
      </c>
      <c r="I95" s="118" t="s">
        <v>28</v>
      </c>
      <c r="J95" s="119" t="s">
        <v>26</v>
      </c>
      <c r="K95" s="226" t="s">
        <v>474</v>
      </c>
      <c r="L95" s="19"/>
      <c r="M95" s="19"/>
      <c r="N95" s="19"/>
      <c r="O95" s="19"/>
      <c r="P95" s="19"/>
      <c r="Q95" s="19"/>
      <c r="R95" s="19"/>
      <c r="S95" s="19"/>
      <c r="T95" s="19"/>
      <c r="U95" s="19"/>
      <c r="V95" s="19"/>
      <c r="W95" s="19"/>
      <c r="X95" s="19"/>
      <c r="Y95" s="19"/>
    </row>
    <row r="96" spans="1:25" ht="12" customHeight="1">
      <c r="A96" s="219" t="n" cm="1">
        <f t="array" ref="A96">IFERROR(INDEX('03.Muestra'!$B$8:$B$42,SMALL(IF("Página Web"='03.Muestra'!$D$8:$D$42,ROW('03.Muestra'!$B$8:$B$42)-MIN(ROW('03.Muestra'!$D$8:$D$42))+1,""),ROW()-94)),"")</f>
        <v>1.0</v>
      </c>
      <c r="B96" s="114" t="str" cm="1">
        <f t="array" ref="B96">IFERROR(INDEX('03.Muestra'!$C$8:$C$42,SMALL(IF("Página Web"='03.Muestra'!$D$8:$D$42,ROW('03.Muestra'!$C$8:$C$42)-MIN(ROW('03.Muestra'!$D$8:$D$42))+1,""),ROW()-94)),"")</f>
        <v>Home - PortCastelló</v>
      </c>
      <c r="C96" s="114" t="str" cm="1">
        <f t="array" ref="C96">IFERROR(INDEX('03.Muestra'!$F$8:$F$42,SMALL(IF("Página Web"='03.Muestra'!$D$8:$D$42,ROW('03.Muestra'!$F$8:$F$42)-MIN(ROW('03.Muestra'!$D$8:$D$42))+1,""),ROW()-94)),"")</f>
        <v>https://www.portcastello.com/</v>
      </c>
      <c r="D96" s="130" t="str">
        <f t="shared" ref="D96:D129" si="5">IF(AND(B96&lt;&gt;"",C96&lt;&gt;""),"N/T","")</f>
        <v>N/T</v>
      </c>
      <c r="E96" s="107" t="str">
        <f t="shared" si="4"/>
        <v/>
      </c>
      <c r="F96" s="120" t="n">
        <f ca="1">COUNTIF($D95:INDIRECT("$D" &amp;  SUM(ROW()-1,'03.Muestra'!$D$45)-1),F95)</f>
        <v>33.0</v>
      </c>
      <c r="G96" s="120" t="n">
        <f ca="1">COUNTIF($D95:INDIRECT("$D" &amp;  SUM(ROW()-1,'03.Muestra'!$D$45)-1),G95)</f>
        <v>0.0</v>
      </c>
      <c r="H96" s="120" t="n">
        <f ca="1">COUNTIF($D95:INDIRECT("$D" &amp;  SUM(ROW()-1,'03.Muestra'!$D$45)-1),H95)</f>
        <v>0.0</v>
      </c>
      <c r="I96" s="120" t="n">
        <f ca="1">COUNTIF($D95:INDIRECT("$D" &amp;  SUM(ROW()-1,'03.Muestra'!$D$45)-1),I95)</f>
        <v>0.0</v>
      </c>
      <c r="J96" s="120" t="n">
        <f ca="1">COUNTIF($D95:INDIRECT("$D" &amp;  SUM(ROW()-1,'03.Muestra'!$D$45)-1),J95)</f>
        <v>0.0</v>
      </c>
      <c r="K96" s="227" t="n">
        <f ca="1">IF(COUNTIF('03.Muestra'!$D$8:$D$42,"Página Web")=0,0,COUNTBLANK($D95:INDIRECT("$D" &amp;  SUM(ROW()-1,COUNTIF('03.Muestra'!$D$8:$D$42,"Página Web"))-1)))</f>
        <v>0.0</v>
      </c>
      <c r="L96" s="19"/>
      <c r="M96" s="19"/>
      <c r="N96" s="19"/>
      <c r="O96" s="19"/>
      <c r="P96" s="19"/>
      <c r="Q96" s="19"/>
      <c r="R96" s="19"/>
      <c r="S96" s="19"/>
      <c r="T96" s="19"/>
      <c r="U96" s="19"/>
      <c r="V96" s="19"/>
      <c r="W96" s="19"/>
      <c r="X96" s="19"/>
      <c r="Y96" s="19"/>
    </row>
    <row r="97" spans="1:25" ht="12" customHeight="1">
      <c r="A97" s="219" t="n" cm="1">
        <f t="array" ref="A97">IFERROR(INDEX('03.Muestra'!$B$8:$B$42,SMALL(IF("Página Web"='03.Muestra'!$D$8:$D$42,ROW('03.Muestra'!$B$8:$B$42)-MIN(ROW('03.Muestra'!$D$8:$D$42))+1,""),ROW()-94)),"")</f>
        <v>1.0</v>
      </c>
      <c r="B97" s="114" t="str" cm="1">
        <f t="array" ref="B97">IFERROR(INDEX('03.Muestra'!$C$8:$C$42,SMALL(IF("Página Web"='03.Muestra'!$D$8:$D$42,ROW('03.Muestra'!$C$8:$C$42)-MIN(ROW('03.Muestra'!$D$8:$D$42))+1,""),ROW()-94)),"")</f>
        <v>Home - PortCastelló</v>
      </c>
      <c r="C97" s="114" t="str" cm="1">
        <f t="array" ref="C97">IFERROR(INDEX('03.Muestra'!$F$8:$F$42,SMALL(IF("Página Web"='03.Muestra'!$D$8:$D$42,ROW('03.Muestra'!$F$8:$F$42)-MIN(ROW('03.Muestra'!$D$8:$D$42))+1,""),ROW()-94)),"")</f>
        <v>https://www.portcastello.com/</v>
      </c>
      <c r="D97" s="130" t="str">
        <f t="shared" si="5"/>
        <v>N/T</v>
      </c>
      <c r="E97" s="107" t="str">
        <f t="shared" si="4"/>
        <v/>
      </c>
      <c r="G97" s="19"/>
      <c r="H97" s="19"/>
      <c r="I97" s="19"/>
      <c r="J97" s="19"/>
      <c r="K97" s="233"/>
      <c r="L97" s="19"/>
      <c r="M97" s="19"/>
      <c r="N97" s="19"/>
      <c r="O97" s="19"/>
      <c r="P97" s="19"/>
      <c r="Q97" s="19"/>
      <c r="R97" s="19"/>
      <c r="S97" s="19"/>
      <c r="T97" s="19"/>
      <c r="U97" s="19"/>
      <c r="V97" s="19"/>
      <c r="W97" s="19"/>
      <c r="X97" s="19"/>
      <c r="Y97" s="19"/>
    </row>
    <row r="98" spans="1:25" ht="12" customHeight="1">
      <c r="A98" s="219" t="n" cm="1">
        <f t="array" ref="A98">IFERROR(INDEX('03.Muestra'!$B$8:$B$42,SMALL(IF("Página Web"='03.Muestra'!$D$8:$D$42,ROW('03.Muestra'!$B$8:$B$42)-MIN(ROW('03.Muestra'!$D$8:$D$42))+1,""),ROW()-94)),"")</f>
        <v>1.0</v>
      </c>
      <c r="B98" s="114" t="str" cm="1">
        <f t="array" ref="B98">IFERROR(INDEX('03.Muestra'!$C$8:$C$42,SMALL(IF("Página Web"='03.Muestra'!$D$8:$D$42,ROW('03.Muestra'!$C$8:$C$42)-MIN(ROW('03.Muestra'!$D$8:$D$42))+1,""),ROW()-94)),"")</f>
        <v>Home - PortCastelló</v>
      </c>
      <c r="C98" s="114" t="str" cm="1">
        <f t="array" ref="C98">IFERROR(INDEX('03.Muestra'!$F$8:$F$42,SMALL(IF("Página Web"='03.Muestra'!$D$8:$D$42,ROW('03.Muestra'!$F$8:$F$42)-MIN(ROW('03.Muestra'!$D$8:$D$42))+1,""),ROW()-94)),"")</f>
        <v>https://www.portcastello.com/</v>
      </c>
      <c r="D98" s="130" t="str">
        <f t="shared" si="5"/>
        <v>N/T</v>
      </c>
      <c r="E98" s="107" t="str">
        <f t="shared" si="4"/>
        <v/>
      </c>
      <c r="G98" s="19"/>
      <c r="H98" s="19"/>
      <c r="I98" s="19"/>
      <c r="J98" s="19"/>
      <c r="K98" s="233"/>
      <c r="L98" s="19"/>
      <c r="M98" s="19"/>
      <c r="N98" s="19"/>
      <c r="O98" s="19"/>
      <c r="P98" s="19"/>
      <c r="Q98" s="19"/>
      <c r="R98" s="19"/>
      <c r="S98" s="19"/>
      <c r="T98" s="19"/>
      <c r="U98" s="19"/>
      <c r="V98" s="19"/>
      <c r="W98" s="19"/>
      <c r="X98" s="19"/>
      <c r="Y98" s="19"/>
    </row>
    <row r="99" spans="1:25" ht="12" customHeight="1">
      <c r="A99" s="219" t="n" cm="1">
        <f t="array" ref="A99">IFERROR(INDEX('03.Muestra'!$B$8:$B$42,SMALL(IF("Página Web"='03.Muestra'!$D$8:$D$42,ROW('03.Muestra'!$B$8:$B$42)-MIN(ROW('03.Muestra'!$D$8:$D$42))+1,""),ROW()-94)),"")</f>
        <v>1.0</v>
      </c>
      <c r="B99" s="114" t="str" cm="1">
        <f t="array" ref="B99">IFERROR(INDEX('03.Muestra'!$C$8:$C$42,SMALL(IF("Página Web"='03.Muestra'!$D$8:$D$42,ROW('03.Muestra'!$C$8:$C$42)-MIN(ROW('03.Muestra'!$D$8:$D$42))+1,""),ROW()-94)),"")</f>
        <v>Home - PortCastelló</v>
      </c>
      <c r="C99" s="114" t="str" cm="1">
        <f t="array" ref="C99">IFERROR(INDEX('03.Muestra'!$F$8:$F$42,SMALL(IF("Página Web"='03.Muestra'!$D$8:$D$42,ROW('03.Muestra'!$F$8:$F$42)-MIN(ROW('03.Muestra'!$D$8:$D$42))+1,""),ROW()-94)),"")</f>
        <v>https://www.portcastello.com/</v>
      </c>
      <c r="D99" s="130" t="str">
        <f t="shared" si="5"/>
        <v>N/T</v>
      </c>
      <c r="E99" s="107" t="str">
        <f t="shared" si="4"/>
        <v/>
      </c>
      <c r="G99" s="19"/>
      <c r="H99" s="19"/>
      <c r="I99" s="19"/>
      <c r="J99" s="19"/>
      <c r="K99" s="233"/>
      <c r="L99" s="19"/>
      <c r="M99" s="19"/>
      <c r="N99" s="19"/>
      <c r="O99" s="19"/>
      <c r="P99" s="19"/>
      <c r="Q99" s="19"/>
      <c r="R99" s="19"/>
      <c r="S99" s="19"/>
      <c r="T99" s="19"/>
      <c r="U99" s="19"/>
      <c r="V99" s="19"/>
      <c r="W99" s="19"/>
      <c r="X99" s="19"/>
      <c r="Y99" s="19"/>
    </row>
    <row r="100" spans="1:25" ht="12" customHeight="1">
      <c r="A100" s="219" t="n" cm="1">
        <f t="array" ref="A100">IFERROR(INDEX('03.Muestra'!$B$8:$B$42,SMALL(IF("Página Web"='03.Muestra'!$D$8:$D$42,ROW('03.Muestra'!$B$8:$B$42)-MIN(ROW('03.Muestra'!$D$8:$D$42))+1,""),ROW()-94)),"")</f>
        <v>1.0</v>
      </c>
      <c r="B100" s="114" t="str" cm="1">
        <f t="array" ref="B100">IFERROR(INDEX('03.Muestra'!$C$8:$C$42,SMALL(IF("Página Web"='03.Muestra'!$D$8:$D$42,ROW('03.Muestra'!$C$8:$C$42)-MIN(ROW('03.Muestra'!$D$8:$D$42))+1,""),ROW()-94)),"")</f>
        <v>Home - PortCastelló</v>
      </c>
      <c r="C100" s="114" t="str" cm="1">
        <f t="array" ref="C100">IFERROR(INDEX('03.Muestra'!$F$8:$F$42,SMALL(IF("Página Web"='03.Muestra'!$D$8:$D$42,ROW('03.Muestra'!$F$8:$F$42)-MIN(ROW('03.Muestra'!$D$8:$D$42))+1,""),ROW()-94)),"")</f>
        <v>https://www.portcastello.com/</v>
      </c>
      <c r="D100" s="130" t="str">
        <f t="shared" si="5"/>
        <v>N/T</v>
      </c>
      <c r="E100" s="107" t="str">
        <f t="shared" si="4"/>
        <v/>
      </c>
      <c r="G100" s="19"/>
      <c r="H100" s="19"/>
      <c r="I100" s="19"/>
      <c r="J100" s="19"/>
      <c r="K100" s="233"/>
      <c r="L100" s="19"/>
      <c r="M100" s="19"/>
      <c r="N100" s="19"/>
      <c r="O100" s="19"/>
      <c r="P100" s="19"/>
      <c r="Q100" s="19"/>
      <c r="R100" s="19"/>
      <c r="S100" s="19"/>
      <c r="T100" s="19"/>
      <c r="U100" s="19"/>
      <c r="V100" s="19"/>
      <c r="W100" s="19"/>
      <c r="X100" s="19"/>
      <c r="Y100" s="19"/>
    </row>
    <row r="101" spans="1:25" ht="12" customHeight="1">
      <c r="A101" s="219" t="n" cm="1">
        <f t="array" ref="A101">IFERROR(INDEX('03.Muestra'!$B$8:$B$42,SMALL(IF("Página Web"='03.Muestra'!$D$8:$D$42,ROW('03.Muestra'!$B$8:$B$42)-MIN(ROW('03.Muestra'!$D$8:$D$42))+1,""),ROW()-94)),"")</f>
        <v>1.0</v>
      </c>
      <c r="B101" s="114" t="str" cm="1">
        <f t="array" ref="B101">IFERROR(INDEX('03.Muestra'!$C$8:$C$42,SMALL(IF("Página Web"='03.Muestra'!$D$8:$D$42,ROW('03.Muestra'!$C$8:$C$42)-MIN(ROW('03.Muestra'!$D$8:$D$42))+1,""),ROW()-94)),"")</f>
        <v>Home - PortCastelló</v>
      </c>
      <c r="C101" s="114" t="str" cm="1">
        <f t="array" ref="C101">IFERROR(INDEX('03.Muestra'!$F$8:$F$42,SMALL(IF("Página Web"='03.Muestra'!$D$8:$D$42,ROW('03.Muestra'!$F$8:$F$42)-MIN(ROW('03.Muestra'!$D$8:$D$42))+1,""),ROW()-94)),"")</f>
        <v>https://www.portcastello.com/</v>
      </c>
      <c r="D101" s="130" t="str">
        <f t="shared" si="5"/>
        <v>N/T</v>
      </c>
      <c r="E101" s="107" t="str">
        <f t="shared" si="4"/>
        <v/>
      </c>
      <c r="F101" s="19"/>
      <c r="G101" s="19"/>
      <c r="H101" s="19"/>
      <c r="I101" s="19"/>
      <c r="J101" s="19"/>
      <c r="K101" s="233"/>
      <c r="L101" s="19"/>
      <c r="M101" s="19"/>
      <c r="N101" s="19"/>
      <c r="O101" s="19"/>
      <c r="P101" s="19"/>
      <c r="Q101" s="19"/>
      <c r="R101" s="19"/>
      <c r="S101" s="19"/>
      <c r="T101" s="19"/>
      <c r="U101" s="19"/>
      <c r="V101" s="19"/>
      <c r="W101" s="19"/>
      <c r="X101" s="19"/>
      <c r="Y101" s="19"/>
    </row>
    <row r="102" spans="1:25" ht="12" customHeight="1">
      <c r="A102" s="219" t="n" cm="1">
        <f t="array" ref="A102">IFERROR(INDEX('03.Muestra'!$B$8:$B$42,SMALL(IF("Página Web"='03.Muestra'!$D$8:$D$42,ROW('03.Muestra'!$B$8:$B$42)-MIN(ROW('03.Muestra'!$D$8:$D$42))+1,""),ROW()-94)),"")</f>
        <v>1.0</v>
      </c>
      <c r="B102" s="114" t="str" cm="1">
        <f t="array" ref="B102">IFERROR(INDEX('03.Muestra'!$C$8:$C$42,SMALL(IF("Página Web"='03.Muestra'!$D$8:$D$42,ROW('03.Muestra'!$C$8:$C$42)-MIN(ROW('03.Muestra'!$D$8:$D$42))+1,""),ROW()-94)),"")</f>
        <v>Home - PortCastelló</v>
      </c>
      <c r="C102" s="114" t="str" cm="1">
        <f t="array" ref="C102">IFERROR(INDEX('03.Muestra'!$F$8:$F$42,SMALL(IF("Página Web"='03.Muestra'!$D$8:$D$42,ROW('03.Muestra'!$F$8:$F$42)-MIN(ROW('03.Muestra'!$D$8:$D$42))+1,""),ROW()-94)),"")</f>
        <v>https://www.portcastello.com/</v>
      </c>
      <c r="D102" s="130" t="str">
        <f t="shared" si="5"/>
        <v>N/T</v>
      </c>
      <c r="E102" s="107" t="str">
        <f t="shared" si="4"/>
        <v/>
      </c>
      <c r="F102" s="19"/>
      <c r="G102" s="19"/>
      <c r="H102" s="19"/>
      <c r="I102" s="19"/>
      <c r="J102" s="19"/>
      <c r="K102" s="233"/>
      <c r="L102" s="19"/>
      <c r="M102" s="19"/>
      <c r="N102" s="19"/>
      <c r="O102" s="19"/>
      <c r="P102" s="19"/>
      <c r="Q102" s="19"/>
      <c r="R102" s="19"/>
      <c r="S102" s="19"/>
      <c r="T102" s="19"/>
      <c r="U102" s="19"/>
      <c r="V102" s="19"/>
      <c r="W102" s="19"/>
      <c r="X102" s="19"/>
      <c r="Y102" s="19"/>
    </row>
    <row r="103" spans="1:25" ht="12" customHeight="1">
      <c r="A103" s="219" t="n" cm="1">
        <f t="array" ref="A103">IFERROR(INDEX('03.Muestra'!$B$8:$B$42,SMALL(IF("Página Web"='03.Muestra'!$D$8:$D$42,ROW('03.Muestra'!$B$8:$B$42)-MIN(ROW('03.Muestra'!$D$8:$D$42))+1,""),ROW()-94)),"")</f>
        <v>1.0</v>
      </c>
      <c r="B103" s="114" t="str" cm="1">
        <f t="array" ref="B103">IFERROR(INDEX('03.Muestra'!$C$8:$C$42,SMALL(IF("Página Web"='03.Muestra'!$D$8:$D$42,ROW('03.Muestra'!$C$8:$C$42)-MIN(ROW('03.Muestra'!$D$8:$D$42))+1,""),ROW()-94)),"")</f>
        <v>Home - PortCastelló</v>
      </c>
      <c r="C103" s="114" t="str" cm="1">
        <f t="array" ref="C103">IFERROR(INDEX('03.Muestra'!$F$8:$F$42,SMALL(IF("Página Web"='03.Muestra'!$D$8:$D$42,ROW('03.Muestra'!$F$8:$F$42)-MIN(ROW('03.Muestra'!$D$8:$D$42))+1,""),ROW()-94)),"")</f>
        <v>https://www.portcastello.com/</v>
      </c>
      <c r="D103" s="130" t="str">
        <f t="shared" si="5"/>
        <v>N/T</v>
      </c>
      <c r="E103" s="107" t="str">
        <f t="shared" si="4"/>
        <v/>
      </c>
      <c r="F103" s="19"/>
      <c r="G103" s="19"/>
      <c r="H103" s="19"/>
      <c r="I103" s="19"/>
      <c r="J103" s="19"/>
      <c r="K103" s="233"/>
      <c r="L103" s="19"/>
      <c r="M103" s="19"/>
      <c r="N103" s="19"/>
      <c r="O103" s="19"/>
      <c r="P103" s="19"/>
      <c r="Q103" s="19"/>
      <c r="R103" s="19"/>
      <c r="S103" s="19"/>
      <c r="T103" s="19"/>
      <c r="U103" s="19"/>
      <c r="V103" s="19"/>
      <c r="W103" s="19"/>
      <c r="X103" s="19"/>
      <c r="Y103" s="19"/>
    </row>
    <row r="104" spans="1:25" ht="12" customHeight="1">
      <c r="A104" s="219" t="n" cm="1">
        <f t="array" ref="A104">IFERROR(INDEX('03.Muestra'!$B$8:$B$42,SMALL(IF("Página Web"='03.Muestra'!$D$8:$D$42,ROW('03.Muestra'!$B$8:$B$42)-MIN(ROW('03.Muestra'!$D$8:$D$42))+1,""),ROW()-94)),"")</f>
        <v>1.0</v>
      </c>
      <c r="B104" s="114" t="str" cm="1">
        <f t="array" ref="B104">IFERROR(INDEX('03.Muestra'!$C$8:$C$42,SMALL(IF("Página Web"='03.Muestra'!$D$8:$D$42,ROW('03.Muestra'!$C$8:$C$42)-MIN(ROW('03.Muestra'!$D$8:$D$42))+1,""),ROW()-94)),"")</f>
        <v>Home - PortCastelló</v>
      </c>
      <c r="C104" s="114" t="str" cm="1">
        <f t="array" ref="C104">IFERROR(INDEX('03.Muestra'!$F$8:$F$42,SMALL(IF("Página Web"='03.Muestra'!$D$8:$D$42,ROW('03.Muestra'!$F$8:$F$42)-MIN(ROW('03.Muestra'!$D$8:$D$42))+1,""),ROW()-94)),"")</f>
        <v>https://www.portcastello.com/</v>
      </c>
      <c r="D104" s="130" t="str">
        <f t="shared" si="5"/>
        <v>N/T</v>
      </c>
      <c r="E104" s="107" t="str">
        <f t="shared" si="4"/>
        <v/>
      </c>
      <c r="F104" s="19"/>
      <c r="G104" s="19"/>
      <c r="H104" s="19"/>
      <c r="I104" s="19"/>
      <c r="J104" s="19"/>
      <c r="K104" s="233"/>
      <c r="L104" s="19"/>
      <c r="M104" s="19"/>
      <c r="N104" s="19"/>
      <c r="O104" s="19"/>
      <c r="P104" s="19"/>
      <c r="Q104" s="19"/>
      <c r="R104" s="19"/>
      <c r="S104" s="19"/>
      <c r="T104" s="19"/>
      <c r="U104" s="19"/>
      <c r="V104" s="19"/>
      <c r="W104" s="19"/>
      <c r="X104" s="19"/>
      <c r="Y104" s="19"/>
    </row>
    <row r="105" spans="1:25" ht="12" customHeight="1">
      <c r="A105" s="219" t="n" cm="1">
        <f t="array" ref="A105">IFERROR(INDEX('03.Muestra'!$B$8:$B$42,SMALL(IF("Página Web"='03.Muestra'!$D$8:$D$42,ROW('03.Muestra'!$B$8:$B$42)-MIN(ROW('03.Muestra'!$D$8:$D$42))+1,""),ROW()-94)),"")</f>
        <v>1.0</v>
      </c>
      <c r="B105" s="114" t="str" cm="1">
        <f t="array" ref="B105">IFERROR(INDEX('03.Muestra'!$C$8:$C$42,SMALL(IF("Página Web"='03.Muestra'!$D$8:$D$42,ROW('03.Muestra'!$C$8:$C$42)-MIN(ROW('03.Muestra'!$D$8:$D$42))+1,""),ROW()-94)),"")</f>
        <v>Home - PortCastelló</v>
      </c>
      <c r="C105" s="114" t="str" cm="1">
        <f t="array" ref="C105">IFERROR(INDEX('03.Muestra'!$F$8:$F$42,SMALL(IF("Página Web"='03.Muestra'!$D$8:$D$42,ROW('03.Muestra'!$F$8:$F$42)-MIN(ROW('03.Muestra'!$D$8:$D$42))+1,""),ROW()-94)),"")</f>
        <v>https://www.portcastello.com/</v>
      </c>
      <c r="D105" s="130" t="str">
        <f t="shared" si="5"/>
        <v>N/T</v>
      </c>
      <c r="E105" s="107" t="str">
        <f t="shared" si="4"/>
        <v/>
      </c>
      <c r="F105" s="19"/>
      <c r="G105" s="19"/>
      <c r="H105" s="19"/>
      <c r="I105" s="19"/>
      <c r="J105" s="19"/>
      <c r="K105" s="233"/>
      <c r="L105" s="19"/>
      <c r="M105" s="19"/>
      <c r="N105" s="19"/>
      <c r="O105" s="19"/>
      <c r="P105" s="19"/>
      <c r="Q105" s="19"/>
      <c r="R105" s="19"/>
      <c r="S105" s="19"/>
      <c r="T105" s="19"/>
      <c r="U105" s="19"/>
      <c r="V105" s="19"/>
      <c r="W105" s="19"/>
      <c r="X105" s="19"/>
      <c r="Y105" s="19"/>
    </row>
    <row r="106" spans="1:25" ht="12" customHeight="1">
      <c r="A106" s="219" t="n" cm="1">
        <f t="array" ref="A106">IFERROR(INDEX('03.Muestra'!$B$8:$B$42,SMALL(IF("Página Web"='03.Muestra'!$D$8:$D$42,ROW('03.Muestra'!$B$8:$B$42)-MIN(ROW('03.Muestra'!$D$8:$D$42))+1,""),ROW()-94)),"")</f>
        <v>1.0</v>
      </c>
      <c r="B106" s="114" t="str" cm="1">
        <f t="array" ref="B106">IFERROR(INDEX('03.Muestra'!$C$8:$C$42,SMALL(IF("Página Web"='03.Muestra'!$D$8:$D$42,ROW('03.Muestra'!$C$8:$C$42)-MIN(ROW('03.Muestra'!$D$8:$D$42))+1,""),ROW()-94)),"")</f>
        <v>Home - PortCastelló</v>
      </c>
      <c r="C106" s="114" t="str" cm="1">
        <f t="array" ref="C106">IFERROR(INDEX('03.Muestra'!$F$8:$F$42,SMALL(IF("Página Web"='03.Muestra'!$D$8:$D$42,ROW('03.Muestra'!$F$8:$F$42)-MIN(ROW('03.Muestra'!$D$8:$D$42))+1,""),ROW()-94)),"")</f>
        <v>https://www.portcastello.com/</v>
      </c>
      <c r="D106" s="130" t="str">
        <f t="shared" si="5"/>
        <v>N/T</v>
      </c>
      <c r="E106" s="107" t="str">
        <f t="shared" si="4"/>
        <v/>
      </c>
      <c r="F106" s="19"/>
      <c r="G106" s="19"/>
      <c r="H106" s="19"/>
      <c r="I106" s="19"/>
      <c r="J106" s="19"/>
      <c r="K106" s="233"/>
      <c r="L106" s="19"/>
      <c r="M106" s="19"/>
      <c r="N106" s="19"/>
      <c r="O106" s="19"/>
      <c r="P106" s="19"/>
      <c r="Q106" s="19"/>
      <c r="R106" s="19"/>
      <c r="S106" s="19"/>
      <c r="T106" s="19"/>
      <c r="U106" s="19"/>
      <c r="V106" s="19"/>
      <c r="W106" s="19"/>
      <c r="X106" s="19"/>
      <c r="Y106" s="19"/>
    </row>
    <row r="107" spans="1:25" ht="12" customHeight="1">
      <c r="A107" s="219" t="n" cm="1">
        <f t="array" ref="A107">IFERROR(INDEX('03.Muestra'!$B$8:$B$42,SMALL(IF("Página Web"='03.Muestra'!$D$8:$D$42,ROW('03.Muestra'!$B$8:$B$42)-MIN(ROW('03.Muestra'!$D$8:$D$42))+1,""),ROW()-94)),"")</f>
        <v>1.0</v>
      </c>
      <c r="B107" s="114" t="str" cm="1">
        <f t="array" ref="B107">IFERROR(INDEX('03.Muestra'!$C$8:$C$42,SMALL(IF("Página Web"='03.Muestra'!$D$8:$D$42,ROW('03.Muestra'!$C$8:$C$42)-MIN(ROW('03.Muestra'!$D$8:$D$42))+1,""),ROW()-94)),"")</f>
        <v>Home - PortCastelló</v>
      </c>
      <c r="C107" s="114" t="str" cm="1">
        <f t="array" ref="C107">IFERROR(INDEX('03.Muestra'!$F$8:$F$42,SMALL(IF("Página Web"='03.Muestra'!$D$8:$D$42,ROW('03.Muestra'!$F$8:$F$42)-MIN(ROW('03.Muestra'!$D$8:$D$42))+1,""),ROW()-94)),"")</f>
        <v>https://www.portcastello.com/</v>
      </c>
      <c r="D107" s="130" t="str">
        <f t="shared" si="5"/>
        <v>N/T</v>
      </c>
      <c r="E107" s="107" t="str">
        <f t="shared" si="4"/>
        <v/>
      </c>
      <c r="F107" s="19"/>
      <c r="G107" s="19"/>
      <c r="H107" s="19"/>
      <c r="I107" s="19"/>
      <c r="J107" s="19"/>
      <c r="K107" s="233"/>
      <c r="L107" s="19"/>
      <c r="M107" s="19"/>
      <c r="N107" s="19"/>
      <c r="O107" s="19"/>
      <c r="P107" s="19"/>
      <c r="Q107" s="19"/>
      <c r="R107" s="19"/>
      <c r="S107" s="19"/>
      <c r="T107" s="19"/>
      <c r="U107" s="19"/>
      <c r="V107" s="19"/>
      <c r="W107" s="19"/>
      <c r="X107" s="19"/>
      <c r="Y107" s="19"/>
    </row>
    <row r="108" spans="1:25" ht="12" customHeight="1">
      <c r="A108" s="219" t="n" cm="1">
        <f t="array" ref="A108">IFERROR(INDEX('03.Muestra'!$B$8:$B$42,SMALL(IF("Página Web"='03.Muestra'!$D$8:$D$42,ROW('03.Muestra'!$B$8:$B$42)-MIN(ROW('03.Muestra'!$D$8:$D$42))+1,""),ROW()-94)),"")</f>
        <v>1.0</v>
      </c>
      <c r="B108" s="114" t="str" cm="1">
        <f t="array" ref="B108">IFERROR(INDEX('03.Muestra'!$C$8:$C$42,SMALL(IF("Página Web"='03.Muestra'!$D$8:$D$42,ROW('03.Muestra'!$C$8:$C$42)-MIN(ROW('03.Muestra'!$D$8:$D$42))+1,""),ROW()-94)),"")</f>
        <v>Home - PortCastelló</v>
      </c>
      <c r="C108" s="114" t="str" cm="1">
        <f t="array" ref="C108">IFERROR(INDEX('03.Muestra'!$F$8:$F$42,SMALL(IF("Página Web"='03.Muestra'!$D$8:$D$42,ROW('03.Muestra'!$F$8:$F$42)-MIN(ROW('03.Muestra'!$D$8:$D$42))+1,""),ROW()-94)),"")</f>
        <v>https://www.portcastello.com/</v>
      </c>
      <c r="D108" s="130" t="str">
        <f t="shared" si="5"/>
        <v>N/T</v>
      </c>
      <c r="E108" s="107" t="str">
        <f t="shared" si="4"/>
        <v/>
      </c>
      <c r="F108" s="19"/>
      <c r="G108" s="19"/>
      <c r="H108" s="19"/>
      <c r="I108" s="19"/>
      <c r="J108" s="19"/>
      <c r="K108" s="233"/>
      <c r="L108" s="19"/>
      <c r="M108" s="19"/>
      <c r="N108" s="19"/>
      <c r="O108" s="19"/>
      <c r="P108" s="19"/>
      <c r="Q108" s="19"/>
      <c r="R108" s="19"/>
      <c r="S108" s="19"/>
      <c r="T108" s="19"/>
      <c r="U108" s="19"/>
      <c r="V108" s="19"/>
      <c r="W108" s="19"/>
      <c r="X108" s="19"/>
      <c r="Y108" s="19"/>
    </row>
    <row r="109" spans="1:25" ht="12" customHeight="1">
      <c r="A109" s="219" t="n" cm="1">
        <f t="array" ref="A109">IFERROR(INDEX('03.Muestra'!$B$8:$B$42,SMALL(IF("Página Web"='03.Muestra'!$D$8:$D$42,ROW('03.Muestra'!$B$8:$B$42)-MIN(ROW('03.Muestra'!$D$8:$D$42))+1,""),ROW()-94)),"")</f>
        <v>1.0</v>
      </c>
      <c r="B109" s="114" t="str" cm="1">
        <f t="array" ref="B109">IFERROR(INDEX('03.Muestra'!$C$8:$C$42,SMALL(IF("Página Web"='03.Muestra'!$D$8:$D$42,ROW('03.Muestra'!$C$8:$C$42)-MIN(ROW('03.Muestra'!$D$8:$D$42))+1,""),ROW()-94)),"")</f>
        <v>Home - PortCastelló</v>
      </c>
      <c r="C109" s="114" t="str" cm="1">
        <f t="array" ref="C109">IFERROR(INDEX('03.Muestra'!$F$8:$F$42,SMALL(IF("Página Web"='03.Muestra'!$D$8:$D$42,ROW('03.Muestra'!$F$8:$F$42)-MIN(ROW('03.Muestra'!$D$8:$D$42))+1,""),ROW()-94)),"")</f>
        <v>https://www.portcastello.com/</v>
      </c>
      <c r="D109" s="130" t="str">
        <f t="shared" si="5"/>
        <v>N/T</v>
      </c>
      <c r="E109" s="107" t="str">
        <f t="shared" si="4"/>
        <v/>
      </c>
      <c r="F109" s="19"/>
      <c r="G109" s="19"/>
      <c r="H109" s="19"/>
      <c r="I109" s="19"/>
      <c r="J109" s="19"/>
      <c r="K109" s="233"/>
      <c r="L109" s="19"/>
      <c r="M109" s="19"/>
      <c r="N109" s="19"/>
      <c r="O109" s="19"/>
      <c r="P109" s="19"/>
      <c r="Q109" s="19"/>
      <c r="R109" s="19"/>
      <c r="S109" s="19"/>
      <c r="T109" s="19"/>
      <c r="U109" s="19"/>
      <c r="V109" s="19"/>
      <c r="W109" s="19"/>
      <c r="X109" s="19"/>
      <c r="Y109" s="19"/>
    </row>
    <row r="110" spans="1:25" ht="12" customHeight="1">
      <c r="A110" s="219" t="n" cm="1">
        <f t="array" ref="A110">IFERROR(INDEX('03.Muestra'!$B$8:$B$42,SMALL(IF("Página Web"='03.Muestra'!$D$8:$D$42,ROW('03.Muestra'!$B$8:$B$42)-MIN(ROW('03.Muestra'!$D$8:$D$42))+1,""),ROW()-94)),"")</f>
        <v>1.0</v>
      </c>
      <c r="B110" s="114" t="str" cm="1">
        <f t="array" ref="B110">IFERROR(INDEX('03.Muestra'!$C$8:$C$42,SMALL(IF("Página Web"='03.Muestra'!$D$8:$D$42,ROW('03.Muestra'!$C$8:$C$42)-MIN(ROW('03.Muestra'!$D$8:$D$42))+1,""),ROW()-94)),"")</f>
        <v>Home - PortCastelló</v>
      </c>
      <c r="C110" s="114" t="str" cm="1">
        <f t="array" ref="C110">IFERROR(INDEX('03.Muestra'!$F$8:$F$42,SMALL(IF("Página Web"='03.Muestra'!$D$8:$D$42,ROW('03.Muestra'!$F$8:$F$42)-MIN(ROW('03.Muestra'!$D$8:$D$42))+1,""),ROW()-94)),"")</f>
        <v>https://www.portcastello.com/</v>
      </c>
      <c r="D110" s="130" t="str">
        <f t="shared" si="5"/>
        <v>N/T</v>
      </c>
      <c r="E110" s="107" t="str">
        <f t="shared" si="4"/>
        <v/>
      </c>
      <c r="F110" s="19"/>
      <c r="G110" s="19"/>
      <c r="H110" s="19"/>
      <c r="I110" s="19"/>
      <c r="J110" s="19"/>
      <c r="K110" s="233"/>
      <c r="L110" s="19"/>
      <c r="M110" s="19"/>
      <c r="N110" s="19"/>
      <c r="O110" s="19"/>
      <c r="P110" s="19"/>
      <c r="Q110" s="19"/>
      <c r="R110" s="19"/>
      <c r="S110" s="19"/>
      <c r="T110" s="19"/>
      <c r="U110" s="19"/>
      <c r="V110" s="19"/>
      <c r="W110" s="19"/>
      <c r="X110" s="19"/>
      <c r="Y110" s="19"/>
    </row>
    <row r="111" spans="1:25" ht="12" customHeight="1">
      <c r="A111" s="219" t="n" cm="1">
        <f t="array" ref="A111">IFERROR(INDEX('03.Muestra'!$B$8:$B$42,SMALL(IF("Página Web"='03.Muestra'!$D$8:$D$42,ROW('03.Muestra'!$B$8:$B$42)-MIN(ROW('03.Muestra'!$D$8:$D$42))+1,""),ROW()-94)),"")</f>
        <v>1.0</v>
      </c>
      <c r="B111" s="114" t="str" cm="1">
        <f t="array" ref="B111">IFERROR(INDEX('03.Muestra'!$C$8:$C$42,SMALL(IF("Página Web"='03.Muestra'!$D$8:$D$42,ROW('03.Muestra'!$C$8:$C$42)-MIN(ROW('03.Muestra'!$D$8:$D$42))+1,""),ROW()-94)),"")</f>
        <v>Home - PortCastelló</v>
      </c>
      <c r="C111" s="114" t="str" cm="1">
        <f t="array" ref="C111">IFERROR(INDEX('03.Muestra'!$F$8:$F$42,SMALL(IF("Página Web"='03.Muestra'!$D$8:$D$42,ROW('03.Muestra'!$F$8:$F$42)-MIN(ROW('03.Muestra'!$D$8:$D$42))+1,""),ROW()-94)),"")</f>
        <v>https://www.portcastello.com/</v>
      </c>
      <c r="D111" s="130" t="str">
        <f t="shared" si="5"/>
        <v>N/T</v>
      </c>
      <c r="E111" s="107" t="str">
        <f t="shared" si="4"/>
        <v/>
      </c>
      <c r="F111" s="19"/>
      <c r="G111" s="19"/>
      <c r="H111" s="19"/>
      <c r="I111" s="19"/>
      <c r="J111" s="19"/>
      <c r="K111" s="233"/>
      <c r="L111" s="19"/>
      <c r="M111" s="19"/>
      <c r="N111" s="19"/>
      <c r="O111" s="19"/>
      <c r="P111" s="19"/>
      <c r="Q111" s="19"/>
      <c r="R111" s="19"/>
      <c r="S111" s="19"/>
      <c r="T111" s="19"/>
      <c r="U111" s="19"/>
      <c r="V111" s="19"/>
      <c r="W111" s="19"/>
      <c r="X111" s="19"/>
      <c r="Y111" s="19"/>
    </row>
    <row r="112" spans="1:25" ht="12" customHeight="1">
      <c r="A112" s="219" t="n" cm="1">
        <f t="array" ref="A112">IFERROR(INDEX('03.Muestra'!$B$8:$B$42,SMALL(IF("Página Web"='03.Muestra'!$D$8:$D$42,ROW('03.Muestra'!$B$8:$B$42)-MIN(ROW('03.Muestra'!$D$8:$D$42))+1,""),ROW()-94)),"")</f>
        <v>1.0</v>
      </c>
      <c r="B112" s="114" t="str" cm="1">
        <f t="array" ref="B112">IFERROR(INDEX('03.Muestra'!$C$8:$C$42,SMALL(IF("Página Web"='03.Muestra'!$D$8:$D$42,ROW('03.Muestra'!$C$8:$C$42)-MIN(ROW('03.Muestra'!$D$8:$D$42))+1,""),ROW()-94)),"")</f>
        <v>Home - PortCastelló</v>
      </c>
      <c r="C112" s="114" t="str" cm="1">
        <f t="array" ref="C112">IFERROR(INDEX('03.Muestra'!$F$8:$F$42,SMALL(IF("Página Web"='03.Muestra'!$D$8:$D$42,ROW('03.Muestra'!$F$8:$F$42)-MIN(ROW('03.Muestra'!$D$8:$D$42))+1,""),ROW()-94)),"")</f>
        <v>https://www.portcastello.com/</v>
      </c>
      <c r="D112" s="130" t="str">
        <f t="shared" si="5"/>
        <v>N/T</v>
      </c>
      <c r="E112" s="107" t="str">
        <f t="shared" si="4"/>
        <v/>
      </c>
      <c r="F112" s="19"/>
      <c r="G112" s="19"/>
      <c r="H112" s="19"/>
      <c r="I112" s="19"/>
      <c r="J112" s="19"/>
      <c r="K112" s="233"/>
      <c r="L112" s="19"/>
      <c r="M112" s="19"/>
      <c r="N112" s="19"/>
      <c r="O112" s="19"/>
      <c r="P112" s="19"/>
      <c r="Q112" s="19"/>
      <c r="R112" s="19"/>
      <c r="S112" s="19"/>
      <c r="T112" s="19"/>
      <c r="U112" s="19"/>
      <c r="V112" s="19"/>
      <c r="W112" s="19"/>
      <c r="X112" s="19"/>
      <c r="Y112" s="19"/>
    </row>
    <row r="113" spans="1:25" ht="12" customHeight="1">
      <c r="A113" s="219" t="n" cm="1">
        <f t="array" ref="A113">IFERROR(INDEX('03.Muestra'!$B$8:$B$42,SMALL(IF("Página Web"='03.Muestra'!$D$8:$D$42,ROW('03.Muestra'!$B$8:$B$42)-MIN(ROW('03.Muestra'!$D$8:$D$42))+1,""),ROW()-94)),"")</f>
        <v>1.0</v>
      </c>
      <c r="B113" s="114" t="str" cm="1">
        <f t="array" ref="B113">IFERROR(INDEX('03.Muestra'!$C$8:$C$42,SMALL(IF("Página Web"='03.Muestra'!$D$8:$D$42,ROW('03.Muestra'!$C$8:$C$42)-MIN(ROW('03.Muestra'!$D$8:$D$42))+1,""),ROW()-94)),"")</f>
        <v>Home - PortCastelló</v>
      </c>
      <c r="C113" s="114" t="str" cm="1">
        <f t="array" ref="C113">IFERROR(INDEX('03.Muestra'!$F$8:$F$42,SMALL(IF("Página Web"='03.Muestra'!$D$8:$D$42,ROW('03.Muestra'!$F$8:$F$42)-MIN(ROW('03.Muestra'!$D$8:$D$42))+1,""),ROW()-94)),"")</f>
        <v>https://www.portcastello.com/</v>
      </c>
      <c r="D113" s="130" t="str">
        <f t="shared" si="5"/>
        <v>N/T</v>
      </c>
      <c r="E113" s="107" t="str">
        <f t="shared" si="4"/>
        <v/>
      </c>
      <c r="F113" s="19"/>
      <c r="G113" s="19"/>
      <c r="H113" s="19"/>
      <c r="I113" s="19"/>
      <c r="J113" s="19"/>
      <c r="K113" s="233"/>
      <c r="L113" s="19"/>
      <c r="M113" s="19"/>
      <c r="N113" s="19"/>
      <c r="O113" s="19"/>
      <c r="P113" s="19"/>
      <c r="Q113" s="19"/>
      <c r="R113" s="19"/>
      <c r="S113" s="19"/>
      <c r="T113" s="19"/>
      <c r="U113" s="19"/>
      <c r="V113" s="19"/>
      <c r="W113" s="19"/>
      <c r="X113" s="19"/>
      <c r="Y113" s="19"/>
    </row>
    <row r="114" spans="1:25" ht="12" customHeight="1">
      <c r="A114" s="219" t="n" cm="1">
        <f t="array" ref="A114">IFERROR(INDEX('03.Muestra'!$B$8:$B$42,SMALL(IF("Página Web"='03.Muestra'!$D$8:$D$42,ROW('03.Muestra'!$B$8:$B$42)-MIN(ROW('03.Muestra'!$D$8:$D$42))+1,""),ROW()-94)),"")</f>
        <v>1.0</v>
      </c>
      <c r="B114" s="114" t="str" cm="1">
        <f t="array" ref="B114">IFERROR(INDEX('03.Muestra'!$C$8:$C$42,SMALL(IF("Página Web"='03.Muestra'!$D$8:$D$42,ROW('03.Muestra'!$C$8:$C$42)-MIN(ROW('03.Muestra'!$D$8:$D$42))+1,""),ROW()-94)),"")</f>
        <v>Home - PortCastelló</v>
      </c>
      <c r="C114" s="114" t="str" cm="1">
        <f t="array" ref="C114">IFERROR(INDEX('03.Muestra'!$F$8:$F$42,SMALL(IF("Página Web"='03.Muestra'!$D$8:$D$42,ROW('03.Muestra'!$F$8:$F$42)-MIN(ROW('03.Muestra'!$D$8:$D$42))+1,""),ROW()-94)),"")</f>
        <v>https://www.portcastello.com/</v>
      </c>
      <c r="D114" s="130" t="str">
        <f t="shared" si="5"/>
        <v>N/T</v>
      </c>
      <c r="E114" s="107" t="str">
        <f t="shared" si="4"/>
        <v/>
      </c>
      <c r="F114" s="19"/>
      <c r="G114" s="19"/>
      <c r="H114" s="19"/>
      <c r="I114" s="19"/>
      <c r="J114" s="19"/>
      <c r="K114" s="233"/>
      <c r="L114" s="19"/>
      <c r="M114" s="19"/>
      <c r="N114" s="19"/>
      <c r="O114" s="19"/>
      <c r="P114" s="19"/>
      <c r="Q114" s="19"/>
      <c r="R114" s="19"/>
      <c r="S114" s="19"/>
      <c r="T114" s="19"/>
      <c r="U114" s="19"/>
      <c r="V114" s="19"/>
      <c r="W114" s="19"/>
      <c r="X114" s="19"/>
      <c r="Y114" s="19"/>
    </row>
    <row r="115" spans="1:25" ht="12" customHeight="1">
      <c r="A115" s="219" t="n" cm="1">
        <f t="array" ref="A115">IFERROR(INDEX('03.Muestra'!$B$8:$B$42,SMALL(IF("Página Web"='03.Muestra'!$D$8:$D$42,ROW('03.Muestra'!$B$8:$B$42)-MIN(ROW('03.Muestra'!$D$8:$D$42))+1,""),ROW()-94)),"")</f>
        <v>1.0</v>
      </c>
      <c r="B115" s="114" t="str" cm="1">
        <f t="array" ref="B115">IFERROR(INDEX('03.Muestra'!$C$8:$C$42,SMALL(IF("Página Web"='03.Muestra'!$D$8:$D$42,ROW('03.Muestra'!$C$8:$C$42)-MIN(ROW('03.Muestra'!$D$8:$D$42))+1,""),ROW()-94)),"")</f>
        <v>Home - PortCastelló</v>
      </c>
      <c r="C115" s="114" t="str" cm="1">
        <f t="array" ref="C115">IFERROR(INDEX('03.Muestra'!$F$8:$F$42,SMALL(IF("Página Web"='03.Muestra'!$D$8:$D$42,ROW('03.Muestra'!$F$8:$F$42)-MIN(ROW('03.Muestra'!$D$8:$D$42))+1,""),ROW()-94)),"")</f>
        <v>https://www.portcastello.com/</v>
      </c>
      <c r="D115" s="130" t="str">
        <f t="shared" si="5"/>
        <v>N/T</v>
      </c>
      <c r="E115" s="107" t="str">
        <f t="shared" si="4"/>
        <v/>
      </c>
      <c r="F115" s="19"/>
      <c r="G115" s="19"/>
      <c r="H115" s="19"/>
      <c r="I115" s="19"/>
      <c r="J115" s="19"/>
      <c r="K115" s="233"/>
      <c r="L115" s="19"/>
      <c r="M115" s="19"/>
      <c r="N115" s="19"/>
      <c r="O115" s="19"/>
      <c r="P115" s="19"/>
      <c r="Q115" s="19"/>
      <c r="R115" s="19"/>
      <c r="S115" s="19"/>
      <c r="T115" s="19"/>
      <c r="U115" s="19"/>
      <c r="V115" s="19"/>
      <c r="W115" s="19"/>
      <c r="X115" s="19"/>
      <c r="Y115" s="19"/>
    </row>
    <row r="116" spans="1:25" ht="12" customHeight="1">
      <c r="A116" s="219" t="n" cm="1">
        <f t="array" ref="A116">IFERROR(INDEX('03.Muestra'!$B$8:$B$42,SMALL(IF("Página Web"='03.Muestra'!$D$8:$D$42,ROW('03.Muestra'!$B$8:$B$42)-MIN(ROW('03.Muestra'!$D$8:$D$42))+1,""),ROW()-94)),"")</f>
        <v>1.0</v>
      </c>
      <c r="B116" s="114" t="str" cm="1">
        <f t="array" ref="B116">IFERROR(INDEX('03.Muestra'!$C$8:$C$42,SMALL(IF("Página Web"='03.Muestra'!$D$8:$D$42,ROW('03.Muestra'!$C$8:$C$42)-MIN(ROW('03.Muestra'!$D$8:$D$42))+1,""),ROW()-94)),"")</f>
        <v>Home - PortCastelló</v>
      </c>
      <c r="C116" s="114" t="str" cm="1">
        <f t="array" ref="C116">IFERROR(INDEX('03.Muestra'!$F$8:$F$42,SMALL(IF("Página Web"='03.Muestra'!$D$8:$D$42,ROW('03.Muestra'!$F$8:$F$42)-MIN(ROW('03.Muestra'!$D$8:$D$42))+1,""),ROW()-94)),"")</f>
        <v>https://www.portcastello.com/</v>
      </c>
      <c r="D116" s="130" t="str">
        <f t="shared" si="5"/>
        <v>N/T</v>
      </c>
      <c r="E116" s="107" t="str">
        <f t="shared" si="4"/>
        <v/>
      </c>
      <c r="F116" s="19"/>
      <c r="G116" s="19"/>
      <c r="H116" s="19"/>
      <c r="I116" s="19"/>
      <c r="J116" s="19"/>
      <c r="K116" s="233"/>
      <c r="L116" s="19"/>
      <c r="M116" s="19"/>
      <c r="N116" s="19"/>
      <c r="O116" s="19"/>
      <c r="P116" s="19"/>
      <c r="Q116" s="19"/>
      <c r="R116" s="19"/>
      <c r="S116" s="19"/>
      <c r="T116" s="19"/>
      <c r="U116" s="19"/>
      <c r="V116" s="19"/>
      <c r="W116" s="19"/>
      <c r="X116" s="19"/>
      <c r="Y116" s="19"/>
    </row>
    <row r="117" spans="1:25" ht="12" customHeight="1">
      <c r="A117" s="219" t="n" cm="1">
        <f t="array" ref="A117">IFERROR(INDEX('03.Muestra'!$B$8:$B$42,SMALL(IF("Página Web"='03.Muestra'!$D$8:$D$42,ROW('03.Muestra'!$B$8:$B$42)-MIN(ROW('03.Muestra'!$D$8:$D$42))+1,""),ROW()-94)),"")</f>
        <v>1.0</v>
      </c>
      <c r="B117" s="114" t="str" cm="1">
        <f t="array" ref="B117">IFERROR(INDEX('03.Muestra'!$C$8:$C$42,SMALL(IF("Página Web"='03.Muestra'!$D$8:$D$42,ROW('03.Muestra'!$C$8:$C$42)-MIN(ROW('03.Muestra'!$D$8:$D$42))+1,""),ROW()-94)),"")</f>
        <v>Home - PortCastelló</v>
      </c>
      <c r="C117" s="114" t="str" cm="1">
        <f t="array" ref="C117">IFERROR(INDEX('03.Muestra'!$F$8:$F$42,SMALL(IF("Página Web"='03.Muestra'!$D$8:$D$42,ROW('03.Muestra'!$F$8:$F$42)-MIN(ROW('03.Muestra'!$D$8:$D$42))+1,""),ROW()-94)),"")</f>
        <v>https://www.portcastello.com/</v>
      </c>
      <c r="D117" s="130" t="str">
        <f t="shared" si="5"/>
        <v>N/T</v>
      </c>
      <c r="E117" s="107" t="str">
        <f t="shared" si="4"/>
        <v/>
      </c>
      <c r="F117" s="19"/>
      <c r="G117" s="19"/>
      <c r="H117" s="19"/>
      <c r="I117" s="19"/>
      <c r="J117" s="19"/>
      <c r="K117" s="233"/>
      <c r="L117" s="19"/>
      <c r="M117" s="19"/>
      <c r="N117" s="19"/>
      <c r="O117" s="19"/>
      <c r="P117" s="19"/>
      <c r="Q117" s="19"/>
      <c r="R117" s="19"/>
      <c r="S117" s="19"/>
      <c r="T117" s="19"/>
      <c r="U117" s="19"/>
      <c r="V117" s="19"/>
      <c r="W117" s="19"/>
      <c r="X117" s="19"/>
      <c r="Y117" s="19"/>
    </row>
    <row r="118" spans="1:25" ht="12" customHeight="1">
      <c r="A118" s="219" t="n" cm="1">
        <f t="array" ref="A118">IFERROR(INDEX('03.Muestra'!$B$8:$B$42,SMALL(IF("Página Web"='03.Muestra'!$D$8:$D$42,ROW('03.Muestra'!$B$8:$B$42)-MIN(ROW('03.Muestra'!$D$8:$D$42))+1,""),ROW()-94)),"")</f>
        <v>1.0</v>
      </c>
      <c r="B118" s="114" t="str" cm="1">
        <f t="array" ref="B118">IFERROR(INDEX('03.Muestra'!$C$8:$C$42,SMALL(IF("Página Web"='03.Muestra'!$D$8:$D$42,ROW('03.Muestra'!$C$8:$C$42)-MIN(ROW('03.Muestra'!$D$8:$D$42))+1,""),ROW()-94)),"")</f>
        <v>Home - PortCastelló</v>
      </c>
      <c r="C118" s="114" t="str" cm="1">
        <f t="array" ref="C118">IFERROR(INDEX('03.Muestra'!$F$8:$F$42,SMALL(IF("Página Web"='03.Muestra'!$D$8:$D$42,ROW('03.Muestra'!$F$8:$F$42)-MIN(ROW('03.Muestra'!$D$8:$D$42))+1,""),ROW()-94)),"")</f>
        <v>https://www.portcastello.com/</v>
      </c>
      <c r="D118" s="130" t="str">
        <f t="shared" si="5"/>
        <v>N/T</v>
      </c>
      <c r="E118" s="107" t="str">
        <f t="shared" si="4"/>
        <v/>
      </c>
      <c r="F118" s="19"/>
      <c r="G118" s="19"/>
      <c r="H118" s="19"/>
      <c r="I118" s="19"/>
      <c r="J118" s="19"/>
      <c r="K118" s="233"/>
      <c r="L118" s="19"/>
      <c r="M118" s="19"/>
      <c r="N118" s="19"/>
      <c r="O118" s="19"/>
      <c r="P118" s="19"/>
      <c r="Q118" s="19"/>
      <c r="R118" s="19"/>
      <c r="S118" s="19"/>
      <c r="T118" s="19"/>
      <c r="U118" s="19"/>
      <c r="V118" s="19"/>
      <c r="W118" s="19"/>
      <c r="X118" s="19"/>
      <c r="Y118" s="19"/>
    </row>
    <row r="119" spans="1:25" ht="12" customHeight="1">
      <c r="A119" s="219" t="n" cm="1">
        <f t="array" ref="A119">IFERROR(INDEX('03.Muestra'!$B$8:$B$42,SMALL(IF("Página Web"='03.Muestra'!$D$8:$D$42,ROW('03.Muestra'!$B$8:$B$42)-MIN(ROW('03.Muestra'!$D$8:$D$42))+1,""),ROW()-94)),"")</f>
        <v>1.0</v>
      </c>
      <c r="B119" s="114" t="str" cm="1">
        <f t="array" ref="B119">IFERROR(INDEX('03.Muestra'!$C$8:$C$42,SMALL(IF("Página Web"='03.Muestra'!$D$8:$D$42,ROW('03.Muestra'!$C$8:$C$42)-MIN(ROW('03.Muestra'!$D$8:$D$42))+1,""),ROW()-94)),"")</f>
        <v>Home - PortCastelló</v>
      </c>
      <c r="C119" s="114" t="str" cm="1">
        <f t="array" ref="C119">IFERROR(INDEX('03.Muestra'!$F$8:$F$42,SMALL(IF("Página Web"='03.Muestra'!$D$8:$D$42,ROW('03.Muestra'!$F$8:$F$42)-MIN(ROW('03.Muestra'!$D$8:$D$42))+1,""),ROW()-94)),"")</f>
        <v>https://www.portcastello.com/</v>
      </c>
      <c r="D119" s="130" t="str">
        <f t="shared" si="5"/>
        <v>N/T</v>
      </c>
      <c r="E119" s="107" t="str">
        <f t="shared" si="4"/>
        <v/>
      </c>
      <c r="F119" s="19"/>
      <c r="G119" s="19"/>
      <c r="H119" s="19"/>
      <c r="I119" s="19"/>
      <c r="J119" s="19"/>
      <c r="K119" s="233"/>
      <c r="L119" s="19"/>
      <c r="M119" s="19"/>
      <c r="N119" s="19"/>
      <c r="O119" s="19"/>
      <c r="P119" s="19"/>
      <c r="Q119" s="19"/>
      <c r="R119" s="19"/>
      <c r="S119" s="19"/>
      <c r="T119" s="19"/>
      <c r="U119" s="19"/>
      <c r="V119" s="19"/>
      <c r="W119" s="19"/>
      <c r="X119" s="19"/>
      <c r="Y119" s="19"/>
    </row>
    <row r="120" spans="1:25" ht="12" customHeight="1">
      <c r="A120" s="219" t="n" cm="1">
        <f t="array" ref="A120">IFERROR(INDEX('03.Muestra'!$B$8:$B$42,SMALL(IF("Página Web"='03.Muestra'!$D$8:$D$42,ROW('03.Muestra'!$B$8:$B$42)-MIN(ROW('03.Muestra'!$D$8:$D$42))+1,""),ROW()-94)),"")</f>
        <v>1.0</v>
      </c>
      <c r="B120" s="114" t="str" cm="1">
        <f t="array" ref="B120">IFERROR(INDEX('03.Muestra'!$C$8:$C$42,SMALL(IF("Página Web"='03.Muestra'!$D$8:$D$42,ROW('03.Muestra'!$C$8:$C$42)-MIN(ROW('03.Muestra'!$D$8:$D$42))+1,""),ROW()-94)),"")</f>
        <v>Home - PortCastelló</v>
      </c>
      <c r="C120" s="114" t="str" cm="1">
        <f t="array" ref="C120">IFERROR(INDEX('03.Muestra'!$F$8:$F$42,SMALL(IF("Página Web"='03.Muestra'!$D$8:$D$42,ROW('03.Muestra'!$F$8:$F$42)-MIN(ROW('03.Muestra'!$D$8:$D$42))+1,""),ROW()-94)),"")</f>
        <v>https://www.portcastello.com/</v>
      </c>
      <c r="D120" s="130" t="str">
        <f t="shared" si="5"/>
        <v>N/T</v>
      </c>
      <c r="E120" s="107" t="str">
        <f t="shared" si="4"/>
        <v/>
      </c>
      <c r="F120" s="19"/>
      <c r="G120" s="19"/>
      <c r="H120" s="19"/>
      <c r="I120" s="19"/>
      <c r="J120" s="19"/>
      <c r="K120" s="233"/>
      <c r="L120" s="19"/>
      <c r="M120" s="19"/>
      <c r="N120" s="19"/>
      <c r="O120" s="19"/>
      <c r="P120" s="19"/>
      <c r="Q120" s="19"/>
      <c r="R120" s="19"/>
      <c r="S120" s="19"/>
      <c r="T120" s="19"/>
      <c r="U120" s="19"/>
      <c r="V120" s="19"/>
      <c r="W120" s="19"/>
      <c r="X120" s="19"/>
      <c r="Y120" s="19"/>
    </row>
    <row r="121" spans="1:25" ht="12" customHeight="1">
      <c r="A121" s="219" t="n" cm="1">
        <f t="array" ref="A121">IFERROR(INDEX('03.Muestra'!$B$8:$B$42,SMALL(IF("Página Web"='03.Muestra'!$D$8:$D$42,ROW('03.Muestra'!$B$8:$B$42)-MIN(ROW('03.Muestra'!$D$8:$D$42))+1,""),ROW()-94)),"")</f>
        <v>1.0</v>
      </c>
      <c r="B121" s="114" t="str" cm="1">
        <f t="array" ref="B121">IFERROR(INDEX('03.Muestra'!$C$8:$C$42,SMALL(IF("Página Web"='03.Muestra'!$D$8:$D$42,ROW('03.Muestra'!$C$8:$C$42)-MIN(ROW('03.Muestra'!$D$8:$D$42))+1,""),ROW()-94)),"")</f>
        <v>Home - PortCastelló</v>
      </c>
      <c r="C121" s="114" t="str" cm="1">
        <f t="array" ref="C121">IFERROR(INDEX('03.Muestra'!$F$8:$F$42,SMALL(IF("Página Web"='03.Muestra'!$D$8:$D$42,ROW('03.Muestra'!$F$8:$F$42)-MIN(ROW('03.Muestra'!$D$8:$D$42))+1,""),ROW()-94)),"")</f>
        <v>https://www.portcastello.com/</v>
      </c>
      <c r="D121" s="130" t="str">
        <f t="shared" si="5"/>
        <v>N/T</v>
      </c>
      <c r="E121" s="107" t="str">
        <f t="shared" si="4"/>
        <v/>
      </c>
      <c r="F121" s="19"/>
      <c r="G121" s="19"/>
      <c r="H121" s="19"/>
      <c r="I121" s="19"/>
      <c r="J121" s="19"/>
      <c r="K121" s="233"/>
      <c r="L121" s="19"/>
      <c r="M121" s="19"/>
      <c r="N121" s="19"/>
      <c r="O121" s="19"/>
      <c r="P121" s="19"/>
      <c r="Q121" s="19"/>
      <c r="R121" s="19"/>
      <c r="S121" s="19"/>
      <c r="T121" s="19"/>
      <c r="U121" s="19"/>
      <c r="V121" s="19"/>
      <c r="W121" s="19"/>
      <c r="X121" s="19"/>
      <c r="Y121" s="19"/>
    </row>
    <row r="122" spans="1:25" ht="12" customHeight="1">
      <c r="A122" s="219" t="n" cm="1">
        <f t="array" ref="A122">IFERROR(INDEX('03.Muestra'!$B$8:$B$42,SMALL(IF("Página Web"='03.Muestra'!$D$8:$D$42,ROW('03.Muestra'!$B$8:$B$42)-MIN(ROW('03.Muestra'!$D$8:$D$42))+1,""),ROW()-94)),"")</f>
        <v>1.0</v>
      </c>
      <c r="B122" s="114" t="str" cm="1">
        <f t="array" ref="B122">IFERROR(INDEX('03.Muestra'!$C$8:$C$42,SMALL(IF("Página Web"='03.Muestra'!$D$8:$D$42,ROW('03.Muestra'!$C$8:$C$42)-MIN(ROW('03.Muestra'!$D$8:$D$42))+1,""),ROW()-94)),"")</f>
        <v>Home - PortCastelló</v>
      </c>
      <c r="C122" s="114" t="str" cm="1">
        <f t="array" ref="C122">IFERROR(INDEX('03.Muestra'!$F$8:$F$42,SMALL(IF("Página Web"='03.Muestra'!$D$8:$D$42,ROW('03.Muestra'!$F$8:$F$42)-MIN(ROW('03.Muestra'!$D$8:$D$42))+1,""),ROW()-94)),"")</f>
        <v>https://www.portcastello.com/</v>
      </c>
      <c r="D122" s="130" t="str">
        <f t="shared" si="5"/>
        <v>N/T</v>
      </c>
      <c r="E122" s="107" t="str">
        <f t="shared" si="4"/>
        <v/>
      </c>
      <c r="G122" s="19"/>
      <c r="H122" s="19"/>
      <c r="I122" s="19"/>
      <c r="J122" s="19"/>
      <c r="K122" s="233"/>
      <c r="L122" s="19"/>
      <c r="M122" s="19"/>
      <c r="N122" s="19"/>
      <c r="O122" s="19"/>
      <c r="P122" s="19"/>
      <c r="Q122" s="19"/>
      <c r="R122" s="19"/>
      <c r="S122" s="19"/>
      <c r="T122" s="19"/>
      <c r="U122" s="19"/>
      <c r="V122" s="19"/>
      <c r="W122" s="19"/>
      <c r="X122" s="19"/>
      <c r="Y122" s="19"/>
    </row>
    <row r="123" spans="1:25" ht="12" customHeight="1">
      <c r="A123" s="219" t="n" cm="1">
        <f t="array" ref="A123">IFERROR(INDEX('03.Muestra'!$B$8:$B$42,SMALL(IF("Página Web"='03.Muestra'!$D$8:$D$42,ROW('03.Muestra'!$B$8:$B$42)-MIN(ROW('03.Muestra'!$D$8:$D$42))+1,""),ROW()-94)),"")</f>
        <v>1.0</v>
      </c>
      <c r="B123" s="114" t="str" cm="1">
        <f t="array" ref="B123">IFERROR(INDEX('03.Muestra'!$C$8:$C$42,SMALL(IF("Página Web"='03.Muestra'!$D$8:$D$42,ROW('03.Muestra'!$C$8:$C$42)-MIN(ROW('03.Muestra'!$D$8:$D$42))+1,""),ROW()-94)),"")</f>
        <v>Home - PortCastelló</v>
      </c>
      <c r="C123" s="114" t="str" cm="1">
        <f t="array" ref="C123">IFERROR(INDEX('03.Muestra'!$F$8:$F$42,SMALL(IF("Página Web"='03.Muestra'!$D$8:$D$42,ROW('03.Muestra'!$F$8:$F$42)-MIN(ROW('03.Muestra'!$D$8:$D$42))+1,""),ROW()-94)),"")</f>
        <v>https://www.portcastello.com/</v>
      </c>
      <c r="D123" s="130" t="str">
        <f t="shared" si="5"/>
        <v>N/T</v>
      </c>
      <c r="E123" s="107" t="str">
        <f t="shared" si="4"/>
        <v/>
      </c>
      <c r="F123" s="124"/>
      <c r="G123" s="19"/>
      <c r="H123" s="19"/>
      <c r="I123" s="19"/>
      <c r="J123" s="19"/>
      <c r="K123" s="233"/>
      <c r="L123" s="19"/>
      <c r="M123" s="19"/>
      <c r="N123" s="19"/>
      <c r="O123" s="19"/>
      <c r="P123" s="19"/>
      <c r="Q123" s="19"/>
      <c r="R123" s="19"/>
      <c r="S123" s="19"/>
      <c r="T123" s="19"/>
      <c r="U123" s="19"/>
      <c r="V123" s="19"/>
      <c r="W123" s="19"/>
      <c r="X123" s="19"/>
      <c r="Y123" s="19"/>
    </row>
    <row r="124" spans="1:25" ht="12" customHeight="1">
      <c r="A124" s="219" t="n" cm="1">
        <f t="array" ref="A124">IFERROR(INDEX('03.Muestra'!$B$8:$B$42,SMALL(IF("Página Web"='03.Muestra'!$D$8:$D$42,ROW('03.Muestra'!$B$8:$B$42)-MIN(ROW('03.Muestra'!$D$8:$D$42))+1,""),ROW()-94)),"")</f>
        <v>1.0</v>
      </c>
      <c r="B124" s="114" t="str" cm="1">
        <f t="array" ref="B124">IFERROR(INDEX('03.Muestra'!$C$8:$C$42,SMALL(IF("Página Web"='03.Muestra'!$D$8:$D$42,ROW('03.Muestra'!$C$8:$C$42)-MIN(ROW('03.Muestra'!$D$8:$D$42))+1,""),ROW()-94)),"")</f>
        <v>Home - PortCastelló</v>
      </c>
      <c r="C124" s="114" t="str" cm="1">
        <f t="array" ref="C124">IFERROR(INDEX('03.Muestra'!$F$8:$F$42,SMALL(IF("Página Web"='03.Muestra'!$D$8:$D$42,ROW('03.Muestra'!$F$8:$F$42)-MIN(ROW('03.Muestra'!$D$8:$D$42))+1,""),ROW()-94)),"")</f>
        <v>https://www.portcastello.com/</v>
      </c>
      <c r="D124" s="130" t="str">
        <f t="shared" si="5"/>
        <v>N/T</v>
      </c>
      <c r="E124" s="107" t="str">
        <f t="shared" si="4"/>
        <v/>
      </c>
      <c r="F124" s="124"/>
      <c r="G124" s="19"/>
      <c r="H124" s="19"/>
      <c r="I124" s="19"/>
      <c r="J124" s="19"/>
      <c r="K124" s="233"/>
      <c r="L124" s="19"/>
      <c r="M124" s="19"/>
      <c r="N124" s="19"/>
      <c r="O124" s="19"/>
      <c r="P124" s="19"/>
      <c r="Q124" s="19"/>
      <c r="R124" s="19"/>
      <c r="S124" s="19"/>
      <c r="T124" s="19"/>
      <c r="U124" s="19"/>
      <c r="V124" s="19"/>
      <c r="W124" s="19"/>
      <c r="X124" s="19"/>
      <c r="Y124" s="19"/>
    </row>
    <row r="125" spans="1:25" ht="12" customHeight="1">
      <c r="A125" s="219" t="n" cm="1">
        <f t="array" ref="A125">IFERROR(INDEX('03.Muestra'!$B$8:$B$42,SMALL(IF("Página Web"='03.Muestra'!$D$8:$D$42,ROW('03.Muestra'!$B$8:$B$42)-MIN(ROW('03.Muestra'!$D$8:$D$42))+1,""),ROW()-94)),"")</f>
        <v>1.0</v>
      </c>
      <c r="B125" s="114" t="str" cm="1">
        <f t="array" ref="B125">IFERROR(INDEX('03.Muestra'!$C$8:$C$42,SMALL(IF("Página Web"='03.Muestra'!$D$8:$D$42,ROW('03.Muestra'!$C$8:$C$42)-MIN(ROW('03.Muestra'!$D$8:$D$42))+1,""),ROW()-94)),"")</f>
        <v>Home - PortCastelló</v>
      </c>
      <c r="C125" s="114" t="str" cm="1">
        <f t="array" ref="C125">IFERROR(INDEX('03.Muestra'!$F$8:$F$42,SMALL(IF("Página Web"='03.Muestra'!$D$8:$D$42,ROW('03.Muestra'!$F$8:$F$42)-MIN(ROW('03.Muestra'!$D$8:$D$42))+1,""),ROW()-94)),"")</f>
        <v>https://www.portcastello.com/</v>
      </c>
      <c r="D125" s="130" t="str">
        <f t="shared" si="5"/>
        <v>N/T</v>
      </c>
      <c r="E125" s="107" t="str">
        <f t="shared" si="4"/>
        <v/>
      </c>
      <c r="F125" s="124"/>
      <c r="G125" s="19"/>
      <c r="H125" s="19"/>
      <c r="I125" s="19"/>
      <c r="J125" s="19"/>
      <c r="K125" s="233"/>
      <c r="L125" s="19"/>
      <c r="M125" s="19"/>
      <c r="N125" s="19"/>
      <c r="O125" s="19"/>
      <c r="P125" s="19"/>
      <c r="Q125" s="19"/>
      <c r="R125" s="19"/>
      <c r="S125" s="19"/>
      <c r="T125" s="19"/>
      <c r="U125" s="19"/>
      <c r="V125" s="19"/>
      <c r="W125" s="19"/>
      <c r="X125" s="19"/>
      <c r="Y125" s="19"/>
    </row>
    <row r="126" spans="1:25" ht="12" customHeight="1">
      <c r="A126" s="219" t="n" cm="1">
        <f t="array" ref="A126">IFERROR(INDEX('03.Muestra'!$B$8:$B$42,SMALL(IF("Página Web"='03.Muestra'!$D$8:$D$42,ROW('03.Muestra'!$B$8:$B$42)-MIN(ROW('03.Muestra'!$D$8:$D$42))+1,""),ROW()-94)),"")</f>
        <v>1.0</v>
      </c>
      <c r="B126" s="114" t="str" cm="1">
        <f t="array" ref="B126">IFERROR(INDEX('03.Muestra'!$C$8:$C$42,SMALL(IF("Página Web"='03.Muestra'!$D$8:$D$42,ROW('03.Muestra'!$C$8:$C$42)-MIN(ROW('03.Muestra'!$D$8:$D$42))+1,""),ROW()-94)),"")</f>
        <v>Home - PortCastelló</v>
      </c>
      <c r="C126" s="114" t="str" cm="1">
        <f t="array" ref="C126">IFERROR(INDEX('03.Muestra'!$F$8:$F$42,SMALL(IF("Página Web"='03.Muestra'!$D$8:$D$42,ROW('03.Muestra'!$F$8:$F$42)-MIN(ROW('03.Muestra'!$D$8:$D$42))+1,""),ROW()-94)),"")</f>
        <v>https://www.portcastello.com/</v>
      </c>
      <c r="D126" s="130" t="str">
        <f t="shared" si="5"/>
        <v>N/T</v>
      </c>
      <c r="E126" s="107" t="str">
        <f t="shared" si="4"/>
        <v/>
      </c>
      <c r="F126" s="124"/>
      <c r="G126" s="19"/>
      <c r="H126" s="19"/>
      <c r="I126" s="19"/>
      <c r="J126" s="19"/>
      <c r="K126" s="233"/>
      <c r="L126" s="19"/>
      <c r="M126" s="19"/>
      <c r="N126" s="19"/>
      <c r="O126" s="19"/>
      <c r="P126" s="19"/>
      <c r="Q126" s="19"/>
      <c r="R126" s="19"/>
      <c r="S126" s="19"/>
      <c r="T126" s="19"/>
      <c r="U126" s="19"/>
      <c r="V126" s="19"/>
      <c r="W126" s="19"/>
      <c r="X126" s="19"/>
      <c r="Y126" s="19"/>
    </row>
    <row r="127" spans="1:25" ht="12" customHeight="1">
      <c r="A127" s="219" t="n" cm="1">
        <f t="array" ref="A127">IFERROR(INDEX('03.Muestra'!$B$8:$B$42,SMALL(IF("Página Web"='03.Muestra'!$D$8:$D$42,ROW('03.Muestra'!$B$8:$B$42)-MIN(ROW('03.Muestra'!$D$8:$D$42))+1,""),ROW()-94)),"")</f>
        <v>1.0</v>
      </c>
      <c r="B127" s="114" t="str" cm="1">
        <f t="array" ref="B127">IFERROR(INDEX('03.Muestra'!$C$8:$C$42,SMALL(IF("Página Web"='03.Muestra'!$D$8:$D$42,ROW('03.Muestra'!$C$8:$C$42)-MIN(ROW('03.Muestra'!$D$8:$D$42))+1,""),ROW()-94)),"")</f>
        <v>Home - PortCastelló</v>
      </c>
      <c r="C127" s="114" t="str" cm="1">
        <f t="array" ref="C127">IFERROR(INDEX('03.Muestra'!$F$8:$F$42,SMALL(IF("Página Web"='03.Muestra'!$D$8:$D$42,ROW('03.Muestra'!$F$8:$F$42)-MIN(ROW('03.Muestra'!$D$8:$D$42))+1,""),ROW()-94)),"")</f>
        <v>https://www.portcastello.com/</v>
      </c>
      <c r="D127" s="130" t="str">
        <f t="shared" si="5"/>
        <v>N/T</v>
      </c>
      <c r="E127" s="107" t="str">
        <f t="shared" si="4"/>
        <v/>
      </c>
      <c r="F127" s="124"/>
      <c r="G127" s="19"/>
      <c r="H127" s="19"/>
      <c r="I127" s="19"/>
      <c r="J127" s="19"/>
      <c r="K127" s="233"/>
      <c r="L127" s="19"/>
      <c r="M127" s="19"/>
      <c r="N127" s="19"/>
      <c r="O127" s="19"/>
      <c r="P127" s="19"/>
      <c r="Q127" s="19"/>
      <c r="R127" s="19"/>
      <c r="S127" s="19"/>
      <c r="T127" s="19"/>
      <c r="U127" s="19"/>
      <c r="V127" s="19"/>
      <c r="W127" s="19"/>
      <c r="X127" s="19"/>
      <c r="Y127" s="19"/>
    </row>
    <row r="128" spans="1:25" ht="12" customHeight="1">
      <c r="A128" s="219" t="str" cm="1">
        <f t="array" ref="A128">IFERROR(INDEX('03.Muestra'!$B$8:$B$42,SMALL(IF("Página Web"='03.Muestra'!$D$8:$D$42,ROW('03.Muestra'!$B$8:$B$42)-MIN(ROW('03.Muestra'!$D$8:$D$42))+1,""),ROW()-94)),"")</f>
        <v/>
      </c>
      <c r="B128" s="114" t="str" cm="1">
        <f t="array" ref="B128">IFERROR(INDEX('03.Muestra'!$C$8:$C$42,SMALL(IF("Página Web"='03.Muestra'!$D$8:$D$42,ROW('03.Muestra'!$C$8:$C$42)-MIN(ROW('03.Muestra'!$D$8:$D$42))+1,""),ROW()-94)),"")</f>
        <v/>
      </c>
      <c r="C128" s="114" t="str" cm="1">
        <f t="array" ref="C128">IFERROR(INDEX('03.Muestra'!$F$8:$F$42,SMALL(IF("Página Web"='03.Muestra'!$D$8:$D$42,ROW('03.Muestra'!$F$8:$F$42)-MIN(ROW('03.Muestra'!$D$8:$D$42))+1,""),ROW()-94)),"")</f>
        <v/>
      </c>
      <c r="D128" s="130" t="str">
        <f t="shared" si="5"/>
        <v/>
      </c>
      <c r="E128" s="107" t="str">
        <f t="shared" si="4"/>
        <v/>
      </c>
      <c r="F128" s="124"/>
      <c r="G128" s="19"/>
      <c r="H128" s="19"/>
      <c r="I128" s="19"/>
      <c r="J128" s="19"/>
      <c r="K128" s="233"/>
      <c r="L128" s="19"/>
      <c r="M128" s="19"/>
      <c r="N128" s="19"/>
      <c r="O128" s="19"/>
      <c r="P128" s="19"/>
      <c r="Q128" s="19"/>
      <c r="R128" s="19"/>
      <c r="S128" s="19"/>
      <c r="T128" s="19"/>
      <c r="U128" s="19"/>
      <c r="V128" s="19"/>
      <c r="W128" s="19"/>
      <c r="X128" s="19"/>
      <c r="Y128" s="19"/>
    </row>
    <row r="129" spans="1:25" ht="12" customHeight="1">
      <c r="A129" s="219" t="str" cm="1">
        <f t="array" ref="A129">IFERROR(INDEX('03.Muestra'!$B$8:$B$42,SMALL(IF("Página Web"='03.Muestra'!$D$8:$D$42,ROW('03.Muestra'!$B$8:$B$42)-MIN(ROW('03.Muestra'!$D$8:$D$42))+1,""),ROW()-94)),"")</f>
        <v/>
      </c>
      <c r="B129" s="114" t="str" cm="1">
        <f t="array" ref="B129">IFERROR(INDEX('03.Muestra'!$C$8:$C$42,SMALL(IF("Página Web"='03.Muestra'!$D$8:$D$42,ROW('03.Muestra'!$C$8:$C$42)-MIN(ROW('03.Muestra'!$D$8:$D$42))+1,""),ROW()-94)),"")</f>
        <v/>
      </c>
      <c r="C129" s="114" t="str" cm="1">
        <f t="array" ref="C129">IFERROR(INDEX('03.Muestra'!$F$8:$F$42,SMALL(IF("Página Web"='03.Muestra'!$D$8:$D$42,ROW('03.Muestra'!$F$8:$F$42)-MIN(ROW('03.Muestra'!$D$8:$D$42))+1,""),ROW()-94)),"")</f>
        <v/>
      </c>
      <c r="D129" s="130" t="str">
        <f t="shared" si="5"/>
        <v/>
      </c>
      <c r="E129" s="107" t="str">
        <f t="shared" si="4"/>
        <v/>
      </c>
      <c r="F129" s="19"/>
      <c r="G129" s="19"/>
      <c r="H129" s="19"/>
      <c r="I129" s="19"/>
      <c r="J129" s="19"/>
      <c r="K129" s="233"/>
      <c r="L129" s="19"/>
      <c r="M129" s="19"/>
      <c r="N129" s="19"/>
      <c r="O129" s="19"/>
      <c r="P129" s="19"/>
      <c r="Q129" s="19"/>
      <c r="R129" s="19"/>
      <c r="S129" s="19"/>
      <c r="T129" s="19"/>
      <c r="U129" s="19"/>
      <c r="V129" s="19"/>
      <c r="W129" s="19"/>
      <c r="X129" s="19"/>
      <c r="Y129" s="19"/>
    </row>
    <row r="130" spans="1:25" ht="12" customHeight="1">
      <c r="B130" s="19"/>
      <c r="C130" s="19"/>
      <c r="D130" s="107"/>
      <c r="E130" s="107"/>
      <c r="F130" s="19"/>
      <c r="G130" s="19"/>
      <c r="H130" s="19"/>
      <c r="I130" s="19"/>
      <c r="J130" s="19"/>
      <c r="K130" s="233"/>
      <c r="L130" s="19"/>
      <c r="M130" s="19"/>
      <c r="N130" s="19"/>
      <c r="O130" s="19"/>
      <c r="P130" s="19"/>
      <c r="Q130" s="19"/>
      <c r="R130" s="19"/>
      <c r="S130" s="19"/>
      <c r="T130" s="19"/>
      <c r="U130" s="19"/>
      <c r="V130" s="19"/>
      <c r="W130" s="19"/>
      <c r="X130" s="19"/>
      <c r="Y130" s="19"/>
    </row>
    <row r="131" spans="1:25" ht="12" customHeight="1">
      <c r="B131" s="19"/>
      <c r="C131" s="19"/>
      <c r="D131" s="107"/>
      <c r="E131" s="112"/>
      <c r="F131" s="19"/>
      <c r="G131" s="19"/>
      <c r="H131" s="19"/>
      <c r="I131" s="19"/>
      <c r="J131" s="19"/>
      <c r="K131" s="233"/>
      <c r="L131" s="19"/>
      <c r="M131" s="19"/>
      <c r="N131" s="19"/>
      <c r="O131" s="19"/>
      <c r="P131" s="19"/>
      <c r="Q131" s="19"/>
      <c r="R131" s="19"/>
      <c r="S131" s="19"/>
      <c r="T131" s="19"/>
      <c r="U131" s="19"/>
      <c r="V131" s="19"/>
      <c r="W131" s="19"/>
      <c r="X131" s="19"/>
      <c r="Y131" s="19"/>
    </row>
    <row r="132" spans="1:25" ht="29.25" customHeight="1">
      <c r="A132" s="218" t="s">
        <v>268</v>
      </c>
      <c r="B132" s="24" t="s">
        <v>90</v>
      </c>
      <c r="C132" s="25" t="s">
        <v>376</v>
      </c>
      <c r="D132" s="26" t="s">
        <v>32</v>
      </c>
      <c r="E132" s="123"/>
      <c r="K132" s="233"/>
      <c r="L132" s="19"/>
      <c r="M132" s="19"/>
      <c r="N132" s="19"/>
      <c r="O132" s="19"/>
      <c r="P132" s="19"/>
      <c r="Q132" s="19"/>
      <c r="R132" s="19"/>
      <c r="S132" s="19"/>
      <c r="T132" s="19"/>
      <c r="U132" s="19"/>
      <c r="V132" s="19"/>
      <c r="W132" s="19"/>
      <c r="X132" s="19"/>
      <c r="Y132" s="19"/>
    </row>
    <row r="133" spans="1:25" ht="12" customHeight="1">
      <c r="A133" s="219" t="n" cm="1">
        <f t="array" ref="A133">IFERROR(INDEX('03.Muestra'!$B$8:$B$42,SMALL(IF("Página Web"='03.Muestra'!$D$8:$D$42,ROW('03.Muestra'!$B$8:$B$42)-MIN(ROW('03.Muestra'!$D$8:$D$42))+1,""),ROW()-132)),"")</f>
        <v>1.0</v>
      </c>
      <c r="B133" s="114" t="str" cm="1">
        <f t="array" ref="B133">IFERROR(INDEX('03.Muestra'!$C$8:$C$42,SMALL(IF("Página Web"='03.Muestra'!$D$8:$D$42,ROW('03.Muestra'!$C$8:$C$42)-MIN(ROW('03.Muestra'!$D$8:$D$42))+1,""),ROW()-132)),"")</f>
        <v>Home - PortCastelló</v>
      </c>
      <c r="C133" s="114" t="str" cm="1">
        <f t="array" ref="C133">IFERROR(INDEX('03.Muestra'!$F$8:$F$42,SMALL(IF("Página Web"='03.Muestra'!$D$8:$D$42,ROW('03.Muestra'!$F$8:$F$42)-MIN(ROW('03.Muestra'!$D$8:$D$42))+1,""),ROW()-132)),"")</f>
        <v>https://www.portcastello.com/</v>
      </c>
      <c r="D133" s="130" t="str">
        <f>IF(AND(B133&lt;&gt;"",C133&lt;&gt;""),"N/T","")</f>
        <v>N/T</v>
      </c>
      <c r="E133" s="107" t="str">
        <f t="shared" ref="E133:E167" si="6">IF(D133&lt;&gt;"",IF(AND(B133&lt;&gt;"",C133&lt;&gt;""),"","ERR"),"")</f>
        <v/>
      </c>
      <c r="F133" s="115" t="s">
        <v>33</v>
      </c>
      <c r="G133" s="116" t="s">
        <v>37</v>
      </c>
      <c r="H133" s="117" t="s">
        <v>35</v>
      </c>
      <c r="I133" s="118" t="s">
        <v>28</v>
      </c>
      <c r="J133" s="119" t="s">
        <v>26</v>
      </c>
      <c r="K133" s="226" t="s">
        <v>474</v>
      </c>
      <c r="L133" s="19"/>
      <c r="M133" s="19"/>
      <c r="N133" s="19"/>
      <c r="O133" s="19"/>
      <c r="P133" s="19"/>
      <c r="Q133" s="19"/>
      <c r="R133" s="19"/>
      <c r="S133" s="19"/>
      <c r="T133" s="19"/>
      <c r="U133" s="19"/>
      <c r="V133" s="19"/>
      <c r="W133" s="19"/>
      <c r="X133" s="19"/>
      <c r="Y133" s="19"/>
    </row>
    <row r="134" spans="1:25" ht="12" customHeight="1">
      <c r="A134" s="219" t="n" cm="1">
        <f t="array" ref="A134">IFERROR(INDEX('03.Muestra'!$B$8:$B$42,SMALL(IF("Página Web"='03.Muestra'!$D$8:$D$42,ROW('03.Muestra'!$B$8:$B$42)-MIN(ROW('03.Muestra'!$D$8:$D$42))+1,""),ROW()-132)),"")</f>
        <v>1.0</v>
      </c>
      <c r="B134" s="114" t="str" cm="1">
        <f t="array" ref="B134">IFERROR(INDEX('03.Muestra'!$C$8:$C$42,SMALL(IF("Página Web"='03.Muestra'!$D$8:$D$42,ROW('03.Muestra'!$C$8:$C$42)-MIN(ROW('03.Muestra'!$D$8:$D$42))+1,""),ROW()-132)),"")</f>
        <v>Home - PortCastelló</v>
      </c>
      <c r="C134" s="114" t="str" cm="1">
        <f t="array" ref="C134">IFERROR(INDEX('03.Muestra'!$F$8:$F$42,SMALL(IF("Página Web"='03.Muestra'!$D$8:$D$42,ROW('03.Muestra'!$F$8:$F$42)-MIN(ROW('03.Muestra'!$D$8:$D$42))+1,""),ROW()-132)),"")</f>
        <v>https://www.portcastello.com/</v>
      </c>
      <c r="D134" s="130" t="str">
        <f t="shared" ref="D134:D167" si="7">IF(AND(B134&lt;&gt;"",C134&lt;&gt;""),"N/T","")</f>
        <v>N/T</v>
      </c>
      <c r="E134" s="107" t="str">
        <f t="shared" si="6"/>
        <v/>
      </c>
      <c r="F134" s="120" t="n">
        <f ca="1">COUNTIF($D133:INDIRECT("$D" &amp;  SUM(ROW()-1,'03.Muestra'!$D$45)-1),F133)</f>
        <v>33.0</v>
      </c>
      <c r="G134" s="120" t="n">
        <f ca="1">COUNTIF($D133:INDIRECT("$D" &amp;  SUM(ROW()-1,'03.Muestra'!$D$45)-1),G133)</f>
        <v>0.0</v>
      </c>
      <c r="H134" s="120" t="n">
        <f ca="1">COUNTIF($D133:INDIRECT("$D" &amp;  SUM(ROW()-1,'03.Muestra'!$D$45)-1),H133)</f>
        <v>0.0</v>
      </c>
      <c r="I134" s="120" t="n">
        <f ca="1">COUNTIF($D133:INDIRECT("$D" &amp;  SUM(ROW()-1,'03.Muestra'!$D$45)-1),I133)</f>
        <v>0.0</v>
      </c>
      <c r="J134" s="120" t="n">
        <f ca="1">COUNTIF($D133:INDIRECT("$D" &amp;  SUM(ROW()-1,'03.Muestra'!$D$45)-1),J133)</f>
        <v>0.0</v>
      </c>
      <c r="K134" s="227" t="n">
        <f ca="1">IF(COUNTIF('03.Muestra'!$D$8:$D$42,"Página Web")=0,0,COUNTBLANK($D133:INDIRECT("$D" &amp;  SUM(ROW()-1,COUNTIF('03.Muestra'!$D$8:$D$42,"Página Web"))-1)))</f>
        <v>0.0</v>
      </c>
      <c r="L134" s="19"/>
      <c r="M134" s="19"/>
      <c r="N134" s="19"/>
      <c r="O134" s="19"/>
      <c r="P134" s="19"/>
      <c r="Q134" s="19"/>
      <c r="R134" s="19"/>
      <c r="S134" s="19"/>
      <c r="T134" s="19"/>
      <c r="U134" s="19"/>
      <c r="V134" s="19"/>
      <c r="W134" s="19"/>
      <c r="X134" s="19"/>
      <c r="Y134" s="19"/>
    </row>
    <row r="135" spans="1:25" ht="12" customHeight="1">
      <c r="A135" s="219" t="n" cm="1">
        <f t="array" ref="A135">IFERROR(INDEX('03.Muestra'!$B$8:$B$42,SMALL(IF("Página Web"='03.Muestra'!$D$8:$D$42,ROW('03.Muestra'!$B$8:$B$42)-MIN(ROW('03.Muestra'!$D$8:$D$42))+1,""),ROW()-132)),"")</f>
        <v>1.0</v>
      </c>
      <c r="B135" s="114" t="str" cm="1">
        <f t="array" ref="B135">IFERROR(INDEX('03.Muestra'!$C$8:$C$42,SMALL(IF("Página Web"='03.Muestra'!$D$8:$D$42,ROW('03.Muestra'!$C$8:$C$42)-MIN(ROW('03.Muestra'!$D$8:$D$42))+1,""),ROW()-132)),"")</f>
        <v>Home - PortCastelló</v>
      </c>
      <c r="C135" s="114" t="str" cm="1">
        <f t="array" ref="C135">IFERROR(INDEX('03.Muestra'!$F$8:$F$42,SMALL(IF("Página Web"='03.Muestra'!$D$8:$D$42,ROW('03.Muestra'!$F$8:$F$42)-MIN(ROW('03.Muestra'!$D$8:$D$42))+1,""),ROW()-132)),"")</f>
        <v>https://www.portcastello.com/</v>
      </c>
      <c r="D135" s="130" t="str">
        <f t="shared" si="7"/>
        <v>N/T</v>
      </c>
      <c r="E135" s="107" t="str">
        <f t="shared" si="6"/>
        <v/>
      </c>
      <c r="G135" s="19"/>
      <c r="H135" s="19"/>
      <c r="I135" s="19"/>
      <c r="J135" s="19"/>
      <c r="K135" s="233"/>
      <c r="L135" s="19"/>
      <c r="M135" s="19"/>
      <c r="N135" s="19"/>
      <c r="O135" s="19"/>
      <c r="P135" s="19"/>
      <c r="Q135" s="19"/>
      <c r="R135" s="19"/>
      <c r="S135" s="19"/>
      <c r="T135" s="19"/>
      <c r="U135" s="19"/>
      <c r="V135" s="19"/>
      <c r="W135" s="19"/>
      <c r="X135" s="19"/>
      <c r="Y135" s="19"/>
    </row>
    <row r="136" spans="1:25" ht="12" customHeight="1">
      <c r="A136" s="219" t="n" cm="1">
        <f t="array" ref="A136">IFERROR(INDEX('03.Muestra'!$B$8:$B$42,SMALL(IF("Página Web"='03.Muestra'!$D$8:$D$42,ROW('03.Muestra'!$B$8:$B$42)-MIN(ROW('03.Muestra'!$D$8:$D$42))+1,""),ROW()-132)),"")</f>
        <v>1.0</v>
      </c>
      <c r="B136" s="114" t="str" cm="1">
        <f t="array" ref="B136">IFERROR(INDEX('03.Muestra'!$C$8:$C$42,SMALL(IF("Página Web"='03.Muestra'!$D$8:$D$42,ROW('03.Muestra'!$C$8:$C$42)-MIN(ROW('03.Muestra'!$D$8:$D$42))+1,""),ROW()-132)),"")</f>
        <v>Home - PortCastelló</v>
      </c>
      <c r="C136" s="114" t="str" cm="1">
        <f t="array" ref="C136">IFERROR(INDEX('03.Muestra'!$F$8:$F$42,SMALL(IF("Página Web"='03.Muestra'!$D$8:$D$42,ROW('03.Muestra'!$F$8:$F$42)-MIN(ROW('03.Muestra'!$D$8:$D$42))+1,""),ROW()-132)),"")</f>
        <v>https://www.portcastello.com/</v>
      </c>
      <c r="D136" s="130" t="str">
        <f t="shared" si="7"/>
        <v>N/T</v>
      </c>
      <c r="E136" s="107" t="str">
        <f t="shared" si="6"/>
        <v/>
      </c>
      <c r="G136" s="19"/>
      <c r="H136" s="19"/>
      <c r="I136" s="19"/>
      <c r="J136" s="19"/>
      <c r="K136" s="233"/>
      <c r="L136" s="19"/>
      <c r="M136" s="19"/>
      <c r="N136" s="19"/>
      <c r="O136" s="19"/>
      <c r="P136" s="19"/>
      <c r="Q136" s="19"/>
      <c r="R136" s="19"/>
      <c r="S136" s="19"/>
      <c r="T136" s="19"/>
      <c r="U136" s="19"/>
      <c r="V136" s="19"/>
      <c r="W136" s="19"/>
      <c r="X136" s="19"/>
      <c r="Y136" s="19"/>
    </row>
    <row r="137" spans="1:25" ht="12" customHeight="1">
      <c r="A137" s="219" t="n" cm="1">
        <f t="array" ref="A137">IFERROR(INDEX('03.Muestra'!$B$8:$B$42,SMALL(IF("Página Web"='03.Muestra'!$D$8:$D$42,ROW('03.Muestra'!$B$8:$B$42)-MIN(ROW('03.Muestra'!$D$8:$D$42))+1,""),ROW()-132)),"")</f>
        <v>1.0</v>
      </c>
      <c r="B137" s="114" t="str" cm="1">
        <f t="array" ref="B137">IFERROR(INDEX('03.Muestra'!$C$8:$C$42,SMALL(IF("Página Web"='03.Muestra'!$D$8:$D$42,ROW('03.Muestra'!$C$8:$C$42)-MIN(ROW('03.Muestra'!$D$8:$D$42))+1,""),ROW()-132)),"")</f>
        <v>Home - PortCastelló</v>
      </c>
      <c r="C137" s="114" t="str" cm="1">
        <f t="array" ref="C137">IFERROR(INDEX('03.Muestra'!$F$8:$F$42,SMALL(IF("Página Web"='03.Muestra'!$D$8:$D$42,ROW('03.Muestra'!$F$8:$F$42)-MIN(ROW('03.Muestra'!$D$8:$D$42))+1,""),ROW()-132)),"")</f>
        <v>https://www.portcastello.com/</v>
      </c>
      <c r="D137" s="130" t="str">
        <f t="shared" si="7"/>
        <v>N/T</v>
      </c>
      <c r="E137" s="107" t="str">
        <f t="shared" si="6"/>
        <v/>
      </c>
      <c r="G137" s="19"/>
      <c r="H137" s="19"/>
      <c r="I137" s="19"/>
      <c r="J137" s="19"/>
      <c r="K137" s="233"/>
      <c r="L137" s="19"/>
      <c r="M137" s="19"/>
      <c r="N137" s="19"/>
      <c r="O137" s="19"/>
      <c r="P137" s="19"/>
      <c r="Q137" s="19"/>
      <c r="R137" s="19"/>
      <c r="S137" s="19"/>
      <c r="T137" s="19"/>
      <c r="U137" s="19"/>
      <c r="V137" s="19"/>
      <c r="W137" s="19"/>
      <c r="X137" s="19"/>
      <c r="Y137" s="19"/>
    </row>
    <row r="138" spans="1:25" ht="12" customHeight="1">
      <c r="A138" s="219" t="n" cm="1">
        <f t="array" ref="A138">IFERROR(INDEX('03.Muestra'!$B$8:$B$42,SMALL(IF("Página Web"='03.Muestra'!$D$8:$D$42,ROW('03.Muestra'!$B$8:$B$42)-MIN(ROW('03.Muestra'!$D$8:$D$42))+1,""),ROW()-132)),"")</f>
        <v>1.0</v>
      </c>
      <c r="B138" s="114" t="str" cm="1">
        <f t="array" ref="B138">IFERROR(INDEX('03.Muestra'!$C$8:$C$42,SMALL(IF("Página Web"='03.Muestra'!$D$8:$D$42,ROW('03.Muestra'!$C$8:$C$42)-MIN(ROW('03.Muestra'!$D$8:$D$42))+1,""),ROW()-132)),"")</f>
        <v>Home - PortCastelló</v>
      </c>
      <c r="C138" s="114" t="str" cm="1">
        <f t="array" ref="C138">IFERROR(INDEX('03.Muestra'!$F$8:$F$42,SMALL(IF("Página Web"='03.Muestra'!$D$8:$D$42,ROW('03.Muestra'!$F$8:$F$42)-MIN(ROW('03.Muestra'!$D$8:$D$42))+1,""),ROW()-132)),"")</f>
        <v>https://www.portcastello.com/</v>
      </c>
      <c r="D138" s="130" t="str">
        <f t="shared" si="7"/>
        <v>N/T</v>
      </c>
      <c r="E138" s="107" t="str">
        <f t="shared" si="6"/>
        <v/>
      </c>
      <c r="G138" s="19"/>
      <c r="H138" s="19"/>
      <c r="I138" s="19"/>
      <c r="J138" s="19"/>
      <c r="K138" s="233"/>
      <c r="L138" s="19"/>
      <c r="M138" s="19"/>
      <c r="N138" s="19"/>
      <c r="O138" s="19"/>
      <c r="P138" s="19"/>
      <c r="Q138" s="19"/>
      <c r="R138" s="19"/>
      <c r="S138" s="19"/>
      <c r="T138" s="19"/>
      <c r="U138" s="19"/>
      <c r="V138" s="19"/>
      <c r="W138" s="19"/>
      <c r="X138" s="19"/>
      <c r="Y138" s="19"/>
    </row>
    <row r="139" spans="1:25" ht="12" customHeight="1">
      <c r="A139" s="219" t="n" cm="1">
        <f t="array" ref="A139">IFERROR(INDEX('03.Muestra'!$B$8:$B$42,SMALL(IF("Página Web"='03.Muestra'!$D$8:$D$42,ROW('03.Muestra'!$B$8:$B$42)-MIN(ROW('03.Muestra'!$D$8:$D$42))+1,""),ROW()-132)),"")</f>
        <v>1.0</v>
      </c>
      <c r="B139" s="114" t="str" cm="1">
        <f t="array" ref="B139">IFERROR(INDEX('03.Muestra'!$C$8:$C$42,SMALL(IF("Página Web"='03.Muestra'!$D$8:$D$42,ROW('03.Muestra'!$C$8:$C$42)-MIN(ROW('03.Muestra'!$D$8:$D$42))+1,""),ROW()-132)),"")</f>
        <v>Home - PortCastelló</v>
      </c>
      <c r="C139" s="114" t="str" cm="1">
        <f t="array" ref="C139">IFERROR(INDEX('03.Muestra'!$F$8:$F$42,SMALL(IF("Página Web"='03.Muestra'!$D$8:$D$42,ROW('03.Muestra'!$F$8:$F$42)-MIN(ROW('03.Muestra'!$D$8:$D$42))+1,""),ROW()-132)),"")</f>
        <v>https://www.portcastello.com/</v>
      </c>
      <c r="D139" s="130" t="str">
        <f t="shared" si="7"/>
        <v>N/T</v>
      </c>
      <c r="E139" s="107" t="str">
        <f t="shared" si="6"/>
        <v/>
      </c>
      <c r="F139" s="19"/>
      <c r="G139" s="19"/>
      <c r="H139" s="19"/>
      <c r="I139" s="19"/>
      <c r="J139" s="19"/>
      <c r="K139" s="233"/>
      <c r="L139" s="19"/>
      <c r="M139" s="19"/>
      <c r="N139" s="19"/>
      <c r="O139" s="19"/>
      <c r="P139" s="19"/>
      <c r="Q139" s="19"/>
      <c r="R139" s="19"/>
      <c r="S139" s="19"/>
      <c r="T139" s="19"/>
      <c r="U139" s="19"/>
      <c r="V139" s="19"/>
      <c r="W139" s="19"/>
      <c r="X139" s="19"/>
      <c r="Y139" s="19"/>
    </row>
    <row r="140" spans="1:25" ht="12" customHeight="1">
      <c r="A140" s="219" t="n" cm="1">
        <f t="array" ref="A140">IFERROR(INDEX('03.Muestra'!$B$8:$B$42,SMALL(IF("Página Web"='03.Muestra'!$D$8:$D$42,ROW('03.Muestra'!$B$8:$B$42)-MIN(ROW('03.Muestra'!$D$8:$D$42))+1,""),ROW()-132)),"")</f>
        <v>1.0</v>
      </c>
      <c r="B140" s="114" t="str" cm="1">
        <f t="array" ref="B140">IFERROR(INDEX('03.Muestra'!$C$8:$C$42,SMALL(IF("Página Web"='03.Muestra'!$D$8:$D$42,ROW('03.Muestra'!$C$8:$C$42)-MIN(ROW('03.Muestra'!$D$8:$D$42))+1,""),ROW()-132)),"")</f>
        <v>Home - PortCastelló</v>
      </c>
      <c r="C140" s="114" t="str" cm="1">
        <f t="array" ref="C140">IFERROR(INDEX('03.Muestra'!$F$8:$F$42,SMALL(IF("Página Web"='03.Muestra'!$D$8:$D$42,ROW('03.Muestra'!$F$8:$F$42)-MIN(ROW('03.Muestra'!$D$8:$D$42))+1,""),ROW()-132)),"")</f>
        <v>https://www.portcastello.com/</v>
      </c>
      <c r="D140" s="130" t="str">
        <f t="shared" si="7"/>
        <v>N/T</v>
      </c>
      <c r="E140" s="107" t="str">
        <f t="shared" si="6"/>
        <v/>
      </c>
      <c r="F140" s="19"/>
      <c r="G140" s="19"/>
      <c r="H140" s="19"/>
      <c r="I140" s="19"/>
      <c r="J140" s="19"/>
      <c r="K140" s="233"/>
      <c r="L140" s="19"/>
      <c r="M140" s="19"/>
      <c r="N140" s="19"/>
      <c r="O140" s="19"/>
      <c r="P140" s="19"/>
      <c r="Q140" s="19"/>
      <c r="R140" s="19"/>
      <c r="S140" s="19"/>
      <c r="T140" s="19"/>
      <c r="U140" s="19"/>
      <c r="V140" s="19"/>
      <c r="W140" s="19"/>
      <c r="X140" s="19"/>
      <c r="Y140" s="19"/>
    </row>
    <row r="141" spans="1:25" ht="12" customHeight="1">
      <c r="A141" s="219" t="n" cm="1">
        <f t="array" ref="A141">IFERROR(INDEX('03.Muestra'!$B$8:$B$42,SMALL(IF("Página Web"='03.Muestra'!$D$8:$D$42,ROW('03.Muestra'!$B$8:$B$42)-MIN(ROW('03.Muestra'!$D$8:$D$42))+1,""),ROW()-132)),"")</f>
        <v>1.0</v>
      </c>
      <c r="B141" s="114" t="str" cm="1">
        <f t="array" ref="B141">IFERROR(INDEX('03.Muestra'!$C$8:$C$42,SMALL(IF("Página Web"='03.Muestra'!$D$8:$D$42,ROW('03.Muestra'!$C$8:$C$42)-MIN(ROW('03.Muestra'!$D$8:$D$42))+1,""),ROW()-132)),"")</f>
        <v>Home - PortCastelló</v>
      </c>
      <c r="C141" s="114" t="str" cm="1">
        <f t="array" ref="C141">IFERROR(INDEX('03.Muestra'!$F$8:$F$42,SMALL(IF("Página Web"='03.Muestra'!$D$8:$D$42,ROW('03.Muestra'!$F$8:$F$42)-MIN(ROW('03.Muestra'!$D$8:$D$42))+1,""),ROW()-132)),"")</f>
        <v>https://www.portcastello.com/</v>
      </c>
      <c r="D141" s="130" t="str">
        <f t="shared" si="7"/>
        <v>N/T</v>
      </c>
      <c r="E141" s="107" t="str">
        <f t="shared" si="6"/>
        <v/>
      </c>
      <c r="F141" s="19"/>
      <c r="G141" s="19"/>
      <c r="H141" s="19"/>
      <c r="I141" s="19"/>
      <c r="J141" s="19"/>
      <c r="K141" s="233"/>
      <c r="L141" s="19"/>
      <c r="M141" s="19"/>
      <c r="N141" s="19"/>
      <c r="O141" s="19"/>
      <c r="P141" s="19"/>
      <c r="Q141" s="19"/>
      <c r="R141" s="19"/>
      <c r="S141" s="19"/>
      <c r="T141" s="19"/>
      <c r="U141" s="19"/>
      <c r="V141" s="19"/>
      <c r="W141" s="19"/>
      <c r="X141" s="19"/>
      <c r="Y141" s="19"/>
    </row>
    <row r="142" spans="1:25" ht="12" customHeight="1">
      <c r="A142" s="219" t="n" cm="1">
        <f t="array" ref="A142">IFERROR(INDEX('03.Muestra'!$B$8:$B$42,SMALL(IF("Página Web"='03.Muestra'!$D$8:$D$42,ROW('03.Muestra'!$B$8:$B$42)-MIN(ROW('03.Muestra'!$D$8:$D$42))+1,""),ROW()-132)),"")</f>
        <v>1.0</v>
      </c>
      <c r="B142" s="114" t="str" cm="1">
        <f t="array" ref="B142">IFERROR(INDEX('03.Muestra'!$C$8:$C$42,SMALL(IF("Página Web"='03.Muestra'!$D$8:$D$42,ROW('03.Muestra'!$C$8:$C$42)-MIN(ROW('03.Muestra'!$D$8:$D$42))+1,""),ROW()-132)),"")</f>
        <v>Home - PortCastelló</v>
      </c>
      <c r="C142" s="114" t="str" cm="1">
        <f t="array" ref="C142">IFERROR(INDEX('03.Muestra'!$F$8:$F$42,SMALL(IF("Página Web"='03.Muestra'!$D$8:$D$42,ROW('03.Muestra'!$F$8:$F$42)-MIN(ROW('03.Muestra'!$D$8:$D$42))+1,""),ROW()-132)),"")</f>
        <v>https://www.portcastello.com/</v>
      </c>
      <c r="D142" s="130" t="str">
        <f t="shared" si="7"/>
        <v>N/T</v>
      </c>
      <c r="E142" s="107" t="str">
        <f t="shared" si="6"/>
        <v/>
      </c>
      <c r="F142" s="19"/>
      <c r="G142" s="19"/>
      <c r="H142" s="19"/>
      <c r="I142" s="19"/>
      <c r="J142" s="19"/>
      <c r="K142" s="233"/>
      <c r="L142" s="19"/>
      <c r="M142" s="19"/>
      <c r="N142" s="19"/>
      <c r="O142" s="19"/>
      <c r="P142" s="19"/>
      <c r="Q142" s="19"/>
      <c r="R142" s="19"/>
      <c r="S142" s="19"/>
      <c r="T142" s="19"/>
      <c r="U142" s="19"/>
      <c r="V142" s="19"/>
      <c r="W142" s="19"/>
      <c r="X142" s="19"/>
      <c r="Y142" s="19"/>
    </row>
    <row r="143" spans="1:25" ht="12" customHeight="1">
      <c r="A143" s="219" t="n" cm="1">
        <f t="array" ref="A143">IFERROR(INDEX('03.Muestra'!$B$8:$B$42,SMALL(IF("Página Web"='03.Muestra'!$D$8:$D$42,ROW('03.Muestra'!$B$8:$B$42)-MIN(ROW('03.Muestra'!$D$8:$D$42))+1,""),ROW()-132)),"")</f>
        <v>1.0</v>
      </c>
      <c r="B143" s="114" t="str" cm="1">
        <f t="array" ref="B143">IFERROR(INDEX('03.Muestra'!$C$8:$C$42,SMALL(IF("Página Web"='03.Muestra'!$D$8:$D$42,ROW('03.Muestra'!$C$8:$C$42)-MIN(ROW('03.Muestra'!$D$8:$D$42))+1,""),ROW()-132)),"")</f>
        <v>Home - PortCastelló</v>
      </c>
      <c r="C143" s="114" t="str" cm="1">
        <f t="array" ref="C143">IFERROR(INDEX('03.Muestra'!$F$8:$F$42,SMALL(IF("Página Web"='03.Muestra'!$D$8:$D$42,ROW('03.Muestra'!$F$8:$F$42)-MIN(ROW('03.Muestra'!$D$8:$D$42))+1,""),ROW()-132)),"")</f>
        <v>https://www.portcastello.com/</v>
      </c>
      <c r="D143" s="130" t="str">
        <f t="shared" si="7"/>
        <v>N/T</v>
      </c>
      <c r="E143" s="107" t="str">
        <f t="shared" si="6"/>
        <v/>
      </c>
      <c r="F143" s="19"/>
      <c r="G143" s="19"/>
      <c r="H143" s="19"/>
      <c r="I143" s="19"/>
      <c r="J143" s="19"/>
      <c r="K143" s="233"/>
      <c r="L143" s="19"/>
      <c r="M143" s="19"/>
      <c r="N143" s="19"/>
      <c r="O143" s="19"/>
      <c r="P143" s="19"/>
      <c r="Q143" s="19"/>
      <c r="R143" s="19"/>
      <c r="S143" s="19"/>
      <c r="T143" s="19"/>
      <c r="U143" s="19"/>
      <c r="V143" s="19"/>
      <c r="W143" s="19"/>
      <c r="X143" s="19"/>
      <c r="Y143" s="19"/>
    </row>
    <row r="144" spans="1:25" ht="12" customHeight="1">
      <c r="A144" s="219" t="n" cm="1">
        <f t="array" ref="A144">IFERROR(INDEX('03.Muestra'!$B$8:$B$42,SMALL(IF("Página Web"='03.Muestra'!$D$8:$D$42,ROW('03.Muestra'!$B$8:$B$42)-MIN(ROW('03.Muestra'!$D$8:$D$42))+1,""),ROW()-132)),"")</f>
        <v>1.0</v>
      </c>
      <c r="B144" s="114" t="str" cm="1">
        <f t="array" ref="B144">IFERROR(INDEX('03.Muestra'!$C$8:$C$42,SMALL(IF("Página Web"='03.Muestra'!$D$8:$D$42,ROW('03.Muestra'!$C$8:$C$42)-MIN(ROW('03.Muestra'!$D$8:$D$42))+1,""),ROW()-132)),"")</f>
        <v>Home - PortCastelló</v>
      </c>
      <c r="C144" s="114" t="str" cm="1">
        <f t="array" ref="C144">IFERROR(INDEX('03.Muestra'!$F$8:$F$42,SMALL(IF("Página Web"='03.Muestra'!$D$8:$D$42,ROW('03.Muestra'!$F$8:$F$42)-MIN(ROW('03.Muestra'!$D$8:$D$42))+1,""),ROW()-132)),"")</f>
        <v>https://www.portcastello.com/</v>
      </c>
      <c r="D144" s="130" t="str">
        <f t="shared" si="7"/>
        <v>N/T</v>
      </c>
      <c r="E144" s="107" t="str">
        <f t="shared" si="6"/>
        <v/>
      </c>
      <c r="F144" s="19"/>
      <c r="G144" s="19"/>
      <c r="H144" s="19"/>
      <c r="I144" s="19"/>
      <c r="J144" s="19"/>
      <c r="K144" s="233"/>
      <c r="L144" s="19"/>
      <c r="M144" s="19"/>
      <c r="N144" s="19"/>
      <c r="O144" s="19"/>
      <c r="P144" s="19"/>
      <c r="Q144" s="19"/>
      <c r="R144" s="19"/>
      <c r="S144" s="19"/>
      <c r="T144" s="19"/>
      <c r="U144" s="19"/>
      <c r="V144" s="19"/>
      <c r="W144" s="19"/>
      <c r="X144" s="19"/>
      <c r="Y144" s="19"/>
    </row>
    <row r="145" spans="1:25" ht="12" customHeight="1">
      <c r="A145" s="219" t="n" cm="1">
        <f t="array" ref="A145">IFERROR(INDEX('03.Muestra'!$B$8:$B$42,SMALL(IF("Página Web"='03.Muestra'!$D$8:$D$42,ROW('03.Muestra'!$B$8:$B$42)-MIN(ROW('03.Muestra'!$D$8:$D$42))+1,""),ROW()-132)),"")</f>
        <v>1.0</v>
      </c>
      <c r="B145" s="114" t="str" cm="1">
        <f t="array" ref="B145">IFERROR(INDEX('03.Muestra'!$C$8:$C$42,SMALL(IF("Página Web"='03.Muestra'!$D$8:$D$42,ROW('03.Muestra'!$C$8:$C$42)-MIN(ROW('03.Muestra'!$D$8:$D$42))+1,""),ROW()-132)),"")</f>
        <v>Home - PortCastelló</v>
      </c>
      <c r="C145" s="114" t="str" cm="1">
        <f t="array" ref="C145">IFERROR(INDEX('03.Muestra'!$F$8:$F$42,SMALL(IF("Página Web"='03.Muestra'!$D$8:$D$42,ROW('03.Muestra'!$F$8:$F$42)-MIN(ROW('03.Muestra'!$D$8:$D$42))+1,""),ROW()-132)),"")</f>
        <v>https://www.portcastello.com/</v>
      </c>
      <c r="D145" s="130" t="str">
        <f t="shared" si="7"/>
        <v>N/T</v>
      </c>
      <c r="E145" s="107" t="str">
        <f t="shared" si="6"/>
        <v/>
      </c>
      <c r="F145" s="19"/>
      <c r="G145" s="19"/>
      <c r="H145" s="19"/>
      <c r="I145" s="19"/>
      <c r="J145" s="19"/>
      <c r="K145" s="233"/>
      <c r="L145" s="19"/>
      <c r="M145" s="19"/>
      <c r="N145" s="19"/>
      <c r="O145" s="19"/>
      <c r="P145" s="19"/>
      <c r="Q145" s="19"/>
      <c r="R145" s="19"/>
      <c r="S145" s="19"/>
      <c r="T145" s="19"/>
      <c r="U145" s="19"/>
      <c r="V145" s="19"/>
      <c r="W145" s="19"/>
      <c r="X145" s="19"/>
      <c r="Y145" s="19"/>
    </row>
    <row r="146" spans="1:25" ht="12" customHeight="1">
      <c r="A146" s="219" t="n" cm="1">
        <f t="array" ref="A146">IFERROR(INDEX('03.Muestra'!$B$8:$B$42,SMALL(IF("Página Web"='03.Muestra'!$D$8:$D$42,ROW('03.Muestra'!$B$8:$B$42)-MIN(ROW('03.Muestra'!$D$8:$D$42))+1,""),ROW()-132)),"")</f>
        <v>1.0</v>
      </c>
      <c r="B146" s="114" t="str" cm="1">
        <f t="array" ref="B146">IFERROR(INDEX('03.Muestra'!$C$8:$C$42,SMALL(IF("Página Web"='03.Muestra'!$D$8:$D$42,ROW('03.Muestra'!$C$8:$C$42)-MIN(ROW('03.Muestra'!$D$8:$D$42))+1,""),ROW()-132)),"")</f>
        <v>Home - PortCastelló</v>
      </c>
      <c r="C146" s="114" t="str" cm="1">
        <f t="array" ref="C146">IFERROR(INDEX('03.Muestra'!$F$8:$F$42,SMALL(IF("Página Web"='03.Muestra'!$D$8:$D$42,ROW('03.Muestra'!$F$8:$F$42)-MIN(ROW('03.Muestra'!$D$8:$D$42))+1,""),ROW()-132)),"")</f>
        <v>https://www.portcastello.com/</v>
      </c>
      <c r="D146" s="130" t="str">
        <f t="shared" si="7"/>
        <v>N/T</v>
      </c>
      <c r="E146" s="107" t="str">
        <f t="shared" si="6"/>
        <v/>
      </c>
      <c r="F146" s="19"/>
      <c r="G146" s="19"/>
      <c r="H146" s="19"/>
      <c r="I146" s="19"/>
      <c r="J146" s="19"/>
      <c r="K146" s="233"/>
      <c r="L146" s="19"/>
      <c r="M146" s="19"/>
      <c r="N146" s="19"/>
      <c r="O146" s="19"/>
      <c r="P146" s="19"/>
      <c r="Q146" s="19"/>
      <c r="R146" s="19"/>
      <c r="S146" s="19"/>
      <c r="T146" s="19"/>
      <c r="U146" s="19"/>
      <c r="V146" s="19"/>
      <c r="W146" s="19"/>
      <c r="X146" s="19"/>
      <c r="Y146" s="19"/>
    </row>
    <row r="147" spans="1:25" ht="12" customHeight="1">
      <c r="A147" s="219" t="n" cm="1">
        <f t="array" ref="A147">IFERROR(INDEX('03.Muestra'!$B$8:$B$42,SMALL(IF("Página Web"='03.Muestra'!$D$8:$D$42,ROW('03.Muestra'!$B$8:$B$42)-MIN(ROW('03.Muestra'!$D$8:$D$42))+1,""),ROW()-132)),"")</f>
        <v>1.0</v>
      </c>
      <c r="B147" s="114" t="str" cm="1">
        <f t="array" ref="B147">IFERROR(INDEX('03.Muestra'!$C$8:$C$42,SMALL(IF("Página Web"='03.Muestra'!$D$8:$D$42,ROW('03.Muestra'!$C$8:$C$42)-MIN(ROW('03.Muestra'!$D$8:$D$42))+1,""),ROW()-132)),"")</f>
        <v>Home - PortCastelló</v>
      </c>
      <c r="C147" s="114" t="str" cm="1">
        <f t="array" ref="C147">IFERROR(INDEX('03.Muestra'!$F$8:$F$42,SMALL(IF("Página Web"='03.Muestra'!$D$8:$D$42,ROW('03.Muestra'!$F$8:$F$42)-MIN(ROW('03.Muestra'!$D$8:$D$42))+1,""),ROW()-132)),"")</f>
        <v>https://www.portcastello.com/</v>
      </c>
      <c r="D147" s="130" t="str">
        <f t="shared" si="7"/>
        <v>N/T</v>
      </c>
      <c r="E147" s="107" t="str">
        <f t="shared" si="6"/>
        <v/>
      </c>
      <c r="F147" s="19"/>
      <c r="G147" s="19"/>
      <c r="H147" s="19"/>
      <c r="I147" s="19"/>
      <c r="J147" s="19"/>
      <c r="K147" s="233"/>
      <c r="L147" s="19"/>
      <c r="M147" s="19"/>
      <c r="N147" s="19"/>
      <c r="O147" s="19"/>
      <c r="P147" s="19"/>
      <c r="Q147" s="19"/>
      <c r="R147" s="19"/>
      <c r="S147" s="19"/>
      <c r="T147" s="19"/>
      <c r="U147" s="19"/>
      <c r="V147" s="19"/>
      <c r="W147" s="19"/>
      <c r="X147" s="19"/>
      <c r="Y147" s="19"/>
    </row>
    <row r="148" spans="1:25" ht="12" customHeight="1">
      <c r="A148" s="219" t="n" cm="1">
        <f t="array" ref="A148">IFERROR(INDEX('03.Muestra'!$B$8:$B$42,SMALL(IF("Página Web"='03.Muestra'!$D$8:$D$42,ROW('03.Muestra'!$B$8:$B$42)-MIN(ROW('03.Muestra'!$D$8:$D$42))+1,""),ROW()-132)),"")</f>
        <v>1.0</v>
      </c>
      <c r="B148" s="114" t="str" cm="1">
        <f t="array" ref="B148">IFERROR(INDEX('03.Muestra'!$C$8:$C$42,SMALL(IF("Página Web"='03.Muestra'!$D$8:$D$42,ROW('03.Muestra'!$C$8:$C$42)-MIN(ROW('03.Muestra'!$D$8:$D$42))+1,""),ROW()-132)),"")</f>
        <v>Home - PortCastelló</v>
      </c>
      <c r="C148" s="114" t="str" cm="1">
        <f t="array" ref="C148">IFERROR(INDEX('03.Muestra'!$F$8:$F$42,SMALL(IF("Página Web"='03.Muestra'!$D$8:$D$42,ROW('03.Muestra'!$F$8:$F$42)-MIN(ROW('03.Muestra'!$D$8:$D$42))+1,""),ROW()-132)),"")</f>
        <v>https://www.portcastello.com/</v>
      </c>
      <c r="D148" s="130" t="str">
        <f t="shared" si="7"/>
        <v>N/T</v>
      </c>
      <c r="E148" s="107" t="str">
        <f t="shared" si="6"/>
        <v/>
      </c>
      <c r="F148" s="19"/>
      <c r="G148" s="19"/>
      <c r="H148" s="19"/>
      <c r="I148" s="19"/>
      <c r="J148" s="19"/>
      <c r="K148" s="233"/>
      <c r="L148" s="19"/>
      <c r="M148" s="19"/>
      <c r="N148" s="19"/>
      <c r="O148" s="19"/>
      <c r="P148" s="19"/>
      <c r="Q148" s="19"/>
      <c r="R148" s="19"/>
      <c r="S148" s="19"/>
      <c r="T148" s="19"/>
      <c r="U148" s="19"/>
      <c r="V148" s="19"/>
      <c r="W148" s="19"/>
      <c r="X148" s="19"/>
      <c r="Y148" s="19"/>
    </row>
    <row r="149" spans="1:25" ht="12" customHeight="1">
      <c r="A149" s="219" t="n" cm="1">
        <f t="array" ref="A149">IFERROR(INDEX('03.Muestra'!$B$8:$B$42,SMALL(IF("Página Web"='03.Muestra'!$D$8:$D$42,ROW('03.Muestra'!$B$8:$B$42)-MIN(ROW('03.Muestra'!$D$8:$D$42))+1,""),ROW()-132)),"")</f>
        <v>1.0</v>
      </c>
      <c r="B149" s="114" t="str" cm="1">
        <f t="array" ref="B149">IFERROR(INDEX('03.Muestra'!$C$8:$C$42,SMALL(IF("Página Web"='03.Muestra'!$D$8:$D$42,ROW('03.Muestra'!$C$8:$C$42)-MIN(ROW('03.Muestra'!$D$8:$D$42))+1,""),ROW()-132)),"")</f>
        <v>Home - PortCastelló</v>
      </c>
      <c r="C149" s="114" t="str" cm="1">
        <f t="array" ref="C149">IFERROR(INDEX('03.Muestra'!$F$8:$F$42,SMALL(IF("Página Web"='03.Muestra'!$D$8:$D$42,ROW('03.Muestra'!$F$8:$F$42)-MIN(ROW('03.Muestra'!$D$8:$D$42))+1,""),ROW()-132)),"")</f>
        <v>https://www.portcastello.com/</v>
      </c>
      <c r="D149" s="130" t="str">
        <f t="shared" si="7"/>
        <v>N/T</v>
      </c>
      <c r="E149" s="107" t="str">
        <f t="shared" si="6"/>
        <v/>
      </c>
      <c r="F149" s="19"/>
      <c r="G149" s="19"/>
      <c r="H149" s="19"/>
      <c r="I149" s="19"/>
      <c r="J149" s="19"/>
      <c r="K149" s="233"/>
      <c r="L149" s="19"/>
      <c r="M149" s="19"/>
      <c r="N149" s="19"/>
      <c r="O149" s="19"/>
      <c r="P149" s="19"/>
      <c r="Q149" s="19"/>
      <c r="R149" s="19"/>
      <c r="S149" s="19"/>
      <c r="T149" s="19"/>
      <c r="U149" s="19"/>
      <c r="V149" s="19"/>
      <c r="W149" s="19"/>
      <c r="X149" s="19"/>
      <c r="Y149" s="19"/>
    </row>
    <row r="150" spans="1:25" ht="12" customHeight="1">
      <c r="A150" s="219" t="n" cm="1">
        <f t="array" ref="A150">IFERROR(INDEX('03.Muestra'!$B$8:$B$42,SMALL(IF("Página Web"='03.Muestra'!$D$8:$D$42,ROW('03.Muestra'!$B$8:$B$42)-MIN(ROW('03.Muestra'!$D$8:$D$42))+1,""),ROW()-132)),"")</f>
        <v>1.0</v>
      </c>
      <c r="B150" s="114" t="str" cm="1">
        <f t="array" ref="B150">IFERROR(INDEX('03.Muestra'!$C$8:$C$42,SMALL(IF("Página Web"='03.Muestra'!$D$8:$D$42,ROW('03.Muestra'!$C$8:$C$42)-MIN(ROW('03.Muestra'!$D$8:$D$42))+1,""),ROW()-132)),"")</f>
        <v>Home - PortCastelló</v>
      </c>
      <c r="C150" s="114" t="str" cm="1">
        <f t="array" ref="C150">IFERROR(INDEX('03.Muestra'!$F$8:$F$42,SMALL(IF("Página Web"='03.Muestra'!$D$8:$D$42,ROW('03.Muestra'!$F$8:$F$42)-MIN(ROW('03.Muestra'!$D$8:$D$42))+1,""),ROW()-132)),"")</f>
        <v>https://www.portcastello.com/</v>
      </c>
      <c r="D150" s="130" t="str">
        <f t="shared" si="7"/>
        <v>N/T</v>
      </c>
      <c r="E150" s="107" t="str">
        <f t="shared" si="6"/>
        <v/>
      </c>
      <c r="F150" s="19"/>
      <c r="G150" s="19"/>
      <c r="H150" s="19"/>
      <c r="I150" s="19"/>
      <c r="J150" s="19"/>
      <c r="K150" s="233"/>
      <c r="L150" s="19"/>
      <c r="M150" s="19"/>
      <c r="N150" s="19"/>
      <c r="O150" s="19"/>
      <c r="P150" s="19"/>
      <c r="Q150" s="19"/>
      <c r="R150" s="19"/>
      <c r="S150" s="19"/>
      <c r="T150" s="19"/>
      <c r="U150" s="19"/>
      <c r="V150" s="19"/>
      <c r="W150" s="19"/>
      <c r="X150" s="19"/>
      <c r="Y150" s="19"/>
    </row>
    <row r="151" spans="1:25" ht="12" customHeight="1">
      <c r="A151" s="219" t="n" cm="1">
        <f t="array" ref="A151">IFERROR(INDEX('03.Muestra'!$B$8:$B$42,SMALL(IF("Página Web"='03.Muestra'!$D$8:$D$42,ROW('03.Muestra'!$B$8:$B$42)-MIN(ROW('03.Muestra'!$D$8:$D$42))+1,""),ROW()-132)),"")</f>
        <v>1.0</v>
      </c>
      <c r="B151" s="114" t="str" cm="1">
        <f t="array" ref="B151">IFERROR(INDEX('03.Muestra'!$C$8:$C$42,SMALL(IF("Página Web"='03.Muestra'!$D$8:$D$42,ROW('03.Muestra'!$C$8:$C$42)-MIN(ROW('03.Muestra'!$D$8:$D$42))+1,""),ROW()-132)),"")</f>
        <v>Home - PortCastelló</v>
      </c>
      <c r="C151" s="114" t="str" cm="1">
        <f t="array" ref="C151">IFERROR(INDEX('03.Muestra'!$F$8:$F$42,SMALL(IF("Página Web"='03.Muestra'!$D$8:$D$42,ROW('03.Muestra'!$F$8:$F$42)-MIN(ROW('03.Muestra'!$D$8:$D$42))+1,""),ROW()-132)),"")</f>
        <v>https://www.portcastello.com/</v>
      </c>
      <c r="D151" s="130" t="str">
        <f t="shared" si="7"/>
        <v>N/T</v>
      </c>
      <c r="E151" s="107" t="str">
        <f t="shared" si="6"/>
        <v/>
      </c>
      <c r="F151" s="19"/>
      <c r="G151" s="19"/>
      <c r="H151" s="19"/>
      <c r="I151" s="19"/>
      <c r="J151" s="19"/>
      <c r="K151" s="233"/>
      <c r="L151" s="19"/>
      <c r="M151" s="19"/>
      <c r="N151" s="19"/>
      <c r="O151" s="19"/>
      <c r="P151" s="19"/>
      <c r="Q151" s="19"/>
      <c r="R151" s="19"/>
      <c r="S151" s="19"/>
      <c r="T151" s="19"/>
      <c r="U151" s="19"/>
      <c r="V151" s="19"/>
      <c r="W151" s="19"/>
      <c r="X151" s="19"/>
      <c r="Y151" s="19"/>
    </row>
    <row r="152" spans="1:25" ht="12" customHeight="1">
      <c r="A152" s="219" t="n" cm="1">
        <f t="array" ref="A152">IFERROR(INDEX('03.Muestra'!$B$8:$B$42,SMALL(IF("Página Web"='03.Muestra'!$D$8:$D$42,ROW('03.Muestra'!$B$8:$B$42)-MIN(ROW('03.Muestra'!$D$8:$D$42))+1,""),ROW()-132)),"")</f>
        <v>1.0</v>
      </c>
      <c r="B152" s="114" t="str" cm="1">
        <f t="array" ref="B152">IFERROR(INDEX('03.Muestra'!$C$8:$C$42,SMALL(IF("Página Web"='03.Muestra'!$D$8:$D$42,ROW('03.Muestra'!$C$8:$C$42)-MIN(ROW('03.Muestra'!$D$8:$D$42))+1,""),ROW()-132)),"")</f>
        <v>Home - PortCastelló</v>
      </c>
      <c r="C152" s="114" t="str" cm="1">
        <f t="array" ref="C152">IFERROR(INDEX('03.Muestra'!$F$8:$F$42,SMALL(IF("Página Web"='03.Muestra'!$D$8:$D$42,ROW('03.Muestra'!$F$8:$F$42)-MIN(ROW('03.Muestra'!$D$8:$D$42))+1,""),ROW()-132)),"")</f>
        <v>https://www.portcastello.com/</v>
      </c>
      <c r="D152" s="130" t="str">
        <f t="shared" si="7"/>
        <v>N/T</v>
      </c>
      <c r="E152" s="107" t="str">
        <f t="shared" si="6"/>
        <v/>
      </c>
      <c r="F152" s="19"/>
      <c r="G152" s="19"/>
      <c r="H152" s="19"/>
      <c r="I152" s="19"/>
      <c r="J152" s="19"/>
      <c r="K152" s="233"/>
      <c r="L152" s="19"/>
      <c r="M152" s="19"/>
      <c r="N152" s="19"/>
      <c r="O152" s="19"/>
      <c r="P152" s="19"/>
      <c r="Q152" s="19"/>
      <c r="R152" s="19"/>
      <c r="S152" s="19"/>
      <c r="T152" s="19"/>
      <c r="U152" s="19"/>
      <c r="V152" s="19"/>
      <c r="W152" s="19"/>
      <c r="X152" s="19"/>
      <c r="Y152" s="19"/>
    </row>
    <row r="153" spans="1:25" ht="12" customHeight="1">
      <c r="A153" s="219" t="n" cm="1">
        <f t="array" ref="A153">IFERROR(INDEX('03.Muestra'!$B$8:$B$42,SMALL(IF("Página Web"='03.Muestra'!$D$8:$D$42,ROW('03.Muestra'!$B$8:$B$42)-MIN(ROW('03.Muestra'!$D$8:$D$42))+1,""),ROW()-132)),"")</f>
        <v>1.0</v>
      </c>
      <c r="B153" s="114" t="str" cm="1">
        <f t="array" ref="B153">IFERROR(INDEX('03.Muestra'!$C$8:$C$42,SMALL(IF("Página Web"='03.Muestra'!$D$8:$D$42,ROW('03.Muestra'!$C$8:$C$42)-MIN(ROW('03.Muestra'!$D$8:$D$42))+1,""),ROW()-132)),"")</f>
        <v>Home - PortCastelló</v>
      </c>
      <c r="C153" s="114" t="str" cm="1">
        <f t="array" ref="C153">IFERROR(INDEX('03.Muestra'!$F$8:$F$42,SMALL(IF("Página Web"='03.Muestra'!$D$8:$D$42,ROW('03.Muestra'!$F$8:$F$42)-MIN(ROW('03.Muestra'!$D$8:$D$42))+1,""),ROW()-132)),"")</f>
        <v>https://www.portcastello.com/</v>
      </c>
      <c r="D153" s="130" t="str">
        <f t="shared" si="7"/>
        <v>N/T</v>
      </c>
      <c r="E153" s="107" t="str">
        <f t="shared" si="6"/>
        <v/>
      </c>
      <c r="F153" s="19"/>
      <c r="G153" s="19"/>
      <c r="H153" s="19"/>
      <c r="I153" s="19"/>
      <c r="J153" s="19"/>
      <c r="K153" s="233"/>
      <c r="L153" s="19"/>
      <c r="M153" s="19"/>
      <c r="N153" s="19"/>
      <c r="O153" s="19"/>
      <c r="P153" s="19"/>
      <c r="Q153" s="19"/>
      <c r="R153" s="19"/>
      <c r="S153" s="19"/>
      <c r="T153" s="19"/>
      <c r="U153" s="19"/>
      <c r="V153" s="19"/>
      <c r="W153" s="19"/>
      <c r="X153" s="19"/>
      <c r="Y153" s="19"/>
    </row>
    <row r="154" spans="1:25" ht="12" customHeight="1">
      <c r="A154" s="219" t="n" cm="1">
        <f t="array" ref="A154">IFERROR(INDEX('03.Muestra'!$B$8:$B$42,SMALL(IF("Página Web"='03.Muestra'!$D$8:$D$42,ROW('03.Muestra'!$B$8:$B$42)-MIN(ROW('03.Muestra'!$D$8:$D$42))+1,""),ROW()-132)),"")</f>
        <v>1.0</v>
      </c>
      <c r="B154" s="114" t="str" cm="1">
        <f t="array" ref="B154">IFERROR(INDEX('03.Muestra'!$C$8:$C$42,SMALL(IF("Página Web"='03.Muestra'!$D$8:$D$42,ROW('03.Muestra'!$C$8:$C$42)-MIN(ROW('03.Muestra'!$D$8:$D$42))+1,""),ROW()-132)),"")</f>
        <v>Home - PortCastelló</v>
      </c>
      <c r="C154" s="114" t="str" cm="1">
        <f t="array" ref="C154">IFERROR(INDEX('03.Muestra'!$F$8:$F$42,SMALL(IF("Página Web"='03.Muestra'!$D$8:$D$42,ROW('03.Muestra'!$F$8:$F$42)-MIN(ROW('03.Muestra'!$D$8:$D$42))+1,""),ROW()-132)),"")</f>
        <v>https://www.portcastello.com/</v>
      </c>
      <c r="D154" s="130" t="str">
        <f t="shared" si="7"/>
        <v>N/T</v>
      </c>
      <c r="E154" s="107" t="str">
        <f t="shared" si="6"/>
        <v/>
      </c>
      <c r="F154" s="19"/>
      <c r="G154" s="19"/>
      <c r="H154" s="19"/>
      <c r="I154" s="19"/>
      <c r="J154" s="19"/>
      <c r="K154" s="233"/>
      <c r="L154" s="19"/>
      <c r="M154" s="19"/>
      <c r="N154" s="19"/>
      <c r="O154" s="19"/>
      <c r="P154" s="19"/>
      <c r="Q154" s="19"/>
      <c r="R154" s="19"/>
      <c r="S154" s="19"/>
      <c r="T154" s="19"/>
      <c r="U154" s="19"/>
      <c r="V154" s="19"/>
      <c r="W154" s="19"/>
      <c r="X154" s="19"/>
      <c r="Y154" s="19"/>
    </row>
    <row r="155" spans="1:25" ht="12" customHeight="1">
      <c r="A155" s="219" t="n" cm="1">
        <f t="array" ref="A155">IFERROR(INDEX('03.Muestra'!$B$8:$B$42,SMALL(IF("Página Web"='03.Muestra'!$D$8:$D$42,ROW('03.Muestra'!$B$8:$B$42)-MIN(ROW('03.Muestra'!$D$8:$D$42))+1,""),ROW()-132)),"")</f>
        <v>1.0</v>
      </c>
      <c r="B155" s="114" t="str" cm="1">
        <f t="array" ref="B155">IFERROR(INDEX('03.Muestra'!$C$8:$C$42,SMALL(IF("Página Web"='03.Muestra'!$D$8:$D$42,ROW('03.Muestra'!$C$8:$C$42)-MIN(ROW('03.Muestra'!$D$8:$D$42))+1,""),ROW()-132)),"")</f>
        <v>Home - PortCastelló</v>
      </c>
      <c r="C155" s="114" t="str" cm="1">
        <f t="array" ref="C155">IFERROR(INDEX('03.Muestra'!$F$8:$F$42,SMALL(IF("Página Web"='03.Muestra'!$D$8:$D$42,ROW('03.Muestra'!$F$8:$F$42)-MIN(ROW('03.Muestra'!$D$8:$D$42))+1,""),ROW()-132)),"")</f>
        <v>https://www.portcastello.com/</v>
      </c>
      <c r="D155" s="130" t="str">
        <f t="shared" si="7"/>
        <v>N/T</v>
      </c>
      <c r="E155" s="107" t="str">
        <f t="shared" si="6"/>
        <v/>
      </c>
      <c r="F155" s="19"/>
      <c r="G155" s="19"/>
      <c r="H155" s="19"/>
      <c r="I155" s="19"/>
      <c r="J155" s="19"/>
      <c r="K155" s="233"/>
      <c r="L155" s="19"/>
      <c r="M155" s="19"/>
      <c r="N155" s="19"/>
      <c r="O155" s="19"/>
      <c r="P155" s="19"/>
      <c r="Q155" s="19"/>
      <c r="R155" s="19"/>
      <c r="S155" s="19"/>
      <c r="T155" s="19"/>
      <c r="U155" s="19"/>
      <c r="V155" s="19"/>
      <c r="W155" s="19"/>
      <c r="X155" s="19"/>
      <c r="Y155" s="19"/>
    </row>
    <row r="156" spans="1:25" ht="12" customHeight="1">
      <c r="A156" s="219" t="n" cm="1">
        <f t="array" ref="A156">IFERROR(INDEX('03.Muestra'!$B$8:$B$42,SMALL(IF("Página Web"='03.Muestra'!$D$8:$D$42,ROW('03.Muestra'!$B$8:$B$42)-MIN(ROW('03.Muestra'!$D$8:$D$42))+1,""),ROW()-132)),"")</f>
        <v>1.0</v>
      </c>
      <c r="B156" s="114" t="str" cm="1">
        <f t="array" ref="B156">IFERROR(INDEX('03.Muestra'!$C$8:$C$42,SMALL(IF("Página Web"='03.Muestra'!$D$8:$D$42,ROW('03.Muestra'!$C$8:$C$42)-MIN(ROW('03.Muestra'!$D$8:$D$42))+1,""),ROW()-132)),"")</f>
        <v>Home - PortCastelló</v>
      </c>
      <c r="C156" s="114" t="str" cm="1">
        <f t="array" ref="C156">IFERROR(INDEX('03.Muestra'!$F$8:$F$42,SMALL(IF("Página Web"='03.Muestra'!$D$8:$D$42,ROW('03.Muestra'!$F$8:$F$42)-MIN(ROW('03.Muestra'!$D$8:$D$42))+1,""),ROW()-132)),"")</f>
        <v>https://www.portcastello.com/</v>
      </c>
      <c r="D156" s="130" t="str">
        <f t="shared" si="7"/>
        <v>N/T</v>
      </c>
      <c r="E156" s="107" t="str">
        <f t="shared" si="6"/>
        <v/>
      </c>
      <c r="F156" s="19"/>
      <c r="G156" s="19"/>
      <c r="H156" s="19"/>
      <c r="I156" s="19"/>
      <c r="J156" s="19"/>
      <c r="K156" s="233"/>
      <c r="L156" s="19"/>
      <c r="M156" s="19"/>
      <c r="N156" s="19"/>
      <c r="O156" s="19"/>
      <c r="P156" s="19"/>
      <c r="Q156" s="19"/>
      <c r="R156" s="19"/>
      <c r="S156" s="19"/>
      <c r="T156" s="19"/>
      <c r="U156" s="19"/>
      <c r="V156" s="19"/>
      <c r="W156" s="19"/>
      <c r="X156" s="19"/>
      <c r="Y156" s="19"/>
    </row>
    <row r="157" spans="1:25" ht="12" customHeight="1">
      <c r="A157" s="219" t="n" cm="1">
        <f t="array" ref="A157">IFERROR(INDEX('03.Muestra'!$B$8:$B$42,SMALL(IF("Página Web"='03.Muestra'!$D$8:$D$42,ROW('03.Muestra'!$B$8:$B$42)-MIN(ROW('03.Muestra'!$D$8:$D$42))+1,""),ROW()-132)),"")</f>
        <v>1.0</v>
      </c>
      <c r="B157" s="114" t="str" cm="1">
        <f t="array" ref="B157">IFERROR(INDEX('03.Muestra'!$C$8:$C$42,SMALL(IF("Página Web"='03.Muestra'!$D$8:$D$42,ROW('03.Muestra'!$C$8:$C$42)-MIN(ROW('03.Muestra'!$D$8:$D$42))+1,""),ROW()-132)),"")</f>
        <v>Home - PortCastelló</v>
      </c>
      <c r="C157" s="114" t="str" cm="1">
        <f t="array" ref="C157">IFERROR(INDEX('03.Muestra'!$F$8:$F$42,SMALL(IF("Página Web"='03.Muestra'!$D$8:$D$42,ROW('03.Muestra'!$F$8:$F$42)-MIN(ROW('03.Muestra'!$D$8:$D$42))+1,""),ROW()-132)),"")</f>
        <v>https://www.portcastello.com/</v>
      </c>
      <c r="D157" s="130" t="str">
        <f t="shared" si="7"/>
        <v>N/T</v>
      </c>
      <c r="E157" s="107" t="str">
        <f t="shared" si="6"/>
        <v/>
      </c>
      <c r="F157" s="19"/>
      <c r="G157" s="19"/>
      <c r="H157" s="19"/>
      <c r="I157" s="19"/>
      <c r="J157" s="19"/>
      <c r="K157" s="233"/>
      <c r="L157" s="19"/>
      <c r="M157" s="19"/>
      <c r="N157" s="19"/>
      <c r="O157" s="19"/>
      <c r="P157" s="19"/>
      <c r="Q157" s="19"/>
      <c r="R157" s="19"/>
      <c r="S157" s="19"/>
      <c r="T157" s="19"/>
      <c r="U157" s="19"/>
      <c r="V157" s="19"/>
      <c r="W157" s="19"/>
      <c r="X157" s="19"/>
      <c r="Y157" s="19"/>
    </row>
    <row r="158" spans="1:25" ht="12" customHeight="1">
      <c r="A158" s="219" t="n" cm="1">
        <f t="array" ref="A158">IFERROR(INDEX('03.Muestra'!$B$8:$B$42,SMALL(IF("Página Web"='03.Muestra'!$D$8:$D$42,ROW('03.Muestra'!$B$8:$B$42)-MIN(ROW('03.Muestra'!$D$8:$D$42))+1,""),ROW()-132)),"")</f>
        <v>1.0</v>
      </c>
      <c r="B158" s="114" t="str" cm="1">
        <f t="array" ref="B158">IFERROR(INDEX('03.Muestra'!$C$8:$C$42,SMALL(IF("Página Web"='03.Muestra'!$D$8:$D$42,ROW('03.Muestra'!$C$8:$C$42)-MIN(ROW('03.Muestra'!$D$8:$D$42))+1,""),ROW()-132)),"")</f>
        <v>Home - PortCastelló</v>
      </c>
      <c r="C158" s="114" t="str" cm="1">
        <f t="array" ref="C158">IFERROR(INDEX('03.Muestra'!$F$8:$F$42,SMALL(IF("Página Web"='03.Muestra'!$D$8:$D$42,ROW('03.Muestra'!$F$8:$F$42)-MIN(ROW('03.Muestra'!$D$8:$D$42))+1,""),ROW()-132)),"")</f>
        <v>https://www.portcastello.com/</v>
      </c>
      <c r="D158" s="130" t="str">
        <f t="shared" si="7"/>
        <v>N/T</v>
      </c>
      <c r="E158" s="107" t="str">
        <f t="shared" si="6"/>
        <v/>
      </c>
      <c r="F158" s="19"/>
      <c r="G158" s="19"/>
      <c r="H158" s="19"/>
      <c r="I158" s="19"/>
      <c r="J158" s="19"/>
      <c r="K158" s="233"/>
      <c r="L158" s="19"/>
      <c r="M158" s="19"/>
      <c r="N158" s="19"/>
      <c r="O158" s="19"/>
      <c r="P158" s="19"/>
      <c r="Q158" s="19"/>
      <c r="R158" s="19"/>
      <c r="S158" s="19"/>
      <c r="T158" s="19"/>
      <c r="U158" s="19"/>
      <c r="V158" s="19"/>
      <c r="W158" s="19"/>
      <c r="X158" s="19"/>
      <c r="Y158" s="19"/>
    </row>
    <row r="159" spans="1:25" ht="12" customHeight="1">
      <c r="A159" s="219" t="n" cm="1">
        <f t="array" ref="A159">IFERROR(INDEX('03.Muestra'!$B$8:$B$42,SMALL(IF("Página Web"='03.Muestra'!$D$8:$D$42,ROW('03.Muestra'!$B$8:$B$42)-MIN(ROW('03.Muestra'!$D$8:$D$42))+1,""),ROW()-132)),"")</f>
        <v>1.0</v>
      </c>
      <c r="B159" s="114" t="str" cm="1">
        <f t="array" ref="B159">IFERROR(INDEX('03.Muestra'!$C$8:$C$42,SMALL(IF("Página Web"='03.Muestra'!$D$8:$D$42,ROW('03.Muestra'!$C$8:$C$42)-MIN(ROW('03.Muestra'!$D$8:$D$42))+1,""),ROW()-132)),"")</f>
        <v>Home - PortCastelló</v>
      </c>
      <c r="C159" s="114" t="str" cm="1">
        <f t="array" ref="C159">IFERROR(INDEX('03.Muestra'!$F$8:$F$42,SMALL(IF("Página Web"='03.Muestra'!$D$8:$D$42,ROW('03.Muestra'!$F$8:$F$42)-MIN(ROW('03.Muestra'!$D$8:$D$42))+1,""),ROW()-132)),"")</f>
        <v>https://www.portcastello.com/</v>
      </c>
      <c r="D159" s="130" t="str">
        <f t="shared" si="7"/>
        <v>N/T</v>
      </c>
      <c r="E159" s="107" t="str">
        <f t="shared" si="6"/>
        <v/>
      </c>
      <c r="F159" s="19"/>
      <c r="G159" s="19"/>
      <c r="H159" s="19"/>
      <c r="I159" s="19"/>
      <c r="J159" s="19"/>
      <c r="K159" s="233"/>
      <c r="L159" s="19"/>
      <c r="M159" s="19"/>
      <c r="N159" s="19"/>
      <c r="O159" s="19"/>
      <c r="P159" s="19"/>
      <c r="Q159" s="19"/>
      <c r="R159" s="19"/>
      <c r="S159" s="19"/>
      <c r="T159" s="19"/>
      <c r="U159" s="19"/>
      <c r="V159" s="19"/>
      <c r="W159" s="19"/>
      <c r="X159" s="19"/>
      <c r="Y159" s="19"/>
    </row>
    <row r="160" spans="1:25" ht="12" customHeight="1">
      <c r="A160" s="219" t="n" cm="1">
        <f t="array" ref="A160">IFERROR(INDEX('03.Muestra'!$B$8:$B$42,SMALL(IF("Página Web"='03.Muestra'!$D$8:$D$42,ROW('03.Muestra'!$B$8:$B$42)-MIN(ROW('03.Muestra'!$D$8:$D$42))+1,""),ROW()-132)),"")</f>
        <v>1.0</v>
      </c>
      <c r="B160" s="114" t="str" cm="1">
        <f t="array" ref="B160">IFERROR(INDEX('03.Muestra'!$C$8:$C$42,SMALL(IF("Página Web"='03.Muestra'!$D$8:$D$42,ROW('03.Muestra'!$C$8:$C$42)-MIN(ROW('03.Muestra'!$D$8:$D$42))+1,""),ROW()-132)),"")</f>
        <v>Home - PortCastelló</v>
      </c>
      <c r="C160" s="114" t="str" cm="1">
        <f t="array" ref="C160">IFERROR(INDEX('03.Muestra'!$F$8:$F$42,SMALL(IF("Página Web"='03.Muestra'!$D$8:$D$42,ROW('03.Muestra'!$F$8:$F$42)-MIN(ROW('03.Muestra'!$D$8:$D$42))+1,""),ROW()-132)),"")</f>
        <v>https://www.portcastello.com/</v>
      </c>
      <c r="D160" s="130" t="str">
        <f t="shared" si="7"/>
        <v>N/T</v>
      </c>
      <c r="E160" s="107" t="str">
        <f t="shared" si="6"/>
        <v/>
      </c>
      <c r="G160" s="19"/>
      <c r="H160" s="19"/>
      <c r="I160" s="19"/>
      <c r="J160" s="19"/>
      <c r="K160" s="233"/>
      <c r="L160" s="19"/>
      <c r="M160" s="19"/>
      <c r="N160" s="19"/>
      <c r="O160" s="19"/>
      <c r="P160" s="19"/>
      <c r="Q160" s="19"/>
      <c r="R160" s="19"/>
      <c r="S160" s="19"/>
      <c r="T160" s="19"/>
      <c r="U160" s="19"/>
      <c r="V160" s="19"/>
      <c r="W160" s="19"/>
      <c r="X160" s="19"/>
      <c r="Y160" s="19"/>
    </row>
    <row r="161" spans="1:25" ht="12" customHeight="1">
      <c r="A161" s="219" t="n" cm="1">
        <f t="array" ref="A161">IFERROR(INDEX('03.Muestra'!$B$8:$B$42,SMALL(IF("Página Web"='03.Muestra'!$D$8:$D$42,ROW('03.Muestra'!$B$8:$B$42)-MIN(ROW('03.Muestra'!$D$8:$D$42))+1,""),ROW()-132)),"")</f>
        <v>1.0</v>
      </c>
      <c r="B161" s="114" t="str" cm="1">
        <f t="array" ref="B161">IFERROR(INDEX('03.Muestra'!$C$8:$C$42,SMALL(IF("Página Web"='03.Muestra'!$D$8:$D$42,ROW('03.Muestra'!$C$8:$C$42)-MIN(ROW('03.Muestra'!$D$8:$D$42))+1,""),ROW()-132)),"")</f>
        <v>Home - PortCastelló</v>
      </c>
      <c r="C161" s="114" t="str" cm="1">
        <f t="array" ref="C161">IFERROR(INDEX('03.Muestra'!$F$8:$F$42,SMALL(IF("Página Web"='03.Muestra'!$D$8:$D$42,ROW('03.Muestra'!$F$8:$F$42)-MIN(ROW('03.Muestra'!$D$8:$D$42))+1,""),ROW()-132)),"")</f>
        <v>https://www.portcastello.com/</v>
      </c>
      <c r="D161" s="130" t="str">
        <f t="shared" si="7"/>
        <v>N/T</v>
      </c>
      <c r="E161" s="107" t="str">
        <f t="shared" si="6"/>
        <v/>
      </c>
      <c r="F161" s="124"/>
      <c r="G161" s="19"/>
      <c r="H161" s="19"/>
      <c r="I161" s="19"/>
      <c r="J161" s="19"/>
      <c r="K161" s="233"/>
      <c r="L161" s="19"/>
      <c r="M161" s="19"/>
      <c r="N161" s="19"/>
      <c r="O161" s="19"/>
      <c r="P161" s="19"/>
      <c r="Q161" s="19"/>
      <c r="R161" s="19"/>
      <c r="S161" s="19"/>
      <c r="T161" s="19"/>
      <c r="U161" s="19"/>
      <c r="V161" s="19"/>
      <c r="W161" s="19"/>
      <c r="X161" s="19"/>
      <c r="Y161" s="19"/>
    </row>
    <row r="162" spans="1:25" ht="12" customHeight="1">
      <c r="A162" s="219" t="n" cm="1">
        <f t="array" ref="A162">IFERROR(INDEX('03.Muestra'!$B$8:$B$42,SMALL(IF("Página Web"='03.Muestra'!$D$8:$D$42,ROW('03.Muestra'!$B$8:$B$42)-MIN(ROW('03.Muestra'!$D$8:$D$42))+1,""),ROW()-132)),"")</f>
        <v>1.0</v>
      </c>
      <c r="B162" s="114" t="str" cm="1">
        <f t="array" ref="B162">IFERROR(INDEX('03.Muestra'!$C$8:$C$42,SMALL(IF("Página Web"='03.Muestra'!$D$8:$D$42,ROW('03.Muestra'!$C$8:$C$42)-MIN(ROW('03.Muestra'!$D$8:$D$42))+1,""),ROW()-132)),"")</f>
        <v>Home - PortCastelló</v>
      </c>
      <c r="C162" s="114" t="str" cm="1">
        <f t="array" ref="C162">IFERROR(INDEX('03.Muestra'!$F$8:$F$42,SMALL(IF("Página Web"='03.Muestra'!$D$8:$D$42,ROW('03.Muestra'!$F$8:$F$42)-MIN(ROW('03.Muestra'!$D$8:$D$42))+1,""),ROW()-132)),"")</f>
        <v>https://www.portcastello.com/</v>
      </c>
      <c r="D162" s="130" t="str">
        <f t="shared" si="7"/>
        <v>N/T</v>
      </c>
      <c r="E162" s="107" t="str">
        <f t="shared" si="6"/>
        <v/>
      </c>
      <c r="F162" s="124"/>
      <c r="G162" s="19"/>
      <c r="H162" s="19"/>
      <c r="I162" s="19"/>
      <c r="J162" s="19"/>
      <c r="K162" s="233"/>
      <c r="L162" s="19"/>
      <c r="M162" s="19"/>
      <c r="N162" s="19"/>
      <c r="O162" s="19"/>
      <c r="P162" s="19"/>
      <c r="Q162" s="19"/>
      <c r="R162" s="19"/>
      <c r="S162" s="19"/>
      <c r="T162" s="19"/>
      <c r="U162" s="19"/>
      <c r="V162" s="19"/>
      <c r="W162" s="19"/>
      <c r="X162" s="19"/>
      <c r="Y162" s="19"/>
    </row>
    <row r="163" spans="1:25" ht="12" customHeight="1">
      <c r="A163" s="219" t="n" cm="1">
        <f t="array" ref="A163">IFERROR(INDEX('03.Muestra'!$B$8:$B$42,SMALL(IF("Página Web"='03.Muestra'!$D$8:$D$42,ROW('03.Muestra'!$B$8:$B$42)-MIN(ROW('03.Muestra'!$D$8:$D$42))+1,""),ROW()-132)),"")</f>
        <v>1.0</v>
      </c>
      <c r="B163" s="114" t="str" cm="1">
        <f t="array" ref="B163">IFERROR(INDEX('03.Muestra'!$C$8:$C$42,SMALL(IF("Página Web"='03.Muestra'!$D$8:$D$42,ROW('03.Muestra'!$C$8:$C$42)-MIN(ROW('03.Muestra'!$D$8:$D$42))+1,""),ROW()-132)),"")</f>
        <v>Home - PortCastelló</v>
      </c>
      <c r="C163" s="114" t="str" cm="1">
        <f t="array" ref="C163">IFERROR(INDEX('03.Muestra'!$F$8:$F$42,SMALL(IF("Página Web"='03.Muestra'!$D$8:$D$42,ROW('03.Muestra'!$F$8:$F$42)-MIN(ROW('03.Muestra'!$D$8:$D$42))+1,""),ROW()-132)),"")</f>
        <v>https://www.portcastello.com/</v>
      </c>
      <c r="D163" s="130" t="str">
        <f t="shared" si="7"/>
        <v>N/T</v>
      </c>
      <c r="E163" s="107" t="str">
        <f t="shared" si="6"/>
        <v/>
      </c>
      <c r="F163" s="124"/>
      <c r="G163" s="19"/>
      <c r="H163" s="19"/>
      <c r="I163" s="19"/>
      <c r="J163" s="19"/>
      <c r="K163" s="233"/>
      <c r="L163" s="19"/>
      <c r="M163" s="19"/>
      <c r="N163" s="19"/>
      <c r="O163" s="19"/>
      <c r="P163" s="19"/>
      <c r="Q163" s="19"/>
      <c r="R163" s="19"/>
      <c r="S163" s="19"/>
      <c r="T163" s="19"/>
      <c r="U163" s="19"/>
      <c r="V163" s="19"/>
      <c r="W163" s="19"/>
      <c r="X163" s="19"/>
      <c r="Y163" s="19"/>
    </row>
    <row r="164" spans="1:25" ht="12" customHeight="1">
      <c r="A164" s="219" t="n" cm="1">
        <f t="array" ref="A164">IFERROR(INDEX('03.Muestra'!$B$8:$B$42,SMALL(IF("Página Web"='03.Muestra'!$D$8:$D$42,ROW('03.Muestra'!$B$8:$B$42)-MIN(ROW('03.Muestra'!$D$8:$D$42))+1,""),ROW()-132)),"")</f>
        <v>1.0</v>
      </c>
      <c r="B164" s="114" t="str" cm="1">
        <f t="array" ref="B164">IFERROR(INDEX('03.Muestra'!$C$8:$C$42,SMALL(IF("Página Web"='03.Muestra'!$D$8:$D$42,ROW('03.Muestra'!$C$8:$C$42)-MIN(ROW('03.Muestra'!$D$8:$D$42))+1,""),ROW()-132)),"")</f>
        <v>Home - PortCastelló</v>
      </c>
      <c r="C164" s="114" t="str" cm="1">
        <f t="array" ref="C164">IFERROR(INDEX('03.Muestra'!$F$8:$F$42,SMALL(IF("Página Web"='03.Muestra'!$D$8:$D$42,ROW('03.Muestra'!$F$8:$F$42)-MIN(ROW('03.Muestra'!$D$8:$D$42))+1,""),ROW()-132)),"")</f>
        <v>https://www.portcastello.com/</v>
      </c>
      <c r="D164" s="130" t="str">
        <f t="shared" si="7"/>
        <v>N/T</v>
      </c>
      <c r="E164" s="107" t="str">
        <f t="shared" si="6"/>
        <v/>
      </c>
      <c r="F164" s="124"/>
      <c r="G164" s="19"/>
      <c r="H164" s="19"/>
      <c r="I164" s="19"/>
      <c r="J164" s="19"/>
      <c r="K164" s="233"/>
      <c r="L164" s="19"/>
      <c r="M164" s="19"/>
      <c r="N164" s="19"/>
      <c r="O164" s="19"/>
      <c r="P164" s="19"/>
      <c r="Q164" s="19"/>
      <c r="R164" s="19"/>
      <c r="S164" s="19"/>
      <c r="T164" s="19"/>
      <c r="U164" s="19"/>
      <c r="V164" s="19"/>
      <c r="W164" s="19"/>
      <c r="X164" s="19"/>
      <c r="Y164" s="19"/>
    </row>
    <row r="165" spans="1:25" ht="12" customHeight="1">
      <c r="A165" s="219" t="n" cm="1">
        <f t="array" ref="A165">IFERROR(INDEX('03.Muestra'!$B$8:$B$42,SMALL(IF("Página Web"='03.Muestra'!$D$8:$D$42,ROW('03.Muestra'!$B$8:$B$42)-MIN(ROW('03.Muestra'!$D$8:$D$42))+1,""),ROW()-132)),"")</f>
        <v>1.0</v>
      </c>
      <c r="B165" s="114" t="str" cm="1">
        <f t="array" ref="B165">IFERROR(INDEX('03.Muestra'!$C$8:$C$42,SMALL(IF("Página Web"='03.Muestra'!$D$8:$D$42,ROW('03.Muestra'!$C$8:$C$42)-MIN(ROW('03.Muestra'!$D$8:$D$42))+1,""),ROW()-132)),"")</f>
        <v>Home - PortCastelló</v>
      </c>
      <c r="C165" s="114" t="str" cm="1">
        <f t="array" ref="C165">IFERROR(INDEX('03.Muestra'!$F$8:$F$42,SMALL(IF("Página Web"='03.Muestra'!$D$8:$D$42,ROW('03.Muestra'!$F$8:$F$42)-MIN(ROW('03.Muestra'!$D$8:$D$42))+1,""),ROW()-132)),"")</f>
        <v>https://www.portcastello.com/</v>
      </c>
      <c r="D165" s="130" t="str">
        <f t="shared" si="7"/>
        <v>N/T</v>
      </c>
      <c r="E165" s="107" t="str">
        <f t="shared" si="6"/>
        <v/>
      </c>
      <c r="F165" s="124"/>
      <c r="G165" s="19"/>
      <c r="H165" s="19"/>
      <c r="I165" s="19"/>
      <c r="J165" s="19"/>
      <c r="K165" s="233"/>
      <c r="L165" s="19"/>
      <c r="M165" s="19"/>
      <c r="N165" s="19"/>
      <c r="O165" s="19"/>
      <c r="P165" s="19"/>
      <c r="Q165" s="19"/>
      <c r="R165" s="19"/>
      <c r="S165" s="19"/>
      <c r="T165" s="19"/>
      <c r="U165" s="19"/>
      <c r="V165" s="19"/>
      <c r="W165" s="19"/>
      <c r="X165" s="19"/>
      <c r="Y165" s="19"/>
    </row>
    <row r="166" spans="1:25" ht="12" customHeight="1">
      <c r="A166" s="219" t="str" cm="1">
        <f t="array" ref="A166">IFERROR(INDEX('03.Muestra'!$B$8:$B$42,SMALL(IF("Página Web"='03.Muestra'!$D$8:$D$42,ROW('03.Muestra'!$B$8:$B$42)-MIN(ROW('03.Muestra'!$D$8:$D$42))+1,""),ROW()-132)),"")</f>
        <v/>
      </c>
      <c r="B166" s="114" t="str" cm="1">
        <f t="array" ref="B166">IFERROR(INDEX('03.Muestra'!$C$8:$C$42,SMALL(IF("Página Web"='03.Muestra'!$D$8:$D$42,ROW('03.Muestra'!$C$8:$C$42)-MIN(ROW('03.Muestra'!$D$8:$D$42))+1,""),ROW()-132)),"")</f>
        <v/>
      </c>
      <c r="C166" s="114" t="str" cm="1">
        <f t="array" ref="C166">IFERROR(INDEX('03.Muestra'!$F$8:$F$42,SMALL(IF("Página Web"='03.Muestra'!$D$8:$D$42,ROW('03.Muestra'!$F$8:$F$42)-MIN(ROW('03.Muestra'!$D$8:$D$42))+1,""),ROW()-132)),"")</f>
        <v/>
      </c>
      <c r="D166" s="130" t="str">
        <f t="shared" si="7"/>
        <v/>
      </c>
      <c r="E166" s="107" t="str">
        <f t="shared" si="6"/>
        <v/>
      </c>
      <c r="F166" s="124"/>
      <c r="G166" s="19"/>
      <c r="H166" s="19"/>
      <c r="I166" s="19"/>
      <c r="J166" s="19"/>
      <c r="K166" s="233"/>
      <c r="L166" s="19"/>
      <c r="M166" s="19"/>
      <c r="N166" s="19"/>
      <c r="O166" s="19"/>
      <c r="P166" s="19"/>
      <c r="Q166" s="19"/>
      <c r="R166" s="19"/>
      <c r="S166" s="19"/>
      <c r="T166" s="19"/>
      <c r="U166" s="19"/>
      <c r="V166" s="19"/>
      <c r="W166" s="19"/>
      <c r="X166" s="19"/>
      <c r="Y166" s="19"/>
    </row>
    <row r="167" spans="1:25" ht="12" customHeight="1">
      <c r="A167" s="219" t="str" cm="1">
        <f t="array" ref="A167">IFERROR(INDEX('03.Muestra'!$B$8:$B$42,SMALL(IF("Página Web"='03.Muestra'!$D$8:$D$42,ROW('03.Muestra'!$B$8:$B$42)-MIN(ROW('03.Muestra'!$D$8:$D$42))+1,""),ROW()-132)),"")</f>
        <v/>
      </c>
      <c r="B167" s="114" t="str" cm="1">
        <f t="array" ref="B167">IFERROR(INDEX('03.Muestra'!$C$8:$C$42,SMALL(IF("Página Web"='03.Muestra'!$D$8:$D$42,ROW('03.Muestra'!$C$8:$C$42)-MIN(ROW('03.Muestra'!$D$8:$D$42))+1,""),ROW()-132)),"")</f>
        <v/>
      </c>
      <c r="C167" s="114" t="str" cm="1">
        <f t="array" ref="C167">IFERROR(INDEX('03.Muestra'!$F$8:$F$42,SMALL(IF("Página Web"='03.Muestra'!$D$8:$D$42,ROW('03.Muestra'!$F$8:$F$42)-MIN(ROW('03.Muestra'!$D$8:$D$42))+1,""),ROW()-132)),"")</f>
        <v/>
      </c>
      <c r="D167" s="130" t="str">
        <f t="shared" si="7"/>
        <v/>
      </c>
      <c r="E167" s="107" t="str">
        <f t="shared" si="6"/>
        <v/>
      </c>
      <c r="F167" s="19"/>
      <c r="G167" s="19"/>
      <c r="H167" s="19"/>
      <c r="I167" s="19"/>
      <c r="J167" s="19"/>
      <c r="K167" s="233"/>
      <c r="L167" s="19"/>
      <c r="M167" s="19"/>
      <c r="N167" s="19"/>
      <c r="O167" s="19"/>
      <c r="P167" s="19"/>
      <c r="Q167" s="19"/>
      <c r="R167" s="19"/>
      <c r="S167" s="19"/>
      <c r="T167" s="19"/>
      <c r="U167" s="19"/>
      <c r="V167" s="19"/>
      <c r="W167" s="19"/>
      <c r="X167" s="19"/>
      <c r="Y167" s="19"/>
    </row>
    <row r="168" spans="1:25" ht="12" customHeight="1">
      <c r="B168" s="19"/>
      <c r="C168" s="19"/>
      <c r="D168" s="107"/>
      <c r="E168" s="107"/>
      <c r="F168" s="19"/>
      <c r="G168" s="19"/>
      <c r="H168" s="19"/>
      <c r="I168" s="19"/>
      <c r="J168" s="19"/>
      <c r="K168" s="233"/>
      <c r="L168" s="19"/>
      <c r="M168" s="19"/>
      <c r="N168" s="19"/>
      <c r="O168" s="19"/>
      <c r="P168" s="19"/>
      <c r="Q168" s="19"/>
      <c r="R168" s="19"/>
      <c r="S168" s="19"/>
      <c r="T168" s="19"/>
      <c r="U168" s="19"/>
      <c r="V168" s="19"/>
      <c r="W168" s="19"/>
      <c r="X168" s="19"/>
      <c r="Y168" s="19"/>
    </row>
    <row r="169" spans="1:25" ht="12" customHeight="1">
      <c r="B169" s="19"/>
      <c r="C169" s="19"/>
      <c r="D169" s="107"/>
      <c r="E169" s="112"/>
      <c r="F169" s="19"/>
      <c r="G169" s="19"/>
      <c r="H169" s="19"/>
      <c r="I169" s="19"/>
      <c r="J169" s="19"/>
      <c r="K169" s="233"/>
      <c r="L169" s="19"/>
      <c r="M169" s="19"/>
      <c r="N169" s="19"/>
      <c r="O169" s="19"/>
      <c r="P169" s="19"/>
      <c r="Q169" s="19"/>
      <c r="R169" s="19"/>
      <c r="S169" s="19"/>
      <c r="T169" s="19"/>
      <c r="U169" s="19"/>
      <c r="V169" s="19"/>
      <c r="W169" s="19"/>
      <c r="X169" s="19"/>
      <c r="Y169" s="19"/>
    </row>
    <row r="170" spans="1:25" ht="29.25" customHeight="1">
      <c r="A170" s="218" t="s">
        <v>268</v>
      </c>
      <c r="B170" s="24" t="s">
        <v>90</v>
      </c>
      <c r="C170" s="25" t="s">
        <v>377</v>
      </c>
      <c r="D170" s="26" t="s">
        <v>32</v>
      </c>
      <c r="E170" s="123"/>
      <c r="K170" s="233"/>
      <c r="L170" s="19"/>
      <c r="M170" s="19"/>
      <c r="N170" s="19"/>
      <c r="O170" s="19"/>
      <c r="P170" s="19"/>
      <c r="Q170" s="19"/>
      <c r="R170" s="19"/>
      <c r="S170" s="19"/>
      <c r="T170" s="19"/>
      <c r="U170" s="19"/>
      <c r="V170" s="19"/>
      <c r="W170" s="19"/>
      <c r="X170" s="19"/>
      <c r="Y170" s="19"/>
    </row>
    <row r="171" spans="1:25" ht="12" customHeight="1">
      <c r="A171" s="219" t="n" cm="1">
        <f t="array" ref="A171">IFERROR(INDEX('03.Muestra'!$B$8:$B$42,SMALL(IF("Página Web"='03.Muestra'!$D$8:$D$42,ROW('03.Muestra'!$B$8:$B$42)-MIN(ROW('03.Muestra'!$D$8:$D$42))+1,""),ROW()-170)),"")</f>
        <v>1.0</v>
      </c>
      <c r="B171" s="114" t="str" cm="1">
        <f t="array" ref="B171">IFERROR(INDEX('03.Muestra'!$C$8:$C$42,SMALL(IF("Página Web"='03.Muestra'!$D$8:$D$42,ROW('03.Muestra'!$C$8:$C$42)-MIN(ROW('03.Muestra'!$D$8:$D$42))+1,""),ROW()-170)),"")</f>
        <v>Home - PortCastelló</v>
      </c>
      <c r="C171" s="114" t="str" cm="1">
        <f t="array" ref="C171">IFERROR(INDEX('03.Muestra'!$F$8:$F$42,SMALL(IF("Página Web"='03.Muestra'!$D$8:$D$42,ROW('03.Muestra'!$F$8:$F$42)-MIN(ROW('03.Muestra'!$D$8:$D$42))+1,""),ROW()-170)),"")</f>
        <v>https://www.portcastello.com/</v>
      </c>
      <c r="D171" s="130" t="str">
        <f>IF(AND(B171&lt;&gt;"",C171&lt;&gt;""),"N/T","")</f>
        <v>N/T</v>
      </c>
      <c r="E171" s="107" t="str">
        <f t="shared" ref="E171:E205" si="8">IF(D171&lt;&gt;"",IF(AND(B171&lt;&gt;"",C171&lt;&gt;""),"","ERR"),"")</f>
        <v/>
      </c>
      <c r="F171" s="115" t="s">
        <v>33</v>
      </c>
      <c r="G171" s="116" t="s">
        <v>37</v>
      </c>
      <c r="H171" s="117" t="s">
        <v>35</v>
      </c>
      <c r="I171" s="118" t="s">
        <v>28</v>
      </c>
      <c r="J171" s="119" t="s">
        <v>26</v>
      </c>
      <c r="K171" s="226" t="s">
        <v>474</v>
      </c>
      <c r="L171" s="19"/>
      <c r="M171" s="19"/>
      <c r="N171" s="19"/>
      <c r="O171" s="19"/>
      <c r="P171" s="19"/>
      <c r="Q171" s="19"/>
      <c r="R171" s="19"/>
      <c r="S171" s="19"/>
      <c r="T171" s="19"/>
      <c r="U171" s="19"/>
      <c r="V171" s="19"/>
      <c r="W171" s="19"/>
      <c r="X171" s="19"/>
      <c r="Y171" s="19"/>
    </row>
    <row r="172" spans="1:25" ht="12" customHeight="1">
      <c r="A172" s="219" t="n" cm="1">
        <f t="array" ref="A172">IFERROR(INDEX('03.Muestra'!$B$8:$B$42,SMALL(IF("Página Web"='03.Muestra'!$D$8:$D$42,ROW('03.Muestra'!$B$8:$B$42)-MIN(ROW('03.Muestra'!$D$8:$D$42))+1,""),ROW()-170)),"")</f>
        <v>1.0</v>
      </c>
      <c r="B172" s="114" t="str" cm="1">
        <f t="array" ref="B172">IFERROR(INDEX('03.Muestra'!$C$8:$C$42,SMALL(IF("Página Web"='03.Muestra'!$D$8:$D$42,ROW('03.Muestra'!$C$8:$C$42)-MIN(ROW('03.Muestra'!$D$8:$D$42))+1,""),ROW()-170)),"")</f>
        <v>Home - PortCastelló</v>
      </c>
      <c r="C172" s="114" t="str" cm="1">
        <f t="array" ref="C172">IFERROR(INDEX('03.Muestra'!$F$8:$F$42,SMALL(IF("Página Web"='03.Muestra'!$D$8:$D$42,ROW('03.Muestra'!$F$8:$F$42)-MIN(ROW('03.Muestra'!$D$8:$D$42))+1,""),ROW()-170)),"")</f>
        <v>https://www.portcastello.com/</v>
      </c>
      <c r="D172" s="130" t="str">
        <f t="shared" ref="D172:D205" si="9">IF(AND(B172&lt;&gt;"",C172&lt;&gt;""),"N/T","")</f>
        <v>N/T</v>
      </c>
      <c r="E172" s="107" t="str">
        <f t="shared" si="8"/>
        <v/>
      </c>
      <c r="F172" s="120" t="n">
        <f ca="1">COUNTIF($D171:INDIRECT("$D" &amp;  SUM(ROW()-1,'03.Muestra'!$D$45)-1),F171)</f>
        <v>33.0</v>
      </c>
      <c r="G172" s="120" t="n">
        <f ca="1">COUNTIF($D171:INDIRECT("$D" &amp;  SUM(ROW()-1,'03.Muestra'!$D$45)-1),G171)</f>
        <v>0.0</v>
      </c>
      <c r="H172" s="120" t="n">
        <f ca="1">COUNTIF($D171:INDIRECT("$D" &amp;  SUM(ROW()-1,'03.Muestra'!$D$45)-1),H171)</f>
        <v>0.0</v>
      </c>
      <c r="I172" s="120" t="n">
        <f ca="1">COUNTIF($D171:INDIRECT("$D" &amp;  SUM(ROW()-1,'03.Muestra'!$D$45)-1),I171)</f>
        <v>0.0</v>
      </c>
      <c r="J172" s="120" t="n">
        <f ca="1">COUNTIF($D171:INDIRECT("$D" &amp;  SUM(ROW()-1,'03.Muestra'!$D$45)-1),J171)</f>
        <v>0.0</v>
      </c>
      <c r="K172" s="227" t="n">
        <f ca="1">IF(COUNTIF('03.Muestra'!$D$8:$D$42,"Página Web")=0,0,COUNTBLANK($D171:INDIRECT("$D" &amp;  SUM(ROW()-1,COUNTIF('03.Muestra'!$D$8:$D$42,"Página Web"))-1)))</f>
        <v>0.0</v>
      </c>
      <c r="L172" s="19"/>
      <c r="M172" s="19"/>
      <c r="N172" s="19"/>
      <c r="O172" s="19"/>
      <c r="P172" s="19"/>
      <c r="Q172" s="19"/>
      <c r="R172" s="19"/>
      <c r="S172" s="19"/>
      <c r="T172" s="19"/>
      <c r="U172" s="19"/>
      <c r="V172" s="19"/>
      <c r="W172" s="19"/>
      <c r="X172" s="19"/>
      <c r="Y172" s="19"/>
    </row>
    <row r="173" spans="1:25" ht="12" customHeight="1">
      <c r="A173" s="219" t="n" cm="1">
        <f t="array" ref="A173">IFERROR(INDEX('03.Muestra'!$B$8:$B$42,SMALL(IF("Página Web"='03.Muestra'!$D$8:$D$42,ROW('03.Muestra'!$B$8:$B$42)-MIN(ROW('03.Muestra'!$D$8:$D$42))+1,""),ROW()-170)),"")</f>
        <v>1.0</v>
      </c>
      <c r="B173" s="114" t="str" cm="1">
        <f t="array" ref="B173">IFERROR(INDEX('03.Muestra'!$C$8:$C$42,SMALL(IF("Página Web"='03.Muestra'!$D$8:$D$42,ROW('03.Muestra'!$C$8:$C$42)-MIN(ROW('03.Muestra'!$D$8:$D$42))+1,""),ROW()-170)),"")</f>
        <v>Home - PortCastelló</v>
      </c>
      <c r="C173" s="114" t="str" cm="1">
        <f t="array" ref="C173">IFERROR(INDEX('03.Muestra'!$F$8:$F$42,SMALL(IF("Página Web"='03.Muestra'!$D$8:$D$42,ROW('03.Muestra'!$F$8:$F$42)-MIN(ROW('03.Muestra'!$D$8:$D$42))+1,""),ROW()-170)),"")</f>
        <v>https://www.portcastello.com/</v>
      </c>
      <c r="D173" s="130" t="str">
        <f t="shared" si="9"/>
        <v>N/T</v>
      </c>
      <c r="E173" s="107" t="str">
        <f t="shared" si="8"/>
        <v/>
      </c>
      <c r="K173" s="233"/>
      <c r="L173" s="19"/>
      <c r="M173" s="19"/>
      <c r="N173" s="19"/>
      <c r="O173" s="19"/>
      <c r="P173" s="19"/>
      <c r="Q173" s="19"/>
      <c r="R173" s="19"/>
      <c r="S173" s="19"/>
      <c r="T173" s="19"/>
      <c r="U173" s="19"/>
      <c r="V173" s="19"/>
      <c r="W173" s="19"/>
      <c r="X173" s="19"/>
      <c r="Y173" s="19"/>
    </row>
    <row r="174" spans="1:25" ht="12" customHeight="1">
      <c r="A174" s="219" t="n" cm="1">
        <f t="array" ref="A174">IFERROR(INDEX('03.Muestra'!$B$8:$B$42,SMALL(IF("Página Web"='03.Muestra'!$D$8:$D$42,ROW('03.Muestra'!$B$8:$B$42)-MIN(ROW('03.Muestra'!$D$8:$D$42))+1,""),ROW()-170)),"")</f>
        <v>1.0</v>
      </c>
      <c r="B174" s="114" t="str" cm="1">
        <f t="array" ref="B174">IFERROR(INDEX('03.Muestra'!$C$8:$C$42,SMALL(IF("Página Web"='03.Muestra'!$D$8:$D$42,ROW('03.Muestra'!$C$8:$C$42)-MIN(ROW('03.Muestra'!$D$8:$D$42))+1,""),ROW()-170)),"")</f>
        <v>Home - PortCastelló</v>
      </c>
      <c r="C174" s="114" t="str" cm="1">
        <f t="array" ref="C174">IFERROR(INDEX('03.Muestra'!$F$8:$F$42,SMALL(IF("Página Web"='03.Muestra'!$D$8:$D$42,ROW('03.Muestra'!$F$8:$F$42)-MIN(ROW('03.Muestra'!$D$8:$D$42))+1,""),ROW()-170)),"")</f>
        <v>https://www.portcastello.com/</v>
      </c>
      <c r="D174" s="130" t="str">
        <f t="shared" si="9"/>
        <v>N/T</v>
      </c>
      <c r="E174" s="107" t="str">
        <f t="shared" si="8"/>
        <v/>
      </c>
      <c r="G174" s="19"/>
      <c r="H174" s="19"/>
      <c r="I174" s="19"/>
      <c r="J174" s="19"/>
      <c r="K174" s="233"/>
      <c r="L174" s="19"/>
      <c r="M174" s="19"/>
      <c r="N174" s="19"/>
      <c r="O174" s="19"/>
      <c r="P174" s="19"/>
      <c r="Q174" s="19"/>
      <c r="R174" s="19"/>
      <c r="S174" s="19"/>
      <c r="T174" s="19"/>
      <c r="U174" s="19"/>
      <c r="V174" s="19"/>
      <c r="W174" s="19"/>
      <c r="X174" s="19"/>
      <c r="Y174" s="19"/>
    </row>
    <row r="175" spans="1:25" ht="12" customHeight="1">
      <c r="A175" s="219" t="n" cm="1">
        <f t="array" ref="A175">IFERROR(INDEX('03.Muestra'!$B$8:$B$42,SMALL(IF("Página Web"='03.Muestra'!$D$8:$D$42,ROW('03.Muestra'!$B$8:$B$42)-MIN(ROW('03.Muestra'!$D$8:$D$42))+1,""),ROW()-170)),"")</f>
        <v>1.0</v>
      </c>
      <c r="B175" s="114" t="str" cm="1">
        <f t="array" ref="B175">IFERROR(INDEX('03.Muestra'!$C$8:$C$42,SMALL(IF("Página Web"='03.Muestra'!$D$8:$D$42,ROW('03.Muestra'!$C$8:$C$42)-MIN(ROW('03.Muestra'!$D$8:$D$42))+1,""),ROW()-170)),"")</f>
        <v>Home - PortCastelló</v>
      </c>
      <c r="C175" s="114" t="str" cm="1">
        <f t="array" ref="C175">IFERROR(INDEX('03.Muestra'!$F$8:$F$42,SMALL(IF("Página Web"='03.Muestra'!$D$8:$D$42,ROW('03.Muestra'!$F$8:$F$42)-MIN(ROW('03.Muestra'!$D$8:$D$42))+1,""),ROW()-170)),"")</f>
        <v>https://www.portcastello.com/</v>
      </c>
      <c r="D175" s="130" t="str">
        <f t="shared" si="9"/>
        <v>N/T</v>
      </c>
      <c r="E175" s="107" t="str">
        <f t="shared" si="8"/>
        <v/>
      </c>
      <c r="G175" s="19"/>
      <c r="H175" s="19"/>
      <c r="I175" s="19"/>
      <c r="J175" s="19"/>
      <c r="K175" s="233"/>
      <c r="L175" s="19"/>
      <c r="M175" s="19"/>
      <c r="N175" s="19"/>
      <c r="O175" s="19"/>
      <c r="P175" s="19"/>
      <c r="Q175" s="19"/>
      <c r="R175" s="19"/>
      <c r="S175" s="19"/>
      <c r="T175" s="19"/>
      <c r="U175" s="19"/>
      <c r="V175" s="19"/>
      <c r="W175" s="19"/>
      <c r="X175" s="19"/>
      <c r="Y175" s="19"/>
    </row>
    <row r="176" spans="1:25" ht="12" customHeight="1">
      <c r="A176" s="219" t="n" cm="1">
        <f t="array" ref="A176">IFERROR(INDEX('03.Muestra'!$B$8:$B$42,SMALL(IF("Página Web"='03.Muestra'!$D$8:$D$42,ROW('03.Muestra'!$B$8:$B$42)-MIN(ROW('03.Muestra'!$D$8:$D$42))+1,""),ROW()-170)),"")</f>
        <v>1.0</v>
      </c>
      <c r="B176" s="114" t="str" cm="1">
        <f t="array" ref="B176">IFERROR(INDEX('03.Muestra'!$C$8:$C$42,SMALL(IF("Página Web"='03.Muestra'!$D$8:$D$42,ROW('03.Muestra'!$C$8:$C$42)-MIN(ROW('03.Muestra'!$D$8:$D$42))+1,""),ROW()-170)),"")</f>
        <v>Home - PortCastelló</v>
      </c>
      <c r="C176" s="114" t="str" cm="1">
        <f t="array" ref="C176">IFERROR(INDEX('03.Muestra'!$F$8:$F$42,SMALL(IF("Página Web"='03.Muestra'!$D$8:$D$42,ROW('03.Muestra'!$F$8:$F$42)-MIN(ROW('03.Muestra'!$D$8:$D$42))+1,""),ROW()-170)),"")</f>
        <v>https://www.portcastello.com/</v>
      </c>
      <c r="D176" s="130" t="str">
        <f t="shared" si="9"/>
        <v>N/T</v>
      </c>
      <c r="E176" s="107" t="str">
        <f t="shared" si="8"/>
        <v/>
      </c>
      <c r="G176" s="19"/>
      <c r="H176" s="19"/>
      <c r="I176" s="19"/>
      <c r="J176" s="19"/>
      <c r="K176" s="233"/>
      <c r="L176" s="19"/>
      <c r="M176" s="19"/>
      <c r="N176" s="19"/>
      <c r="O176" s="19"/>
      <c r="P176" s="19"/>
      <c r="Q176" s="19"/>
      <c r="R176" s="19"/>
      <c r="S176" s="19"/>
      <c r="T176" s="19"/>
      <c r="U176" s="19"/>
      <c r="V176" s="19"/>
      <c r="W176" s="19"/>
      <c r="X176" s="19"/>
      <c r="Y176" s="19"/>
    </row>
    <row r="177" spans="1:25" ht="12" customHeight="1">
      <c r="A177" s="219" t="n" cm="1">
        <f t="array" ref="A177">IFERROR(INDEX('03.Muestra'!$B$8:$B$42,SMALL(IF("Página Web"='03.Muestra'!$D$8:$D$42,ROW('03.Muestra'!$B$8:$B$42)-MIN(ROW('03.Muestra'!$D$8:$D$42))+1,""),ROW()-170)),"")</f>
        <v>1.0</v>
      </c>
      <c r="B177" s="114" t="str" cm="1">
        <f t="array" ref="B177">IFERROR(INDEX('03.Muestra'!$C$8:$C$42,SMALL(IF("Página Web"='03.Muestra'!$D$8:$D$42,ROW('03.Muestra'!$C$8:$C$42)-MIN(ROW('03.Muestra'!$D$8:$D$42))+1,""),ROW()-170)),"")</f>
        <v>Home - PortCastelló</v>
      </c>
      <c r="C177" s="114" t="str" cm="1">
        <f t="array" ref="C177">IFERROR(INDEX('03.Muestra'!$F$8:$F$42,SMALL(IF("Página Web"='03.Muestra'!$D$8:$D$42,ROW('03.Muestra'!$F$8:$F$42)-MIN(ROW('03.Muestra'!$D$8:$D$42))+1,""),ROW()-170)),"")</f>
        <v>https://www.portcastello.com/</v>
      </c>
      <c r="D177" s="130" t="str">
        <f t="shared" si="9"/>
        <v>N/T</v>
      </c>
      <c r="E177" s="107" t="str">
        <f t="shared" si="8"/>
        <v/>
      </c>
      <c r="F177" s="19"/>
      <c r="G177" s="19"/>
      <c r="H177" s="19"/>
      <c r="I177" s="19"/>
      <c r="J177" s="19"/>
      <c r="K177" s="233"/>
      <c r="L177" s="19"/>
      <c r="M177" s="19"/>
      <c r="N177" s="19"/>
      <c r="O177" s="19"/>
      <c r="P177" s="19"/>
      <c r="Q177" s="19"/>
      <c r="R177" s="19"/>
      <c r="S177" s="19"/>
      <c r="T177" s="19"/>
      <c r="U177" s="19"/>
      <c r="V177" s="19"/>
      <c r="W177" s="19"/>
      <c r="X177" s="19"/>
      <c r="Y177" s="19"/>
    </row>
    <row r="178" spans="1:25" ht="12" customHeight="1">
      <c r="A178" s="219" t="n" cm="1">
        <f t="array" ref="A178">IFERROR(INDEX('03.Muestra'!$B$8:$B$42,SMALL(IF("Página Web"='03.Muestra'!$D$8:$D$42,ROW('03.Muestra'!$B$8:$B$42)-MIN(ROW('03.Muestra'!$D$8:$D$42))+1,""),ROW()-170)),"")</f>
        <v>1.0</v>
      </c>
      <c r="B178" s="114" t="str" cm="1">
        <f t="array" ref="B178">IFERROR(INDEX('03.Muestra'!$C$8:$C$42,SMALL(IF("Página Web"='03.Muestra'!$D$8:$D$42,ROW('03.Muestra'!$C$8:$C$42)-MIN(ROW('03.Muestra'!$D$8:$D$42))+1,""),ROW()-170)),"")</f>
        <v>Home - PortCastelló</v>
      </c>
      <c r="C178" s="114" t="str" cm="1">
        <f t="array" ref="C178">IFERROR(INDEX('03.Muestra'!$F$8:$F$42,SMALL(IF("Página Web"='03.Muestra'!$D$8:$D$42,ROW('03.Muestra'!$F$8:$F$42)-MIN(ROW('03.Muestra'!$D$8:$D$42))+1,""),ROW()-170)),"")</f>
        <v>https://www.portcastello.com/</v>
      </c>
      <c r="D178" s="130" t="str">
        <f t="shared" si="9"/>
        <v>N/T</v>
      </c>
      <c r="E178" s="107" t="str">
        <f t="shared" si="8"/>
        <v/>
      </c>
      <c r="F178" s="19"/>
      <c r="G178" s="19"/>
      <c r="H178" s="19"/>
      <c r="I178" s="19"/>
      <c r="J178" s="19"/>
      <c r="K178" s="233"/>
      <c r="L178" s="19"/>
      <c r="M178" s="19"/>
      <c r="N178" s="19"/>
      <c r="O178" s="19"/>
      <c r="P178" s="19"/>
      <c r="Q178" s="19"/>
      <c r="R178" s="19"/>
      <c r="S178" s="19"/>
      <c r="T178" s="19"/>
      <c r="U178" s="19"/>
      <c r="V178" s="19"/>
      <c r="W178" s="19"/>
      <c r="X178" s="19"/>
      <c r="Y178" s="19"/>
    </row>
    <row r="179" spans="1:25" ht="12" customHeight="1">
      <c r="A179" s="219" t="n" cm="1">
        <f t="array" ref="A179">IFERROR(INDEX('03.Muestra'!$B$8:$B$42,SMALL(IF("Página Web"='03.Muestra'!$D$8:$D$42,ROW('03.Muestra'!$B$8:$B$42)-MIN(ROW('03.Muestra'!$D$8:$D$42))+1,""),ROW()-170)),"")</f>
        <v>1.0</v>
      </c>
      <c r="B179" s="114" t="str" cm="1">
        <f t="array" ref="B179">IFERROR(INDEX('03.Muestra'!$C$8:$C$42,SMALL(IF("Página Web"='03.Muestra'!$D$8:$D$42,ROW('03.Muestra'!$C$8:$C$42)-MIN(ROW('03.Muestra'!$D$8:$D$42))+1,""),ROW()-170)),"")</f>
        <v>Home - PortCastelló</v>
      </c>
      <c r="C179" s="114" t="str" cm="1">
        <f t="array" ref="C179">IFERROR(INDEX('03.Muestra'!$F$8:$F$42,SMALL(IF("Página Web"='03.Muestra'!$D$8:$D$42,ROW('03.Muestra'!$F$8:$F$42)-MIN(ROW('03.Muestra'!$D$8:$D$42))+1,""),ROW()-170)),"")</f>
        <v>https://www.portcastello.com/</v>
      </c>
      <c r="D179" s="130" t="str">
        <f t="shared" si="9"/>
        <v>N/T</v>
      </c>
      <c r="E179" s="107" t="str">
        <f t="shared" si="8"/>
        <v/>
      </c>
      <c r="F179" s="19"/>
      <c r="G179" s="19"/>
      <c r="H179" s="19"/>
      <c r="I179" s="19"/>
      <c r="J179" s="19"/>
      <c r="K179" s="233"/>
      <c r="L179" s="19"/>
      <c r="M179" s="19"/>
      <c r="N179" s="19"/>
      <c r="O179" s="19"/>
      <c r="P179" s="19"/>
      <c r="Q179" s="19"/>
      <c r="R179" s="19"/>
      <c r="S179" s="19"/>
      <c r="T179" s="19"/>
      <c r="U179" s="19"/>
      <c r="V179" s="19"/>
      <c r="W179" s="19"/>
      <c r="X179" s="19"/>
      <c r="Y179" s="19"/>
    </row>
    <row r="180" spans="1:25" ht="12" customHeight="1">
      <c r="A180" s="219" t="n" cm="1">
        <f t="array" ref="A180">IFERROR(INDEX('03.Muestra'!$B$8:$B$42,SMALL(IF("Página Web"='03.Muestra'!$D$8:$D$42,ROW('03.Muestra'!$B$8:$B$42)-MIN(ROW('03.Muestra'!$D$8:$D$42))+1,""),ROW()-170)),"")</f>
        <v>1.0</v>
      </c>
      <c r="B180" s="114" t="str" cm="1">
        <f t="array" ref="B180">IFERROR(INDEX('03.Muestra'!$C$8:$C$42,SMALL(IF("Página Web"='03.Muestra'!$D$8:$D$42,ROW('03.Muestra'!$C$8:$C$42)-MIN(ROW('03.Muestra'!$D$8:$D$42))+1,""),ROW()-170)),"")</f>
        <v>Home - PortCastelló</v>
      </c>
      <c r="C180" s="114" t="str" cm="1">
        <f t="array" ref="C180">IFERROR(INDEX('03.Muestra'!$F$8:$F$42,SMALL(IF("Página Web"='03.Muestra'!$D$8:$D$42,ROW('03.Muestra'!$F$8:$F$42)-MIN(ROW('03.Muestra'!$D$8:$D$42))+1,""),ROW()-170)),"")</f>
        <v>https://www.portcastello.com/</v>
      </c>
      <c r="D180" s="130" t="str">
        <f t="shared" si="9"/>
        <v>N/T</v>
      </c>
      <c r="E180" s="107" t="str">
        <f t="shared" si="8"/>
        <v/>
      </c>
      <c r="F180" s="19"/>
      <c r="G180" s="19"/>
      <c r="H180" s="19"/>
      <c r="I180" s="19"/>
      <c r="J180" s="19"/>
      <c r="K180" s="233"/>
      <c r="L180" s="19"/>
      <c r="M180" s="19"/>
      <c r="N180" s="19"/>
      <c r="O180" s="19"/>
      <c r="P180" s="19"/>
      <c r="Q180" s="19"/>
      <c r="R180" s="19"/>
      <c r="S180" s="19"/>
      <c r="T180" s="19"/>
      <c r="U180" s="19"/>
      <c r="V180" s="19"/>
      <c r="W180" s="19"/>
      <c r="X180" s="19"/>
      <c r="Y180" s="19"/>
    </row>
    <row r="181" spans="1:25" ht="12" customHeight="1">
      <c r="A181" s="219" t="n" cm="1">
        <f t="array" ref="A181">IFERROR(INDEX('03.Muestra'!$B$8:$B$42,SMALL(IF("Página Web"='03.Muestra'!$D$8:$D$42,ROW('03.Muestra'!$B$8:$B$42)-MIN(ROW('03.Muestra'!$D$8:$D$42))+1,""),ROW()-170)),"")</f>
        <v>1.0</v>
      </c>
      <c r="B181" s="114" t="str" cm="1">
        <f t="array" ref="B181">IFERROR(INDEX('03.Muestra'!$C$8:$C$42,SMALL(IF("Página Web"='03.Muestra'!$D$8:$D$42,ROW('03.Muestra'!$C$8:$C$42)-MIN(ROW('03.Muestra'!$D$8:$D$42))+1,""),ROW()-170)),"")</f>
        <v>Home - PortCastelló</v>
      </c>
      <c r="C181" s="114" t="str" cm="1">
        <f t="array" ref="C181">IFERROR(INDEX('03.Muestra'!$F$8:$F$42,SMALL(IF("Página Web"='03.Muestra'!$D$8:$D$42,ROW('03.Muestra'!$F$8:$F$42)-MIN(ROW('03.Muestra'!$D$8:$D$42))+1,""),ROW()-170)),"")</f>
        <v>https://www.portcastello.com/</v>
      </c>
      <c r="D181" s="130" t="str">
        <f t="shared" si="9"/>
        <v>N/T</v>
      </c>
      <c r="E181" s="107" t="str">
        <f t="shared" si="8"/>
        <v/>
      </c>
      <c r="F181" s="19"/>
      <c r="G181" s="19"/>
      <c r="H181" s="19"/>
      <c r="I181" s="19"/>
      <c r="J181" s="19"/>
      <c r="K181" s="233"/>
      <c r="L181" s="19"/>
      <c r="M181" s="19"/>
      <c r="N181" s="19"/>
      <c r="O181" s="19"/>
      <c r="P181" s="19"/>
      <c r="Q181" s="19"/>
      <c r="R181" s="19"/>
      <c r="S181" s="19"/>
      <c r="T181" s="19"/>
      <c r="U181" s="19"/>
      <c r="V181" s="19"/>
      <c r="W181" s="19"/>
      <c r="X181" s="19"/>
      <c r="Y181" s="19"/>
    </row>
    <row r="182" spans="1:25" ht="12" customHeight="1">
      <c r="A182" s="219" t="n" cm="1">
        <f t="array" ref="A182">IFERROR(INDEX('03.Muestra'!$B$8:$B$42,SMALL(IF("Página Web"='03.Muestra'!$D$8:$D$42,ROW('03.Muestra'!$B$8:$B$42)-MIN(ROW('03.Muestra'!$D$8:$D$42))+1,""),ROW()-170)),"")</f>
        <v>1.0</v>
      </c>
      <c r="B182" s="114" t="str" cm="1">
        <f t="array" ref="B182">IFERROR(INDEX('03.Muestra'!$C$8:$C$42,SMALL(IF("Página Web"='03.Muestra'!$D$8:$D$42,ROW('03.Muestra'!$C$8:$C$42)-MIN(ROW('03.Muestra'!$D$8:$D$42))+1,""),ROW()-170)),"")</f>
        <v>Home - PortCastelló</v>
      </c>
      <c r="C182" s="114" t="str" cm="1">
        <f t="array" ref="C182">IFERROR(INDEX('03.Muestra'!$F$8:$F$42,SMALL(IF("Página Web"='03.Muestra'!$D$8:$D$42,ROW('03.Muestra'!$F$8:$F$42)-MIN(ROW('03.Muestra'!$D$8:$D$42))+1,""),ROW()-170)),"")</f>
        <v>https://www.portcastello.com/</v>
      </c>
      <c r="D182" s="130" t="str">
        <f t="shared" si="9"/>
        <v>N/T</v>
      </c>
      <c r="E182" s="107" t="str">
        <f t="shared" si="8"/>
        <v/>
      </c>
      <c r="F182" s="19"/>
      <c r="G182" s="19"/>
      <c r="H182" s="19"/>
      <c r="I182" s="19"/>
      <c r="J182" s="19"/>
      <c r="K182" s="233"/>
      <c r="L182" s="19"/>
      <c r="M182" s="19"/>
      <c r="N182" s="19"/>
      <c r="O182" s="19"/>
      <c r="P182" s="19"/>
      <c r="Q182" s="19"/>
      <c r="R182" s="19"/>
      <c r="S182" s="19"/>
      <c r="T182" s="19"/>
      <c r="U182" s="19"/>
      <c r="V182" s="19"/>
      <c r="W182" s="19"/>
      <c r="X182" s="19"/>
      <c r="Y182" s="19"/>
    </row>
    <row r="183" spans="1:25" ht="12" customHeight="1">
      <c r="A183" s="219" t="n" cm="1">
        <f t="array" ref="A183">IFERROR(INDEX('03.Muestra'!$B$8:$B$42,SMALL(IF("Página Web"='03.Muestra'!$D$8:$D$42,ROW('03.Muestra'!$B$8:$B$42)-MIN(ROW('03.Muestra'!$D$8:$D$42))+1,""),ROW()-170)),"")</f>
        <v>1.0</v>
      </c>
      <c r="B183" s="114" t="str" cm="1">
        <f t="array" ref="B183">IFERROR(INDEX('03.Muestra'!$C$8:$C$42,SMALL(IF("Página Web"='03.Muestra'!$D$8:$D$42,ROW('03.Muestra'!$C$8:$C$42)-MIN(ROW('03.Muestra'!$D$8:$D$42))+1,""),ROW()-170)),"")</f>
        <v>Home - PortCastelló</v>
      </c>
      <c r="C183" s="114" t="str" cm="1">
        <f t="array" ref="C183">IFERROR(INDEX('03.Muestra'!$F$8:$F$42,SMALL(IF("Página Web"='03.Muestra'!$D$8:$D$42,ROW('03.Muestra'!$F$8:$F$42)-MIN(ROW('03.Muestra'!$D$8:$D$42))+1,""),ROW()-170)),"")</f>
        <v>https://www.portcastello.com/</v>
      </c>
      <c r="D183" s="130" t="str">
        <f t="shared" si="9"/>
        <v>N/T</v>
      </c>
      <c r="E183" s="107" t="str">
        <f t="shared" si="8"/>
        <v/>
      </c>
      <c r="F183" s="19"/>
      <c r="G183" s="19"/>
      <c r="H183" s="19"/>
      <c r="I183" s="19"/>
      <c r="J183" s="19"/>
      <c r="K183" s="233"/>
      <c r="L183" s="19"/>
      <c r="M183" s="19"/>
      <c r="N183" s="19"/>
      <c r="O183" s="19"/>
      <c r="P183" s="19"/>
      <c r="Q183" s="19"/>
      <c r="R183" s="19"/>
      <c r="S183" s="19"/>
      <c r="T183" s="19"/>
      <c r="U183" s="19"/>
      <c r="V183" s="19"/>
      <c r="W183" s="19"/>
      <c r="X183" s="19"/>
      <c r="Y183" s="19"/>
    </row>
    <row r="184" spans="1:25" ht="12" customHeight="1">
      <c r="A184" s="219" t="n" cm="1">
        <f t="array" ref="A184">IFERROR(INDEX('03.Muestra'!$B$8:$B$42,SMALL(IF("Página Web"='03.Muestra'!$D$8:$D$42,ROW('03.Muestra'!$B$8:$B$42)-MIN(ROW('03.Muestra'!$D$8:$D$42))+1,""),ROW()-170)),"")</f>
        <v>1.0</v>
      </c>
      <c r="B184" s="114" t="str" cm="1">
        <f t="array" ref="B184">IFERROR(INDEX('03.Muestra'!$C$8:$C$42,SMALL(IF("Página Web"='03.Muestra'!$D$8:$D$42,ROW('03.Muestra'!$C$8:$C$42)-MIN(ROW('03.Muestra'!$D$8:$D$42))+1,""),ROW()-170)),"")</f>
        <v>Home - PortCastelló</v>
      </c>
      <c r="C184" s="114" t="str" cm="1">
        <f t="array" ref="C184">IFERROR(INDEX('03.Muestra'!$F$8:$F$42,SMALL(IF("Página Web"='03.Muestra'!$D$8:$D$42,ROW('03.Muestra'!$F$8:$F$42)-MIN(ROW('03.Muestra'!$D$8:$D$42))+1,""),ROW()-170)),"")</f>
        <v>https://www.portcastello.com/</v>
      </c>
      <c r="D184" s="130" t="str">
        <f t="shared" si="9"/>
        <v>N/T</v>
      </c>
      <c r="E184" s="107" t="str">
        <f t="shared" si="8"/>
        <v/>
      </c>
      <c r="F184" s="19"/>
      <c r="G184" s="19"/>
      <c r="H184" s="19"/>
      <c r="I184" s="19"/>
      <c r="J184" s="19"/>
      <c r="K184" s="233"/>
      <c r="L184" s="19"/>
      <c r="M184" s="19"/>
      <c r="N184" s="19"/>
      <c r="O184" s="19"/>
      <c r="P184" s="19"/>
      <c r="Q184" s="19"/>
      <c r="R184" s="19"/>
      <c r="S184" s="19"/>
      <c r="T184" s="19"/>
      <c r="U184" s="19"/>
      <c r="V184" s="19"/>
      <c r="W184" s="19"/>
      <c r="X184" s="19"/>
      <c r="Y184" s="19"/>
    </row>
    <row r="185" spans="1:25" ht="12" customHeight="1">
      <c r="A185" s="219" t="n" cm="1">
        <f t="array" ref="A185">IFERROR(INDEX('03.Muestra'!$B$8:$B$42,SMALL(IF("Página Web"='03.Muestra'!$D$8:$D$42,ROW('03.Muestra'!$B$8:$B$42)-MIN(ROW('03.Muestra'!$D$8:$D$42))+1,""),ROW()-170)),"")</f>
        <v>1.0</v>
      </c>
      <c r="B185" s="114" t="str" cm="1">
        <f t="array" ref="B185">IFERROR(INDEX('03.Muestra'!$C$8:$C$42,SMALL(IF("Página Web"='03.Muestra'!$D$8:$D$42,ROW('03.Muestra'!$C$8:$C$42)-MIN(ROW('03.Muestra'!$D$8:$D$42))+1,""),ROW()-170)),"")</f>
        <v>Home - PortCastelló</v>
      </c>
      <c r="C185" s="114" t="str" cm="1">
        <f t="array" ref="C185">IFERROR(INDEX('03.Muestra'!$F$8:$F$42,SMALL(IF("Página Web"='03.Muestra'!$D$8:$D$42,ROW('03.Muestra'!$F$8:$F$42)-MIN(ROW('03.Muestra'!$D$8:$D$42))+1,""),ROW()-170)),"")</f>
        <v>https://www.portcastello.com/</v>
      </c>
      <c r="D185" s="130" t="str">
        <f t="shared" si="9"/>
        <v>N/T</v>
      </c>
      <c r="E185" s="107" t="str">
        <f t="shared" si="8"/>
        <v/>
      </c>
      <c r="F185" s="19"/>
      <c r="G185" s="19"/>
      <c r="H185" s="19"/>
      <c r="I185" s="19"/>
      <c r="J185" s="19"/>
      <c r="K185" s="233"/>
      <c r="L185" s="19"/>
      <c r="M185" s="19"/>
      <c r="N185" s="19"/>
      <c r="O185" s="19"/>
      <c r="P185" s="19"/>
      <c r="Q185" s="19"/>
      <c r="R185" s="19"/>
      <c r="S185" s="19"/>
      <c r="T185" s="19"/>
      <c r="U185" s="19"/>
      <c r="V185" s="19"/>
      <c r="W185" s="19"/>
      <c r="X185" s="19"/>
      <c r="Y185" s="19"/>
    </row>
    <row r="186" spans="1:25" ht="12" customHeight="1">
      <c r="A186" s="219" t="n" cm="1">
        <f t="array" ref="A186">IFERROR(INDEX('03.Muestra'!$B$8:$B$42,SMALL(IF("Página Web"='03.Muestra'!$D$8:$D$42,ROW('03.Muestra'!$B$8:$B$42)-MIN(ROW('03.Muestra'!$D$8:$D$42))+1,""),ROW()-170)),"")</f>
        <v>1.0</v>
      </c>
      <c r="B186" s="114" t="str" cm="1">
        <f t="array" ref="B186">IFERROR(INDEX('03.Muestra'!$C$8:$C$42,SMALL(IF("Página Web"='03.Muestra'!$D$8:$D$42,ROW('03.Muestra'!$C$8:$C$42)-MIN(ROW('03.Muestra'!$D$8:$D$42))+1,""),ROW()-170)),"")</f>
        <v>Home - PortCastelló</v>
      </c>
      <c r="C186" s="114" t="str" cm="1">
        <f t="array" ref="C186">IFERROR(INDEX('03.Muestra'!$F$8:$F$42,SMALL(IF("Página Web"='03.Muestra'!$D$8:$D$42,ROW('03.Muestra'!$F$8:$F$42)-MIN(ROW('03.Muestra'!$D$8:$D$42))+1,""),ROW()-170)),"")</f>
        <v>https://www.portcastello.com/</v>
      </c>
      <c r="D186" s="130" t="str">
        <f t="shared" si="9"/>
        <v>N/T</v>
      </c>
      <c r="E186" s="107" t="str">
        <f t="shared" si="8"/>
        <v/>
      </c>
      <c r="F186" s="19"/>
      <c r="G186" s="19"/>
      <c r="H186" s="19"/>
      <c r="I186" s="19"/>
      <c r="J186" s="19"/>
      <c r="K186" s="233"/>
      <c r="L186" s="19"/>
      <c r="M186" s="19"/>
      <c r="N186" s="19"/>
      <c r="O186" s="19"/>
      <c r="P186" s="19"/>
      <c r="Q186" s="19"/>
      <c r="R186" s="19"/>
      <c r="S186" s="19"/>
      <c r="T186" s="19"/>
      <c r="U186" s="19"/>
      <c r="V186" s="19"/>
      <c r="W186" s="19"/>
      <c r="X186" s="19"/>
      <c r="Y186" s="19"/>
    </row>
    <row r="187" spans="1:25" ht="12" customHeight="1">
      <c r="A187" s="219" t="n" cm="1">
        <f t="array" ref="A187">IFERROR(INDEX('03.Muestra'!$B$8:$B$42,SMALL(IF("Página Web"='03.Muestra'!$D$8:$D$42,ROW('03.Muestra'!$B$8:$B$42)-MIN(ROW('03.Muestra'!$D$8:$D$42))+1,""),ROW()-170)),"")</f>
        <v>1.0</v>
      </c>
      <c r="B187" s="114" t="str" cm="1">
        <f t="array" ref="B187">IFERROR(INDEX('03.Muestra'!$C$8:$C$42,SMALL(IF("Página Web"='03.Muestra'!$D$8:$D$42,ROW('03.Muestra'!$C$8:$C$42)-MIN(ROW('03.Muestra'!$D$8:$D$42))+1,""),ROW()-170)),"")</f>
        <v>Home - PortCastelló</v>
      </c>
      <c r="C187" s="114" t="str" cm="1">
        <f t="array" ref="C187">IFERROR(INDEX('03.Muestra'!$F$8:$F$42,SMALL(IF("Página Web"='03.Muestra'!$D$8:$D$42,ROW('03.Muestra'!$F$8:$F$42)-MIN(ROW('03.Muestra'!$D$8:$D$42))+1,""),ROW()-170)),"")</f>
        <v>https://www.portcastello.com/</v>
      </c>
      <c r="D187" s="130" t="str">
        <f t="shared" si="9"/>
        <v>N/T</v>
      </c>
      <c r="E187" s="107" t="str">
        <f t="shared" si="8"/>
        <v/>
      </c>
      <c r="F187" s="19"/>
      <c r="G187" s="19"/>
      <c r="H187" s="19"/>
      <c r="I187" s="19"/>
      <c r="J187" s="19"/>
      <c r="K187" s="233"/>
      <c r="L187" s="19"/>
      <c r="M187" s="19"/>
      <c r="N187" s="19"/>
      <c r="O187" s="19"/>
      <c r="P187" s="19"/>
      <c r="Q187" s="19"/>
      <c r="R187" s="19"/>
      <c r="S187" s="19"/>
      <c r="T187" s="19"/>
      <c r="U187" s="19"/>
      <c r="V187" s="19"/>
      <c r="W187" s="19"/>
      <c r="X187" s="19"/>
      <c r="Y187" s="19"/>
    </row>
    <row r="188" spans="1:25" ht="12" customHeight="1">
      <c r="A188" s="219" t="n" cm="1">
        <f t="array" ref="A188">IFERROR(INDEX('03.Muestra'!$B$8:$B$42,SMALL(IF("Página Web"='03.Muestra'!$D$8:$D$42,ROW('03.Muestra'!$B$8:$B$42)-MIN(ROW('03.Muestra'!$D$8:$D$42))+1,""),ROW()-170)),"")</f>
        <v>1.0</v>
      </c>
      <c r="B188" s="114" t="str" cm="1">
        <f t="array" ref="B188">IFERROR(INDEX('03.Muestra'!$C$8:$C$42,SMALL(IF("Página Web"='03.Muestra'!$D$8:$D$42,ROW('03.Muestra'!$C$8:$C$42)-MIN(ROW('03.Muestra'!$D$8:$D$42))+1,""),ROW()-170)),"")</f>
        <v>Home - PortCastelló</v>
      </c>
      <c r="C188" s="114" t="str" cm="1">
        <f t="array" ref="C188">IFERROR(INDEX('03.Muestra'!$F$8:$F$42,SMALL(IF("Página Web"='03.Muestra'!$D$8:$D$42,ROW('03.Muestra'!$F$8:$F$42)-MIN(ROW('03.Muestra'!$D$8:$D$42))+1,""),ROW()-170)),"")</f>
        <v>https://www.portcastello.com/</v>
      </c>
      <c r="D188" s="130" t="str">
        <f t="shared" si="9"/>
        <v>N/T</v>
      </c>
      <c r="E188" s="107" t="str">
        <f t="shared" si="8"/>
        <v/>
      </c>
      <c r="F188" s="19"/>
      <c r="G188" s="19"/>
      <c r="H188" s="19"/>
      <c r="I188" s="19"/>
      <c r="J188" s="19"/>
      <c r="K188" s="233"/>
      <c r="L188" s="19"/>
      <c r="M188" s="19"/>
      <c r="N188" s="19"/>
      <c r="O188" s="19"/>
      <c r="P188" s="19"/>
      <c r="Q188" s="19"/>
      <c r="R188" s="19"/>
      <c r="S188" s="19"/>
      <c r="T188" s="19"/>
      <c r="U188" s="19"/>
      <c r="V188" s="19"/>
      <c r="W188" s="19"/>
      <c r="X188" s="19"/>
      <c r="Y188" s="19"/>
    </row>
    <row r="189" spans="1:25" ht="12" customHeight="1">
      <c r="A189" s="219" t="n" cm="1">
        <f t="array" ref="A189">IFERROR(INDEX('03.Muestra'!$B$8:$B$42,SMALL(IF("Página Web"='03.Muestra'!$D$8:$D$42,ROW('03.Muestra'!$B$8:$B$42)-MIN(ROW('03.Muestra'!$D$8:$D$42))+1,""),ROW()-170)),"")</f>
        <v>1.0</v>
      </c>
      <c r="B189" s="114" t="str" cm="1">
        <f t="array" ref="B189">IFERROR(INDEX('03.Muestra'!$C$8:$C$42,SMALL(IF("Página Web"='03.Muestra'!$D$8:$D$42,ROW('03.Muestra'!$C$8:$C$42)-MIN(ROW('03.Muestra'!$D$8:$D$42))+1,""),ROW()-170)),"")</f>
        <v>Home - PortCastelló</v>
      </c>
      <c r="C189" s="114" t="str" cm="1">
        <f t="array" ref="C189">IFERROR(INDEX('03.Muestra'!$F$8:$F$42,SMALL(IF("Página Web"='03.Muestra'!$D$8:$D$42,ROW('03.Muestra'!$F$8:$F$42)-MIN(ROW('03.Muestra'!$D$8:$D$42))+1,""),ROW()-170)),"")</f>
        <v>https://www.portcastello.com/</v>
      </c>
      <c r="D189" s="130" t="str">
        <f t="shared" si="9"/>
        <v>N/T</v>
      </c>
      <c r="E189" s="107" t="str">
        <f t="shared" si="8"/>
        <v/>
      </c>
      <c r="F189" s="19"/>
      <c r="G189" s="19"/>
      <c r="H189" s="19"/>
      <c r="I189" s="19"/>
      <c r="J189" s="19"/>
      <c r="K189" s="233"/>
      <c r="L189" s="19"/>
      <c r="M189" s="19"/>
      <c r="N189" s="19"/>
      <c r="O189" s="19"/>
      <c r="P189" s="19"/>
      <c r="Q189" s="19"/>
      <c r="R189" s="19"/>
      <c r="S189" s="19"/>
      <c r="T189" s="19"/>
      <c r="U189" s="19"/>
      <c r="V189" s="19"/>
      <c r="W189" s="19"/>
      <c r="X189" s="19"/>
      <c r="Y189" s="19"/>
    </row>
    <row r="190" spans="1:25" ht="12" customHeight="1">
      <c r="A190" s="219" t="n" cm="1">
        <f t="array" ref="A190">IFERROR(INDEX('03.Muestra'!$B$8:$B$42,SMALL(IF("Página Web"='03.Muestra'!$D$8:$D$42,ROW('03.Muestra'!$B$8:$B$42)-MIN(ROW('03.Muestra'!$D$8:$D$42))+1,""),ROW()-170)),"")</f>
        <v>1.0</v>
      </c>
      <c r="B190" s="114" t="str" cm="1">
        <f t="array" ref="B190">IFERROR(INDEX('03.Muestra'!$C$8:$C$42,SMALL(IF("Página Web"='03.Muestra'!$D$8:$D$42,ROW('03.Muestra'!$C$8:$C$42)-MIN(ROW('03.Muestra'!$D$8:$D$42))+1,""),ROW()-170)),"")</f>
        <v>Home - PortCastelló</v>
      </c>
      <c r="C190" s="114" t="str" cm="1">
        <f t="array" ref="C190">IFERROR(INDEX('03.Muestra'!$F$8:$F$42,SMALL(IF("Página Web"='03.Muestra'!$D$8:$D$42,ROW('03.Muestra'!$F$8:$F$42)-MIN(ROW('03.Muestra'!$D$8:$D$42))+1,""),ROW()-170)),"")</f>
        <v>https://www.portcastello.com/</v>
      </c>
      <c r="D190" s="130" t="str">
        <f t="shared" si="9"/>
        <v>N/T</v>
      </c>
      <c r="E190" s="107" t="str">
        <f t="shared" si="8"/>
        <v/>
      </c>
      <c r="F190" s="19"/>
      <c r="G190" s="19"/>
      <c r="H190" s="19"/>
      <c r="I190" s="19"/>
      <c r="J190" s="19"/>
      <c r="K190" s="233"/>
      <c r="L190" s="19"/>
      <c r="M190" s="19"/>
      <c r="N190" s="19"/>
      <c r="O190" s="19"/>
      <c r="P190" s="19"/>
      <c r="Q190" s="19"/>
      <c r="R190" s="19"/>
      <c r="S190" s="19"/>
      <c r="T190" s="19"/>
      <c r="U190" s="19"/>
      <c r="V190" s="19"/>
      <c r="W190" s="19"/>
      <c r="X190" s="19"/>
      <c r="Y190" s="19"/>
    </row>
    <row r="191" spans="1:25" ht="12" customHeight="1">
      <c r="A191" s="219" t="n" cm="1">
        <f t="array" ref="A191">IFERROR(INDEX('03.Muestra'!$B$8:$B$42,SMALL(IF("Página Web"='03.Muestra'!$D$8:$D$42,ROW('03.Muestra'!$B$8:$B$42)-MIN(ROW('03.Muestra'!$D$8:$D$42))+1,""),ROW()-170)),"")</f>
        <v>1.0</v>
      </c>
      <c r="B191" s="114" t="str" cm="1">
        <f t="array" ref="B191">IFERROR(INDEX('03.Muestra'!$C$8:$C$42,SMALL(IF("Página Web"='03.Muestra'!$D$8:$D$42,ROW('03.Muestra'!$C$8:$C$42)-MIN(ROW('03.Muestra'!$D$8:$D$42))+1,""),ROW()-170)),"")</f>
        <v>Home - PortCastelló</v>
      </c>
      <c r="C191" s="114" t="str" cm="1">
        <f t="array" ref="C191">IFERROR(INDEX('03.Muestra'!$F$8:$F$42,SMALL(IF("Página Web"='03.Muestra'!$D$8:$D$42,ROW('03.Muestra'!$F$8:$F$42)-MIN(ROW('03.Muestra'!$D$8:$D$42))+1,""),ROW()-170)),"")</f>
        <v>https://www.portcastello.com/</v>
      </c>
      <c r="D191" s="130" t="str">
        <f t="shared" si="9"/>
        <v>N/T</v>
      </c>
      <c r="E191" s="107" t="str">
        <f t="shared" si="8"/>
        <v/>
      </c>
      <c r="F191" s="19"/>
      <c r="G191" s="19"/>
      <c r="H191" s="19"/>
      <c r="I191" s="19"/>
      <c r="J191" s="19"/>
      <c r="K191" s="233"/>
      <c r="L191" s="19"/>
      <c r="M191" s="19"/>
      <c r="N191" s="19"/>
      <c r="O191" s="19"/>
      <c r="P191" s="19"/>
      <c r="Q191" s="19"/>
      <c r="R191" s="19"/>
      <c r="S191" s="19"/>
      <c r="T191" s="19"/>
      <c r="U191" s="19"/>
      <c r="V191" s="19"/>
      <c r="W191" s="19"/>
      <c r="X191" s="19"/>
      <c r="Y191" s="19"/>
    </row>
    <row r="192" spans="1:25" ht="12" customHeight="1">
      <c r="A192" s="219" t="n" cm="1">
        <f t="array" ref="A192">IFERROR(INDEX('03.Muestra'!$B$8:$B$42,SMALL(IF("Página Web"='03.Muestra'!$D$8:$D$42,ROW('03.Muestra'!$B$8:$B$42)-MIN(ROW('03.Muestra'!$D$8:$D$42))+1,""),ROW()-170)),"")</f>
        <v>1.0</v>
      </c>
      <c r="B192" s="114" t="str" cm="1">
        <f t="array" ref="B192">IFERROR(INDEX('03.Muestra'!$C$8:$C$42,SMALL(IF("Página Web"='03.Muestra'!$D$8:$D$42,ROW('03.Muestra'!$C$8:$C$42)-MIN(ROW('03.Muestra'!$D$8:$D$42))+1,""),ROW()-170)),"")</f>
        <v>Home - PortCastelló</v>
      </c>
      <c r="C192" s="114" t="str" cm="1">
        <f t="array" ref="C192">IFERROR(INDEX('03.Muestra'!$F$8:$F$42,SMALL(IF("Página Web"='03.Muestra'!$D$8:$D$42,ROW('03.Muestra'!$F$8:$F$42)-MIN(ROW('03.Muestra'!$D$8:$D$42))+1,""),ROW()-170)),"")</f>
        <v>https://www.portcastello.com/</v>
      </c>
      <c r="D192" s="130" t="str">
        <f t="shared" si="9"/>
        <v>N/T</v>
      </c>
      <c r="E192" s="107" t="str">
        <f t="shared" si="8"/>
        <v/>
      </c>
      <c r="F192" s="19"/>
      <c r="G192" s="19"/>
      <c r="H192" s="19"/>
      <c r="I192" s="19"/>
      <c r="J192" s="19"/>
      <c r="K192" s="233"/>
      <c r="L192" s="19"/>
      <c r="M192" s="19"/>
      <c r="N192" s="19"/>
      <c r="O192" s="19"/>
      <c r="P192" s="19"/>
      <c r="Q192" s="19"/>
      <c r="R192" s="19"/>
      <c r="S192" s="19"/>
      <c r="T192" s="19"/>
      <c r="U192" s="19"/>
      <c r="V192" s="19"/>
      <c r="W192" s="19"/>
      <c r="X192" s="19"/>
      <c r="Y192" s="19"/>
    </row>
    <row r="193" spans="1:25" ht="12" customHeight="1">
      <c r="A193" s="219" t="n" cm="1">
        <f t="array" ref="A193">IFERROR(INDEX('03.Muestra'!$B$8:$B$42,SMALL(IF("Página Web"='03.Muestra'!$D$8:$D$42,ROW('03.Muestra'!$B$8:$B$42)-MIN(ROW('03.Muestra'!$D$8:$D$42))+1,""),ROW()-170)),"")</f>
        <v>1.0</v>
      </c>
      <c r="B193" s="114" t="str" cm="1">
        <f t="array" ref="B193">IFERROR(INDEX('03.Muestra'!$C$8:$C$42,SMALL(IF("Página Web"='03.Muestra'!$D$8:$D$42,ROW('03.Muestra'!$C$8:$C$42)-MIN(ROW('03.Muestra'!$D$8:$D$42))+1,""),ROW()-170)),"")</f>
        <v>Home - PortCastelló</v>
      </c>
      <c r="C193" s="114" t="str" cm="1">
        <f t="array" ref="C193">IFERROR(INDEX('03.Muestra'!$F$8:$F$42,SMALL(IF("Página Web"='03.Muestra'!$D$8:$D$42,ROW('03.Muestra'!$F$8:$F$42)-MIN(ROW('03.Muestra'!$D$8:$D$42))+1,""),ROW()-170)),"")</f>
        <v>https://www.portcastello.com/</v>
      </c>
      <c r="D193" s="130" t="str">
        <f t="shared" si="9"/>
        <v>N/T</v>
      </c>
      <c r="E193" s="107" t="str">
        <f t="shared" si="8"/>
        <v/>
      </c>
      <c r="F193" s="19"/>
      <c r="G193" s="19"/>
      <c r="H193" s="19"/>
      <c r="I193" s="19"/>
      <c r="J193" s="19"/>
      <c r="K193" s="233"/>
      <c r="L193" s="19"/>
      <c r="M193" s="19"/>
      <c r="N193" s="19"/>
      <c r="O193" s="19"/>
      <c r="P193" s="19"/>
      <c r="Q193" s="19"/>
      <c r="R193" s="19"/>
      <c r="S193" s="19"/>
      <c r="T193" s="19"/>
      <c r="U193" s="19"/>
      <c r="V193" s="19"/>
      <c r="W193" s="19"/>
      <c r="X193" s="19"/>
      <c r="Y193" s="19"/>
    </row>
    <row r="194" spans="1:25" ht="12" customHeight="1">
      <c r="A194" s="219" t="n" cm="1">
        <f t="array" ref="A194">IFERROR(INDEX('03.Muestra'!$B$8:$B$42,SMALL(IF("Página Web"='03.Muestra'!$D$8:$D$42,ROW('03.Muestra'!$B$8:$B$42)-MIN(ROW('03.Muestra'!$D$8:$D$42))+1,""),ROW()-170)),"")</f>
        <v>1.0</v>
      </c>
      <c r="B194" s="114" t="str" cm="1">
        <f t="array" ref="B194">IFERROR(INDEX('03.Muestra'!$C$8:$C$42,SMALL(IF("Página Web"='03.Muestra'!$D$8:$D$42,ROW('03.Muestra'!$C$8:$C$42)-MIN(ROW('03.Muestra'!$D$8:$D$42))+1,""),ROW()-170)),"")</f>
        <v>Home - PortCastelló</v>
      </c>
      <c r="C194" s="114" t="str" cm="1">
        <f t="array" ref="C194">IFERROR(INDEX('03.Muestra'!$F$8:$F$42,SMALL(IF("Página Web"='03.Muestra'!$D$8:$D$42,ROW('03.Muestra'!$F$8:$F$42)-MIN(ROW('03.Muestra'!$D$8:$D$42))+1,""),ROW()-170)),"")</f>
        <v>https://www.portcastello.com/</v>
      </c>
      <c r="D194" s="130" t="str">
        <f t="shared" si="9"/>
        <v>N/T</v>
      </c>
      <c r="E194" s="107" t="str">
        <f t="shared" si="8"/>
        <v/>
      </c>
      <c r="F194" s="19"/>
      <c r="G194" s="19"/>
      <c r="H194" s="19"/>
      <c r="I194" s="19"/>
      <c r="J194" s="19"/>
      <c r="K194" s="233"/>
      <c r="L194" s="19"/>
      <c r="M194" s="19"/>
      <c r="N194" s="19"/>
      <c r="O194" s="19"/>
      <c r="P194" s="19"/>
      <c r="Q194" s="19"/>
      <c r="R194" s="19"/>
      <c r="S194" s="19"/>
      <c r="T194" s="19"/>
      <c r="U194" s="19"/>
      <c r="V194" s="19"/>
      <c r="W194" s="19"/>
      <c r="X194" s="19"/>
      <c r="Y194" s="19"/>
    </row>
    <row r="195" spans="1:25" ht="12" customHeight="1">
      <c r="A195" s="219" t="n" cm="1">
        <f t="array" ref="A195">IFERROR(INDEX('03.Muestra'!$B$8:$B$42,SMALL(IF("Página Web"='03.Muestra'!$D$8:$D$42,ROW('03.Muestra'!$B$8:$B$42)-MIN(ROW('03.Muestra'!$D$8:$D$42))+1,""),ROW()-170)),"")</f>
        <v>1.0</v>
      </c>
      <c r="B195" s="114" t="str" cm="1">
        <f t="array" ref="B195">IFERROR(INDEX('03.Muestra'!$C$8:$C$42,SMALL(IF("Página Web"='03.Muestra'!$D$8:$D$42,ROW('03.Muestra'!$C$8:$C$42)-MIN(ROW('03.Muestra'!$D$8:$D$42))+1,""),ROW()-170)),"")</f>
        <v>Home - PortCastelló</v>
      </c>
      <c r="C195" s="114" t="str" cm="1">
        <f t="array" ref="C195">IFERROR(INDEX('03.Muestra'!$F$8:$F$42,SMALL(IF("Página Web"='03.Muestra'!$D$8:$D$42,ROW('03.Muestra'!$F$8:$F$42)-MIN(ROW('03.Muestra'!$D$8:$D$42))+1,""),ROW()-170)),"")</f>
        <v>https://www.portcastello.com/</v>
      </c>
      <c r="D195" s="130" t="str">
        <f t="shared" si="9"/>
        <v>N/T</v>
      </c>
      <c r="E195" s="107" t="str">
        <f t="shared" si="8"/>
        <v/>
      </c>
      <c r="F195" s="19"/>
      <c r="G195" s="19"/>
      <c r="H195" s="19"/>
      <c r="I195" s="19"/>
      <c r="J195" s="19"/>
      <c r="K195" s="233"/>
      <c r="L195" s="19"/>
      <c r="M195" s="19"/>
      <c r="N195" s="19"/>
      <c r="O195" s="19"/>
      <c r="P195" s="19"/>
      <c r="Q195" s="19"/>
      <c r="R195" s="19"/>
      <c r="S195" s="19"/>
      <c r="T195" s="19"/>
      <c r="U195" s="19"/>
      <c r="V195" s="19"/>
      <c r="W195" s="19"/>
      <c r="X195" s="19"/>
      <c r="Y195" s="19"/>
    </row>
    <row r="196" spans="1:25" ht="12" customHeight="1">
      <c r="A196" s="219" t="n" cm="1">
        <f t="array" ref="A196">IFERROR(INDEX('03.Muestra'!$B$8:$B$42,SMALL(IF("Página Web"='03.Muestra'!$D$8:$D$42,ROW('03.Muestra'!$B$8:$B$42)-MIN(ROW('03.Muestra'!$D$8:$D$42))+1,""),ROW()-170)),"")</f>
        <v>1.0</v>
      </c>
      <c r="B196" s="114" t="str" cm="1">
        <f t="array" ref="B196">IFERROR(INDEX('03.Muestra'!$C$8:$C$42,SMALL(IF("Página Web"='03.Muestra'!$D$8:$D$42,ROW('03.Muestra'!$C$8:$C$42)-MIN(ROW('03.Muestra'!$D$8:$D$42))+1,""),ROW()-170)),"")</f>
        <v>Home - PortCastelló</v>
      </c>
      <c r="C196" s="114" t="str" cm="1">
        <f t="array" ref="C196">IFERROR(INDEX('03.Muestra'!$F$8:$F$42,SMALL(IF("Página Web"='03.Muestra'!$D$8:$D$42,ROW('03.Muestra'!$F$8:$F$42)-MIN(ROW('03.Muestra'!$D$8:$D$42))+1,""),ROW()-170)),"")</f>
        <v>https://www.portcastello.com/</v>
      </c>
      <c r="D196" s="130" t="str">
        <f t="shared" si="9"/>
        <v>N/T</v>
      </c>
      <c r="E196" s="107" t="str">
        <f t="shared" si="8"/>
        <v/>
      </c>
      <c r="F196" s="19"/>
      <c r="G196" s="19"/>
      <c r="H196" s="19"/>
      <c r="I196" s="19"/>
      <c r="J196" s="19"/>
      <c r="K196" s="233"/>
      <c r="L196" s="19"/>
      <c r="M196" s="19"/>
      <c r="N196" s="19"/>
      <c r="O196" s="19"/>
      <c r="P196" s="19"/>
      <c r="Q196" s="19"/>
      <c r="R196" s="19"/>
      <c r="S196" s="19"/>
      <c r="T196" s="19"/>
      <c r="U196" s="19"/>
      <c r="V196" s="19"/>
      <c r="W196" s="19"/>
      <c r="X196" s="19"/>
      <c r="Y196" s="19"/>
    </row>
    <row r="197" spans="1:25" ht="12" customHeight="1">
      <c r="A197" s="219" t="n" cm="1">
        <f t="array" ref="A197">IFERROR(INDEX('03.Muestra'!$B$8:$B$42,SMALL(IF("Página Web"='03.Muestra'!$D$8:$D$42,ROW('03.Muestra'!$B$8:$B$42)-MIN(ROW('03.Muestra'!$D$8:$D$42))+1,""),ROW()-170)),"")</f>
        <v>1.0</v>
      </c>
      <c r="B197" s="114" t="str" cm="1">
        <f t="array" ref="B197">IFERROR(INDEX('03.Muestra'!$C$8:$C$42,SMALL(IF("Página Web"='03.Muestra'!$D$8:$D$42,ROW('03.Muestra'!$C$8:$C$42)-MIN(ROW('03.Muestra'!$D$8:$D$42))+1,""),ROW()-170)),"")</f>
        <v>Home - PortCastelló</v>
      </c>
      <c r="C197" s="114" t="str" cm="1">
        <f t="array" ref="C197">IFERROR(INDEX('03.Muestra'!$F$8:$F$42,SMALL(IF("Página Web"='03.Muestra'!$D$8:$D$42,ROW('03.Muestra'!$F$8:$F$42)-MIN(ROW('03.Muestra'!$D$8:$D$42))+1,""),ROW()-170)),"")</f>
        <v>https://www.portcastello.com/</v>
      </c>
      <c r="D197" s="130" t="str">
        <f t="shared" si="9"/>
        <v>N/T</v>
      </c>
      <c r="E197" s="107" t="str">
        <f t="shared" si="8"/>
        <v/>
      </c>
      <c r="F197" s="19"/>
      <c r="G197" s="19"/>
      <c r="H197" s="19"/>
      <c r="I197" s="19"/>
      <c r="J197" s="19"/>
      <c r="K197" s="233"/>
      <c r="L197" s="19"/>
      <c r="M197" s="19"/>
      <c r="N197" s="19"/>
      <c r="O197" s="19"/>
      <c r="P197" s="19"/>
      <c r="Q197" s="19"/>
      <c r="R197" s="19"/>
      <c r="S197" s="19"/>
      <c r="T197" s="19"/>
      <c r="U197" s="19"/>
      <c r="V197" s="19"/>
      <c r="W197" s="19"/>
      <c r="X197" s="19"/>
      <c r="Y197" s="19"/>
    </row>
    <row r="198" spans="1:25" ht="12" customHeight="1">
      <c r="A198" s="219" t="n" cm="1">
        <f t="array" ref="A198">IFERROR(INDEX('03.Muestra'!$B$8:$B$42,SMALL(IF("Página Web"='03.Muestra'!$D$8:$D$42,ROW('03.Muestra'!$B$8:$B$42)-MIN(ROW('03.Muestra'!$D$8:$D$42))+1,""),ROW()-170)),"")</f>
        <v>1.0</v>
      </c>
      <c r="B198" s="114" t="str" cm="1">
        <f t="array" ref="B198">IFERROR(INDEX('03.Muestra'!$C$8:$C$42,SMALL(IF("Página Web"='03.Muestra'!$D$8:$D$42,ROW('03.Muestra'!$C$8:$C$42)-MIN(ROW('03.Muestra'!$D$8:$D$42))+1,""),ROW()-170)),"")</f>
        <v>Home - PortCastelló</v>
      </c>
      <c r="C198" s="114" t="str" cm="1">
        <f t="array" ref="C198">IFERROR(INDEX('03.Muestra'!$F$8:$F$42,SMALL(IF("Página Web"='03.Muestra'!$D$8:$D$42,ROW('03.Muestra'!$F$8:$F$42)-MIN(ROW('03.Muestra'!$D$8:$D$42))+1,""),ROW()-170)),"")</f>
        <v>https://www.portcastello.com/</v>
      </c>
      <c r="D198" s="130" t="str">
        <f t="shared" si="9"/>
        <v>N/T</v>
      </c>
      <c r="E198" s="107" t="str">
        <f t="shared" si="8"/>
        <v/>
      </c>
      <c r="G198" s="19"/>
      <c r="H198" s="19"/>
      <c r="I198" s="19"/>
      <c r="J198" s="19"/>
      <c r="K198" s="233"/>
      <c r="L198" s="19"/>
      <c r="M198" s="19"/>
      <c r="N198" s="19"/>
      <c r="O198" s="19"/>
      <c r="P198" s="19"/>
      <c r="Q198" s="19"/>
      <c r="R198" s="19"/>
      <c r="S198" s="19"/>
      <c r="T198" s="19"/>
      <c r="U198" s="19"/>
      <c r="V198" s="19"/>
      <c r="W198" s="19"/>
      <c r="X198" s="19"/>
      <c r="Y198" s="19"/>
    </row>
    <row r="199" spans="1:25" ht="12" customHeight="1">
      <c r="A199" s="219" t="n" cm="1">
        <f t="array" ref="A199">IFERROR(INDEX('03.Muestra'!$B$8:$B$42,SMALL(IF("Página Web"='03.Muestra'!$D$8:$D$42,ROW('03.Muestra'!$B$8:$B$42)-MIN(ROW('03.Muestra'!$D$8:$D$42))+1,""),ROW()-170)),"")</f>
        <v>1.0</v>
      </c>
      <c r="B199" s="114" t="str" cm="1">
        <f t="array" ref="B199">IFERROR(INDEX('03.Muestra'!$C$8:$C$42,SMALL(IF("Página Web"='03.Muestra'!$D$8:$D$42,ROW('03.Muestra'!$C$8:$C$42)-MIN(ROW('03.Muestra'!$D$8:$D$42))+1,""),ROW()-170)),"")</f>
        <v>Home - PortCastelló</v>
      </c>
      <c r="C199" s="114" t="str" cm="1">
        <f t="array" ref="C199">IFERROR(INDEX('03.Muestra'!$F$8:$F$42,SMALL(IF("Página Web"='03.Muestra'!$D$8:$D$42,ROW('03.Muestra'!$F$8:$F$42)-MIN(ROW('03.Muestra'!$D$8:$D$42))+1,""),ROW()-170)),"")</f>
        <v>https://www.portcastello.com/</v>
      </c>
      <c r="D199" s="130" t="str">
        <f t="shared" si="9"/>
        <v>N/T</v>
      </c>
      <c r="E199" s="107" t="str">
        <f t="shared" si="8"/>
        <v/>
      </c>
      <c r="F199" s="124"/>
      <c r="G199" s="19"/>
      <c r="H199" s="19"/>
      <c r="I199" s="19"/>
      <c r="J199" s="19"/>
      <c r="K199" s="233"/>
      <c r="L199" s="19"/>
      <c r="M199" s="19"/>
      <c r="N199" s="19"/>
      <c r="O199" s="19"/>
      <c r="P199" s="19"/>
      <c r="Q199" s="19"/>
      <c r="R199" s="19"/>
      <c r="S199" s="19"/>
      <c r="T199" s="19"/>
      <c r="U199" s="19"/>
      <c r="V199" s="19"/>
      <c r="W199" s="19"/>
      <c r="X199" s="19"/>
      <c r="Y199" s="19"/>
    </row>
    <row r="200" spans="1:25" ht="12" customHeight="1">
      <c r="A200" s="219" t="n" cm="1">
        <f t="array" ref="A200">IFERROR(INDEX('03.Muestra'!$B$8:$B$42,SMALL(IF("Página Web"='03.Muestra'!$D$8:$D$42,ROW('03.Muestra'!$B$8:$B$42)-MIN(ROW('03.Muestra'!$D$8:$D$42))+1,""),ROW()-170)),"")</f>
        <v>1.0</v>
      </c>
      <c r="B200" s="114" t="str" cm="1">
        <f t="array" ref="B200">IFERROR(INDEX('03.Muestra'!$C$8:$C$42,SMALL(IF("Página Web"='03.Muestra'!$D$8:$D$42,ROW('03.Muestra'!$C$8:$C$42)-MIN(ROW('03.Muestra'!$D$8:$D$42))+1,""),ROW()-170)),"")</f>
        <v>Home - PortCastelló</v>
      </c>
      <c r="C200" s="114" t="str" cm="1">
        <f t="array" ref="C200">IFERROR(INDEX('03.Muestra'!$F$8:$F$42,SMALL(IF("Página Web"='03.Muestra'!$D$8:$D$42,ROW('03.Muestra'!$F$8:$F$42)-MIN(ROW('03.Muestra'!$D$8:$D$42))+1,""),ROW()-170)),"")</f>
        <v>https://www.portcastello.com/</v>
      </c>
      <c r="D200" s="130" t="str">
        <f t="shared" si="9"/>
        <v>N/T</v>
      </c>
      <c r="E200" s="107" t="str">
        <f t="shared" si="8"/>
        <v/>
      </c>
      <c r="F200" s="124"/>
      <c r="G200" s="19"/>
      <c r="H200" s="19"/>
      <c r="I200" s="19"/>
      <c r="J200" s="19"/>
      <c r="K200" s="233"/>
      <c r="L200" s="19"/>
      <c r="M200" s="19"/>
      <c r="N200" s="19"/>
      <c r="O200" s="19"/>
      <c r="P200" s="19"/>
      <c r="Q200" s="19"/>
      <c r="R200" s="19"/>
      <c r="S200" s="19"/>
      <c r="T200" s="19"/>
      <c r="U200" s="19"/>
      <c r="V200" s="19"/>
      <c r="W200" s="19"/>
      <c r="X200" s="19"/>
      <c r="Y200" s="19"/>
    </row>
    <row r="201" spans="1:25" ht="12" customHeight="1">
      <c r="A201" s="219" t="n" cm="1">
        <f t="array" ref="A201">IFERROR(INDEX('03.Muestra'!$B$8:$B$42,SMALL(IF("Página Web"='03.Muestra'!$D$8:$D$42,ROW('03.Muestra'!$B$8:$B$42)-MIN(ROW('03.Muestra'!$D$8:$D$42))+1,""),ROW()-170)),"")</f>
        <v>1.0</v>
      </c>
      <c r="B201" s="114" t="str" cm="1">
        <f t="array" ref="B201">IFERROR(INDEX('03.Muestra'!$C$8:$C$42,SMALL(IF("Página Web"='03.Muestra'!$D$8:$D$42,ROW('03.Muestra'!$C$8:$C$42)-MIN(ROW('03.Muestra'!$D$8:$D$42))+1,""),ROW()-170)),"")</f>
        <v>Home - PortCastelló</v>
      </c>
      <c r="C201" s="114" t="str" cm="1">
        <f t="array" ref="C201">IFERROR(INDEX('03.Muestra'!$F$8:$F$42,SMALL(IF("Página Web"='03.Muestra'!$D$8:$D$42,ROW('03.Muestra'!$F$8:$F$42)-MIN(ROW('03.Muestra'!$D$8:$D$42))+1,""),ROW()-170)),"")</f>
        <v>https://www.portcastello.com/</v>
      </c>
      <c r="D201" s="130" t="str">
        <f t="shared" si="9"/>
        <v>N/T</v>
      </c>
      <c r="E201" s="107" t="str">
        <f t="shared" si="8"/>
        <v/>
      </c>
      <c r="F201" s="124"/>
      <c r="G201" s="19"/>
      <c r="H201" s="19"/>
      <c r="I201" s="19"/>
      <c r="J201" s="19"/>
      <c r="K201" s="233"/>
      <c r="L201" s="19"/>
      <c r="M201" s="19"/>
      <c r="N201" s="19"/>
      <c r="O201" s="19"/>
      <c r="P201" s="19"/>
      <c r="Q201" s="19"/>
      <c r="R201" s="19"/>
      <c r="S201" s="19"/>
      <c r="T201" s="19"/>
      <c r="U201" s="19"/>
      <c r="V201" s="19"/>
      <c r="W201" s="19"/>
      <c r="X201" s="19"/>
      <c r="Y201" s="19"/>
    </row>
    <row r="202" spans="1:25" ht="12" customHeight="1">
      <c r="A202" s="219" t="n" cm="1">
        <f t="array" ref="A202">IFERROR(INDEX('03.Muestra'!$B$8:$B$42,SMALL(IF("Página Web"='03.Muestra'!$D$8:$D$42,ROW('03.Muestra'!$B$8:$B$42)-MIN(ROW('03.Muestra'!$D$8:$D$42))+1,""),ROW()-170)),"")</f>
        <v>1.0</v>
      </c>
      <c r="B202" s="114" t="str" cm="1">
        <f t="array" ref="B202">IFERROR(INDEX('03.Muestra'!$C$8:$C$42,SMALL(IF("Página Web"='03.Muestra'!$D$8:$D$42,ROW('03.Muestra'!$C$8:$C$42)-MIN(ROW('03.Muestra'!$D$8:$D$42))+1,""),ROW()-170)),"")</f>
        <v>Home - PortCastelló</v>
      </c>
      <c r="C202" s="114" t="str" cm="1">
        <f t="array" ref="C202">IFERROR(INDEX('03.Muestra'!$F$8:$F$42,SMALL(IF("Página Web"='03.Muestra'!$D$8:$D$42,ROW('03.Muestra'!$F$8:$F$42)-MIN(ROW('03.Muestra'!$D$8:$D$42))+1,""),ROW()-170)),"")</f>
        <v>https://www.portcastello.com/</v>
      </c>
      <c r="D202" s="130" t="str">
        <f t="shared" si="9"/>
        <v>N/T</v>
      </c>
      <c r="E202" s="107" t="str">
        <f t="shared" si="8"/>
        <v/>
      </c>
      <c r="F202" s="124"/>
      <c r="G202" s="19"/>
      <c r="H202" s="19"/>
      <c r="I202" s="19"/>
      <c r="J202" s="19"/>
      <c r="K202" s="233"/>
      <c r="L202" s="19"/>
      <c r="M202" s="19"/>
      <c r="N202" s="19"/>
      <c r="O202" s="19"/>
      <c r="P202" s="19"/>
      <c r="Q202" s="19"/>
      <c r="R202" s="19"/>
      <c r="S202" s="19"/>
      <c r="T202" s="19"/>
      <c r="U202" s="19"/>
      <c r="V202" s="19"/>
      <c r="W202" s="19"/>
      <c r="X202" s="19"/>
      <c r="Y202" s="19"/>
    </row>
    <row r="203" spans="1:25" ht="12" customHeight="1">
      <c r="A203" s="219" t="n" cm="1">
        <f t="array" ref="A203">IFERROR(INDEX('03.Muestra'!$B$8:$B$42,SMALL(IF("Página Web"='03.Muestra'!$D$8:$D$42,ROW('03.Muestra'!$B$8:$B$42)-MIN(ROW('03.Muestra'!$D$8:$D$42))+1,""),ROW()-170)),"")</f>
        <v>1.0</v>
      </c>
      <c r="B203" s="114" t="str" cm="1">
        <f t="array" ref="B203">IFERROR(INDEX('03.Muestra'!$C$8:$C$42,SMALL(IF("Página Web"='03.Muestra'!$D$8:$D$42,ROW('03.Muestra'!$C$8:$C$42)-MIN(ROW('03.Muestra'!$D$8:$D$42))+1,""),ROW()-170)),"")</f>
        <v>Home - PortCastelló</v>
      </c>
      <c r="C203" s="114" t="str" cm="1">
        <f t="array" ref="C203">IFERROR(INDEX('03.Muestra'!$F$8:$F$42,SMALL(IF("Página Web"='03.Muestra'!$D$8:$D$42,ROW('03.Muestra'!$F$8:$F$42)-MIN(ROW('03.Muestra'!$D$8:$D$42))+1,""),ROW()-170)),"")</f>
        <v>https://www.portcastello.com/</v>
      </c>
      <c r="D203" s="130" t="str">
        <f t="shared" si="9"/>
        <v>N/T</v>
      </c>
      <c r="E203" s="107" t="str">
        <f t="shared" si="8"/>
        <v/>
      </c>
      <c r="F203" s="124"/>
      <c r="G203" s="19"/>
      <c r="H203" s="19"/>
      <c r="I203" s="19"/>
      <c r="J203" s="19"/>
      <c r="K203" s="233"/>
      <c r="L203" s="19"/>
      <c r="M203" s="19"/>
      <c r="N203" s="19"/>
      <c r="O203" s="19"/>
      <c r="P203" s="19"/>
      <c r="Q203" s="19"/>
      <c r="R203" s="19"/>
      <c r="S203" s="19"/>
      <c r="T203" s="19"/>
      <c r="U203" s="19"/>
      <c r="V203" s="19"/>
      <c r="W203" s="19"/>
      <c r="X203" s="19"/>
      <c r="Y203" s="19"/>
    </row>
    <row r="204" spans="1:25" ht="12" customHeight="1">
      <c r="A204" s="219" t="str" cm="1">
        <f t="array" ref="A204">IFERROR(INDEX('03.Muestra'!$B$8:$B$42,SMALL(IF("Página Web"='03.Muestra'!$D$8:$D$42,ROW('03.Muestra'!$B$8:$B$42)-MIN(ROW('03.Muestra'!$D$8:$D$42))+1,""),ROW()-170)),"")</f>
        <v/>
      </c>
      <c r="B204" s="114" t="str" cm="1">
        <f t="array" ref="B204">IFERROR(INDEX('03.Muestra'!$C$8:$C$42,SMALL(IF("Página Web"='03.Muestra'!$D$8:$D$42,ROW('03.Muestra'!$C$8:$C$42)-MIN(ROW('03.Muestra'!$D$8:$D$42))+1,""),ROW()-170)),"")</f>
        <v/>
      </c>
      <c r="C204" s="114" t="str" cm="1">
        <f t="array" ref="C204">IFERROR(INDEX('03.Muestra'!$F$8:$F$42,SMALL(IF("Página Web"='03.Muestra'!$D$8:$D$42,ROW('03.Muestra'!$F$8:$F$42)-MIN(ROW('03.Muestra'!$D$8:$D$42))+1,""),ROW()-170)),"")</f>
        <v/>
      </c>
      <c r="D204" s="130" t="str">
        <f t="shared" si="9"/>
        <v/>
      </c>
      <c r="E204" s="107" t="str">
        <f t="shared" si="8"/>
        <v/>
      </c>
      <c r="F204" s="124"/>
      <c r="G204" s="19"/>
      <c r="H204" s="19"/>
      <c r="I204" s="19"/>
      <c r="J204" s="19"/>
      <c r="K204" s="233"/>
      <c r="L204" s="19"/>
      <c r="M204" s="19"/>
      <c r="N204" s="19"/>
      <c r="O204" s="19"/>
      <c r="P204" s="19"/>
      <c r="Q204" s="19"/>
      <c r="R204" s="19"/>
      <c r="S204" s="19"/>
      <c r="T204" s="19"/>
      <c r="U204" s="19"/>
      <c r="V204" s="19"/>
      <c r="W204" s="19"/>
      <c r="X204" s="19"/>
      <c r="Y204" s="19"/>
    </row>
    <row r="205" spans="1:25" ht="12" customHeight="1">
      <c r="A205" s="219" t="str" cm="1">
        <f t="array" ref="A205">IFERROR(INDEX('03.Muestra'!$B$8:$B$42,SMALL(IF("Página Web"='03.Muestra'!$D$8:$D$42,ROW('03.Muestra'!$B$8:$B$42)-MIN(ROW('03.Muestra'!$D$8:$D$42))+1,""),ROW()-170)),"")</f>
        <v/>
      </c>
      <c r="B205" s="114" t="str" cm="1">
        <f t="array" ref="B205">IFERROR(INDEX('03.Muestra'!$C$8:$C$42,SMALL(IF("Página Web"='03.Muestra'!$D$8:$D$42,ROW('03.Muestra'!$C$8:$C$42)-MIN(ROW('03.Muestra'!$D$8:$D$42))+1,""),ROW()-170)),"")</f>
        <v/>
      </c>
      <c r="C205" s="114" t="str" cm="1">
        <f t="array" ref="C205">IFERROR(INDEX('03.Muestra'!$F$8:$F$42,SMALL(IF("Página Web"='03.Muestra'!$D$8:$D$42,ROW('03.Muestra'!$F$8:$F$42)-MIN(ROW('03.Muestra'!$D$8:$D$42))+1,""),ROW()-170)),"")</f>
        <v/>
      </c>
      <c r="D205" s="130" t="str">
        <f t="shared" si="9"/>
        <v/>
      </c>
      <c r="E205" s="107" t="str">
        <f t="shared" si="8"/>
        <v/>
      </c>
      <c r="F205" s="19"/>
      <c r="G205" s="19"/>
      <c r="H205" s="19"/>
      <c r="I205" s="19"/>
      <c r="J205" s="19"/>
      <c r="K205" s="233"/>
      <c r="L205" s="19"/>
      <c r="M205" s="19"/>
      <c r="N205" s="19"/>
      <c r="O205" s="19"/>
      <c r="P205" s="19"/>
      <c r="Q205" s="19"/>
      <c r="R205" s="19"/>
      <c r="S205" s="19"/>
      <c r="T205" s="19"/>
      <c r="U205" s="19"/>
      <c r="V205" s="19"/>
      <c r="W205" s="19"/>
      <c r="X205" s="19"/>
      <c r="Y205" s="19"/>
    </row>
    <row r="206" spans="1:25" ht="12" customHeight="1">
      <c r="B206" s="19"/>
      <c r="C206" s="19"/>
      <c r="D206" s="107"/>
      <c r="E206" s="107"/>
      <c r="F206" s="19"/>
      <c r="G206" s="19"/>
      <c r="H206" s="19"/>
      <c r="I206" s="19"/>
      <c r="J206" s="19"/>
      <c r="K206" s="233"/>
      <c r="L206" s="19"/>
      <c r="M206" s="19"/>
      <c r="N206" s="19"/>
      <c r="O206" s="19"/>
      <c r="P206" s="19"/>
      <c r="Q206" s="19"/>
      <c r="R206" s="19"/>
      <c r="S206" s="19"/>
      <c r="T206" s="19"/>
      <c r="U206" s="19"/>
      <c r="V206" s="19"/>
      <c r="W206" s="19"/>
      <c r="X206" s="19"/>
      <c r="Y206" s="19"/>
    </row>
    <row r="207" spans="1:25" ht="12" customHeight="1">
      <c r="B207" s="19"/>
      <c r="C207" s="19"/>
      <c r="D207" s="107"/>
      <c r="E207" s="112"/>
      <c r="F207" s="19"/>
      <c r="G207" s="19"/>
      <c r="H207" s="19"/>
      <c r="I207" s="19"/>
      <c r="J207" s="19"/>
      <c r="K207" s="233"/>
      <c r="L207" s="19"/>
      <c r="M207" s="19"/>
      <c r="N207" s="19"/>
      <c r="O207" s="19"/>
      <c r="P207" s="19"/>
      <c r="Q207" s="19"/>
      <c r="R207" s="19"/>
      <c r="S207" s="19"/>
      <c r="T207" s="19"/>
      <c r="U207" s="19"/>
      <c r="V207" s="19"/>
      <c r="W207" s="19"/>
      <c r="X207" s="19"/>
      <c r="Y207" s="19"/>
    </row>
    <row r="208" spans="1:25" ht="29.25" customHeight="1">
      <c r="A208" s="218" t="s">
        <v>268</v>
      </c>
      <c r="B208" s="24" t="s">
        <v>90</v>
      </c>
      <c r="C208" s="25" t="s">
        <v>378</v>
      </c>
      <c r="D208" s="26" t="s">
        <v>32</v>
      </c>
      <c r="E208" s="123"/>
      <c r="K208" s="233"/>
      <c r="L208" s="19"/>
      <c r="M208" s="19"/>
      <c r="N208" s="19"/>
      <c r="O208" s="19"/>
      <c r="P208" s="19"/>
      <c r="Q208" s="19"/>
      <c r="R208" s="19"/>
      <c r="S208" s="19"/>
      <c r="T208" s="19"/>
      <c r="U208" s="19"/>
      <c r="V208" s="19"/>
      <c r="W208" s="19"/>
      <c r="X208" s="19"/>
      <c r="Y208" s="19"/>
    </row>
    <row r="209" spans="1:25" ht="12" customHeight="1">
      <c r="A209" s="219" t="n" cm="1">
        <f t="array" ref="A209">IFERROR(INDEX('03.Muestra'!$B$8:$B$42,SMALL(IF("Página Web"='03.Muestra'!$D$8:$D$42,ROW('03.Muestra'!$B$8:$B$42)-MIN(ROW('03.Muestra'!$D$8:$D$42))+1,""),ROW()-208)),"")</f>
        <v>1.0</v>
      </c>
      <c r="B209" s="114" t="str" cm="1">
        <f t="array" ref="B209">IFERROR(INDEX('03.Muestra'!$C$8:$C$42,SMALL(IF("Página Web"='03.Muestra'!$D$8:$D$42,ROW('03.Muestra'!$C$8:$C$42)-MIN(ROW('03.Muestra'!$D$8:$D$42))+1,""),ROW()-208)),"")</f>
        <v>Home - PortCastelló</v>
      </c>
      <c r="C209" s="114" t="str" cm="1">
        <f t="array" ref="C209">IFERROR(INDEX('03.Muestra'!$F$8:$F$42,SMALL(IF("Página Web"='03.Muestra'!$D$8:$D$42,ROW('03.Muestra'!$F$8:$F$42)-MIN(ROW('03.Muestra'!$D$8:$D$42))+1,""),ROW()-208)),"")</f>
        <v>https://www.portcastello.com/</v>
      </c>
      <c r="D209" s="130" t="s">
        <v>37</v>
      </c>
      <c r="E209" s="107" t="str">
        <f t="shared" ref="E209:E243" si="10">IF(D209&lt;&gt;"",IF(AND(B209&lt;&gt;"",C209&lt;&gt;""),"","ERR"),"")</f>
        <v/>
      </c>
      <c r="F209" s="115" t="s">
        <v>33</v>
      </c>
      <c r="G209" s="116" t="s">
        <v>37</v>
      </c>
      <c r="H209" s="117" t="s">
        <v>35</v>
      </c>
      <c r="I209" s="118" t="s">
        <v>28</v>
      </c>
      <c r="J209" s="119" t="s">
        <v>26</v>
      </c>
      <c r="K209" s="226" t="s">
        <v>474</v>
      </c>
      <c r="L209" s="19"/>
      <c r="M209" s="19"/>
      <c r="N209" s="19"/>
      <c r="O209" s="19"/>
      <c r="P209" s="19"/>
      <c r="Q209" s="19"/>
      <c r="R209" s="19"/>
      <c r="S209" s="19"/>
      <c r="T209" s="19"/>
      <c r="U209" s="19"/>
      <c r="V209" s="19"/>
      <c r="W209" s="19"/>
      <c r="X209" s="19"/>
      <c r="Y209" s="19"/>
    </row>
    <row r="210" spans="1:25" ht="12" customHeight="1">
      <c r="A210" s="219" t="n" cm="1">
        <f t="array" ref="A210">IFERROR(INDEX('03.Muestra'!$B$8:$B$42,SMALL(IF("Página Web"='03.Muestra'!$D$8:$D$42,ROW('03.Muestra'!$B$8:$B$42)-MIN(ROW('03.Muestra'!$D$8:$D$42))+1,""),ROW()-208)),"")</f>
        <v>1.0</v>
      </c>
      <c r="B210" s="114" t="str" cm="1">
        <f t="array" ref="B210">IFERROR(INDEX('03.Muestra'!$C$8:$C$42,SMALL(IF("Página Web"='03.Muestra'!$D$8:$D$42,ROW('03.Muestra'!$C$8:$C$42)-MIN(ROW('03.Muestra'!$D$8:$D$42))+1,""),ROW()-208)),"")</f>
        <v>Home - PortCastelló</v>
      </c>
      <c r="C210" s="114" t="str" cm="1">
        <f t="array" ref="C210">IFERROR(INDEX('03.Muestra'!$F$8:$F$42,SMALL(IF("Página Web"='03.Muestra'!$D$8:$D$42,ROW('03.Muestra'!$F$8:$F$42)-MIN(ROW('03.Muestra'!$D$8:$D$42))+1,""),ROW()-208)),"")</f>
        <v>https://www.portcastello.com/</v>
      </c>
      <c r="D210" s="130" t="s">
        <v>37</v>
      </c>
      <c r="E210" s="107" t="str">
        <f t="shared" si="10"/>
        <v/>
      </c>
      <c r="F210" s="120" t="n">
        <f ca="1">COUNTIF($D209:INDIRECT("$D" &amp;  SUM(ROW()-1,'03.Muestra'!$D$45)-1),F209)</f>
        <v>0.0</v>
      </c>
      <c r="G210" s="120" t="n">
        <f ca="1">COUNTIF($D209:INDIRECT("$D" &amp;  SUM(ROW()-1,'03.Muestra'!$D$45)-1),G209)</f>
        <v>33.0</v>
      </c>
      <c r="H210" s="120" t="n">
        <f ca="1">COUNTIF($D209:INDIRECT("$D" &amp;  SUM(ROW()-1,'03.Muestra'!$D$45)-1),H209)</f>
        <v>0.0</v>
      </c>
      <c r="I210" s="120" t="n">
        <f ca="1">COUNTIF($D209:INDIRECT("$D" &amp;  SUM(ROW()-1,'03.Muestra'!$D$45)-1),I209)</f>
        <v>0.0</v>
      </c>
      <c r="J210" s="120" t="n">
        <f ca="1">COUNTIF($D209:INDIRECT("$D" &amp;  SUM(ROW()-1,'03.Muestra'!$D$45)-1),J209)</f>
        <v>0.0</v>
      </c>
      <c r="K210" s="227" t="n">
        <f ca="1">IF(COUNTIF('03.Muestra'!$D$8:$D$42,"Página Web")=0,0,COUNTBLANK($D209:INDIRECT("$D" &amp;  SUM(ROW()-1,COUNTIF('03.Muestra'!$D$8:$D$42,"Página Web"))-1)))</f>
        <v>0.0</v>
      </c>
      <c r="L210" s="19"/>
      <c r="M210" s="19"/>
      <c r="N210" s="19"/>
      <c r="O210" s="19"/>
      <c r="P210" s="19"/>
      <c r="Q210" s="19"/>
      <c r="R210" s="19"/>
      <c r="S210" s="19"/>
      <c r="T210" s="19"/>
      <c r="U210" s="19"/>
      <c r="V210" s="19"/>
      <c r="W210" s="19"/>
      <c r="X210" s="19"/>
      <c r="Y210" s="19"/>
    </row>
    <row r="211" spans="1:25" ht="12" customHeight="1">
      <c r="A211" s="219" t="n" cm="1">
        <f t="array" ref="A211">IFERROR(INDEX('03.Muestra'!$B$8:$B$42,SMALL(IF("Página Web"='03.Muestra'!$D$8:$D$42,ROW('03.Muestra'!$B$8:$B$42)-MIN(ROW('03.Muestra'!$D$8:$D$42))+1,""),ROW()-208)),"")</f>
        <v>1.0</v>
      </c>
      <c r="B211" s="114" t="str" cm="1">
        <f t="array" ref="B211">IFERROR(INDEX('03.Muestra'!$C$8:$C$42,SMALL(IF("Página Web"='03.Muestra'!$D$8:$D$42,ROW('03.Muestra'!$C$8:$C$42)-MIN(ROW('03.Muestra'!$D$8:$D$42))+1,""),ROW()-208)),"")</f>
        <v>Home - PortCastelló</v>
      </c>
      <c r="C211" s="114" t="str" cm="1">
        <f t="array" ref="C211">IFERROR(INDEX('03.Muestra'!$F$8:$F$42,SMALL(IF("Página Web"='03.Muestra'!$D$8:$D$42,ROW('03.Muestra'!$F$8:$F$42)-MIN(ROW('03.Muestra'!$D$8:$D$42))+1,""),ROW()-208)),"")</f>
        <v>https://www.portcastello.com/</v>
      </c>
      <c r="D211" s="130" t="s">
        <v>37</v>
      </c>
      <c r="E211" s="107" t="str">
        <f t="shared" si="10"/>
        <v/>
      </c>
      <c r="G211" s="19"/>
      <c r="H211" s="19"/>
      <c r="I211" s="19"/>
      <c r="J211" s="19"/>
      <c r="K211" s="233"/>
      <c r="L211" s="19"/>
      <c r="M211" s="19"/>
      <c r="N211" s="19"/>
      <c r="O211" s="19"/>
      <c r="P211" s="19"/>
      <c r="Q211" s="19"/>
      <c r="R211" s="19"/>
      <c r="S211" s="19"/>
      <c r="T211" s="19"/>
      <c r="U211" s="19"/>
      <c r="V211" s="19"/>
      <c r="W211" s="19"/>
      <c r="X211" s="19"/>
      <c r="Y211" s="19"/>
    </row>
    <row r="212" spans="1:25" ht="12" customHeight="1">
      <c r="A212" s="219" t="n" cm="1">
        <f t="array" ref="A212">IFERROR(INDEX('03.Muestra'!$B$8:$B$42,SMALL(IF("Página Web"='03.Muestra'!$D$8:$D$42,ROW('03.Muestra'!$B$8:$B$42)-MIN(ROW('03.Muestra'!$D$8:$D$42))+1,""),ROW()-208)),"")</f>
        <v>1.0</v>
      </c>
      <c r="B212" s="114" t="str" cm="1">
        <f t="array" ref="B212">IFERROR(INDEX('03.Muestra'!$C$8:$C$42,SMALL(IF("Página Web"='03.Muestra'!$D$8:$D$42,ROW('03.Muestra'!$C$8:$C$42)-MIN(ROW('03.Muestra'!$D$8:$D$42))+1,""),ROW()-208)),"")</f>
        <v>Home - PortCastelló</v>
      </c>
      <c r="C212" s="114" t="str" cm="1">
        <f t="array" ref="C212">IFERROR(INDEX('03.Muestra'!$F$8:$F$42,SMALL(IF("Página Web"='03.Muestra'!$D$8:$D$42,ROW('03.Muestra'!$F$8:$F$42)-MIN(ROW('03.Muestra'!$D$8:$D$42))+1,""),ROW()-208)),"")</f>
        <v>https://www.portcastello.com/</v>
      </c>
      <c r="D212" s="130" t="s">
        <v>37</v>
      </c>
      <c r="E212" s="107" t="str">
        <f t="shared" si="10"/>
        <v/>
      </c>
      <c r="G212" s="19"/>
      <c r="H212" s="19"/>
      <c r="I212" s="19"/>
      <c r="J212" s="19"/>
      <c r="K212" s="233"/>
      <c r="L212" s="19"/>
      <c r="M212" s="19"/>
      <c r="N212" s="19"/>
      <c r="O212" s="19"/>
      <c r="P212" s="19"/>
      <c r="Q212" s="19"/>
      <c r="R212" s="19"/>
      <c r="S212" s="19"/>
      <c r="T212" s="19"/>
      <c r="U212" s="19"/>
      <c r="V212" s="19"/>
      <c r="W212" s="19"/>
      <c r="X212" s="19"/>
      <c r="Y212" s="19"/>
    </row>
    <row r="213" spans="1:25" ht="12" customHeight="1">
      <c r="A213" s="219" t="n" cm="1">
        <f t="array" ref="A213">IFERROR(INDEX('03.Muestra'!$B$8:$B$42,SMALL(IF("Página Web"='03.Muestra'!$D$8:$D$42,ROW('03.Muestra'!$B$8:$B$42)-MIN(ROW('03.Muestra'!$D$8:$D$42))+1,""),ROW()-208)),"")</f>
        <v>1.0</v>
      </c>
      <c r="B213" s="114" t="str" cm="1">
        <f t="array" ref="B213">IFERROR(INDEX('03.Muestra'!$C$8:$C$42,SMALL(IF("Página Web"='03.Muestra'!$D$8:$D$42,ROW('03.Muestra'!$C$8:$C$42)-MIN(ROW('03.Muestra'!$D$8:$D$42))+1,""),ROW()-208)),"")</f>
        <v>Home - PortCastelló</v>
      </c>
      <c r="C213" s="114" t="str" cm="1">
        <f t="array" ref="C213">IFERROR(INDEX('03.Muestra'!$F$8:$F$42,SMALL(IF("Página Web"='03.Muestra'!$D$8:$D$42,ROW('03.Muestra'!$F$8:$F$42)-MIN(ROW('03.Muestra'!$D$8:$D$42))+1,""),ROW()-208)),"")</f>
        <v>https://www.portcastello.com/</v>
      </c>
      <c r="D213" s="130" t="s">
        <v>37</v>
      </c>
      <c r="E213" s="107" t="str">
        <f t="shared" si="10"/>
        <v/>
      </c>
      <c r="G213" s="19"/>
      <c r="H213" s="19"/>
      <c r="I213" s="19"/>
      <c r="J213" s="19"/>
      <c r="K213" s="233"/>
      <c r="L213" s="19"/>
      <c r="M213" s="19"/>
      <c r="N213" s="19"/>
      <c r="O213" s="19"/>
      <c r="P213" s="19"/>
      <c r="Q213" s="19"/>
      <c r="R213" s="19"/>
      <c r="S213" s="19"/>
      <c r="T213" s="19"/>
      <c r="U213" s="19"/>
      <c r="V213" s="19"/>
      <c r="W213" s="19"/>
      <c r="X213" s="19"/>
      <c r="Y213" s="19"/>
    </row>
    <row r="214" spans="1:25" ht="12" customHeight="1">
      <c r="A214" s="219" t="n" cm="1">
        <f t="array" ref="A214">IFERROR(INDEX('03.Muestra'!$B$8:$B$42,SMALL(IF("Página Web"='03.Muestra'!$D$8:$D$42,ROW('03.Muestra'!$B$8:$B$42)-MIN(ROW('03.Muestra'!$D$8:$D$42))+1,""),ROW()-208)),"")</f>
        <v>1.0</v>
      </c>
      <c r="B214" s="114" t="str" cm="1">
        <f t="array" ref="B214">IFERROR(INDEX('03.Muestra'!$C$8:$C$42,SMALL(IF("Página Web"='03.Muestra'!$D$8:$D$42,ROW('03.Muestra'!$C$8:$C$42)-MIN(ROW('03.Muestra'!$D$8:$D$42))+1,""),ROW()-208)),"")</f>
        <v>Home - PortCastelló</v>
      </c>
      <c r="C214" s="114" t="str" cm="1">
        <f t="array" ref="C214">IFERROR(INDEX('03.Muestra'!$F$8:$F$42,SMALL(IF("Página Web"='03.Muestra'!$D$8:$D$42,ROW('03.Muestra'!$F$8:$F$42)-MIN(ROW('03.Muestra'!$D$8:$D$42))+1,""),ROW()-208)),"")</f>
        <v>https://www.portcastello.com/</v>
      </c>
      <c r="D214" s="130" t="s">
        <v>37</v>
      </c>
      <c r="E214" s="107" t="str">
        <f t="shared" si="10"/>
        <v/>
      </c>
      <c r="G214" s="19"/>
      <c r="H214" s="19"/>
      <c r="I214" s="19"/>
      <c r="J214" s="19"/>
      <c r="K214" s="233"/>
      <c r="L214" s="19"/>
      <c r="M214" s="19"/>
      <c r="N214" s="19"/>
      <c r="O214" s="19"/>
      <c r="P214" s="19"/>
      <c r="Q214" s="19"/>
      <c r="R214" s="19"/>
      <c r="S214" s="19"/>
      <c r="T214" s="19"/>
      <c r="U214" s="19"/>
      <c r="V214" s="19"/>
      <c r="W214" s="19"/>
      <c r="X214" s="19"/>
      <c r="Y214" s="19"/>
    </row>
    <row r="215" spans="1:25" ht="12" customHeight="1">
      <c r="A215" s="219" t="n" cm="1">
        <f t="array" ref="A215">IFERROR(INDEX('03.Muestra'!$B$8:$B$42,SMALL(IF("Página Web"='03.Muestra'!$D$8:$D$42,ROW('03.Muestra'!$B$8:$B$42)-MIN(ROW('03.Muestra'!$D$8:$D$42))+1,""),ROW()-208)),"")</f>
        <v>1.0</v>
      </c>
      <c r="B215" s="114" t="str" cm="1">
        <f t="array" ref="B215">IFERROR(INDEX('03.Muestra'!$C$8:$C$42,SMALL(IF("Página Web"='03.Muestra'!$D$8:$D$42,ROW('03.Muestra'!$C$8:$C$42)-MIN(ROW('03.Muestra'!$D$8:$D$42))+1,""),ROW()-208)),"")</f>
        <v>Home - PortCastelló</v>
      </c>
      <c r="C215" s="114" t="str" cm="1">
        <f t="array" ref="C215">IFERROR(INDEX('03.Muestra'!$F$8:$F$42,SMALL(IF("Página Web"='03.Muestra'!$D$8:$D$42,ROW('03.Muestra'!$F$8:$F$42)-MIN(ROW('03.Muestra'!$D$8:$D$42))+1,""),ROW()-208)),"")</f>
        <v>https://www.portcastello.com/</v>
      </c>
      <c r="D215" s="130" t="s">
        <v>37</v>
      </c>
      <c r="E215" s="107" t="str">
        <f t="shared" si="10"/>
        <v/>
      </c>
      <c r="F215" s="19"/>
      <c r="G215" s="19"/>
      <c r="H215" s="19"/>
      <c r="I215" s="19"/>
      <c r="J215" s="19"/>
      <c r="K215" s="233"/>
      <c r="L215" s="19"/>
      <c r="M215" s="19"/>
      <c r="N215" s="19"/>
      <c r="O215" s="19"/>
      <c r="P215" s="19"/>
      <c r="Q215" s="19"/>
      <c r="R215" s="19"/>
      <c r="S215" s="19"/>
      <c r="T215" s="19"/>
      <c r="U215" s="19"/>
      <c r="V215" s="19"/>
      <c r="W215" s="19"/>
      <c r="X215" s="19"/>
      <c r="Y215" s="19"/>
    </row>
    <row r="216" spans="1:25" ht="12" customHeight="1">
      <c r="A216" s="219" t="n" cm="1">
        <f t="array" ref="A216">IFERROR(INDEX('03.Muestra'!$B$8:$B$42,SMALL(IF("Página Web"='03.Muestra'!$D$8:$D$42,ROW('03.Muestra'!$B$8:$B$42)-MIN(ROW('03.Muestra'!$D$8:$D$42))+1,""),ROW()-208)),"")</f>
        <v>1.0</v>
      </c>
      <c r="B216" s="114" t="str" cm="1">
        <f t="array" ref="B216">IFERROR(INDEX('03.Muestra'!$C$8:$C$42,SMALL(IF("Página Web"='03.Muestra'!$D$8:$D$42,ROW('03.Muestra'!$C$8:$C$42)-MIN(ROW('03.Muestra'!$D$8:$D$42))+1,""),ROW()-208)),"")</f>
        <v>Home - PortCastelló</v>
      </c>
      <c r="C216" s="114" t="str" cm="1">
        <f t="array" ref="C216">IFERROR(INDEX('03.Muestra'!$F$8:$F$42,SMALL(IF("Página Web"='03.Muestra'!$D$8:$D$42,ROW('03.Muestra'!$F$8:$F$42)-MIN(ROW('03.Muestra'!$D$8:$D$42))+1,""),ROW()-208)),"")</f>
        <v>https://www.portcastello.com/</v>
      </c>
      <c r="D216" s="130" t="s">
        <v>37</v>
      </c>
      <c r="E216" s="107" t="str">
        <f t="shared" si="10"/>
        <v/>
      </c>
      <c r="F216" s="19"/>
      <c r="G216" s="19"/>
      <c r="H216" s="19"/>
      <c r="I216" s="19"/>
      <c r="J216" s="19"/>
      <c r="K216" s="233"/>
      <c r="L216" s="19"/>
      <c r="M216" s="19"/>
      <c r="N216" s="19"/>
      <c r="O216" s="19"/>
      <c r="P216" s="19"/>
      <c r="Q216" s="19"/>
      <c r="R216" s="19"/>
      <c r="S216" s="19"/>
      <c r="T216" s="19"/>
      <c r="U216" s="19"/>
      <c r="V216" s="19"/>
      <c r="W216" s="19"/>
      <c r="X216" s="19"/>
      <c r="Y216" s="19"/>
    </row>
    <row r="217" spans="1:25" ht="12" customHeight="1">
      <c r="A217" s="219" t="n" cm="1">
        <f t="array" ref="A217">IFERROR(INDEX('03.Muestra'!$B$8:$B$42,SMALL(IF("Página Web"='03.Muestra'!$D$8:$D$42,ROW('03.Muestra'!$B$8:$B$42)-MIN(ROW('03.Muestra'!$D$8:$D$42))+1,""),ROW()-208)),"")</f>
        <v>1.0</v>
      </c>
      <c r="B217" s="114" t="str" cm="1">
        <f t="array" ref="B217">IFERROR(INDEX('03.Muestra'!$C$8:$C$42,SMALL(IF("Página Web"='03.Muestra'!$D$8:$D$42,ROW('03.Muestra'!$C$8:$C$42)-MIN(ROW('03.Muestra'!$D$8:$D$42))+1,""),ROW()-208)),"")</f>
        <v>Home - PortCastelló</v>
      </c>
      <c r="C217" s="114" t="str" cm="1">
        <f t="array" ref="C217">IFERROR(INDEX('03.Muestra'!$F$8:$F$42,SMALL(IF("Página Web"='03.Muestra'!$D$8:$D$42,ROW('03.Muestra'!$F$8:$F$42)-MIN(ROW('03.Muestra'!$D$8:$D$42))+1,""),ROW()-208)),"")</f>
        <v>https://www.portcastello.com/</v>
      </c>
      <c r="D217" s="130" t="s">
        <v>37</v>
      </c>
      <c r="E217" s="107" t="str">
        <f t="shared" si="10"/>
        <v/>
      </c>
      <c r="F217" s="19"/>
      <c r="G217" s="19"/>
      <c r="H217" s="19"/>
      <c r="I217" s="19"/>
      <c r="J217" s="19"/>
      <c r="K217" s="233"/>
      <c r="L217" s="19"/>
      <c r="M217" s="19"/>
      <c r="N217" s="19"/>
      <c r="O217" s="19"/>
      <c r="P217" s="19"/>
      <c r="Q217" s="19"/>
      <c r="R217" s="19"/>
      <c r="S217" s="19"/>
      <c r="T217" s="19"/>
      <c r="U217" s="19"/>
      <c r="V217" s="19"/>
      <c r="W217" s="19"/>
      <c r="X217" s="19"/>
      <c r="Y217" s="19"/>
    </row>
    <row r="218" spans="1:25" ht="12" customHeight="1">
      <c r="A218" s="219" t="n" cm="1">
        <f t="array" ref="A218">IFERROR(INDEX('03.Muestra'!$B$8:$B$42,SMALL(IF("Página Web"='03.Muestra'!$D$8:$D$42,ROW('03.Muestra'!$B$8:$B$42)-MIN(ROW('03.Muestra'!$D$8:$D$42))+1,""),ROW()-208)),"")</f>
        <v>1.0</v>
      </c>
      <c r="B218" s="114" t="str" cm="1">
        <f t="array" ref="B218">IFERROR(INDEX('03.Muestra'!$C$8:$C$42,SMALL(IF("Página Web"='03.Muestra'!$D$8:$D$42,ROW('03.Muestra'!$C$8:$C$42)-MIN(ROW('03.Muestra'!$D$8:$D$42))+1,""),ROW()-208)),"")</f>
        <v>Home - PortCastelló</v>
      </c>
      <c r="C218" s="114" t="str" cm="1">
        <f t="array" ref="C218">IFERROR(INDEX('03.Muestra'!$F$8:$F$42,SMALL(IF("Página Web"='03.Muestra'!$D$8:$D$42,ROW('03.Muestra'!$F$8:$F$42)-MIN(ROW('03.Muestra'!$D$8:$D$42))+1,""),ROW()-208)),"")</f>
        <v>https://www.portcastello.com/</v>
      </c>
      <c r="D218" s="130" t="s">
        <v>37</v>
      </c>
      <c r="E218" s="107" t="str">
        <f t="shared" si="10"/>
        <v/>
      </c>
      <c r="F218" s="19"/>
      <c r="G218" s="19"/>
      <c r="H218" s="19"/>
      <c r="I218" s="19"/>
      <c r="J218" s="19"/>
      <c r="K218" s="233"/>
      <c r="L218" s="19"/>
      <c r="M218" s="19"/>
      <c r="N218" s="19"/>
      <c r="O218" s="19"/>
      <c r="P218" s="19"/>
      <c r="Q218" s="19"/>
      <c r="R218" s="19"/>
      <c r="S218" s="19"/>
      <c r="T218" s="19"/>
      <c r="U218" s="19"/>
      <c r="V218" s="19"/>
      <c r="W218" s="19"/>
      <c r="X218" s="19"/>
      <c r="Y218" s="19"/>
    </row>
    <row r="219" spans="1:25" ht="12" customHeight="1">
      <c r="A219" s="219" t="n" cm="1">
        <f t="array" ref="A219">IFERROR(INDEX('03.Muestra'!$B$8:$B$42,SMALL(IF("Página Web"='03.Muestra'!$D$8:$D$42,ROW('03.Muestra'!$B$8:$B$42)-MIN(ROW('03.Muestra'!$D$8:$D$42))+1,""),ROW()-208)),"")</f>
        <v>1.0</v>
      </c>
      <c r="B219" s="114" t="str" cm="1">
        <f t="array" ref="B219">IFERROR(INDEX('03.Muestra'!$C$8:$C$42,SMALL(IF("Página Web"='03.Muestra'!$D$8:$D$42,ROW('03.Muestra'!$C$8:$C$42)-MIN(ROW('03.Muestra'!$D$8:$D$42))+1,""),ROW()-208)),"")</f>
        <v>Home - PortCastelló</v>
      </c>
      <c r="C219" s="114" t="str" cm="1">
        <f t="array" ref="C219">IFERROR(INDEX('03.Muestra'!$F$8:$F$42,SMALL(IF("Página Web"='03.Muestra'!$D$8:$D$42,ROW('03.Muestra'!$F$8:$F$42)-MIN(ROW('03.Muestra'!$D$8:$D$42))+1,""),ROW()-208)),"")</f>
        <v>https://www.portcastello.com/</v>
      </c>
      <c r="D219" s="130" t="s">
        <v>37</v>
      </c>
      <c r="E219" s="107" t="str">
        <f t="shared" si="10"/>
        <v/>
      </c>
      <c r="F219" s="19"/>
      <c r="G219" s="19"/>
      <c r="H219" s="19"/>
      <c r="I219" s="19"/>
      <c r="J219" s="19"/>
      <c r="K219" s="233"/>
      <c r="L219" s="19"/>
      <c r="M219" s="19"/>
      <c r="N219" s="19"/>
      <c r="O219" s="19"/>
      <c r="P219" s="19"/>
      <c r="Q219" s="19"/>
      <c r="R219" s="19"/>
      <c r="S219" s="19"/>
      <c r="T219" s="19"/>
      <c r="U219" s="19"/>
      <c r="V219" s="19"/>
      <c r="W219" s="19"/>
      <c r="X219" s="19"/>
      <c r="Y219" s="19"/>
    </row>
    <row r="220" spans="1:25" ht="12" customHeight="1">
      <c r="A220" s="219" t="n" cm="1">
        <f t="array" ref="A220">IFERROR(INDEX('03.Muestra'!$B$8:$B$42,SMALL(IF("Página Web"='03.Muestra'!$D$8:$D$42,ROW('03.Muestra'!$B$8:$B$42)-MIN(ROW('03.Muestra'!$D$8:$D$42))+1,""),ROW()-208)),"")</f>
        <v>1.0</v>
      </c>
      <c r="B220" s="114" t="str" cm="1">
        <f t="array" ref="B220">IFERROR(INDEX('03.Muestra'!$C$8:$C$42,SMALL(IF("Página Web"='03.Muestra'!$D$8:$D$42,ROW('03.Muestra'!$C$8:$C$42)-MIN(ROW('03.Muestra'!$D$8:$D$42))+1,""),ROW()-208)),"")</f>
        <v>Home - PortCastelló</v>
      </c>
      <c r="C220" s="114" t="str" cm="1">
        <f t="array" ref="C220">IFERROR(INDEX('03.Muestra'!$F$8:$F$42,SMALL(IF("Página Web"='03.Muestra'!$D$8:$D$42,ROW('03.Muestra'!$F$8:$F$42)-MIN(ROW('03.Muestra'!$D$8:$D$42))+1,""),ROW()-208)),"")</f>
        <v>https://www.portcastello.com/</v>
      </c>
      <c r="D220" s="130" t="s">
        <v>37</v>
      </c>
      <c r="E220" s="107" t="str">
        <f t="shared" si="10"/>
        <v/>
      </c>
      <c r="F220" s="19"/>
      <c r="G220" s="19"/>
      <c r="H220" s="19"/>
      <c r="I220" s="19"/>
      <c r="J220" s="19"/>
      <c r="K220" s="233"/>
      <c r="L220" s="19"/>
      <c r="M220" s="19"/>
      <c r="N220" s="19"/>
      <c r="O220" s="19"/>
      <c r="P220" s="19"/>
      <c r="Q220" s="19"/>
      <c r="R220" s="19"/>
      <c r="S220" s="19"/>
      <c r="T220" s="19"/>
      <c r="U220" s="19"/>
      <c r="V220" s="19"/>
      <c r="W220" s="19"/>
      <c r="X220" s="19"/>
      <c r="Y220" s="19"/>
    </row>
    <row r="221" spans="1:25" ht="12" customHeight="1">
      <c r="A221" s="219" t="n" cm="1">
        <f t="array" ref="A221">IFERROR(INDEX('03.Muestra'!$B$8:$B$42,SMALL(IF("Página Web"='03.Muestra'!$D$8:$D$42,ROW('03.Muestra'!$B$8:$B$42)-MIN(ROW('03.Muestra'!$D$8:$D$42))+1,""),ROW()-208)),"")</f>
        <v>1.0</v>
      </c>
      <c r="B221" s="114" t="str" cm="1">
        <f t="array" ref="B221">IFERROR(INDEX('03.Muestra'!$C$8:$C$42,SMALL(IF("Página Web"='03.Muestra'!$D$8:$D$42,ROW('03.Muestra'!$C$8:$C$42)-MIN(ROW('03.Muestra'!$D$8:$D$42))+1,""),ROW()-208)),"")</f>
        <v>Home - PortCastelló</v>
      </c>
      <c r="C221" s="114" t="str" cm="1">
        <f t="array" ref="C221">IFERROR(INDEX('03.Muestra'!$F$8:$F$42,SMALL(IF("Página Web"='03.Muestra'!$D$8:$D$42,ROW('03.Muestra'!$F$8:$F$42)-MIN(ROW('03.Muestra'!$D$8:$D$42))+1,""),ROW()-208)),"")</f>
        <v>https://www.portcastello.com/</v>
      </c>
      <c r="D221" s="130" t="s">
        <v>37</v>
      </c>
      <c r="E221" s="107" t="str">
        <f t="shared" si="10"/>
        <v/>
      </c>
      <c r="F221" s="19"/>
      <c r="G221" s="19"/>
      <c r="H221" s="19"/>
      <c r="I221" s="19"/>
      <c r="J221" s="19"/>
      <c r="K221" s="233"/>
      <c r="L221" s="19"/>
      <c r="M221" s="19"/>
      <c r="N221" s="19"/>
      <c r="O221" s="19"/>
      <c r="P221" s="19"/>
      <c r="Q221" s="19"/>
      <c r="R221" s="19"/>
      <c r="S221" s="19"/>
      <c r="T221" s="19"/>
      <c r="U221" s="19"/>
      <c r="V221" s="19"/>
      <c r="W221" s="19"/>
      <c r="X221" s="19"/>
      <c r="Y221" s="19"/>
    </row>
    <row r="222" spans="1:25" ht="12" customHeight="1">
      <c r="A222" s="219" t="n" cm="1">
        <f t="array" ref="A222">IFERROR(INDEX('03.Muestra'!$B$8:$B$42,SMALL(IF("Página Web"='03.Muestra'!$D$8:$D$42,ROW('03.Muestra'!$B$8:$B$42)-MIN(ROW('03.Muestra'!$D$8:$D$42))+1,""),ROW()-208)),"")</f>
        <v>1.0</v>
      </c>
      <c r="B222" s="114" t="str" cm="1">
        <f t="array" ref="B222">IFERROR(INDEX('03.Muestra'!$C$8:$C$42,SMALL(IF("Página Web"='03.Muestra'!$D$8:$D$42,ROW('03.Muestra'!$C$8:$C$42)-MIN(ROW('03.Muestra'!$D$8:$D$42))+1,""),ROW()-208)),"")</f>
        <v>Home - PortCastelló</v>
      </c>
      <c r="C222" s="114" t="str" cm="1">
        <f t="array" ref="C222">IFERROR(INDEX('03.Muestra'!$F$8:$F$42,SMALL(IF("Página Web"='03.Muestra'!$D$8:$D$42,ROW('03.Muestra'!$F$8:$F$42)-MIN(ROW('03.Muestra'!$D$8:$D$42))+1,""),ROW()-208)),"")</f>
        <v>https://www.portcastello.com/</v>
      </c>
      <c r="D222" s="130" t="s">
        <v>37</v>
      </c>
      <c r="E222" s="107" t="str">
        <f t="shared" si="10"/>
        <v/>
      </c>
      <c r="F222" s="19"/>
      <c r="G222" s="19"/>
      <c r="H222" s="19"/>
      <c r="I222" s="19"/>
      <c r="J222" s="19"/>
      <c r="K222" s="233"/>
      <c r="L222" s="19"/>
      <c r="M222" s="19"/>
      <c r="N222" s="19"/>
      <c r="O222" s="19"/>
      <c r="P222" s="19"/>
      <c r="Q222" s="19"/>
      <c r="R222" s="19"/>
      <c r="S222" s="19"/>
      <c r="T222" s="19"/>
      <c r="U222" s="19"/>
      <c r="V222" s="19"/>
      <c r="W222" s="19"/>
      <c r="X222" s="19"/>
      <c r="Y222" s="19"/>
    </row>
    <row r="223" spans="1:25" ht="12" customHeight="1">
      <c r="A223" s="219" t="n" cm="1">
        <f t="array" ref="A223">IFERROR(INDEX('03.Muestra'!$B$8:$B$42,SMALL(IF("Página Web"='03.Muestra'!$D$8:$D$42,ROW('03.Muestra'!$B$8:$B$42)-MIN(ROW('03.Muestra'!$D$8:$D$42))+1,""),ROW()-208)),"")</f>
        <v>1.0</v>
      </c>
      <c r="B223" s="114" t="str" cm="1">
        <f t="array" ref="B223">IFERROR(INDEX('03.Muestra'!$C$8:$C$42,SMALL(IF("Página Web"='03.Muestra'!$D$8:$D$42,ROW('03.Muestra'!$C$8:$C$42)-MIN(ROW('03.Muestra'!$D$8:$D$42))+1,""),ROW()-208)),"")</f>
        <v>Home - PortCastelló</v>
      </c>
      <c r="C223" s="114" t="str" cm="1">
        <f t="array" ref="C223">IFERROR(INDEX('03.Muestra'!$F$8:$F$42,SMALL(IF("Página Web"='03.Muestra'!$D$8:$D$42,ROW('03.Muestra'!$F$8:$F$42)-MIN(ROW('03.Muestra'!$D$8:$D$42))+1,""),ROW()-208)),"")</f>
        <v>https://www.portcastello.com/</v>
      </c>
      <c r="D223" s="130" t="s">
        <v>37</v>
      </c>
      <c r="E223" s="107" t="str">
        <f t="shared" si="10"/>
        <v/>
      </c>
      <c r="F223" s="19"/>
      <c r="G223" s="19"/>
      <c r="H223" s="19"/>
      <c r="I223" s="19"/>
      <c r="J223" s="19"/>
      <c r="K223" s="233"/>
      <c r="L223" s="19"/>
      <c r="M223" s="19"/>
      <c r="N223" s="19"/>
      <c r="O223" s="19"/>
      <c r="P223" s="19"/>
      <c r="Q223" s="19"/>
      <c r="R223" s="19"/>
      <c r="S223" s="19"/>
      <c r="T223" s="19"/>
      <c r="U223" s="19"/>
      <c r="V223" s="19"/>
      <c r="W223" s="19"/>
      <c r="X223" s="19"/>
      <c r="Y223" s="19"/>
    </row>
    <row r="224" spans="1:25" ht="12" customHeight="1">
      <c r="A224" s="219" t="n" cm="1">
        <f t="array" ref="A224">IFERROR(INDEX('03.Muestra'!$B$8:$B$42,SMALL(IF("Página Web"='03.Muestra'!$D$8:$D$42,ROW('03.Muestra'!$B$8:$B$42)-MIN(ROW('03.Muestra'!$D$8:$D$42))+1,""),ROW()-208)),"")</f>
        <v>1.0</v>
      </c>
      <c r="B224" s="114" t="str" cm="1">
        <f t="array" ref="B224">IFERROR(INDEX('03.Muestra'!$C$8:$C$42,SMALL(IF("Página Web"='03.Muestra'!$D$8:$D$42,ROW('03.Muestra'!$C$8:$C$42)-MIN(ROW('03.Muestra'!$D$8:$D$42))+1,""),ROW()-208)),"")</f>
        <v>Home - PortCastelló</v>
      </c>
      <c r="C224" s="114" t="str" cm="1">
        <f t="array" ref="C224">IFERROR(INDEX('03.Muestra'!$F$8:$F$42,SMALL(IF("Página Web"='03.Muestra'!$D$8:$D$42,ROW('03.Muestra'!$F$8:$F$42)-MIN(ROW('03.Muestra'!$D$8:$D$42))+1,""),ROW()-208)),"")</f>
        <v>https://www.portcastello.com/</v>
      </c>
      <c r="D224" s="130" t="s">
        <v>37</v>
      </c>
      <c r="E224" s="107" t="str">
        <f t="shared" si="10"/>
        <v/>
      </c>
      <c r="F224" s="19"/>
      <c r="G224" s="19"/>
      <c r="H224" s="19"/>
      <c r="I224" s="19"/>
      <c r="J224" s="19"/>
      <c r="K224" s="233"/>
      <c r="L224" s="19"/>
      <c r="M224" s="19"/>
      <c r="N224" s="19"/>
      <c r="O224" s="19"/>
      <c r="P224" s="19"/>
      <c r="Q224" s="19"/>
      <c r="R224" s="19"/>
      <c r="S224" s="19"/>
      <c r="T224" s="19"/>
      <c r="U224" s="19"/>
      <c r="V224" s="19"/>
      <c r="W224" s="19"/>
      <c r="X224" s="19"/>
      <c r="Y224" s="19"/>
    </row>
    <row r="225" spans="1:25" ht="12" customHeight="1">
      <c r="A225" s="219" t="n" cm="1">
        <f t="array" ref="A225">IFERROR(INDEX('03.Muestra'!$B$8:$B$42,SMALL(IF("Página Web"='03.Muestra'!$D$8:$D$42,ROW('03.Muestra'!$B$8:$B$42)-MIN(ROW('03.Muestra'!$D$8:$D$42))+1,""),ROW()-208)),"")</f>
        <v>1.0</v>
      </c>
      <c r="B225" s="114" t="str" cm="1">
        <f t="array" ref="B225">IFERROR(INDEX('03.Muestra'!$C$8:$C$42,SMALL(IF("Página Web"='03.Muestra'!$D$8:$D$42,ROW('03.Muestra'!$C$8:$C$42)-MIN(ROW('03.Muestra'!$D$8:$D$42))+1,""),ROW()-208)),"")</f>
        <v>Home - PortCastelló</v>
      </c>
      <c r="C225" s="114" t="str" cm="1">
        <f t="array" ref="C225">IFERROR(INDEX('03.Muestra'!$F$8:$F$42,SMALL(IF("Página Web"='03.Muestra'!$D$8:$D$42,ROW('03.Muestra'!$F$8:$F$42)-MIN(ROW('03.Muestra'!$D$8:$D$42))+1,""),ROW()-208)),"")</f>
        <v>https://www.portcastello.com/</v>
      </c>
      <c r="D225" s="130" t="s">
        <v>37</v>
      </c>
      <c r="E225" s="107" t="str">
        <f t="shared" si="10"/>
        <v/>
      </c>
      <c r="F225" s="19"/>
      <c r="G225" s="19"/>
      <c r="H225" s="19"/>
      <c r="I225" s="19"/>
      <c r="J225" s="19"/>
      <c r="K225" s="233"/>
      <c r="L225" s="19"/>
      <c r="M225" s="19"/>
      <c r="N225" s="19"/>
      <c r="O225" s="19"/>
      <c r="P225" s="19"/>
      <c r="Q225" s="19"/>
      <c r="R225" s="19"/>
      <c r="S225" s="19"/>
      <c r="T225" s="19"/>
      <c r="U225" s="19"/>
      <c r="V225" s="19"/>
      <c r="W225" s="19"/>
      <c r="X225" s="19"/>
      <c r="Y225" s="19"/>
    </row>
    <row r="226" spans="1:25" ht="12" customHeight="1">
      <c r="A226" s="219" t="n" cm="1">
        <f t="array" ref="A226">IFERROR(INDEX('03.Muestra'!$B$8:$B$42,SMALL(IF("Página Web"='03.Muestra'!$D$8:$D$42,ROW('03.Muestra'!$B$8:$B$42)-MIN(ROW('03.Muestra'!$D$8:$D$42))+1,""),ROW()-208)),"")</f>
        <v>1.0</v>
      </c>
      <c r="B226" s="114" t="str" cm="1">
        <f t="array" ref="B226">IFERROR(INDEX('03.Muestra'!$C$8:$C$42,SMALL(IF("Página Web"='03.Muestra'!$D$8:$D$42,ROW('03.Muestra'!$C$8:$C$42)-MIN(ROW('03.Muestra'!$D$8:$D$42))+1,""),ROW()-208)),"")</f>
        <v>Home - PortCastelló</v>
      </c>
      <c r="C226" s="114" t="str" cm="1">
        <f t="array" ref="C226">IFERROR(INDEX('03.Muestra'!$F$8:$F$42,SMALL(IF("Página Web"='03.Muestra'!$D$8:$D$42,ROW('03.Muestra'!$F$8:$F$42)-MIN(ROW('03.Muestra'!$D$8:$D$42))+1,""),ROW()-208)),"")</f>
        <v>https://www.portcastello.com/</v>
      </c>
      <c r="D226" s="130" t="s">
        <v>37</v>
      </c>
      <c r="E226" s="107" t="str">
        <f t="shared" si="10"/>
        <v/>
      </c>
      <c r="F226" s="19"/>
      <c r="G226" s="19"/>
      <c r="H226" s="19"/>
      <c r="I226" s="19"/>
      <c r="J226" s="19"/>
      <c r="K226" s="233"/>
      <c r="L226" s="19"/>
      <c r="M226" s="19"/>
      <c r="N226" s="19"/>
      <c r="O226" s="19"/>
      <c r="P226" s="19"/>
      <c r="Q226" s="19"/>
      <c r="R226" s="19"/>
      <c r="S226" s="19"/>
      <c r="T226" s="19"/>
      <c r="U226" s="19"/>
      <c r="V226" s="19"/>
      <c r="W226" s="19"/>
      <c r="X226" s="19"/>
      <c r="Y226" s="19"/>
    </row>
    <row r="227" spans="1:25" ht="12" customHeight="1">
      <c r="A227" s="219" t="n" cm="1">
        <f t="array" ref="A227">IFERROR(INDEX('03.Muestra'!$B$8:$B$42,SMALL(IF("Página Web"='03.Muestra'!$D$8:$D$42,ROW('03.Muestra'!$B$8:$B$42)-MIN(ROW('03.Muestra'!$D$8:$D$42))+1,""),ROW()-208)),"")</f>
        <v>1.0</v>
      </c>
      <c r="B227" s="114" t="str" cm="1">
        <f t="array" ref="B227">IFERROR(INDEX('03.Muestra'!$C$8:$C$42,SMALL(IF("Página Web"='03.Muestra'!$D$8:$D$42,ROW('03.Muestra'!$C$8:$C$42)-MIN(ROW('03.Muestra'!$D$8:$D$42))+1,""),ROW()-208)),"")</f>
        <v>Home - PortCastelló</v>
      </c>
      <c r="C227" s="114" t="str" cm="1">
        <f t="array" ref="C227">IFERROR(INDEX('03.Muestra'!$F$8:$F$42,SMALL(IF("Página Web"='03.Muestra'!$D$8:$D$42,ROW('03.Muestra'!$F$8:$F$42)-MIN(ROW('03.Muestra'!$D$8:$D$42))+1,""),ROW()-208)),"")</f>
        <v>https://www.portcastello.com/</v>
      </c>
      <c r="D227" s="130" t="s">
        <v>37</v>
      </c>
      <c r="E227" s="107" t="str">
        <f t="shared" si="10"/>
        <v/>
      </c>
      <c r="F227" s="19"/>
      <c r="G227" s="19"/>
      <c r="H227" s="19"/>
      <c r="I227" s="19"/>
      <c r="J227" s="19"/>
      <c r="K227" s="233"/>
      <c r="L227" s="19"/>
      <c r="M227" s="19"/>
      <c r="N227" s="19"/>
      <c r="O227" s="19"/>
      <c r="P227" s="19"/>
      <c r="Q227" s="19"/>
      <c r="R227" s="19"/>
      <c r="S227" s="19"/>
      <c r="T227" s="19"/>
      <c r="U227" s="19"/>
      <c r="V227" s="19"/>
      <c r="W227" s="19"/>
      <c r="X227" s="19"/>
      <c r="Y227" s="19"/>
    </row>
    <row r="228" spans="1:25" ht="12" customHeight="1">
      <c r="A228" s="219" t="n" cm="1">
        <f t="array" ref="A228">IFERROR(INDEX('03.Muestra'!$B$8:$B$42,SMALL(IF("Página Web"='03.Muestra'!$D$8:$D$42,ROW('03.Muestra'!$B$8:$B$42)-MIN(ROW('03.Muestra'!$D$8:$D$42))+1,""),ROW()-208)),"")</f>
        <v>1.0</v>
      </c>
      <c r="B228" s="114" t="str" cm="1">
        <f t="array" ref="B228">IFERROR(INDEX('03.Muestra'!$C$8:$C$42,SMALL(IF("Página Web"='03.Muestra'!$D$8:$D$42,ROW('03.Muestra'!$C$8:$C$42)-MIN(ROW('03.Muestra'!$D$8:$D$42))+1,""),ROW()-208)),"")</f>
        <v>Home - PortCastelló</v>
      </c>
      <c r="C228" s="114" t="str" cm="1">
        <f t="array" ref="C228">IFERROR(INDEX('03.Muestra'!$F$8:$F$42,SMALL(IF("Página Web"='03.Muestra'!$D$8:$D$42,ROW('03.Muestra'!$F$8:$F$42)-MIN(ROW('03.Muestra'!$D$8:$D$42))+1,""),ROW()-208)),"")</f>
        <v>https://www.portcastello.com/</v>
      </c>
      <c r="D228" s="130" t="s">
        <v>37</v>
      </c>
      <c r="E228" s="107" t="str">
        <f t="shared" si="10"/>
        <v/>
      </c>
      <c r="F228" s="19"/>
      <c r="G228" s="19"/>
      <c r="H228" s="19"/>
      <c r="I228" s="19"/>
      <c r="J228" s="19"/>
      <c r="K228" s="233"/>
      <c r="L228" s="19"/>
      <c r="M228" s="19"/>
      <c r="N228" s="19"/>
      <c r="O228" s="19"/>
      <c r="P228" s="19"/>
      <c r="Q228" s="19"/>
      <c r="R228" s="19"/>
      <c r="S228" s="19"/>
      <c r="T228" s="19"/>
      <c r="U228" s="19"/>
      <c r="V228" s="19"/>
      <c r="W228" s="19"/>
      <c r="X228" s="19"/>
      <c r="Y228" s="19"/>
    </row>
    <row r="229" spans="1:25" ht="12" customHeight="1">
      <c r="A229" s="219" t="n" cm="1">
        <f t="array" ref="A229">IFERROR(INDEX('03.Muestra'!$B$8:$B$42,SMALL(IF("Página Web"='03.Muestra'!$D$8:$D$42,ROW('03.Muestra'!$B$8:$B$42)-MIN(ROW('03.Muestra'!$D$8:$D$42))+1,""),ROW()-208)),"")</f>
        <v>1.0</v>
      </c>
      <c r="B229" s="114" t="str" cm="1">
        <f t="array" ref="B229">IFERROR(INDEX('03.Muestra'!$C$8:$C$42,SMALL(IF("Página Web"='03.Muestra'!$D$8:$D$42,ROW('03.Muestra'!$C$8:$C$42)-MIN(ROW('03.Muestra'!$D$8:$D$42))+1,""),ROW()-208)),"")</f>
        <v>Home - PortCastelló</v>
      </c>
      <c r="C229" s="114" t="str" cm="1">
        <f t="array" ref="C229">IFERROR(INDEX('03.Muestra'!$F$8:$F$42,SMALL(IF("Página Web"='03.Muestra'!$D$8:$D$42,ROW('03.Muestra'!$F$8:$F$42)-MIN(ROW('03.Muestra'!$D$8:$D$42))+1,""),ROW()-208)),"")</f>
        <v>https://www.portcastello.com/</v>
      </c>
      <c r="D229" s="130" t="s">
        <v>37</v>
      </c>
      <c r="E229" s="107" t="str">
        <f t="shared" si="10"/>
        <v/>
      </c>
      <c r="F229" s="19"/>
      <c r="G229" s="19"/>
      <c r="H229" s="19"/>
      <c r="I229" s="19"/>
      <c r="J229" s="19"/>
      <c r="K229" s="233"/>
      <c r="L229" s="19"/>
      <c r="M229" s="19"/>
      <c r="N229" s="19"/>
      <c r="O229" s="19"/>
      <c r="P229" s="19"/>
      <c r="Q229" s="19"/>
      <c r="R229" s="19"/>
      <c r="S229" s="19"/>
      <c r="T229" s="19"/>
      <c r="U229" s="19"/>
      <c r="V229" s="19"/>
      <c r="W229" s="19"/>
      <c r="X229" s="19"/>
      <c r="Y229" s="19"/>
    </row>
    <row r="230" spans="1:25" ht="12" customHeight="1">
      <c r="A230" s="219" t="n" cm="1">
        <f t="array" ref="A230">IFERROR(INDEX('03.Muestra'!$B$8:$B$42,SMALL(IF("Página Web"='03.Muestra'!$D$8:$D$42,ROW('03.Muestra'!$B$8:$B$42)-MIN(ROW('03.Muestra'!$D$8:$D$42))+1,""),ROW()-208)),"")</f>
        <v>1.0</v>
      </c>
      <c r="B230" s="114" t="str" cm="1">
        <f t="array" ref="B230">IFERROR(INDEX('03.Muestra'!$C$8:$C$42,SMALL(IF("Página Web"='03.Muestra'!$D$8:$D$42,ROW('03.Muestra'!$C$8:$C$42)-MIN(ROW('03.Muestra'!$D$8:$D$42))+1,""),ROW()-208)),"")</f>
        <v>Home - PortCastelló</v>
      </c>
      <c r="C230" s="114" t="str" cm="1">
        <f t="array" ref="C230">IFERROR(INDEX('03.Muestra'!$F$8:$F$42,SMALL(IF("Página Web"='03.Muestra'!$D$8:$D$42,ROW('03.Muestra'!$F$8:$F$42)-MIN(ROW('03.Muestra'!$D$8:$D$42))+1,""),ROW()-208)),"")</f>
        <v>https://www.portcastello.com/</v>
      </c>
      <c r="D230" s="130" t="s">
        <v>37</v>
      </c>
      <c r="E230" s="107" t="str">
        <f t="shared" si="10"/>
        <v/>
      </c>
      <c r="F230" s="19"/>
      <c r="G230" s="19"/>
      <c r="H230" s="19"/>
      <c r="I230" s="19"/>
      <c r="J230" s="19"/>
      <c r="K230" s="233"/>
      <c r="L230" s="19"/>
      <c r="M230" s="19"/>
      <c r="N230" s="19"/>
      <c r="O230" s="19"/>
      <c r="P230" s="19"/>
      <c r="Q230" s="19"/>
      <c r="R230" s="19"/>
      <c r="S230" s="19"/>
      <c r="T230" s="19"/>
      <c r="U230" s="19"/>
      <c r="V230" s="19"/>
      <c r="W230" s="19"/>
      <c r="X230" s="19"/>
      <c r="Y230" s="19"/>
    </row>
    <row r="231" spans="1:25" ht="12" customHeight="1">
      <c r="A231" s="219" t="n" cm="1">
        <f t="array" ref="A231">IFERROR(INDEX('03.Muestra'!$B$8:$B$42,SMALL(IF("Página Web"='03.Muestra'!$D$8:$D$42,ROW('03.Muestra'!$B$8:$B$42)-MIN(ROW('03.Muestra'!$D$8:$D$42))+1,""),ROW()-208)),"")</f>
        <v>1.0</v>
      </c>
      <c r="B231" s="114" t="str" cm="1">
        <f t="array" ref="B231">IFERROR(INDEX('03.Muestra'!$C$8:$C$42,SMALL(IF("Página Web"='03.Muestra'!$D$8:$D$42,ROW('03.Muestra'!$C$8:$C$42)-MIN(ROW('03.Muestra'!$D$8:$D$42))+1,""),ROW()-208)),"")</f>
        <v>Home - PortCastelló</v>
      </c>
      <c r="C231" s="114" t="str" cm="1">
        <f t="array" ref="C231">IFERROR(INDEX('03.Muestra'!$F$8:$F$42,SMALL(IF("Página Web"='03.Muestra'!$D$8:$D$42,ROW('03.Muestra'!$F$8:$F$42)-MIN(ROW('03.Muestra'!$D$8:$D$42))+1,""),ROW()-208)),"")</f>
        <v>https://www.portcastello.com/</v>
      </c>
      <c r="D231" s="130" t="s">
        <v>37</v>
      </c>
      <c r="E231" s="107" t="str">
        <f t="shared" si="10"/>
        <v/>
      </c>
      <c r="F231" s="19"/>
      <c r="G231" s="19"/>
      <c r="H231" s="19"/>
      <c r="I231" s="19"/>
      <c r="J231" s="19"/>
      <c r="K231" s="233"/>
      <c r="L231" s="19"/>
      <c r="M231" s="19"/>
      <c r="N231" s="19"/>
      <c r="O231" s="19"/>
      <c r="P231" s="19"/>
      <c r="Q231" s="19"/>
      <c r="R231" s="19"/>
      <c r="S231" s="19"/>
      <c r="T231" s="19"/>
      <c r="U231" s="19"/>
      <c r="V231" s="19"/>
      <c r="W231" s="19"/>
      <c r="X231" s="19"/>
      <c r="Y231" s="19"/>
    </row>
    <row r="232" spans="1:25" ht="12" customHeight="1">
      <c r="A232" s="219" t="n" cm="1">
        <f t="array" ref="A232">IFERROR(INDEX('03.Muestra'!$B$8:$B$42,SMALL(IF("Página Web"='03.Muestra'!$D$8:$D$42,ROW('03.Muestra'!$B$8:$B$42)-MIN(ROW('03.Muestra'!$D$8:$D$42))+1,""),ROW()-208)),"")</f>
        <v>1.0</v>
      </c>
      <c r="B232" s="114" t="str" cm="1">
        <f t="array" ref="B232">IFERROR(INDEX('03.Muestra'!$C$8:$C$42,SMALL(IF("Página Web"='03.Muestra'!$D$8:$D$42,ROW('03.Muestra'!$C$8:$C$42)-MIN(ROW('03.Muestra'!$D$8:$D$42))+1,""),ROW()-208)),"")</f>
        <v>Home - PortCastelló</v>
      </c>
      <c r="C232" s="114" t="str" cm="1">
        <f t="array" ref="C232">IFERROR(INDEX('03.Muestra'!$F$8:$F$42,SMALL(IF("Página Web"='03.Muestra'!$D$8:$D$42,ROW('03.Muestra'!$F$8:$F$42)-MIN(ROW('03.Muestra'!$D$8:$D$42))+1,""),ROW()-208)),"")</f>
        <v>https://www.portcastello.com/</v>
      </c>
      <c r="D232" s="130" t="s">
        <v>37</v>
      </c>
      <c r="E232" s="107" t="str">
        <f t="shared" si="10"/>
        <v/>
      </c>
      <c r="F232" s="19"/>
      <c r="G232" s="19"/>
      <c r="H232" s="19"/>
      <c r="I232" s="19"/>
      <c r="J232" s="19"/>
      <c r="K232" s="233"/>
      <c r="L232" s="19"/>
      <c r="M232" s="19"/>
      <c r="N232" s="19"/>
      <c r="O232" s="19"/>
      <c r="P232" s="19"/>
      <c r="Q232" s="19"/>
      <c r="R232" s="19"/>
      <c r="S232" s="19"/>
      <c r="T232" s="19"/>
      <c r="U232" s="19"/>
      <c r="V232" s="19"/>
      <c r="W232" s="19"/>
      <c r="X232" s="19"/>
      <c r="Y232" s="19"/>
    </row>
    <row r="233" spans="1:25" ht="12" customHeight="1">
      <c r="A233" s="219" t="n" cm="1">
        <f t="array" ref="A233">IFERROR(INDEX('03.Muestra'!$B$8:$B$42,SMALL(IF("Página Web"='03.Muestra'!$D$8:$D$42,ROW('03.Muestra'!$B$8:$B$42)-MIN(ROW('03.Muestra'!$D$8:$D$42))+1,""),ROW()-208)),"")</f>
        <v>1.0</v>
      </c>
      <c r="B233" s="114" t="str" cm="1">
        <f t="array" ref="B233">IFERROR(INDEX('03.Muestra'!$C$8:$C$42,SMALL(IF("Página Web"='03.Muestra'!$D$8:$D$42,ROW('03.Muestra'!$C$8:$C$42)-MIN(ROW('03.Muestra'!$D$8:$D$42))+1,""),ROW()-208)),"")</f>
        <v>Home - PortCastelló</v>
      </c>
      <c r="C233" s="114" t="str" cm="1">
        <f t="array" ref="C233">IFERROR(INDEX('03.Muestra'!$F$8:$F$42,SMALL(IF("Página Web"='03.Muestra'!$D$8:$D$42,ROW('03.Muestra'!$F$8:$F$42)-MIN(ROW('03.Muestra'!$D$8:$D$42))+1,""),ROW()-208)),"")</f>
        <v>https://www.portcastello.com/</v>
      </c>
      <c r="D233" s="130" t="s">
        <v>37</v>
      </c>
      <c r="E233" s="107" t="str">
        <f t="shared" si="10"/>
        <v/>
      </c>
      <c r="F233" s="19"/>
      <c r="G233" s="19"/>
      <c r="H233" s="19"/>
      <c r="I233" s="19"/>
      <c r="J233" s="19"/>
      <c r="K233" s="233"/>
      <c r="L233" s="19"/>
      <c r="M233" s="19"/>
      <c r="N233" s="19"/>
      <c r="O233" s="19"/>
      <c r="P233" s="19"/>
      <c r="Q233" s="19"/>
      <c r="R233" s="19"/>
      <c r="S233" s="19"/>
      <c r="T233" s="19"/>
      <c r="U233" s="19"/>
      <c r="V233" s="19"/>
      <c r="W233" s="19"/>
      <c r="X233" s="19"/>
      <c r="Y233" s="19"/>
    </row>
    <row r="234" spans="1:25" ht="12" customHeight="1">
      <c r="A234" s="219" t="n" cm="1">
        <f t="array" ref="A234">IFERROR(INDEX('03.Muestra'!$B$8:$B$42,SMALL(IF("Página Web"='03.Muestra'!$D$8:$D$42,ROW('03.Muestra'!$B$8:$B$42)-MIN(ROW('03.Muestra'!$D$8:$D$42))+1,""),ROW()-208)),"")</f>
        <v>1.0</v>
      </c>
      <c r="B234" s="114" t="str" cm="1">
        <f t="array" ref="B234">IFERROR(INDEX('03.Muestra'!$C$8:$C$42,SMALL(IF("Página Web"='03.Muestra'!$D$8:$D$42,ROW('03.Muestra'!$C$8:$C$42)-MIN(ROW('03.Muestra'!$D$8:$D$42))+1,""),ROW()-208)),"")</f>
        <v>Home - PortCastelló</v>
      </c>
      <c r="C234" s="114" t="str" cm="1">
        <f t="array" ref="C234">IFERROR(INDEX('03.Muestra'!$F$8:$F$42,SMALL(IF("Página Web"='03.Muestra'!$D$8:$D$42,ROW('03.Muestra'!$F$8:$F$42)-MIN(ROW('03.Muestra'!$D$8:$D$42))+1,""),ROW()-208)),"")</f>
        <v>https://www.portcastello.com/</v>
      </c>
      <c r="D234" s="130" t="s">
        <v>37</v>
      </c>
      <c r="E234" s="107" t="str">
        <f t="shared" si="10"/>
        <v/>
      </c>
      <c r="F234" s="19"/>
      <c r="G234" s="19"/>
      <c r="H234" s="19"/>
      <c r="I234" s="19"/>
      <c r="J234" s="19"/>
      <c r="K234" s="233"/>
      <c r="L234" s="19"/>
      <c r="M234" s="19"/>
      <c r="N234" s="19"/>
      <c r="O234" s="19"/>
      <c r="P234" s="19"/>
      <c r="Q234" s="19"/>
      <c r="R234" s="19"/>
      <c r="S234" s="19"/>
      <c r="T234" s="19"/>
      <c r="U234" s="19"/>
      <c r="V234" s="19"/>
      <c r="W234" s="19"/>
      <c r="X234" s="19"/>
      <c r="Y234" s="19"/>
    </row>
    <row r="235" spans="1:25" ht="12" customHeight="1">
      <c r="A235" s="219" t="n" cm="1">
        <f t="array" ref="A235">IFERROR(INDEX('03.Muestra'!$B$8:$B$42,SMALL(IF("Página Web"='03.Muestra'!$D$8:$D$42,ROW('03.Muestra'!$B$8:$B$42)-MIN(ROW('03.Muestra'!$D$8:$D$42))+1,""),ROW()-208)),"")</f>
        <v>1.0</v>
      </c>
      <c r="B235" s="114" t="str" cm="1">
        <f t="array" ref="B235">IFERROR(INDEX('03.Muestra'!$C$8:$C$42,SMALL(IF("Página Web"='03.Muestra'!$D$8:$D$42,ROW('03.Muestra'!$C$8:$C$42)-MIN(ROW('03.Muestra'!$D$8:$D$42))+1,""),ROW()-208)),"")</f>
        <v>Home - PortCastelló</v>
      </c>
      <c r="C235" s="114" t="str" cm="1">
        <f t="array" ref="C235">IFERROR(INDEX('03.Muestra'!$F$8:$F$42,SMALL(IF("Página Web"='03.Muestra'!$D$8:$D$42,ROW('03.Muestra'!$F$8:$F$42)-MIN(ROW('03.Muestra'!$D$8:$D$42))+1,""),ROW()-208)),"")</f>
        <v>https://www.portcastello.com/</v>
      </c>
      <c r="D235" s="130" t="s">
        <v>37</v>
      </c>
      <c r="E235" s="107" t="str">
        <f t="shared" si="10"/>
        <v/>
      </c>
      <c r="F235" s="19"/>
      <c r="G235" s="19"/>
      <c r="H235" s="19"/>
      <c r="I235" s="19"/>
      <c r="J235" s="19"/>
      <c r="K235" s="233"/>
      <c r="L235" s="19"/>
      <c r="M235" s="19"/>
      <c r="N235" s="19"/>
      <c r="O235" s="19"/>
      <c r="P235" s="19"/>
      <c r="Q235" s="19"/>
      <c r="R235" s="19"/>
      <c r="S235" s="19"/>
      <c r="T235" s="19"/>
      <c r="U235" s="19"/>
      <c r="V235" s="19"/>
      <c r="W235" s="19"/>
      <c r="X235" s="19"/>
      <c r="Y235" s="19"/>
    </row>
    <row r="236" spans="1:25" ht="12" customHeight="1">
      <c r="A236" s="219" t="n" cm="1">
        <f t="array" ref="A236">IFERROR(INDEX('03.Muestra'!$B$8:$B$42,SMALL(IF("Página Web"='03.Muestra'!$D$8:$D$42,ROW('03.Muestra'!$B$8:$B$42)-MIN(ROW('03.Muestra'!$D$8:$D$42))+1,""),ROW()-208)),"")</f>
        <v>1.0</v>
      </c>
      <c r="B236" s="114" t="str" cm="1">
        <f t="array" ref="B236">IFERROR(INDEX('03.Muestra'!$C$8:$C$42,SMALL(IF("Página Web"='03.Muestra'!$D$8:$D$42,ROW('03.Muestra'!$C$8:$C$42)-MIN(ROW('03.Muestra'!$D$8:$D$42))+1,""),ROW()-208)),"")</f>
        <v>Home - PortCastelló</v>
      </c>
      <c r="C236" s="114" t="str" cm="1">
        <f t="array" ref="C236">IFERROR(INDEX('03.Muestra'!$F$8:$F$42,SMALL(IF("Página Web"='03.Muestra'!$D$8:$D$42,ROW('03.Muestra'!$F$8:$F$42)-MIN(ROW('03.Muestra'!$D$8:$D$42))+1,""),ROW()-208)),"")</f>
        <v>https://www.portcastello.com/</v>
      </c>
      <c r="D236" s="130" t="s">
        <v>37</v>
      </c>
      <c r="E236" s="107" t="str">
        <f t="shared" si="10"/>
        <v/>
      </c>
      <c r="G236" s="19"/>
      <c r="H236" s="19"/>
      <c r="I236" s="19"/>
      <c r="J236" s="19"/>
      <c r="K236" s="233"/>
      <c r="L236" s="19"/>
      <c r="M236" s="19"/>
      <c r="N236" s="19"/>
      <c r="O236" s="19"/>
      <c r="P236" s="19"/>
      <c r="Q236" s="19"/>
      <c r="R236" s="19"/>
      <c r="S236" s="19"/>
      <c r="T236" s="19"/>
      <c r="U236" s="19"/>
      <c r="V236" s="19"/>
      <c r="W236" s="19"/>
      <c r="X236" s="19"/>
      <c r="Y236" s="19"/>
    </row>
    <row r="237" spans="1:25" ht="12" customHeight="1">
      <c r="A237" s="219" t="n" cm="1">
        <f t="array" ref="A237">IFERROR(INDEX('03.Muestra'!$B$8:$B$42,SMALL(IF("Página Web"='03.Muestra'!$D$8:$D$42,ROW('03.Muestra'!$B$8:$B$42)-MIN(ROW('03.Muestra'!$D$8:$D$42))+1,""),ROW()-208)),"")</f>
        <v>1.0</v>
      </c>
      <c r="B237" s="114" t="str" cm="1">
        <f t="array" ref="B237">IFERROR(INDEX('03.Muestra'!$C$8:$C$42,SMALL(IF("Página Web"='03.Muestra'!$D$8:$D$42,ROW('03.Muestra'!$C$8:$C$42)-MIN(ROW('03.Muestra'!$D$8:$D$42))+1,""),ROW()-208)),"")</f>
        <v>Home - PortCastelló</v>
      </c>
      <c r="C237" s="114" t="str" cm="1">
        <f t="array" ref="C237">IFERROR(INDEX('03.Muestra'!$F$8:$F$42,SMALL(IF("Página Web"='03.Muestra'!$D$8:$D$42,ROW('03.Muestra'!$F$8:$F$42)-MIN(ROW('03.Muestra'!$D$8:$D$42))+1,""),ROW()-208)),"")</f>
        <v>https://www.portcastello.com/</v>
      </c>
      <c r="D237" s="130" t="s">
        <v>37</v>
      </c>
      <c r="E237" s="107" t="str">
        <f t="shared" si="10"/>
        <v/>
      </c>
      <c r="F237" s="124"/>
      <c r="G237" s="19"/>
      <c r="H237" s="19"/>
      <c r="I237" s="19"/>
      <c r="J237" s="19"/>
      <c r="K237" s="233"/>
      <c r="L237" s="19"/>
      <c r="M237" s="19"/>
      <c r="N237" s="19"/>
      <c r="O237" s="19"/>
      <c r="P237" s="19"/>
      <c r="Q237" s="19"/>
      <c r="R237" s="19"/>
      <c r="S237" s="19"/>
      <c r="T237" s="19"/>
      <c r="U237" s="19"/>
      <c r="V237" s="19"/>
      <c r="W237" s="19"/>
      <c r="X237" s="19"/>
      <c r="Y237" s="19"/>
    </row>
    <row r="238" spans="1:25" ht="12" customHeight="1">
      <c r="A238" s="219" t="n" cm="1">
        <f t="array" ref="A238">IFERROR(INDEX('03.Muestra'!$B$8:$B$42,SMALL(IF("Página Web"='03.Muestra'!$D$8:$D$42,ROW('03.Muestra'!$B$8:$B$42)-MIN(ROW('03.Muestra'!$D$8:$D$42))+1,""),ROW()-208)),"")</f>
        <v>1.0</v>
      </c>
      <c r="B238" s="114" t="str" cm="1">
        <f t="array" ref="B238">IFERROR(INDEX('03.Muestra'!$C$8:$C$42,SMALL(IF("Página Web"='03.Muestra'!$D$8:$D$42,ROW('03.Muestra'!$C$8:$C$42)-MIN(ROW('03.Muestra'!$D$8:$D$42))+1,""),ROW()-208)),"")</f>
        <v>Home - PortCastelló</v>
      </c>
      <c r="C238" s="114" t="str" cm="1">
        <f t="array" ref="C238">IFERROR(INDEX('03.Muestra'!$F$8:$F$42,SMALL(IF("Página Web"='03.Muestra'!$D$8:$D$42,ROW('03.Muestra'!$F$8:$F$42)-MIN(ROW('03.Muestra'!$D$8:$D$42))+1,""),ROW()-208)),"")</f>
        <v>https://www.portcastello.com/</v>
      </c>
      <c r="D238" s="130" t="s">
        <v>37</v>
      </c>
      <c r="E238" s="107" t="str">
        <f t="shared" si="10"/>
        <v/>
      </c>
      <c r="F238" s="124"/>
      <c r="G238" s="19"/>
      <c r="H238" s="19"/>
      <c r="I238" s="19"/>
      <c r="J238" s="19"/>
      <c r="K238" s="233"/>
      <c r="L238" s="19"/>
      <c r="M238" s="19"/>
      <c r="N238" s="19"/>
      <c r="O238" s="19"/>
      <c r="P238" s="19"/>
      <c r="Q238" s="19"/>
      <c r="R238" s="19"/>
      <c r="S238" s="19"/>
      <c r="T238" s="19"/>
      <c r="U238" s="19"/>
      <c r="V238" s="19"/>
      <c r="W238" s="19"/>
      <c r="X238" s="19"/>
      <c r="Y238" s="19"/>
    </row>
    <row r="239" spans="1:25" ht="12" customHeight="1">
      <c r="A239" s="219" t="n" cm="1">
        <f t="array" ref="A239">IFERROR(INDEX('03.Muestra'!$B$8:$B$42,SMALL(IF("Página Web"='03.Muestra'!$D$8:$D$42,ROW('03.Muestra'!$B$8:$B$42)-MIN(ROW('03.Muestra'!$D$8:$D$42))+1,""),ROW()-208)),"")</f>
        <v>1.0</v>
      </c>
      <c r="B239" s="114" t="str" cm="1">
        <f t="array" ref="B239">IFERROR(INDEX('03.Muestra'!$C$8:$C$42,SMALL(IF("Página Web"='03.Muestra'!$D$8:$D$42,ROW('03.Muestra'!$C$8:$C$42)-MIN(ROW('03.Muestra'!$D$8:$D$42))+1,""),ROW()-208)),"")</f>
        <v>Home - PortCastelló</v>
      </c>
      <c r="C239" s="114" t="str" cm="1">
        <f t="array" ref="C239">IFERROR(INDEX('03.Muestra'!$F$8:$F$42,SMALL(IF("Página Web"='03.Muestra'!$D$8:$D$42,ROW('03.Muestra'!$F$8:$F$42)-MIN(ROW('03.Muestra'!$D$8:$D$42))+1,""),ROW()-208)),"")</f>
        <v>https://www.portcastello.com/</v>
      </c>
      <c r="D239" s="130" t="s">
        <v>37</v>
      </c>
      <c r="E239" s="107" t="str">
        <f t="shared" si="10"/>
        <v/>
      </c>
      <c r="F239" s="124"/>
      <c r="G239" s="19"/>
      <c r="H239" s="19"/>
      <c r="I239" s="19"/>
      <c r="J239" s="19"/>
      <c r="K239" s="233"/>
      <c r="L239" s="19"/>
      <c r="M239" s="19"/>
      <c r="N239" s="19"/>
      <c r="O239" s="19"/>
      <c r="P239" s="19"/>
      <c r="Q239" s="19"/>
      <c r="R239" s="19"/>
      <c r="S239" s="19"/>
      <c r="T239" s="19"/>
      <c r="U239" s="19"/>
      <c r="V239" s="19"/>
      <c r="W239" s="19"/>
      <c r="X239" s="19"/>
      <c r="Y239" s="19"/>
    </row>
    <row r="240" spans="1:25" ht="12" customHeight="1">
      <c r="A240" s="219" t="n" cm="1">
        <f t="array" ref="A240">IFERROR(INDEX('03.Muestra'!$B$8:$B$42,SMALL(IF("Página Web"='03.Muestra'!$D$8:$D$42,ROW('03.Muestra'!$B$8:$B$42)-MIN(ROW('03.Muestra'!$D$8:$D$42))+1,""),ROW()-208)),"")</f>
        <v>1.0</v>
      </c>
      <c r="B240" s="114" t="str" cm="1">
        <f t="array" ref="B240">IFERROR(INDEX('03.Muestra'!$C$8:$C$42,SMALL(IF("Página Web"='03.Muestra'!$D$8:$D$42,ROW('03.Muestra'!$C$8:$C$42)-MIN(ROW('03.Muestra'!$D$8:$D$42))+1,""),ROW()-208)),"")</f>
        <v>Home - PortCastelló</v>
      </c>
      <c r="C240" s="114" t="str" cm="1">
        <f t="array" ref="C240">IFERROR(INDEX('03.Muestra'!$F$8:$F$42,SMALL(IF("Página Web"='03.Muestra'!$D$8:$D$42,ROW('03.Muestra'!$F$8:$F$42)-MIN(ROW('03.Muestra'!$D$8:$D$42))+1,""),ROW()-208)),"")</f>
        <v>https://www.portcastello.com/</v>
      </c>
      <c r="D240" s="130" t="s">
        <v>37</v>
      </c>
      <c r="E240" s="107" t="str">
        <f t="shared" si="10"/>
        <v/>
      </c>
      <c r="F240" s="124"/>
      <c r="G240" s="19"/>
      <c r="H240" s="19"/>
      <c r="I240" s="19"/>
      <c r="J240" s="19"/>
      <c r="K240" s="233"/>
      <c r="L240" s="19"/>
      <c r="M240" s="19"/>
      <c r="N240" s="19"/>
      <c r="O240" s="19"/>
      <c r="P240" s="19"/>
      <c r="Q240" s="19"/>
      <c r="R240" s="19"/>
      <c r="S240" s="19"/>
      <c r="T240" s="19"/>
      <c r="U240" s="19"/>
      <c r="V240" s="19"/>
      <c r="W240" s="19"/>
      <c r="X240" s="19"/>
      <c r="Y240" s="19"/>
    </row>
    <row r="241" spans="1:25" ht="12" customHeight="1">
      <c r="A241" s="219" t="n" cm="1">
        <f t="array" ref="A241">IFERROR(INDEX('03.Muestra'!$B$8:$B$42,SMALL(IF("Página Web"='03.Muestra'!$D$8:$D$42,ROW('03.Muestra'!$B$8:$B$42)-MIN(ROW('03.Muestra'!$D$8:$D$42))+1,""),ROW()-208)),"")</f>
        <v>1.0</v>
      </c>
      <c r="B241" s="114" t="str" cm="1">
        <f t="array" ref="B241">IFERROR(INDEX('03.Muestra'!$C$8:$C$42,SMALL(IF("Página Web"='03.Muestra'!$D$8:$D$42,ROW('03.Muestra'!$C$8:$C$42)-MIN(ROW('03.Muestra'!$D$8:$D$42))+1,""),ROW()-208)),"")</f>
        <v>Home - PortCastelló</v>
      </c>
      <c r="C241" s="114" t="str" cm="1">
        <f t="array" ref="C241">IFERROR(INDEX('03.Muestra'!$F$8:$F$42,SMALL(IF("Página Web"='03.Muestra'!$D$8:$D$42,ROW('03.Muestra'!$F$8:$F$42)-MIN(ROW('03.Muestra'!$D$8:$D$42))+1,""),ROW()-208)),"")</f>
        <v>https://www.portcastello.com/</v>
      </c>
      <c r="D241" s="130" t="s">
        <v>37</v>
      </c>
      <c r="E241" s="107" t="str">
        <f t="shared" si="10"/>
        <v/>
      </c>
      <c r="F241" s="124"/>
      <c r="G241" s="19"/>
      <c r="H241" s="19"/>
      <c r="I241" s="19"/>
      <c r="J241" s="19"/>
      <c r="K241" s="233"/>
      <c r="L241" s="19"/>
      <c r="M241" s="19"/>
      <c r="N241" s="19"/>
      <c r="O241" s="19"/>
      <c r="P241" s="19"/>
      <c r="Q241" s="19"/>
      <c r="R241" s="19"/>
      <c r="S241" s="19"/>
      <c r="T241" s="19"/>
      <c r="U241" s="19"/>
      <c r="V241" s="19"/>
      <c r="W241" s="19"/>
      <c r="X241" s="19"/>
      <c r="Y241" s="19"/>
    </row>
    <row r="242" spans="1:25" ht="12" customHeight="1">
      <c r="A242" s="219" t="str" cm="1">
        <f t="array" ref="A242">IFERROR(INDEX('03.Muestra'!$B$8:$B$42,SMALL(IF("Página Web"='03.Muestra'!$D$8:$D$42,ROW('03.Muestra'!$B$8:$B$42)-MIN(ROW('03.Muestra'!$D$8:$D$42))+1,""),ROW()-208)),"")</f>
        <v/>
      </c>
      <c r="B242" s="114" t="str" cm="1">
        <f t="array" ref="B242">IFERROR(INDEX('03.Muestra'!$C$8:$C$42,SMALL(IF("Página Web"='03.Muestra'!$D$8:$D$42,ROW('03.Muestra'!$C$8:$C$42)-MIN(ROW('03.Muestra'!$D$8:$D$42))+1,""),ROW()-208)),"")</f>
        <v/>
      </c>
      <c r="C242" s="114" t="str" cm="1">
        <f t="array" ref="C242">IFERROR(INDEX('03.Muestra'!$F$8:$F$42,SMALL(IF("Página Web"='03.Muestra'!$D$8:$D$42,ROW('03.Muestra'!$F$8:$F$42)-MIN(ROW('03.Muestra'!$D$8:$D$42))+1,""),ROW()-208)),"")</f>
        <v/>
      </c>
      <c r="D242" s="130" t="str">
        <f t="shared" si="11" ref="D242:D243">IF(AND(B242&lt;&gt;"",C242&lt;&gt;""),"N/T","")</f>
        <v/>
      </c>
      <c r="E242" s="107" t="str">
        <f t="shared" si="10"/>
        <v/>
      </c>
      <c r="F242" s="124"/>
      <c r="G242" s="19"/>
      <c r="H242" s="19"/>
      <c r="I242" s="19"/>
      <c r="J242" s="19"/>
      <c r="K242" s="233"/>
      <c r="L242" s="19"/>
      <c r="M242" s="19"/>
      <c r="N242" s="19"/>
      <c r="O242" s="19"/>
      <c r="P242" s="19"/>
      <c r="Q242" s="19"/>
      <c r="R242" s="19"/>
      <c r="S242" s="19"/>
      <c r="T242" s="19"/>
      <c r="U242" s="19"/>
      <c r="V242" s="19"/>
      <c r="W242" s="19"/>
      <c r="X242" s="19"/>
      <c r="Y242" s="19"/>
    </row>
    <row r="243" spans="1:25" ht="12" customHeight="1">
      <c r="A243" s="219" t="str" cm="1">
        <f t="array" ref="A243">IFERROR(INDEX('03.Muestra'!$B$8:$B$42,SMALL(IF("Página Web"='03.Muestra'!$D$8:$D$42,ROW('03.Muestra'!$B$8:$B$42)-MIN(ROW('03.Muestra'!$D$8:$D$42))+1,""),ROW()-208)),"")</f>
        <v/>
      </c>
      <c r="B243" s="114" t="str" cm="1">
        <f t="array" ref="B243">IFERROR(INDEX('03.Muestra'!$C$8:$C$42,SMALL(IF("Página Web"='03.Muestra'!$D$8:$D$42,ROW('03.Muestra'!$C$8:$C$42)-MIN(ROW('03.Muestra'!$D$8:$D$42))+1,""),ROW()-208)),"")</f>
        <v/>
      </c>
      <c r="C243" s="114" t="str" cm="1">
        <f t="array" ref="C243">IFERROR(INDEX('03.Muestra'!$F$8:$F$42,SMALL(IF("Página Web"='03.Muestra'!$D$8:$D$42,ROW('03.Muestra'!$F$8:$F$42)-MIN(ROW('03.Muestra'!$D$8:$D$42))+1,""),ROW()-208)),"")</f>
        <v/>
      </c>
      <c r="D243" s="130" t="str">
        <f t="shared" si="11"/>
        <v/>
      </c>
      <c r="E243" s="107" t="str">
        <f t="shared" si="10"/>
        <v/>
      </c>
      <c r="F243" s="19"/>
      <c r="G243" s="19"/>
      <c r="H243" s="19"/>
      <c r="I243" s="19"/>
      <c r="J243" s="19"/>
      <c r="K243" s="233"/>
      <c r="L243" s="19"/>
      <c r="M243" s="19"/>
      <c r="N243" s="19"/>
      <c r="O243" s="19"/>
      <c r="P243" s="19"/>
      <c r="Q243" s="19"/>
      <c r="R243" s="19"/>
      <c r="S243" s="19"/>
      <c r="T243" s="19"/>
      <c r="U243" s="19"/>
      <c r="V243" s="19"/>
      <c r="W243" s="19"/>
      <c r="X243" s="19"/>
      <c r="Y243" s="19"/>
    </row>
    <row r="244" spans="1:25" ht="12" customHeight="1">
      <c r="B244" s="19"/>
      <c r="C244" s="19"/>
      <c r="D244" s="107"/>
      <c r="E244" s="107"/>
      <c r="F244" s="19"/>
      <c r="G244" s="19"/>
      <c r="H244" s="19"/>
      <c r="I244" s="19"/>
      <c r="J244" s="19"/>
      <c r="K244" s="233"/>
      <c r="L244" s="19"/>
      <c r="M244" s="19"/>
      <c r="N244" s="19"/>
      <c r="O244" s="19"/>
      <c r="P244" s="19"/>
      <c r="Q244" s="19"/>
      <c r="R244" s="19"/>
      <c r="S244" s="19"/>
      <c r="T244" s="19"/>
      <c r="U244" s="19"/>
      <c r="V244" s="19"/>
      <c r="W244" s="19"/>
      <c r="X244" s="19"/>
      <c r="Y244" s="19"/>
    </row>
    <row r="245" spans="1:25" ht="12" customHeight="1">
      <c r="B245" s="19"/>
      <c r="C245" s="19"/>
      <c r="D245" s="107"/>
      <c r="E245" s="112"/>
      <c r="F245" s="19"/>
      <c r="G245" s="19"/>
      <c r="H245" s="19"/>
      <c r="I245" s="19"/>
      <c r="J245" s="19"/>
      <c r="K245" s="233"/>
      <c r="L245" s="19"/>
      <c r="M245" s="19"/>
      <c r="N245" s="19"/>
      <c r="O245" s="19"/>
      <c r="P245" s="19"/>
      <c r="Q245" s="19"/>
      <c r="R245" s="19"/>
      <c r="S245" s="19"/>
      <c r="T245" s="19"/>
      <c r="U245" s="19"/>
      <c r="V245" s="19"/>
      <c r="W245" s="19"/>
      <c r="X245" s="19"/>
      <c r="Y245" s="19"/>
    </row>
    <row r="246" spans="1:25" ht="29.25" customHeight="1">
      <c r="A246" s="218" t="s">
        <v>268</v>
      </c>
      <c r="B246" s="24" t="s">
        <v>90</v>
      </c>
      <c r="C246" s="25" t="s">
        <v>379</v>
      </c>
      <c r="D246" s="26" t="s">
        <v>32</v>
      </c>
      <c r="E246" s="123"/>
      <c r="K246" s="233"/>
      <c r="L246" s="19"/>
      <c r="M246" s="19"/>
      <c r="N246" s="19"/>
      <c r="O246" s="19"/>
      <c r="P246" s="19"/>
      <c r="Q246" s="19"/>
      <c r="R246" s="19"/>
      <c r="S246" s="19"/>
      <c r="T246" s="19"/>
      <c r="U246" s="19"/>
      <c r="V246" s="19"/>
      <c r="W246" s="19"/>
      <c r="X246" s="19"/>
      <c r="Y246" s="19"/>
    </row>
    <row r="247" spans="1:25" ht="12" customHeight="1">
      <c r="A247" s="219" t="n" cm="1">
        <f t="array" ref="A247">IFERROR(INDEX('03.Muestra'!$B$8:$B$42,SMALL(IF("Página Web"='03.Muestra'!$D$8:$D$42,ROW('03.Muestra'!$B$8:$B$42)-MIN(ROW('03.Muestra'!$D$8:$D$42))+1,""),ROW()-246)),"")</f>
        <v>1.0</v>
      </c>
      <c r="B247" s="114" t="str" cm="1">
        <f t="array" ref="B247">IFERROR(INDEX('03.Muestra'!$C$8:$C$42,SMALL(IF("Página Web"='03.Muestra'!$D$8:$D$42,ROW('03.Muestra'!$C$8:$C$42)-MIN(ROW('03.Muestra'!$D$8:$D$42))+1,""),ROW()-246)),"")</f>
        <v>Home - PortCastelló</v>
      </c>
      <c r="C247" s="114" t="str" cm="1">
        <f t="array" ref="C247">IFERROR(INDEX('03.Muestra'!$F$8:$F$42,SMALL(IF("Página Web"='03.Muestra'!$D$8:$D$42,ROW('03.Muestra'!$F$8:$F$42)-MIN(ROW('03.Muestra'!$D$8:$D$42))+1,""),ROW()-246)),"")</f>
        <v>https://www.portcastello.com/</v>
      </c>
      <c r="D247" s="130" t="str">
        <f>IF(AND(B247&lt;&gt;"",C247&lt;&gt;""),"N/T","")</f>
        <v>N/T</v>
      </c>
      <c r="E247" s="107" t="str">
        <f t="shared" ref="E247:E281" si="12">IF(D247&lt;&gt;"",IF(AND(B247&lt;&gt;"",C247&lt;&gt;""),"","ERR"),"")</f>
        <v/>
      </c>
      <c r="F247" s="115" t="s">
        <v>33</v>
      </c>
      <c r="G247" s="116" t="s">
        <v>37</v>
      </c>
      <c r="H247" s="117" t="s">
        <v>35</v>
      </c>
      <c r="I247" s="118" t="s">
        <v>28</v>
      </c>
      <c r="J247" s="119" t="s">
        <v>26</v>
      </c>
      <c r="K247" s="226" t="s">
        <v>474</v>
      </c>
      <c r="L247" s="19"/>
      <c r="M247" s="19"/>
      <c r="N247" s="19"/>
      <c r="O247" s="19"/>
      <c r="P247" s="19"/>
      <c r="Q247" s="19"/>
      <c r="R247" s="19"/>
      <c r="S247" s="19"/>
      <c r="T247" s="19"/>
      <c r="U247" s="19"/>
      <c r="V247" s="19"/>
      <c r="W247" s="19"/>
      <c r="X247" s="19"/>
      <c r="Y247" s="19"/>
    </row>
    <row r="248" spans="1:25" ht="12" customHeight="1">
      <c r="A248" s="219" t="n" cm="1">
        <f t="array" ref="A248">IFERROR(INDEX('03.Muestra'!$B$8:$B$42,SMALL(IF("Página Web"='03.Muestra'!$D$8:$D$42,ROW('03.Muestra'!$B$8:$B$42)-MIN(ROW('03.Muestra'!$D$8:$D$42))+1,""),ROW()-246)),"")</f>
        <v>1.0</v>
      </c>
      <c r="B248" s="114" t="str" cm="1">
        <f t="array" ref="B248">IFERROR(INDEX('03.Muestra'!$C$8:$C$42,SMALL(IF("Página Web"='03.Muestra'!$D$8:$D$42,ROW('03.Muestra'!$C$8:$C$42)-MIN(ROW('03.Muestra'!$D$8:$D$42))+1,""),ROW()-246)),"")</f>
        <v>Home - PortCastelló</v>
      </c>
      <c r="C248" s="114" t="str" cm="1">
        <f t="array" ref="C248">IFERROR(INDEX('03.Muestra'!$F$8:$F$42,SMALL(IF("Página Web"='03.Muestra'!$D$8:$D$42,ROW('03.Muestra'!$F$8:$F$42)-MIN(ROW('03.Muestra'!$D$8:$D$42))+1,""),ROW()-246)),"")</f>
        <v>https://www.portcastello.com/</v>
      </c>
      <c r="D248" s="130" t="str">
        <f t="shared" ref="D248:D281" si="13">IF(AND(B248&lt;&gt;"",C248&lt;&gt;""),"N/T","")</f>
        <v>N/T</v>
      </c>
      <c r="E248" s="107" t="str">
        <f t="shared" si="12"/>
        <v/>
      </c>
      <c r="F248" s="120" t="n">
        <f ca="1">COUNTIF($D247:INDIRECT("$D" &amp;  SUM(ROW()-1,'03.Muestra'!$D$45)-1),F247)</f>
        <v>33.0</v>
      </c>
      <c r="G248" s="120" t="n">
        <f ca="1">COUNTIF($D247:INDIRECT("$D" &amp;  SUM(ROW()-1,'03.Muestra'!$D$45)-1),G247)</f>
        <v>0.0</v>
      </c>
      <c r="H248" s="120" t="n">
        <f ca="1">COUNTIF($D247:INDIRECT("$D" &amp;  SUM(ROW()-1,'03.Muestra'!$D$45)-1),H247)</f>
        <v>0.0</v>
      </c>
      <c r="I248" s="120" t="n">
        <f ca="1">COUNTIF($D247:INDIRECT("$D" &amp;  SUM(ROW()-1,'03.Muestra'!$D$45)-1),I247)</f>
        <v>0.0</v>
      </c>
      <c r="J248" s="120" t="n">
        <f ca="1">COUNTIF($D247:INDIRECT("$D" &amp;  SUM(ROW()-1,'03.Muestra'!$D$45)-1),J247)</f>
        <v>0.0</v>
      </c>
      <c r="K248" s="227" t="n">
        <f ca="1">IF(COUNTIF('03.Muestra'!$D$8:$D$42,"Página Web")=0,0,COUNTBLANK($D247:INDIRECT("$D" &amp;  SUM(ROW()-1,COUNTIF('03.Muestra'!$D$8:$D$42,"Página Web"))-1)))</f>
        <v>0.0</v>
      </c>
      <c r="L248" s="19"/>
      <c r="M248" s="19"/>
      <c r="N248" s="19"/>
      <c r="O248" s="19"/>
      <c r="P248" s="19"/>
      <c r="Q248" s="19"/>
      <c r="R248" s="19"/>
      <c r="S248" s="19"/>
      <c r="T248" s="19"/>
      <c r="U248" s="19"/>
      <c r="V248" s="19"/>
      <c r="W248" s="19"/>
      <c r="X248" s="19"/>
      <c r="Y248" s="19"/>
    </row>
    <row r="249" spans="1:25" ht="12" customHeight="1">
      <c r="A249" s="219" t="n" cm="1">
        <f t="array" ref="A249">IFERROR(INDEX('03.Muestra'!$B$8:$B$42,SMALL(IF("Página Web"='03.Muestra'!$D$8:$D$42,ROW('03.Muestra'!$B$8:$B$42)-MIN(ROW('03.Muestra'!$D$8:$D$42))+1,""),ROW()-246)),"")</f>
        <v>1.0</v>
      </c>
      <c r="B249" s="114" t="str" cm="1">
        <f t="array" ref="B249">IFERROR(INDEX('03.Muestra'!$C$8:$C$42,SMALL(IF("Página Web"='03.Muestra'!$D$8:$D$42,ROW('03.Muestra'!$C$8:$C$42)-MIN(ROW('03.Muestra'!$D$8:$D$42))+1,""),ROW()-246)),"")</f>
        <v>Home - PortCastelló</v>
      </c>
      <c r="C249" s="114" t="str" cm="1">
        <f t="array" ref="C249">IFERROR(INDEX('03.Muestra'!$F$8:$F$42,SMALL(IF("Página Web"='03.Muestra'!$D$8:$D$42,ROW('03.Muestra'!$F$8:$F$42)-MIN(ROW('03.Muestra'!$D$8:$D$42))+1,""),ROW()-246)),"")</f>
        <v>https://www.portcastello.com/</v>
      </c>
      <c r="D249" s="130" t="str">
        <f t="shared" si="13"/>
        <v>N/T</v>
      </c>
      <c r="E249" s="107" t="str">
        <f t="shared" si="12"/>
        <v/>
      </c>
      <c r="G249" s="19"/>
      <c r="H249" s="19"/>
      <c r="I249" s="19"/>
      <c r="J249" s="19"/>
      <c r="K249" s="233"/>
      <c r="L249" s="19"/>
      <c r="M249" s="19"/>
      <c r="N249" s="19"/>
      <c r="O249" s="19"/>
      <c r="P249" s="19"/>
      <c r="Q249" s="19"/>
      <c r="R249" s="19"/>
      <c r="S249" s="19"/>
      <c r="T249" s="19"/>
      <c r="U249" s="19"/>
      <c r="V249" s="19"/>
      <c r="W249" s="19"/>
      <c r="X249" s="19"/>
      <c r="Y249" s="19"/>
    </row>
    <row r="250" spans="1:25" ht="12" customHeight="1">
      <c r="A250" s="219" t="n" cm="1">
        <f t="array" ref="A250">IFERROR(INDEX('03.Muestra'!$B$8:$B$42,SMALL(IF("Página Web"='03.Muestra'!$D$8:$D$42,ROW('03.Muestra'!$B$8:$B$42)-MIN(ROW('03.Muestra'!$D$8:$D$42))+1,""),ROW()-246)),"")</f>
        <v>1.0</v>
      </c>
      <c r="B250" s="114" t="str" cm="1">
        <f t="array" ref="B250">IFERROR(INDEX('03.Muestra'!$C$8:$C$42,SMALL(IF("Página Web"='03.Muestra'!$D$8:$D$42,ROW('03.Muestra'!$C$8:$C$42)-MIN(ROW('03.Muestra'!$D$8:$D$42))+1,""),ROW()-246)),"")</f>
        <v>Home - PortCastelló</v>
      </c>
      <c r="C250" s="114" t="str" cm="1">
        <f t="array" ref="C250">IFERROR(INDEX('03.Muestra'!$F$8:$F$42,SMALL(IF("Página Web"='03.Muestra'!$D$8:$D$42,ROW('03.Muestra'!$F$8:$F$42)-MIN(ROW('03.Muestra'!$D$8:$D$42))+1,""),ROW()-246)),"")</f>
        <v>https://www.portcastello.com/</v>
      </c>
      <c r="D250" s="130" t="str">
        <f t="shared" si="13"/>
        <v>N/T</v>
      </c>
      <c r="E250" s="107" t="str">
        <f t="shared" si="12"/>
        <v/>
      </c>
      <c r="G250" s="19"/>
      <c r="H250" s="19"/>
      <c r="I250" s="19"/>
      <c r="J250" s="19"/>
      <c r="K250" s="233"/>
      <c r="L250" s="19"/>
      <c r="M250" s="19"/>
      <c r="N250" s="19"/>
      <c r="O250" s="19"/>
      <c r="P250" s="19"/>
      <c r="Q250" s="19"/>
      <c r="R250" s="19"/>
      <c r="S250" s="19"/>
      <c r="T250" s="19"/>
      <c r="U250" s="19"/>
      <c r="V250" s="19"/>
      <c r="W250" s="19"/>
      <c r="X250" s="19"/>
      <c r="Y250" s="19"/>
    </row>
    <row r="251" spans="1:25" ht="12" customHeight="1">
      <c r="A251" s="219" t="n" cm="1">
        <f t="array" ref="A251">IFERROR(INDEX('03.Muestra'!$B$8:$B$42,SMALL(IF("Página Web"='03.Muestra'!$D$8:$D$42,ROW('03.Muestra'!$B$8:$B$42)-MIN(ROW('03.Muestra'!$D$8:$D$42))+1,""),ROW()-246)),"")</f>
        <v>1.0</v>
      </c>
      <c r="B251" s="114" t="str" cm="1">
        <f t="array" ref="B251">IFERROR(INDEX('03.Muestra'!$C$8:$C$42,SMALL(IF("Página Web"='03.Muestra'!$D$8:$D$42,ROW('03.Muestra'!$C$8:$C$42)-MIN(ROW('03.Muestra'!$D$8:$D$42))+1,""),ROW()-246)),"")</f>
        <v>Home - PortCastelló</v>
      </c>
      <c r="C251" s="114" t="str" cm="1">
        <f t="array" ref="C251">IFERROR(INDEX('03.Muestra'!$F$8:$F$42,SMALL(IF("Página Web"='03.Muestra'!$D$8:$D$42,ROW('03.Muestra'!$F$8:$F$42)-MIN(ROW('03.Muestra'!$D$8:$D$42))+1,""),ROW()-246)),"")</f>
        <v>https://www.portcastello.com/</v>
      </c>
      <c r="D251" s="130" t="str">
        <f t="shared" si="13"/>
        <v>N/T</v>
      </c>
      <c r="E251" s="107" t="str">
        <f t="shared" si="12"/>
        <v/>
      </c>
      <c r="G251" s="19"/>
      <c r="H251" s="19"/>
      <c r="I251" s="19"/>
      <c r="J251" s="19"/>
      <c r="K251" s="233"/>
      <c r="L251" s="19"/>
      <c r="M251" s="19"/>
      <c r="N251" s="19"/>
      <c r="O251" s="19"/>
      <c r="P251" s="19"/>
      <c r="Q251" s="19"/>
      <c r="R251" s="19"/>
      <c r="S251" s="19"/>
      <c r="T251" s="19"/>
      <c r="U251" s="19"/>
      <c r="V251" s="19"/>
      <c r="W251" s="19"/>
      <c r="X251" s="19"/>
      <c r="Y251" s="19"/>
    </row>
    <row r="252" spans="1:25" ht="12" customHeight="1">
      <c r="A252" s="219" t="n" cm="1">
        <f t="array" ref="A252">IFERROR(INDEX('03.Muestra'!$B$8:$B$42,SMALL(IF("Página Web"='03.Muestra'!$D$8:$D$42,ROW('03.Muestra'!$B$8:$B$42)-MIN(ROW('03.Muestra'!$D$8:$D$42))+1,""),ROW()-246)),"")</f>
        <v>1.0</v>
      </c>
      <c r="B252" s="114" t="str" cm="1">
        <f t="array" ref="B252">IFERROR(INDEX('03.Muestra'!$C$8:$C$42,SMALL(IF("Página Web"='03.Muestra'!$D$8:$D$42,ROW('03.Muestra'!$C$8:$C$42)-MIN(ROW('03.Muestra'!$D$8:$D$42))+1,""),ROW()-246)),"")</f>
        <v>Home - PortCastelló</v>
      </c>
      <c r="C252" s="114" t="str" cm="1">
        <f t="array" ref="C252">IFERROR(INDEX('03.Muestra'!$F$8:$F$42,SMALL(IF("Página Web"='03.Muestra'!$D$8:$D$42,ROW('03.Muestra'!$F$8:$F$42)-MIN(ROW('03.Muestra'!$D$8:$D$42))+1,""),ROW()-246)),"")</f>
        <v>https://www.portcastello.com/</v>
      </c>
      <c r="D252" s="130" t="str">
        <f t="shared" si="13"/>
        <v>N/T</v>
      </c>
      <c r="E252" s="107" t="str">
        <f t="shared" si="12"/>
        <v/>
      </c>
      <c r="G252" s="19"/>
      <c r="H252" s="19"/>
      <c r="I252" s="19"/>
      <c r="J252" s="19"/>
      <c r="K252" s="233"/>
      <c r="L252" s="19"/>
      <c r="M252" s="19"/>
      <c r="N252" s="19"/>
      <c r="O252" s="19"/>
      <c r="P252" s="19"/>
      <c r="Q252" s="19"/>
      <c r="R252" s="19"/>
      <c r="S252" s="19"/>
      <c r="T252" s="19"/>
      <c r="U252" s="19"/>
      <c r="V252" s="19"/>
      <c r="W252" s="19"/>
      <c r="X252" s="19"/>
      <c r="Y252" s="19"/>
    </row>
    <row r="253" spans="1:25" ht="12" customHeight="1">
      <c r="A253" s="219" t="n" cm="1">
        <f t="array" ref="A253">IFERROR(INDEX('03.Muestra'!$B$8:$B$42,SMALL(IF("Página Web"='03.Muestra'!$D$8:$D$42,ROW('03.Muestra'!$B$8:$B$42)-MIN(ROW('03.Muestra'!$D$8:$D$42))+1,""),ROW()-246)),"")</f>
        <v>1.0</v>
      </c>
      <c r="B253" s="114" t="str" cm="1">
        <f t="array" ref="B253">IFERROR(INDEX('03.Muestra'!$C$8:$C$42,SMALL(IF("Página Web"='03.Muestra'!$D$8:$D$42,ROW('03.Muestra'!$C$8:$C$42)-MIN(ROW('03.Muestra'!$D$8:$D$42))+1,""),ROW()-246)),"")</f>
        <v>Home - PortCastelló</v>
      </c>
      <c r="C253" s="114" t="str" cm="1">
        <f t="array" ref="C253">IFERROR(INDEX('03.Muestra'!$F$8:$F$42,SMALL(IF("Página Web"='03.Muestra'!$D$8:$D$42,ROW('03.Muestra'!$F$8:$F$42)-MIN(ROW('03.Muestra'!$D$8:$D$42))+1,""),ROW()-246)),"")</f>
        <v>https://www.portcastello.com/</v>
      </c>
      <c r="D253" s="130" t="str">
        <f t="shared" si="13"/>
        <v>N/T</v>
      </c>
      <c r="E253" s="107" t="str">
        <f t="shared" si="12"/>
        <v/>
      </c>
      <c r="F253" s="19"/>
      <c r="G253" s="19"/>
      <c r="H253" s="19"/>
      <c r="I253" s="19"/>
      <c r="J253" s="19"/>
      <c r="K253" s="233"/>
      <c r="L253" s="19"/>
      <c r="M253" s="19"/>
      <c r="N253" s="19"/>
      <c r="O253" s="19"/>
      <c r="P253" s="19"/>
      <c r="Q253" s="19"/>
      <c r="R253" s="19"/>
      <c r="S253" s="19"/>
      <c r="T253" s="19"/>
      <c r="U253" s="19"/>
      <c r="V253" s="19"/>
      <c r="W253" s="19"/>
      <c r="X253" s="19"/>
      <c r="Y253" s="19"/>
    </row>
    <row r="254" spans="1:25" ht="12" customHeight="1">
      <c r="A254" s="219" t="n" cm="1">
        <f t="array" ref="A254">IFERROR(INDEX('03.Muestra'!$B$8:$B$42,SMALL(IF("Página Web"='03.Muestra'!$D$8:$D$42,ROW('03.Muestra'!$B$8:$B$42)-MIN(ROW('03.Muestra'!$D$8:$D$42))+1,""),ROW()-246)),"")</f>
        <v>1.0</v>
      </c>
      <c r="B254" s="114" t="str" cm="1">
        <f t="array" ref="B254">IFERROR(INDEX('03.Muestra'!$C$8:$C$42,SMALL(IF("Página Web"='03.Muestra'!$D$8:$D$42,ROW('03.Muestra'!$C$8:$C$42)-MIN(ROW('03.Muestra'!$D$8:$D$42))+1,""),ROW()-246)),"")</f>
        <v>Home - PortCastelló</v>
      </c>
      <c r="C254" s="114" t="str" cm="1">
        <f t="array" ref="C254">IFERROR(INDEX('03.Muestra'!$F$8:$F$42,SMALL(IF("Página Web"='03.Muestra'!$D$8:$D$42,ROW('03.Muestra'!$F$8:$F$42)-MIN(ROW('03.Muestra'!$D$8:$D$42))+1,""),ROW()-246)),"")</f>
        <v>https://www.portcastello.com/</v>
      </c>
      <c r="D254" s="130" t="str">
        <f t="shared" si="13"/>
        <v>N/T</v>
      </c>
      <c r="E254" s="107" t="str">
        <f t="shared" si="12"/>
        <v/>
      </c>
      <c r="F254" s="19"/>
      <c r="G254" s="19"/>
      <c r="H254" s="19"/>
      <c r="I254" s="19"/>
      <c r="J254" s="19"/>
      <c r="K254" s="233"/>
      <c r="L254" s="19"/>
      <c r="M254" s="19"/>
      <c r="N254" s="19"/>
      <c r="O254" s="19"/>
      <c r="P254" s="19"/>
      <c r="Q254" s="19"/>
      <c r="R254" s="19"/>
      <c r="S254" s="19"/>
      <c r="T254" s="19"/>
      <c r="U254" s="19"/>
      <c r="V254" s="19"/>
      <c r="W254" s="19"/>
      <c r="X254" s="19"/>
      <c r="Y254" s="19"/>
    </row>
    <row r="255" spans="1:25" ht="12" customHeight="1">
      <c r="A255" s="219" t="n" cm="1">
        <f t="array" ref="A255">IFERROR(INDEX('03.Muestra'!$B$8:$B$42,SMALL(IF("Página Web"='03.Muestra'!$D$8:$D$42,ROW('03.Muestra'!$B$8:$B$42)-MIN(ROW('03.Muestra'!$D$8:$D$42))+1,""),ROW()-246)),"")</f>
        <v>1.0</v>
      </c>
      <c r="B255" s="114" t="str" cm="1">
        <f t="array" ref="B255">IFERROR(INDEX('03.Muestra'!$C$8:$C$42,SMALL(IF("Página Web"='03.Muestra'!$D$8:$D$42,ROW('03.Muestra'!$C$8:$C$42)-MIN(ROW('03.Muestra'!$D$8:$D$42))+1,""),ROW()-246)),"")</f>
        <v>Home - PortCastelló</v>
      </c>
      <c r="C255" s="114" t="str" cm="1">
        <f t="array" ref="C255">IFERROR(INDEX('03.Muestra'!$F$8:$F$42,SMALL(IF("Página Web"='03.Muestra'!$D$8:$D$42,ROW('03.Muestra'!$F$8:$F$42)-MIN(ROW('03.Muestra'!$D$8:$D$42))+1,""),ROW()-246)),"")</f>
        <v>https://www.portcastello.com/</v>
      </c>
      <c r="D255" s="130" t="str">
        <f t="shared" si="13"/>
        <v>N/T</v>
      </c>
      <c r="E255" s="107" t="str">
        <f t="shared" si="12"/>
        <v/>
      </c>
      <c r="F255" s="19"/>
      <c r="G255" s="19"/>
      <c r="H255" s="19"/>
      <c r="I255" s="19"/>
      <c r="J255" s="19"/>
      <c r="K255" s="233"/>
      <c r="L255" s="19"/>
      <c r="M255" s="19"/>
      <c r="N255" s="19"/>
      <c r="O255" s="19"/>
      <c r="P255" s="19"/>
      <c r="Q255" s="19"/>
      <c r="R255" s="19"/>
      <c r="S255" s="19"/>
      <c r="T255" s="19"/>
      <c r="U255" s="19"/>
      <c r="V255" s="19"/>
      <c r="W255" s="19"/>
      <c r="X255" s="19"/>
      <c r="Y255" s="19"/>
    </row>
    <row r="256" spans="1:25" ht="12" customHeight="1">
      <c r="A256" s="219" t="n" cm="1">
        <f t="array" ref="A256">IFERROR(INDEX('03.Muestra'!$B$8:$B$42,SMALL(IF("Página Web"='03.Muestra'!$D$8:$D$42,ROW('03.Muestra'!$B$8:$B$42)-MIN(ROW('03.Muestra'!$D$8:$D$42))+1,""),ROW()-246)),"")</f>
        <v>1.0</v>
      </c>
      <c r="B256" s="114" t="str" cm="1">
        <f t="array" ref="B256">IFERROR(INDEX('03.Muestra'!$C$8:$C$42,SMALL(IF("Página Web"='03.Muestra'!$D$8:$D$42,ROW('03.Muestra'!$C$8:$C$42)-MIN(ROW('03.Muestra'!$D$8:$D$42))+1,""),ROW()-246)),"")</f>
        <v>Home - PortCastelló</v>
      </c>
      <c r="C256" s="114" t="str" cm="1">
        <f t="array" ref="C256">IFERROR(INDEX('03.Muestra'!$F$8:$F$42,SMALL(IF("Página Web"='03.Muestra'!$D$8:$D$42,ROW('03.Muestra'!$F$8:$F$42)-MIN(ROW('03.Muestra'!$D$8:$D$42))+1,""),ROW()-246)),"")</f>
        <v>https://www.portcastello.com/</v>
      </c>
      <c r="D256" s="130" t="str">
        <f t="shared" si="13"/>
        <v>N/T</v>
      </c>
      <c r="E256" s="107" t="str">
        <f t="shared" si="12"/>
        <v/>
      </c>
      <c r="F256" s="19"/>
      <c r="G256" s="19"/>
      <c r="H256" s="19"/>
      <c r="I256" s="19"/>
      <c r="J256" s="19"/>
      <c r="K256" s="233"/>
      <c r="L256" s="19"/>
      <c r="M256" s="19"/>
      <c r="N256" s="19"/>
      <c r="O256" s="19"/>
      <c r="P256" s="19"/>
      <c r="Q256" s="19"/>
      <c r="R256" s="19"/>
      <c r="S256" s="19"/>
      <c r="T256" s="19"/>
      <c r="U256" s="19"/>
      <c r="V256" s="19"/>
      <c r="W256" s="19"/>
      <c r="X256" s="19"/>
      <c r="Y256" s="19"/>
    </row>
    <row r="257" spans="1:25" ht="12" customHeight="1">
      <c r="A257" s="219" t="n" cm="1">
        <f t="array" ref="A257">IFERROR(INDEX('03.Muestra'!$B$8:$B$42,SMALL(IF("Página Web"='03.Muestra'!$D$8:$D$42,ROW('03.Muestra'!$B$8:$B$42)-MIN(ROW('03.Muestra'!$D$8:$D$42))+1,""),ROW()-246)),"")</f>
        <v>1.0</v>
      </c>
      <c r="B257" s="114" t="str" cm="1">
        <f t="array" ref="B257">IFERROR(INDEX('03.Muestra'!$C$8:$C$42,SMALL(IF("Página Web"='03.Muestra'!$D$8:$D$42,ROW('03.Muestra'!$C$8:$C$42)-MIN(ROW('03.Muestra'!$D$8:$D$42))+1,""),ROW()-246)),"")</f>
        <v>Home - PortCastelló</v>
      </c>
      <c r="C257" s="114" t="str" cm="1">
        <f t="array" ref="C257">IFERROR(INDEX('03.Muestra'!$F$8:$F$42,SMALL(IF("Página Web"='03.Muestra'!$D$8:$D$42,ROW('03.Muestra'!$F$8:$F$42)-MIN(ROW('03.Muestra'!$D$8:$D$42))+1,""),ROW()-246)),"")</f>
        <v>https://www.portcastello.com/</v>
      </c>
      <c r="D257" s="130" t="str">
        <f t="shared" si="13"/>
        <v>N/T</v>
      </c>
      <c r="E257" s="107" t="str">
        <f t="shared" si="12"/>
        <v/>
      </c>
      <c r="F257" s="19"/>
      <c r="G257" s="19"/>
      <c r="H257" s="19"/>
      <c r="I257" s="19"/>
      <c r="J257" s="19"/>
      <c r="K257" s="233"/>
      <c r="L257" s="19"/>
      <c r="M257" s="19"/>
      <c r="N257" s="19"/>
      <c r="O257" s="19"/>
      <c r="P257" s="19"/>
      <c r="Q257" s="19"/>
      <c r="R257" s="19"/>
      <c r="S257" s="19"/>
      <c r="T257" s="19"/>
      <c r="U257" s="19"/>
      <c r="V257" s="19"/>
      <c r="W257" s="19"/>
      <c r="X257" s="19"/>
      <c r="Y257" s="19"/>
    </row>
    <row r="258" spans="1:25" ht="12" customHeight="1">
      <c r="A258" s="219" t="n" cm="1">
        <f t="array" ref="A258">IFERROR(INDEX('03.Muestra'!$B$8:$B$42,SMALL(IF("Página Web"='03.Muestra'!$D$8:$D$42,ROW('03.Muestra'!$B$8:$B$42)-MIN(ROW('03.Muestra'!$D$8:$D$42))+1,""),ROW()-246)),"")</f>
        <v>1.0</v>
      </c>
      <c r="B258" s="114" t="str" cm="1">
        <f t="array" ref="B258">IFERROR(INDEX('03.Muestra'!$C$8:$C$42,SMALL(IF("Página Web"='03.Muestra'!$D$8:$D$42,ROW('03.Muestra'!$C$8:$C$42)-MIN(ROW('03.Muestra'!$D$8:$D$42))+1,""),ROW()-246)),"")</f>
        <v>Home - PortCastelló</v>
      </c>
      <c r="C258" s="114" t="str" cm="1">
        <f t="array" ref="C258">IFERROR(INDEX('03.Muestra'!$F$8:$F$42,SMALL(IF("Página Web"='03.Muestra'!$D$8:$D$42,ROW('03.Muestra'!$F$8:$F$42)-MIN(ROW('03.Muestra'!$D$8:$D$42))+1,""),ROW()-246)),"")</f>
        <v>https://www.portcastello.com/</v>
      </c>
      <c r="D258" s="130" t="str">
        <f t="shared" si="13"/>
        <v>N/T</v>
      </c>
      <c r="E258" s="107" t="str">
        <f t="shared" si="12"/>
        <v/>
      </c>
      <c r="F258" s="19"/>
      <c r="G258" s="19"/>
      <c r="H258" s="19"/>
      <c r="I258" s="19"/>
      <c r="J258" s="19"/>
      <c r="K258" s="233"/>
      <c r="L258" s="19"/>
      <c r="M258" s="19"/>
      <c r="N258" s="19"/>
      <c r="O258" s="19"/>
      <c r="P258" s="19"/>
      <c r="Q258" s="19"/>
      <c r="R258" s="19"/>
      <c r="S258" s="19"/>
      <c r="T258" s="19"/>
      <c r="U258" s="19"/>
      <c r="V258" s="19"/>
      <c r="W258" s="19"/>
      <c r="X258" s="19"/>
      <c r="Y258" s="19"/>
    </row>
    <row r="259" spans="1:25" ht="12" customHeight="1">
      <c r="A259" s="219" t="n" cm="1">
        <f t="array" ref="A259">IFERROR(INDEX('03.Muestra'!$B$8:$B$42,SMALL(IF("Página Web"='03.Muestra'!$D$8:$D$42,ROW('03.Muestra'!$B$8:$B$42)-MIN(ROW('03.Muestra'!$D$8:$D$42))+1,""),ROW()-246)),"")</f>
        <v>1.0</v>
      </c>
      <c r="B259" s="114" t="str" cm="1">
        <f t="array" ref="B259">IFERROR(INDEX('03.Muestra'!$C$8:$C$42,SMALL(IF("Página Web"='03.Muestra'!$D$8:$D$42,ROW('03.Muestra'!$C$8:$C$42)-MIN(ROW('03.Muestra'!$D$8:$D$42))+1,""),ROW()-246)),"")</f>
        <v>Home - PortCastelló</v>
      </c>
      <c r="C259" s="114" t="str" cm="1">
        <f t="array" ref="C259">IFERROR(INDEX('03.Muestra'!$F$8:$F$42,SMALL(IF("Página Web"='03.Muestra'!$D$8:$D$42,ROW('03.Muestra'!$F$8:$F$42)-MIN(ROW('03.Muestra'!$D$8:$D$42))+1,""),ROW()-246)),"")</f>
        <v>https://www.portcastello.com/</v>
      </c>
      <c r="D259" s="130" t="str">
        <f t="shared" si="13"/>
        <v>N/T</v>
      </c>
      <c r="E259" s="107" t="str">
        <f t="shared" si="12"/>
        <v/>
      </c>
      <c r="F259" s="19"/>
      <c r="G259" s="19"/>
      <c r="H259" s="19"/>
      <c r="I259" s="19"/>
      <c r="J259" s="19"/>
      <c r="K259" s="233"/>
      <c r="L259" s="19"/>
      <c r="M259" s="19"/>
      <c r="N259" s="19"/>
      <c r="O259" s="19"/>
      <c r="P259" s="19"/>
      <c r="Q259" s="19"/>
      <c r="R259" s="19"/>
      <c r="S259" s="19"/>
      <c r="T259" s="19"/>
      <c r="U259" s="19"/>
      <c r="V259" s="19"/>
      <c r="W259" s="19"/>
      <c r="X259" s="19"/>
      <c r="Y259" s="19"/>
    </row>
    <row r="260" spans="1:25" ht="12" customHeight="1">
      <c r="A260" s="219" t="n" cm="1">
        <f t="array" ref="A260">IFERROR(INDEX('03.Muestra'!$B$8:$B$42,SMALL(IF("Página Web"='03.Muestra'!$D$8:$D$42,ROW('03.Muestra'!$B$8:$B$42)-MIN(ROW('03.Muestra'!$D$8:$D$42))+1,""),ROW()-246)),"")</f>
        <v>1.0</v>
      </c>
      <c r="B260" s="114" t="str" cm="1">
        <f t="array" ref="B260">IFERROR(INDEX('03.Muestra'!$C$8:$C$42,SMALL(IF("Página Web"='03.Muestra'!$D$8:$D$42,ROW('03.Muestra'!$C$8:$C$42)-MIN(ROW('03.Muestra'!$D$8:$D$42))+1,""),ROW()-246)),"")</f>
        <v>Home - PortCastelló</v>
      </c>
      <c r="C260" s="114" t="str" cm="1">
        <f t="array" ref="C260">IFERROR(INDEX('03.Muestra'!$F$8:$F$42,SMALL(IF("Página Web"='03.Muestra'!$D$8:$D$42,ROW('03.Muestra'!$F$8:$F$42)-MIN(ROW('03.Muestra'!$D$8:$D$42))+1,""),ROW()-246)),"")</f>
        <v>https://www.portcastello.com/</v>
      </c>
      <c r="D260" s="130" t="str">
        <f t="shared" si="13"/>
        <v>N/T</v>
      </c>
      <c r="E260" s="107" t="str">
        <f t="shared" si="12"/>
        <v/>
      </c>
      <c r="F260" s="19"/>
      <c r="G260" s="19"/>
      <c r="H260" s="19"/>
      <c r="I260" s="19"/>
      <c r="J260" s="19"/>
      <c r="K260" s="233"/>
      <c r="L260" s="19"/>
      <c r="M260" s="19"/>
      <c r="N260" s="19"/>
      <c r="O260" s="19"/>
      <c r="P260" s="19"/>
      <c r="Q260" s="19"/>
      <c r="R260" s="19"/>
      <c r="S260" s="19"/>
      <c r="T260" s="19"/>
      <c r="U260" s="19"/>
      <c r="V260" s="19"/>
      <c r="W260" s="19"/>
      <c r="X260" s="19"/>
      <c r="Y260" s="19"/>
    </row>
    <row r="261" spans="1:25" ht="12" customHeight="1">
      <c r="A261" s="219" t="n" cm="1">
        <f t="array" ref="A261">IFERROR(INDEX('03.Muestra'!$B$8:$B$42,SMALL(IF("Página Web"='03.Muestra'!$D$8:$D$42,ROW('03.Muestra'!$B$8:$B$42)-MIN(ROW('03.Muestra'!$D$8:$D$42))+1,""),ROW()-246)),"")</f>
        <v>1.0</v>
      </c>
      <c r="B261" s="114" t="str" cm="1">
        <f t="array" ref="B261">IFERROR(INDEX('03.Muestra'!$C$8:$C$42,SMALL(IF("Página Web"='03.Muestra'!$D$8:$D$42,ROW('03.Muestra'!$C$8:$C$42)-MIN(ROW('03.Muestra'!$D$8:$D$42))+1,""),ROW()-246)),"")</f>
        <v>Home - PortCastelló</v>
      </c>
      <c r="C261" s="114" t="str" cm="1">
        <f t="array" ref="C261">IFERROR(INDEX('03.Muestra'!$F$8:$F$42,SMALL(IF("Página Web"='03.Muestra'!$D$8:$D$42,ROW('03.Muestra'!$F$8:$F$42)-MIN(ROW('03.Muestra'!$D$8:$D$42))+1,""),ROW()-246)),"")</f>
        <v>https://www.portcastello.com/</v>
      </c>
      <c r="D261" s="130" t="str">
        <f t="shared" si="13"/>
        <v>N/T</v>
      </c>
      <c r="E261" s="107" t="str">
        <f t="shared" si="12"/>
        <v/>
      </c>
      <c r="F261" s="19"/>
      <c r="G261" s="19"/>
      <c r="H261" s="19"/>
      <c r="I261" s="19"/>
      <c r="J261" s="19"/>
      <c r="K261" s="233"/>
      <c r="L261" s="19"/>
      <c r="M261" s="19"/>
      <c r="N261" s="19"/>
      <c r="O261" s="19"/>
      <c r="P261" s="19"/>
      <c r="Q261" s="19"/>
      <c r="R261" s="19"/>
      <c r="S261" s="19"/>
      <c r="T261" s="19"/>
      <c r="U261" s="19"/>
      <c r="V261" s="19"/>
      <c r="W261" s="19"/>
      <c r="X261" s="19"/>
      <c r="Y261" s="19"/>
    </row>
    <row r="262" spans="1:25" ht="12" customHeight="1">
      <c r="A262" s="219" t="n" cm="1">
        <f t="array" ref="A262">IFERROR(INDEX('03.Muestra'!$B$8:$B$42,SMALL(IF("Página Web"='03.Muestra'!$D$8:$D$42,ROW('03.Muestra'!$B$8:$B$42)-MIN(ROW('03.Muestra'!$D$8:$D$42))+1,""),ROW()-246)),"")</f>
        <v>1.0</v>
      </c>
      <c r="B262" s="114" t="str" cm="1">
        <f t="array" ref="B262">IFERROR(INDEX('03.Muestra'!$C$8:$C$42,SMALL(IF("Página Web"='03.Muestra'!$D$8:$D$42,ROW('03.Muestra'!$C$8:$C$42)-MIN(ROW('03.Muestra'!$D$8:$D$42))+1,""),ROW()-246)),"")</f>
        <v>Home - PortCastelló</v>
      </c>
      <c r="C262" s="114" t="str" cm="1">
        <f t="array" ref="C262">IFERROR(INDEX('03.Muestra'!$F$8:$F$42,SMALL(IF("Página Web"='03.Muestra'!$D$8:$D$42,ROW('03.Muestra'!$F$8:$F$42)-MIN(ROW('03.Muestra'!$D$8:$D$42))+1,""),ROW()-246)),"")</f>
        <v>https://www.portcastello.com/</v>
      </c>
      <c r="D262" s="130" t="str">
        <f t="shared" si="13"/>
        <v>N/T</v>
      </c>
      <c r="E262" s="107" t="str">
        <f t="shared" si="12"/>
        <v/>
      </c>
      <c r="F262" s="19"/>
      <c r="G262" s="19"/>
      <c r="H262" s="19"/>
      <c r="I262" s="19"/>
      <c r="J262" s="19"/>
      <c r="K262" s="233"/>
      <c r="L262" s="19"/>
      <c r="M262" s="19"/>
      <c r="N262" s="19"/>
      <c r="O262" s="19"/>
      <c r="P262" s="19"/>
      <c r="Q262" s="19"/>
      <c r="R262" s="19"/>
      <c r="S262" s="19"/>
      <c r="T262" s="19"/>
      <c r="U262" s="19"/>
      <c r="V262" s="19"/>
      <c r="W262" s="19"/>
      <c r="X262" s="19"/>
      <c r="Y262" s="19"/>
    </row>
    <row r="263" spans="1:25" ht="12" customHeight="1">
      <c r="A263" s="219" t="n" cm="1">
        <f t="array" ref="A263">IFERROR(INDEX('03.Muestra'!$B$8:$B$42,SMALL(IF("Página Web"='03.Muestra'!$D$8:$D$42,ROW('03.Muestra'!$B$8:$B$42)-MIN(ROW('03.Muestra'!$D$8:$D$42))+1,""),ROW()-246)),"")</f>
        <v>1.0</v>
      </c>
      <c r="B263" s="114" t="str" cm="1">
        <f t="array" ref="B263">IFERROR(INDEX('03.Muestra'!$C$8:$C$42,SMALL(IF("Página Web"='03.Muestra'!$D$8:$D$42,ROW('03.Muestra'!$C$8:$C$42)-MIN(ROW('03.Muestra'!$D$8:$D$42))+1,""),ROW()-246)),"")</f>
        <v>Home - PortCastelló</v>
      </c>
      <c r="C263" s="114" t="str" cm="1">
        <f t="array" ref="C263">IFERROR(INDEX('03.Muestra'!$F$8:$F$42,SMALL(IF("Página Web"='03.Muestra'!$D$8:$D$42,ROW('03.Muestra'!$F$8:$F$42)-MIN(ROW('03.Muestra'!$D$8:$D$42))+1,""),ROW()-246)),"")</f>
        <v>https://www.portcastello.com/</v>
      </c>
      <c r="D263" s="130" t="str">
        <f t="shared" si="13"/>
        <v>N/T</v>
      </c>
      <c r="E263" s="107" t="str">
        <f t="shared" si="12"/>
        <v/>
      </c>
      <c r="F263" s="19"/>
      <c r="G263" s="19"/>
      <c r="H263" s="19"/>
      <c r="I263" s="19"/>
      <c r="J263" s="19"/>
      <c r="K263" s="233"/>
      <c r="L263" s="19"/>
      <c r="M263" s="19"/>
      <c r="N263" s="19"/>
      <c r="O263" s="19"/>
      <c r="P263" s="19"/>
      <c r="Q263" s="19"/>
      <c r="R263" s="19"/>
      <c r="S263" s="19"/>
      <c r="T263" s="19"/>
      <c r="U263" s="19"/>
      <c r="V263" s="19"/>
      <c r="W263" s="19"/>
      <c r="X263" s="19"/>
      <c r="Y263" s="19"/>
    </row>
    <row r="264" spans="1:25" ht="12" customHeight="1">
      <c r="A264" s="219" t="n" cm="1">
        <f t="array" ref="A264">IFERROR(INDEX('03.Muestra'!$B$8:$B$42,SMALL(IF("Página Web"='03.Muestra'!$D$8:$D$42,ROW('03.Muestra'!$B$8:$B$42)-MIN(ROW('03.Muestra'!$D$8:$D$42))+1,""),ROW()-246)),"")</f>
        <v>1.0</v>
      </c>
      <c r="B264" s="114" t="str" cm="1">
        <f t="array" ref="B264">IFERROR(INDEX('03.Muestra'!$C$8:$C$42,SMALL(IF("Página Web"='03.Muestra'!$D$8:$D$42,ROW('03.Muestra'!$C$8:$C$42)-MIN(ROW('03.Muestra'!$D$8:$D$42))+1,""),ROW()-246)),"")</f>
        <v>Home - PortCastelló</v>
      </c>
      <c r="C264" s="114" t="str" cm="1">
        <f t="array" ref="C264">IFERROR(INDEX('03.Muestra'!$F$8:$F$42,SMALL(IF("Página Web"='03.Muestra'!$D$8:$D$42,ROW('03.Muestra'!$F$8:$F$42)-MIN(ROW('03.Muestra'!$D$8:$D$42))+1,""),ROW()-246)),"")</f>
        <v>https://www.portcastello.com/</v>
      </c>
      <c r="D264" s="130" t="str">
        <f t="shared" si="13"/>
        <v>N/T</v>
      </c>
      <c r="E264" s="107" t="str">
        <f t="shared" si="12"/>
        <v/>
      </c>
      <c r="F264" s="19"/>
      <c r="G264" s="19"/>
      <c r="H264" s="19"/>
      <c r="I264" s="19"/>
      <c r="J264" s="19"/>
      <c r="K264" s="233"/>
      <c r="L264" s="19"/>
      <c r="M264" s="19"/>
      <c r="N264" s="19"/>
      <c r="O264" s="19"/>
      <c r="P264" s="19"/>
      <c r="Q264" s="19"/>
      <c r="R264" s="19"/>
      <c r="S264" s="19"/>
      <c r="T264" s="19"/>
      <c r="U264" s="19"/>
      <c r="V264" s="19"/>
      <c r="W264" s="19"/>
      <c r="X264" s="19"/>
      <c r="Y264" s="19"/>
    </row>
    <row r="265" spans="1:25" ht="12" customHeight="1">
      <c r="A265" s="219" t="n" cm="1">
        <f t="array" ref="A265">IFERROR(INDEX('03.Muestra'!$B$8:$B$42,SMALL(IF("Página Web"='03.Muestra'!$D$8:$D$42,ROW('03.Muestra'!$B$8:$B$42)-MIN(ROW('03.Muestra'!$D$8:$D$42))+1,""),ROW()-246)),"")</f>
        <v>1.0</v>
      </c>
      <c r="B265" s="114" t="str" cm="1">
        <f t="array" ref="B265">IFERROR(INDEX('03.Muestra'!$C$8:$C$42,SMALL(IF("Página Web"='03.Muestra'!$D$8:$D$42,ROW('03.Muestra'!$C$8:$C$42)-MIN(ROW('03.Muestra'!$D$8:$D$42))+1,""),ROW()-246)),"")</f>
        <v>Home - PortCastelló</v>
      </c>
      <c r="C265" s="114" t="str" cm="1">
        <f t="array" ref="C265">IFERROR(INDEX('03.Muestra'!$F$8:$F$42,SMALL(IF("Página Web"='03.Muestra'!$D$8:$D$42,ROW('03.Muestra'!$F$8:$F$42)-MIN(ROW('03.Muestra'!$D$8:$D$42))+1,""),ROW()-246)),"")</f>
        <v>https://www.portcastello.com/</v>
      </c>
      <c r="D265" s="130" t="str">
        <f t="shared" si="13"/>
        <v>N/T</v>
      </c>
      <c r="E265" s="107" t="str">
        <f t="shared" si="12"/>
        <v/>
      </c>
      <c r="F265" s="19"/>
      <c r="G265" s="19"/>
      <c r="H265" s="19"/>
      <c r="I265" s="19"/>
      <c r="J265" s="19"/>
      <c r="K265" s="233"/>
      <c r="L265" s="19"/>
      <c r="M265" s="19"/>
      <c r="N265" s="19"/>
      <c r="O265" s="19"/>
      <c r="P265" s="19"/>
      <c r="Q265" s="19"/>
      <c r="R265" s="19"/>
      <c r="S265" s="19"/>
      <c r="T265" s="19"/>
      <c r="U265" s="19"/>
      <c r="V265" s="19"/>
      <c r="W265" s="19"/>
      <c r="X265" s="19"/>
      <c r="Y265" s="19"/>
    </row>
    <row r="266" spans="1:25" ht="12" customHeight="1">
      <c r="A266" s="219" t="n" cm="1">
        <f t="array" ref="A266">IFERROR(INDEX('03.Muestra'!$B$8:$B$42,SMALL(IF("Página Web"='03.Muestra'!$D$8:$D$42,ROW('03.Muestra'!$B$8:$B$42)-MIN(ROW('03.Muestra'!$D$8:$D$42))+1,""),ROW()-246)),"")</f>
        <v>1.0</v>
      </c>
      <c r="B266" s="114" t="str" cm="1">
        <f t="array" ref="B266">IFERROR(INDEX('03.Muestra'!$C$8:$C$42,SMALL(IF("Página Web"='03.Muestra'!$D$8:$D$42,ROW('03.Muestra'!$C$8:$C$42)-MIN(ROW('03.Muestra'!$D$8:$D$42))+1,""),ROW()-246)),"")</f>
        <v>Home - PortCastelló</v>
      </c>
      <c r="C266" s="114" t="str" cm="1">
        <f t="array" ref="C266">IFERROR(INDEX('03.Muestra'!$F$8:$F$42,SMALL(IF("Página Web"='03.Muestra'!$D$8:$D$42,ROW('03.Muestra'!$F$8:$F$42)-MIN(ROW('03.Muestra'!$D$8:$D$42))+1,""),ROW()-246)),"")</f>
        <v>https://www.portcastello.com/</v>
      </c>
      <c r="D266" s="130" t="str">
        <f t="shared" si="13"/>
        <v>N/T</v>
      </c>
      <c r="E266" s="107" t="str">
        <f t="shared" si="12"/>
        <v/>
      </c>
      <c r="F266" s="19"/>
      <c r="G266" s="19"/>
      <c r="H266" s="19"/>
      <c r="I266" s="19"/>
      <c r="J266" s="19"/>
      <c r="K266" s="233"/>
      <c r="L266" s="19"/>
      <c r="M266" s="19"/>
      <c r="N266" s="19"/>
      <c r="O266" s="19"/>
      <c r="P266" s="19"/>
      <c r="Q266" s="19"/>
      <c r="R266" s="19"/>
      <c r="S266" s="19"/>
      <c r="T266" s="19"/>
      <c r="U266" s="19"/>
      <c r="V266" s="19"/>
      <c r="W266" s="19"/>
      <c r="X266" s="19"/>
      <c r="Y266" s="19"/>
    </row>
    <row r="267" spans="1:25" ht="12" customHeight="1">
      <c r="A267" s="219" t="n" cm="1">
        <f t="array" ref="A267">IFERROR(INDEX('03.Muestra'!$B$8:$B$42,SMALL(IF("Página Web"='03.Muestra'!$D$8:$D$42,ROW('03.Muestra'!$B$8:$B$42)-MIN(ROW('03.Muestra'!$D$8:$D$42))+1,""),ROW()-246)),"")</f>
        <v>1.0</v>
      </c>
      <c r="B267" s="114" t="str" cm="1">
        <f t="array" ref="B267">IFERROR(INDEX('03.Muestra'!$C$8:$C$42,SMALL(IF("Página Web"='03.Muestra'!$D$8:$D$42,ROW('03.Muestra'!$C$8:$C$42)-MIN(ROW('03.Muestra'!$D$8:$D$42))+1,""),ROW()-246)),"")</f>
        <v>Home - PortCastelló</v>
      </c>
      <c r="C267" s="114" t="str" cm="1">
        <f t="array" ref="C267">IFERROR(INDEX('03.Muestra'!$F$8:$F$42,SMALL(IF("Página Web"='03.Muestra'!$D$8:$D$42,ROW('03.Muestra'!$F$8:$F$42)-MIN(ROW('03.Muestra'!$D$8:$D$42))+1,""),ROW()-246)),"")</f>
        <v>https://www.portcastello.com/</v>
      </c>
      <c r="D267" s="130" t="str">
        <f t="shared" si="13"/>
        <v>N/T</v>
      </c>
      <c r="E267" s="107" t="str">
        <f t="shared" si="12"/>
        <v/>
      </c>
      <c r="F267" s="19"/>
      <c r="G267" s="19"/>
      <c r="H267" s="19"/>
      <c r="I267" s="19"/>
      <c r="J267" s="19"/>
      <c r="K267" s="233"/>
      <c r="L267" s="19"/>
      <c r="M267" s="19"/>
      <c r="N267" s="19"/>
      <c r="O267" s="19"/>
      <c r="P267" s="19"/>
      <c r="Q267" s="19"/>
      <c r="R267" s="19"/>
      <c r="S267" s="19"/>
      <c r="T267" s="19"/>
      <c r="U267" s="19"/>
      <c r="V267" s="19"/>
      <c r="W267" s="19"/>
      <c r="X267" s="19"/>
      <c r="Y267" s="19"/>
    </row>
    <row r="268" spans="1:25" ht="12" customHeight="1">
      <c r="A268" s="219" t="n" cm="1">
        <f t="array" ref="A268">IFERROR(INDEX('03.Muestra'!$B$8:$B$42,SMALL(IF("Página Web"='03.Muestra'!$D$8:$D$42,ROW('03.Muestra'!$B$8:$B$42)-MIN(ROW('03.Muestra'!$D$8:$D$42))+1,""),ROW()-246)),"")</f>
        <v>1.0</v>
      </c>
      <c r="B268" s="114" t="str" cm="1">
        <f t="array" ref="B268">IFERROR(INDEX('03.Muestra'!$C$8:$C$42,SMALL(IF("Página Web"='03.Muestra'!$D$8:$D$42,ROW('03.Muestra'!$C$8:$C$42)-MIN(ROW('03.Muestra'!$D$8:$D$42))+1,""),ROW()-246)),"")</f>
        <v>Home - PortCastelló</v>
      </c>
      <c r="C268" s="114" t="str" cm="1">
        <f t="array" ref="C268">IFERROR(INDEX('03.Muestra'!$F$8:$F$42,SMALL(IF("Página Web"='03.Muestra'!$D$8:$D$42,ROW('03.Muestra'!$F$8:$F$42)-MIN(ROW('03.Muestra'!$D$8:$D$42))+1,""),ROW()-246)),"")</f>
        <v>https://www.portcastello.com/</v>
      </c>
      <c r="D268" s="130" t="str">
        <f t="shared" si="13"/>
        <v>N/T</v>
      </c>
      <c r="E268" s="107" t="str">
        <f t="shared" si="12"/>
        <v/>
      </c>
      <c r="F268" s="19"/>
      <c r="G268" s="19"/>
      <c r="H268" s="19"/>
      <c r="I268" s="19"/>
      <c r="J268" s="19"/>
      <c r="K268" s="233"/>
      <c r="L268" s="19"/>
      <c r="M268" s="19"/>
      <c r="N268" s="19"/>
      <c r="O268" s="19"/>
      <c r="P268" s="19"/>
      <c r="Q268" s="19"/>
      <c r="R268" s="19"/>
      <c r="S268" s="19"/>
      <c r="T268" s="19"/>
      <c r="U268" s="19"/>
      <c r="V268" s="19"/>
      <c r="W268" s="19"/>
      <c r="X268" s="19"/>
      <c r="Y268" s="19"/>
    </row>
    <row r="269" spans="1:25" ht="12" customHeight="1">
      <c r="A269" s="219" t="n" cm="1">
        <f t="array" ref="A269">IFERROR(INDEX('03.Muestra'!$B$8:$B$42,SMALL(IF("Página Web"='03.Muestra'!$D$8:$D$42,ROW('03.Muestra'!$B$8:$B$42)-MIN(ROW('03.Muestra'!$D$8:$D$42))+1,""),ROW()-246)),"")</f>
        <v>1.0</v>
      </c>
      <c r="B269" s="114" t="str" cm="1">
        <f t="array" ref="B269">IFERROR(INDEX('03.Muestra'!$C$8:$C$42,SMALL(IF("Página Web"='03.Muestra'!$D$8:$D$42,ROW('03.Muestra'!$C$8:$C$42)-MIN(ROW('03.Muestra'!$D$8:$D$42))+1,""),ROW()-246)),"")</f>
        <v>Home - PortCastelló</v>
      </c>
      <c r="C269" s="114" t="str" cm="1">
        <f t="array" ref="C269">IFERROR(INDEX('03.Muestra'!$F$8:$F$42,SMALL(IF("Página Web"='03.Muestra'!$D$8:$D$42,ROW('03.Muestra'!$F$8:$F$42)-MIN(ROW('03.Muestra'!$D$8:$D$42))+1,""),ROW()-246)),"")</f>
        <v>https://www.portcastello.com/</v>
      </c>
      <c r="D269" s="130" t="str">
        <f t="shared" si="13"/>
        <v>N/T</v>
      </c>
      <c r="E269" s="107" t="str">
        <f t="shared" si="12"/>
        <v/>
      </c>
      <c r="F269" s="19"/>
      <c r="G269" s="19"/>
      <c r="H269" s="19"/>
      <c r="I269" s="19"/>
      <c r="J269" s="19"/>
      <c r="K269" s="233"/>
      <c r="L269" s="19"/>
      <c r="M269" s="19"/>
      <c r="N269" s="19"/>
      <c r="O269" s="19"/>
      <c r="P269" s="19"/>
      <c r="Q269" s="19"/>
      <c r="R269" s="19"/>
      <c r="S269" s="19"/>
      <c r="T269" s="19"/>
      <c r="U269" s="19"/>
      <c r="V269" s="19"/>
      <c r="W269" s="19"/>
      <c r="X269" s="19"/>
      <c r="Y269" s="19"/>
    </row>
    <row r="270" spans="1:25" ht="12" customHeight="1">
      <c r="A270" s="219" t="n" cm="1">
        <f t="array" ref="A270">IFERROR(INDEX('03.Muestra'!$B$8:$B$42,SMALL(IF("Página Web"='03.Muestra'!$D$8:$D$42,ROW('03.Muestra'!$B$8:$B$42)-MIN(ROW('03.Muestra'!$D$8:$D$42))+1,""),ROW()-246)),"")</f>
        <v>1.0</v>
      </c>
      <c r="B270" s="114" t="str" cm="1">
        <f t="array" ref="B270">IFERROR(INDEX('03.Muestra'!$C$8:$C$42,SMALL(IF("Página Web"='03.Muestra'!$D$8:$D$42,ROW('03.Muestra'!$C$8:$C$42)-MIN(ROW('03.Muestra'!$D$8:$D$42))+1,""),ROW()-246)),"")</f>
        <v>Home - PortCastelló</v>
      </c>
      <c r="C270" s="114" t="str" cm="1">
        <f t="array" ref="C270">IFERROR(INDEX('03.Muestra'!$F$8:$F$42,SMALL(IF("Página Web"='03.Muestra'!$D$8:$D$42,ROW('03.Muestra'!$F$8:$F$42)-MIN(ROW('03.Muestra'!$D$8:$D$42))+1,""),ROW()-246)),"")</f>
        <v>https://www.portcastello.com/</v>
      </c>
      <c r="D270" s="130" t="str">
        <f t="shared" si="13"/>
        <v>N/T</v>
      </c>
      <c r="E270" s="107" t="str">
        <f t="shared" si="12"/>
        <v/>
      </c>
      <c r="F270" s="19"/>
      <c r="G270" s="19"/>
      <c r="H270" s="19"/>
      <c r="I270" s="19"/>
      <c r="J270" s="19"/>
      <c r="K270" s="233"/>
      <c r="L270" s="19"/>
      <c r="M270" s="19"/>
      <c r="N270" s="19"/>
      <c r="O270" s="19"/>
      <c r="P270" s="19"/>
      <c r="Q270" s="19"/>
      <c r="R270" s="19"/>
      <c r="S270" s="19"/>
      <c r="T270" s="19"/>
      <c r="U270" s="19"/>
      <c r="V270" s="19"/>
      <c r="W270" s="19"/>
      <c r="X270" s="19"/>
      <c r="Y270" s="19"/>
    </row>
    <row r="271" spans="1:25" ht="12" customHeight="1">
      <c r="A271" s="219" t="n" cm="1">
        <f t="array" ref="A271">IFERROR(INDEX('03.Muestra'!$B$8:$B$42,SMALL(IF("Página Web"='03.Muestra'!$D$8:$D$42,ROW('03.Muestra'!$B$8:$B$42)-MIN(ROW('03.Muestra'!$D$8:$D$42))+1,""),ROW()-246)),"")</f>
        <v>1.0</v>
      </c>
      <c r="B271" s="114" t="str" cm="1">
        <f t="array" ref="B271">IFERROR(INDEX('03.Muestra'!$C$8:$C$42,SMALL(IF("Página Web"='03.Muestra'!$D$8:$D$42,ROW('03.Muestra'!$C$8:$C$42)-MIN(ROW('03.Muestra'!$D$8:$D$42))+1,""),ROW()-246)),"")</f>
        <v>Home - PortCastelló</v>
      </c>
      <c r="C271" s="114" t="str" cm="1">
        <f t="array" ref="C271">IFERROR(INDEX('03.Muestra'!$F$8:$F$42,SMALL(IF("Página Web"='03.Muestra'!$D$8:$D$42,ROW('03.Muestra'!$F$8:$F$42)-MIN(ROW('03.Muestra'!$D$8:$D$42))+1,""),ROW()-246)),"")</f>
        <v>https://www.portcastello.com/</v>
      </c>
      <c r="D271" s="130" t="str">
        <f t="shared" si="13"/>
        <v>N/T</v>
      </c>
      <c r="E271" s="107" t="str">
        <f t="shared" si="12"/>
        <v/>
      </c>
      <c r="F271" s="19"/>
      <c r="G271" s="19"/>
      <c r="H271" s="19"/>
      <c r="I271" s="19"/>
      <c r="J271" s="19"/>
      <c r="K271" s="233"/>
      <c r="L271" s="19"/>
      <c r="M271" s="19"/>
      <c r="N271" s="19"/>
      <c r="O271" s="19"/>
      <c r="P271" s="19"/>
      <c r="Q271" s="19"/>
      <c r="R271" s="19"/>
      <c r="S271" s="19"/>
      <c r="T271" s="19"/>
      <c r="U271" s="19"/>
      <c r="V271" s="19"/>
      <c r="W271" s="19"/>
      <c r="X271" s="19"/>
      <c r="Y271" s="19"/>
    </row>
    <row r="272" spans="1:25" ht="12" customHeight="1">
      <c r="A272" s="219" t="n" cm="1">
        <f t="array" ref="A272">IFERROR(INDEX('03.Muestra'!$B$8:$B$42,SMALL(IF("Página Web"='03.Muestra'!$D$8:$D$42,ROW('03.Muestra'!$B$8:$B$42)-MIN(ROW('03.Muestra'!$D$8:$D$42))+1,""),ROW()-246)),"")</f>
        <v>1.0</v>
      </c>
      <c r="B272" s="114" t="str" cm="1">
        <f t="array" ref="B272">IFERROR(INDEX('03.Muestra'!$C$8:$C$42,SMALL(IF("Página Web"='03.Muestra'!$D$8:$D$42,ROW('03.Muestra'!$C$8:$C$42)-MIN(ROW('03.Muestra'!$D$8:$D$42))+1,""),ROW()-246)),"")</f>
        <v>Home - PortCastelló</v>
      </c>
      <c r="C272" s="114" t="str" cm="1">
        <f t="array" ref="C272">IFERROR(INDEX('03.Muestra'!$F$8:$F$42,SMALL(IF("Página Web"='03.Muestra'!$D$8:$D$42,ROW('03.Muestra'!$F$8:$F$42)-MIN(ROW('03.Muestra'!$D$8:$D$42))+1,""),ROW()-246)),"")</f>
        <v>https://www.portcastello.com/</v>
      </c>
      <c r="D272" s="130" t="str">
        <f t="shared" si="13"/>
        <v>N/T</v>
      </c>
      <c r="E272" s="107" t="str">
        <f t="shared" si="12"/>
        <v/>
      </c>
      <c r="F272" s="19"/>
      <c r="G272" s="19"/>
      <c r="H272" s="19"/>
      <c r="I272" s="19"/>
      <c r="J272" s="19"/>
      <c r="K272" s="233"/>
      <c r="L272" s="19"/>
      <c r="M272" s="19"/>
      <c r="N272" s="19"/>
      <c r="O272" s="19"/>
      <c r="P272" s="19"/>
      <c r="Q272" s="19"/>
      <c r="R272" s="19"/>
      <c r="S272" s="19"/>
      <c r="T272" s="19"/>
      <c r="U272" s="19"/>
      <c r="V272" s="19"/>
      <c r="W272" s="19"/>
      <c r="X272" s="19"/>
      <c r="Y272" s="19"/>
    </row>
    <row r="273" spans="1:25" ht="12" customHeight="1">
      <c r="A273" s="219" t="n" cm="1">
        <f t="array" ref="A273">IFERROR(INDEX('03.Muestra'!$B$8:$B$42,SMALL(IF("Página Web"='03.Muestra'!$D$8:$D$42,ROW('03.Muestra'!$B$8:$B$42)-MIN(ROW('03.Muestra'!$D$8:$D$42))+1,""),ROW()-246)),"")</f>
        <v>1.0</v>
      </c>
      <c r="B273" s="114" t="str" cm="1">
        <f t="array" ref="B273">IFERROR(INDEX('03.Muestra'!$C$8:$C$42,SMALL(IF("Página Web"='03.Muestra'!$D$8:$D$42,ROW('03.Muestra'!$C$8:$C$42)-MIN(ROW('03.Muestra'!$D$8:$D$42))+1,""),ROW()-246)),"")</f>
        <v>Home - PortCastelló</v>
      </c>
      <c r="C273" s="114" t="str" cm="1">
        <f t="array" ref="C273">IFERROR(INDEX('03.Muestra'!$F$8:$F$42,SMALL(IF("Página Web"='03.Muestra'!$D$8:$D$42,ROW('03.Muestra'!$F$8:$F$42)-MIN(ROW('03.Muestra'!$D$8:$D$42))+1,""),ROW()-246)),"")</f>
        <v>https://www.portcastello.com/</v>
      </c>
      <c r="D273" s="130" t="str">
        <f t="shared" si="13"/>
        <v>N/T</v>
      </c>
      <c r="E273" s="107" t="str">
        <f t="shared" si="12"/>
        <v/>
      </c>
      <c r="F273" s="19"/>
      <c r="G273" s="19"/>
      <c r="H273" s="19"/>
      <c r="I273" s="19"/>
      <c r="J273" s="19"/>
      <c r="K273" s="233"/>
      <c r="L273" s="19"/>
      <c r="M273" s="19"/>
      <c r="N273" s="19"/>
      <c r="O273" s="19"/>
      <c r="P273" s="19"/>
      <c r="Q273" s="19"/>
      <c r="R273" s="19"/>
      <c r="S273" s="19"/>
      <c r="T273" s="19"/>
      <c r="U273" s="19"/>
      <c r="V273" s="19"/>
      <c r="W273" s="19"/>
      <c r="X273" s="19"/>
      <c r="Y273" s="19"/>
    </row>
    <row r="274" spans="1:25" ht="12" customHeight="1">
      <c r="A274" s="219" t="n" cm="1">
        <f t="array" ref="A274">IFERROR(INDEX('03.Muestra'!$B$8:$B$42,SMALL(IF("Página Web"='03.Muestra'!$D$8:$D$42,ROW('03.Muestra'!$B$8:$B$42)-MIN(ROW('03.Muestra'!$D$8:$D$42))+1,""),ROW()-246)),"")</f>
        <v>1.0</v>
      </c>
      <c r="B274" s="114" t="str" cm="1">
        <f t="array" ref="B274">IFERROR(INDEX('03.Muestra'!$C$8:$C$42,SMALL(IF("Página Web"='03.Muestra'!$D$8:$D$42,ROW('03.Muestra'!$C$8:$C$42)-MIN(ROW('03.Muestra'!$D$8:$D$42))+1,""),ROW()-246)),"")</f>
        <v>Home - PortCastelló</v>
      </c>
      <c r="C274" s="114" t="str" cm="1">
        <f t="array" ref="C274">IFERROR(INDEX('03.Muestra'!$F$8:$F$42,SMALL(IF("Página Web"='03.Muestra'!$D$8:$D$42,ROW('03.Muestra'!$F$8:$F$42)-MIN(ROW('03.Muestra'!$D$8:$D$42))+1,""),ROW()-246)),"")</f>
        <v>https://www.portcastello.com/</v>
      </c>
      <c r="D274" s="130" t="str">
        <f t="shared" si="13"/>
        <v>N/T</v>
      </c>
      <c r="E274" s="107" t="str">
        <f t="shared" si="12"/>
        <v/>
      </c>
      <c r="G274" s="19"/>
      <c r="H274" s="19"/>
      <c r="I274" s="19"/>
      <c r="J274" s="19"/>
      <c r="K274" s="233"/>
      <c r="L274" s="19"/>
      <c r="M274" s="19"/>
      <c r="N274" s="19"/>
      <c r="O274" s="19"/>
      <c r="P274" s="19"/>
      <c r="Q274" s="19"/>
      <c r="R274" s="19"/>
      <c r="S274" s="19"/>
      <c r="T274" s="19"/>
      <c r="U274" s="19"/>
      <c r="V274" s="19"/>
      <c r="W274" s="19"/>
      <c r="X274" s="19"/>
      <c r="Y274" s="19"/>
    </row>
    <row r="275" spans="1:25" ht="12" customHeight="1">
      <c r="A275" s="219" t="n" cm="1">
        <f t="array" ref="A275">IFERROR(INDEX('03.Muestra'!$B$8:$B$42,SMALL(IF("Página Web"='03.Muestra'!$D$8:$D$42,ROW('03.Muestra'!$B$8:$B$42)-MIN(ROW('03.Muestra'!$D$8:$D$42))+1,""),ROW()-246)),"")</f>
        <v>1.0</v>
      </c>
      <c r="B275" s="114" t="str" cm="1">
        <f t="array" ref="B275">IFERROR(INDEX('03.Muestra'!$C$8:$C$42,SMALL(IF("Página Web"='03.Muestra'!$D$8:$D$42,ROW('03.Muestra'!$C$8:$C$42)-MIN(ROW('03.Muestra'!$D$8:$D$42))+1,""),ROW()-246)),"")</f>
        <v>Home - PortCastelló</v>
      </c>
      <c r="C275" s="114" t="str" cm="1">
        <f t="array" ref="C275">IFERROR(INDEX('03.Muestra'!$F$8:$F$42,SMALL(IF("Página Web"='03.Muestra'!$D$8:$D$42,ROW('03.Muestra'!$F$8:$F$42)-MIN(ROW('03.Muestra'!$D$8:$D$42))+1,""),ROW()-246)),"")</f>
        <v>https://www.portcastello.com/</v>
      </c>
      <c r="D275" s="130" t="str">
        <f t="shared" si="13"/>
        <v>N/T</v>
      </c>
      <c r="E275" s="107" t="str">
        <f t="shared" si="12"/>
        <v/>
      </c>
      <c r="F275" s="124"/>
      <c r="G275" s="19"/>
      <c r="H275" s="19"/>
      <c r="I275" s="19"/>
      <c r="J275" s="19"/>
      <c r="K275" s="233"/>
      <c r="L275" s="19"/>
      <c r="M275" s="19"/>
      <c r="N275" s="19"/>
      <c r="O275" s="19"/>
      <c r="P275" s="19"/>
      <c r="Q275" s="19"/>
      <c r="R275" s="19"/>
      <c r="S275" s="19"/>
      <c r="T275" s="19"/>
      <c r="U275" s="19"/>
      <c r="V275" s="19"/>
      <c r="W275" s="19"/>
      <c r="X275" s="19"/>
      <c r="Y275" s="19"/>
    </row>
    <row r="276" spans="1:25" ht="12" customHeight="1">
      <c r="A276" s="219" t="n" cm="1">
        <f t="array" ref="A276">IFERROR(INDEX('03.Muestra'!$B$8:$B$42,SMALL(IF("Página Web"='03.Muestra'!$D$8:$D$42,ROW('03.Muestra'!$B$8:$B$42)-MIN(ROW('03.Muestra'!$D$8:$D$42))+1,""),ROW()-246)),"")</f>
        <v>1.0</v>
      </c>
      <c r="B276" s="114" t="str" cm="1">
        <f t="array" ref="B276">IFERROR(INDEX('03.Muestra'!$C$8:$C$42,SMALL(IF("Página Web"='03.Muestra'!$D$8:$D$42,ROW('03.Muestra'!$C$8:$C$42)-MIN(ROW('03.Muestra'!$D$8:$D$42))+1,""),ROW()-246)),"")</f>
        <v>Home - PortCastelló</v>
      </c>
      <c r="C276" s="114" t="str" cm="1">
        <f t="array" ref="C276">IFERROR(INDEX('03.Muestra'!$F$8:$F$42,SMALL(IF("Página Web"='03.Muestra'!$D$8:$D$42,ROW('03.Muestra'!$F$8:$F$42)-MIN(ROW('03.Muestra'!$D$8:$D$42))+1,""),ROW()-246)),"")</f>
        <v>https://www.portcastello.com/</v>
      </c>
      <c r="D276" s="130" t="str">
        <f t="shared" si="13"/>
        <v>N/T</v>
      </c>
      <c r="E276" s="107" t="str">
        <f t="shared" si="12"/>
        <v/>
      </c>
      <c r="F276" s="124"/>
      <c r="G276" s="19"/>
      <c r="H276" s="19"/>
      <c r="I276" s="19"/>
      <c r="J276" s="19"/>
      <c r="K276" s="233"/>
      <c r="L276" s="19"/>
      <c r="M276" s="19"/>
      <c r="N276" s="19"/>
      <c r="O276" s="19"/>
      <c r="P276" s="19"/>
      <c r="Q276" s="19"/>
      <c r="R276" s="19"/>
      <c r="S276" s="19"/>
      <c r="T276" s="19"/>
      <c r="U276" s="19"/>
      <c r="V276" s="19"/>
      <c r="W276" s="19"/>
      <c r="X276" s="19"/>
      <c r="Y276" s="19"/>
    </row>
    <row r="277" spans="1:25" ht="12" customHeight="1">
      <c r="A277" s="219" t="n" cm="1">
        <f t="array" ref="A277">IFERROR(INDEX('03.Muestra'!$B$8:$B$42,SMALL(IF("Página Web"='03.Muestra'!$D$8:$D$42,ROW('03.Muestra'!$B$8:$B$42)-MIN(ROW('03.Muestra'!$D$8:$D$42))+1,""),ROW()-246)),"")</f>
        <v>1.0</v>
      </c>
      <c r="B277" s="114" t="str" cm="1">
        <f t="array" ref="B277">IFERROR(INDEX('03.Muestra'!$C$8:$C$42,SMALL(IF("Página Web"='03.Muestra'!$D$8:$D$42,ROW('03.Muestra'!$C$8:$C$42)-MIN(ROW('03.Muestra'!$D$8:$D$42))+1,""),ROW()-246)),"")</f>
        <v>Home - PortCastelló</v>
      </c>
      <c r="C277" s="114" t="str" cm="1">
        <f t="array" ref="C277">IFERROR(INDEX('03.Muestra'!$F$8:$F$42,SMALL(IF("Página Web"='03.Muestra'!$D$8:$D$42,ROW('03.Muestra'!$F$8:$F$42)-MIN(ROW('03.Muestra'!$D$8:$D$42))+1,""),ROW()-246)),"")</f>
        <v>https://www.portcastello.com/</v>
      </c>
      <c r="D277" s="130" t="str">
        <f t="shared" si="13"/>
        <v>N/T</v>
      </c>
      <c r="E277" s="107" t="str">
        <f t="shared" si="12"/>
        <v/>
      </c>
      <c r="F277" s="124"/>
      <c r="G277" s="19"/>
      <c r="H277" s="19"/>
      <c r="I277" s="19"/>
      <c r="J277" s="19"/>
      <c r="K277" s="233"/>
      <c r="L277" s="19"/>
      <c r="M277" s="19"/>
      <c r="N277" s="19"/>
      <c r="O277" s="19"/>
      <c r="P277" s="19"/>
      <c r="Q277" s="19"/>
      <c r="R277" s="19"/>
      <c r="S277" s="19"/>
      <c r="T277" s="19"/>
      <c r="U277" s="19"/>
      <c r="V277" s="19"/>
      <c r="W277" s="19"/>
      <c r="X277" s="19"/>
      <c r="Y277" s="19"/>
    </row>
    <row r="278" spans="1:25" ht="12" customHeight="1">
      <c r="A278" s="219" t="n" cm="1">
        <f t="array" ref="A278">IFERROR(INDEX('03.Muestra'!$B$8:$B$42,SMALL(IF("Página Web"='03.Muestra'!$D$8:$D$42,ROW('03.Muestra'!$B$8:$B$42)-MIN(ROW('03.Muestra'!$D$8:$D$42))+1,""),ROW()-246)),"")</f>
        <v>1.0</v>
      </c>
      <c r="B278" s="114" t="str" cm="1">
        <f t="array" ref="B278">IFERROR(INDEX('03.Muestra'!$C$8:$C$42,SMALL(IF("Página Web"='03.Muestra'!$D$8:$D$42,ROW('03.Muestra'!$C$8:$C$42)-MIN(ROW('03.Muestra'!$D$8:$D$42))+1,""),ROW()-246)),"")</f>
        <v>Home - PortCastelló</v>
      </c>
      <c r="C278" s="114" t="str" cm="1">
        <f t="array" ref="C278">IFERROR(INDEX('03.Muestra'!$F$8:$F$42,SMALL(IF("Página Web"='03.Muestra'!$D$8:$D$42,ROW('03.Muestra'!$F$8:$F$42)-MIN(ROW('03.Muestra'!$D$8:$D$42))+1,""),ROW()-246)),"")</f>
        <v>https://www.portcastello.com/</v>
      </c>
      <c r="D278" s="130" t="str">
        <f t="shared" si="13"/>
        <v>N/T</v>
      </c>
      <c r="E278" s="107" t="str">
        <f t="shared" si="12"/>
        <v/>
      </c>
      <c r="F278" s="124"/>
      <c r="G278" s="19"/>
      <c r="H278" s="19"/>
      <c r="I278" s="19"/>
      <c r="J278" s="19"/>
      <c r="K278" s="233"/>
      <c r="L278" s="19"/>
      <c r="M278" s="19"/>
      <c r="N278" s="19"/>
      <c r="O278" s="19"/>
      <c r="P278" s="19"/>
      <c r="Q278" s="19"/>
      <c r="R278" s="19"/>
      <c r="S278" s="19"/>
      <c r="T278" s="19"/>
      <c r="U278" s="19"/>
      <c r="V278" s="19"/>
      <c r="W278" s="19"/>
      <c r="X278" s="19"/>
      <c r="Y278" s="19"/>
    </row>
    <row r="279" spans="1:25" ht="12" customHeight="1">
      <c r="A279" s="219" t="n" cm="1">
        <f t="array" ref="A279">IFERROR(INDEX('03.Muestra'!$B$8:$B$42,SMALL(IF("Página Web"='03.Muestra'!$D$8:$D$42,ROW('03.Muestra'!$B$8:$B$42)-MIN(ROW('03.Muestra'!$D$8:$D$42))+1,""),ROW()-246)),"")</f>
        <v>1.0</v>
      </c>
      <c r="B279" s="114" t="str" cm="1">
        <f t="array" ref="B279">IFERROR(INDEX('03.Muestra'!$C$8:$C$42,SMALL(IF("Página Web"='03.Muestra'!$D$8:$D$42,ROW('03.Muestra'!$C$8:$C$42)-MIN(ROW('03.Muestra'!$D$8:$D$42))+1,""),ROW()-246)),"")</f>
        <v>Home - PortCastelló</v>
      </c>
      <c r="C279" s="114" t="str" cm="1">
        <f t="array" ref="C279">IFERROR(INDEX('03.Muestra'!$F$8:$F$42,SMALL(IF("Página Web"='03.Muestra'!$D$8:$D$42,ROW('03.Muestra'!$F$8:$F$42)-MIN(ROW('03.Muestra'!$D$8:$D$42))+1,""),ROW()-246)),"")</f>
        <v>https://www.portcastello.com/</v>
      </c>
      <c r="D279" s="130" t="str">
        <f t="shared" si="13"/>
        <v>N/T</v>
      </c>
      <c r="E279" s="107" t="str">
        <f t="shared" si="12"/>
        <v/>
      </c>
      <c r="F279" s="124"/>
      <c r="G279" s="19"/>
      <c r="H279" s="19"/>
      <c r="I279" s="19"/>
      <c r="J279" s="19"/>
      <c r="K279" s="233"/>
      <c r="L279" s="19"/>
      <c r="M279" s="19"/>
      <c r="N279" s="19"/>
      <c r="O279" s="19"/>
      <c r="P279" s="19"/>
      <c r="Q279" s="19"/>
      <c r="R279" s="19"/>
      <c r="S279" s="19"/>
      <c r="T279" s="19"/>
      <c r="U279" s="19"/>
      <c r="V279" s="19"/>
      <c r="W279" s="19"/>
      <c r="X279" s="19"/>
      <c r="Y279" s="19"/>
    </row>
    <row r="280" spans="1:25" ht="12" customHeight="1">
      <c r="A280" s="219" t="str" cm="1">
        <f t="array" ref="A280">IFERROR(INDEX('03.Muestra'!$B$8:$B$42,SMALL(IF("Página Web"='03.Muestra'!$D$8:$D$42,ROW('03.Muestra'!$B$8:$B$42)-MIN(ROW('03.Muestra'!$D$8:$D$42))+1,""),ROW()-246)),"")</f>
        <v/>
      </c>
      <c r="B280" s="114" t="str" cm="1">
        <f t="array" ref="B280">IFERROR(INDEX('03.Muestra'!$C$8:$C$42,SMALL(IF("Página Web"='03.Muestra'!$D$8:$D$42,ROW('03.Muestra'!$C$8:$C$42)-MIN(ROW('03.Muestra'!$D$8:$D$42))+1,""),ROW()-246)),"")</f>
        <v/>
      </c>
      <c r="C280" s="114" t="str" cm="1">
        <f t="array" ref="C280">IFERROR(INDEX('03.Muestra'!$F$8:$F$42,SMALL(IF("Página Web"='03.Muestra'!$D$8:$D$42,ROW('03.Muestra'!$F$8:$F$42)-MIN(ROW('03.Muestra'!$D$8:$D$42))+1,""),ROW()-246)),"")</f>
        <v/>
      </c>
      <c r="D280" s="130" t="str">
        <f t="shared" si="13"/>
        <v/>
      </c>
      <c r="E280" s="107" t="str">
        <f t="shared" si="12"/>
        <v/>
      </c>
      <c r="F280" s="124"/>
      <c r="G280" s="19"/>
      <c r="H280" s="19"/>
      <c r="I280" s="19"/>
      <c r="J280" s="19"/>
      <c r="K280" s="233"/>
      <c r="L280" s="19"/>
      <c r="M280" s="19"/>
      <c r="N280" s="19"/>
      <c r="O280" s="19"/>
      <c r="P280" s="19"/>
      <c r="Q280" s="19"/>
      <c r="R280" s="19"/>
      <c r="S280" s="19"/>
      <c r="T280" s="19"/>
      <c r="U280" s="19"/>
      <c r="V280" s="19"/>
      <c r="W280" s="19"/>
      <c r="X280" s="19"/>
      <c r="Y280" s="19"/>
    </row>
    <row r="281" spans="1:25" ht="12" customHeight="1">
      <c r="A281" s="219" t="str" cm="1">
        <f t="array" ref="A281">IFERROR(INDEX('03.Muestra'!$B$8:$B$42,SMALL(IF("Página Web"='03.Muestra'!$D$8:$D$42,ROW('03.Muestra'!$B$8:$B$42)-MIN(ROW('03.Muestra'!$D$8:$D$42))+1,""),ROW()-246)),"")</f>
        <v/>
      </c>
      <c r="B281" s="114" t="str" cm="1">
        <f t="array" ref="B281">IFERROR(INDEX('03.Muestra'!$C$8:$C$42,SMALL(IF("Página Web"='03.Muestra'!$D$8:$D$42,ROW('03.Muestra'!$C$8:$C$42)-MIN(ROW('03.Muestra'!$D$8:$D$42))+1,""),ROW()-246)),"")</f>
        <v/>
      </c>
      <c r="C281" s="114" t="str" cm="1">
        <f t="array" ref="C281">IFERROR(INDEX('03.Muestra'!$F$8:$F$42,SMALL(IF("Página Web"='03.Muestra'!$D$8:$D$42,ROW('03.Muestra'!$F$8:$F$42)-MIN(ROW('03.Muestra'!$D$8:$D$42))+1,""),ROW()-246)),"")</f>
        <v/>
      </c>
      <c r="D281" s="130" t="str">
        <f t="shared" si="13"/>
        <v/>
      </c>
      <c r="E281" s="107" t="str">
        <f t="shared" si="12"/>
        <v/>
      </c>
      <c r="F281" s="19"/>
      <c r="G281" s="19"/>
      <c r="H281" s="19"/>
      <c r="I281" s="19"/>
      <c r="J281" s="19"/>
      <c r="K281" s="233"/>
      <c r="L281" s="19"/>
      <c r="M281" s="19"/>
      <c r="N281" s="19"/>
      <c r="O281" s="19"/>
      <c r="P281" s="19"/>
      <c r="Q281" s="19"/>
      <c r="R281" s="19"/>
      <c r="S281" s="19"/>
      <c r="T281" s="19"/>
      <c r="U281" s="19"/>
      <c r="V281" s="19"/>
      <c r="W281" s="19"/>
      <c r="X281" s="19"/>
      <c r="Y281" s="19"/>
    </row>
    <row r="282" spans="1:25" ht="12" customHeight="1">
      <c r="B282" s="19"/>
      <c r="C282" s="19"/>
      <c r="D282" s="107"/>
      <c r="E282" s="107"/>
      <c r="F282" s="19"/>
      <c r="G282" s="19"/>
      <c r="H282" s="19"/>
      <c r="I282" s="19"/>
      <c r="J282" s="19"/>
      <c r="K282" s="233"/>
      <c r="L282" s="19"/>
      <c r="M282" s="19"/>
      <c r="N282" s="19"/>
      <c r="O282" s="19"/>
      <c r="P282" s="19"/>
      <c r="Q282" s="19"/>
      <c r="R282" s="19"/>
      <c r="S282" s="19"/>
      <c r="T282" s="19"/>
      <c r="U282" s="19"/>
      <c r="V282" s="19"/>
      <c r="W282" s="19"/>
      <c r="X282" s="19"/>
      <c r="Y282" s="19"/>
    </row>
    <row r="283" spans="1:25" ht="12" customHeight="1">
      <c r="B283" s="19"/>
      <c r="C283" s="19"/>
      <c r="D283" s="107"/>
      <c r="E283" s="112"/>
      <c r="F283" s="19"/>
      <c r="G283" s="19"/>
      <c r="H283" s="19"/>
      <c r="I283" s="19"/>
      <c r="J283" s="19"/>
      <c r="K283" s="233"/>
      <c r="L283" s="19"/>
      <c r="M283" s="19"/>
      <c r="N283" s="19"/>
      <c r="O283" s="19"/>
      <c r="P283" s="19"/>
      <c r="Q283" s="19"/>
      <c r="R283" s="19"/>
      <c r="S283" s="19"/>
      <c r="T283" s="19"/>
      <c r="U283" s="19"/>
      <c r="V283" s="19"/>
      <c r="W283" s="19"/>
      <c r="X283" s="19"/>
      <c r="Y283" s="19"/>
    </row>
    <row r="284" spans="1:25" ht="29.25" customHeight="1">
      <c r="A284" s="218" t="s">
        <v>268</v>
      </c>
      <c r="B284" s="24" t="s">
        <v>90</v>
      </c>
      <c r="C284" s="25" t="s">
        <v>380</v>
      </c>
      <c r="D284" s="26" t="s">
        <v>32</v>
      </c>
      <c r="E284" s="123"/>
      <c r="K284" s="233"/>
      <c r="L284" s="19"/>
      <c r="M284" s="19"/>
      <c r="N284" s="19"/>
      <c r="O284" s="19"/>
      <c r="P284" s="19"/>
      <c r="Q284" s="19"/>
      <c r="R284" s="19"/>
      <c r="S284" s="19"/>
      <c r="T284" s="19"/>
      <c r="U284" s="19"/>
      <c r="V284" s="19"/>
      <c r="W284" s="19"/>
      <c r="X284" s="19"/>
      <c r="Y284" s="19"/>
    </row>
    <row r="285" spans="1:25" ht="12" customHeight="1">
      <c r="A285" s="219" t="n" cm="1">
        <f t="array" ref="A285">IFERROR(INDEX('03.Muestra'!$B$8:$B$42,SMALL(IF("Página Web"='03.Muestra'!$D$8:$D$42,ROW('03.Muestra'!$B$8:$B$42)-MIN(ROW('03.Muestra'!$D$8:$D$42))+1,""),ROW()-284)),"")</f>
        <v>1.0</v>
      </c>
      <c r="B285" s="114" t="str" cm="1">
        <f t="array" ref="B285">IFERROR(INDEX('03.Muestra'!$C$8:$C$42,SMALL(IF("Página Web"='03.Muestra'!$D$8:$D$42,ROW('03.Muestra'!$C$8:$C$42)-MIN(ROW('03.Muestra'!$D$8:$D$42))+1,""),ROW()-284)),"")</f>
        <v>Home - PortCastelló</v>
      </c>
      <c r="C285" s="114" t="str" cm="1">
        <f t="array" ref="C285">IFERROR(INDEX('03.Muestra'!$F$8:$F$42,SMALL(IF("Página Web"='03.Muestra'!$D$8:$D$42,ROW('03.Muestra'!$F$8:$F$42)-MIN(ROW('03.Muestra'!$D$8:$D$42))+1,""),ROW()-284)),"")</f>
        <v>https://www.portcastello.com/</v>
      </c>
      <c r="D285" s="130" t="str">
        <f>IF(AND(B285&lt;&gt;"",C285&lt;&gt;""),"N/T","")</f>
        <v>N/T</v>
      </c>
      <c r="E285" s="107" t="str">
        <f t="shared" ref="E285:E319" si="14">IF(D285&lt;&gt;"",IF(AND(B285&lt;&gt;"",C285&lt;&gt;""),"","ERR"),"")</f>
        <v/>
      </c>
      <c r="F285" s="115" t="s">
        <v>33</v>
      </c>
      <c r="G285" s="116" t="s">
        <v>37</v>
      </c>
      <c r="H285" s="117" t="s">
        <v>35</v>
      </c>
      <c r="I285" s="118" t="s">
        <v>28</v>
      </c>
      <c r="J285" s="119" t="s">
        <v>26</v>
      </c>
      <c r="K285" s="226" t="s">
        <v>474</v>
      </c>
      <c r="L285" s="19"/>
      <c r="M285" s="19"/>
      <c r="N285" s="19"/>
      <c r="O285" s="19"/>
      <c r="P285" s="19"/>
      <c r="Q285" s="19"/>
      <c r="R285" s="19"/>
      <c r="S285" s="19"/>
      <c r="T285" s="19"/>
      <c r="U285" s="19"/>
      <c r="V285" s="19"/>
      <c r="W285" s="19"/>
      <c r="X285" s="19"/>
      <c r="Y285" s="19"/>
    </row>
    <row r="286" spans="1:25" ht="12" customHeight="1">
      <c r="A286" s="219" t="n" cm="1">
        <f t="array" ref="A286">IFERROR(INDEX('03.Muestra'!$B$8:$B$42,SMALL(IF("Página Web"='03.Muestra'!$D$8:$D$42,ROW('03.Muestra'!$B$8:$B$42)-MIN(ROW('03.Muestra'!$D$8:$D$42))+1,""),ROW()-284)),"")</f>
        <v>1.0</v>
      </c>
      <c r="B286" s="114" t="str" cm="1">
        <f t="array" ref="B286">IFERROR(INDEX('03.Muestra'!$C$8:$C$42,SMALL(IF("Página Web"='03.Muestra'!$D$8:$D$42,ROW('03.Muestra'!$C$8:$C$42)-MIN(ROW('03.Muestra'!$D$8:$D$42))+1,""),ROW()-284)),"")</f>
        <v>Home - PortCastelló</v>
      </c>
      <c r="C286" s="114" t="str" cm="1">
        <f t="array" ref="C286">IFERROR(INDEX('03.Muestra'!$F$8:$F$42,SMALL(IF("Página Web"='03.Muestra'!$D$8:$D$42,ROW('03.Muestra'!$F$8:$F$42)-MIN(ROW('03.Muestra'!$D$8:$D$42))+1,""),ROW()-284)),"")</f>
        <v>https://www.portcastello.com/</v>
      </c>
      <c r="D286" s="130" t="str">
        <f t="shared" ref="D286:D319" si="15">IF(AND(B286&lt;&gt;"",C286&lt;&gt;""),"N/T","")</f>
        <v>N/T</v>
      </c>
      <c r="E286" s="107" t="str">
        <f t="shared" si="14"/>
        <v/>
      </c>
      <c r="F286" s="120" t="n">
        <f ca="1">COUNTIF($D285:INDIRECT("$D" &amp;  SUM(ROW()-1,'03.Muestra'!$D$45)-1),F285)</f>
        <v>33.0</v>
      </c>
      <c r="G286" s="120" t="n">
        <f ca="1">COUNTIF($D285:INDIRECT("$D" &amp;  SUM(ROW()-1,'03.Muestra'!$D$45)-1),G285)</f>
        <v>0.0</v>
      </c>
      <c r="H286" s="120" t="n">
        <f ca="1">COUNTIF($D285:INDIRECT("$D" &amp;  SUM(ROW()-1,'03.Muestra'!$D$45)-1),H285)</f>
        <v>0.0</v>
      </c>
      <c r="I286" s="120" t="n">
        <f ca="1">COUNTIF($D285:INDIRECT("$D" &amp;  SUM(ROW()-1,'03.Muestra'!$D$45)-1),I285)</f>
        <v>0.0</v>
      </c>
      <c r="J286" s="120" t="n">
        <f ca="1">COUNTIF($D285:INDIRECT("$D" &amp;  SUM(ROW()-1,'03.Muestra'!$D$45)-1),J285)</f>
        <v>0.0</v>
      </c>
      <c r="K286" s="227" t="n">
        <f ca="1">IF(COUNTIF('03.Muestra'!$D$8:$D$42,"Página Web")=0,0,COUNTBLANK($D285:INDIRECT("$D" &amp;  SUM(ROW()-1,COUNTIF('03.Muestra'!$D$8:$D$42,"Página Web"))-1)))</f>
        <v>0.0</v>
      </c>
      <c r="L286" s="19"/>
      <c r="M286" s="19"/>
      <c r="N286" s="19"/>
      <c r="O286" s="19"/>
      <c r="P286" s="19"/>
      <c r="Q286" s="19"/>
      <c r="R286" s="19"/>
      <c r="S286" s="19"/>
      <c r="T286" s="19"/>
      <c r="U286" s="19"/>
      <c r="V286" s="19"/>
      <c r="W286" s="19"/>
      <c r="X286" s="19"/>
      <c r="Y286" s="19"/>
    </row>
    <row r="287" spans="1:25" ht="12" customHeight="1">
      <c r="A287" s="219" t="n" cm="1">
        <f t="array" ref="A287">IFERROR(INDEX('03.Muestra'!$B$8:$B$42,SMALL(IF("Página Web"='03.Muestra'!$D$8:$D$42,ROW('03.Muestra'!$B$8:$B$42)-MIN(ROW('03.Muestra'!$D$8:$D$42))+1,""),ROW()-284)),"")</f>
        <v>1.0</v>
      </c>
      <c r="B287" s="114" t="str" cm="1">
        <f t="array" ref="B287">IFERROR(INDEX('03.Muestra'!$C$8:$C$42,SMALL(IF("Página Web"='03.Muestra'!$D$8:$D$42,ROW('03.Muestra'!$C$8:$C$42)-MIN(ROW('03.Muestra'!$D$8:$D$42))+1,""),ROW()-284)),"")</f>
        <v>Home - PortCastelló</v>
      </c>
      <c r="C287" s="114" t="str" cm="1">
        <f t="array" ref="C287">IFERROR(INDEX('03.Muestra'!$F$8:$F$42,SMALL(IF("Página Web"='03.Muestra'!$D$8:$D$42,ROW('03.Muestra'!$F$8:$F$42)-MIN(ROW('03.Muestra'!$D$8:$D$42))+1,""),ROW()-284)),"")</f>
        <v>https://www.portcastello.com/</v>
      </c>
      <c r="D287" s="130" t="str">
        <f t="shared" si="15"/>
        <v>N/T</v>
      </c>
      <c r="E287" s="107" t="str">
        <f t="shared" si="14"/>
        <v/>
      </c>
      <c r="G287" s="19"/>
      <c r="H287" s="19"/>
      <c r="I287" s="19"/>
      <c r="J287" s="19"/>
      <c r="K287" s="233"/>
      <c r="L287" s="19"/>
      <c r="M287" s="19"/>
      <c r="N287" s="19"/>
      <c r="O287" s="19"/>
      <c r="P287" s="19"/>
      <c r="Q287" s="19"/>
      <c r="R287" s="19"/>
      <c r="S287" s="19"/>
      <c r="T287" s="19"/>
      <c r="U287" s="19"/>
      <c r="V287" s="19"/>
      <c r="W287" s="19"/>
      <c r="X287" s="19"/>
      <c r="Y287" s="19"/>
    </row>
    <row r="288" spans="1:25" ht="12" customHeight="1">
      <c r="A288" s="219" t="n" cm="1">
        <f t="array" ref="A288">IFERROR(INDEX('03.Muestra'!$B$8:$B$42,SMALL(IF("Página Web"='03.Muestra'!$D$8:$D$42,ROW('03.Muestra'!$B$8:$B$42)-MIN(ROW('03.Muestra'!$D$8:$D$42))+1,""),ROW()-284)),"")</f>
        <v>1.0</v>
      </c>
      <c r="B288" s="114" t="str" cm="1">
        <f t="array" ref="B288">IFERROR(INDEX('03.Muestra'!$C$8:$C$42,SMALL(IF("Página Web"='03.Muestra'!$D$8:$D$42,ROW('03.Muestra'!$C$8:$C$42)-MIN(ROW('03.Muestra'!$D$8:$D$42))+1,""),ROW()-284)),"")</f>
        <v>Home - PortCastelló</v>
      </c>
      <c r="C288" s="114" t="str" cm="1">
        <f t="array" ref="C288">IFERROR(INDEX('03.Muestra'!$F$8:$F$42,SMALL(IF("Página Web"='03.Muestra'!$D$8:$D$42,ROW('03.Muestra'!$F$8:$F$42)-MIN(ROW('03.Muestra'!$D$8:$D$42))+1,""),ROW()-284)),"")</f>
        <v>https://www.portcastello.com/</v>
      </c>
      <c r="D288" s="130" t="str">
        <f t="shared" si="15"/>
        <v>N/T</v>
      </c>
      <c r="E288" s="107" t="str">
        <f t="shared" si="14"/>
        <v/>
      </c>
      <c r="G288" s="19"/>
      <c r="H288" s="19"/>
      <c r="I288" s="19"/>
      <c r="J288" s="19"/>
      <c r="K288" s="233"/>
      <c r="L288" s="19"/>
      <c r="M288" s="19"/>
      <c r="N288" s="19"/>
      <c r="O288" s="19"/>
      <c r="P288" s="19"/>
      <c r="Q288" s="19"/>
      <c r="R288" s="19"/>
      <c r="S288" s="19"/>
      <c r="T288" s="19"/>
      <c r="U288" s="19"/>
      <c r="V288" s="19"/>
      <c r="W288" s="19"/>
      <c r="X288" s="19"/>
      <c r="Y288" s="19"/>
    </row>
    <row r="289" spans="1:25" ht="12" customHeight="1">
      <c r="A289" s="219" t="n" cm="1">
        <f t="array" ref="A289">IFERROR(INDEX('03.Muestra'!$B$8:$B$42,SMALL(IF("Página Web"='03.Muestra'!$D$8:$D$42,ROW('03.Muestra'!$B$8:$B$42)-MIN(ROW('03.Muestra'!$D$8:$D$42))+1,""),ROW()-284)),"")</f>
        <v>1.0</v>
      </c>
      <c r="B289" s="114" t="str" cm="1">
        <f t="array" ref="B289">IFERROR(INDEX('03.Muestra'!$C$8:$C$42,SMALL(IF("Página Web"='03.Muestra'!$D$8:$D$42,ROW('03.Muestra'!$C$8:$C$42)-MIN(ROW('03.Muestra'!$D$8:$D$42))+1,""),ROW()-284)),"")</f>
        <v>Home - PortCastelló</v>
      </c>
      <c r="C289" s="114" t="str" cm="1">
        <f t="array" ref="C289">IFERROR(INDEX('03.Muestra'!$F$8:$F$42,SMALL(IF("Página Web"='03.Muestra'!$D$8:$D$42,ROW('03.Muestra'!$F$8:$F$42)-MIN(ROW('03.Muestra'!$D$8:$D$42))+1,""),ROW()-284)),"")</f>
        <v>https://www.portcastello.com/</v>
      </c>
      <c r="D289" s="130" t="str">
        <f t="shared" si="15"/>
        <v>N/T</v>
      </c>
      <c r="E289" s="107" t="str">
        <f t="shared" si="14"/>
        <v/>
      </c>
      <c r="G289" s="19"/>
      <c r="H289" s="19"/>
      <c r="I289" s="19"/>
      <c r="J289" s="19"/>
      <c r="K289" s="233"/>
      <c r="L289" s="19"/>
      <c r="M289" s="19"/>
      <c r="N289" s="19"/>
      <c r="O289" s="19"/>
      <c r="P289" s="19"/>
      <c r="Q289" s="19"/>
      <c r="R289" s="19"/>
      <c r="S289" s="19"/>
      <c r="T289" s="19"/>
      <c r="U289" s="19"/>
      <c r="V289" s="19"/>
      <c r="W289" s="19"/>
      <c r="X289" s="19"/>
      <c r="Y289" s="19"/>
    </row>
    <row r="290" spans="1:25" ht="12" customHeight="1">
      <c r="A290" s="219" t="n" cm="1">
        <f t="array" ref="A290">IFERROR(INDEX('03.Muestra'!$B$8:$B$42,SMALL(IF("Página Web"='03.Muestra'!$D$8:$D$42,ROW('03.Muestra'!$B$8:$B$42)-MIN(ROW('03.Muestra'!$D$8:$D$42))+1,""),ROW()-284)),"")</f>
        <v>1.0</v>
      </c>
      <c r="B290" s="114" t="str" cm="1">
        <f t="array" ref="B290">IFERROR(INDEX('03.Muestra'!$C$8:$C$42,SMALL(IF("Página Web"='03.Muestra'!$D$8:$D$42,ROW('03.Muestra'!$C$8:$C$42)-MIN(ROW('03.Muestra'!$D$8:$D$42))+1,""),ROW()-284)),"")</f>
        <v>Home - PortCastelló</v>
      </c>
      <c r="C290" s="114" t="str" cm="1">
        <f t="array" ref="C290">IFERROR(INDEX('03.Muestra'!$F$8:$F$42,SMALL(IF("Página Web"='03.Muestra'!$D$8:$D$42,ROW('03.Muestra'!$F$8:$F$42)-MIN(ROW('03.Muestra'!$D$8:$D$42))+1,""),ROW()-284)),"")</f>
        <v>https://www.portcastello.com/</v>
      </c>
      <c r="D290" s="130" t="str">
        <f t="shared" si="15"/>
        <v>N/T</v>
      </c>
      <c r="E290" s="107" t="str">
        <f t="shared" si="14"/>
        <v/>
      </c>
      <c r="G290" s="19"/>
      <c r="H290" s="19"/>
      <c r="I290" s="19"/>
      <c r="J290" s="19"/>
      <c r="K290" s="233"/>
      <c r="L290" s="19"/>
      <c r="M290" s="19"/>
      <c r="N290" s="19"/>
      <c r="O290" s="19"/>
      <c r="P290" s="19"/>
      <c r="Q290" s="19"/>
      <c r="R290" s="19"/>
      <c r="S290" s="19"/>
      <c r="T290" s="19"/>
      <c r="U290" s="19"/>
      <c r="V290" s="19"/>
      <c r="W290" s="19"/>
      <c r="X290" s="19"/>
      <c r="Y290" s="19"/>
    </row>
    <row r="291" spans="1:25" ht="12" customHeight="1">
      <c r="A291" s="219" t="n" cm="1">
        <f t="array" ref="A291">IFERROR(INDEX('03.Muestra'!$B$8:$B$42,SMALL(IF("Página Web"='03.Muestra'!$D$8:$D$42,ROW('03.Muestra'!$B$8:$B$42)-MIN(ROW('03.Muestra'!$D$8:$D$42))+1,""),ROW()-284)),"")</f>
        <v>1.0</v>
      </c>
      <c r="B291" s="114" t="str" cm="1">
        <f t="array" ref="B291">IFERROR(INDEX('03.Muestra'!$C$8:$C$42,SMALL(IF("Página Web"='03.Muestra'!$D$8:$D$42,ROW('03.Muestra'!$C$8:$C$42)-MIN(ROW('03.Muestra'!$D$8:$D$42))+1,""),ROW()-284)),"")</f>
        <v>Home - PortCastelló</v>
      </c>
      <c r="C291" s="114" t="str" cm="1">
        <f t="array" ref="C291">IFERROR(INDEX('03.Muestra'!$F$8:$F$42,SMALL(IF("Página Web"='03.Muestra'!$D$8:$D$42,ROW('03.Muestra'!$F$8:$F$42)-MIN(ROW('03.Muestra'!$D$8:$D$42))+1,""),ROW()-284)),"")</f>
        <v>https://www.portcastello.com/</v>
      </c>
      <c r="D291" s="130" t="str">
        <f t="shared" si="15"/>
        <v>N/T</v>
      </c>
      <c r="E291" s="107" t="str">
        <f t="shared" si="14"/>
        <v/>
      </c>
      <c r="F291" s="19"/>
      <c r="G291" s="19"/>
      <c r="H291" s="19"/>
      <c r="I291" s="19"/>
      <c r="J291" s="19"/>
      <c r="K291" s="233"/>
      <c r="L291" s="19"/>
      <c r="M291" s="19"/>
      <c r="N291" s="19"/>
      <c r="O291" s="19"/>
      <c r="P291" s="19"/>
      <c r="Q291" s="19"/>
      <c r="R291" s="19"/>
      <c r="S291" s="19"/>
      <c r="T291" s="19"/>
      <c r="U291" s="19"/>
      <c r="V291" s="19"/>
      <c r="W291" s="19"/>
      <c r="X291" s="19"/>
      <c r="Y291" s="19"/>
    </row>
    <row r="292" spans="1:25" ht="12" customHeight="1">
      <c r="A292" s="219" t="n" cm="1">
        <f t="array" ref="A292">IFERROR(INDEX('03.Muestra'!$B$8:$B$42,SMALL(IF("Página Web"='03.Muestra'!$D$8:$D$42,ROW('03.Muestra'!$B$8:$B$42)-MIN(ROW('03.Muestra'!$D$8:$D$42))+1,""),ROW()-284)),"")</f>
        <v>1.0</v>
      </c>
      <c r="B292" s="114" t="str" cm="1">
        <f t="array" ref="B292">IFERROR(INDEX('03.Muestra'!$C$8:$C$42,SMALL(IF("Página Web"='03.Muestra'!$D$8:$D$42,ROW('03.Muestra'!$C$8:$C$42)-MIN(ROW('03.Muestra'!$D$8:$D$42))+1,""),ROW()-284)),"")</f>
        <v>Home - PortCastelló</v>
      </c>
      <c r="C292" s="114" t="str" cm="1">
        <f t="array" ref="C292">IFERROR(INDEX('03.Muestra'!$F$8:$F$42,SMALL(IF("Página Web"='03.Muestra'!$D$8:$D$42,ROW('03.Muestra'!$F$8:$F$42)-MIN(ROW('03.Muestra'!$D$8:$D$42))+1,""),ROW()-284)),"")</f>
        <v>https://www.portcastello.com/</v>
      </c>
      <c r="D292" s="130" t="str">
        <f t="shared" si="15"/>
        <v>N/T</v>
      </c>
      <c r="E292" s="107" t="str">
        <f t="shared" si="14"/>
        <v/>
      </c>
      <c r="F292" s="19"/>
      <c r="G292" s="19"/>
      <c r="H292" s="19"/>
      <c r="I292" s="19"/>
      <c r="J292" s="19"/>
      <c r="K292" s="233"/>
      <c r="L292" s="19"/>
      <c r="M292" s="19"/>
      <c r="N292" s="19"/>
      <c r="O292" s="19"/>
      <c r="P292" s="19"/>
      <c r="Q292" s="19"/>
      <c r="R292" s="19"/>
      <c r="S292" s="19"/>
      <c r="T292" s="19"/>
      <c r="U292" s="19"/>
      <c r="V292" s="19"/>
      <c r="W292" s="19"/>
      <c r="X292" s="19"/>
      <c r="Y292" s="19"/>
    </row>
    <row r="293" spans="1:25" ht="12" customHeight="1">
      <c r="A293" s="219" t="n" cm="1">
        <f t="array" ref="A293">IFERROR(INDEX('03.Muestra'!$B$8:$B$42,SMALL(IF("Página Web"='03.Muestra'!$D$8:$D$42,ROW('03.Muestra'!$B$8:$B$42)-MIN(ROW('03.Muestra'!$D$8:$D$42))+1,""),ROW()-284)),"")</f>
        <v>1.0</v>
      </c>
      <c r="B293" s="114" t="str" cm="1">
        <f t="array" ref="B293">IFERROR(INDEX('03.Muestra'!$C$8:$C$42,SMALL(IF("Página Web"='03.Muestra'!$D$8:$D$42,ROW('03.Muestra'!$C$8:$C$42)-MIN(ROW('03.Muestra'!$D$8:$D$42))+1,""),ROW()-284)),"")</f>
        <v>Home - PortCastelló</v>
      </c>
      <c r="C293" s="114" t="str" cm="1">
        <f t="array" ref="C293">IFERROR(INDEX('03.Muestra'!$F$8:$F$42,SMALL(IF("Página Web"='03.Muestra'!$D$8:$D$42,ROW('03.Muestra'!$F$8:$F$42)-MIN(ROW('03.Muestra'!$D$8:$D$42))+1,""),ROW()-284)),"")</f>
        <v>https://www.portcastello.com/</v>
      </c>
      <c r="D293" s="130" t="str">
        <f t="shared" si="15"/>
        <v>N/T</v>
      </c>
      <c r="E293" s="107" t="str">
        <f t="shared" si="14"/>
        <v/>
      </c>
      <c r="F293" s="19"/>
      <c r="G293" s="19"/>
      <c r="H293" s="19"/>
      <c r="I293" s="19"/>
      <c r="J293" s="19"/>
      <c r="K293" s="233"/>
      <c r="L293" s="19"/>
      <c r="M293" s="19"/>
      <c r="N293" s="19"/>
      <c r="O293" s="19"/>
      <c r="P293" s="19"/>
      <c r="Q293" s="19"/>
      <c r="R293" s="19"/>
      <c r="S293" s="19"/>
      <c r="T293" s="19"/>
      <c r="U293" s="19"/>
      <c r="V293" s="19"/>
      <c r="W293" s="19"/>
      <c r="X293" s="19"/>
      <c r="Y293" s="19"/>
    </row>
    <row r="294" spans="1:25" ht="12" customHeight="1">
      <c r="A294" s="219" t="n" cm="1">
        <f t="array" ref="A294">IFERROR(INDEX('03.Muestra'!$B$8:$B$42,SMALL(IF("Página Web"='03.Muestra'!$D$8:$D$42,ROW('03.Muestra'!$B$8:$B$42)-MIN(ROW('03.Muestra'!$D$8:$D$42))+1,""),ROW()-284)),"")</f>
        <v>1.0</v>
      </c>
      <c r="B294" s="114" t="str" cm="1">
        <f t="array" ref="B294">IFERROR(INDEX('03.Muestra'!$C$8:$C$42,SMALL(IF("Página Web"='03.Muestra'!$D$8:$D$42,ROW('03.Muestra'!$C$8:$C$42)-MIN(ROW('03.Muestra'!$D$8:$D$42))+1,""),ROW()-284)),"")</f>
        <v>Home - PortCastelló</v>
      </c>
      <c r="C294" s="114" t="str" cm="1">
        <f t="array" ref="C294">IFERROR(INDEX('03.Muestra'!$F$8:$F$42,SMALL(IF("Página Web"='03.Muestra'!$D$8:$D$42,ROW('03.Muestra'!$F$8:$F$42)-MIN(ROW('03.Muestra'!$D$8:$D$42))+1,""),ROW()-284)),"")</f>
        <v>https://www.portcastello.com/</v>
      </c>
      <c r="D294" s="130" t="str">
        <f t="shared" si="15"/>
        <v>N/T</v>
      </c>
      <c r="E294" s="107" t="str">
        <f t="shared" si="14"/>
        <v/>
      </c>
      <c r="F294" s="19"/>
      <c r="G294" s="19"/>
      <c r="H294" s="19"/>
      <c r="I294" s="19"/>
      <c r="J294" s="19"/>
      <c r="K294" s="233"/>
      <c r="L294" s="19"/>
      <c r="M294" s="19"/>
      <c r="N294" s="19"/>
      <c r="O294" s="19"/>
      <c r="P294" s="19"/>
      <c r="Q294" s="19"/>
      <c r="R294" s="19"/>
      <c r="S294" s="19"/>
      <c r="T294" s="19"/>
      <c r="U294" s="19"/>
      <c r="V294" s="19"/>
      <c r="W294" s="19"/>
      <c r="X294" s="19"/>
      <c r="Y294" s="19"/>
    </row>
    <row r="295" spans="1:25" ht="12" customHeight="1">
      <c r="A295" s="219" t="n" cm="1">
        <f t="array" ref="A295">IFERROR(INDEX('03.Muestra'!$B$8:$B$42,SMALL(IF("Página Web"='03.Muestra'!$D$8:$D$42,ROW('03.Muestra'!$B$8:$B$42)-MIN(ROW('03.Muestra'!$D$8:$D$42))+1,""),ROW()-284)),"")</f>
        <v>1.0</v>
      </c>
      <c r="B295" s="114" t="str" cm="1">
        <f t="array" ref="B295">IFERROR(INDEX('03.Muestra'!$C$8:$C$42,SMALL(IF("Página Web"='03.Muestra'!$D$8:$D$42,ROW('03.Muestra'!$C$8:$C$42)-MIN(ROW('03.Muestra'!$D$8:$D$42))+1,""),ROW()-284)),"")</f>
        <v>Home - PortCastelló</v>
      </c>
      <c r="C295" s="114" t="str" cm="1">
        <f t="array" ref="C295">IFERROR(INDEX('03.Muestra'!$F$8:$F$42,SMALL(IF("Página Web"='03.Muestra'!$D$8:$D$42,ROW('03.Muestra'!$F$8:$F$42)-MIN(ROW('03.Muestra'!$D$8:$D$42))+1,""),ROW()-284)),"")</f>
        <v>https://www.portcastello.com/</v>
      </c>
      <c r="D295" s="130" t="str">
        <f t="shared" si="15"/>
        <v>N/T</v>
      </c>
      <c r="E295" s="107" t="str">
        <f t="shared" si="14"/>
        <v/>
      </c>
      <c r="F295" s="19"/>
      <c r="G295" s="19"/>
      <c r="H295" s="19"/>
      <c r="I295" s="19"/>
      <c r="J295" s="19"/>
      <c r="K295" s="233"/>
      <c r="L295" s="19"/>
      <c r="M295" s="19"/>
      <c r="N295" s="19"/>
      <c r="O295" s="19"/>
      <c r="P295" s="19"/>
      <c r="Q295" s="19"/>
      <c r="R295" s="19"/>
      <c r="S295" s="19"/>
      <c r="T295" s="19"/>
      <c r="U295" s="19"/>
      <c r="V295" s="19"/>
      <c r="W295" s="19"/>
      <c r="X295" s="19"/>
      <c r="Y295" s="19"/>
    </row>
    <row r="296" spans="1:25" ht="12" customHeight="1">
      <c r="A296" s="219" t="n" cm="1">
        <f t="array" ref="A296">IFERROR(INDEX('03.Muestra'!$B$8:$B$42,SMALL(IF("Página Web"='03.Muestra'!$D$8:$D$42,ROW('03.Muestra'!$B$8:$B$42)-MIN(ROW('03.Muestra'!$D$8:$D$42))+1,""),ROW()-284)),"")</f>
        <v>1.0</v>
      </c>
      <c r="B296" s="114" t="str" cm="1">
        <f t="array" ref="B296">IFERROR(INDEX('03.Muestra'!$C$8:$C$42,SMALL(IF("Página Web"='03.Muestra'!$D$8:$D$42,ROW('03.Muestra'!$C$8:$C$42)-MIN(ROW('03.Muestra'!$D$8:$D$42))+1,""),ROW()-284)),"")</f>
        <v>Home - PortCastelló</v>
      </c>
      <c r="C296" s="114" t="str" cm="1">
        <f t="array" ref="C296">IFERROR(INDEX('03.Muestra'!$F$8:$F$42,SMALL(IF("Página Web"='03.Muestra'!$D$8:$D$42,ROW('03.Muestra'!$F$8:$F$42)-MIN(ROW('03.Muestra'!$D$8:$D$42))+1,""),ROW()-284)),"")</f>
        <v>https://www.portcastello.com/</v>
      </c>
      <c r="D296" s="130" t="str">
        <f t="shared" si="15"/>
        <v>N/T</v>
      </c>
      <c r="E296" s="107" t="str">
        <f t="shared" si="14"/>
        <v/>
      </c>
      <c r="F296" s="19"/>
      <c r="G296" s="19"/>
      <c r="H296" s="19"/>
      <c r="I296" s="19"/>
      <c r="J296" s="19"/>
      <c r="K296" s="233"/>
      <c r="L296" s="19"/>
      <c r="M296" s="19"/>
      <c r="N296" s="19"/>
      <c r="O296" s="19"/>
      <c r="P296" s="19"/>
      <c r="Q296" s="19"/>
      <c r="R296" s="19"/>
      <c r="S296" s="19"/>
      <c r="T296" s="19"/>
      <c r="U296" s="19"/>
      <c r="V296" s="19"/>
      <c r="W296" s="19"/>
      <c r="X296" s="19"/>
      <c r="Y296" s="19"/>
    </row>
    <row r="297" spans="1:25" ht="12" customHeight="1">
      <c r="A297" s="219" t="n" cm="1">
        <f t="array" ref="A297">IFERROR(INDEX('03.Muestra'!$B$8:$B$42,SMALL(IF("Página Web"='03.Muestra'!$D$8:$D$42,ROW('03.Muestra'!$B$8:$B$42)-MIN(ROW('03.Muestra'!$D$8:$D$42))+1,""),ROW()-284)),"")</f>
        <v>1.0</v>
      </c>
      <c r="B297" s="114" t="str" cm="1">
        <f t="array" ref="B297">IFERROR(INDEX('03.Muestra'!$C$8:$C$42,SMALL(IF("Página Web"='03.Muestra'!$D$8:$D$42,ROW('03.Muestra'!$C$8:$C$42)-MIN(ROW('03.Muestra'!$D$8:$D$42))+1,""),ROW()-284)),"")</f>
        <v>Home - PortCastelló</v>
      </c>
      <c r="C297" s="114" t="str" cm="1">
        <f t="array" ref="C297">IFERROR(INDEX('03.Muestra'!$F$8:$F$42,SMALL(IF("Página Web"='03.Muestra'!$D$8:$D$42,ROW('03.Muestra'!$F$8:$F$42)-MIN(ROW('03.Muestra'!$D$8:$D$42))+1,""),ROW()-284)),"")</f>
        <v>https://www.portcastello.com/</v>
      </c>
      <c r="D297" s="130" t="str">
        <f t="shared" si="15"/>
        <v>N/T</v>
      </c>
      <c r="E297" s="107" t="str">
        <f t="shared" si="14"/>
        <v/>
      </c>
      <c r="F297" s="19"/>
      <c r="G297" s="19"/>
      <c r="H297" s="19"/>
      <c r="I297" s="19"/>
      <c r="J297" s="19"/>
      <c r="K297" s="233"/>
      <c r="L297" s="19"/>
      <c r="M297" s="19"/>
      <c r="N297" s="19"/>
      <c r="O297" s="19"/>
      <c r="P297" s="19"/>
      <c r="Q297" s="19"/>
      <c r="R297" s="19"/>
      <c r="S297" s="19"/>
      <c r="T297" s="19"/>
      <c r="U297" s="19"/>
      <c r="V297" s="19"/>
      <c r="W297" s="19"/>
      <c r="X297" s="19"/>
      <c r="Y297" s="19"/>
    </row>
    <row r="298" spans="1:25" ht="12" customHeight="1">
      <c r="A298" s="219" t="n" cm="1">
        <f t="array" ref="A298">IFERROR(INDEX('03.Muestra'!$B$8:$B$42,SMALL(IF("Página Web"='03.Muestra'!$D$8:$D$42,ROW('03.Muestra'!$B$8:$B$42)-MIN(ROW('03.Muestra'!$D$8:$D$42))+1,""),ROW()-284)),"")</f>
        <v>1.0</v>
      </c>
      <c r="B298" s="114" t="str" cm="1">
        <f t="array" ref="B298">IFERROR(INDEX('03.Muestra'!$C$8:$C$42,SMALL(IF("Página Web"='03.Muestra'!$D$8:$D$42,ROW('03.Muestra'!$C$8:$C$42)-MIN(ROW('03.Muestra'!$D$8:$D$42))+1,""),ROW()-284)),"")</f>
        <v>Home - PortCastelló</v>
      </c>
      <c r="C298" s="114" t="str" cm="1">
        <f t="array" ref="C298">IFERROR(INDEX('03.Muestra'!$F$8:$F$42,SMALL(IF("Página Web"='03.Muestra'!$D$8:$D$42,ROW('03.Muestra'!$F$8:$F$42)-MIN(ROW('03.Muestra'!$D$8:$D$42))+1,""),ROW()-284)),"")</f>
        <v>https://www.portcastello.com/</v>
      </c>
      <c r="D298" s="130" t="str">
        <f t="shared" si="15"/>
        <v>N/T</v>
      </c>
      <c r="E298" s="107" t="str">
        <f t="shared" si="14"/>
        <v/>
      </c>
      <c r="F298" s="19"/>
      <c r="G298" s="19"/>
      <c r="H298" s="19"/>
      <c r="I298" s="19"/>
      <c r="J298" s="19"/>
      <c r="K298" s="233"/>
      <c r="L298" s="19"/>
      <c r="M298" s="19"/>
      <c r="N298" s="19"/>
      <c r="O298" s="19"/>
      <c r="P298" s="19"/>
      <c r="Q298" s="19"/>
      <c r="R298" s="19"/>
      <c r="S298" s="19"/>
      <c r="T298" s="19"/>
      <c r="U298" s="19"/>
      <c r="V298" s="19"/>
      <c r="W298" s="19"/>
      <c r="X298" s="19"/>
      <c r="Y298" s="19"/>
    </row>
    <row r="299" spans="1:25" ht="12" customHeight="1">
      <c r="A299" s="219" t="n" cm="1">
        <f t="array" ref="A299">IFERROR(INDEX('03.Muestra'!$B$8:$B$42,SMALL(IF("Página Web"='03.Muestra'!$D$8:$D$42,ROW('03.Muestra'!$B$8:$B$42)-MIN(ROW('03.Muestra'!$D$8:$D$42))+1,""),ROW()-284)),"")</f>
        <v>1.0</v>
      </c>
      <c r="B299" s="114" t="str" cm="1">
        <f t="array" ref="B299">IFERROR(INDEX('03.Muestra'!$C$8:$C$42,SMALL(IF("Página Web"='03.Muestra'!$D$8:$D$42,ROW('03.Muestra'!$C$8:$C$42)-MIN(ROW('03.Muestra'!$D$8:$D$42))+1,""),ROW()-284)),"")</f>
        <v>Home - PortCastelló</v>
      </c>
      <c r="C299" s="114" t="str" cm="1">
        <f t="array" ref="C299">IFERROR(INDEX('03.Muestra'!$F$8:$F$42,SMALL(IF("Página Web"='03.Muestra'!$D$8:$D$42,ROW('03.Muestra'!$F$8:$F$42)-MIN(ROW('03.Muestra'!$D$8:$D$42))+1,""),ROW()-284)),"")</f>
        <v>https://www.portcastello.com/</v>
      </c>
      <c r="D299" s="130" t="str">
        <f t="shared" si="15"/>
        <v>N/T</v>
      </c>
      <c r="E299" s="107" t="str">
        <f t="shared" si="14"/>
        <v/>
      </c>
      <c r="F299" s="19"/>
      <c r="G299" s="19"/>
      <c r="H299" s="19"/>
      <c r="I299" s="19"/>
      <c r="J299" s="19"/>
      <c r="K299" s="233"/>
      <c r="L299" s="19"/>
      <c r="M299" s="19"/>
      <c r="N299" s="19"/>
      <c r="O299" s="19"/>
      <c r="P299" s="19"/>
      <c r="Q299" s="19"/>
      <c r="R299" s="19"/>
      <c r="S299" s="19"/>
      <c r="T299" s="19"/>
      <c r="U299" s="19"/>
      <c r="V299" s="19"/>
      <c r="W299" s="19"/>
      <c r="X299" s="19"/>
      <c r="Y299" s="19"/>
    </row>
    <row r="300" spans="1:25" ht="12" customHeight="1">
      <c r="A300" s="219" t="n" cm="1">
        <f t="array" ref="A300">IFERROR(INDEX('03.Muestra'!$B$8:$B$42,SMALL(IF("Página Web"='03.Muestra'!$D$8:$D$42,ROW('03.Muestra'!$B$8:$B$42)-MIN(ROW('03.Muestra'!$D$8:$D$42))+1,""),ROW()-284)),"")</f>
        <v>1.0</v>
      </c>
      <c r="B300" s="114" t="str" cm="1">
        <f t="array" ref="B300">IFERROR(INDEX('03.Muestra'!$C$8:$C$42,SMALL(IF("Página Web"='03.Muestra'!$D$8:$D$42,ROW('03.Muestra'!$C$8:$C$42)-MIN(ROW('03.Muestra'!$D$8:$D$42))+1,""),ROW()-284)),"")</f>
        <v>Home - PortCastelló</v>
      </c>
      <c r="C300" s="114" t="str" cm="1">
        <f t="array" ref="C300">IFERROR(INDEX('03.Muestra'!$F$8:$F$42,SMALL(IF("Página Web"='03.Muestra'!$D$8:$D$42,ROW('03.Muestra'!$F$8:$F$42)-MIN(ROW('03.Muestra'!$D$8:$D$42))+1,""),ROW()-284)),"")</f>
        <v>https://www.portcastello.com/</v>
      </c>
      <c r="D300" s="130" t="str">
        <f t="shared" si="15"/>
        <v>N/T</v>
      </c>
      <c r="E300" s="107" t="str">
        <f t="shared" si="14"/>
        <v/>
      </c>
      <c r="F300" s="19"/>
      <c r="G300" s="19"/>
      <c r="H300" s="19"/>
      <c r="I300" s="19"/>
      <c r="J300" s="19"/>
      <c r="K300" s="233"/>
      <c r="L300" s="19"/>
      <c r="M300" s="19"/>
      <c r="N300" s="19"/>
      <c r="O300" s="19"/>
      <c r="P300" s="19"/>
      <c r="Q300" s="19"/>
      <c r="R300" s="19"/>
      <c r="S300" s="19"/>
      <c r="T300" s="19"/>
      <c r="U300" s="19"/>
      <c r="V300" s="19"/>
      <c r="W300" s="19"/>
      <c r="X300" s="19"/>
      <c r="Y300" s="19"/>
    </row>
    <row r="301" spans="1:25" ht="12" customHeight="1">
      <c r="A301" s="219" t="n" cm="1">
        <f t="array" ref="A301">IFERROR(INDEX('03.Muestra'!$B$8:$B$42,SMALL(IF("Página Web"='03.Muestra'!$D$8:$D$42,ROW('03.Muestra'!$B$8:$B$42)-MIN(ROW('03.Muestra'!$D$8:$D$42))+1,""),ROW()-284)),"")</f>
        <v>1.0</v>
      </c>
      <c r="B301" s="114" t="str" cm="1">
        <f t="array" ref="B301">IFERROR(INDEX('03.Muestra'!$C$8:$C$42,SMALL(IF("Página Web"='03.Muestra'!$D$8:$D$42,ROW('03.Muestra'!$C$8:$C$42)-MIN(ROW('03.Muestra'!$D$8:$D$42))+1,""),ROW()-284)),"")</f>
        <v>Home - PortCastelló</v>
      </c>
      <c r="C301" s="114" t="str" cm="1">
        <f t="array" ref="C301">IFERROR(INDEX('03.Muestra'!$F$8:$F$42,SMALL(IF("Página Web"='03.Muestra'!$D$8:$D$42,ROW('03.Muestra'!$F$8:$F$42)-MIN(ROW('03.Muestra'!$D$8:$D$42))+1,""),ROW()-284)),"")</f>
        <v>https://www.portcastello.com/</v>
      </c>
      <c r="D301" s="130" t="str">
        <f t="shared" si="15"/>
        <v>N/T</v>
      </c>
      <c r="E301" s="107" t="str">
        <f t="shared" si="14"/>
        <v/>
      </c>
      <c r="F301" s="19"/>
      <c r="G301" s="19"/>
      <c r="H301" s="19"/>
      <c r="I301" s="19"/>
      <c r="J301" s="19"/>
      <c r="K301" s="233"/>
      <c r="L301" s="19"/>
      <c r="M301" s="19"/>
      <c r="N301" s="19"/>
      <c r="O301" s="19"/>
      <c r="P301" s="19"/>
      <c r="Q301" s="19"/>
      <c r="R301" s="19"/>
      <c r="S301" s="19"/>
      <c r="T301" s="19"/>
      <c r="U301" s="19"/>
      <c r="V301" s="19"/>
      <c r="W301" s="19"/>
      <c r="X301" s="19"/>
      <c r="Y301" s="19"/>
    </row>
    <row r="302" spans="1:25" ht="12" customHeight="1">
      <c r="A302" s="219" t="n" cm="1">
        <f t="array" ref="A302">IFERROR(INDEX('03.Muestra'!$B$8:$B$42,SMALL(IF("Página Web"='03.Muestra'!$D$8:$D$42,ROW('03.Muestra'!$B$8:$B$42)-MIN(ROW('03.Muestra'!$D$8:$D$42))+1,""),ROW()-284)),"")</f>
        <v>1.0</v>
      </c>
      <c r="B302" s="114" t="str" cm="1">
        <f t="array" ref="B302">IFERROR(INDEX('03.Muestra'!$C$8:$C$42,SMALL(IF("Página Web"='03.Muestra'!$D$8:$D$42,ROW('03.Muestra'!$C$8:$C$42)-MIN(ROW('03.Muestra'!$D$8:$D$42))+1,""),ROW()-284)),"")</f>
        <v>Home - PortCastelló</v>
      </c>
      <c r="C302" s="114" t="str" cm="1">
        <f t="array" ref="C302">IFERROR(INDEX('03.Muestra'!$F$8:$F$42,SMALL(IF("Página Web"='03.Muestra'!$D$8:$D$42,ROW('03.Muestra'!$F$8:$F$42)-MIN(ROW('03.Muestra'!$D$8:$D$42))+1,""),ROW()-284)),"")</f>
        <v>https://www.portcastello.com/</v>
      </c>
      <c r="D302" s="130" t="str">
        <f t="shared" si="15"/>
        <v>N/T</v>
      </c>
      <c r="E302" s="107" t="str">
        <f t="shared" si="14"/>
        <v/>
      </c>
      <c r="F302" s="19"/>
      <c r="G302" s="19"/>
      <c r="H302" s="19"/>
      <c r="I302" s="19"/>
      <c r="J302" s="19"/>
      <c r="K302" s="233"/>
      <c r="L302" s="19"/>
      <c r="M302" s="19"/>
      <c r="N302" s="19"/>
      <c r="O302" s="19"/>
      <c r="P302" s="19"/>
      <c r="Q302" s="19"/>
      <c r="R302" s="19"/>
      <c r="S302" s="19"/>
      <c r="T302" s="19"/>
      <c r="U302" s="19"/>
      <c r="V302" s="19"/>
      <c r="W302" s="19"/>
      <c r="X302" s="19"/>
      <c r="Y302" s="19"/>
    </row>
    <row r="303" spans="1:25" ht="12" customHeight="1">
      <c r="A303" s="219" t="n" cm="1">
        <f t="array" ref="A303">IFERROR(INDEX('03.Muestra'!$B$8:$B$42,SMALL(IF("Página Web"='03.Muestra'!$D$8:$D$42,ROW('03.Muestra'!$B$8:$B$42)-MIN(ROW('03.Muestra'!$D$8:$D$42))+1,""),ROW()-284)),"")</f>
        <v>1.0</v>
      </c>
      <c r="B303" s="114" t="str" cm="1">
        <f t="array" ref="B303">IFERROR(INDEX('03.Muestra'!$C$8:$C$42,SMALL(IF("Página Web"='03.Muestra'!$D$8:$D$42,ROW('03.Muestra'!$C$8:$C$42)-MIN(ROW('03.Muestra'!$D$8:$D$42))+1,""),ROW()-284)),"")</f>
        <v>Home - PortCastelló</v>
      </c>
      <c r="C303" s="114" t="str" cm="1">
        <f t="array" ref="C303">IFERROR(INDEX('03.Muestra'!$F$8:$F$42,SMALL(IF("Página Web"='03.Muestra'!$D$8:$D$42,ROW('03.Muestra'!$F$8:$F$42)-MIN(ROW('03.Muestra'!$D$8:$D$42))+1,""),ROW()-284)),"")</f>
        <v>https://www.portcastello.com/</v>
      </c>
      <c r="D303" s="130" t="str">
        <f t="shared" si="15"/>
        <v>N/T</v>
      </c>
      <c r="E303" s="107" t="str">
        <f t="shared" si="14"/>
        <v/>
      </c>
      <c r="F303" s="19"/>
      <c r="G303" s="19"/>
      <c r="H303" s="19"/>
      <c r="I303" s="19"/>
      <c r="J303" s="19"/>
      <c r="K303" s="233"/>
      <c r="L303" s="19"/>
      <c r="M303" s="19"/>
      <c r="N303" s="19"/>
      <c r="O303" s="19"/>
      <c r="P303" s="19"/>
      <c r="Q303" s="19"/>
      <c r="R303" s="19"/>
      <c r="S303" s="19"/>
      <c r="T303" s="19"/>
      <c r="U303" s="19"/>
      <c r="V303" s="19"/>
      <c r="W303" s="19"/>
      <c r="X303" s="19"/>
      <c r="Y303" s="19"/>
    </row>
    <row r="304" spans="1:25" ht="12" customHeight="1">
      <c r="A304" s="219" t="n" cm="1">
        <f t="array" ref="A304">IFERROR(INDEX('03.Muestra'!$B$8:$B$42,SMALL(IF("Página Web"='03.Muestra'!$D$8:$D$42,ROW('03.Muestra'!$B$8:$B$42)-MIN(ROW('03.Muestra'!$D$8:$D$42))+1,""),ROW()-284)),"")</f>
        <v>1.0</v>
      </c>
      <c r="B304" s="114" t="str" cm="1">
        <f t="array" ref="B304">IFERROR(INDEX('03.Muestra'!$C$8:$C$42,SMALL(IF("Página Web"='03.Muestra'!$D$8:$D$42,ROW('03.Muestra'!$C$8:$C$42)-MIN(ROW('03.Muestra'!$D$8:$D$42))+1,""),ROW()-284)),"")</f>
        <v>Home - PortCastelló</v>
      </c>
      <c r="C304" s="114" t="str" cm="1">
        <f t="array" ref="C304">IFERROR(INDEX('03.Muestra'!$F$8:$F$42,SMALL(IF("Página Web"='03.Muestra'!$D$8:$D$42,ROW('03.Muestra'!$F$8:$F$42)-MIN(ROW('03.Muestra'!$D$8:$D$42))+1,""),ROW()-284)),"")</f>
        <v>https://www.portcastello.com/</v>
      </c>
      <c r="D304" s="130" t="str">
        <f t="shared" si="15"/>
        <v>N/T</v>
      </c>
      <c r="E304" s="107" t="str">
        <f t="shared" si="14"/>
        <v/>
      </c>
      <c r="F304" s="19"/>
      <c r="G304" s="19"/>
      <c r="H304" s="19"/>
      <c r="I304" s="19"/>
      <c r="J304" s="19"/>
      <c r="K304" s="233"/>
      <c r="L304" s="19"/>
      <c r="M304" s="19"/>
      <c r="N304" s="19"/>
      <c r="O304" s="19"/>
      <c r="P304" s="19"/>
      <c r="Q304" s="19"/>
      <c r="R304" s="19"/>
      <c r="S304" s="19"/>
      <c r="T304" s="19"/>
      <c r="U304" s="19"/>
      <c r="V304" s="19"/>
      <c r="W304" s="19"/>
      <c r="X304" s="19"/>
      <c r="Y304" s="19"/>
    </row>
    <row r="305" spans="1:25" ht="12" customHeight="1">
      <c r="A305" s="219" t="n" cm="1">
        <f t="array" ref="A305">IFERROR(INDEX('03.Muestra'!$B$8:$B$42,SMALL(IF("Página Web"='03.Muestra'!$D$8:$D$42,ROW('03.Muestra'!$B$8:$B$42)-MIN(ROW('03.Muestra'!$D$8:$D$42))+1,""),ROW()-284)),"")</f>
        <v>1.0</v>
      </c>
      <c r="B305" s="114" t="str" cm="1">
        <f t="array" ref="B305">IFERROR(INDEX('03.Muestra'!$C$8:$C$42,SMALL(IF("Página Web"='03.Muestra'!$D$8:$D$42,ROW('03.Muestra'!$C$8:$C$42)-MIN(ROW('03.Muestra'!$D$8:$D$42))+1,""),ROW()-284)),"")</f>
        <v>Home - PortCastelló</v>
      </c>
      <c r="C305" s="114" t="str" cm="1">
        <f t="array" ref="C305">IFERROR(INDEX('03.Muestra'!$F$8:$F$42,SMALL(IF("Página Web"='03.Muestra'!$D$8:$D$42,ROW('03.Muestra'!$F$8:$F$42)-MIN(ROW('03.Muestra'!$D$8:$D$42))+1,""),ROW()-284)),"")</f>
        <v>https://www.portcastello.com/</v>
      </c>
      <c r="D305" s="130" t="str">
        <f t="shared" si="15"/>
        <v>N/T</v>
      </c>
      <c r="E305" s="107" t="str">
        <f t="shared" si="14"/>
        <v/>
      </c>
      <c r="F305" s="19"/>
      <c r="G305" s="19"/>
      <c r="H305" s="19"/>
      <c r="I305" s="19"/>
      <c r="J305" s="19"/>
      <c r="K305" s="233"/>
      <c r="L305" s="19"/>
      <c r="M305" s="19"/>
      <c r="N305" s="19"/>
      <c r="O305" s="19"/>
      <c r="P305" s="19"/>
      <c r="Q305" s="19"/>
      <c r="R305" s="19"/>
      <c r="S305" s="19"/>
      <c r="T305" s="19"/>
      <c r="U305" s="19"/>
      <c r="V305" s="19"/>
      <c r="W305" s="19"/>
      <c r="X305" s="19"/>
      <c r="Y305" s="19"/>
    </row>
    <row r="306" spans="1:25" ht="12" customHeight="1">
      <c r="A306" s="219" t="n" cm="1">
        <f t="array" ref="A306">IFERROR(INDEX('03.Muestra'!$B$8:$B$42,SMALL(IF("Página Web"='03.Muestra'!$D$8:$D$42,ROW('03.Muestra'!$B$8:$B$42)-MIN(ROW('03.Muestra'!$D$8:$D$42))+1,""),ROW()-284)),"")</f>
        <v>1.0</v>
      </c>
      <c r="B306" s="114" t="str" cm="1">
        <f t="array" ref="B306">IFERROR(INDEX('03.Muestra'!$C$8:$C$42,SMALL(IF("Página Web"='03.Muestra'!$D$8:$D$42,ROW('03.Muestra'!$C$8:$C$42)-MIN(ROW('03.Muestra'!$D$8:$D$42))+1,""),ROW()-284)),"")</f>
        <v>Home - PortCastelló</v>
      </c>
      <c r="C306" s="114" t="str" cm="1">
        <f t="array" ref="C306">IFERROR(INDEX('03.Muestra'!$F$8:$F$42,SMALL(IF("Página Web"='03.Muestra'!$D$8:$D$42,ROW('03.Muestra'!$F$8:$F$42)-MIN(ROW('03.Muestra'!$D$8:$D$42))+1,""),ROW()-284)),"")</f>
        <v>https://www.portcastello.com/</v>
      </c>
      <c r="D306" s="130" t="str">
        <f t="shared" si="15"/>
        <v>N/T</v>
      </c>
      <c r="E306" s="107" t="str">
        <f t="shared" si="14"/>
        <v/>
      </c>
      <c r="F306" s="19"/>
      <c r="G306" s="19"/>
      <c r="H306" s="19"/>
      <c r="I306" s="19"/>
      <c r="J306" s="19"/>
      <c r="K306" s="233"/>
      <c r="L306" s="19"/>
      <c r="M306" s="19"/>
      <c r="N306" s="19"/>
      <c r="O306" s="19"/>
      <c r="P306" s="19"/>
      <c r="Q306" s="19"/>
      <c r="R306" s="19"/>
      <c r="S306" s="19"/>
      <c r="T306" s="19"/>
      <c r="U306" s="19"/>
      <c r="V306" s="19"/>
      <c r="W306" s="19"/>
      <c r="X306" s="19"/>
      <c r="Y306" s="19"/>
    </row>
    <row r="307" spans="1:25" ht="12" customHeight="1">
      <c r="A307" s="219" t="n" cm="1">
        <f t="array" ref="A307">IFERROR(INDEX('03.Muestra'!$B$8:$B$42,SMALL(IF("Página Web"='03.Muestra'!$D$8:$D$42,ROW('03.Muestra'!$B$8:$B$42)-MIN(ROW('03.Muestra'!$D$8:$D$42))+1,""),ROW()-284)),"")</f>
        <v>1.0</v>
      </c>
      <c r="B307" s="114" t="str" cm="1">
        <f t="array" ref="B307">IFERROR(INDEX('03.Muestra'!$C$8:$C$42,SMALL(IF("Página Web"='03.Muestra'!$D$8:$D$42,ROW('03.Muestra'!$C$8:$C$42)-MIN(ROW('03.Muestra'!$D$8:$D$42))+1,""),ROW()-284)),"")</f>
        <v>Home - PortCastelló</v>
      </c>
      <c r="C307" s="114" t="str" cm="1">
        <f t="array" ref="C307">IFERROR(INDEX('03.Muestra'!$F$8:$F$42,SMALL(IF("Página Web"='03.Muestra'!$D$8:$D$42,ROW('03.Muestra'!$F$8:$F$42)-MIN(ROW('03.Muestra'!$D$8:$D$42))+1,""),ROW()-284)),"")</f>
        <v>https://www.portcastello.com/</v>
      </c>
      <c r="D307" s="130" t="str">
        <f t="shared" si="15"/>
        <v>N/T</v>
      </c>
      <c r="E307" s="107" t="str">
        <f t="shared" si="14"/>
        <v/>
      </c>
      <c r="F307" s="19"/>
      <c r="G307" s="19"/>
      <c r="H307" s="19"/>
      <c r="I307" s="19"/>
      <c r="J307" s="19"/>
      <c r="K307" s="233"/>
      <c r="L307" s="19"/>
      <c r="M307" s="19"/>
      <c r="N307" s="19"/>
      <c r="O307" s="19"/>
      <c r="P307" s="19"/>
      <c r="Q307" s="19"/>
      <c r="R307" s="19"/>
      <c r="S307" s="19"/>
      <c r="T307" s="19"/>
      <c r="U307" s="19"/>
      <c r="V307" s="19"/>
      <c r="W307" s="19"/>
      <c r="X307" s="19"/>
      <c r="Y307" s="19"/>
    </row>
    <row r="308" spans="1:25" ht="12" customHeight="1">
      <c r="A308" s="219" t="n" cm="1">
        <f t="array" ref="A308">IFERROR(INDEX('03.Muestra'!$B$8:$B$42,SMALL(IF("Página Web"='03.Muestra'!$D$8:$D$42,ROW('03.Muestra'!$B$8:$B$42)-MIN(ROW('03.Muestra'!$D$8:$D$42))+1,""),ROW()-284)),"")</f>
        <v>1.0</v>
      </c>
      <c r="B308" s="114" t="str" cm="1">
        <f t="array" ref="B308">IFERROR(INDEX('03.Muestra'!$C$8:$C$42,SMALL(IF("Página Web"='03.Muestra'!$D$8:$D$42,ROW('03.Muestra'!$C$8:$C$42)-MIN(ROW('03.Muestra'!$D$8:$D$42))+1,""),ROW()-284)),"")</f>
        <v>Home - PortCastelló</v>
      </c>
      <c r="C308" s="114" t="str" cm="1">
        <f t="array" ref="C308">IFERROR(INDEX('03.Muestra'!$F$8:$F$42,SMALL(IF("Página Web"='03.Muestra'!$D$8:$D$42,ROW('03.Muestra'!$F$8:$F$42)-MIN(ROW('03.Muestra'!$D$8:$D$42))+1,""),ROW()-284)),"")</f>
        <v>https://www.portcastello.com/</v>
      </c>
      <c r="D308" s="130" t="str">
        <f t="shared" si="15"/>
        <v>N/T</v>
      </c>
      <c r="E308" s="107" t="str">
        <f t="shared" si="14"/>
        <v/>
      </c>
      <c r="F308" s="19"/>
      <c r="G308" s="19"/>
      <c r="H308" s="19"/>
      <c r="I308" s="19"/>
      <c r="J308" s="19"/>
      <c r="K308" s="233"/>
      <c r="L308" s="19"/>
      <c r="M308" s="19"/>
      <c r="N308" s="19"/>
      <c r="O308" s="19"/>
      <c r="P308" s="19"/>
      <c r="Q308" s="19"/>
      <c r="R308" s="19"/>
      <c r="S308" s="19"/>
      <c r="T308" s="19"/>
      <c r="U308" s="19"/>
      <c r="V308" s="19"/>
      <c r="W308" s="19"/>
      <c r="X308" s="19"/>
      <c r="Y308" s="19"/>
    </row>
    <row r="309" spans="1:25" ht="12" customHeight="1">
      <c r="A309" s="219" t="n" cm="1">
        <f t="array" ref="A309">IFERROR(INDEX('03.Muestra'!$B$8:$B$42,SMALL(IF("Página Web"='03.Muestra'!$D$8:$D$42,ROW('03.Muestra'!$B$8:$B$42)-MIN(ROW('03.Muestra'!$D$8:$D$42))+1,""),ROW()-284)),"")</f>
        <v>1.0</v>
      </c>
      <c r="B309" s="114" t="str" cm="1">
        <f t="array" ref="B309">IFERROR(INDEX('03.Muestra'!$C$8:$C$42,SMALL(IF("Página Web"='03.Muestra'!$D$8:$D$42,ROW('03.Muestra'!$C$8:$C$42)-MIN(ROW('03.Muestra'!$D$8:$D$42))+1,""),ROW()-284)),"")</f>
        <v>Home - PortCastelló</v>
      </c>
      <c r="C309" s="114" t="str" cm="1">
        <f t="array" ref="C309">IFERROR(INDEX('03.Muestra'!$F$8:$F$42,SMALL(IF("Página Web"='03.Muestra'!$D$8:$D$42,ROW('03.Muestra'!$F$8:$F$42)-MIN(ROW('03.Muestra'!$D$8:$D$42))+1,""),ROW()-284)),"")</f>
        <v>https://www.portcastello.com/</v>
      </c>
      <c r="D309" s="130" t="str">
        <f t="shared" si="15"/>
        <v>N/T</v>
      </c>
      <c r="E309" s="107" t="str">
        <f t="shared" si="14"/>
        <v/>
      </c>
      <c r="F309" s="19"/>
      <c r="G309" s="19"/>
      <c r="H309" s="19"/>
      <c r="I309" s="19"/>
      <c r="J309" s="19"/>
      <c r="K309" s="233"/>
      <c r="L309" s="19"/>
      <c r="M309" s="19"/>
      <c r="N309" s="19"/>
      <c r="O309" s="19"/>
      <c r="P309" s="19"/>
      <c r="Q309" s="19"/>
      <c r="R309" s="19"/>
      <c r="S309" s="19"/>
      <c r="T309" s="19"/>
      <c r="U309" s="19"/>
      <c r="V309" s="19"/>
      <c r="W309" s="19"/>
      <c r="X309" s="19"/>
      <c r="Y309" s="19"/>
    </row>
    <row r="310" spans="1:25" ht="12" customHeight="1">
      <c r="A310" s="219" t="n" cm="1">
        <f t="array" ref="A310">IFERROR(INDEX('03.Muestra'!$B$8:$B$42,SMALL(IF("Página Web"='03.Muestra'!$D$8:$D$42,ROW('03.Muestra'!$B$8:$B$42)-MIN(ROW('03.Muestra'!$D$8:$D$42))+1,""),ROW()-284)),"")</f>
        <v>1.0</v>
      </c>
      <c r="B310" s="114" t="str" cm="1">
        <f t="array" ref="B310">IFERROR(INDEX('03.Muestra'!$C$8:$C$42,SMALL(IF("Página Web"='03.Muestra'!$D$8:$D$42,ROW('03.Muestra'!$C$8:$C$42)-MIN(ROW('03.Muestra'!$D$8:$D$42))+1,""),ROW()-284)),"")</f>
        <v>Home - PortCastelló</v>
      </c>
      <c r="C310" s="114" t="str" cm="1">
        <f t="array" ref="C310">IFERROR(INDEX('03.Muestra'!$F$8:$F$42,SMALL(IF("Página Web"='03.Muestra'!$D$8:$D$42,ROW('03.Muestra'!$F$8:$F$42)-MIN(ROW('03.Muestra'!$D$8:$D$42))+1,""),ROW()-284)),"")</f>
        <v>https://www.portcastello.com/</v>
      </c>
      <c r="D310" s="130" t="str">
        <f t="shared" si="15"/>
        <v>N/T</v>
      </c>
      <c r="E310" s="107" t="str">
        <f t="shared" si="14"/>
        <v/>
      </c>
      <c r="F310" s="19"/>
      <c r="G310" s="19"/>
      <c r="H310" s="19"/>
      <c r="I310" s="19"/>
      <c r="J310" s="19"/>
      <c r="K310" s="233"/>
      <c r="L310" s="19"/>
      <c r="M310" s="19"/>
      <c r="N310" s="19"/>
      <c r="O310" s="19"/>
      <c r="P310" s="19"/>
      <c r="Q310" s="19"/>
      <c r="R310" s="19"/>
      <c r="S310" s="19"/>
      <c r="T310" s="19"/>
      <c r="U310" s="19"/>
      <c r="V310" s="19"/>
      <c r="W310" s="19"/>
      <c r="X310" s="19"/>
      <c r="Y310" s="19"/>
    </row>
    <row r="311" spans="1:25" ht="12" customHeight="1">
      <c r="A311" s="219" t="n" cm="1">
        <f t="array" ref="A311">IFERROR(INDEX('03.Muestra'!$B$8:$B$42,SMALL(IF("Página Web"='03.Muestra'!$D$8:$D$42,ROW('03.Muestra'!$B$8:$B$42)-MIN(ROW('03.Muestra'!$D$8:$D$42))+1,""),ROW()-284)),"")</f>
        <v>1.0</v>
      </c>
      <c r="B311" s="114" t="str" cm="1">
        <f t="array" ref="B311">IFERROR(INDEX('03.Muestra'!$C$8:$C$42,SMALL(IF("Página Web"='03.Muestra'!$D$8:$D$42,ROW('03.Muestra'!$C$8:$C$42)-MIN(ROW('03.Muestra'!$D$8:$D$42))+1,""),ROW()-284)),"")</f>
        <v>Home - PortCastelló</v>
      </c>
      <c r="C311" s="114" t="str" cm="1">
        <f t="array" ref="C311">IFERROR(INDEX('03.Muestra'!$F$8:$F$42,SMALL(IF("Página Web"='03.Muestra'!$D$8:$D$42,ROW('03.Muestra'!$F$8:$F$42)-MIN(ROW('03.Muestra'!$D$8:$D$42))+1,""),ROW()-284)),"")</f>
        <v>https://www.portcastello.com/</v>
      </c>
      <c r="D311" s="130" t="str">
        <f t="shared" si="15"/>
        <v>N/T</v>
      </c>
      <c r="E311" s="107" t="str">
        <f t="shared" si="14"/>
        <v/>
      </c>
      <c r="F311" s="19"/>
      <c r="G311" s="19"/>
      <c r="H311" s="19"/>
      <c r="I311" s="19"/>
      <c r="J311" s="19"/>
      <c r="K311" s="233"/>
      <c r="L311" s="19"/>
      <c r="M311" s="19"/>
      <c r="N311" s="19"/>
      <c r="O311" s="19"/>
      <c r="P311" s="19"/>
      <c r="Q311" s="19"/>
      <c r="R311" s="19"/>
      <c r="S311" s="19"/>
      <c r="T311" s="19"/>
      <c r="U311" s="19"/>
      <c r="V311" s="19"/>
      <c r="W311" s="19"/>
      <c r="X311" s="19"/>
      <c r="Y311" s="19"/>
    </row>
    <row r="312" spans="1:25" ht="12" customHeight="1">
      <c r="A312" s="219" t="n" cm="1">
        <f t="array" ref="A312">IFERROR(INDEX('03.Muestra'!$B$8:$B$42,SMALL(IF("Página Web"='03.Muestra'!$D$8:$D$42,ROW('03.Muestra'!$B$8:$B$42)-MIN(ROW('03.Muestra'!$D$8:$D$42))+1,""),ROW()-284)),"")</f>
        <v>1.0</v>
      </c>
      <c r="B312" s="114" t="str" cm="1">
        <f t="array" ref="B312">IFERROR(INDEX('03.Muestra'!$C$8:$C$42,SMALL(IF("Página Web"='03.Muestra'!$D$8:$D$42,ROW('03.Muestra'!$C$8:$C$42)-MIN(ROW('03.Muestra'!$D$8:$D$42))+1,""),ROW()-284)),"")</f>
        <v>Home - PortCastelló</v>
      </c>
      <c r="C312" s="114" t="str" cm="1">
        <f t="array" ref="C312">IFERROR(INDEX('03.Muestra'!$F$8:$F$42,SMALL(IF("Página Web"='03.Muestra'!$D$8:$D$42,ROW('03.Muestra'!$F$8:$F$42)-MIN(ROW('03.Muestra'!$D$8:$D$42))+1,""),ROW()-284)),"")</f>
        <v>https://www.portcastello.com/</v>
      </c>
      <c r="D312" s="130" t="str">
        <f t="shared" si="15"/>
        <v>N/T</v>
      </c>
      <c r="E312" s="107" t="str">
        <f t="shared" si="14"/>
        <v/>
      </c>
      <c r="G312" s="19"/>
      <c r="H312" s="19"/>
      <c r="I312" s="19"/>
      <c r="J312" s="19"/>
      <c r="K312" s="233"/>
      <c r="L312" s="19"/>
      <c r="M312" s="19"/>
      <c r="N312" s="19"/>
      <c r="O312" s="19"/>
      <c r="P312" s="19"/>
      <c r="Q312" s="19"/>
      <c r="R312" s="19"/>
      <c r="S312" s="19"/>
      <c r="T312" s="19"/>
      <c r="U312" s="19"/>
      <c r="V312" s="19"/>
      <c r="W312" s="19"/>
      <c r="X312" s="19"/>
      <c r="Y312" s="19"/>
    </row>
    <row r="313" spans="1:25" ht="12" customHeight="1">
      <c r="A313" s="219" t="n" cm="1">
        <f t="array" ref="A313">IFERROR(INDEX('03.Muestra'!$B$8:$B$42,SMALL(IF("Página Web"='03.Muestra'!$D$8:$D$42,ROW('03.Muestra'!$B$8:$B$42)-MIN(ROW('03.Muestra'!$D$8:$D$42))+1,""),ROW()-284)),"")</f>
        <v>1.0</v>
      </c>
      <c r="B313" s="114" t="str" cm="1">
        <f t="array" ref="B313">IFERROR(INDEX('03.Muestra'!$C$8:$C$42,SMALL(IF("Página Web"='03.Muestra'!$D$8:$D$42,ROW('03.Muestra'!$C$8:$C$42)-MIN(ROW('03.Muestra'!$D$8:$D$42))+1,""),ROW()-284)),"")</f>
        <v>Home - PortCastelló</v>
      </c>
      <c r="C313" s="114" t="str" cm="1">
        <f t="array" ref="C313">IFERROR(INDEX('03.Muestra'!$F$8:$F$42,SMALL(IF("Página Web"='03.Muestra'!$D$8:$D$42,ROW('03.Muestra'!$F$8:$F$42)-MIN(ROW('03.Muestra'!$D$8:$D$42))+1,""),ROW()-284)),"")</f>
        <v>https://www.portcastello.com/</v>
      </c>
      <c r="D313" s="130" t="str">
        <f t="shared" si="15"/>
        <v>N/T</v>
      </c>
      <c r="E313" s="107" t="str">
        <f t="shared" si="14"/>
        <v/>
      </c>
      <c r="F313" s="124"/>
      <c r="G313" s="19"/>
      <c r="H313" s="19"/>
      <c r="I313" s="19"/>
      <c r="J313" s="19"/>
      <c r="K313" s="233"/>
      <c r="L313" s="19"/>
      <c r="M313" s="19"/>
      <c r="N313" s="19"/>
      <c r="O313" s="19"/>
      <c r="P313" s="19"/>
      <c r="Q313" s="19"/>
      <c r="R313" s="19"/>
      <c r="S313" s="19"/>
      <c r="T313" s="19"/>
      <c r="U313" s="19"/>
      <c r="V313" s="19"/>
      <c r="W313" s="19"/>
      <c r="X313" s="19"/>
      <c r="Y313" s="19"/>
    </row>
    <row r="314" spans="1:25" ht="12" customHeight="1">
      <c r="A314" s="219" t="n" cm="1">
        <f t="array" ref="A314">IFERROR(INDEX('03.Muestra'!$B$8:$B$42,SMALL(IF("Página Web"='03.Muestra'!$D$8:$D$42,ROW('03.Muestra'!$B$8:$B$42)-MIN(ROW('03.Muestra'!$D$8:$D$42))+1,""),ROW()-284)),"")</f>
        <v>1.0</v>
      </c>
      <c r="B314" s="114" t="str" cm="1">
        <f t="array" ref="B314">IFERROR(INDEX('03.Muestra'!$C$8:$C$42,SMALL(IF("Página Web"='03.Muestra'!$D$8:$D$42,ROW('03.Muestra'!$C$8:$C$42)-MIN(ROW('03.Muestra'!$D$8:$D$42))+1,""),ROW()-284)),"")</f>
        <v>Home - PortCastelló</v>
      </c>
      <c r="C314" s="114" t="str" cm="1">
        <f t="array" ref="C314">IFERROR(INDEX('03.Muestra'!$F$8:$F$42,SMALL(IF("Página Web"='03.Muestra'!$D$8:$D$42,ROW('03.Muestra'!$F$8:$F$42)-MIN(ROW('03.Muestra'!$D$8:$D$42))+1,""),ROW()-284)),"")</f>
        <v>https://www.portcastello.com/</v>
      </c>
      <c r="D314" s="130" t="str">
        <f t="shared" si="15"/>
        <v>N/T</v>
      </c>
      <c r="E314" s="107" t="str">
        <f t="shared" si="14"/>
        <v/>
      </c>
      <c r="F314" s="124"/>
      <c r="G314" s="19"/>
      <c r="H314" s="19"/>
      <c r="I314" s="19"/>
      <c r="J314" s="19"/>
      <c r="K314" s="233"/>
      <c r="L314" s="19"/>
      <c r="M314" s="19"/>
      <c r="N314" s="19"/>
      <c r="O314" s="19"/>
      <c r="P314" s="19"/>
      <c r="Q314" s="19"/>
      <c r="R314" s="19"/>
      <c r="S314" s="19"/>
      <c r="T314" s="19"/>
      <c r="U314" s="19"/>
      <c r="V314" s="19"/>
      <c r="W314" s="19"/>
      <c r="X314" s="19"/>
      <c r="Y314" s="19"/>
    </row>
    <row r="315" spans="1:25" ht="12" customHeight="1">
      <c r="A315" s="219" t="n" cm="1">
        <f t="array" ref="A315">IFERROR(INDEX('03.Muestra'!$B$8:$B$42,SMALL(IF("Página Web"='03.Muestra'!$D$8:$D$42,ROW('03.Muestra'!$B$8:$B$42)-MIN(ROW('03.Muestra'!$D$8:$D$42))+1,""),ROW()-284)),"")</f>
        <v>1.0</v>
      </c>
      <c r="B315" s="114" t="str" cm="1">
        <f t="array" ref="B315">IFERROR(INDEX('03.Muestra'!$C$8:$C$42,SMALL(IF("Página Web"='03.Muestra'!$D$8:$D$42,ROW('03.Muestra'!$C$8:$C$42)-MIN(ROW('03.Muestra'!$D$8:$D$42))+1,""),ROW()-284)),"")</f>
        <v>Home - PortCastelló</v>
      </c>
      <c r="C315" s="114" t="str" cm="1">
        <f t="array" ref="C315">IFERROR(INDEX('03.Muestra'!$F$8:$F$42,SMALL(IF("Página Web"='03.Muestra'!$D$8:$D$42,ROW('03.Muestra'!$F$8:$F$42)-MIN(ROW('03.Muestra'!$D$8:$D$42))+1,""),ROW()-284)),"")</f>
        <v>https://www.portcastello.com/</v>
      </c>
      <c r="D315" s="130" t="str">
        <f t="shared" si="15"/>
        <v>N/T</v>
      </c>
      <c r="E315" s="107" t="str">
        <f t="shared" si="14"/>
        <v/>
      </c>
      <c r="F315" s="124"/>
      <c r="G315" s="19"/>
      <c r="H315" s="19"/>
      <c r="I315" s="19"/>
      <c r="J315" s="19"/>
      <c r="K315" s="233"/>
      <c r="L315" s="19"/>
      <c r="M315" s="19"/>
      <c r="N315" s="19"/>
      <c r="O315" s="19"/>
      <c r="P315" s="19"/>
      <c r="Q315" s="19"/>
      <c r="R315" s="19"/>
      <c r="S315" s="19"/>
      <c r="T315" s="19"/>
      <c r="U315" s="19"/>
      <c r="V315" s="19"/>
      <c r="W315" s="19"/>
      <c r="X315" s="19"/>
      <c r="Y315" s="19"/>
    </row>
    <row r="316" spans="1:25" ht="12" customHeight="1">
      <c r="A316" s="219" t="n" cm="1">
        <f t="array" ref="A316">IFERROR(INDEX('03.Muestra'!$B$8:$B$42,SMALL(IF("Página Web"='03.Muestra'!$D$8:$D$42,ROW('03.Muestra'!$B$8:$B$42)-MIN(ROW('03.Muestra'!$D$8:$D$42))+1,""),ROW()-284)),"")</f>
        <v>1.0</v>
      </c>
      <c r="B316" s="114" t="str" cm="1">
        <f t="array" ref="B316">IFERROR(INDEX('03.Muestra'!$C$8:$C$42,SMALL(IF("Página Web"='03.Muestra'!$D$8:$D$42,ROW('03.Muestra'!$C$8:$C$42)-MIN(ROW('03.Muestra'!$D$8:$D$42))+1,""),ROW()-284)),"")</f>
        <v>Home - PortCastelló</v>
      </c>
      <c r="C316" s="114" t="str" cm="1">
        <f t="array" ref="C316">IFERROR(INDEX('03.Muestra'!$F$8:$F$42,SMALL(IF("Página Web"='03.Muestra'!$D$8:$D$42,ROW('03.Muestra'!$F$8:$F$42)-MIN(ROW('03.Muestra'!$D$8:$D$42))+1,""),ROW()-284)),"")</f>
        <v>https://www.portcastello.com/</v>
      </c>
      <c r="D316" s="130" t="str">
        <f t="shared" si="15"/>
        <v>N/T</v>
      </c>
      <c r="E316" s="107" t="str">
        <f t="shared" si="14"/>
        <v/>
      </c>
      <c r="F316" s="124"/>
      <c r="G316" s="19"/>
      <c r="H316" s="19"/>
      <c r="I316" s="19"/>
      <c r="J316" s="19"/>
      <c r="K316" s="233"/>
      <c r="L316" s="19"/>
      <c r="M316" s="19"/>
      <c r="N316" s="19"/>
      <c r="O316" s="19"/>
      <c r="P316" s="19"/>
      <c r="Q316" s="19"/>
      <c r="R316" s="19"/>
      <c r="S316" s="19"/>
      <c r="T316" s="19"/>
      <c r="U316" s="19"/>
      <c r="V316" s="19"/>
      <c r="W316" s="19"/>
      <c r="X316" s="19"/>
      <c r="Y316" s="19"/>
    </row>
    <row r="317" spans="1:25" ht="12" customHeight="1">
      <c r="A317" s="219" t="n" cm="1">
        <f t="array" ref="A317">IFERROR(INDEX('03.Muestra'!$B$8:$B$42,SMALL(IF("Página Web"='03.Muestra'!$D$8:$D$42,ROW('03.Muestra'!$B$8:$B$42)-MIN(ROW('03.Muestra'!$D$8:$D$42))+1,""),ROW()-284)),"")</f>
        <v>1.0</v>
      </c>
      <c r="B317" s="114" t="str" cm="1">
        <f t="array" ref="B317">IFERROR(INDEX('03.Muestra'!$C$8:$C$42,SMALL(IF("Página Web"='03.Muestra'!$D$8:$D$42,ROW('03.Muestra'!$C$8:$C$42)-MIN(ROW('03.Muestra'!$D$8:$D$42))+1,""),ROW()-284)),"")</f>
        <v>Home - PortCastelló</v>
      </c>
      <c r="C317" s="114" t="str" cm="1">
        <f t="array" ref="C317">IFERROR(INDEX('03.Muestra'!$F$8:$F$42,SMALL(IF("Página Web"='03.Muestra'!$D$8:$D$42,ROW('03.Muestra'!$F$8:$F$42)-MIN(ROW('03.Muestra'!$D$8:$D$42))+1,""),ROW()-284)),"")</f>
        <v>https://www.portcastello.com/</v>
      </c>
      <c r="D317" s="130" t="str">
        <f t="shared" si="15"/>
        <v>N/T</v>
      </c>
      <c r="E317" s="107" t="str">
        <f t="shared" si="14"/>
        <v/>
      </c>
      <c r="F317" s="124"/>
      <c r="G317" s="19"/>
      <c r="H317" s="19"/>
      <c r="I317" s="19"/>
      <c r="J317" s="19"/>
      <c r="K317" s="233"/>
      <c r="L317" s="19"/>
      <c r="M317" s="19"/>
      <c r="N317" s="19"/>
      <c r="O317" s="19"/>
      <c r="P317" s="19"/>
      <c r="Q317" s="19"/>
      <c r="R317" s="19"/>
      <c r="S317" s="19"/>
      <c r="T317" s="19"/>
      <c r="U317" s="19"/>
      <c r="V317" s="19"/>
      <c r="W317" s="19"/>
      <c r="X317" s="19"/>
      <c r="Y317" s="19"/>
    </row>
    <row r="318" spans="1:25" ht="12" customHeight="1">
      <c r="A318" s="219" t="str" cm="1">
        <f t="array" ref="A318">IFERROR(INDEX('03.Muestra'!$B$8:$B$42,SMALL(IF("Página Web"='03.Muestra'!$D$8:$D$42,ROW('03.Muestra'!$B$8:$B$42)-MIN(ROW('03.Muestra'!$D$8:$D$42))+1,""),ROW()-284)),"")</f>
        <v/>
      </c>
      <c r="B318" s="114" t="str" cm="1">
        <f t="array" ref="B318">IFERROR(INDEX('03.Muestra'!$C$8:$C$42,SMALL(IF("Página Web"='03.Muestra'!$D$8:$D$42,ROW('03.Muestra'!$C$8:$C$42)-MIN(ROW('03.Muestra'!$D$8:$D$42))+1,""),ROW()-284)),"")</f>
        <v/>
      </c>
      <c r="C318" s="114" t="str" cm="1">
        <f t="array" ref="C318">IFERROR(INDEX('03.Muestra'!$F$8:$F$42,SMALL(IF("Página Web"='03.Muestra'!$D$8:$D$42,ROW('03.Muestra'!$F$8:$F$42)-MIN(ROW('03.Muestra'!$D$8:$D$42))+1,""),ROW()-284)),"")</f>
        <v/>
      </c>
      <c r="D318" s="130" t="str">
        <f t="shared" si="15"/>
        <v/>
      </c>
      <c r="E318" s="107" t="str">
        <f t="shared" si="14"/>
        <v/>
      </c>
      <c r="F318" s="124"/>
      <c r="G318" s="19"/>
      <c r="H318" s="19"/>
      <c r="I318" s="19"/>
      <c r="J318" s="19"/>
      <c r="K318" s="233"/>
      <c r="L318" s="19"/>
      <c r="M318" s="19"/>
      <c r="N318" s="19"/>
      <c r="O318" s="19"/>
      <c r="P318" s="19"/>
      <c r="Q318" s="19"/>
      <c r="R318" s="19"/>
      <c r="S318" s="19"/>
      <c r="T318" s="19"/>
      <c r="U318" s="19"/>
      <c r="V318" s="19"/>
      <c r="W318" s="19"/>
      <c r="X318" s="19"/>
      <c r="Y318" s="19"/>
    </row>
    <row r="319" spans="1:25" ht="12" customHeight="1">
      <c r="A319" s="219" t="str" cm="1">
        <f t="array" ref="A319">IFERROR(INDEX('03.Muestra'!$B$8:$B$42,SMALL(IF("Página Web"='03.Muestra'!$D$8:$D$42,ROW('03.Muestra'!$B$8:$B$42)-MIN(ROW('03.Muestra'!$D$8:$D$42))+1,""),ROW()-284)),"")</f>
        <v/>
      </c>
      <c r="B319" s="114" t="str" cm="1">
        <f t="array" ref="B319">IFERROR(INDEX('03.Muestra'!$C$8:$C$42,SMALL(IF("Página Web"='03.Muestra'!$D$8:$D$42,ROW('03.Muestra'!$C$8:$C$42)-MIN(ROW('03.Muestra'!$D$8:$D$42))+1,""),ROW()-284)),"")</f>
        <v/>
      </c>
      <c r="C319" s="114" t="str" cm="1">
        <f t="array" ref="C319">IFERROR(INDEX('03.Muestra'!$F$8:$F$42,SMALL(IF("Página Web"='03.Muestra'!$D$8:$D$42,ROW('03.Muestra'!$F$8:$F$42)-MIN(ROW('03.Muestra'!$D$8:$D$42))+1,""),ROW()-284)),"")</f>
        <v/>
      </c>
      <c r="D319" s="130" t="str">
        <f t="shared" si="15"/>
        <v/>
      </c>
      <c r="E319" s="107" t="str">
        <f t="shared" si="14"/>
        <v/>
      </c>
      <c r="F319" s="19"/>
      <c r="G319" s="19"/>
      <c r="H319" s="19"/>
      <c r="I319" s="19"/>
      <c r="J319" s="19"/>
      <c r="K319" s="233"/>
      <c r="L319" s="19"/>
      <c r="M319" s="19"/>
      <c r="N319" s="19"/>
      <c r="O319" s="19"/>
      <c r="P319" s="19"/>
      <c r="Q319" s="19"/>
      <c r="R319" s="19"/>
      <c r="S319" s="19"/>
      <c r="T319" s="19"/>
      <c r="U319" s="19"/>
      <c r="V319" s="19"/>
      <c r="W319" s="19"/>
      <c r="X319" s="19"/>
      <c r="Y319" s="19"/>
    </row>
    <row r="320" spans="1:25" ht="12" customHeight="1">
      <c r="B320" s="19"/>
      <c r="C320" s="19"/>
      <c r="D320" s="107"/>
      <c r="E320" s="107"/>
      <c r="F320" s="19"/>
      <c r="G320" s="19"/>
      <c r="H320" s="19"/>
      <c r="I320" s="19"/>
      <c r="J320" s="19"/>
      <c r="K320" s="233"/>
      <c r="L320" s="19"/>
      <c r="M320" s="19"/>
      <c r="N320" s="19"/>
      <c r="O320" s="19"/>
      <c r="P320" s="19"/>
      <c r="Q320" s="19"/>
      <c r="R320" s="19"/>
      <c r="S320" s="19"/>
      <c r="T320" s="19"/>
      <c r="U320" s="19"/>
      <c r="V320" s="19"/>
      <c r="W320" s="19"/>
      <c r="X320" s="19"/>
      <c r="Y320" s="19"/>
    </row>
    <row r="321" spans="1:25" ht="12" customHeight="1">
      <c r="B321" s="19"/>
      <c r="C321" s="19"/>
      <c r="D321" s="107"/>
      <c r="E321" s="112"/>
      <c r="F321" s="19"/>
      <c r="G321" s="19"/>
      <c r="H321" s="19"/>
      <c r="I321" s="19"/>
      <c r="J321" s="19"/>
      <c r="K321" s="233"/>
      <c r="L321" s="19"/>
      <c r="M321" s="19"/>
      <c r="N321" s="19"/>
      <c r="O321" s="19"/>
      <c r="P321" s="19"/>
      <c r="Q321" s="19"/>
      <c r="R321" s="19"/>
      <c r="S321" s="19"/>
      <c r="T321" s="19"/>
      <c r="U321" s="19"/>
      <c r="V321" s="19"/>
      <c r="W321" s="19"/>
      <c r="X321" s="19"/>
      <c r="Y321" s="19"/>
    </row>
    <row r="322" spans="1:25" ht="29.25" customHeight="1">
      <c r="A322" s="218" t="s">
        <v>268</v>
      </c>
      <c r="B322" s="24" t="s">
        <v>90</v>
      </c>
      <c r="C322" s="25" t="s">
        <v>381</v>
      </c>
      <c r="D322" s="26" t="s">
        <v>32</v>
      </c>
      <c r="E322" s="123"/>
      <c r="K322" s="233"/>
      <c r="L322" s="19"/>
      <c r="M322" s="19"/>
      <c r="N322" s="19"/>
      <c r="O322" s="19"/>
      <c r="P322" s="19"/>
      <c r="Q322" s="19"/>
      <c r="R322" s="19"/>
      <c r="S322" s="19"/>
      <c r="T322" s="19"/>
      <c r="U322" s="19"/>
      <c r="V322" s="19"/>
      <c r="W322" s="19"/>
      <c r="X322" s="19"/>
      <c r="Y322" s="19"/>
    </row>
    <row r="323" spans="1:25" ht="12" customHeight="1">
      <c r="A323" s="219" t="n" cm="1">
        <f t="array" ref="A323">IFERROR(INDEX('03.Muestra'!$B$8:$B$42,SMALL(IF("Página Web"='03.Muestra'!$D$8:$D$42,ROW('03.Muestra'!$B$8:$B$42)-MIN(ROW('03.Muestra'!$D$8:$D$42))+1,""),ROW()-322)),"")</f>
        <v>1.0</v>
      </c>
      <c r="B323" s="114" t="str" cm="1">
        <f t="array" ref="B323">IFERROR(INDEX('03.Muestra'!$C$8:$C$42,SMALL(IF("Página Web"='03.Muestra'!$D$8:$D$42,ROW('03.Muestra'!$C$8:$C$42)-MIN(ROW('03.Muestra'!$D$8:$D$42))+1,""),ROW()-322)),"")</f>
        <v>Home - PortCastelló</v>
      </c>
      <c r="C323" s="114" t="str" cm="1">
        <f t="array" ref="C323">IFERROR(INDEX('03.Muestra'!$F$8:$F$42,SMALL(IF("Página Web"='03.Muestra'!$D$8:$D$42,ROW('03.Muestra'!$F$8:$F$42)-MIN(ROW('03.Muestra'!$D$8:$D$42))+1,""),ROW()-322)),"")</f>
        <v>https://www.portcastello.com/</v>
      </c>
      <c r="D323" s="130" t="s">
        <v>37</v>
      </c>
      <c r="E323" s="107" t="str">
        <f t="shared" ref="E323:E357" si="16">IF(D323&lt;&gt;"",IF(AND(B323&lt;&gt;"",C323&lt;&gt;""),"","ERR"),"")</f>
        <v/>
      </c>
      <c r="F323" s="115" t="s">
        <v>33</v>
      </c>
      <c r="G323" s="116" t="s">
        <v>37</v>
      </c>
      <c r="H323" s="117" t="s">
        <v>35</v>
      </c>
      <c r="I323" s="118" t="s">
        <v>28</v>
      </c>
      <c r="J323" s="119" t="s">
        <v>26</v>
      </c>
      <c r="K323" s="226" t="s">
        <v>474</v>
      </c>
      <c r="L323" s="19"/>
      <c r="M323" s="19"/>
      <c r="N323" s="19"/>
      <c r="O323" s="19"/>
      <c r="P323" s="19"/>
      <c r="Q323" s="19"/>
      <c r="R323" s="19"/>
      <c r="S323" s="19"/>
      <c r="T323" s="19"/>
      <c r="U323" s="19"/>
      <c r="V323" s="19"/>
      <c r="W323" s="19"/>
      <c r="X323" s="19"/>
      <c r="Y323" s="19"/>
    </row>
    <row r="324" spans="1:25" ht="12" customHeight="1">
      <c r="A324" s="219" t="n" cm="1">
        <f t="array" ref="A324">IFERROR(INDEX('03.Muestra'!$B$8:$B$42,SMALL(IF("Página Web"='03.Muestra'!$D$8:$D$42,ROW('03.Muestra'!$B$8:$B$42)-MIN(ROW('03.Muestra'!$D$8:$D$42))+1,""),ROW()-322)),"")</f>
        <v>1.0</v>
      </c>
      <c r="B324" s="114" t="str" cm="1">
        <f t="array" ref="B324">IFERROR(INDEX('03.Muestra'!$C$8:$C$42,SMALL(IF("Página Web"='03.Muestra'!$D$8:$D$42,ROW('03.Muestra'!$C$8:$C$42)-MIN(ROW('03.Muestra'!$D$8:$D$42))+1,""),ROW()-322)),"")</f>
        <v>Home - PortCastelló</v>
      </c>
      <c r="C324" s="114" t="str" cm="1">
        <f t="array" ref="C324">IFERROR(INDEX('03.Muestra'!$F$8:$F$42,SMALL(IF("Página Web"='03.Muestra'!$D$8:$D$42,ROW('03.Muestra'!$F$8:$F$42)-MIN(ROW('03.Muestra'!$D$8:$D$42))+1,""),ROW()-322)),"")</f>
        <v>https://www.portcastello.com/</v>
      </c>
      <c r="D324" s="130" t="s">
        <v>37</v>
      </c>
      <c r="E324" s="107" t="str">
        <f t="shared" si="16"/>
        <v/>
      </c>
      <c r="F324" s="120" t="n">
        <f ca="1">COUNTIF($D323:INDIRECT("$D" &amp;  SUM(ROW()-1,'03.Muestra'!$D$45)-1),F323)</f>
        <v>0.0</v>
      </c>
      <c r="G324" s="120" t="n">
        <f ca="1">COUNTIF($D323:INDIRECT("$D" &amp;  SUM(ROW()-1,'03.Muestra'!$D$45)-1),G323)</f>
        <v>33.0</v>
      </c>
      <c r="H324" s="120" t="n">
        <f ca="1">COUNTIF($D323:INDIRECT("$D" &amp;  SUM(ROW()-1,'03.Muestra'!$D$45)-1),H323)</f>
        <v>0.0</v>
      </c>
      <c r="I324" s="120" t="n">
        <f ca="1">COUNTIF($D323:INDIRECT("$D" &amp;  SUM(ROW()-1,'03.Muestra'!$D$45)-1),I323)</f>
        <v>0.0</v>
      </c>
      <c r="J324" s="120" t="n">
        <f ca="1">COUNTIF($D323:INDIRECT("$D" &amp;  SUM(ROW()-1,'03.Muestra'!$D$45)-1),J323)</f>
        <v>0.0</v>
      </c>
      <c r="K324" s="227" t="n">
        <f ca="1">IF(COUNTIF('03.Muestra'!$D$8:$D$42,"Página Web")=0,0,COUNTBLANK($D323:INDIRECT("$D" &amp;  SUM(ROW()-1,COUNTIF('03.Muestra'!$D$8:$D$42,"Página Web"))-1)))</f>
        <v>0.0</v>
      </c>
      <c r="L324" s="19"/>
      <c r="M324" s="19"/>
      <c r="N324" s="19"/>
      <c r="O324" s="19"/>
      <c r="P324" s="19"/>
      <c r="Q324" s="19"/>
      <c r="R324" s="19"/>
      <c r="S324" s="19"/>
      <c r="T324" s="19"/>
      <c r="U324" s="19"/>
      <c r="V324" s="19"/>
      <c r="W324" s="19"/>
      <c r="X324" s="19"/>
      <c r="Y324" s="19"/>
    </row>
    <row r="325" spans="1:25" ht="12" customHeight="1">
      <c r="A325" s="219" t="n" cm="1">
        <f t="array" ref="A325">IFERROR(INDEX('03.Muestra'!$B$8:$B$42,SMALL(IF("Página Web"='03.Muestra'!$D$8:$D$42,ROW('03.Muestra'!$B$8:$B$42)-MIN(ROW('03.Muestra'!$D$8:$D$42))+1,""),ROW()-322)),"")</f>
        <v>1.0</v>
      </c>
      <c r="B325" s="114" t="str" cm="1">
        <f t="array" ref="B325">IFERROR(INDEX('03.Muestra'!$C$8:$C$42,SMALL(IF("Página Web"='03.Muestra'!$D$8:$D$42,ROW('03.Muestra'!$C$8:$C$42)-MIN(ROW('03.Muestra'!$D$8:$D$42))+1,""),ROW()-322)),"")</f>
        <v>Home - PortCastelló</v>
      </c>
      <c r="C325" s="114" t="str" cm="1">
        <f t="array" ref="C325">IFERROR(INDEX('03.Muestra'!$F$8:$F$42,SMALL(IF("Página Web"='03.Muestra'!$D$8:$D$42,ROW('03.Muestra'!$F$8:$F$42)-MIN(ROW('03.Muestra'!$D$8:$D$42))+1,""),ROW()-322)),"")</f>
        <v>https://www.portcastello.com/</v>
      </c>
      <c r="D325" s="130" t="s">
        <v>37</v>
      </c>
      <c r="E325" s="107" t="str">
        <f t="shared" si="16"/>
        <v/>
      </c>
      <c r="G325" s="19"/>
      <c r="H325" s="19"/>
      <c r="I325" s="19"/>
      <c r="J325" s="19"/>
      <c r="K325" s="233"/>
      <c r="L325" s="19"/>
      <c r="M325" s="19"/>
      <c r="N325" s="19"/>
      <c r="O325" s="19"/>
      <c r="P325" s="19"/>
      <c r="Q325" s="19"/>
      <c r="R325" s="19"/>
      <c r="S325" s="19"/>
      <c r="T325" s="19"/>
      <c r="U325" s="19"/>
      <c r="V325" s="19"/>
      <c r="W325" s="19"/>
      <c r="X325" s="19"/>
      <c r="Y325" s="19"/>
    </row>
    <row r="326" spans="1:25" ht="12" customHeight="1">
      <c r="A326" s="219" t="n" cm="1">
        <f t="array" ref="A326">IFERROR(INDEX('03.Muestra'!$B$8:$B$42,SMALL(IF("Página Web"='03.Muestra'!$D$8:$D$42,ROW('03.Muestra'!$B$8:$B$42)-MIN(ROW('03.Muestra'!$D$8:$D$42))+1,""),ROW()-322)),"")</f>
        <v>1.0</v>
      </c>
      <c r="B326" s="114" t="str" cm="1">
        <f t="array" ref="B326">IFERROR(INDEX('03.Muestra'!$C$8:$C$42,SMALL(IF("Página Web"='03.Muestra'!$D$8:$D$42,ROW('03.Muestra'!$C$8:$C$42)-MIN(ROW('03.Muestra'!$D$8:$D$42))+1,""),ROW()-322)),"")</f>
        <v>Home - PortCastelló</v>
      </c>
      <c r="C326" s="114" t="str" cm="1">
        <f t="array" ref="C326">IFERROR(INDEX('03.Muestra'!$F$8:$F$42,SMALL(IF("Página Web"='03.Muestra'!$D$8:$D$42,ROW('03.Muestra'!$F$8:$F$42)-MIN(ROW('03.Muestra'!$D$8:$D$42))+1,""),ROW()-322)),"")</f>
        <v>https://www.portcastello.com/</v>
      </c>
      <c r="D326" s="130" t="s">
        <v>37</v>
      </c>
      <c r="E326" s="107" t="str">
        <f t="shared" si="16"/>
        <v/>
      </c>
      <c r="G326" s="19"/>
      <c r="H326" s="19"/>
      <c r="I326" s="19"/>
      <c r="J326" s="19"/>
      <c r="K326" s="233"/>
      <c r="L326" s="19"/>
      <c r="M326" s="19"/>
      <c r="N326" s="19"/>
      <c r="O326" s="19"/>
      <c r="P326" s="19"/>
      <c r="Q326" s="19"/>
      <c r="R326" s="19"/>
      <c r="S326" s="19"/>
      <c r="T326" s="19"/>
      <c r="U326" s="19"/>
      <c r="V326" s="19"/>
      <c r="W326" s="19"/>
      <c r="X326" s="19"/>
      <c r="Y326" s="19"/>
    </row>
    <row r="327" spans="1:25" ht="12" customHeight="1">
      <c r="A327" s="219" t="n" cm="1">
        <f t="array" ref="A327">IFERROR(INDEX('03.Muestra'!$B$8:$B$42,SMALL(IF("Página Web"='03.Muestra'!$D$8:$D$42,ROW('03.Muestra'!$B$8:$B$42)-MIN(ROW('03.Muestra'!$D$8:$D$42))+1,""),ROW()-322)),"")</f>
        <v>1.0</v>
      </c>
      <c r="B327" s="114" t="str" cm="1">
        <f t="array" ref="B327">IFERROR(INDEX('03.Muestra'!$C$8:$C$42,SMALL(IF("Página Web"='03.Muestra'!$D$8:$D$42,ROW('03.Muestra'!$C$8:$C$42)-MIN(ROW('03.Muestra'!$D$8:$D$42))+1,""),ROW()-322)),"")</f>
        <v>Home - PortCastelló</v>
      </c>
      <c r="C327" s="114" t="str" cm="1">
        <f t="array" ref="C327">IFERROR(INDEX('03.Muestra'!$F$8:$F$42,SMALL(IF("Página Web"='03.Muestra'!$D$8:$D$42,ROW('03.Muestra'!$F$8:$F$42)-MIN(ROW('03.Muestra'!$D$8:$D$42))+1,""),ROW()-322)),"")</f>
        <v>https://www.portcastello.com/</v>
      </c>
      <c r="D327" s="130" t="s">
        <v>37</v>
      </c>
      <c r="E327" s="107" t="str">
        <f t="shared" si="16"/>
        <v/>
      </c>
      <c r="G327" s="19"/>
      <c r="H327" s="19"/>
      <c r="I327" s="19"/>
      <c r="J327" s="19"/>
      <c r="K327" s="233"/>
      <c r="L327" s="19"/>
      <c r="M327" s="19"/>
      <c r="N327" s="19"/>
      <c r="O327" s="19"/>
      <c r="P327" s="19"/>
      <c r="Q327" s="19"/>
      <c r="R327" s="19"/>
      <c r="S327" s="19"/>
      <c r="T327" s="19"/>
      <c r="U327" s="19"/>
      <c r="V327" s="19"/>
      <c r="W327" s="19"/>
      <c r="X327" s="19"/>
      <c r="Y327" s="19"/>
    </row>
    <row r="328" spans="1:25" ht="12" customHeight="1">
      <c r="A328" s="219" t="n" cm="1">
        <f t="array" ref="A328">IFERROR(INDEX('03.Muestra'!$B$8:$B$42,SMALL(IF("Página Web"='03.Muestra'!$D$8:$D$42,ROW('03.Muestra'!$B$8:$B$42)-MIN(ROW('03.Muestra'!$D$8:$D$42))+1,""),ROW()-322)),"")</f>
        <v>1.0</v>
      </c>
      <c r="B328" s="114" t="str" cm="1">
        <f t="array" ref="B328">IFERROR(INDEX('03.Muestra'!$C$8:$C$42,SMALL(IF("Página Web"='03.Muestra'!$D$8:$D$42,ROW('03.Muestra'!$C$8:$C$42)-MIN(ROW('03.Muestra'!$D$8:$D$42))+1,""),ROW()-322)),"")</f>
        <v>Home - PortCastelló</v>
      </c>
      <c r="C328" s="114" t="str" cm="1">
        <f t="array" ref="C328">IFERROR(INDEX('03.Muestra'!$F$8:$F$42,SMALL(IF("Página Web"='03.Muestra'!$D$8:$D$42,ROW('03.Muestra'!$F$8:$F$42)-MIN(ROW('03.Muestra'!$D$8:$D$42))+1,""),ROW()-322)),"")</f>
        <v>https://www.portcastello.com/</v>
      </c>
      <c r="D328" s="130" t="s">
        <v>37</v>
      </c>
      <c r="E328" s="107" t="str">
        <f t="shared" si="16"/>
        <v/>
      </c>
      <c r="G328" s="19"/>
      <c r="H328" s="19"/>
      <c r="I328" s="19"/>
      <c r="J328" s="19"/>
      <c r="K328" s="233"/>
      <c r="L328" s="19"/>
      <c r="M328" s="19"/>
      <c r="N328" s="19"/>
      <c r="O328" s="19"/>
      <c r="P328" s="19"/>
      <c r="Q328" s="19"/>
      <c r="R328" s="19"/>
      <c r="S328" s="19"/>
      <c r="T328" s="19"/>
      <c r="U328" s="19"/>
      <c r="V328" s="19"/>
      <c r="W328" s="19"/>
      <c r="X328" s="19"/>
      <c r="Y328" s="19"/>
    </row>
    <row r="329" spans="1:25" ht="12" customHeight="1">
      <c r="A329" s="219" t="n" cm="1">
        <f t="array" ref="A329">IFERROR(INDEX('03.Muestra'!$B$8:$B$42,SMALL(IF("Página Web"='03.Muestra'!$D$8:$D$42,ROW('03.Muestra'!$B$8:$B$42)-MIN(ROW('03.Muestra'!$D$8:$D$42))+1,""),ROW()-322)),"")</f>
        <v>1.0</v>
      </c>
      <c r="B329" s="114" t="str" cm="1">
        <f t="array" ref="B329">IFERROR(INDEX('03.Muestra'!$C$8:$C$42,SMALL(IF("Página Web"='03.Muestra'!$D$8:$D$42,ROW('03.Muestra'!$C$8:$C$42)-MIN(ROW('03.Muestra'!$D$8:$D$42))+1,""),ROW()-322)),"")</f>
        <v>Home - PortCastelló</v>
      </c>
      <c r="C329" s="114" t="str" cm="1">
        <f t="array" ref="C329">IFERROR(INDEX('03.Muestra'!$F$8:$F$42,SMALL(IF("Página Web"='03.Muestra'!$D$8:$D$42,ROW('03.Muestra'!$F$8:$F$42)-MIN(ROW('03.Muestra'!$D$8:$D$42))+1,""),ROW()-322)),"")</f>
        <v>https://www.portcastello.com/</v>
      </c>
      <c r="D329" s="130" t="s">
        <v>37</v>
      </c>
      <c r="E329" s="107" t="str">
        <f t="shared" si="16"/>
        <v/>
      </c>
      <c r="F329" s="19"/>
      <c r="G329" s="19"/>
      <c r="H329" s="19"/>
      <c r="I329" s="19"/>
      <c r="J329" s="19"/>
      <c r="K329" s="233"/>
      <c r="L329" s="19"/>
      <c r="M329" s="19"/>
      <c r="N329" s="19"/>
      <c r="O329" s="19"/>
      <c r="P329" s="19"/>
      <c r="Q329" s="19"/>
      <c r="R329" s="19"/>
      <c r="S329" s="19"/>
      <c r="T329" s="19"/>
      <c r="U329" s="19"/>
      <c r="V329" s="19"/>
      <c r="W329" s="19"/>
      <c r="X329" s="19"/>
      <c r="Y329" s="19"/>
    </row>
    <row r="330" spans="1:25" ht="12" customHeight="1">
      <c r="A330" s="219" t="n" cm="1">
        <f t="array" ref="A330">IFERROR(INDEX('03.Muestra'!$B$8:$B$42,SMALL(IF("Página Web"='03.Muestra'!$D$8:$D$42,ROW('03.Muestra'!$B$8:$B$42)-MIN(ROW('03.Muestra'!$D$8:$D$42))+1,""),ROW()-322)),"")</f>
        <v>1.0</v>
      </c>
      <c r="B330" s="114" t="str" cm="1">
        <f t="array" ref="B330">IFERROR(INDEX('03.Muestra'!$C$8:$C$42,SMALL(IF("Página Web"='03.Muestra'!$D$8:$D$42,ROW('03.Muestra'!$C$8:$C$42)-MIN(ROW('03.Muestra'!$D$8:$D$42))+1,""),ROW()-322)),"")</f>
        <v>Home - PortCastelló</v>
      </c>
      <c r="C330" s="114" t="str" cm="1">
        <f t="array" ref="C330">IFERROR(INDEX('03.Muestra'!$F$8:$F$42,SMALL(IF("Página Web"='03.Muestra'!$D$8:$D$42,ROW('03.Muestra'!$F$8:$F$42)-MIN(ROW('03.Muestra'!$D$8:$D$42))+1,""),ROW()-322)),"")</f>
        <v>https://www.portcastello.com/</v>
      </c>
      <c r="D330" s="130" t="s">
        <v>37</v>
      </c>
      <c r="E330" s="107" t="str">
        <f t="shared" si="16"/>
        <v/>
      </c>
      <c r="F330" s="19"/>
      <c r="G330" s="19"/>
      <c r="H330" s="19"/>
      <c r="I330" s="19"/>
      <c r="J330" s="19"/>
      <c r="K330" s="233"/>
      <c r="L330" s="19"/>
      <c r="M330" s="19"/>
      <c r="N330" s="19"/>
      <c r="O330" s="19"/>
      <c r="P330" s="19"/>
      <c r="Q330" s="19"/>
      <c r="R330" s="19"/>
      <c r="S330" s="19"/>
      <c r="T330" s="19"/>
      <c r="U330" s="19"/>
      <c r="V330" s="19"/>
      <c r="W330" s="19"/>
      <c r="X330" s="19"/>
      <c r="Y330" s="19"/>
    </row>
    <row r="331" spans="1:25" ht="12" customHeight="1">
      <c r="A331" s="219" t="n" cm="1">
        <f t="array" ref="A331">IFERROR(INDEX('03.Muestra'!$B$8:$B$42,SMALL(IF("Página Web"='03.Muestra'!$D$8:$D$42,ROW('03.Muestra'!$B$8:$B$42)-MIN(ROW('03.Muestra'!$D$8:$D$42))+1,""),ROW()-322)),"")</f>
        <v>1.0</v>
      </c>
      <c r="B331" s="114" t="str" cm="1">
        <f t="array" ref="B331">IFERROR(INDEX('03.Muestra'!$C$8:$C$42,SMALL(IF("Página Web"='03.Muestra'!$D$8:$D$42,ROW('03.Muestra'!$C$8:$C$42)-MIN(ROW('03.Muestra'!$D$8:$D$42))+1,""),ROW()-322)),"")</f>
        <v>Home - PortCastelló</v>
      </c>
      <c r="C331" s="114" t="str" cm="1">
        <f t="array" ref="C331">IFERROR(INDEX('03.Muestra'!$F$8:$F$42,SMALL(IF("Página Web"='03.Muestra'!$D$8:$D$42,ROW('03.Muestra'!$F$8:$F$42)-MIN(ROW('03.Muestra'!$D$8:$D$42))+1,""),ROW()-322)),"")</f>
        <v>https://www.portcastello.com/</v>
      </c>
      <c r="D331" s="130" t="s">
        <v>37</v>
      </c>
      <c r="E331" s="107" t="str">
        <f t="shared" si="16"/>
        <v/>
      </c>
      <c r="F331" s="19"/>
      <c r="G331" s="19"/>
      <c r="H331" s="19"/>
      <c r="I331" s="19"/>
      <c r="J331" s="19"/>
      <c r="K331" s="233"/>
      <c r="L331" s="19"/>
      <c r="M331" s="19"/>
      <c r="N331" s="19"/>
      <c r="O331" s="19"/>
      <c r="P331" s="19"/>
      <c r="Q331" s="19"/>
      <c r="R331" s="19"/>
      <c r="S331" s="19"/>
      <c r="T331" s="19"/>
      <c r="U331" s="19"/>
      <c r="V331" s="19"/>
      <c r="W331" s="19"/>
      <c r="X331" s="19"/>
      <c r="Y331" s="19"/>
    </row>
    <row r="332" spans="1:25" ht="12" customHeight="1">
      <c r="A332" s="219" t="n" cm="1">
        <f t="array" ref="A332">IFERROR(INDEX('03.Muestra'!$B$8:$B$42,SMALL(IF("Página Web"='03.Muestra'!$D$8:$D$42,ROW('03.Muestra'!$B$8:$B$42)-MIN(ROW('03.Muestra'!$D$8:$D$42))+1,""),ROW()-322)),"")</f>
        <v>1.0</v>
      </c>
      <c r="B332" s="114" t="str" cm="1">
        <f t="array" ref="B332">IFERROR(INDEX('03.Muestra'!$C$8:$C$42,SMALL(IF("Página Web"='03.Muestra'!$D$8:$D$42,ROW('03.Muestra'!$C$8:$C$42)-MIN(ROW('03.Muestra'!$D$8:$D$42))+1,""),ROW()-322)),"")</f>
        <v>Home - PortCastelló</v>
      </c>
      <c r="C332" s="114" t="str" cm="1">
        <f t="array" ref="C332">IFERROR(INDEX('03.Muestra'!$F$8:$F$42,SMALL(IF("Página Web"='03.Muestra'!$D$8:$D$42,ROW('03.Muestra'!$F$8:$F$42)-MIN(ROW('03.Muestra'!$D$8:$D$42))+1,""),ROW()-322)),"")</f>
        <v>https://www.portcastello.com/</v>
      </c>
      <c r="D332" s="130" t="s">
        <v>37</v>
      </c>
      <c r="E332" s="107" t="str">
        <f t="shared" si="16"/>
        <v/>
      </c>
      <c r="F332" s="19"/>
      <c r="G332" s="19"/>
      <c r="H332" s="19"/>
      <c r="I332" s="19"/>
      <c r="J332" s="19"/>
      <c r="K332" s="233"/>
      <c r="L332" s="19"/>
      <c r="M332" s="19"/>
      <c r="N332" s="19"/>
      <c r="O332" s="19"/>
      <c r="P332" s="19"/>
      <c r="Q332" s="19"/>
      <c r="R332" s="19"/>
      <c r="S332" s="19"/>
      <c r="T332" s="19"/>
      <c r="U332" s="19"/>
      <c r="V332" s="19"/>
      <c r="W332" s="19"/>
      <c r="X332" s="19"/>
      <c r="Y332" s="19"/>
    </row>
    <row r="333" spans="1:25" ht="12" customHeight="1">
      <c r="A333" s="219" t="n" cm="1">
        <f t="array" ref="A333">IFERROR(INDEX('03.Muestra'!$B$8:$B$42,SMALL(IF("Página Web"='03.Muestra'!$D$8:$D$42,ROW('03.Muestra'!$B$8:$B$42)-MIN(ROW('03.Muestra'!$D$8:$D$42))+1,""),ROW()-322)),"")</f>
        <v>1.0</v>
      </c>
      <c r="B333" s="114" t="str" cm="1">
        <f t="array" ref="B333">IFERROR(INDEX('03.Muestra'!$C$8:$C$42,SMALL(IF("Página Web"='03.Muestra'!$D$8:$D$42,ROW('03.Muestra'!$C$8:$C$42)-MIN(ROW('03.Muestra'!$D$8:$D$42))+1,""),ROW()-322)),"")</f>
        <v>Home - PortCastelló</v>
      </c>
      <c r="C333" s="114" t="str" cm="1">
        <f t="array" ref="C333">IFERROR(INDEX('03.Muestra'!$F$8:$F$42,SMALL(IF("Página Web"='03.Muestra'!$D$8:$D$42,ROW('03.Muestra'!$F$8:$F$42)-MIN(ROW('03.Muestra'!$D$8:$D$42))+1,""),ROW()-322)),"")</f>
        <v>https://www.portcastello.com/</v>
      </c>
      <c r="D333" s="130" t="s">
        <v>37</v>
      </c>
      <c r="E333" s="107" t="str">
        <f t="shared" si="16"/>
        <v/>
      </c>
      <c r="F333" s="19"/>
      <c r="G333" s="19"/>
      <c r="H333" s="19"/>
      <c r="I333" s="19"/>
      <c r="J333" s="19"/>
      <c r="K333" s="233"/>
      <c r="L333" s="19"/>
      <c r="M333" s="19"/>
      <c r="N333" s="19"/>
      <c r="O333" s="19"/>
      <c r="P333" s="19"/>
      <c r="Q333" s="19"/>
      <c r="R333" s="19"/>
      <c r="S333" s="19"/>
      <c r="T333" s="19"/>
      <c r="U333" s="19"/>
      <c r="V333" s="19"/>
      <c r="W333" s="19"/>
      <c r="X333" s="19"/>
      <c r="Y333" s="19"/>
    </row>
    <row r="334" spans="1:25" ht="12" customHeight="1">
      <c r="A334" s="219" t="n" cm="1">
        <f t="array" ref="A334">IFERROR(INDEX('03.Muestra'!$B$8:$B$42,SMALL(IF("Página Web"='03.Muestra'!$D$8:$D$42,ROW('03.Muestra'!$B$8:$B$42)-MIN(ROW('03.Muestra'!$D$8:$D$42))+1,""),ROW()-322)),"")</f>
        <v>1.0</v>
      </c>
      <c r="B334" s="114" t="str" cm="1">
        <f t="array" ref="B334">IFERROR(INDEX('03.Muestra'!$C$8:$C$42,SMALL(IF("Página Web"='03.Muestra'!$D$8:$D$42,ROW('03.Muestra'!$C$8:$C$42)-MIN(ROW('03.Muestra'!$D$8:$D$42))+1,""),ROW()-322)),"")</f>
        <v>Home - PortCastelló</v>
      </c>
      <c r="C334" s="114" t="str" cm="1">
        <f t="array" ref="C334">IFERROR(INDEX('03.Muestra'!$F$8:$F$42,SMALL(IF("Página Web"='03.Muestra'!$D$8:$D$42,ROW('03.Muestra'!$F$8:$F$42)-MIN(ROW('03.Muestra'!$D$8:$D$42))+1,""),ROW()-322)),"")</f>
        <v>https://www.portcastello.com/</v>
      </c>
      <c r="D334" s="130" t="s">
        <v>37</v>
      </c>
      <c r="E334" s="107" t="str">
        <f t="shared" si="16"/>
        <v/>
      </c>
      <c r="F334" s="19"/>
      <c r="G334" s="19"/>
      <c r="H334" s="19"/>
      <c r="I334" s="19"/>
      <c r="J334" s="19"/>
      <c r="K334" s="233"/>
      <c r="L334" s="19"/>
      <c r="M334" s="19"/>
      <c r="N334" s="19"/>
      <c r="O334" s="19"/>
      <c r="P334" s="19"/>
      <c r="Q334" s="19"/>
      <c r="R334" s="19"/>
      <c r="S334" s="19"/>
      <c r="T334" s="19"/>
      <c r="U334" s="19"/>
      <c r="V334" s="19"/>
      <c r="W334" s="19"/>
      <c r="X334" s="19"/>
      <c r="Y334" s="19"/>
    </row>
    <row r="335" spans="1:25" ht="12" customHeight="1">
      <c r="A335" s="219" t="n" cm="1">
        <f t="array" ref="A335">IFERROR(INDEX('03.Muestra'!$B$8:$B$42,SMALL(IF("Página Web"='03.Muestra'!$D$8:$D$42,ROW('03.Muestra'!$B$8:$B$42)-MIN(ROW('03.Muestra'!$D$8:$D$42))+1,""),ROW()-322)),"")</f>
        <v>1.0</v>
      </c>
      <c r="B335" s="114" t="str" cm="1">
        <f t="array" ref="B335">IFERROR(INDEX('03.Muestra'!$C$8:$C$42,SMALL(IF("Página Web"='03.Muestra'!$D$8:$D$42,ROW('03.Muestra'!$C$8:$C$42)-MIN(ROW('03.Muestra'!$D$8:$D$42))+1,""),ROW()-322)),"")</f>
        <v>Home - PortCastelló</v>
      </c>
      <c r="C335" s="114" t="str" cm="1">
        <f t="array" ref="C335">IFERROR(INDEX('03.Muestra'!$F$8:$F$42,SMALL(IF("Página Web"='03.Muestra'!$D$8:$D$42,ROW('03.Muestra'!$F$8:$F$42)-MIN(ROW('03.Muestra'!$D$8:$D$42))+1,""),ROW()-322)),"")</f>
        <v>https://www.portcastello.com/</v>
      </c>
      <c r="D335" s="130" t="s">
        <v>37</v>
      </c>
      <c r="E335" s="107" t="str">
        <f t="shared" si="16"/>
        <v/>
      </c>
      <c r="F335" s="19"/>
      <c r="G335" s="19"/>
      <c r="H335" s="19"/>
      <c r="I335" s="19"/>
      <c r="J335" s="19"/>
      <c r="K335" s="233"/>
      <c r="L335" s="19"/>
      <c r="M335" s="19"/>
      <c r="N335" s="19"/>
      <c r="O335" s="19"/>
      <c r="P335" s="19"/>
      <c r="Q335" s="19"/>
      <c r="R335" s="19"/>
      <c r="S335" s="19"/>
      <c r="T335" s="19"/>
      <c r="U335" s="19"/>
      <c r="V335" s="19"/>
      <c r="W335" s="19"/>
      <c r="X335" s="19"/>
      <c r="Y335" s="19"/>
    </row>
    <row r="336" spans="1:25" ht="12" customHeight="1">
      <c r="A336" s="219" t="n" cm="1">
        <f t="array" ref="A336">IFERROR(INDEX('03.Muestra'!$B$8:$B$42,SMALL(IF("Página Web"='03.Muestra'!$D$8:$D$42,ROW('03.Muestra'!$B$8:$B$42)-MIN(ROW('03.Muestra'!$D$8:$D$42))+1,""),ROW()-322)),"")</f>
        <v>1.0</v>
      </c>
      <c r="B336" s="114" t="str" cm="1">
        <f t="array" ref="B336">IFERROR(INDEX('03.Muestra'!$C$8:$C$42,SMALL(IF("Página Web"='03.Muestra'!$D$8:$D$42,ROW('03.Muestra'!$C$8:$C$42)-MIN(ROW('03.Muestra'!$D$8:$D$42))+1,""),ROW()-322)),"")</f>
        <v>Home - PortCastelló</v>
      </c>
      <c r="C336" s="114" t="str" cm="1">
        <f t="array" ref="C336">IFERROR(INDEX('03.Muestra'!$F$8:$F$42,SMALL(IF("Página Web"='03.Muestra'!$D$8:$D$42,ROW('03.Muestra'!$F$8:$F$42)-MIN(ROW('03.Muestra'!$D$8:$D$42))+1,""),ROW()-322)),"")</f>
        <v>https://www.portcastello.com/</v>
      </c>
      <c r="D336" s="130" t="s">
        <v>37</v>
      </c>
      <c r="E336" s="107" t="str">
        <f t="shared" si="16"/>
        <v/>
      </c>
      <c r="F336" s="19"/>
      <c r="G336" s="19"/>
      <c r="H336" s="19"/>
      <c r="I336" s="19"/>
      <c r="J336" s="19"/>
      <c r="K336" s="233"/>
      <c r="L336" s="19"/>
      <c r="M336" s="19"/>
      <c r="N336" s="19"/>
      <c r="O336" s="19"/>
      <c r="P336" s="19"/>
      <c r="Q336" s="19"/>
      <c r="R336" s="19"/>
      <c r="S336" s="19"/>
      <c r="T336" s="19"/>
      <c r="U336" s="19"/>
      <c r="V336" s="19"/>
      <c r="W336" s="19"/>
      <c r="X336" s="19"/>
      <c r="Y336" s="19"/>
    </row>
    <row r="337" spans="1:25" ht="12" customHeight="1">
      <c r="A337" s="219" t="n" cm="1">
        <f t="array" ref="A337">IFERROR(INDEX('03.Muestra'!$B$8:$B$42,SMALL(IF("Página Web"='03.Muestra'!$D$8:$D$42,ROW('03.Muestra'!$B$8:$B$42)-MIN(ROW('03.Muestra'!$D$8:$D$42))+1,""),ROW()-322)),"")</f>
        <v>1.0</v>
      </c>
      <c r="B337" s="114" t="str" cm="1">
        <f t="array" ref="B337">IFERROR(INDEX('03.Muestra'!$C$8:$C$42,SMALL(IF("Página Web"='03.Muestra'!$D$8:$D$42,ROW('03.Muestra'!$C$8:$C$42)-MIN(ROW('03.Muestra'!$D$8:$D$42))+1,""),ROW()-322)),"")</f>
        <v>Home - PortCastelló</v>
      </c>
      <c r="C337" s="114" t="str" cm="1">
        <f t="array" ref="C337">IFERROR(INDEX('03.Muestra'!$F$8:$F$42,SMALL(IF("Página Web"='03.Muestra'!$D$8:$D$42,ROW('03.Muestra'!$F$8:$F$42)-MIN(ROW('03.Muestra'!$D$8:$D$42))+1,""),ROW()-322)),"")</f>
        <v>https://www.portcastello.com/</v>
      </c>
      <c r="D337" s="130" t="s">
        <v>37</v>
      </c>
      <c r="E337" s="107" t="str">
        <f t="shared" si="16"/>
        <v/>
      </c>
      <c r="F337" s="19"/>
      <c r="G337" s="19"/>
      <c r="H337" s="19"/>
      <c r="I337" s="19"/>
      <c r="J337" s="19"/>
      <c r="K337" s="233"/>
      <c r="L337" s="19"/>
      <c r="M337" s="19"/>
      <c r="N337" s="19"/>
      <c r="O337" s="19"/>
      <c r="P337" s="19"/>
      <c r="Q337" s="19"/>
      <c r="R337" s="19"/>
      <c r="S337" s="19"/>
      <c r="T337" s="19"/>
      <c r="U337" s="19"/>
      <c r="V337" s="19"/>
      <c r="W337" s="19"/>
      <c r="X337" s="19"/>
      <c r="Y337" s="19"/>
    </row>
    <row r="338" spans="1:25" ht="12" customHeight="1">
      <c r="A338" s="219" t="n" cm="1">
        <f t="array" ref="A338">IFERROR(INDEX('03.Muestra'!$B$8:$B$42,SMALL(IF("Página Web"='03.Muestra'!$D$8:$D$42,ROW('03.Muestra'!$B$8:$B$42)-MIN(ROW('03.Muestra'!$D$8:$D$42))+1,""),ROW()-322)),"")</f>
        <v>1.0</v>
      </c>
      <c r="B338" s="114" t="str" cm="1">
        <f t="array" ref="B338">IFERROR(INDEX('03.Muestra'!$C$8:$C$42,SMALL(IF("Página Web"='03.Muestra'!$D$8:$D$42,ROW('03.Muestra'!$C$8:$C$42)-MIN(ROW('03.Muestra'!$D$8:$D$42))+1,""),ROW()-322)),"")</f>
        <v>Home - PortCastelló</v>
      </c>
      <c r="C338" s="114" t="str" cm="1">
        <f t="array" ref="C338">IFERROR(INDEX('03.Muestra'!$F$8:$F$42,SMALL(IF("Página Web"='03.Muestra'!$D$8:$D$42,ROW('03.Muestra'!$F$8:$F$42)-MIN(ROW('03.Muestra'!$D$8:$D$42))+1,""),ROW()-322)),"")</f>
        <v>https://www.portcastello.com/</v>
      </c>
      <c r="D338" s="130" t="s">
        <v>37</v>
      </c>
      <c r="E338" s="107" t="str">
        <f t="shared" si="16"/>
        <v/>
      </c>
      <c r="F338" s="19"/>
      <c r="G338" s="19"/>
      <c r="H338" s="19"/>
      <c r="I338" s="19"/>
      <c r="J338" s="19"/>
      <c r="K338" s="233"/>
      <c r="L338" s="19"/>
      <c r="M338" s="19"/>
      <c r="N338" s="19"/>
      <c r="O338" s="19"/>
      <c r="P338" s="19"/>
      <c r="Q338" s="19"/>
      <c r="R338" s="19"/>
      <c r="S338" s="19"/>
      <c r="T338" s="19"/>
      <c r="U338" s="19"/>
      <c r="V338" s="19"/>
      <c r="W338" s="19"/>
      <c r="X338" s="19"/>
      <c r="Y338" s="19"/>
    </row>
    <row r="339" spans="1:25" ht="12" customHeight="1">
      <c r="A339" s="219" t="n" cm="1">
        <f t="array" ref="A339">IFERROR(INDEX('03.Muestra'!$B$8:$B$42,SMALL(IF("Página Web"='03.Muestra'!$D$8:$D$42,ROW('03.Muestra'!$B$8:$B$42)-MIN(ROW('03.Muestra'!$D$8:$D$42))+1,""),ROW()-322)),"")</f>
        <v>1.0</v>
      </c>
      <c r="B339" s="114" t="str" cm="1">
        <f t="array" ref="B339">IFERROR(INDEX('03.Muestra'!$C$8:$C$42,SMALL(IF("Página Web"='03.Muestra'!$D$8:$D$42,ROW('03.Muestra'!$C$8:$C$42)-MIN(ROW('03.Muestra'!$D$8:$D$42))+1,""),ROW()-322)),"")</f>
        <v>Home - PortCastelló</v>
      </c>
      <c r="C339" s="114" t="str" cm="1">
        <f t="array" ref="C339">IFERROR(INDEX('03.Muestra'!$F$8:$F$42,SMALL(IF("Página Web"='03.Muestra'!$D$8:$D$42,ROW('03.Muestra'!$F$8:$F$42)-MIN(ROW('03.Muestra'!$D$8:$D$42))+1,""),ROW()-322)),"")</f>
        <v>https://www.portcastello.com/</v>
      </c>
      <c r="D339" s="130" t="s">
        <v>37</v>
      </c>
      <c r="E339" s="107" t="str">
        <f t="shared" si="16"/>
        <v/>
      </c>
      <c r="F339" s="19"/>
      <c r="G339" s="19"/>
      <c r="H339" s="19"/>
      <c r="I339" s="19"/>
      <c r="J339" s="19"/>
      <c r="K339" s="233"/>
      <c r="L339" s="19"/>
      <c r="M339" s="19"/>
      <c r="N339" s="19"/>
      <c r="O339" s="19"/>
      <c r="P339" s="19"/>
      <c r="Q339" s="19"/>
      <c r="R339" s="19"/>
      <c r="S339" s="19"/>
      <c r="T339" s="19"/>
      <c r="U339" s="19"/>
      <c r="V339" s="19"/>
      <c r="W339" s="19"/>
      <c r="X339" s="19"/>
      <c r="Y339" s="19"/>
    </row>
    <row r="340" spans="1:25" ht="12" customHeight="1">
      <c r="A340" s="219" t="n" cm="1">
        <f t="array" ref="A340">IFERROR(INDEX('03.Muestra'!$B$8:$B$42,SMALL(IF("Página Web"='03.Muestra'!$D$8:$D$42,ROW('03.Muestra'!$B$8:$B$42)-MIN(ROW('03.Muestra'!$D$8:$D$42))+1,""),ROW()-322)),"")</f>
        <v>1.0</v>
      </c>
      <c r="B340" s="114" t="str" cm="1">
        <f t="array" ref="B340">IFERROR(INDEX('03.Muestra'!$C$8:$C$42,SMALL(IF("Página Web"='03.Muestra'!$D$8:$D$42,ROW('03.Muestra'!$C$8:$C$42)-MIN(ROW('03.Muestra'!$D$8:$D$42))+1,""),ROW()-322)),"")</f>
        <v>Home - PortCastelló</v>
      </c>
      <c r="C340" s="114" t="str" cm="1">
        <f t="array" ref="C340">IFERROR(INDEX('03.Muestra'!$F$8:$F$42,SMALL(IF("Página Web"='03.Muestra'!$D$8:$D$42,ROW('03.Muestra'!$F$8:$F$42)-MIN(ROW('03.Muestra'!$D$8:$D$42))+1,""),ROW()-322)),"")</f>
        <v>https://www.portcastello.com/</v>
      </c>
      <c r="D340" s="130" t="s">
        <v>37</v>
      </c>
      <c r="E340" s="107" t="str">
        <f t="shared" si="16"/>
        <v/>
      </c>
      <c r="F340" s="19"/>
      <c r="G340" s="19"/>
      <c r="H340" s="19"/>
      <c r="I340" s="19"/>
      <c r="J340" s="19"/>
      <c r="K340" s="233"/>
      <c r="L340" s="19"/>
      <c r="M340" s="19"/>
      <c r="N340" s="19"/>
      <c r="O340" s="19"/>
      <c r="P340" s="19"/>
      <c r="Q340" s="19"/>
      <c r="R340" s="19"/>
      <c r="S340" s="19"/>
      <c r="T340" s="19"/>
      <c r="U340" s="19"/>
      <c r="V340" s="19"/>
      <c r="W340" s="19"/>
      <c r="X340" s="19"/>
      <c r="Y340" s="19"/>
    </row>
    <row r="341" spans="1:25" ht="12" customHeight="1">
      <c r="A341" s="219" t="n" cm="1">
        <f t="array" ref="A341">IFERROR(INDEX('03.Muestra'!$B$8:$B$42,SMALL(IF("Página Web"='03.Muestra'!$D$8:$D$42,ROW('03.Muestra'!$B$8:$B$42)-MIN(ROW('03.Muestra'!$D$8:$D$42))+1,""),ROW()-322)),"")</f>
        <v>1.0</v>
      </c>
      <c r="B341" s="114" t="str" cm="1">
        <f t="array" ref="B341">IFERROR(INDEX('03.Muestra'!$C$8:$C$42,SMALL(IF("Página Web"='03.Muestra'!$D$8:$D$42,ROW('03.Muestra'!$C$8:$C$42)-MIN(ROW('03.Muestra'!$D$8:$D$42))+1,""),ROW()-322)),"")</f>
        <v>Home - PortCastelló</v>
      </c>
      <c r="C341" s="114" t="str" cm="1">
        <f t="array" ref="C341">IFERROR(INDEX('03.Muestra'!$F$8:$F$42,SMALL(IF("Página Web"='03.Muestra'!$D$8:$D$42,ROW('03.Muestra'!$F$8:$F$42)-MIN(ROW('03.Muestra'!$D$8:$D$42))+1,""),ROW()-322)),"")</f>
        <v>https://www.portcastello.com/</v>
      </c>
      <c r="D341" s="130" t="s">
        <v>37</v>
      </c>
      <c r="E341" s="107" t="str">
        <f t="shared" si="16"/>
        <v/>
      </c>
      <c r="F341" s="19"/>
      <c r="G341" s="19"/>
      <c r="H341" s="19"/>
      <c r="I341" s="19"/>
      <c r="J341" s="19"/>
      <c r="K341" s="233"/>
      <c r="L341" s="19"/>
      <c r="M341" s="19"/>
      <c r="N341" s="19"/>
      <c r="O341" s="19"/>
      <c r="P341" s="19"/>
      <c r="Q341" s="19"/>
      <c r="R341" s="19"/>
      <c r="S341" s="19"/>
      <c r="T341" s="19"/>
      <c r="U341" s="19"/>
      <c r="V341" s="19"/>
      <c r="W341" s="19"/>
      <c r="X341" s="19"/>
      <c r="Y341" s="19"/>
    </row>
    <row r="342" spans="1:25" ht="12" customHeight="1">
      <c r="A342" s="219" t="n" cm="1">
        <f t="array" ref="A342">IFERROR(INDEX('03.Muestra'!$B$8:$B$42,SMALL(IF("Página Web"='03.Muestra'!$D$8:$D$42,ROW('03.Muestra'!$B$8:$B$42)-MIN(ROW('03.Muestra'!$D$8:$D$42))+1,""),ROW()-322)),"")</f>
        <v>1.0</v>
      </c>
      <c r="B342" s="114" t="str" cm="1">
        <f t="array" ref="B342">IFERROR(INDEX('03.Muestra'!$C$8:$C$42,SMALL(IF("Página Web"='03.Muestra'!$D$8:$D$42,ROW('03.Muestra'!$C$8:$C$42)-MIN(ROW('03.Muestra'!$D$8:$D$42))+1,""),ROW()-322)),"")</f>
        <v>Home - PortCastelló</v>
      </c>
      <c r="C342" s="114" t="str" cm="1">
        <f t="array" ref="C342">IFERROR(INDEX('03.Muestra'!$F$8:$F$42,SMALL(IF("Página Web"='03.Muestra'!$D$8:$D$42,ROW('03.Muestra'!$F$8:$F$42)-MIN(ROW('03.Muestra'!$D$8:$D$42))+1,""),ROW()-322)),"")</f>
        <v>https://www.portcastello.com/</v>
      </c>
      <c r="D342" s="130" t="s">
        <v>37</v>
      </c>
      <c r="E342" s="107" t="str">
        <f t="shared" si="16"/>
        <v/>
      </c>
      <c r="F342" s="19"/>
      <c r="G342" s="19"/>
      <c r="H342" s="19"/>
      <c r="I342" s="19"/>
      <c r="J342" s="19"/>
      <c r="K342" s="233"/>
      <c r="L342" s="19"/>
      <c r="M342" s="19"/>
      <c r="N342" s="19"/>
      <c r="O342" s="19"/>
      <c r="P342" s="19"/>
      <c r="Q342" s="19"/>
      <c r="R342" s="19"/>
      <c r="S342" s="19"/>
      <c r="T342" s="19"/>
      <c r="U342" s="19"/>
      <c r="V342" s="19"/>
      <c r="W342" s="19"/>
      <c r="X342" s="19"/>
      <c r="Y342" s="19"/>
    </row>
    <row r="343" spans="1:25" ht="12" customHeight="1">
      <c r="A343" s="219" t="n" cm="1">
        <f t="array" ref="A343">IFERROR(INDEX('03.Muestra'!$B$8:$B$42,SMALL(IF("Página Web"='03.Muestra'!$D$8:$D$42,ROW('03.Muestra'!$B$8:$B$42)-MIN(ROW('03.Muestra'!$D$8:$D$42))+1,""),ROW()-322)),"")</f>
        <v>1.0</v>
      </c>
      <c r="B343" s="114" t="str" cm="1">
        <f t="array" ref="B343">IFERROR(INDEX('03.Muestra'!$C$8:$C$42,SMALL(IF("Página Web"='03.Muestra'!$D$8:$D$42,ROW('03.Muestra'!$C$8:$C$42)-MIN(ROW('03.Muestra'!$D$8:$D$42))+1,""),ROW()-322)),"")</f>
        <v>Home - PortCastelló</v>
      </c>
      <c r="C343" s="114" t="str" cm="1">
        <f t="array" ref="C343">IFERROR(INDEX('03.Muestra'!$F$8:$F$42,SMALL(IF("Página Web"='03.Muestra'!$D$8:$D$42,ROW('03.Muestra'!$F$8:$F$42)-MIN(ROW('03.Muestra'!$D$8:$D$42))+1,""),ROW()-322)),"")</f>
        <v>https://www.portcastello.com/</v>
      </c>
      <c r="D343" s="130" t="s">
        <v>37</v>
      </c>
      <c r="E343" s="107" t="str">
        <f t="shared" si="16"/>
        <v/>
      </c>
      <c r="F343" s="19"/>
      <c r="G343" s="19"/>
      <c r="H343" s="19"/>
      <c r="I343" s="19"/>
      <c r="J343" s="19"/>
      <c r="K343" s="233"/>
      <c r="L343" s="19"/>
      <c r="M343" s="19"/>
      <c r="N343" s="19"/>
      <c r="O343" s="19"/>
      <c r="P343" s="19"/>
      <c r="Q343" s="19"/>
      <c r="R343" s="19"/>
      <c r="S343" s="19"/>
      <c r="T343" s="19"/>
      <c r="U343" s="19"/>
      <c r="V343" s="19"/>
      <c r="W343" s="19"/>
      <c r="X343" s="19"/>
      <c r="Y343" s="19"/>
    </row>
    <row r="344" spans="1:25" ht="12" customHeight="1">
      <c r="A344" s="219" t="n" cm="1">
        <f t="array" ref="A344">IFERROR(INDEX('03.Muestra'!$B$8:$B$42,SMALL(IF("Página Web"='03.Muestra'!$D$8:$D$42,ROW('03.Muestra'!$B$8:$B$42)-MIN(ROW('03.Muestra'!$D$8:$D$42))+1,""),ROW()-322)),"")</f>
        <v>1.0</v>
      </c>
      <c r="B344" s="114" t="str" cm="1">
        <f t="array" ref="B344">IFERROR(INDEX('03.Muestra'!$C$8:$C$42,SMALL(IF("Página Web"='03.Muestra'!$D$8:$D$42,ROW('03.Muestra'!$C$8:$C$42)-MIN(ROW('03.Muestra'!$D$8:$D$42))+1,""),ROW()-322)),"")</f>
        <v>Home - PortCastelló</v>
      </c>
      <c r="C344" s="114" t="str" cm="1">
        <f t="array" ref="C344">IFERROR(INDEX('03.Muestra'!$F$8:$F$42,SMALL(IF("Página Web"='03.Muestra'!$D$8:$D$42,ROW('03.Muestra'!$F$8:$F$42)-MIN(ROW('03.Muestra'!$D$8:$D$42))+1,""),ROW()-322)),"")</f>
        <v>https://www.portcastello.com/</v>
      </c>
      <c r="D344" s="130" t="s">
        <v>37</v>
      </c>
      <c r="E344" s="107" t="str">
        <f t="shared" si="16"/>
        <v/>
      </c>
      <c r="F344" s="19"/>
      <c r="G344" s="19"/>
      <c r="H344" s="19"/>
      <c r="I344" s="19"/>
      <c r="J344" s="19"/>
      <c r="K344" s="233"/>
      <c r="L344" s="19"/>
      <c r="M344" s="19"/>
      <c r="N344" s="19"/>
      <c r="O344" s="19"/>
      <c r="P344" s="19"/>
      <c r="Q344" s="19"/>
      <c r="R344" s="19"/>
      <c r="S344" s="19"/>
      <c r="T344" s="19"/>
      <c r="U344" s="19"/>
      <c r="V344" s="19"/>
      <c r="W344" s="19"/>
      <c r="X344" s="19"/>
      <c r="Y344" s="19"/>
    </row>
    <row r="345" spans="1:25" ht="12" customHeight="1">
      <c r="A345" s="219" t="n" cm="1">
        <f t="array" ref="A345">IFERROR(INDEX('03.Muestra'!$B$8:$B$42,SMALL(IF("Página Web"='03.Muestra'!$D$8:$D$42,ROW('03.Muestra'!$B$8:$B$42)-MIN(ROW('03.Muestra'!$D$8:$D$42))+1,""),ROW()-322)),"")</f>
        <v>1.0</v>
      </c>
      <c r="B345" s="114" t="str" cm="1">
        <f t="array" ref="B345">IFERROR(INDEX('03.Muestra'!$C$8:$C$42,SMALL(IF("Página Web"='03.Muestra'!$D$8:$D$42,ROW('03.Muestra'!$C$8:$C$42)-MIN(ROW('03.Muestra'!$D$8:$D$42))+1,""),ROW()-322)),"")</f>
        <v>Home - PortCastelló</v>
      </c>
      <c r="C345" s="114" t="str" cm="1">
        <f t="array" ref="C345">IFERROR(INDEX('03.Muestra'!$F$8:$F$42,SMALL(IF("Página Web"='03.Muestra'!$D$8:$D$42,ROW('03.Muestra'!$F$8:$F$42)-MIN(ROW('03.Muestra'!$D$8:$D$42))+1,""),ROW()-322)),"")</f>
        <v>https://www.portcastello.com/</v>
      </c>
      <c r="D345" s="130" t="s">
        <v>37</v>
      </c>
      <c r="E345" s="107" t="str">
        <f t="shared" si="16"/>
        <v/>
      </c>
      <c r="F345" s="19"/>
      <c r="G345" s="19"/>
      <c r="H345" s="19"/>
      <c r="I345" s="19"/>
      <c r="J345" s="19"/>
      <c r="K345" s="233"/>
      <c r="L345" s="19"/>
      <c r="M345" s="19"/>
      <c r="N345" s="19"/>
      <c r="O345" s="19"/>
      <c r="P345" s="19"/>
      <c r="Q345" s="19"/>
      <c r="R345" s="19"/>
      <c r="S345" s="19"/>
      <c r="T345" s="19"/>
      <c r="U345" s="19"/>
      <c r="V345" s="19"/>
      <c r="W345" s="19"/>
      <c r="X345" s="19"/>
      <c r="Y345" s="19"/>
    </row>
    <row r="346" spans="1:25" ht="12" customHeight="1">
      <c r="A346" s="219" t="n" cm="1">
        <f t="array" ref="A346">IFERROR(INDEX('03.Muestra'!$B$8:$B$42,SMALL(IF("Página Web"='03.Muestra'!$D$8:$D$42,ROW('03.Muestra'!$B$8:$B$42)-MIN(ROW('03.Muestra'!$D$8:$D$42))+1,""),ROW()-322)),"")</f>
        <v>1.0</v>
      </c>
      <c r="B346" s="114" t="str" cm="1">
        <f t="array" ref="B346">IFERROR(INDEX('03.Muestra'!$C$8:$C$42,SMALL(IF("Página Web"='03.Muestra'!$D$8:$D$42,ROW('03.Muestra'!$C$8:$C$42)-MIN(ROW('03.Muestra'!$D$8:$D$42))+1,""),ROW()-322)),"")</f>
        <v>Home - PortCastelló</v>
      </c>
      <c r="C346" s="114" t="str" cm="1">
        <f t="array" ref="C346">IFERROR(INDEX('03.Muestra'!$F$8:$F$42,SMALL(IF("Página Web"='03.Muestra'!$D$8:$D$42,ROW('03.Muestra'!$F$8:$F$42)-MIN(ROW('03.Muestra'!$D$8:$D$42))+1,""),ROW()-322)),"")</f>
        <v>https://www.portcastello.com/</v>
      </c>
      <c r="D346" s="130" t="s">
        <v>37</v>
      </c>
      <c r="E346" s="107" t="str">
        <f t="shared" si="16"/>
        <v/>
      </c>
      <c r="F346" s="19"/>
      <c r="G346" s="19"/>
      <c r="H346" s="19"/>
      <c r="I346" s="19"/>
      <c r="J346" s="19"/>
      <c r="K346" s="233"/>
      <c r="L346" s="19"/>
      <c r="M346" s="19"/>
      <c r="N346" s="19"/>
      <c r="O346" s="19"/>
      <c r="P346" s="19"/>
      <c r="Q346" s="19"/>
      <c r="R346" s="19"/>
      <c r="S346" s="19"/>
      <c r="T346" s="19"/>
      <c r="U346" s="19"/>
      <c r="V346" s="19"/>
      <c r="W346" s="19"/>
      <c r="X346" s="19"/>
      <c r="Y346" s="19"/>
    </row>
    <row r="347" spans="1:25" ht="12" customHeight="1">
      <c r="A347" s="219" t="n" cm="1">
        <f t="array" ref="A347">IFERROR(INDEX('03.Muestra'!$B$8:$B$42,SMALL(IF("Página Web"='03.Muestra'!$D$8:$D$42,ROW('03.Muestra'!$B$8:$B$42)-MIN(ROW('03.Muestra'!$D$8:$D$42))+1,""),ROW()-322)),"")</f>
        <v>1.0</v>
      </c>
      <c r="B347" s="114" t="str" cm="1">
        <f t="array" ref="B347">IFERROR(INDEX('03.Muestra'!$C$8:$C$42,SMALL(IF("Página Web"='03.Muestra'!$D$8:$D$42,ROW('03.Muestra'!$C$8:$C$42)-MIN(ROW('03.Muestra'!$D$8:$D$42))+1,""),ROW()-322)),"")</f>
        <v>Home - PortCastelló</v>
      </c>
      <c r="C347" s="114" t="str" cm="1">
        <f t="array" ref="C347">IFERROR(INDEX('03.Muestra'!$F$8:$F$42,SMALL(IF("Página Web"='03.Muestra'!$D$8:$D$42,ROW('03.Muestra'!$F$8:$F$42)-MIN(ROW('03.Muestra'!$D$8:$D$42))+1,""),ROW()-322)),"")</f>
        <v>https://www.portcastello.com/</v>
      </c>
      <c r="D347" s="130" t="s">
        <v>37</v>
      </c>
      <c r="E347" s="107" t="str">
        <f t="shared" si="16"/>
        <v/>
      </c>
      <c r="F347" s="19"/>
      <c r="G347" s="19"/>
      <c r="H347" s="19"/>
      <c r="I347" s="19"/>
      <c r="J347" s="19"/>
      <c r="K347" s="233"/>
      <c r="L347" s="19"/>
      <c r="M347" s="19"/>
      <c r="N347" s="19"/>
      <c r="O347" s="19"/>
      <c r="P347" s="19"/>
      <c r="Q347" s="19"/>
      <c r="R347" s="19"/>
      <c r="S347" s="19"/>
      <c r="T347" s="19"/>
      <c r="U347" s="19"/>
      <c r="V347" s="19"/>
      <c r="W347" s="19"/>
      <c r="X347" s="19"/>
      <c r="Y347" s="19"/>
    </row>
    <row r="348" spans="1:25" ht="12" customHeight="1">
      <c r="A348" s="219" t="n" cm="1">
        <f t="array" ref="A348">IFERROR(INDEX('03.Muestra'!$B$8:$B$42,SMALL(IF("Página Web"='03.Muestra'!$D$8:$D$42,ROW('03.Muestra'!$B$8:$B$42)-MIN(ROW('03.Muestra'!$D$8:$D$42))+1,""),ROW()-322)),"")</f>
        <v>1.0</v>
      </c>
      <c r="B348" s="114" t="str" cm="1">
        <f t="array" ref="B348">IFERROR(INDEX('03.Muestra'!$C$8:$C$42,SMALL(IF("Página Web"='03.Muestra'!$D$8:$D$42,ROW('03.Muestra'!$C$8:$C$42)-MIN(ROW('03.Muestra'!$D$8:$D$42))+1,""),ROW()-322)),"")</f>
        <v>Home - PortCastelló</v>
      </c>
      <c r="C348" s="114" t="str" cm="1">
        <f t="array" ref="C348">IFERROR(INDEX('03.Muestra'!$F$8:$F$42,SMALL(IF("Página Web"='03.Muestra'!$D$8:$D$42,ROW('03.Muestra'!$F$8:$F$42)-MIN(ROW('03.Muestra'!$D$8:$D$42))+1,""),ROW()-322)),"")</f>
        <v>https://www.portcastello.com/</v>
      </c>
      <c r="D348" s="130" t="s">
        <v>37</v>
      </c>
      <c r="E348" s="107" t="str">
        <f t="shared" si="16"/>
        <v/>
      </c>
      <c r="F348" s="19"/>
      <c r="G348" s="19"/>
      <c r="H348" s="19"/>
      <c r="I348" s="19"/>
      <c r="J348" s="19"/>
      <c r="K348" s="233"/>
      <c r="L348" s="19"/>
      <c r="M348" s="19"/>
      <c r="N348" s="19"/>
      <c r="O348" s="19"/>
      <c r="P348" s="19"/>
      <c r="Q348" s="19"/>
      <c r="R348" s="19"/>
      <c r="S348" s="19"/>
      <c r="T348" s="19"/>
      <c r="U348" s="19"/>
      <c r="V348" s="19"/>
      <c r="W348" s="19"/>
      <c r="X348" s="19"/>
      <c r="Y348" s="19"/>
    </row>
    <row r="349" spans="1:25" ht="12" customHeight="1">
      <c r="A349" s="219" t="n" cm="1">
        <f t="array" ref="A349">IFERROR(INDEX('03.Muestra'!$B$8:$B$42,SMALL(IF("Página Web"='03.Muestra'!$D$8:$D$42,ROW('03.Muestra'!$B$8:$B$42)-MIN(ROW('03.Muestra'!$D$8:$D$42))+1,""),ROW()-322)),"")</f>
        <v>1.0</v>
      </c>
      <c r="B349" s="114" t="str" cm="1">
        <f t="array" ref="B349">IFERROR(INDEX('03.Muestra'!$C$8:$C$42,SMALL(IF("Página Web"='03.Muestra'!$D$8:$D$42,ROW('03.Muestra'!$C$8:$C$42)-MIN(ROW('03.Muestra'!$D$8:$D$42))+1,""),ROW()-322)),"")</f>
        <v>Home - PortCastelló</v>
      </c>
      <c r="C349" s="114" t="str" cm="1">
        <f t="array" ref="C349">IFERROR(INDEX('03.Muestra'!$F$8:$F$42,SMALL(IF("Página Web"='03.Muestra'!$D$8:$D$42,ROW('03.Muestra'!$F$8:$F$42)-MIN(ROW('03.Muestra'!$D$8:$D$42))+1,""),ROW()-322)),"")</f>
        <v>https://www.portcastello.com/</v>
      </c>
      <c r="D349" s="130" t="s">
        <v>37</v>
      </c>
      <c r="E349" s="107" t="str">
        <f t="shared" si="16"/>
        <v/>
      </c>
      <c r="F349" s="19"/>
      <c r="G349" s="19"/>
      <c r="H349" s="19"/>
      <c r="I349" s="19"/>
      <c r="J349" s="19"/>
      <c r="K349" s="233"/>
      <c r="L349" s="19"/>
      <c r="M349" s="19"/>
      <c r="N349" s="19"/>
      <c r="O349" s="19"/>
      <c r="P349" s="19"/>
      <c r="Q349" s="19"/>
      <c r="R349" s="19"/>
      <c r="S349" s="19"/>
      <c r="T349" s="19"/>
      <c r="U349" s="19"/>
      <c r="V349" s="19"/>
      <c r="W349" s="19"/>
      <c r="X349" s="19"/>
      <c r="Y349" s="19"/>
    </row>
    <row r="350" spans="1:25" ht="12" customHeight="1">
      <c r="A350" s="219" t="n" cm="1">
        <f t="array" ref="A350">IFERROR(INDEX('03.Muestra'!$B$8:$B$42,SMALL(IF("Página Web"='03.Muestra'!$D$8:$D$42,ROW('03.Muestra'!$B$8:$B$42)-MIN(ROW('03.Muestra'!$D$8:$D$42))+1,""),ROW()-322)),"")</f>
        <v>1.0</v>
      </c>
      <c r="B350" s="114" t="str" cm="1">
        <f t="array" ref="B350">IFERROR(INDEX('03.Muestra'!$C$8:$C$42,SMALL(IF("Página Web"='03.Muestra'!$D$8:$D$42,ROW('03.Muestra'!$C$8:$C$42)-MIN(ROW('03.Muestra'!$D$8:$D$42))+1,""),ROW()-322)),"")</f>
        <v>Home - PortCastelló</v>
      </c>
      <c r="C350" s="114" t="str" cm="1">
        <f t="array" ref="C350">IFERROR(INDEX('03.Muestra'!$F$8:$F$42,SMALL(IF("Página Web"='03.Muestra'!$D$8:$D$42,ROW('03.Muestra'!$F$8:$F$42)-MIN(ROW('03.Muestra'!$D$8:$D$42))+1,""),ROW()-322)),"")</f>
        <v>https://www.portcastello.com/</v>
      </c>
      <c r="D350" s="130" t="s">
        <v>37</v>
      </c>
      <c r="E350" s="107" t="str">
        <f t="shared" si="16"/>
        <v/>
      </c>
      <c r="G350" s="19"/>
      <c r="H350" s="19"/>
      <c r="I350" s="19"/>
      <c r="J350" s="19"/>
      <c r="K350" s="233"/>
      <c r="L350" s="19"/>
      <c r="M350" s="19"/>
      <c r="N350" s="19"/>
      <c r="O350" s="19"/>
      <c r="P350" s="19"/>
      <c r="Q350" s="19"/>
      <c r="R350" s="19"/>
      <c r="S350" s="19"/>
      <c r="T350" s="19"/>
      <c r="U350" s="19"/>
      <c r="V350" s="19"/>
      <c r="W350" s="19"/>
      <c r="X350" s="19"/>
      <c r="Y350" s="19"/>
    </row>
    <row r="351" spans="1:25" ht="12" customHeight="1">
      <c r="A351" s="219" t="n" cm="1">
        <f t="array" ref="A351">IFERROR(INDEX('03.Muestra'!$B$8:$B$42,SMALL(IF("Página Web"='03.Muestra'!$D$8:$D$42,ROW('03.Muestra'!$B$8:$B$42)-MIN(ROW('03.Muestra'!$D$8:$D$42))+1,""),ROW()-322)),"")</f>
        <v>1.0</v>
      </c>
      <c r="B351" s="114" t="str" cm="1">
        <f t="array" ref="B351">IFERROR(INDEX('03.Muestra'!$C$8:$C$42,SMALL(IF("Página Web"='03.Muestra'!$D$8:$D$42,ROW('03.Muestra'!$C$8:$C$42)-MIN(ROW('03.Muestra'!$D$8:$D$42))+1,""),ROW()-322)),"")</f>
        <v>Home - PortCastelló</v>
      </c>
      <c r="C351" s="114" t="str" cm="1">
        <f t="array" ref="C351">IFERROR(INDEX('03.Muestra'!$F$8:$F$42,SMALL(IF("Página Web"='03.Muestra'!$D$8:$D$42,ROW('03.Muestra'!$F$8:$F$42)-MIN(ROW('03.Muestra'!$D$8:$D$42))+1,""),ROW()-322)),"")</f>
        <v>https://www.portcastello.com/</v>
      </c>
      <c r="D351" s="130" t="s">
        <v>37</v>
      </c>
      <c r="E351" s="107" t="str">
        <f t="shared" si="16"/>
        <v/>
      </c>
      <c r="G351" s="19"/>
      <c r="H351" s="19"/>
      <c r="I351" s="19"/>
      <c r="J351" s="19"/>
      <c r="K351" s="233"/>
      <c r="L351" s="19"/>
      <c r="M351" s="19"/>
      <c r="N351" s="19"/>
      <c r="O351" s="19"/>
      <c r="P351" s="19"/>
      <c r="Q351" s="19"/>
      <c r="R351" s="19"/>
      <c r="S351" s="19"/>
      <c r="T351" s="19"/>
      <c r="U351" s="19"/>
      <c r="V351" s="19"/>
      <c r="W351" s="19"/>
      <c r="X351" s="19"/>
      <c r="Y351" s="19"/>
    </row>
    <row r="352" spans="1:25" ht="12" customHeight="1">
      <c r="A352" s="219" t="n" cm="1">
        <f t="array" ref="A352">IFERROR(INDEX('03.Muestra'!$B$8:$B$42,SMALL(IF("Página Web"='03.Muestra'!$D$8:$D$42,ROW('03.Muestra'!$B$8:$B$42)-MIN(ROW('03.Muestra'!$D$8:$D$42))+1,""),ROW()-322)),"")</f>
        <v>1.0</v>
      </c>
      <c r="B352" s="114" t="str" cm="1">
        <f t="array" ref="B352">IFERROR(INDEX('03.Muestra'!$C$8:$C$42,SMALL(IF("Página Web"='03.Muestra'!$D$8:$D$42,ROW('03.Muestra'!$C$8:$C$42)-MIN(ROW('03.Muestra'!$D$8:$D$42))+1,""),ROW()-322)),"")</f>
        <v>Home - PortCastelló</v>
      </c>
      <c r="C352" s="114" t="str" cm="1">
        <f t="array" ref="C352">IFERROR(INDEX('03.Muestra'!$F$8:$F$42,SMALL(IF("Página Web"='03.Muestra'!$D$8:$D$42,ROW('03.Muestra'!$F$8:$F$42)-MIN(ROW('03.Muestra'!$D$8:$D$42))+1,""),ROW()-322)),"")</f>
        <v>https://www.portcastello.com/</v>
      </c>
      <c r="D352" s="130" t="s">
        <v>37</v>
      </c>
      <c r="E352" s="107" t="str">
        <f t="shared" si="16"/>
        <v/>
      </c>
      <c r="G352" s="19"/>
      <c r="H352" s="19"/>
      <c r="I352" s="19"/>
      <c r="J352" s="19"/>
      <c r="K352" s="233"/>
      <c r="L352" s="19"/>
      <c r="M352" s="19"/>
      <c r="N352" s="19"/>
      <c r="O352" s="19"/>
      <c r="P352" s="19"/>
      <c r="Q352" s="19"/>
      <c r="R352" s="19"/>
      <c r="S352" s="19"/>
      <c r="T352" s="19"/>
      <c r="U352" s="19"/>
      <c r="V352" s="19"/>
      <c r="W352" s="19"/>
      <c r="X352" s="19"/>
      <c r="Y352" s="19"/>
    </row>
    <row r="353" spans="1:25" ht="12" customHeight="1">
      <c r="A353" s="219" t="n" cm="1">
        <f t="array" ref="A353">IFERROR(INDEX('03.Muestra'!$B$8:$B$42,SMALL(IF("Página Web"='03.Muestra'!$D$8:$D$42,ROW('03.Muestra'!$B$8:$B$42)-MIN(ROW('03.Muestra'!$D$8:$D$42))+1,""),ROW()-322)),"")</f>
        <v>1.0</v>
      </c>
      <c r="B353" s="114" t="str" cm="1">
        <f t="array" ref="B353">IFERROR(INDEX('03.Muestra'!$C$8:$C$42,SMALL(IF("Página Web"='03.Muestra'!$D$8:$D$42,ROW('03.Muestra'!$C$8:$C$42)-MIN(ROW('03.Muestra'!$D$8:$D$42))+1,""),ROW()-322)),"")</f>
        <v>Home - PortCastelló</v>
      </c>
      <c r="C353" s="114" t="str" cm="1">
        <f t="array" ref="C353">IFERROR(INDEX('03.Muestra'!$F$8:$F$42,SMALL(IF("Página Web"='03.Muestra'!$D$8:$D$42,ROW('03.Muestra'!$F$8:$F$42)-MIN(ROW('03.Muestra'!$D$8:$D$42))+1,""),ROW()-322)),"")</f>
        <v>https://www.portcastello.com/</v>
      </c>
      <c r="D353" s="130" t="s">
        <v>37</v>
      </c>
      <c r="E353" s="107" t="str">
        <f t="shared" si="16"/>
        <v/>
      </c>
      <c r="F353" s="124"/>
      <c r="G353" s="19"/>
      <c r="H353" s="19"/>
      <c r="I353" s="19"/>
      <c r="J353" s="19"/>
      <c r="K353" s="233"/>
      <c r="L353" s="19"/>
      <c r="M353" s="19"/>
      <c r="N353" s="19"/>
      <c r="O353" s="19"/>
      <c r="P353" s="19"/>
      <c r="Q353" s="19"/>
      <c r="R353" s="19"/>
      <c r="S353" s="19"/>
      <c r="T353" s="19"/>
      <c r="U353" s="19"/>
      <c r="V353" s="19"/>
      <c r="W353" s="19"/>
      <c r="X353" s="19"/>
      <c r="Y353" s="19"/>
    </row>
    <row r="354" spans="1:25" ht="12" customHeight="1">
      <c r="A354" s="219" t="n" cm="1">
        <f t="array" ref="A354">IFERROR(INDEX('03.Muestra'!$B$8:$B$42,SMALL(IF("Página Web"='03.Muestra'!$D$8:$D$42,ROW('03.Muestra'!$B$8:$B$42)-MIN(ROW('03.Muestra'!$D$8:$D$42))+1,""),ROW()-322)),"")</f>
        <v>1.0</v>
      </c>
      <c r="B354" s="114" t="str" cm="1">
        <f t="array" ref="B354">IFERROR(INDEX('03.Muestra'!$C$8:$C$42,SMALL(IF("Página Web"='03.Muestra'!$D$8:$D$42,ROW('03.Muestra'!$C$8:$C$42)-MIN(ROW('03.Muestra'!$D$8:$D$42))+1,""),ROW()-322)),"")</f>
        <v>Home - PortCastelló</v>
      </c>
      <c r="C354" s="114" t="str" cm="1">
        <f t="array" ref="C354">IFERROR(INDEX('03.Muestra'!$F$8:$F$42,SMALL(IF("Página Web"='03.Muestra'!$D$8:$D$42,ROW('03.Muestra'!$F$8:$F$42)-MIN(ROW('03.Muestra'!$D$8:$D$42))+1,""),ROW()-322)),"")</f>
        <v>https://www.portcastello.com/</v>
      </c>
      <c r="D354" s="130" t="s">
        <v>37</v>
      </c>
      <c r="E354" s="107" t="str">
        <f t="shared" si="16"/>
        <v/>
      </c>
      <c r="F354" s="124"/>
      <c r="G354" s="19"/>
      <c r="H354" s="19"/>
      <c r="I354" s="19"/>
      <c r="J354" s="19"/>
      <c r="K354" s="233"/>
      <c r="L354" s="19"/>
      <c r="M354" s="19"/>
      <c r="N354" s="19"/>
      <c r="O354" s="19"/>
      <c r="P354" s="19"/>
      <c r="Q354" s="19"/>
      <c r="R354" s="19"/>
      <c r="S354" s="19"/>
      <c r="T354" s="19"/>
      <c r="U354" s="19"/>
      <c r="V354" s="19"/>
      <c r="W354" s="19"/>
      <c r="X354" s="19"/>
      <c r="Y354" s="19"/>
    </row>
    <row r="355" spans="1:25" ht="12" customHeight="1">
      <c r="A355" s="219" t="n" cm="1">
        <f t="array" ref="A355">IFERROR(INDEX('03.Muestra'!$B$8:$B$42,SMALL(IF("Página Web"='03.Muestra'!$D$8:$D$42,ROW('03.Muestra'!$B$8:$B$42)-MIN(ROW('03.Muestra'!$D$8:$D$42))+1,""),ROW()-322)),"")</f>
        <v>1.0</v>
      </c>
      <c r="B355" s="114" t="str" cm="1">
        <f t="array" ref="B355">IFERROR(INDEX('03.Muestra'!$C$8:$C$42,SMALL(IF("Página Web"='03.Muestra'!$D$8:$D$42,ROW('03.Muestra'!$C$8:$C$42)-MIN(ROW('03.Muestra'!$D$8:$D$42))+1,""),ROW()-322)),"")</f>
        <v>Home - PortCastelló</v>
      </c>
      <c r="C355" s="114" t="str" cm="1">
        <f t="array" ref="C355">IFERROR(INDEX('03.Muestra'!$F$8:$F$42,SMALL(IF("Página Web"='03.Muestra'!$D$8:$D$42,ROW('03.Muestra'!$F$8:$F$42)-MIN(ROW('03.Muestra'!$D$8:$D$42))+1,""),ROW()-322)),"")</f>
        <v>https://www.portcastello.com/</v>
      </c>
      <c r="D355" s="130" t="s">
        <v>37</v>
      </c>
      <c r="E355" s="107" t="str">
        <f t="shared" si="16"/>
        <v/>
      </c>
      <c r="F355" s="124"/>
      <c r="G355" s="19"/>
      <c r="H355" s="19"/>
      <c r="I355" s="19"/>
      <c r="J355" s="19"/>
      <c r="K355" s="233"/>
      <c r="L355" s="19"/>
      <c r="M355" s="19"/>
      <c r="N355" s="19"/>
      <c r="O355" s="19"/>
      <c r="P355" s="19"/>
      <c r="Q355" s="19"/>
      <c r="R355" s="19"/>
      <c r="S355" s="19"/>
      <c r="T355" s="19"/>
      <c r="U355" s="19"/>
      <c r="V355" s="19"/>
      <c r="W355" s="19"/>
      <c r="X355" s="19"/>
      <c r="Y355" s="19"/>
    </row>
    <row r="356" spans="1:25" ht="12" customHeight="1">
      <c r="A356" s="219" t="str" cm="1">
        <f t="array" ref="A356">IFERROR(INDEX('03.Muestra'!$B$8:$B$42,SMALL(IF("Página Web"='03.Muestra'!$D$8:$D$42,ROW('03.Muestra'!$B$8:$B$42)-MIN(ROW('03.Muestra'!$D$8:$D$42))+1,""),ROW()-322)),"")</f>
        <v/>
      </c>
      <c r="B356" s="114" t="str" cm="1">
        <f t="array" ref="B356">IFERROR(INDEX('03.Muestra'!$C$8:$C$42,SMALL(IF("Página Web"='03.Muestra'!$D$8:$D$42,ROW('03.Muestra'!$C$8:$C$42)-MIN(ROW('03.Muestra'!$D$8:$D$42))+1,""),ROW()-322)),"")</f>
        <v/>
      </c>
      <c r="C356" s="114" t="str" cm="1">
        <f t="array" ref="C356">IFERROR(INDEX('03.Muestra'!$F$8:$F$42,SMALL(IF("Página Web"='03.Muestra'!$D$8:$D$42,ROW('03.Muestra'!$F$8:$F$42)-MIN(ROW('03.Muestra'!$D$8:$D$42))+1,""),ROW()-322)),"")</f>
        <v/>
      </c>
      <c r="D356" s="130" t="str">
        <f t="shared" si="17" ref="D356:D357">IF(AND(B356&lt;&gt;"",C356&lt;&gt;""),"N/T","")</f>
        <v/>
      </c>
      <c r="E356" s="107" t="str">
        <f t="shared" si="16"/>
        <v/>
      </c>
      <c r="F356" s="124"/>
      <c r="G356" s="19"/>
      <c r="H356" s="19"/>
      <c r="I356" s="19"/>
      <c r="J356" s="19"/>
      <c r="K356" s="233"/>
      <c r="L356" s="19"/>
      <c r="M356" s="19"/>
      <c r="N356" s="19"/>
      <c r="O356" s="19"/>
      <c r="P356" s="19"/>
      <c r="Q356" s="19"/>
      <c r="R356" s="19"/>
      <c r="S356" s="19"/>
      <c r="T356" s="19"/>
      <c r="U356" s="19"/>
      <c r="V356" s="19"/>
      <c r="W356" s="19"/>
      <c r="X356" s="19"/>
      <c r="Y356" s="19"/>
    </row>
    <row r="357" spans="1:25" ht="12" customHeight="1">
      <c r="A357" s="219" t="str" cm="1">
        <f t="array" ref="A357">IFERROR(INDEX('03.Muestra'!$B$8:$B$42,SMALL(IF("Página Web"='03.Muestra'!$D$8:$D$42,ROW('03.Muestra'!$B$8:$B$42)-MIN(ROW('03.Muestra'!$D$8:$D$42))+1,""),ROW()-322)),"")</f>
        <v/>
      </c>
      <c r="B357" s="114" t="str" cm="1">
        <f t="array" ref="B357">IFERROR(INDEX('03.Muestra'!$C$8:$C$42,SMALL(IF("Página Web"='03.Muestra'!$D$8:$D$42,ROW('03.Muestra'!$C$8:$C$42)-MIN(ROW('03.Muestra'!$D$8:$D$42))+1,""),ROW()-322)),"")</f>
        <v/>
      </c>
      <c r="C357" s="114" t="str" cm="1">
        <f t="array" ref="C357">IFERROR(INDEX('03.Muestra'!$F$8:$F$42,SMALL(IF("Página Web"='03.Muestra'!$D$8:$D$42,ROW('03.Muestra'!$F$8:$F$42)-MIN(ROW('03.Muestra'!$D$8:$D$42))+1,""),ROW()-322)),"")</f>
        <v/>
      </c>
      <c r="D357" s="130" t="str">
        <f t="shared" si="17"/>
        <v/>
      </c>
      <c r="E357" s="107" t="str">
        <f t="shared" si="16"/>
        <v/>
      </c>
      <c r="F357" s="19"/>
      <c r="G357" s="19"/>
      <c r="H357" s="19"/>
      <c r="I357" s="19"/>
      <c r="J357" s="19"/>
      <c r="K357" s="233"/>
      <c r="L357" s="19"/>
      <c r="M357" s="19"/>
      <c r="N357" s="19"/>
      <c r="O357" s="19"/>
      <c r="P357" s="19"/>
      <c r="Q357" s="19"/>
      <c r="R357" s="19"/>
      <c r="S357" s="19"/>
      <c r="T357" s="19"/>
      <c r="U357" s="19"/>
      <c r="V357" s="19"/>
      <c r="W357" s="19"/>
      <c r="X357" s="19"/>
      <c r="Y357" s="19"/>
    </row>
    <row r="358" spans="1:25" ht="12" customHeight="1">
      <c r="B358" s="19"/>
      <c r="C358" s="19"/>
      <c r="D358" s="107"/>
      <c r="E358" s="107"/>
      <c r="F358" s="19"/>
      <c r="G358" s="19"/>
      <c r="H358" s="19"/>
      <c r="I358" s="19"/>
      <c r="J358" s="19"/>
      <c r="K358" s="233"/>
      <c r="L358" s="19"/>
      <c r="M358" s="19"/>
      <c r="N358" s="19"/>
      <c r="O358" s="19"/>
      <c r="P358" s="19"/>
      <c r="Q358" s="19"/>
      <c r="R358" s="19"/>
      <c r="S358" s="19"/>
      <c r="T358" s="19"/>
      <c r="U358" s="19"/>
      <c r="V358" s="19"/>
      <c r="W358" s="19"/>
      <c r="X358" s="19"/>
      <c r="Y358" s="19"/>
    </row>
    <row r="359" spans="1:25" ht="12" customHeight="1">
      <c r="B359" s="19"/>
      <c r="C359" s="19"/>
      <c r="D359" s="107"/>
      <c r="E359" s="112"/>
      <c r="F359" s="19"/>
      <c r="G359" s="19"/>
      <c r="H359" s="19"/>
      <c r="I359" s="19"/>
      <c r="J359" s="19"/>
      <c r="K359" s="233"/>
      <c r="L359" s="19"/>
      <c r="M359" s="19"/>
      <c r="N359" s="19"/>
      <c r="O359" s="19"/>
      <c r="P359" s="19"/>
      <c r="Q359" s="19"/>
      <c r="R359" s="19"/>
      <c r="S359" s="19"/>
      <c r="T359" s="19"/>
      <c r="U359" s="19"/>
      <c r="V359" s="19"/>
      <c r="W359" s="19"/>
      <c r="X359" s="19"/>
      <c r="Y359" s="19"/>
    </row>
    <row r="360" spans="1:25" ht="29.25" customHeight="1">
      <c r="A360" s="218" t="s">
        <v>268</v>
      </c>
      <c r="B360" s="24" t="s">
        <v>90</v>
      </c>
      <c r="C360" s="25" t="s">
        <v>382</v>
      </c>
      <c r="D360" s="26" t="s">
        <v>32</v>
      </c>
      <c r="E360" s="123"/>
      <c r="K360" s="233"/>
      <c r="L360" s="19"/>
      <c r="M360" s="19"/>
      <c r="N360" s="19"/>
      <c r="O360" s="19"/>
      <c r="P360" s="19"/>
      <c r="Q360" s="19"/>
      <c r="R360" s="19"/>
      <c r="S360" s="19"/>
      <c r="T360" s="19"/>
      <c r="U360" s="19"/>
      <c r="V360" s="19"/>
      <c r="W360" s="19"/>
      <c r="X360" s="19"/>
      <c r="Y360" s="19"/>
    </row>
    <row r="361" spans="1:25" ht="12" customHeight="1">
      <c r="A361" s="219" t="n" cm="1">
        <f t="array" ref="A361">IFERROR(INDEX('03.Muestra'!$B$8:$B$42,SMALL(IF("Página Web"='03.Muestra'!$D$8:$D$42,ROW('03.Muestra'!$B$8:$B$42)-MIN(ROW('03.Muestra'!$D$8:$D$42))+1,""),ROW()-360)),"")</f>
        <v>1.0</v>
      </c>
      <c r="B361" s="114" t="str" cm="1">
        <f t="array" ref="B361">IFERROR(INDEX('03.Muestra'!$C$8:$C$42,SMALL(IF("Página Web"='03.Muestra'!$D$8:$D$42,ROW('03.Muestra'!$C$8:$C$42)-MIN(ROW('03.Muestra'!$D$8:$D$42))+1,""),ROW()-360)),"")</f>
        <v>Home - PortCastelló</v>
      </c>
      <c r="C361" s="114" t="str" cm="1">
        <f t="array" ref="C361">IFERROR(INDEX('03.Muestra'!$F$8:$F$42,SMALL(IF("Página Web"='03.Muestra'!$D$8:$D$42,ROW('03.Muestra'!$F$8:$F$42)-MIN(ROW('03.Muestra'!$D$8:$D$42))+1,""),ROW()-360)),"")</f>
        <v>https://www.portcastello.com/</v>
      </c>
      <c r="D361" s="130" t="s">
        <v>37</v>
      </c>
      <c r="E361" s="107" t="str">
        <f t="shared" ref="E361:E395" si="18">IF(D361&lt;&gt;"",IF(AND(B361&lt;&gt;"",C361&lt;&gt;""),"","ERR"),"")</f>
        <v/>
      </c>
      <c r="F361" s="115" t="s">
        <v>33</v>
      </c>
      <c r="G361" s="116" t="s">
        <v>37</v>
      </c>
      <c r="H361" s="117" t="s">
        <v>35</v>
      </c>
      <c r="I361" s="118" t="s">
        <v>28</v>
      </c>
      <c r="J361" s="119" t="s">
        <v>26</v>
      </c>
      <c r="K361" s="226" t="s">
        <v>474</v>
      </c>
      <c r="L361" s="19"/>
      <c r="M361" s="19"/>
      <c r="N361" s="19"/>
      <c r="O361" s="19"/>
      <c r="P361" s="19"/>
      <c r="Q361" s="19"/>
      <c r="R361" s="19"/>
      <c r="S361" s="19"/>
      <c r="T361" s="19"/>
      <c r="U361" s="19"/>
      <c r="V361" s="19"/>
      <c r="W361" s="19"/>
      <c r="X361" s="19"/>
      <c r="Y361" s="19"/>
    </row>
    <row r="362" spans="1:25" ht="12" customHeight="1">
      <c r="A362" s="219" t="n" cm="1">
        <f t="array" ref="A362">IFERROR(INDEX('03.Muestra'!$B$8:$B$42,SMALL(IF("Página Web"='03.Muestra'!$D$8:$D$42,ROW('03.Muestra'!$B$8:$B$42)-MIN(ROW('03.Muestra'!$D$8:$D$42))+1,""),ROW()-360)),"")</f>
        <v>1.0</v>
      </c>
      <c r="B362" s="114" t="str" cm="1">
        <f t="array" ref="B362">IFERROR(INDEX('03.Muestra'!$C$8:$C$42,SMALL(IF("Página Web"='03.Muestra'!$D$8:$D$42,ROW('03.Muestra'!$C$8:$C$42)-MIN(ROW('03.Muestra'!$D$8:$D$42))+1,""),ROW()-360)),"")</f>
        <v>Home - PortCastelló</v>
      </c>
      <c r="C362" s="114" t="str" cm="1">
        <f t="array" ref="C362">IFERROR(INDEX('03.Muestra'!$F$8:$F$42,SMALL(IF("Página Web"='03.Muestra'!$D$8:$D$42,ROW('03.Muestra'!$F$8:$F$42)-MIN(ROW('03.Muestra'!$D$8:$D$42))+1,""),ROW()-360)),"")</f>
        <v>https://www.portcastello.com/</v>
      </c>
      <c r="D362" s="130" t="s">
        <v>37</v>
      </c>
      <c r="E362" s="107" t="str">
        <f t="shared" si="18"/>
        <v/>
      </c>
      <c r="F362" s="120" t="n">
        <f ca="1">COUNTIF($D361:INDIRECT("$D" &amp;  SUM(ROW()-1,'03.Muestra'!$D$45)-1),F361)</f>
        <v>0.0</v>
      </c>
      <c r="G362" s="120" t="n">
        <f ca="1">COUNTIF($D361:INDIRECT("$D" &amp;  SUM(ROW()-1,'03.Muestra'!$D$45)-1),G361)</f>
        <v>32.0</v>
      </c>
      <c r="H362" s="120" t="n">
        <f ca="1">COUNTIF($D361:INDIRECT("$D" &amp;  SUM(ROW()-1,'03.Muestra'!$D$45)-1),H361)</f>
        <v>0.0</v>
      </c>
      <c r="I362" s="120" t="n">
        <f ca="1">COUNTIF($D361:INDIRECT("$D" &amp;  SUM(ROW()-1,'03.Muestra'!$D$45)-1),I361)</f>
        <v>1.0</v>
      </c>
      <c r="J362" s="120" t="n">
        <f ca="1">COUNTIF($D361:INDIRECT("$D" &amp;  SUM(ROW()-1,'03.Muestra'!$D$45)-1),J361)</f>
        <v>0.0</v>
      </c>
      <c r="K362" s="227" t="n">
        <f ca="1">IF(COUNTIF('03.Muestra'!$D$8:$D$42,"Página Web")=0,0,COUNTBLANK($D361:INDIRECT("$D" &amp;  SUM(ROW()-1,COUNTIF('03.Muestra'!$D$8:$D$42,"Página Web"))-1)))</f>
        <v>0.0</v>
      </c>
      <c r="L362" s="19"/>
      <c r="M362" s="19"/>
      <c r="N362" s="19"/>
      <c r="O362" s="19"/>
      <c r="P362" s="19"/>
      <c r="Q362" s="19"/>
      <c r="R362" s="19"/>
      <c r="S362" s="19"/>
      <c r="T362" s="19"/>
      <c r="U362" s="19"/>
      <c r="V362" s="19"/>
      <c r="W362" s="19"/>
      <c r="X362" s="19"/>
      <c r="Y362" s="19"/>
    </row>
    <row r="363" spans="1:25" ht="12" customHeight="1">
      <c r="A363" s="219" t="n" cm="1">
        <f t="array" ref="A363">IFERROR(INDEX('03.Muestra'!$B$8:$B$42,SMALL(IF("Página Web"='03.Muestra'!$D$8:$D$42,ROW('03.Muestra'!$B$8:$B$42)-MIN(ROW('03.Muestra'!$D$8:$D$42))+1,""),ROW()-360)),"")</f>
        <v>1.0</v>
      </c>
      <c r="B363" s="114" t="str" cm="1">
        <f t="array" ref="B363">IFERROR(INDEX('03.Muestra'!$C$8:$C$42,SMALL(IF("Página Web"='03.Muestra'!$D$8:$D$42,ROW('03.Muestra'!$C$8:$C$42)-MIN(ROW('03.Muestra'!$D$8:$D$42))+1,""),ROW()-360)),"")</f>
        <v>Home - PortCastelló</v>
      </c>
      <c r="C363" s="114" t="str" cm="1">
        <f t="array" ref="C363">IFERROR(INDEX('03.Muestra'!$F$8:$F$42,SMALL(IF("Página Web"='03.Muestra'!$D$8:$D$42,ROW('03.Muestra'!$F$8:$F$42)-MIN(ROW('03.Muestra'!$D$8:$D$42))+1,""),ROW()-360)),"")</f>
        <v>https://www.portcastello.com/</v>
      </c>
      <c r="D363" s="130" t="s">
        <v>37</v>
      </c>
      <c r="E363" s="107" t="str">
        <f t="shared" si="18"/>
        <v/>
      </c>
      <c r="G363" s="19"/>
      <c r="H363" s="19"/>
      <c r="I363" s="19"/>
      <c r="J363" s="19"/>
      <c r="K363" s="233"/>
      <c r="L363" s="19"/>
      <c r="M363" s="19"/>
      <c r="N363" s="19"/>
      <c r="O363" s="19"/>
      <c r="P363" s="19"/>
      <c r="Q363" s="19"/>
      <c r="R363" s="19"/>
      <c r="S363" s="19"/>
      <c r="T363" s="19"/>
      <c r="U363" s="19"/>
      <c r="V363" s="19"/>
      <c r="W363" s="19"/>
      <c r="X363" s="19"/>
      <c r="Y363" s="19"/>
    </row>
    <row r="364" spans="1:25" ht="12" customHeight="1">
      <c r="A364" s="219" t="n" cm="1">
        <f t="array" ref="A364">IFERROR(INDEX('03.Muestra'!$B$8:$B$42,SMALL(IF("Página Web"='03.Muestra'!$D$8:$D$42,ROW('03.Muestra'!$B$8:$B$42)-MIN(ROW('03.Muestra'!$D$8:$D$42))+1,""),ROW()-360)),"")</f>
        <v>1.0</v>
      </c>
      <c r="B364" s="114" t="str" cm="1">
        <f t="array" ref="B364">IFERROR(INDEX('03.Muestra'!$C$8:$C$42,SMALL(IF("Página Web"='03.Muestra'!$D$8:$D$42,ROW('03.Muestra'!$C$8:$C$42)-MIN(ROW('03.Muestra'!$D$8:$D$42))+1,""),ROW()-360)),"")</f>
        <v>Home - PortCastelló</v>
      </c>
      <c r="C364" s="114" t="str" cm="1">
        <f t="array" ref="C364">IFERROR(INDEX('03.Muestra'!$F$8:$F$42,SMALL(IF("Página Web"='03.Muestra'!$D$8:$D$42,ROW('03.Muestra'!$F$8:$F$42)-MIN(ROW('03.Muestra'!$D$8:$D$42))+1,""),ROW()-360)),"")</f>
        <v>https://www.portcastello.com/</v>
      </c>
      <c r="D364" s="130" t="s">
        <v>37</v>
      </c>
      <c r="E364" s="107" t="str">
        <f t="shared" si="18"/>
        <v/>
      </c>
      <c r="G364" s="19"/>
      <c r="H364" s="19"/>
      <c r="I364" s="19"/>
      <c r="J364" s="19"/>
      <c r="K364" s="233"/>
      <c r="L364" s="19"/>
      <c r="M364" s="19"/>
      <c r="N364" s="19"/>
      <c r="O364" s="19"/>
      <c r="P364" s="19"/>
      <c r="Q364" s="19"/>
      <c r="R364" s="19"/>
      <c r="S364" s="19"/>
      <c r="T364" s="19"/>
      <c r="U364" s="19"/>
      <c r="V364" s="19"/>
      <c r="W364" s="19"/>
      <c r="X364" s="19"/>
      <c r="Y364" s="19"/>
    </row>
    <row r="365" spans="1:25" ht="12" customHeight="1">
      <c r="A365" s="219" t="n" cm="1">
        <f t="array" ref="A365">IFERROR(INDEX('03.Muestra'!$B$8:$B$42,SMALL(IF("Página Web"='03.Muestra'!$D$8:$D$42,ROW('03.Muestra'!$B$8:$B$42)-MIN(ROW('03.Muestra'!$D$8:$D$42))+1,""),ROW()-360)),"")</f>
        <v>1.0</v>
      </c>
      <c r="B365" s="114" t="str" cm="1">
        <f t="array" ref="B365">IFERROR(INDEX('03.Muestra'!$C$8:$C$42,SMALL(IF("Página Web"='03.Muestra'!$D$8:$D$42,ROW('03.Muestra'!$C$8:$C$42)-MIN(ROW('03.Muestra'!$D$8:$D$42))+1,""),ROW()-360)),"")</f>
        <v>Home - PortCastelló</v>
      </c>
      <c r="C365" s="114" t="str" cm="1">
        <f t="array" ref="C365">IFERROR(INDEX('03.Muestra'!$F$8:$F$42,SMALL(IF("Página Web"='03.Muestra'!$D$8:$D$42,ROW('03.Muestra'!$F$8:$F$42)-MIN(ROW('03.Muestra'!$D$8:$D$42))+1,""),ROW()-360)),"")</f>
        <v>https://www.portcastello.com/</v>
      </c>
      <c r="D365" s="130" t="s">
        <v>37</v>
      </c>
      <c r="E365" s="107" t="str">
        <f t="shared" si="18"/>
        <v/>
      </c>
      <c r="G365" s="19"/>
      <c r="H365" s="19"/>
      <c r="I365" s="19"/>
      <c r="J365" s="19"/>
      <c r="K365" s="233"/>
      <c r="L365" s="19"/>
      <c r="M365" s="19"/>
      <c r="N365" s="19"/>
      <c r="O365" s="19"/>
      <c r="P365" s="19"/>
      <c r="Q365" s="19"/>
      <c r="R365" s="19"/>
      <c r="S365" s="19"/>
      <c r="T365" s="19"/>
      <c r="U365" s="19"/>
      <c r="V365" s="19"/>
      <c r="W365" s="19"/>
      <c r="X365" s="19"/>
      <c r="Y365" s="19"/>
    </row>
    <row r="366" spans="1:25" ht="12" customHeight="1">
      <c r="A366" s="219" t="n" cm="1">
        <f t="array" ref="A366">IFERROR(INDEX('03.Muestra'!$B$8:$B$42,SMALL(IF("Página Web"='03.Muestra'!$D$8:$D$42,ROW('03.Muestra'!$B$8:$B$42)-MIN(ROW('03.Muestra'!$D$8:$D$42))+1,""),ROW()-360)),"")</f>
        <v>1.0</v>
      </c>
      <c r="B366" s="114" t="str" cm="1">
        <f t="array" ref="B366">IFERROR(INDEX('03.Muestra'!$C$8:$C$42,SMALL(IF("Página Web"='03.Muestra'!$D$8:$D$42,ROW('03.Muestra'!$C$8:$C$42)-MIN(ROW('03.Muestra'!$D$8:$D$42))+1,""),ROW()-360)),"")</f>
        <v>Home - PortCastelló</v>
      </c>
      <c r="C366" s="114" t="str" cm="1">
        <f t="array" ref="C366">IFERROR(INDEX('03.Muestra'!$F$8:$F$42,SMALL(IF("Página Web"='03.Muestra'!$D$8:$D$42,ROW('03.Muestra'!$F$8:$F$42)-MIN(ROW('03.Muestra'!$D$8:$D$42))+1,""),ROW()-360)),"")</f>
        <v>https://www.portcastello.com/</v>
      </c>
      <c r="D366" s="130" t="s">
        <v>37</v>
      </c>
      <c r="E366" s="107" t="str">
        <f t="shared" si="18"/>
        <v/>
      </c>
      <c r="G366" s="19"/>
      <c r="H366" s="19"/>
      <c r="I366" s="19"/>
      <c r="J366" s="19"/>
      <c r="K366" s="233"/>
      <c r="L366" s="19"/>
      <c r="M366" s="19"/>
      <c r="N366" s="19"/>
      <c r="O366" s="19"/>
      <c r="P366" s="19"/>
      <c r="Q366" s="19"/>
      <c r="R366" s="19"/>
      <c r="S366" s="19"/>
      <c r="T366" s="19"/>
      <c r="U366" s="19"/>
      <c r="V366" s="19"/>
      <c r="W366" s="19"/>
      <c r="X366" s="19"/>
      <c r="Y366" s="19"/>
    </row>
    <row r="367" spans="1:25" ht="12" customHeight="1">
      <c r="A367" s="219" t="n" cm="1">
        <f t="array" ref="A367">IFERROR(INDEX('03.Muestra'!$B$8:$B$42,SMALL(IF("Página Web"='03.Muestra'!$D$8:$D$42,ROW('03.Muestra'!$B$8:$B$42)-MIN(ROW('03.Muestra'!$D$8:$D$42))+1,""),ROW()-360)),"")</f>
        <v>1.0</v>
      </c>
      <c r="B367" s="114" t="str" cm="1">
        <f t="array" ref="B367">IFERROR(INDEX('03.Muestra'!$C$8:$C$42,SMALL(IF("Página Web"='03.Muestra'!$D$8:$D$42,ROW('03.Muestra'!$C$8:$C$42)-MIN(ROW('03.Muestra'!$D$8:$D$42))+1,""),ROW()-360)),"")</f>
        <v>Home - PortCastelló</v>
      </c>
      <c r="C367" s="114" t="str" cm="1">
        <f t="array" ref="C367">IFERROR(INDEX('03.Muestra'!$F$8:$F$42,SMALL(IF("Página Web"='03.Muestra'!$D$8:$D$42,ROW('03.Muestra'!$F$8:$F$42)-MIN(ROW('03.Muestra'!$D$8:$D$42))+1,""),ROW()-360)),"")</f>
        <v>https://www.portcastello.com/</v>
      </c>
      <c r="D367" s="130" t="s">
        <v>37</v>
      </c>
      <c r="E367" s="107" t="str">
        <f t="shared" si="18"/>
        <v/>
      </c>
      <c r="F367" s="19"/>
      <c r="G367" s="19"/>
      <c r="H367" s="19"/>
      <c r="I367" s="19"/>
      <c r="J367" s="19"/>
      <c r="K367" s="233"/>
      <c r="L367" s="19"/>
      <c r="M367" s="19"/>
      <c r="N367" s="19"/>
      <c r="O367" s="19"/>
      <c r="P367" s="19"/>
      <c r="Q367" s="19"/>
      <c r="R367" s="19"/>
      <c r="S367" s="19"/>
      <c r="T367" s="19"/>
      <c r="U367" s="19"/>
      <c r="V367" s="19"/>
      <c r="W367" s="19"/>
      <c r="X367" s="19"/>
      <c r="Y367" s="19"/>
    </row>
    <row r="368" spans="1:25" ht="12" customHeight="1">
      <c r="A368" s="219" t="n" cm="1">
        <f t="array" ref="A368">IFERROR(INDEX('03.Muestra'!$B$8:$B$42,SMALL(IF("Página Web"='03.Muestra'!$D$8:$D$42,ROW('03.Muestra'!$B$8:$B$42)-MIN(ROW('03.Muestra'!$D$8:$D$42))+1,""),ROW()-360)),"")</f>
        <v>1.0</v>
      </c>
      <c r="B368" s="114" t="str" cm="1">
        <f t="array" ref="B368">IFERROR(INDEX('03.Muestra'!$C$8:$C$42,SMALL(IF("Página Web"='03.Muestra'!$D$8:$D$42,ROW('03.Muestra'!$C$8:$C$42)-MIN(ROW('03.Muestra'!$D$8:$D$42))+1,""),ROW()-360)),"")</f>
        <v>Home - PortCastelló</v>
      </c>
      <c r="C368" s="114" t="str" cm="1">
        <f t="array" ref="C368">IFERROR(INDEX('03.Muestra'!$F$8:$F$42,SMALL(IF("Página Web"='03.Muestra'!$D$8:$D$42,ROW('03.Muestra'!$F$8:$F$42)-MIN(ROW('03.Muestra'!$D$8:$D$42))+1,""),ROW()-360)),"")</f>
        <v>https://www.portcastello.com/</v>
      </c>
      <c r="D368" s="130" t="s">
        <v>37</v>
      </c>
      <c r="E368" s="107" t="str">
        <f t="shared" si="18"/>
        <v/>
      </c>
      <c r="F368" s="19"/>
      <c r="G368" s="19"/>
      <c r="H368" s="19"/>
      <c r="I368" s="19"/>
      <c r="J368" s="19"/>
      <c r="K368" s="233"/>
      <c r="L368" s="19"/>
      <c r="M368" s="19"/>
      <c r="N368" s="19"/>
      <c r="O368" s="19"/>
      <c r="P368" s="19"/>
      <c r="Q368" s="19"/>
      <c r="R368" s="19"/>
      <c r="S368" s="19"/>
      <c r="T368" s="19"/>
      <c r="U368" s="19"/>
      <c r="V368" s="19"/>
      <c r="W368" s="19"/>
      <c r="X368" s="19"/>
      <c r="Y368" s="19"/>
    </row>
    <row r="369" spans="1:25" ht="12" customHeight="1">
      <c r="A369" s="219" t="n" cm="1">
        <f t="array" ref="A369">IFERROR(INDEX('03.Muestra'!$B$8:$B$42,SMALL(IF("Página Web"='03.Muestra'!$D$8:$D$42,ROW('03.Muestra'!$B$8:$B$42)-MIN(ROW('03.Muestra'!$D$8:$D$42))+1,""),ROW()-360)),"")</f>
        <v>1.0</v>
      </c>
      <c r="B369" s="114" t="str" cm="1">
        <f t="array" ref="B369">IFERROR(INDEX('03.Muestra'!$C$8:$C$42,SMALL(IF("Página Web"='03.Muestra'!$D$8:$D$42,ROW('03.Muestra'!$C$8:$C$42)-MIN(ROW('03.Muestra'!$D$8:$D$42))+1,""),ROW()-360)),"")</f>
        <v>Home - PortCastelló</v>
      </c>
      <c r="C369" s="114" t="str" cm="1">
        <f t="array" ref="C369">IFERROR(INDEX('03.Muestra'!$F$8:$F$42,SMALL(IF("Página Web"='03.Muestra'!$D$8:$D$42,ROW('03.Muestra'!$F$8:$F$42)-MIN(ROW('03.Muestra'!$D$8:$D$42))+1,""),ROW()-360)),"")</f>
        <v>https://www.portcastello.com/</v>
      </c>
      <c r="D369" s="130" t="s">
        <v>37</v>
      </c>
      <c r="E369" s="107" t="str">
        <f t="shared" si="18"/>
        <v/>
      </c>
      <c r="F369" s="19"/>
      <c r="G369" s="19"/>
      <c r="H369" s="19"/>
      <c r="I369" s="19"/>
      <c r="J369" s="19"/>
      <c r="K369" s="233"/>
      <c r="L369" s="19"/>
      <c r="M369" s="19"/>
      <c r="N369" s="19"/>
      <c r="O369" s="19"/>
      <c r="P369" s="19"/>
      <c r="Q369" s="19"/>
      <c r="R369" s="19"/>
      <c r="S369" s="19"/>
      <c r="T369" s="19"/>
      <c r="U369" s="19"/>
      <c r="V369" s="19"/>
      <c r="W369" s="19"/>
      <c r="X369" s="19"/>
      <c r="Y369" s="19"/>
    </row>
    <row r="370" spans="1:25" ht="12" customHeight="1">
      <c r="A370" s="219" t="n" cm="1">
        <f t="array" ref="A370">IFERROR(INDEX('03.Muestra'!$B$8:$B$42,SMALL(IF("Página Web"='03.Muestra'!$D$8:$D$42,ROW('03.Muestra'!$B$8:$B$42)-MIN(ROW('03.Muestra'!$D$8:$D$42))+1,""),ROW()-360)),"")</f>
        <v>1.0</v>
      </c>
      <c r="B370" s="114" t="str" cm="1">
        <f t="array" ref="B370">IFERROR(INDEX('03.Muestra'!$C$8:$C$42,SMALL(IF("Página Web"='03.Muestra'!$D$8:$D$42,ROW('03.Muestra'!$C$8:$C$42)-MIN(ROW('03.Muestra'!$D$8:$D$42))+1,""),ROW()-360)),"")</f>
        <v>Home - PortCastelló</v>
      </c>
      <c r="C370" s="114" t="str" cm="1">
        <f t="array" ref="C370">IFERROR(INDEX('03.Muestra'!$F$8:$F$42,SMALL(IF("Página Web"='03.Muestra'!$D$8:$D$42,ROW('03.Muestra'!$F$8:$F$42)-MIN(ROW('03.Muestra'!$D$8:$D$42))+1,""),ROW()-360)),"")</f>
        <v>https://www.portcastello.com/</v>
      </c>
      <c r="D370" s="130" t="s">
        <v>37</v>
      </c>
      <c r="E370" s="107" t="str">
        <f t="shared" si="18"/>
        <v/>
      </c>
      <c r="F370" s="19"/>
      <c r="G370" s="19"/>
      <c r="H370" s="19"/>
      <c r="I370" s="19"/>
      <c r="J370" s="19"/>
      <c r="K370" s="233"/>
      <c r="L370" s="19"/>
      <c r="M370" s="19"/>
      <c r="N370" s="19"/>
      <c r="O370" s="19"/>
      <c r="P370" s="19"/>
      <c r="Q370" s="19"/>
      <c r="R370" s="19"/>
      <c r="S370" s="19"/>
      <c r="T370" s="19"/>
      <c r="U370" s="19"/>
      <c r="V370" s="19"/>
      <c r="W370" s="19"/>
      <c r="X370" s="19"/>
      <c r="Y370" s="19"/>
    </row>
    <row r="371" spans="1:25" ht="12" customHeight="1">
      <c r="A371" s="219" t="n" cm="1">
        <f t="array" ref="A371">IFERROR(INDEX('03.Muestra'!$B$8:$B$42,SMALL(IF("Página Web"='03.Muestra'!$D$8:$D$42,ROW('03.Muestra'!$B$8:$B$42)-MIN(ROW('03.Muestra'!$D$8:$D$42))+1,""),ROW()-360)),"")</f>
        <v>1.0</v>
      </c>
      <c r="B371" s="114" t="str" cm="1">
        <f t="array" ref="B371">IFERROR(INDEX('03.Muestra'!$C$8:$C$42,SMALL(IF("Página Web"='03.Muestra'!$D$8:$D$42,ROW('03.Muestra'!$C$8:$C$42)-MIN(ROW('03.Muestra'!$D$8:$D$42))+1,""),ROW()-360)),"")</f>
        <v>Home - PortCastelló</v>
      </c>
      <c r="C371" s="114" t="str" cm="1">
        <f t="array" ref="C371">IFERROR(INDEX('03.Muestra'!$F$8:$F$42,SMALL(IF("Página Web"='03.Muestra'!$D$8:$D$42,ROW('03.Muestra'!$F$8:$F$42)-MIN(ROW('03.Muestra'!$D$8:$D$42))+1,""),ROW()-360)),"")</f>
        <v>https://www.portcastello.com/</v>
      </c>
      <c r="D371" s="130" t="s">
        <v>37</v>
      </c>
      <c r="E371" s="107" t="str">
        <f t="shared" si="18"/>
        <v/>
      </c>
      <c r="F371" s="19"/>
      <c r="G371" s="19"/>
      <c r="H371" s="19"/>
      <c r="I371" s="19"/>
      <c r="J371" s="19"/>
      <c r="K371" s="233"/>
      <c r="L371" s="19"/>
      <c r="M371" s="19"/>
      <c r="N371" s="19"/>
      <c r="O371" s="19"/>
      <c r="P371" s="19"/>
      <c r="Q371" s="19"/>
      <c r="R371" s="19"/>
      <c r="S371" s="19"/>
      <c r="T371" s="19"/>
      <c r="U371" s="19"/>
      <c r="V371" s="19"/>
      <c r="W371" s="19"/>
      <c r="X371" s="19"/>
      <c r="Y371" s="19"/>
    </row>
    <row r="372" spans="1:25" ht="12" customHeight="1">
      <c r="A372" s="219" t="n" cm="1">
        <f t="array" ref="A372">IFERROR(INDEX('03.Muestra'!$B$8:$B$42,SMALL(IF("Página Web"='03.Muestra'!$D$8:$D$42,ROW('03.Muestra'!$B$8:$B$42)-MIN(ROW('03.Muestra'!$D$8:$D$42))+1,""),ROW()-360)),"")</f>
        <v>1.0</v>
      </c>
      <c r="B372" s="114" t="str" cm="1">
        <f t="array" ref="B372">IFERROR(INDEX('03.Muestra'!$C$8:$C$42,SMALL(IF("Página Web"='03.Muestra'!$D$8:$D$42,ROW('03.Muestra'!$C$8:$C$42)-MIN(ROW('03.Muestra'!$D$8:$D$42))+1,""),ROW()-360)),"")</f>
        <v>Home - PortCastelló</v>
      </c>
      <c r="C372" s="114" t="str" cm="1">
        <f t="array" ref="C372">IFERROR(INDEX('03.Muestra'!$F$8:$F$42,SMALL(IF("Página Web"='03.Muestra'!$D$8:$D$42,ROW('03.Muestra'!$F$8:$F$42)-MIN(ROW('03.Muestra'!$D$8:$D$42))+1,""),ROW()-360)),"")</f>
        <v>https://www.portcastello.com/</v>
      </c>
      <c r="D372" s="130" t="s">
        <v>37</v>
      </c>
      <c r="E372" s="107" t="str">
        <f t="shared" si="18"/>
        <v/>
      </c>
      <c r="F372" s="19"/>
      <c r="G372" s="19"/>
      <c r="H372" s="19"/>
      <c r="I372" s="19"/>
      <c r="J372" s="19"/>
      <c r="K372" s="233"/>
      <c r="L372" s="19"/>
      <c r="M372" s="19"/>
      <c r="N372" s="19"/>
      <c r="O372" s="19"/>
      <c r="P372" s="19"/>
      <c r="Q372" s="19"/>
      <c r="R372" s="19"/>
      <c r="S372" s="19"/>
      <c r="T372" s="19"/>
      <c r="U372" s="19"/>
      <c r="V372" s="19"/>
      <c r="W372" s="19"/>
      <c r="X372" s="19"/>
      <c r="Y372" s="19"/>
    </row>
    <row r="373" spans="1:25" ht="12" customHeight="1">
      <c r="A373" s="219" t="n" cm="1">
        <f t="array" ref="A373">IFERROR(INDEX('03.Muestra'!$B$8:$B$42,SMALL(IF("Página Web"='03.Muestra'!$D$8:$D$42,ROW('03.Muestra'!$B$8:$B$42)-MIN(ROW('03.Muestra'!$D$8:$D$42))+1,""),ROW()-360)),"")</f>
        <v>1.0</v>
      </c>
      <c r="B373" s="114" t="str" cm="1">
        <f t="array" ref="B373">IFERROR(INDEX('03.Muestra'!$C$8:$C$42,SMALL(IF("Página Web"='03.Muestra'!$D$8:$D$42,ROW('03.Muestra'!$C$8:$C$42)-MIN(ROW('03.Muestra'!$D$8:$D$42))+1,""),ROW()-360)),"")</f>
        <v>Home - PortCastelló</v>
      </c>
      <c r="C373" s="114" t="str" cm="1">
        <f t="array" ref="C373">IFERROR(INDEX('03.Muestra'!$F$8:$F$42,SMALL(IF("Página Web"='03.Muestra'!$D$8:$D$42,ROW('03.Muestra'!$F$8:$F$42)-MIN(ROW('03.Muestra'!$D$8:$D$42))+1,""),ROW()-360)),"")</f>
        <v>https://www.portcastello.com/</v>
      </c>
      <c r="D373" s="130" t="s">
        <v>37</v>
      </c>
      <c r="E373" s="107" t="str">
        <f t="shared" si="18"/>
        <v/>
      </c>
      <c r="F373" s="19"/>
      <c r="G373" s="19"/>
      <c r="H373" s="19"/>
      <c r="I373" s="19"/>
      <c r="J373" s="19"/>
      <c r="K373" s="233"/>
      <c r="L373" s="19"/>
      <c r="M373" s="19"/>
      <c r="N373" s="19"/>
      <c r="O373" s="19"/>
      <c r="P373" s="19"/>
      <c r="Q373" s="19"/>
      <c r="R373" s="19"/>
      <c r="S373" s="19"/>
      <c r="T373" s="19"/>
      <c r="U373" s="19"/>
      <c r="V373" s="19"/>
      <c r="W373" s="19"/>
      <c r="X373" s="19"/>
      <c r="Y373" s="19"/>
    </row>
    <row r="374" spans="1:25" ht="12" customHeight="1">
      <c r="A374" s="219" t="n" cm="1">
        <f t="array" ref="A374">IFERROR(INDEX('03.Muestra'!$B$8:$B$42,SMALL(IF("Página Web"='03.Muestra'!$D$8:$D$42,ROW('03.Muestra'!$B$8:$B$42)-MIN(ROW('03.Muestra'!$D$8:$D$42))+1,""),ROW()-360)),"")</f>
        <v>1.0</v>
      </c>
      <c r="B374" s="114" t="str" cm="1">
        <f t="array" ref="B374">IFERROR(INDEX('03.Muestra'!$C$8:$C$42,SMALL(IF("Página Web"='03.Muestra'!$D$8:$D$42,ROW('03.Muestra'!$C$8:$C$42)-MIN(ROW('03.Muestra'!$D$8:$D$42))+1,""),ROW()-360)),"")</f>
        <v>Home - PortCastelló</v>
      </c>
      <c r="C374" s="114" t="str" cm="1">
        <f t="array" ref="C374">IFERROR(INDEX('03.Muestra'!$F$8:$F$42,SMALL(IF("Página Web"='03.Muestra'!$D$8:$D$42,ROW('03.Muestra'!$F$8:$F$42)-MIN(ROW('03.Muestra'!$D$8:$D$42))+1,""),ROW()-360)),"")</f>
        <v>https://www.portcastello.com/</v>
      </c>
      <c r="D374" s="130" t="s">
        <v>37</v>
      </c>
      <c r="E374" s="107" t="str">
        <f t="shared" si="18"/>
        <v/>
      </c>
      <c r="F374" s="19"/>
      <c r="G374" s="19"/>
      <c r="H374" s="19"/>
      <c r="I374" s="19"/>
      <c r="J374" s="19"/>
      <c r="K374" s="233"/>
      <c r="L374" s="19"/>
      <c r="M374" s="19"/>
      <c r="N374" s="19"/>
      <c r="O374" s="19"/>
      <c r="P374" s="19"/>
      <c r="Q374" s="19"/>
      <c r="R374" s="19"/>
      <c r="S374" s="19"/>
      <c r="T374" s="19"/>
      <c r="U374" s="19"/>
      <c r="V374" s="19"/>
      <c r="W374" s="19"/>
      <c r="X374" s="19"/>
      <c r="Y374" s="19"/>
    </row>
    <row r="375" spans="1:25" ht="12" customHeight="1">
      <c r="A375" s="219" t="n" cm="1">
        <f t="array" ref="A375">IFERROR(INDEX('03.Muestra'!$B$8:$B$42,SMALL(IF("Página Web"='03.Muestra'!$D$8:$D$42,ROW('03.Muestra'!$B$8:$B$42)-MIN(ROW('03.Muestra'!$D$8:$D$42))+1,""),ROW()-360)),"")</f>
        <v>1.0</v>
      </c>
      <c r="B375" s="114" t="str" cm="1">
        <f t="array" ref="B375">IFERROR(INDEX('03.Muestra'!$C$8:$C$42,SMALL(IF("Página Web"='03.Muestra'!$D$8:$D$42,ROW('03.Muestra'!$C$8:$C$42)-MIN(ROW('03.Muestra'!$D$8:$D$42))+1,""),ROW()-360)),"")</f>
        <v>Home - PortCastelló</v>
      </c>
      <c r="C375" s="114" t="str" cm="1">
        <f t="array" ref="C375">IFERROR(INDEX('03.Muestra'!$F$8:$F$42,SMALL(IF("Página Web"='03.Muestra'!$D$8:$D$42,ROW('03.Muestra'!$F$8:$F$42)-MIN(ROW('03.Muestra'!$D$8:$D$42))+1,""),ROW()-360)),"")</f>
        <v>https://www.portcastello.com/</v>
      </c>
      <c r="D375" s="130" t="s">
        <v>37</v>
      </c>
      <c r="E375" s="107" t="str">
        <f t="shared" si="18"/>
        <v/>
      </c>
      <c r="F375" s="19"/>
      <c r="G375" s="19"/>
      <c r="H375" s="19"/>
      <c r="I375" s="19"/>
      <c r="J375" s="19"/>
      <c r="K375" s="233"/>
      <c r="L375" s="19"/>
      <c r="M375" s="19"/>
      <c r="N375" s="19"/>
      <c r="O375" s="19"/>
      <c r="P375" s="19"/>
      <c r="Q375" s="19"/>
      <c r="R375" s="19"/>
      <c r="S375" s="19"/>
      <c r="T375" s="19"/>
      <c r="U375" s="19"/>
      <c r="V375" s="19"/>
      <c r="W375" s="19"/>
      <c r="X375" s="19"/>
      <c r="Y375" s="19"/>
    </row>
    <row r="376" spans="1:25" ht="12" customHeight="1">
      <c r="A376" s="219" t="n" cm="1">
        <f t="array" ref="A376">IFERROR(INDEX('03.Muestra'!$B$8:$B$42,SMALL(IF("Página Web"='03.Muestra'!$D$8:$D$42,ROW('03.Muestra'!$B$8:$B$42)-MIN(ROW('03.Muestra'!$D$8:$D$42))+1,""),ROW()-360)),"")</f>
        <v>1.0</v>
      </c>
      <c r="B376" s="114" t="str" cm="1">
        <f t="array" ref="B376">IFERROR(INDEX('03.Muestra'!$C$8:$C$42,SMALL(IF("Página Web"='03.Muestra'!$D$8:$D$42,ROW('03.Muestra'!$C$8:$C$42)-MIN(ROW('03.Muestra'!$D$8:$D$42))+1,""),ROW()-360)),"")</f>
        <v>Home - PortCastelló</v>
      </c>
      <c r="C376" s="114" t="str" cm="1">
        <f t="array" ref="C376">IFERROR(INDEX('03.Muestra'!$F$8:$F$42,SMALL(IF("Página Web"='03.Muestra'!$D$8:$D$42,ROW('03.Muestra'!$F$8:$F$42)-MIN(ROW('03.Muestra'!$D$8:$D$42))+1,""),ROW()-360)),"")</f>
        <v>https://www.portcastello.com/</v>
      </c>
      <c r="D376" s="130" t="s">
        <v>37</v>
      </c>
      <c r="E376" s="107" t="str">
        <f t="shared" si="18"/>
        <v/>
      </c>
      <c r="F376" s="19"/>
      <c r="G376" s="19"/>
      <c r="H376" s="19"/>
      <c r="I376" s="19"/>
      <c r="J376" s="19"/>
      <c r="K376" s="233"/>
      <c r="L376" s="19"/>
      <c r="M376" s="19"/>
      <c r="N376" s="19"/>
      <c r="O376" s="19"/>
      <c r="P376" s="19"/>
      <c r="Q376" s="19"/>
      <c r="R376" s="19"/>
      <c r="S376" s="19"/>
      <c r="T376" s="19"/>
      <c r="U376" s="19"/>
      <c r="V376" s="19"/>
      <c r="W376" s="19"/>
      <c r="X376" s="19"/>
      <c r="Y376" s="19"/>
    </row>
    <row r="377" spans="1:25" ht="12" customHeight="1">
      <c r="A377" s="219" t="n" cm="1">
        <f t="array" ref="A377">IFERROR(INDEX('03.Muestra'!$B$8:$B$42,SMALL(IF("Página Web"='03.Muestra'!$D$8:$D$42,ROW('03.Muestra'!$B$8:$B$42)-MIN(ROW('03.Muestra'!$D$8:$D$42))+1,""),ROW()-360)),"")</f>
        <v>1.0</v>
      </c>
      <c r="B377" s="114" t="str" cm="1">
        <f t="array" ref="B377">IFERROR(INDEX('03.Muestra'!$C$8:$C$42,SMALL(IF("Página Web"='03.Muestra'!$D$8:$D$42,ROW('03.Muestra'!$C$8:$C$42)-MIN(ROW('03.Muestra'!$D$8:$D$42))+1,""),ROW()-360)),"")</f>
        <v>Home - PortCastelló</v>
      </c>
      <c r="C377" s="114" t="str" cm="1">
        <f t="array" ref="C377">IFERROR(INDEX('03.Muestra'!$F$8:$F$42,SMALL(IF("Página Web"='03.Muestra'!$D$8:$D$42,ROW('03.Muestra'!$F$8:$F$42)-MIN(ROW('03.Muestra'!$D$8:$D$42))+1,""),ROW()-360)),"")</f>
        <v>https://www.portcastello.com/</v>
      </c>
      <c r="D377" s="130" t="s">
        <v>37</v>
      </c>
      <c r="E377" s="107" t="str">
        <f t="shared" si="18"/>
        <v/>
      </c>
      <c r="F377" s="19"/>
      <c r="G377" s="19"/>
      <c r="H377" s="19"/>
      <c r="I377" s="19"/>
      <c r="J377" s="19"/>
      <c r="K377" s="233"/>
      <c r="L377" s="19"/>
      <c r="M377" s="19"/>
      <c r="N377" s="19"/>
      <c r="O377" s="19"/>
      <c r="P377" s="19"/>
      <c r="Q377" s="19"/>
      <c r="R377" s="19"/>
      <c r="S377" s="19"/>
      <c r="T377" s="19"/>
      <c r="U377" s="19"/>
      <c r="V377" s="19"/>
      <c r="W377" s="19"/>
      <c r="X377" s="19"/>
      <c r="Y377" s="19"/>
    </row>
    <row r="378" spans="1:25" ht="12" customHeight="1">
      <c r="A378" s="219" t="n" cm="1">
        <f t="array" ref="A378">IFERROR(INDEX('03.Muestra'!$B$8:$B$42,SMALL(IF("Página Web"='03.Muestra'!$D$8:$D$42,ROW('03.Muestra'!$B$8:$B$42)-MIN(ROW('03.Muestra'!$D$8:$D$42))+1,""),ROW()-360)),"")</f>
        <v>1.0</v>
      </c>
      <c r="B378" s="114" t="str" cm="1">
        <f t="array" ref="B378">IFERROR(INDEX('03.Muestra'!$C$8:$C$42,SMALL(IF("Página Web"='03.Muestra'!$D$8:$D$42,ROW('03.Muestra'!$C$8:$C$42)-MIN(ROW('03.Muestra'!$D$8:$D$42))+1,""),ROW()-360)),"")</f>
        <v>Home - PortCastelló</v>
      </c>
      <c r="C378" s="114" t="str" cm="1">
        <f t="array" ref="C378">IFERROR(INDEX('03.Muestra'!$F$8:$F$42,SMALL(IF("Página Web"='03.Muestra'!$D$8:$D$42,ROW('03.Muestra'!$F$8:$F$42)-MIN(ROW('03.Muestra'!$D$8:$D$42))+1,""),ROW()-360)),"")</f>
        <v>https://www.portcastello.com/</v>
      </c>
      <c r="D378" s="130" t="s">
        <v>37</v>
      </c>
      <c r="E378" s="107" t="str">
        <f t="shared" si="18"/>
        <v/>
      </c>
      <c r="F378" s="19"/>
      <c r="G378" s="19"/>
      <c r="H378" s="19"/>
      <c r="I378" s="19"/>
      <c r="J378" s="19"/>
      <c r="K378" s="233"/>
      <c r="L378" s="19"/>
      <c r="M378" s="19"/>
      <c r="N378" s="19"/>
      <c r="O378" s="19"/>
      <c r="P378" s="19"/>
      <c r="Q378" s="19"/>
      <c r="R378" s="19"/>
      <c r="S378" s="19"/>
      <c r="T378" s="19"/>
      <c r="U378" s="19"/>
      <c r="V378" s="19"/>
      <c r="W378" s="19"/>
      <c r="X378" s="19"/>
      <c r="Y378" s="19"/>
    </row>
    <row r="379" spans="1:25" ht="12" customHeight="1">
      <c r="A379" s="219" t="n" cm="1">
        <f t="array" ref="A379">IFERROR(INDEX('03.Muestra'!$B$8:$B$42,SMALL(IF("Página Web"='03.Muestra'!$D$8:$D$42,ROW('03.Muestra'!$B$8:$B$42)-MIN(ROW('03.Muestra'!$D$8:$D$42))+1,""),ROW()-360)),"")</f>
        <v>1.0</v>
      </c>
      <c r="B379" s="114" t="str" cm="1">
        <f t="array" ref="B379">IFERROR(INDEX('03.Muestra'!$C$8:$C$42,SMALL(IF("Página Web"='03.Muestra'!$D$8:$D$42,ROW('03.Muestra'!$C$8:$C$42)-MIN(ROW('03.Muestra'!$D$8:$D$42))+1,""),ROW()-360)),"")</f>
        <v>Home - PortCastelló</v>
      </c>
      <c r="C379" s="114" t="str" cm="1">
        <f t="array" ref="C379">IFERROR(INDEX('03.Muestra'!$F$8:$F$42,SMALL(IF("Página Web"='03.Muestra'!$D$8:$D$42,ROW('03.Muestra'!$F$8:$F$42)-MIN(ROW('03.Muestra'!$D$8:$D$42))+1,""),ROW()-360)),"")</f>
        <v>https://www.portcastello.com/</v>
      </c>
      <c r="D379" s="130" t="s">
        <v>37</v>
      </c>
      <c r="E379" s="107" t="str">
        <f t="shared" si="18"/>
        <v/>
      </c>
      <c r="F379" s="19"/>
      <c r="G379" s="19"/>
      <c r="H379" s="19"/>
      <c r="I379" s="19"/>
      <c r="J379" s="19"/>
      <c r="K379" s="233"/>
      <c r="L379" s="19"/>
      <c r="M379" s="19"/>
      <c r="N379" s="19"/>
      <c r="O379" s="19"/>
      <c r="P379" s="19"/>
      <c r="Q379" s="19"/>
      <c r="R379" s="19"/>
      <c r="S379" s="19"/>
      <c r="T379" s="19"/>
      <c r="U379" s="19"/>
      <c r="V379" s="19"/>
      <c r="W379" s="19"/>
      <c r="X379" s="19"/>
      <c r="Y379" s="19"/>
    </row>
    <row r="380" spans="1:25" ht="12" customHeight="1">
      <c r="A380" s="219" t="n" cm="1">
        <f t="array" ref="A380">IFERROR(INDEX('03.Muestra'!$B$8:$B$42,SMALL(IF("Página Web"='03.Muestra'!$D$8:$D$42,ROW('03.Muestra'!$B$8:$B$42)-MIN(ROW('03.Muestra'!$D$8:$D$42))+1,""),ROW()-360)),"")</f>
        <v>1.0</v>
      </c>
      <c r="B380" s="114" t="str" cm="1">
        <f t="array" ref="B380">IFERROR(INDEX('03.Muestra'!$C$8:$C$42,SMALL(IF("Página Web"='03.Muestra'!$D$8:$D$42,ROW('03.Muestra'!$C$8:$C$42)-MIN(ROW('03.Muestra'!$D$8:$D$42))+1,""),ROW()-360)),"")</f>
        <v>Home - PortCastelló</v>
      </c>
      <c r="C380" s="114" t="str" cm="1">
        <f t="array" ref="C380">IFERROR(INDEX('03.Muestra'!$F$8:$F$42,SMALL(IF("Página Web"='03.Muestra'!$D$8:$D$42,ROW('03.Muestra'!$F$8:$F$42)-MIN(ROW('03.Muestra'!$D$8:$D$42))+1,""),ROW()-360)),"")</f>
        <v>https://www.portcastello.com/</v>
      </c>
      <c r="D380" s="130" t="s">
        <v>37</v>
      </c>
      <c r="E380" s="107" t="str">
        <f t="shared" si="18"/>
        <v/>
      </c>
      <c r="F380" s="19"/>
      <c r="G380" s="19"/>
      <c r="H380" s="19"/>
      <c r="I380" s="19"/>
      <c r="J380" s="19"/>
      <c r="K380" s="233"/>
      <c r="L380" s="19"/>
      <c r="M380" s="19"/>
      <c r="N380" s="19"/>
      <c r="O380" s="19"/>
      <c r="P380" s="19"/>
      <c r="Q380" s="19"/>
      <c r="R380" s="19"/>
      <c r="S380" s="19"/>
      <c r="T380" s="19"/>
      <c r="U380" s="19"/>
      <c r="V380" s="19"/>
      <c r="W380" s="19"/>
      <c r="X380" s="19"/>
      <c r="Y380" s="19"/>
    </row>
    <row r="381" spans="1:25" ht="12" customHeight="1">
      <c r="A381" s="219" t="n" cm="1">
        <f t="array" ref="A381">IFERROR(INDEX('03.Muestra'!$B$8:$B$42,SMALL(IF("Página Web"='03.Muestra'!$D$8:$D$42,ROW('03.Muestra'!$B$8:$B$42)-MIN(ROW('03.Muestra'!$D$8:$D$42))+1,""),ROW()-360)),"")</f>
        <v>1.0</v>
      </c>
      <c r="B381" s="114" t="str" cm="1">
        <f t="array" ref="B381">IFERROR(INDEX('03.Muestra'!$C$8:$C$42,SMALL(IF("Página Web"='03.Muestra'!$D$8:$D$42,ROW('03.Muestra'!$C$8:$C$42)-MIN(ROW('03.Muestra'!$D$8:$D$42))+1,""),ROW()-360)),"")</f>
        <v>Home - PortCastelló</v>
      </c>
      <c r="C381" s="114" t="str" cm="1">
        <f t="array" ref="C381">IFERROR(INDEX('03.Muestra'!$F$8:$F$42,SMALL(IF("Página Web"='03.Muestra'!$D$8:$D$42,ROW('03.Muestra'!$F$8:$F$42)-MIN(ROW('03.Muestra'!$D$8:$D$42))+1,""),ROW()-360)),"")</f>
        <v>https://www.portcastello.com/</v>
      </c>
      <c r="D381" s="130" t="s">
        <v>37</v>
      </c>
      <c r="E381" s="107" t="str">
        <f t="shared" si="18"/>
        <v/>
      </c>
      <c r="F381" s="19"/>
      <c r="G381" s="19"/>
      <c r="H381" s="19"/>
      <c r="I381" s="19"/>
      <c r="J381" s="19"/>
      <c r="K381" s="233"/>
      <c r="L381" s="19"/>
      <c r="M381" s="19"/>
      <c r="N381" s="19"/>
      <c r="O381" s="19"/>
      <c r="P381" s="19"/>
      <c r="Q381" s="19"/>
      <c r="R381" s="19"/>
      <c r="S381" s="19"/>
      <c r="T381" s="19"/>
      <c r="U381" s="19"/>
      <c r="V381" s="19"/>
      <c r="W381" s="19"/>
      <c r="X381" s="19"/>
      <c r="Y381" s="19"/>
    </row>
    <row r="382" spans="1:25" ht="12" customHeight="1">
      <c r="A382" s="219" t="n" cm="1">
        <f t="array" ref="A382">IFERROR(INDEX('03.Muestra'!$B$8:$B$42,SMALL(IF("Página Web"='03.Muestra'!$D$8:$D$42,ROW('03.Muestra'!$B$8:$B$42)-MIN(ROW('03.Muestra'!$D$8:$D$42))+1,""),ROW()-360)),"")</f>
        <v>1.0</v>
      </c>
      <c r="B382" s="114" t="str" cm="1">
        <f t="array" ref="B382">IFERROR(INDEX('03.Muestra'!$C$8:$C$42,SMALL(IF("Página Web"='03.Muestra'!$D$8:$D$42,ROW('03.Muestra'!$C$8:$C$42)-MIN(ROW('03.Muestra'!$D$8:$D$42))+1,""),ROW()-360)),"")</f>
        <v>Home - PortCastelló</v>
      </c>
      <c r="C382" s="114" t="str" cm="1">
        <f t="array" ref="C382">IFERROR(INDEX('03.Muestra'!$F$8:$F$42,SMALL(IF("Página Web"='03.Muestra'!$D$8:$D$42,ROW('03.Muestra'!$F$8:$F$42)-MIN(ROW('03.Muestra'!$D$8:$D$42))+1,""),ROW()-360)),"")</f>
        <v>https://www.portcastello.com/</v>
      </c>
      <c r="D382" s="130" t="s">
        <v>37</v>
      </c>
      <c r="E382" s="107" t="str">
        <f t="shared" si="18"/>
        <v/>
      </c>
      <c r="F382" s="19"/>
      <c r="G382" s="19"/>
      <c r="H382" s="19"/>
      <c r="I382" s="19"/>
      <c r="J382" s="19"/>
      <c r="K382" s="233"/>
      <c r="L382" s="19"/>
      <c r="M382" s="19"/>
      <c r="N382" s="19"/>
      <c r="O382" s="19"/>
      <c r="P382" s="19"/>
      <c r="Q382" s="19"/>
      <c r="R382" s="19"/>
      <c r="S382" s="19"/>
      <c r="T382" s="19"/>
      <c r="U382" s="19"/>
      <c r="V382" s="19"/>
      <c r="W382" s="19"/>
      <c r="X382" s="19"/>
      <c r="Y382" s="19"/>
    </row>
    <row r="383" spans="1:25" ht="12" customHeight="1">
      <c r="A383" s="219" t="n" cm="1">
        <f t="array" ref="A383">IFERROR(INDEX('03.Muestra'!$B$8:$B$42,SMALL(IF("Página Web"='03.Muestra'!$D$8:$D$42,ROW('03.Muestra'!$B$8:$B$42)-MIN(ROW('03.Muestra'!$D$8:$D$42))+1,""),ROW()-360)),"")</f>
        <v>1.0</v>
      </c>
      <c r="B383" s="114" t="str" cm="1">
        <f t="array" ref="B383">IFERROR(INDEX('03.Muestra'!$C$8:$C$42,SMALL(IF("Página Web"='03.Muestra'!$D$8:$D$42,ROW('03.Muestra'!$C$8:$C$42)-MIN(ROW('03.Muestra'!$D$8:$D$42))+1,""),ROW()-360)),"")</f>
        <v>Home - PortCastelló</v>
      </c>
      <c r="C383" s="114" t="str" cm="1">
        <f t="array" ref="C383">IFERROR(INDEX('03.Muestra'!$F$8:$F$42,SMALL(IF("Página Web"='03.Muestra'!$D$8:$D$42,ROW('03.Muestra'!$F$8:$F$42)-MIN(ROW('03.Muestra'!$D$8:$D$42))+1,""),ROW()-360)),"")</f>
        <v>https://www.portcastello.com/</v>
      </c>
      <c r="D383" s="130" t="s">
        <v>37</v>
      </c>
      <c r="E383" s="107" t="str">
        <f t="shared" si="18"/>
        <v/>
      </c>
      <c r="F383" s="19"/>
      <c r="G383" s="19"/>
      <c r="H383" s="19"/>
      <c r="I383" s="19"/>
      <c r="J383" s="19"/>
      <c r="K383" s="233"/>
      <c r="L383" s="19"/>
      <c r="M383" s="19"/>
      <c r="N383" s="19"/>
      <c r="O383" s="19"/>
      <c r="P383" s="19"/>
      <c r="Q383" s="19"/>
      <c r="R383" s="19"/>
      <c r="S383" s="19"/>
      <c r="T383" s="19"/>
      <c r="U383" s="19"/>
      <c r="V383" s="19"/>
      <c r="W383" s="19"/>
      <c r="X383" s="19"/>
      <c r="Y383" s="19"/>
    </row>
    <row r="384" spans="1:25" ht="12" customHeight="1">
      <c r="A384" s="219" t="n" cm="1">
        <f t="array" ref="A384">IFERROR(INDEX('03.Muestra'!$B$8:$B$42,SMALL(IF("Página Web"='03.Muestra'!$D$8:$D$42,ROW('03.Muestra'!$B$8:$B$42)-MIN(ROW('03.Muestra'!$D$8:$D$42))+1,""),ROW()-360)),"")</f>
        <v>1.0</v>
      </c>
      <c r="B384" s="114" t="str" cm="1">
        <f t="array" ref="B384">IFERROR(INDEX('03.Muestra'!$C$8:$C$42,SMALL(IF("Página Web"='03.Muestra'!$D$8:$D$42,ROW('03.Muestra'!$C$8:$C$42)-MIN(ROW('03.Muestra'!$D$8:$D$42))+1,""),ROW()-360)),"")</f>
        <v>Home - PortCastelló</v>
      </c>
      <c r="C384" s="114" t="str" cm="1">
        <f t="array" ref="C384">IFERROR(INDEX('03.Muestra'!$F$8:$F$42,SMALL(IF("Página Web"='03.Muestra'!$D$8:$D$42,ROW('03.Muestra'!$F$8:$F$42)-MIN(ROW('03.Muestra'!$D$8:$D$42))+1,""),ROW()-360)),"")</f>
        <v>https://www.portcastello.com/</v>
      </c>
      <c r="D384" s="130" t="s">
        <v>28</v>
      </c>
      <c r="E384" s="107" t="str">
        <f t="shared" si="18"/>
        <v/>
      </c>
      <c r="F384" s="19"/>
      <c r="G384" s="19"/>
      <c r="H384" s="19"/>
      <c r="I384" s="19"/>
      <c r="J384" s="19"/>
      <c r="K384" s="233"/>
      <c r="L384" s="19"/>
      <c r="M384" s="19"/>
      <c r="N384" s="19"/>
      <c r="O384" s="19"/>
      <c r="P384" s="19"/>
      <c r="Q384" s="19"/>
      <c r="R384" s="19"/>
      <c r="S384" s="19"/>
      <c r="T384" s="19"/>
      <c r="U384" s="19"/>
      <c r="V384" s="19"/>
      <c r="W384" s="19"/>
      <c r="X384" s="19"/>
      <c r="Y384" s="19"/>
    </row>
    <row r="385" spans="1:25" ht="12" customHeight="1">
      <c r="A385" s="219" t="n" cm="1">
        <f t="array" ref="A385">IFERROR(INDEX('03.Muestra'!$B$8:$B$42,SMALL(IF("Página Web"='03.Muestra'!$D$8:$D$42,ROW('03.Muestra'!$B$8:$B$42)-MIN(ROW('03.Muestra'!$D$8:$D$42))+1,""),ROW()-360)),"")</f>
        <v>1.0</v>
      </c>
      <c r="B385" s="114" t="str" cm="1">
        <f t="array" ref="B385">IFERROR(INDEX('03.Muestra'!$C$8:$C$42,SMALL(IF("Página Web"='03.Muestra'!$D$8:$D$42,ROW('03.Muestra'!$C$8:$C$42)-MIN(ROW('03.Muestra'!$D$8:$D$42))+1,""),ROW()-360)),"")</f>
        <v>Home - PortCastelló</v>
      </c>
      <c r="C385" s="114" t="str" cm="1">
        <f t="array" ref="C385">IFERROR(INDEX('03.Muestra'!$F$8:$F$42,SMALL(IF("Página Web"='03.Muestra'!$D$8:$D$42,ROW('03.Muestra'!$F$8:$F$42)-MIN(ROW('03.Muestra'!$D$8:$D$42))+1,""),ROW()-360)),"")</f>
        <v>https://www.portcastello.com/</v>
      </c>
      <c r="D385" s="130" t="s">
        <v>37</v>
      </c>
      <c r="E385" s="107" t="str">
        <f t="shared" si="18"/>
        <v/>
      </c>
      <c r="F385" s="19"/>
      <c r="G385" s="19"/>
      <c r="H385" s="19"/>
      <c r="I385" s="19"/>
      <c r="J385" s="19"/>
      <c r="K385" s="233"/>
      <c r="L385" s="19"/>
      <c r="M385" s="19"/>
      <c r="N385" s="19"/>
      <c r="O385" s="19"/>
      <c r="P385" s="19"/>
      <c r="Q385" s="19"/>
      <c r="R385" s="19"/>
      <c r="S385" s="19"/>
      <c r="T385" s="19"/>
      <c r="U385" s="19"/>
      <c r="V385" s="19"/>
      <c r="W385" s="19"/>
      <c r="X385" s="19"/>
      <c r="Y385" s="19"/>
    </row>
    <row r="386" spans="1:25" ht="12" customHeight="1">
      <c r="A386" s="219" t="n" cm="1">
        <f t="array" ref="A386">IFERROR(INDEX('03.Muestra'!$B$8:$B$42,SMALL(IF("Página Web"='03.Muestra'!$D$8:$D$42,ROW('03.Muestra'!$B$8:$B$42)-MIN(ROW('03.Muestra'!$D$8:$D$42))+1,""),ROW()-360)),"")</f>
        <v>1.0</v>
      </c>
      <c r="B386" s="114" t="str" cm="1">
        <f t="array" ref="B386">IFERROR(INDEX('03.Muestra'!$C$8:$C$42,SMALL(IF("Página Web"='03.Muestra'!$D$8:$D$42,ROW('03.Muestra'!$C$8:$C$42)-MIN(ROW('03.Muestra'!$D$8:$D$42))+1,""),ROW()-360)),"")</f>
        <v>Home - PortCastelló</v>
      </c>
      <c r="C386" s="114" t="str" cm="1">
        <f t="array" ref="C386">IFERROR(INDEX('03.Muestra'!$F$8:$F$42,SMALL(IF("Página Web"='03.Muestra'!$D$8:$D$42,ROW('03.Muestra'!$F$8:$F$42)-MIN(ROW('03.Muestra'!$D$8:$D$42))+1,""),ROW()-360)),"")</f>
        <v>https://www.portcastello.com/</v>
      </c>
      <c r="D386" s="130" t="s">
        <v>37</v>
      </c>
      <c r="E386" s="107" t="str">
        <f t="shared" si="18"/>
        <v/>
      </c>
      <c r="F386" s="19"/>
      <c r="G386" s="19"/>
      <c r="H386" s="19"/>
      <c r="I386" s="19"/>
      <c r="J386" s="19"/>
      <c r="K386" s="233"/>
      <c r="L386" s="19"/>
      <c r="M386" s="19"/>
      <c r="N386" s="19"/>
      <c r="O386" s="19"/>
      <c r="P386" s="19"/>
      <c r="Q386" s="19"/>
      <c r="R386" s="19"/>
      <c r="S386" s="19"/>
      <c r="T386" s="19"/>
      <c r="U386" s="19"/>
      <c r="V386" s="19"/>
      <c r="W386" s="19"/>
      <c r="X386" s="19"/>
      <c r="Y386" s="19"/>
    </row>
    <row r="387" spans="1:25" ht="12" customHeight="1">
      <c r="A387" s="219" t="n" cm="1">
        <f t="array" ref="A387">IFERROR(INDEX('03.Muestra'!$B$8:$B$42,SMALL(IF("Página Web"='03.Muestra'!$D$8:$D$42,ROW('03.Muestra'!$B$8:$B$42)-MIN(ROW('03.Muestra'!$D$8:$D$42))+1,""),ROW()-360)),"")</f>
        <v>1.0</v>
      </c>
      <c r="B387" s="114" t="str" cm="1">
        <f t="array" ref="B387">IFERROR(INDEX('03.Muestra'!$C$8:$C$42,SMALL(IF("Página Web"='03.Muestra'!$D$8:$D$42,ROW('03.Muestra'!$C$8:$C$42)-MIN(ROW('03.Muestra'!$D$8:$D$42))+1,""),ROW()-360)),"")</f>
        <v>Home - PortCastelló</v>
      </c>
      <c r="C387" s="114" t="str" cm="1">
        <f t="array" ref="C387">IFERROR(INDEX('03.Muestra'!$F$8:$F$42,SMALL(IF("Página Web"='03.Muestra'!$D$8:$D$42,ROW('03.Muestra'!$F$8:$F$42)-MIN(ROW('03.Muestra'!$D$8:$D$42))+1,""),ROW()-360)),"")</f>
        <v>https://www.portcastello.com/</v>
      </c>
      <c r="D387" s="130" t="s">
        <v>37</v>
      </c>
      <c r="E387" s="107" t="str">
        <f t="shared" si="18"/>
        <v/>
      </c>
      <c r="F387" s="19"/>
      <c r="G387" s="19"/>
      <c r="H387" s="19"/>
      <c r="I387" s="19"/>
      <c r="J387" s="19"/>
      <c r="K387" s="233"/>
      <c r="L387" s="19"/>
      <c r="M387" s="19"/>
      <c r="N387" s="19"/>
      <c r="O387" s="19"/>
      <c r="P387" s="19"/>
      <c r="Q387" s="19"/>
      <c r="R387" s="19"/>
      <c r="S387" s="19"/>
      <c r="T387" s="19"/>
      <c r="U387" s="19"/>
      <c r="V387" s="19"/>
      <c r="W387" s="19"/>
      <c r="X387" s="19"/>
      <c r="Y387" s="19"/>
    </row>
    <row r="388" spans="1:25" ht="12" customHeight="1">
      <c r="A388" s="219" t="n" cm="1">
        <f t="array" ref="A388">IFERROR(INDEX('03.Muestra'!$B$8:$B$42,SMALL(IF("Página Web"='03.Muestra'!$D$8:$D$42,ROW('03.Muestra'!$B$8:$B$42)-MIN(ROW('03.Muestra'!$D$8:$D$42))+1,""),ROW()-360)),"")</f>
        <v>1.0</v>
      </c>
      <c r="B388" s="114" t="str" cm="1">
        <f t="array" ref="B388">IFERROR(INDEX('03.Muestra'!$C$8:$C$42,SMALL(IF("Página Web"='03.Muestra'!$D$8:$D$42,ROW('03.Muestra'!$C$8:$C$42)-MIN(ROW('03.Muestra'!$D$8:$D$42))+1,""),ROW()-360)),"")</f>
        <v>Home - PortCastelló</v>
      </c>
      <c r="C388" s="114" t="str" cm="1">
        <f t="array" ref="C388">IFERROR(INDEX('03.Muestra'!$F$8:$F$42,SMALL(IF("Página Web"='03.Muestra'!$D$8:$D$42,ROW('03.Muestra'!$F$8:$F$42)-MIN(ROW('03.Muestra'!$D$8:$D$42))+1,""),ROW()-360)),"")</f>
        <v>https://www.portcastello.com/</v>
      </c>
      <c r="D388" s="130" t="s">
        <v>37</v>
      </c>
      <c r="E388" s="107" t="str">
        <f t="shared" si="18"/>
        <v/>
      </c>
      <c r="G388" s="19"/>
      <c r="H388" s="19"/>
      <c r="I388" s="19"/>
      <c r="J388" s="19"/>
      <c r="K388" s="233"/>
      <c r="L388" s="19"/>
      <c r="M388" s="19"/>
      <c r="N388" s="19"/>
      <c r="O388" s="19"/>
      <c r="P388" s="19"/>
      <c r="Q388" s="19"/>
      <c r="R388" s="19"/>
      <c r="S388" s="19"/>
      <c r="T388" s="19"/>
      <c r="U388" s="19"/>
      <c r="V388" s="19"/>
      <c r="W388" s="19"/>
      <c r="X388" s="19"/>
      <c r="Y388" s="19"/>
    </row>
    <row r="389" spans="1:25" ht="12" customHeight="1">
      <c r="A389" s="219" t="n" cm="1">
        <f t="array" ref="A389">IFERROR(INDEX('03.Muestra'!$B$8:$B$42,SMALL(IF("Página Web"='03.Muestra'!$D$8:$D$42,ROW('03.Muestra'!$B$8:$B$42)-MIN(ROW('03.Muestra'!$D$8:$D$42))+1,""),ROW()-360)),"")</f>
        <v>1.0</v>
      </c>
      <c r="B389" s="114" t="str" cm="1">
        <f t="array" ref="B389">IFERROR(INDEX('03.Muestra'!$C$8:$C$42,SMALL(IF("Página Web"='03.Muestra'!$D$8:$D$42,ROW('03.Muestra'!$C$8:$C$42)-MIN(ROW('03.Muestra'!$D$8:$D$42))+1,""),ROW()-360)),"")</f>
        <v>Home - PortCastelló</v>
      </c>
      <c r="C389" s="114" t="str" cm="1">
        <f t="array" ref="C389">IFERROR(INDEX('03.Muestra'!$F$8:$F$42,SMALL(IF("Página Web"='03.Muestra'!$D$8:$D$42,ROW('03.Muestra'!$F$8:$F$42)-MIN(ROW('03.Muestra'!$D$8:$D$42))+1,""),ROW()-360)),"")</f>
        <v>https://www.portcastello.com/</v>
      </c>
      <c r="D389" s="130" t="s">
        <v>37</v>
      </c>
      <c r="E389" s="107" t="str">
        <f t="shared" si="18"/>
        <v/>
      </c>
      <c r="F389" s="124"/>
      <c r="G389" s="19"/>
      <c r="H389" s="19"/>
      <c r="I389" s="19"/>
      <c r="J389" s="19"/>
      <c r="K389" s="233"/>
      <c r="L389" s="19"/>
      <c r="M389" s="19"/>
      <c r="N389" s="19"/>
      <c r="O389" s="19"/>
      <c r="P389" s="19"/>
      <c r="Q389" s="19"/>
      <c r="R389" s="19"/>
      <c r="S389" s="19"/>
      <c r="T389" s="19"/>
      <c r="U389" s="19"/>
      <c r="V389" s="19"/>
      <c r="W389" s="19"/>
      <c r="X389" s="19"/>
      <c r="Y389" s="19"/>
    </row>
    <row r="390" spans="1:25" ht="12" customHeight="1">
      <c r="A390" s="219" t="n" cm="1">
        <f t="array" ref="A390">IFERROR(INDEX('03.Muestra'!$B$8:$B$42,SMALL(IF("Página Web"='03.Muestra'!$D$8:$D$42,ROW('03.Muestra'!$B$8:$B$42)-MIN(ROW('03.Muestra'!$D$8:$D$42))+1,""),ROW()-360)),"")</f>
        <v>1.0</v>
      </c>
      <c r="B390" s="114" t="str" cm="1">
        <f t="array" ref="B390">IFERROR(INDEX('03.Muestra'!$C$8:$C$42,SMALL(IF("Página Web"='03.Muestra'!$D$8:$D$42,ROW('03.Muestra'!$C$8:$C$42)-MIN(ROW('03.Muestra'!$D$8:$D$42))+1,""),ROW()-360)),"")</f>
        <v>Home - PortCastelló</v>
      </c>
      <c r="C390" s="114" t="str" cm="1">
        <f t="array" ref="C390">IFERROR(INDEX('03.Muestra'!$F$8:$F$42,SMALL(IF("Página Web"='03.Muestra'!$D$8:$D$42,ROW('03.Muestra'!$F$8:$F$42)-MIN(ROW('03.Muestra'!$D$8:$D$42))+1,""),ROW()-360)),"")</f>
        <v>https://www.portcastello.com/</v>
      </c>
      <c r="D390" s="130" t="s">
        <v>37</v>
      </c>
      <c r="E390" s="107" t="str">
        <f t="shared" si="18"/>
        <v/>
      </c>
      <c r="F390" s="124"/>
      <c r="G390" s="19"/>
      <c r="H390" s="19"/>
      <c r="I390" s="19"/>
      <c r="J390" s="19"/>
      <c r="K390" s="233"/>
      <c r="L390" s="19"/>
      <c r="M390" s="19"/>
      <c r="N390" s="19"/>
      <c r="O390" s="19"/>
      <c r="P390" s="19"/>
      <c r="Q390" s="19"/>
      <c r="R390" s="19"/>
      <c r="S390" s="19"/>
      <c r="T390" s="19"/>
      <c r="U390" s="19"/>
      <c r="V390" s="19"/>
      <c r="W390" s="19"/>
      <c r="X390" s="19"/>
      <c r="Y390" s="19"/>
    </row>
    <row r="391" spans="1:25" ht="12" customHeight="1">
      <c r="A391" s="219" t="n" cm="1">
        <f t="array" ref="A391">IFERROR(INDEX('03.Muestra'!$B$8:$B$42,SMALL(IF("Página Web"='03.Muestra'!$D$8:$D$42,ROW('03.Muestra'!$B$8:$B$42)-MIN(ROW('03.Muestra'!$D$8:$D$42))+1,""),ROW()-360)),"")</f>
        <v>1.0</v>
      </c>
      <c r="B391" s="114" t="str" cm="1">
        <f t="array" ref="B391">IFERROR(INDEX('03.Muestra'!$C$8:$C$42,SMALL(IF("Página Web"='03.Muestra'!$D$8:$D$42,ROW('03.Muestra'!$C$8:$C$42)-MIN(ROW('03.Muestra'!$D$8:$D$42))+1,""),ROW()-360)),"")</f>
        <v>Home - PortCastelló</v>
      </c>
      <c r="C391" s="114" t="str" cm="1">
        <f t="array" ref="C391">IFERROR(INDEX('03.Muestra'!$F$8:$F$42,SMALL(IF("Página Web"='03.Muestra'!$D$8:$D$42,ROW('03.Muestra'!$F$8:$F$42)-MIN(ROW('03.Muestra'!$D$8:$D$42))+1,""),ROW()-360)),"")</f>
        <v>https://www.portcastello.com/</v>
      </c>
      <c r="D391" s="130" t="s">
        <v>37</v>
      </c>
      <c r="E391" s="107" t="str">
        <f t="shared" si="18"/>
        <v/>
      </c>
      <c r="F391" s="124"/>
      <c r="G391" s="19"/>
      <c r="H391" s="19"/>
      <c r="I391" s="19"/>
      <c r="J391" s="19"/>
      <c r="K391" s="233"/>
      <c r="L391" s="19"/>
      <c r="M391" s="19"/>
      <c r="N391" s="19"/>
      <c r="O391" s="19"/>
      <c r="P391" s="19"/>
      <c r="Q391" s="19"/>
      <c r="R391" s="19"/>
      <c r="S391" s="19"/>
      <c r="T391" s="19"/>
      <c r="U391" s="19"/>
      <c r="V391" s="19"/>
      <c r="W391" s="19"/>
      <c r="X391" s="19"/>
      <c r="Y391" s="19"/>
    </row>
    <row r="392" spans="1:25" ht="12" customHeight="1">
      <c r="A392" s="219" t="n" cm="1">
        <f t="array" ref="A392">IFERROR(INDEX('03.Muestra'!$B$8:$B$42,SMALL(IF("Página Web"='03.Muestra'!$D$8:$D$42,ROW('03.Muestra'!$B$8:$B$42)-MIN(ROW('03.Muestra'!$D$8:$D$42))+1,""),ROW()-360)),"")</f>
        <v>1.0</v>
      </c>
      <c r="B392" s="114" t="str" cm="1">
        <f t="array" ref="B392">IFERROR(INDEX('03.Muestra'!$C$8:$C$42,SMALL(IF("Página Web"='03.Muestra'!$D$8:$D$42,ROW('03.Muestra'!$C$8:$C$42)-MIN(ROW('03.Muestra'!$D$8:$D$42))+1,""),ROW()-360)),"")</f>
        <v>Home - PortCastelló</v>
      </c>
      <c r="C392" s="114" t="str" cm="1">
        <f t="array" ref="C392">IFERROR(INDEX('03.Muestra'!$F$8:$F$42,SMALL(IF("Página Web"='03.Muestra'!$D$8:$D$42,ROW('03.Muestra'!$F$8:$F$42)-MIN(ROW('03.Muestra'!$D$8:$D$42))+1,""),ROW()-360)),"")</f>
        <v>https://www.portcastello.com/</v>
      </c>
      <c r="D392" s="130" t="s">
        <v>37</v>
      </c>
      <c r="E392" s="107" t="str">
        <f t="shared" si="18"/>
        <v/>
      </c>
      <c r="F392" s="124"/>
      <c r="G392" s="19"/>
      <c r="H392" s="19"/>
      <c r="I392" s="19"/>
      <c r="J392" s="19"/>
      <c r="K392" s="233"/>
      <c r="L392" s="19"/>
      <c r="M392" s="19"/>
      <c r="N392" s="19"/>
      <c r="O392" s="19"/>
      <c r="P392" s="19"/>
      <c r="Q392" s="19"/>
      <c r="R392" s="19"/>
      <c r="S392" s="19"/>
      <c r="T392" s="19"/>
      <c r="U392" s="19"/>
      <c r="V392" s="19"/>
      <c r="W392" s="19"/>
      <c r="X392" s="19"/>
      <c r="Y392" s="19"/>
    </row>
    <row r="393" spans="1:25" ht="12" customHeight="1">
      <c r="A393" s="219" t="n" cm="1">
        <f t="array" ref="A393">IFERROR(INDEX('03.Muestra'!$B$8:$B$42,SMALL(IF("Página Web"='03.Muestra'!$D$8:$D$42,ROW('03.Muestra'!$B$8:$B$42)-MIN(ROW('03.Muestra'!$D$8:$D$42))+1,""),ROW()-360)),"")</f>
        <v>1.0</v>
      </c>
      <c r="B393" s="114" t="str" cm="1">
        <f t="array" ref="B393">IFERROR(INDEX('03.Muestra'!$C$8:$C$42,SMALL(IF("Página Web"='03.Muestra'!$D$8:$D$42,ROW('03.Muestra'!$C$8:$C$42)-MIN(ROW('03.Muestra'!$D$8:$D$42))+1,""),ROW()-360)),"")</f>
        <v>Home - PortCastelló</v>
      </c>
      <c r="C393" s="114" t="str" cm="1">
        <f t="array" ref="C393">IFERROR(INDEX('03.Muestra'!$F$8:$F$42,SMALL(IF("Página Web"='03.Muestra'!$D$8:$D$42,ROW('03.Muestra'!$F$8:$F$42)-MIN(ROW('03.Muestra'!$D$8:$D$42))+1,""),ROW()-360)),"")</f>
        <v>https://www.portcastello.com/</v>
      </c>
      <c r="D393" s="130" t="s">
        <v>37</v>
      </c>
      <c r="E393" s="107" t="str">
        <f t="shared" si="18"/>
        <v/>
      </c>
      <c r="F393" s="124"/>
      <c r="G393" s="19"/>
      <c r="H393" s="19"/>
      <c r="I393" s="19"/>
      <c r="J393" s="19"/>
      <c r="K393" s="233"/>
      <c r="L393" s="19"/>
      <c r="M393" s="19"/>
      <c r="N393" s="19"/>
      <c r="O393" s="19"/>
      <c r="P393" s="19"/>
      <c r="Q393" s="19"/>
      <c r="R393" s="19"/>
      <c r="S393" s="19"/>
      <c r="T393" s="19"/>
      <c r="U393" s="19"/>
      <c r="V393" s="19"/>
      <c r="W393" s="19"/>
      <c r="X393" s="19"/>
      <c r="Y393" s="19"/>
    </row>
    <row r="394" spans="1:25" ht="12" customHeight="1">
      <c r="A394" s="219" t="str" cm="1">
        <f t="array" ref="A394">IFERROR(INDEX('03.Muestra'!$B$8:$B$42,SMALL(IF("Página Web"='03.Muestra'!$D$8:$D$42,ROW('03.Muestra'!$B$8:$B$42)-MIN(ROW('03.Muestra'!$D$8:$D$42))+1,""),ROW()-360)),"")</f>
        <v/>
      </c>
      <c r="B394" s="114" t="str" cm="1">
        <f t="array" ref="B394">IFERROR(INDEX('03.Muestra'!$C$8:$C$42,SMALL(IF("Página Web"='03.Muestra'!$D$8:$D$42,ROW('03.Muestra'!$C$8:$C$42)-MIN(ROW('03.Muestra'!$D$8:$D$42))+1,""),ROW()-360)),"")</f>
        <v/>
      </c>
      <c r="C394" s="114" t="str" cm="1">
        <f t="array" ref="C394">IFERROR(INDEX('03.Muestra'!$F$8:$F$42,SMALL(IF("Página Web"='03.Muestra'!$D$8:$D$42,ROW('03.Muestra'!$F$8:$F$42)-MIN(ROW('03.Muestra'!$D$8:$D$42))+1,""),ROW()-360)),"")</f>
        <v/>
      </c>
      <c r="D394" s="130" t="str">
        <f t="shared" si="19" ref="D394:D395">IF(AND(B394&lt;&gt;"",C394&lt;&gt;""),"N/T","")</f>
        <v/>
      </c>
      <c r="E394" s="107" t="str">
        <f t="shared" si="18"/>
        <v/>
      </c>
      <c r="F394" s="124"/>
      <c r="G394" s="19"/>
      <c r="H394" s="19"/>
      <c r="I394" s="19"/>
      <c r="J394" s="19"/>
      <c r="K394" s="233"/>
      <c r="L394" s="19"/>
      <c r="M394" s="19"/>
      <c r="N394" s="19"/>
      <c r="O394" s="19"/>
      <c r="P394" s="19"/>
      <c r="Q394" s="19"/>
      <c r="R394" s="19"/>
      <c r="S394" s="19"/>
      <c r="T394" s="19"/>
      <c r="U394" s="19"/>
      <c r="V394" s="19"/>
      <c r="W394" s="19"/>
      <c r="X394" s="19"/>
      <c r="Y394" s="19"/>
    </row>
    <row r="395" spans="1:25" ht="12" customHeight="1">
      <c r="A395" s="219" t="str" cm="1">
        <f t="array" ref="A395">IFERROR(INDEX('03.Muestra'!$B$8:$B$42,SMALL(IF("Página Web"='03.Muestra'!$D$8:$D$42,ROW('03.Muestra'!$B$8:$B$42)-MIN(ROW('03.Muestra'!$D$8:$D$42))+1,""),ROW()-360)),"")</f>
        <v/>
      </c>
      <c r="B395" s="114" t="str" cm="1">
        <f t="array" ref="B395">IFERROR(INDEX('03.Muestra'!$C$8:$C$42,SMALL(IF("Página Web"='03.Muestra'!$D$8:$D$42,ROW('03.Muestra'!$C$8:$C$42)-MIN(ROW('03.Muestra'!$D$8:$D$42))+1,""),ROW()-360)),"")</f>
        <v/>
      </c>
      <c r="C395" s="114" t="str" cm="1">
        <f t="array" ref="C395">IFERROR(INDEX('03.Muestra'!$F$8:$F$42,SMALL(IF("Página Web"='03.Muestra'!$D$8:$D$42,ROW('03.Muestra'!$F$8:$F$42)-MIN(ROW('03.Muestra'!$D$8:$D$42))+1,""),ROW()-360)),"")</f>
        <v/>
      </c>
      <c r="D395" s="130" t="str">
        <f t="shared" si="19"/>
        <v/>
      </c>
      <c r="E395" s="107" t="str">
        <f t="shared" si="18"/>
        <v/>
      </c>
      <c r="F395" s="19"/>
      <c r="G395" s="19"/>
      <c r="H395" s="19"/>
      <c r="I395" s="19"/>
      <c r="J395" s="19"/>
      <c r="K395" s="233"/>
      <c r="L395" s="19"/>
      <c r="M395" s="19"/>
      <c r="N395" s="19"/>
      <c r="O395" s="19"/>
      <c r="P395" s="19"/>
      <c r="Q395" s="19"/>
      <c r="R395" s="19"/>
      <c r="S395" s="19"/>
      <c r="T395" s="19"/>
      <c r="U395" s="19"/>
      <c r="V395" s="19"/>
      <c r="W395" s="19"/>
      <c r="X395" s="19"/>
      <c r="Y395" s="19"/>
    </row>
    <row r="396" spans="1:25" ht="12" customHeight="1">
      <c r="B396" s="19"/>
      <c r="C396" s="19"/>
      <c r="D396" s="107"/>
      <c r="E396" s="107"/>
      <c r="F396" s="19"/>
      <c r="G396" s="19"/>
      <c r="H396" s="19"/>
      <c r="I396" s="19"/>
      <c r="J396" s="19"/>
      <c r="K396" s="233"/>
      <c r="L396" s="19"/>
      <c r="M396" s="19"/>
      <c r="N396" s="19"/>
      <c r="O396" s="19"/>
      <c r="P396" s="19"/>
      <c r="Q396" s="19"/>
      <c r="R396" s="19"/>
      <c r="S396" s="19"/>
      <c r="T396" s="19"/>
      <c r="U396" s="19"/>
      <c r="V396" s="19"/>
      <c r="W396" s="19"/>
      <c r="X396" s="19"/>
      <c r="Y396" s="19"/>
    </row>
    <row r="397" spans="1:25" ht="12" customHeight="1">
      <c r="B397" s="19"/>
      <c r="C397" s="19"/>
      <c r="D397" s="107"/>
      <c r="E397" s="112"/>
      <c r="F397" s="19"/>
      <c r="G397" s="19"/>
      <c r="H397" s="19"/>
      <c r="I397" s="19"/>
      <c r="J397" s="19"/>
      <c r="K397" s="233"/>
      <c r="L397" s="19"/>
      <c r="M397" s="19"/>
      <c r="N397" s="19"/>
      <c r="O397" s="19"/>
      <c r="P397" s="19"/>
      <c r="Q397" s="19"/>
      <c r="R397" s="19"/>
      <c r="S397" s="19"/>
      <c r="T397" s="19"/>
      <c r="U397" s="19"/>
      <c r="V397" s="19"/>
      <c r="W397" s="19"/>
      <c r="X397" s="19"/>
      <c r="Y397" s="19"/>
    </row>
    <row r="398" spans="1:25" ht="29.25" customHeight="1">
      <c r="A398" s="218" t="s">
        <v>268</v>
      </c>
      <c r="B398" s="24" t="s">
        <v>90</v>
      </c>
      <c r="C398" s="25" t="s">
        <v>383</v>
      </c>
      <c r="D398" s="26" t="s">
        <v>32</v>
      </c>
      <c r="E398" s="123"/>
      <c r="K398" s="233"/>
      <c r="L398" s="19"/>
      <c r="M398" s="19"/>
      <c r="N398" s="19"/>
      <c r="O398" s="19"/>
      <c r="P398" s="19"/>
      <c r="Q398" s="19"/>
      <c r="R398" s="19"/>
      <c r="S398" s="19"/>
      <c r="T398" s="19"/>
      <c r="U398" s="19"/>
      <c r="V398" s="19"/>
      <c r="W398" s="19"/>
      <c r="X398" s="19"/>
      <c r="Y398" s="19"/>
    </row>
    <row r="399" spans="1:25" ht="12" customHeight="1">
      <c r="A399" s="219" t="n" cm="1">
        <f t="array" ref="A399">IFERROR(INDEX('03.Muestra'!$B$8:$B$42,SMALL(IF("Página Web"='03.Muestra'!$D$8:$D$42,ROW('03.Muestra'!$B$8:$B$42)-MIN(ROW('03.Muestra'!$D$8:$D$42))+1,""),ROW()-398)),"")</f>
        <v>1.0</v>
      </c>
      <c r="B399" s="114" t="str" cm="1">
        <f t="array" ref="B399">IFERROR(INDEX('03.Muestra'!$C$8:$C$42,SMALL(IF("Página Web"='03.Muestra'!$D$8:$D$42,ROW('03.Muestra'!$C$8:$C$42)-MIN(ROW('03.Muestra'!$D$8:$D$42))+1,""),ROW()-398)),"")</f>
        <v>Home - PortCastelló</v>
      </c>
      <c r="C399" s="114" t="str" cm="1">
        <f t="array" ref="C399">IFERROR(INDEX('03.Muestra'!$F$8:$F$42,SMALL(IF("Página Web"='03.Muestra'!$D$8:$D$42,ROW('03.Muestra'!$F$8:$F$42)-MIN(ROW('03.Muestra'!$D$8:$D$42))+1,""),ROW()-398)),"")</f>
        <v>https://www.portcastello.com/</v>
      </c>
      <c r="D399" s="130" t="str">
        <f>IF(AND(B399&lt;&gt;"",C399&lt;&gt;""),"N/T","")</f>
        <v>N/T</v>
      </c>
      <c r="E399" s="107" t="str">
        <f t="shared" ref="E399:E433" si="20">IF(D399&lt;&gt;"",IF(AND(B399&lt;&gt;"",C399&lt;&gt;""),"","ERR"),"")</f>
        <v/>
      </c>
      <c r="F399" s="115" t="s">
        <v>33</v>
      </c>
      <c r="G399" s="116" t="s">
        <v>37</v>
      </c>
      <c r="H399" s="117" t="s">
        <v>35</v>
      </c>
      <c r="I399" s="118" t="s">
        <v>28</v>
      </c>
      <c r="J399" s="119" t="s">
        <v>26</v>
      </c>
      <c r="K399" s="226" t="s">
        <v>474</v>
      </c>
      <c r="L399" s="19"/>
      <c r="M399" s="19"/>
      <c r="N399" s="19"/>
      <c r="O399" s="19"/>
      <c r="P399" s="19"/>
      <c r="Q399" s="19"/>
      <c r="R399" s="19"/>
      <c r="S399" s="19"/>
      <c r="T399" s="19"/>
      <c r="U399" s="19"/>
      <c r="V399" s="19"/>
      <c r="W399" s="19"/>
      <c r="X399" s="19"/>
      <c r="Y399" s="19"/>
    </row>
    <row r="400" spans="1:25" ht="12" customHeight="1">
      <c r="A400" s="219" t="n" cm="1">
        <f t="array" ref="A400">IFERROR(INDEX('03.Muestra'!$B$8:$B$42,SMALL(IF("Página Web"='03.Muestra'!$D$8:$D$42,ROW('03.Muestra'!$B$8:$B$42)-MIN(ROW('03.Muestra'!$D$8:$D$42))+1,""),ROW()-398)),"")</f>
        <v>1.0</v>
      </c>
      <c r="B400" s="114" t="str" cm="1">
        <f t="array" ref="B400">IFERROR(INDEX('03.Muestra'!$C$8:$C$42,SMALL(IF("Página Web"='03.Muestra'!$D$8:$D$42,ROW('03.Muestra'!$C$8:$C$42)-MIN(ROW('03.Muestra'!$D$8:$D$42))+1,""),ROW()-398)),"")</f>
        <v>Home - PortCastelló</v>
      </c>
      <c r="C400" s="114" t="str" cm="1">
        <f t="array" ref="C400">IFERROR(INDEX('03.Muestra'!$F$8:$F$42,SMALL(IF("Página Web"='03.Muestra'!$D$8:$D$42,ROW('03.Muestra'!$F$8:$F$42)-MIN(ROW('03.Muestra'!$D$8:$D$42))+1,""),ROW()-398)),"")</f>
        <v>https://www.portcastello.com/</v>
      </c>
      <c r="D400" s="130" t="str">
        <f t="shared" ref="D400:D433" si="21">IF(AND(B400&lt;&gt;"",C400&lt;&gt;""),"N/T","")</f>
        <v>N/T</v>
      </c>
      <c r="E400" s="107" t="str">
        <f t="shared" si="20"/>
        <v/>
      </c>
      <c r="F400" s="120" t="n">
        <f ca="1">COUNTIF($D399:INDIRECT("$D" &amp;  SUM(ROW()-1,'03.Muestra'!$D$45)-1),F399)</f>
        <v>33.0</v>
      </c>
      <c r="G400" s="120" t="n">
        <f ca="1">COUNTIF($D399:INDIRECT("$D" &amp;  SUM(ROW()-1,'03.Muestra'!$D$45)-1),G399)</f>
        <v>0.0</v>
      </c>
      <c r="H400" s="120" t="n">
        <f ca="1">COUNTIF($D399:INDIRECT("$D" &amp;  SUM(ROW()-1,'03.Muestra'!$D$45)-1),H399)</f>
        <v>0.0</v>
      </c>
      <c r="I400" s="120" t="n">
        <f ca="1">COUNTIF($D399:INDIRECT("$D" &amp;  SUM(ROW()-1,'03.Muestra'!$D$45)-1),I399)</f>
        <v>0.0</v>
      </c>
      <c r="J400" s="120" t="n">
        <f ca="1">COUNTIF($D399:INDIRECT("$D" &amp;  SUM(ROW()-1,'03.Muestra'!$D$45)-1),J399)</f>
        <v>0.0</v>
      </c>
      <c r="K400" s="227" t="n">
        <f ca="1">IF(COUNTIF('03.Muestra'!$D$8:$D$42,"Página Web")=0,0,COUNTBLANK($D399:INDIRECT("$D" &amp;  SUM(ROW()-1,COUNTIF('03.Muestra'!$D$8:$D$42,"Página Web"))-1)))</f>
        <v>0.0</v>
      </c>
      <c r="L400" s="19"/>
      <c r="M400" s="19"/>
      <c r="N400" s="19"/>
      <c r="O400" s="19"/>
      <c r="P400" s="19"/>
      <c r="Q400" s="19"/>
      <c r="R400" s="19"/>
      <c r="S400" s="19"/>
      <c r="T400" s="19"/>
      <c r="U400" s="19"/>
      <c r="V400" s="19"/>
      <c r="W400" s="19"/>
      <c r="X400" s="19"/>
      <c r="Y400" s="19"/>
    </row>
    <row r="401" spans="1:25" ht="12" customHeight="1">
      <c r="A401" s="219" t="n" cm="1">
        <f t="array" ref="A401">IFERROR(INDEX('03.Muestra'!$B$8:$B$42,SMALL(IF("Página Web"='03.Muestra'!$D$8:$D$42,ROW('03.Muestra'!$B$8:$B$42)-MIN(ROW('03.Muestra'!$D$8:$D$42))+1,""),ROW()-398)),"")</f>
        <v>1.0</v>
      </c>
      <c r="B401" s="114" t="str" cm="1">
        <f t="array" ref="B401">IFERROR(INDEX('03.Muestra'!$C$8:$C$42,SMALL(IF("Página Web"='03.Muestra'!$D$8:$D$42,ROW('03.Muestra'!$C$8:$C$42)-MIN(ROW('03.Muestra'!$D$8:$D$42))+1,""),ROW()-398)),"")</f>
        <v>Home - PortCastelló</v>
      </c>
      <c r="C401" s="114" t="str" cm="1">
        <f t="array" ref="C401">IFERROR(INDEX('03.Muestra'!$F$8:$F$42,SMALL(IF("Página Web"='03.Muestra'!$D$8:$D$42,ROW('03.Muestra'!$F$8:$F$42)-MIN(ROW('03.Muestra'!$D$8:$D$42))+1,""),ROW()-398)),"")</f>
        <v>https://www.portcastello.com/</v>
      </c>
      <c r="D401" s="130" t="str">
        <f t="shared" si="21"/>
        <v>N/T</v>
      </c>
      <c r="E401" s="107" t="str">
        <f t="shared" si="20"/>
        <v/>
      </c>
      <c r="G401" s="19"/>
      <c r="H401" s="19"/>
      <c r="I401" s="19"/>
      <c r="J401" s="19"/>
      <c r="K401" s="233"/>
      <c r="L401" s="19"/>
      <c r="M401" s="19"/>
      <c r="N401" s="19"/>
      <c r="O401" s="19"/>
      <c r="P401" s="19"/>
      <c r="Q401" s="19"/>
      <c r="R401" s="19"/>
      <c r="S401" s="19"/>
      <c r="T401" s="19"/>
      <c r="U401" s="19"/>
      <c r="V401" s="19"/>
      <c r="W401" s="19"/>
      <c r="X401" s="19"/>
      <c r="Y401" s="19"/>
    </row>
    <row r="402" spans="1:25" ht="12" customHeight="1">
      <c r="A402" s="219" t="n" cm="1">
        <f t="array" ref="A402">IFERROR(INDEX('03.Muestra'!$B$8:$B$42,SMALL(IF("Página Web"='03.Muestra'!$D$8:$D$42,ROW('03.Muestra'!$B$8:$B$42)-MIN(ROW('03.Muestra'!$D$8:$D$42))+1,""),ROW()-398)),"")</f>
        <v>1.0</v>
      </c>
      <c r="B402" s="114" t="str" cm="1">
        <f t="array" ref="B402">IFERROR(INDEX('03.Muestra'!$C$8:$C$42,SMALL(IF("Página Web"='03.Muestra'!$D$8:$D$42,ROW('03.Muestra'!$C$8:$C$42)-MIN(ROW('03.Muestra'!$D$8:$D$42))+1,""),ROW()-398)),"")</f>
        <v>Home - PortCastelló</v>
      </c>
      <c r="C402" s="114" t="str" cm="1">
        <f t="array" ref="C402">IFERROR(INDEX('03.Muestra'!$F$8:$F$42,SMALL(IF("Página Web"='03.Muestra'!$D$8:$D$42,ROW('03.Muestra'!$F$8:$F$42)-MIN(ROW('03.Muestra'!$D$8:$D$42))+1,""),ROW()-398)),"")</f>
        <v>https://www.portcastello.com/</v>
      </c>
      <c r="D402" s="130" t="str">
        <f t="shared" si="21"/>
        <v>N/T</v>
      </c>
      <c r="E402" s="107" t="str">
        <f t="shared" si="20"/>
        <v/>
      </c>
      <c r="G402" s="19"/>
      <c r="H402" s="19"/>
      <c r="I402" s="19"/>
      <c r="J402" s="19"/>
      <c r="K402" s="233"/>
      <c r="L402" s="19"/>
      <c r="M402" s="19"/>
      <c r="N402" s="19"/>
      <c r="O402" s="19"/>
      <c r="P402" s="19"/>
      <c r="Q402" s="19"/>
      <c r="R402" s="19"/>
      <c r="S402" s="19"/>
      <c r="T402" s="19"/>
      <c r="U402" s="19"/>
      <c r="V402" s="19"/>
      <c r="W402" s="19"/>
      <c r="X402" s="19"/>
      <c r="Y402" s="19"/>
    </row>
    <row r="403" spans="1:25" ht="12" customHeight="1">
      <c r="A403" s="219" t="n" cm="1">
        <f t="array" ref="A403">IFERROR(INDEX('03.Muestra'!$B$8:$B$42,SMALL(IF("Página Web"='03.Muestra'!$D$8:$D$42,ROW('03.Muestra'!$B$8:$B$42)-MIN(ROW('03.Muestra'!$D$8:$D$42))+1,""),ROW()-398)),"")</f>
        <v>1.0</v>
      </c>
      <c r="B403" s="114" t="str" cm="1">
        <f t="array" ref="B403">IFERROR(INDEX('03.Muestra'!$C$8:$C$42,SMALL(IF("Página Web"='03.Muestra'!$D$8:$D$42,ROW('03.Muestra'!$C$8:$C$42)-MIN(ROW('03.Muestra'!$D$8:$D$42))+1,""),ROW()-398)),"")</f>
        <v>Home - PortCastelló</v>
      </c>
      <c r="C403" s="114" t="str" cm="1">
        <f t="array" ref="C403">IFERROR(INDEX('03.Muestra'!$F$8:$F$42,SMALL(IF("Página Web"='03.Muestra'!$D$8:$D$42,ROW('03.Muestra'!$F$8:$F$42)-MIN(ROW('03.Muestra'!$D$8:$D$42))+1,""),ROW()-398)),"")</f>
        <v>https://www.portcastello.com/</v>
      </c>
      <c r="D403" s="130" t="str">
        <f t="shared" si="21"/>
        <v>N/T</v>
      </c>
      <c r="E403" s="107" t="str">
        <f t="shared" si="20"/>
        <v/>
      </c>
      <c r="G403" s="19"/>
      <c r="H403" s="19"/>
      <c r="I403" s="19"/>
      <c r="J403" s="19"/>
      <c r="K403" s="233"/>
      <c r="L403" s="19"/>
      <c r="M403" s="19"/>
      <c r="N403" s="19"/>
      <c r="O403" s="19"/>
      <c r="P403" s="19"/>
      <c r="Q403" s="19"/>
      <c r="R403" s="19"/>
      <c r="S403" s="19"/>
      <c r="T403" s="19"/>
      <c r="U403" s="19"/>
      <c r="V403" s="19"/>
      <c r="W403" s="19"/>
      <c r="X403" s="19"/>
      <c r="Y403" s="19"/>
    </row>
    <row r="404" spans="1:25" ht="12" customHeight="1">
      <c r="A404" s="219" t="n" cm="1">
        <f t="array" ref="A404">IFERROR(INDEX('03.Muestra'!$B$8:$B$42,SMALL(IF("Página Web"='03.Muestra'!$D$8:$D$42,ROW('03.Muestra'!$B$8:$B$42)-MIN(ROW('03.Muestra'!$D$8:$D$42))+1,""),ROW()-398)),"")</f>
        <v>1.0</v>
      </c>
      <c r="B404" s="114" t="str" cm="1">
        <f t="array" ref="B404">IFERROR(INDEX('03.Muestra'!$C$8:$C$42,SMALL(IF("Página Web"='03.Muestra'!$D$8:$D$42,ROW('03.Muestra'!$C$8:$C$42)-MIN(ROW('03.Muestra'!$D$8:$D$42))+1,""),ROW()-398)),"")</f>
        <v>Home - PortCastelló</v>
      </c>
      <c r="C404" s="114" t="str" cm="1">
        <f t="array" ref="C404">IFERROR(INDEX('03.Muestra'!$F$8:$F$42,SMALL(IF("Página Web"='03.Muestra'!$D$8:$D$42,ROW('03.Muestra'!$F$8:$F$42)-MIN(ROW('03.Muestra'!$D$8:$D$42))+1,""),ROW()-398)),"")</f>
        <v>https://www.portcastello.com/</v>
      </c>
      <c r="D404" s="130" t="str">
        <f t="shared" si="21"/>
        <v>N/T</v>
      </c>
      <c r="E404" s="107" t="str">
        <f t="shared" si="20"/>
        <v/>
      </c>
      <c r="G404" s="19"/>
      <c r="H404" s="19"/>
      <c r="I404" s="19"/>
      <c r="J404" s="19"/>
      <c r="K404" s="233"/>
      <c r="L404" s="19"/>
      <c r="M404" s="19"/>
      <c r="N404" s="19"/>
      <c r="O404" s="19"/>
      <c r="P404" s="19"/>
      <c r="Q404" s="19"/>
      <c r="R404" s="19"/>
      <c r="S404" s="19"/>
      <c r="T404" s="19"/>
      <c r="U404" s="19"/>
      <c r="V404" s="19"/>
      <c r="W404" s="19"/>
      <c r="X404" s="19"/>
      <c r="Y404" s="19"/>
    </row>
    <row r="405" spans="1:25" ht="12" customHeight="1">
      <c r="A405" s="219" t="n" cm="1">
        <f t="array" ref="A405">IFERROR(INDEX('03.Muestra'!$B$8:$B$42,SMALL(IF("Página Web"='03.Muestra'!$D$8:$D$42,ROW('03.Muestra'!$B$8:$B$42)-MIN(ROW('03.Muestra'!$D$8:$D$42))+1,""),ROW()-398)),"")</f>
        <v>1.0</v>
      </c>
      <c r="B405" s="114" t="str" cm="1">
        <f t="array" ref="B405">IFERROR(INDEX('03.Muestra'!$C$8:$C$42,SMALL(IF("Página Web"='03.Muestra'!$D$8:$D$42,ROW('03.Muestra'!$C$8:$C$42)-MIN(ROW('03.Muestra'!$D$8:$D$42))+1,""),ROW()-398)),"")</f>
        <v>Home - PortCastelló</v>
      </c>
      <c r="C405" s="114" t="str" cm="1">
        <f t="array" ref="C405">IFERROR(INDEX('03.Muestra'!$F$8:$F$42,SMALL(IF("Página Web"='03.Muestra'!$D$8:$D$42,ROW('03.Muestra'!$F$8:$F$42)-MIN(ROW('03.Muestra'!$D$8:$D$42))+1,""),ROW()-398)),"")</f>
        <v>https://www.portcastello.com/</v>
      </c>
      <c r="D405" s="130" t="str">
        <f t="shared" si="21"/>
        <v>N/T</v>
      </c>
      <c r="E405" s="107" t="str">
        <f t="shared" si="20"/>
        <v/>
      </c>
      <c r="F405" s="19"/>
      <c r="G405" s="19"/>
      <c r="H405" s="19"/>
      <c r="I405" s="19"/>
      <c r="J405" s="19"/>
      <c r="K405" s="233"/>
      <c r="L405" s="19"/>
      <c r="M405" s="19"/>
      <c r="N405" s="19"/>
      <c r="O405" s="19"/>
      <c r="P405" s="19"/>
      <c r="Q405" s="19"/>
      <c r="R405" s="19"/>
      <c r="S405" s="19"/>
      <c r="T405" s="19"/>
      <c r="U405" s="19"/>
      <c r="V405" s="19"/>
      <c r="W405" s="19"/>
      <c r="X405" s="19"/>
      <c r="Y405" s="19"/>
    </row>
    <row r="406" spans="1:25" ht="12" customHeight="1">
      <c r="A406" s="219" t="n" cm="1">
        <f t="array" ref="A406">IFERROR(INDEX('03.Muestra'!$B$8:$B$42,SMALL(IF("Página Web"='03.Muestra'!$D$8:$D$42,ROW('03.Muestra'!$B$8:$B$42)-MIN(ROW('03.Muestra'!$D$8:$D$42))+1,""),ROW()-398)),"")</f>
        <v>1.0</v>
      </c>
      <c r="B406" s="114" t="str" cm="1">
        <f t="array" ref="B406">IFERROR(INDEX('03.Muestra'!$C$8:$C$42,SMALL(IF("Página Web"='03.Muestra'!$D$8:$D$42,ROW('03.Muestra'!$C$8:$C$42)-MIN(ROW('03.Muestra'!$D$8:$D$42))+1,""),ROW()-398)),"")</f>
        <v>Home - PortCastelló</v>
      </c>
      <c r="C406" s="114" t="str" cm="1">
        <f t="array" ref="C406">IFERROR(INDEX('03.Muestra'!$F$8:$F$42,SMALL(IF("Página Web"='03.Muestra'!$D$8:$D$42,ROW('03.Muestra'!$F$8:$F$42)-MIN(ROW('03.Muestra'!$D$8:$D$42))+1,""),ROW()-398)),"")</f>
        <v>https://www.portcastello.com/</v>
      </c>
      <c r="D406" s="130" t="str">
        <f t="shared" si="21"/>
        <v>N/T</v>
      </c>
      <c r="E406" s="107" t="str">
        <f t="shared" si="20"/>
        <v/>
      </c>
      <c r="F406" s="19"/>
      <c r="G406" s="19"/>
      <c r="H406" s="19"/>
      <c r="I406" s="19"/>
      <c r="J406" s="19"/>
      <c r="K406" s="233"/>
      <c r="L406" s="19"/>
      <c r="M406" s="19"/>
      <c r="N406" s="19"/>
      <c r="O406" s="19"/>
      <c r="P406" s="19"/>
      <c r="Q406" s="19"/>
      <c r="R406" s="19"/>
      <c r="S406" s="19"/>
      <c r="T406" s="19"/>
      <c r="U406" s="19"/>
      <c r="V406" s="19"/>
      <c r="W406" s="19"/>
      <c r="X406" s="19"/>
      <c r="Y406" s="19"/>
    </row>
    <row r="407" spans="1:25" ht="12" customHeight="1">
      <c r="A407" s="219" t="n" cm="1">
        <f t="array" ref="A407">IFERROR(INDEX('03.Muestra'!$B$8:$B$42,SMALL(IF("Página Web"='03.Muestra'!$D$8:$D$42,ROW('03.Muestra'!$B$8:$B$42)-MIN(ROW('03.Muestra'!$D$8:$D$42))+1,""),ROW()-398)),"")</f>
        <v>1.0</v>
      </c>
      <c r="B407" s="114" t="str" cm="1">
        <f t="array" ref="B407">IFERROR(INDEX('03.Muestra'!$C$8:$C$42,SMALL(IF("Página Web"='03.Muestra'!$D$8:$D$42,ROW('03.Muestra'!$C$8:$C$42)-MIN(ROW('03.Muestra'!$D$8:$D$42))+1,""),ROW()-398)),"")</f>
        <v>Home - PortCastelló</v>
      </c>
      <c r="C407" s="114" t="str" cm="1">
        <f t="array" ref="C407">IFERROR(INDEX('03.Muestra'!$F$8:$F$42,SMALL(IF("Página Web"='03.Muestra'!$D$8:$D$42,ROW('03.Muestra'!$F$8:$F$42)-MIN(ROW('03.Muestra'!$D$8:$D$42))+1,""),ROW()-398)),"")</f>
        <v>https://www.portcastello.com/</v>
      </c>
      <c r="D407" s="130" t="str">
        <f t="shared" si="21"/>
        <v>N/T</v>
      </c>
      <c r="E407" s="107" t="str">
        <f t="shared" si="20"/>
        <v/>
      </c>
      <c r="F407" s="19"/>
      <c r="G407" s="19"/>
      <c r="H407" s="19"/>
      <c r="I407" s="19"/>
      <c r="J407" s="19"/>
      <c r="K407" s="233"/>
      <c r="L407" s="19"/>
      <c r="M407" s="19"/>
      <c r="N407" s="19"/>
      <c r="O407" s="19"/>
      <c r="P407" s="19"/>
      <c r="Q407" s="19"/>
      <c r="R407" s="19"/>
      <c r="S407" s="19"/>
      <c r="T407" s="19"/>
      <c r="U407" s="19"/>
      <c r="V407" s="19"/>
      <c r="W407" s="19"/>
      <c r="X407" s="19"/>
      <c r="Y407" s="19"/>
    </row>
    <row r="408" spans="1:25" ht="12" customHeight="1">
      <c r="A408" s="219" t="n" cm="1">
        <f t="array" ref="A408">IFERROR(INDEX('03.Muestra'!$B$8:$B$42,SMALL(IF("Página Web"='03.Muestra'!$D$8:$D$42,ROW('03.Muestra'!$B$8:$B$42)-MIN(ROW('03.Muestra'!$D$8:$D$42))+1,""),ROW()-398)),"")</f>
        <v>1.0</v>
      </c>
      <c r="B408" s="114" t="str" cm="1">
        <f t="array" ref="B408">IFERROR(INDEX('03.Muestra'!$C$8:$C$42,SMALL(IF("Página Web"='03.Muestra'!$D$8:$D$42,ROW('03.Muestra'!$C$8:$C$42)-MIN(ROW('03.Muestra'!$D$8:$D$42))+1,""),ROW()-398)),"")</f>
        <v>Home - PortCastelló</v>
      </c>
      <c r="C408" s="114" t="str" cm="1">
        <f t="array" ref="C408">IFERROR(INDEX('03.Muestra'!$F$8:$F$42,SMALL(IF("Página Web"='03.Muestra'!$D$8:$D$42,ROW('03.Muestra'!$F$8:$F$42)-MIN(ROW('03.Muestra'!$D$8:$D$42))+1,""),ROW()-398)),"")</f>
        <v>https://www.portcastello.com/</v>
      </c>
      <c r="D408" s="130" t="str">
        <f t="shared" si="21"/>
        <v>N/T</v>
      </c>
      <c r="E408" s="107" t="str">
        <f t="shared" si="20"/>
        <v/>
      </c>
      <c r="F408" s="19"/>
      <c r="G408" s="19"/>
      <c r="H408" s="19"/>
      <c r="I408" s="19"/>
      <c r="J408" s="19"/>
      <c r="K408" s="233"/>
      <c r="L408" s="19"/>
      <c r="M408" s="19"/>
      <c r="N408" s="19"/>
      <c r="O408" s="19"/>
      <c r="P408" s="19"/>
      <c r="Q408" s="19"/>
      <c r="R408" s="19"/>
      <c r="S408" s="19"/>
      <c r="T408" s="19"/>
      <c r="U408" s="19"/>
      <c r="V408" s="19"/>
      <c r="W408" s="19"/>
      <c r="X408" s="19"/>
      <c r="Y408" s="19"/>
    </row>
    <row r="409" spans="1:25" ht="12" customHeight="1">
      <c r="A409" s="219" t="n" cm="1">
        <f t="array" ref="A409">IFERROR(INDEX('03.Muestra'!$B$8:$B$42,SMALL(IF("Página Web"='03.Muestra'!$D$8:$D$42,ROW('03.Muestra'!$B$8:$B$42)-MIN(ROW('03.Muestra'!$D$8:$D$42))+1,""),ROW()-398)),"")</f>
        <v>1.0</v>
      </c>
      <c r="B409" s="114" t="str" cm="1">
        <f t="array" ref="B409">IFERROR(INDEX('03.Muestra'!$C$8:$C$42,SMALL(IF("Página Web"='03.Muestra'!$D$8:$D$42,ROW('03.Muestra'!$C$8:$C$42)-MIN(ROW('03.Muestra'!$D$8:$D$42))+1,""),ROW()-398)),"")</f>
        <v>Home - PortCastelló</v>
      </c>
      <c r="C409" s="114" t="str" cm="1">
        <f t="array" ref="C409">IFERROR(INDEX('03.Muestra'!$F$8:$F$42,SMALL(IF("Página Web"='03.Muestra'!$D$8:$D$42,ROW('03.Muestra'!$F$8:$F$42)-MIN(ROW('03.Muestra'!$D$8:$D$42))+1,""),ROW()-398)),"")</f>
        <v>https://www.portcastello.com/</v>
      </c>
      <c r="D409" s="130" t="str">
        <f t="shared" si="21"/>
        <v>N/T</v>
      </c>
      <c r="E409" s="107" t="str">
        <f t="shared" si="20"/>
        <v/>
      </c>
      <c r="F409" s="19"/>
      <c r="G409" s="19"/>
      <c r="H409" s="19"/>
      <c r="I409" s="19"/>
      <c r="J409" s="19"/>
      <c r="K409" s="233"/>
      <c r="L409" s="19"/>
      <c r="M409" s="19"/>
      <c r="N409" s="19"/>
      <c r="O409" s="19"/>
      <c r="P409" s="19"/>
      <c r="Q409" s="19"/>
      <c r="R409" s="19"/>
      <c r="S409" s="19"/>
      <c r="T409" s="19"/>
      <c r="U409" s="19"/>
      <c r="V409" s="19"/>
      <c r="W409" s="19"/>
      <c r="X409" s="19"/>
      <c r="Y409" s="19"/>
    </row>
    <row r="410" spans="1:25" ht="12" customHeight="1">
      <c r="A410" s="219" t="n" cm="1">
        <f t="array" ref="A410">IFERROR(INDEX('03.Muestra'!$B$8:$B$42,SMALL(IF("Página Web"='03.Muestra'!$D$8:$D$42,ROW('03.Muestra'!$B$8:$B$42)-MIN(ROW('03.Muestra'!$D$8:$D$42))+1,""),ROW()-398)),"")</f>
        <v>1.0</v>
      </c>
      <c r="B410" s="114" t="str" cm="1">
        <f t="array" ref="B410">IFERROR(INDEX('03.Muestra'!$C$8:$C$42,SMALL(IF("Página Web"='03.Muestra'!$D$8:$D$42,ROW('03.Muestra'!$C$8:$C$42)-MIN(ROW('03.Muestra'!$D$8:$D$42))+1,""),ROW()-398)),"")</f>
        <v>Home - PortCastelló</v>
      </c>
      <c r="C410" s="114" t="str" cm="1">
        <f t="array" ref="C410">IFERROR(INDEX('03.Muestra'!$F$8:$F$42,SMALL(IF("Página Web"='03.Muestra'!$D$8:$D$42,ROW('03.Muestra'!$F$8:$F$42)-MIN(ROW('03.Muestra'!$D$8:$D$42))+1,""),ROW()-398)),"")</f>
        <v>https://www.portcastello.com/</v>
      </c>
      <c r="D410" s="130" t="str">
        <f t="shared" si="21"/>
        <v>N/T</v>
      </c>
      <c r="E410" s="107" t="str">
        <f t="shared" si="20"/>
        <v/>
      </c>
      <c r="F410" s="19"/>
      <c r="G410" s="19"/>
      <c r="H410" s="19"/>
      <c r="I410" s="19"/>
      <c r="J410" s="19"/>
      <c r="K410" s="233"/>
      <c r="L410" s="19"/>
      <c r="M410" s="19"/>
      <c r="N410" s="19"/>
      <c r="O410" s="19"/>
      <c r="P410" s="19"/>
      <c r="Q410" s="19"/>
      <c r="R410" s="19"/>
      <c r="S410" s="19"/>
      <c r="T410" s="19"/>
      <c r="U410" s="19"/>
      <c r="V410" s="19"/>
      <c r="W410" s="19"/>
      <c r="X410" s="19"/>
      <c r="Y410" s="19"/>
    </row>
    <row r="411" spans="1:25" ht="12" customHeight="1">
      <c r="A411" s="219" t="n" cm="1">
        <f t="array" ref="A411">IFERROR(INDEX('03.Muestra'!$B$8:$B$42,SMALL(IF("Página Web"='03.Muestra'!$D$8:$D$42,ROW('03.Muestra'!$B$8:$B$42)-MIN(ROW('03.Muestra'!$D$8:$D$42))+1,""),ROW()-398)),"")</f>
        <v>1.0</v>
      </c>
      <c r="B411" s="114" t="str" cm="1">
        <f t="array" ref="B411">IFERROR(INDEX('03.Muestra'!$C$8:$C$42,SMALL(IF("Página Web"='03.Muestra'!$D$8:$D$42,ROW('03.Muestra'!$C$8:$C$42)-MIN(ROW('03.Muestra'!$D$8:$D$42))+1,""),ROW()-398)),"")</f>
        <v>Home - PortCastelló</v>
      </c>
      <c r="C411" s="114" t="str" cm="1">
        <f t="array" ref="C411">IFERROR(INDEX('03.Muestra'!$F$8:$F$42,SMALL(IF("Página Web"='03.Muestra'!$D$8:$D$42,ROW('03.Muestra'!$F$8:$F$42)-MIN(ROW('03.Muestra'!$D$8:$D$42))+1,""),ROW()-398)),"")</f>
        <v>https://www.portcastello.com/</v>
      </c>
      <c r="D411" s="130" t="str">
        <f t="shared" si="21"/>
        <v>N/T</v>
      </c>
      <c r="E411" s="107" t="str">
        <f t="shared" si="20"/>
        <v/>
      </c>
      <c r="F411" s="19"/>
      <c r="G411" s="19"/>
      <c r="H411" s="19"/>
      <c r="I411" s="19"/>
      <c r="J411" s="19"/>
      <c r="K411" s="233"/>
      <c r="L411" s="19"/>
      <c r="M411" s="19"/>
      <c r="N411" s="19"/>
      <c r="O411" s="19"/>
      <c r="P411" s="19"/>
      <c r="Q411" s="19"/>
      <c r="R411" s="19"/>
      <c r="S411" s="19"/>
      <c r="T411" s="19"/>
      <c r="U411" s="19"/>
      <c r="V411" s="19"/>
      <c r="W411" s="19"/>
      <c r="X411" s="19"/>
      <c r="Y411" s="19"/>
    </row>
    <row r="412" spans="1:25" ht="12" customHeight="1">
      <c r="A412" s="219" t="n" cm="1">
        <f t="array" ref="A412">IFERROR(INDEX('03.Muestra'!$B$8:$B$42,SMALL(IF("Página Web"='03.Muestra'!$D$8:$D$42,ROW('03.Muestra'!$B$8:$B$42)-MIN(ROW('03.Muestra'!$D$8:$D$42))+1,""),ROW()-398)),"")</f>
        <v>1.0</v>
      </c>
      <c r="B412" s="114" t="str" cm="1">
        <f t="array" ref="B412">IFERROR(INDEX('03.Muestra'!$C$8:$C$42,SMALL(IF("Página Web"='03.Muestra'!$D$8:$D$42,ROW('03.Muestra'!$C$8:$C$42)-MIN(ROW('03.Muestra'!$D$8:$D$42))+1,""),ROW()-398)),"")</f>
        <v>Home - PortCastelló</v>
      </c>
      <c r="C412" s="114" t="str" cm="1">
        <f t="array" ref="C412">IFERROR(INDEX('03.Muestra'!$F$8:$F$42,SMALL(IF("Página Web"='03.Muestra'!$D$8:$D$42,ROW('03.Muestra'!$F$8:$F$42)-MIN(ROW('03.Muestra'!$D$8:$D$42))+1,""),ROW()-398)),"")</f>
        <v>https://www.portcastello.com/</v>
      </c>
      <c r="D412" s="130" t="str">
        <f t="shared" si="21"/>
        <v>N/T</v>
      </c>
      <c r="E412" s="107" t="str">
        <f t="shared" si="20"/>
        <v/>
      </c>
      <c r="F412" s="19"/>
      <c r="G412" s="19"/>
      <c r="H412" s="19"/>
      <c r="I412" s="19"/>
      <c r="J412" s="19"/>
      <c r="K412" s="233"/>
      <c r="L412" s="19"/>
      <c r="M412" s="19"/>
      <c r="N412" s="19"/>
      <c r="O412" s="19"/>
      <c r="P412" s="19"/>
      <c r="Q412" s="19"/>
      <c r="R412" s="19"/>
      <c r="S412" s="19"/>
      <c r="T412" s="19"/>
      <c r="U412" s="19"/>
      <c r="V412" s="19"/>
      <c r="W412" s="19"/>
      <c r="X412" s="19"/>
      <c r="Y412" s="19"/>
    </row>
    <row r="413" spans="1:25" ht="12" customHeight="1">
      <c r="A413" s="219" t="n" cm="1">
        <f t="array" ref="A413">IFERROR(INDEX('03.Muestra'!$B$8:$B$42,SMALL(IF("Página Web"='03.Muestra'!$D$8:$D$42,ROW('03.Muestra'!$B$8:$B$42)-MIN(ROW('03.Muestra'!$D$8:$D$42))+1,""),ROW()-398)),"")</f>
        <v>1.0</v>
      </c>
      <c r="B413" s="114" t="str" cm="1">
        <f t="array" ref="B413">IFERROR(INDEX('03.Muestra'!$C$8:$C$42,SMALL(IF("Página Web"='03.Muestra'!$D$8:$D$42,ROW('03.Muestra'!$C$8:$C$42)-MIN(ROW('03.Muestra'!$D$8:$D$42))+1,""),ROW()-398)),"")</f>
        <v>Home - PortCastelló</v>
      </c>
      <c r="C413" s="114" t="str" cm="1">
        <f t="array" ref="C413">IFERROR(INDEX('03.Muestra'!$F$8:$F$42,SMALL(IF("Página Web"='03.Muestra'!$D$8:$D$42,ROW('03.Muestra'!$F$8:$F$42)-MIN(ROW('03.Muestra'!$D$8:$D$42))+1,""),ROW()-398)),"")</f>
        <v>https://www.portcastello.com/</v>
      </c>
      <c r="D413" s="130" t="str">
        <f t="shared" si="21"/>
        <v>N/T</v>
      </c>
      <c r="E413" s="107" t="str">
        <f t="shared" si="20"/>
        <v/>
      </c>
      <c r="F413" s="19"/>
      <c r="G413" s="19"/>
      <c r="H413" s="19"/>
      <c r="I413" s="19"/>
      <c r="J413" s="19"/>
      <c r="K413" s="233"/>
      <c r="L413" s="19"/>
      <c r="M413" s="19"/>
      <c r="N413" s="19"/>
      <c r="O413" s="19"/>
      <c r="P413" s="19"/>
      <c r="Q413" s="19"/>
      <c r="R413" s="19"/>
      <c r="S413" s="19"/>
      <c r="T413" s="19"/>
      <c r="U413" s="19"/>
      <c r="V413" s="19"/>
      <c r="W413" s="19"/>
      <c r="X413" s="19"/>
      <c r="Y413" s="19"/>
    </row>
    <row r="414" spans="1:25" ht="12" customHeight="1">
      <c r="A414" s="219" t="n" cm="1">
        <f t="array" ref="A414">IFERROR(INDEX('03.Muestra'!$B$8:$B$42,SMALL(IF("Página Web"='03.Muestra'!$D$8:$D$42,ROW('03.Muestra'!$B$8:$B$42)-MIN(ROW('03.Muestra'!$D$8:$D$42))+1,""),ROW()-398)),"")</f>
        <v>1.0</v>
      </c>
      <c r="B414" s="114" t="str" cm="1">
        <f t="array" ref="B414">IFERROR(INDEX('03.Muestra'!$C$8:$C$42,SMALL(IF("Página Web"='03.Muestra'!$D$8:$D$42,ROW('03.Muestra'!$C$8:$C$42)-MIN(ROW('03.Muestra'!$D$8:$D$42))+1,""),ROW()-398)),"")</f>
        <v>Home - PortCastelló</v>
      </c>
      <c r="C414" s="114" t="str" cm="1">
        <f t="array" ref="C414">IFERROR(INDEX('03.Muestra'!$F$8:$F$42,SMALL(IF("Página Web"='03.Muestra'!$D$8:$D$42,ROW('03.Muestra'!$F$8:$F$42)-MIN(ROW('03.Muestra'!$D$8:$D$42))+1,""),ROW()-398)),"")</f>
        <v>https://www.portcastello.com/</v>
      </c>
      <c r="D414" s="130" t="str">
        <f t="shared" si="21"/>
        <v>N/T</v>
      </c>
      <c r="E414" s="107" t="str">
        <f t="shared" si="20"/>
        <v/>
      </c>
      <c r="F414" s="19"/>
      <c r="G414" s="19"/>
      <c r="H414" s="19"/>
      <c r="I414" s="19"/>
      <c r="J414" s="19"/>
      <c r="K414" s="233"/>
      <c r="L414" s="19"/>
      <c r="M414" s="19"/>
      <c r="N414" s="19"/>
      <c r="O414" s="19"/>
      <c r="P414" s="19"/>
      <c r="Q414" s="19"/>
      <c r="R414" s="19"/>
      <c r="S414" s="19"/>
      <c r="T414" s="19"/>
      <c r="U414" s="19"/>
      <c r="V414" s="19"/>
      <c r="W414" s="19"/>
      <c r="X414" s="19"/>
      <c r="Y414" s="19"/>
    </row>
    <row r="415" spans="1:25" ht="12" customHeight="1">
      <c r="A415" s="219" t="n" cm="1">
        <f t="array" ref="A415">IFERROR(INDEX('03.Muestra'!$B$8:$B$42,SMALL(IF("Página Web"='03.Muestra'!$D$8:$D$42,ROW('03.Muestra'!$B$8:$B$42)-MIN(ROW('03.Muestra'!$D$8:$D$42))+1,""),ROW()-398)),"")</f>
        <v>1.0</v>
      </c>
      <c r="B415" s="114" t="str" cm="1">
        <f t="array" ref="B415">IFERROR(INDEX('03.Muestra'!$C$8:$C$42,SMALL(IF("Página Web"='03.Muestra'!$D$8:$D$42,ROW('03.Muestra'!$C$8:$C$42)-MIN(ROW('03.Muestra'!$D$8:$D$42))+1,""),ROW()-398)),"")</f>
        <v>Home - PortCastelló</v>
      </c>
      <c r="C415" s="114" t="str" cm="1">
        <f t="array" ref="C415">IFERROR(INDEX('03.Muestra'!$F$8:$F$42,SMALL(IF("Página Web"='03.Muestra'!$D$8:$D$42,ROW('03.Muestra'!$F$8:$F$42)-MIN(ROW('03.Muestra'!$D$8:$D$42))+1,""),ROW()-398)),"")</f>
        <v>https://www.portcastello.com/</v>
      </c>
      <c r="D415" s="130" t="str">
        <f t="shared" si="21"/>
        <v>N/T</v>
      </c>
      <c r="E415" s="107" t="str">
        <f t="shared" si="20"/>
        <v/>
      </c>
      <c r="F415" s="19"/>
      <c r="G415" s="19"/>
      <c r="H415" s="19"/>
      <c r="I415" s="19"/>
      <c r="J415" s="19"/>
      <c r="K415" s="233"/>
      <c r="L415" s="19"/>
      <c r="M415" s="19"/>
      <c r="N415" s="19"/>
      <c r="O415" s="19"/>
      <c r="P415" s="19"/>
      <c r="Q415" s="19"/>
      <c r="R415" s="19"/>
      <c r="S415" s="19"/>
      <c r="T415" s="19"/>
      <c r="U415" s="19"/>
      <c r="V415" s="19"/>
      <c r="W415" s="19"/>
      <c r="X415" s="19"/>
      <c r="Y415" s="19"/>
    </row>
    <row r="416" spans="1:25" ht="12" customHeight="1">
      <c r="A416" s="219" t="n" cm="1">
        <f t="array" ref="A416">IFERROR(INDEX('03.Muestra'!$B$8:$B$42,SMALL(IF("Página Web"='03.Muestra'!$D$8:$D$42,ROW('03.Muestra'!$B$8:$B$42)-MIN(ROW('03.Muestra'!$D$8:$D$42))+1,""),ROW()-398)),"")</f>
        <v>1.0</v>
      </c>
      <c r="B416" s="114" t="str" cm="1">
        <f t="array" ref="B416">IFERROR(INDEX('03.Muestra'!$C$8:$C$42,SMALL(IF("Página Web"='03.Muestra'!$D$8:$D$42,ROW('03.Muestra'!$C$8:$C$42)-MIN(ROW('03.Muestra'!$D$8:$D$42))+1,""),ROW()-398)),"")</f>
        <v>Home - PortCastelló</v>
      </c>
      <c r="C416" s="114" t="str" cm="1">
        <f t="array" ref="C416">IFERROR(INDEX('03.Muestra'!$F$8:$F$42,SMALL(IF("Página Web"='03.Muestra'!$D$8:$D$42,ROW('03.Muestra'!$F$8:$F$42)-MIN(ROW('03.Muestra'!$D$8:$D$42))+1,""),ROW()-398)),"")</f>
        <v>https://www.portcastello.com/</v>
      </c>
      <c r="D416" s="130" t="str">
        <f t="shared" si="21"/>
        <v>N/T</v>
      </c>
      <c r="E416" s="107" t="str">
        <f t="shared" si="20"/>
        <v/>
      </c>
      <c r="F416" s="19"/>
      <c r="G416" s="19"/>
      <c r="H416" s="19"/>
      <c r="I416" s="19"/>
      <c r="J416" s="19"/>
      <c r="K416" s="233"/>
      <c r="L416" s="19"/>
      <c r="M416" s="19"/>
      <c r="N416" s="19"/>
      <c r="O416" s="19"/>
      <c r="P416" s="19"/>
      <c r="Q416" s="19"/>
      <c r="R416" s="19"/>
      <c r="S416" s="19"/>
      <c r="T416" s="19"/>
      <c r="U416" s="19"/>
      <c r="V416" s="19"/>
      <c r="W416" s="19"/>
      <c r="X416" s="19"/>
      <c r="Y416" s="19"/>
    </row>
    <row r="417" spans="1:25" ht="12" customHeight="1">
      <c r="A417" s="219" t="n" cm="1">
        <f t="array" ref="A417">IFERROR(INDEX('03.Muestra'!$B$8:$B$42,SMALL(IF("Página Web"='03.Muestra'!$D$8:$D$42,ROW('03.Muestra'!$B$8:$B$42)-MIN(ROW('03.Muestra'!$D$8:$D$42))+1,""),ROW()-398)),"")</f>
        <v>1.0</v>
      </c>
      <c r="B417" s="114" t="str" cm="1">
        <f t="array" ref="B417">IFERROR(INDEX('03.Muestra'!$C$8:$C$42,SMALL(IF("Página Web"='03.Muestra'!$D$8:$D$42,ROW('03.Muestra'!$C$8:$C$42)-MIN(ROW('03.Muestra'!$D$8:$D$42))+1,""),ROW()-398)),"")</f>
        <v>Home - PortCastelló</v>
      </c>
      <c r="C417" s="114" t="str" cm="1">
        <f t="array" ref="C417">IFERROR(INDEX('03.Muestra'!$F$8:$F$42,SMALL(IF("Página Web"='03.Muestra'!$D$8:$D$42,ROW('03.Muestra'!$F$8:$F$42)-MIN(ROW('03.Muestra'!$D$8:$D$42))+1,""),ROW()-398)),"")</f>
        <v>https://www.portcastello.com/</v>
      </c>
      <c r="D417" s="130" t="str">
        <f t="shared" si="21"/>
        <v>N/T</v>
      </c>
      <c r="E417" s="107" t="str">
        <f t="shared" si="20"/>
        <v/>
      </c>
      <c r="F417" s="19"/>
      <c r="G417" s="19"/>
      <c r="H417" s="19"/>
      <c r="I417" s="19"/>
      <c r="J417" s="19"/>
      <c r="K417" s="233"/>
      <c r="L417" s="19"/>
      <c r="M417" s="19"/>
      <c r="N417" s="19"/>
      <c r="O417" s="19"/>
      <c r="P417" s="19"/>
      <c r="Q417" s="19"/>
      <c r="R417" s="19"/>
      <c r="S417" s="19"/>
      <c r="T417" s="19"/>
      <c r="U417" s="19"/>
      <c r="V417" s="19"/>
      <c r="W417" s="19"/>
      <c r="X417" s="19"/>
      <c r="Y417" s="19"/>
    </row>
    <row r="418" spans="1:25" ht="12" customHeight="1">
      <c r="A418" s="219" t="n" cm="1">
        <f t="array" ref="A418">IFERROR(INDEX('03.Muestra'!$B$8:$B$42,SMALL(IF("Página Web"='03.Muestra'!$D$8:$D$42,ROW('03.Muestra'!$B$8:$B$42)-MIN(ROW('03.Muestra'!$D$8:$D$42))+1,""),ROW()-398)),"")</f>
        <v>1.0</v>
      </c>
      <c r="B418" s="114" t="str" cm="1">
        <f t="array" ref="B418">IFERROR(INDEX('03.Muestra'!$C$8:$C$42,SMALL(IF("Página Web"='03.Muestra'!$D$8:$D$42,ROW('03.Muestra'!$C$8:$C$42)-MIN(ROW('03.Muestra'!$D$8:$D$42))+1,""),ROW()-398)),"")</f>
        <v>Home - PortCastelló</v>
      </c>
      <c r="C418" s="114" t="str" cm="1">
        <f t="array" ref="C418">IFERROR(INDEX('03.Muestra'!$F$8:$F$42,SMALL(IF("Página Web"='03.Muestra'!$D$8:$D$42,ROW('03.Muestra'!$F$8:$F$42)-MIN(ROW('03.Muestra'!$D$8:$D$42))+1,""),ROW()-398)),"")</f>
        <v>https://www.portcastello.com/</v>
      </c>
      <c r="D418" s="130" t="str">
        <f t="shared" si="21"/>
        <v>N/T</v>
      </c>
      <c r="E418" s="107" t="str">
        <f t="shared" si="20"/>
        <v/>
      </c>
      <c r="F418" s="19"/>
      <c r="G418" s="19"/>
      <c r="H418" s="19"/>
      <c r="I418" s="19"/>
      <c r="J418" s="19"/>
      <c r="K418" s="233"/>
      <c r="L418" s="19"/>
      <c r="M418" s="19"/>
      <c r="N418" s="19"/>
      <c r="O418" s="19"/>
      <c r="P418" s="19"/>
      <c r="Q418" s="19"/>
      <c r="R418" s="19"/>
      <c r="S418" s="19"/>
      <c r="T418" s="19"/>
      <c r="U418" s="19"/>
      <c r="V418" s="19"/>
      <c r="W418" s="19"/>
      <c r="X418" s="19"/>
      <c r="Y418" s="19"/>
    </row>
    <row r="419" spans="1:25" ht="12" customHeight="1">
      <c r="A419" s="219" t="n" cm="1">
        <f t="array" ref="A419">IFERROR(INDEX('03.Muestra'!$B$8:$B$42,SMALL(IF("Página Web"='03.Muestra'!$D$8:$D$42,ROW('03.Muestra'!$B$8:$B$42)-MIN(ROW('03.Muestra'!$D$8:$D$42))+1,""),ROW()-398)),"")</f>
        <v>1.0</v>
      </c>
      <c r="B419" s="114" t="str" cm="1">
        <f t="array" ref="B419">IFERROR(INDEX('03.Muestra'!$C$8:$C$42,SMALL(IF("Página Web"='03.Muestra'!$D$8:$D$42,ROW('03.Muestra'!$C$8:$C$42)-MIN(ROW('03.Muestra'!$D$8:$D$42))+1,""),ROW()-398)),"")</f>
        <v>Home - PortCastelló</v>
      </c>
      <c r="C419" s="114" t="str" cm="1">
        <f t="array" ref="C419">IFERROR(INDEX('03.Muestra'!$F$8:$F$42,SMALL(IF("Página Web"='03.Muestra'!$D$8:$D$42,ROW('03.Muestra'!$F$8:$F$42)-MIN(ROW('03.Muestra'!$D$8:$D$42))+1,""),ROW()-398)),"")</f>
        <v>https://www.portcastello.com/</v>
      </c>
      <c r="D419" s="130" t="str">
        <f t="shared" si="21"/>
        <v>N/T</v>
      </c>
      <c r="E419" s="107" t="str">
        <f t="shared" si="20"/>
        <v/>
      </c>
      <c r="F419" s="19"/>
      <c r="G419" s="19"/>
      <c r="H419" s="19"/>
      <c r="I419" s="19"/>
      <c r="J419" s="19"/>
      <c r="K419" s="233"/>
      <c r="L419" s="19"/>
      <c r="M419" s="19"/>
      <c r="N419" s="19"/>
      <c r="O419" s="19"/>
      <c r="P419" s="19"/>
      <c r="Q419" s="19"/>
      <c r="R419" s="19"/>
      <c r="S419" s="19"/>
      <c r="T419" s="19"/>
      <c r="U419" s="19"/>
      <c r="V419" s="19"/>
      <c r="W419" s="19"/>
      <c r="X419" s="19"/>
      <c r="Y419" s="19"/>
    </row>
    <row r="420" spans="1:25" ht="12" customHeight="1">
      <c r="A420" s="219" t="n" cm="1">
        <f t="array" ref="A420">IFERROR(INDEX('03.Muestra'!$B$8:$B$42,SMALL(IF("Página Web"='03.Muestra'!$D$8:$D$42,ROW('03.Muestra'!$B$8:$B$42)-MIN(ROW('03.Muestra'!$D$8:$D$42))+1,""),ROW()-398)),"")</f>
        <v>1.0</v>
      </c>
      <c r="B420" s="114" t="str" cm="1">
        <f t="array" ref="B420">IFERROR(INDEX('03.Muestra'!$C$8:$C$42,SMALL(IF("Página Web"='03.Muestra'!$D$8:$D$42,ROW('03.Muestra'!$C$8:$C$42)-MIN(ROW('03.Muestra'!$D$8:$D$42))+1,""),ROW()-398)),"")</f>
        <v>Home - PortCastelló</v>
      </c>
      <c r="C420" s="114" t="str" cm="1">
        <f t="array" ref="C420">IFERROR(INDEX('03.Muestra'!$F$8:$F$42,SMALL(IF("Página Web"='03.Muestra'!$D$8:$D$42,ROW('03.Muestra'!$F$8:$F$42)-MIN(ROW('03.Muestra'!$D$8:$D$42))+1,""),ROW()-398)),"")</f>
        <v>https://www.portcastello.com/</v>
      </c>
      <c r="D420" s="130" t="str">
        <f t="shared" si="21"/>
        <v>N/T</v>
      </c>
      <c r="E420" s="107" t="str">
        <f t="shared" si="20"/>
        <v/>
      </c>
      <c r="F420" s="19"/>
      <c r="G420" s="19"/>
      <c r="H420" s="19"/>
      <c r="I420" s="19"/>
      <c r="J420" s="19"/>
      <c r="K420" s="233"/>
      <c r="L420" s="19"/>
      <c r="M420" s="19"/>
      <c r="N420" s="19"/>
      <c r="O420" s="19"/>
      <c r="P420" s="19"/>
      <c r="Q420" s="19"/>
      <c r="R420" s="19"/>
      <c r="S420" s="19"/>
      <c r="T420" s="19"/>
      <c r="U420" s="19"/>
      <c r="V420" s="19"/>
      <c r="W420" s="19"/>
      <c r="X420" s="19"/>
      <c r="Y420" s="19"/>
    </row>
    <row r="421" spans="1:25" ht="12" customHeight="1">
      <c r="A421" s="219" t="n" cm="1">
        <f t="array" ref="A421">IFERROR(INDEX('03.Muestra'!$B$8:$B$42,SMALL(IF("Página Web"='03.Muestra'!$D$8:$D$42,ROW('03.Muestra'!$B$8:$B$42)-MIN(ROW('03.Muestra'!$D$8:$D$42))+1,""),ROW()-398)),"")</f>
        <v>1.0</v>
      </c>
      <c r="B421" s="114" t="str" cm="1">
        <f t="array" ref="B421">IFERROR(INDEX('03.Muestra'!$C$8:$C$42,SMALL(IF("Página Web"='03.Muestra'!$D$8:$D$42,ROW('03.Muestra'!$C$8:$C$42)-MIN(ROW('03.Muestra'!$D$8:$D$42))+1,""),ROW()-398)),"")</f>
        <v>Home - PortCastelló</v>
      </c>
      <c r="C421" s="114" t="str" cm="1">
        <f t="array" ref="C421">IFERROR(INDEX('03.Muestra'!$F$8:$F$42,SMALL(IF("Página Web"='03.Muestra'!$D$8:$D$42,ROW('03.Muestra'!$F$8:$F$42)-MIN(ROW('03.Muestra'!$D$8:$D$42))+1,""),ROW()-398)),"")</f>
        <v>https://www.portcastello.com/</v>
      </c>
      <c r="D421" s="130" t="str">
        <f t="shared" si="21"/>
        <v>N/T</v>
      </c>
      <c r="E421" s="107" t="str">
        <f t="shared" si="20"/>
        <v/>
      </c>
      <c r="F421" s="19"/>
      <c r="G421" s="19"/>
      <c r="H421" s="19"/>
      <c r="I421" s="19"/>
      <c r="J421" s="19"/>
      <c r="K421" s="233"/>
      <c r="L421" s="19"/>
      <c r="M421" s="19"/>
      <c r="N421" s="19"/>
      <c r="O421" s="19"/>
      <c r="P421" s="19"/>
      <c r="Q421" s="19"/>
      <c r="R421" s="19"/>
      <c r="S421" s="19"/>
      <c r="T421" s="19"/>
      <c r="U421" s="19"/>
      <c r="V421" s="19"/>
      <c r="W421" s="19"/>
      <c r="X421" s="19"/>
      <c r="Y421" s="19"/>
    </row>
    <row r="422" spans="1:25" ht="12" customHeight="1">
      <c r="A422" s="219" t="n" cm="1">
        <f t="array" ref="A422">IFERROR(INDEX('03.Muestra'!$B$8:$B$42,SMALL(IF("Página Web"='03.Muestra'!$D$8:$D$42,ROW('03.Muestra'!$B$8:$B$42)-MIN(ROW('03.Muestra'!$D$8:$D$42))+1,""),ROW()-398)),"")</f>
        <v>1.0</v>
      </c>
      <c r="B422" s="114" t="str" cm="1">
        <f t="array" ref="B422">IFERROR(INDEX('03.Muestra'!$C$8:$C$42,SMALL(IF("Página Web"='03.Muestra'!$D$8:$D$42,ROW('03.Muestra'!$C$8:$C$42)-MIN(ROW('03.Muestra'!$D$8:$D$42))+1,""),ROW()-398)),"")</f>
        <v>Home - PortCastelló</v>
      </c>
      <c r="C422" s="114" t="str" cm="1">
        <f t="array" ref="C422">IFERROR(INDEX('03.Muestra'!$F$8:$F$42,SMALL(IF("Página Web"='03.Muestra'!$D$8:$D$42,ROW('03.Muestra'!$F$8:$F$42)-MIN(ROW('03.Muestra'!$D$8:$D$42))+1,""),ROW()-398)),"")</f>
        <v>https://www.portcastello.com/</v>
      </c>
      <c r="D422" s="130" t="str">
        <f t="shared" si="21"/>
        <v>N/T</v>
      </c>
      <c r="E422" s="107" t="str">
        <f t="shared" si="20"/>
        <v/>
      </c>
      <c r="F422" s="19"/>
      <c r="G422" s="19"/>
      <c r="H422" s="19"/>
      <c r="I422" s="19"/>
      <c r="J422" s="19"/>
      <c r="K422" s="233"/>
      <c r="L422" s="19"/>
      <c r="M422" s="19"/>
      <c r="N422" s="19"/>
      <c r="O422" s="19"/>
      <c r="P422" s="19"/>
      <c r="Q422" s="19"/>
      <c r="R422" s="19"/>
      <c r="S422" s="19"/>
      <c r="T422" s="19"/>
      <c r="U422" s="19"/>
      <c r="V422" s="19"/>
      <c r="W422" s="19"/>
      <c r="X422" s="19"/>
      <c r="Y422" s="19"/>
    </row>
    <row r="423" spans="1:25" ht="12" customHeight="1">
      <c r="A423" s="219" t="n" cm="1">
        <f t="array" ref="A423">IFERROR(INDEX('03.Muestra'!$B$8:$B$42,SMALL(IF("Página Web"='03.Muestra'!$D$8:$D$42,ROW('03.Muestra'!$B$8:$B$42)-MIN(ROW('03.Muestra'!$D$8:$D$42))+1,""),ROW()-398)),"")</f>
        <v>1.0</v>
      </c>
      <c r="B423" s="114" t="str" cm="1">
        <f t="array" ref="B423">IFERROR(INDEX('03.Muestra'!$C$8:$C$42,SMALL(IF("Página Web"='03.Muestra'!$D$8:$D$42,ROW('03.Muestra'!$C$8:$C$42)-MIN(ROW('03.Muestra'!$D$8:$D$42))+1,""),ROW()-398)),"")</f>
        <v>Home - PortCastelló</v>
      </c>
      <c r="C423" s="114" t="str" cm="1">
        <f t="array" ref="C423">IFERROR(INDEX('03.Muestra'!$F$8:$F$42,SMALL(IF("Página Web"='03.Muestra'!$D$8:$D$42,ROW('03.Muestra'!$F$8:$F$42)-MIN(ROW('03.Muestra'!$D$8:$D$42))+1,""),ROW()-398)),"")</f>
        <v>https://www.portcastello.com/</v>
      </c>
      <c r="D423" s="130" t="str">
        <f t="shared" si="21"/>
        <v>N/T</v>
      </c>
      <c r="E423" s="107" t="str">
        <f t="shared" si="20"/>
        <v/>
      </c>
      <c r="F423" s="19"/>
      <c r="G423" s="19"/>
      <c r="H423" s="19"/>
      <c r="I423" s="19"/>
      <c r="J423" s="19"/>
      <c r="K423" s="233"/>
      <c r="L423" s="19"/>
      <c r="M423" s="19"/>
      <c r="N423" s="19"/>
      <c r="O423" s="19"/>
      <c r="P423" s="19"/>
      <c r="Q423" s="19"/>
      <c r="R423" s="19"/>
      <c r="S423" s="19"/>
      <c r="T423" s="19"/>
      <c r="U423" s="19"/>
      <c r="V423" s="19"/>
      <c r="W423" s="19"/>
      <c r="X423" s="19"/>
      <c r="Y423" s="19"/>
    </row>
    <row r="424" spans="1:25" ht="12" customHeight="1">
      <c r="A424" s="219" t="n" cm="1">
        <f t="array" ref="A424">IFERROR(INDEX('03.Muestra'!$B$8:$B$42,SMALL(IF("Página Web"='03.Muestra'!$D$8:$D$42,ROW('03.Muestra'!$B$8:$B$42)-MIN(ROW('03.Muestra'!$D$8:$D$42))+1,""),ROW()-398)),"")</f>
        <v>1.0</v>
      </c>
      <c r="B424" s="114" t="str" cm="1">
        <f t="array" ref="B424">IFERROR(INDEX('03.Muestra'!$C$8:$C$42,SMALL(IF("Página Web"='03.Muestra'!$D$8:$D$42,ROW('03.Muestra'!$C$8:$C$42)-MIN(ROW('03.Muestra'!$D$8:$D$42))+1,""),ROW()-398)),"")</f>
        <v>Home - PortCastelló</v>
      </c>
      <c r="C424" s="114" t="str" cm="1">
        <f t="array" ref="C424">IFERROR(INDEX('03.Muestra'!$F$8:$F$42,SMALL(IF("Página Web"='03.Muestra'!$D$8:$D$42,ROW('03.Muestra'!$F$8:$F$42)-MIN(ROW('03.Muestra'!$D$8:$D$42))+1,""),ROW()-398)),"")</f>
        <v>https://www.portcastello.com/</v>
      </c>
      <c r="D424" s="130" t="str">
        <f t="shared" si="21"/>
        <v>N/T</v>
      </c>
      <c r="E424" s="107" t="str">
        <f t="shared" si="20"/>
        <v/>
      </c>
      <c r="F424" s="19"/>
      <c r="G424" s="19"/>
      <c r="H424" s="19"/>
      <c r="I424" s="19"/>
      <c r="J424" s="19"/>
      <c r="K424" s="233"/>
      <c r="L424" s="19"/>
      <c r="M424" s="19"/>
      <c r="N424" s="19"/>
      <c r="O424" s="19"/>
      <c r="P424" s="19"/>
      <c r="Q424" s="19"/>
      <c r="R424" s="19"/>
      <c r="S424" s="19"/>
      <c r="T424" s="19"/>
      <c r="U424" s="19"/>
      <c r="V424" s="19"/>
      <c r="W424" s="19"/>
      <c r="X424" s="19"/>
      <c r="Y424" s="19"/>
    </row>
    <row r="425" spans="1:25" ht="12" customHeight="1">
      <c r="A425" s="219" t="n" cm="1">
        <f t="array" ref="A425">IFERROR(INDEX('03.Muestra'!$B$8:$B$42,SMALL(IF("Página Web"='03.Muestra'!$D$8:$D$42,ROW('03.Muestra'!$B$8:$B$42)-MIN(ROW('03.Muestra'!$D$8:$D$42))+1,""),ROW()-398)),"")</f>
        <v>1.0</v>
      </c>
      <c r="B425" s="114" t="str" cm="1">
        <f t="array" ref="B425">IFERROR(INDEX('03.Muestra'!$C$8:$C$42,SMALL(IF("Página Web"='03.Muestra'!$D$8:$D$42,ROW('03.Muestra'!$C$8:$C$42)-MIN(ROW('03.Muestra'!$D$8:$D$42))+1,""),ROW()-398)),"")</f>
        <v>Home - PortCastelló</v>
      </c>
      <c r="C425" s="114" t="str" cm="1">
        <f t="array" ref="C425">IFERROR(INDEX('03.Muestra'!$F$8:$F$42,SMALL(IF("Página Web"='03.Muestra'!$D$8:$D$42,ROW('03.Muestra'!$F$8:$F$42)-MIN(ROW('03.Muestra'!$D$8:$D$42))+1,""),ROW()-398)),"")</f>
        <v>https://www.portcastello.com/</v>
      </c>
      <c r="D425" s="130" t="str">
        <f t="shared" si="21"/>
        <v>N/T</v>
      </c>
      <c r="E425" s="107" t="str">
        <f t="shared" si="20"/>
        <v/>
      </c>
      <c r="F425" s="19"/>
      <c r="G425" s="19"/>
      <c r="H425" s="19"/>
      <c r="I425" s="19"/>
      <c r="J425" s="19"/>
      <c r="K425" s="233"/>
      <c r="L425" s="19"/>
      <c r="M425" s="19"/>
      <c r="N425" s="19"/>
      <c r="O425" s="19"/>
      <c r="P425" s="19"/>
      <c r="Q425" s="19"/>
      <c r="R425" s="19"/>
      <c r="S425" s="19"/>
      <c r="T425" s="19"/>
      <c r="U425" s="19"/>
      <c r="V425" s="19"/>
      <c r="W425" s="19"/>
      <c r="X425" s="19"/>
      <c r="Y425" s="19"/>
    </row>
    <row r="426" spans="1:25" ht="12" customHeight="1">
      <c r="A426" s="219" t="n" cm="1">
        <f t="array" ref="A426">IFERROR(INDEX('03.Muestra'!$B$8:$B$42,SMALL(IF("Página Web"='03.Muestra'!$D$8:$D$42,ROW('03.Muestra'!$B$8:$B$42)-MIN(ROW('03.Muestra'!$D$8:$D$42))+1,""),ROW()-398)),"")</f>
        <v>1.0</v>
      </c>
      <c r="B426" s="114" t="str" cm="1">
        <f t="array" ref="B426">IFERROR(INDEX('03.Muestra'!$C$8:$C$42,SMALL(IF("Página Web"='03.Muestra'!$D$8:$D$42,ROW('03.Muestra'!$C$8:$C$42)-MIN(ROW('03.Muestra'!$D$8:$D$42))+1,""),ROW()-398)),"")</f>
        <v>Home - PortCastelló</v>
      </c>
      <c r="C426" s="114" t="str" cm="1">
        <f t="array" ref="C426">IFERROR(INDEX('03.Muestra'!$F$8:$F$42,SMALL(IF("Página Web"='03.Muestra'!$D$8:$D$42,ROW('03.Muestra'!$F$8:$F$42)-MIN(ROW('03.Muestra'!$D$8:$D$42))+1,""),ROW()-398)),"")</f>
        <v>https://www.portcastello.com/</v>
      </c>
      <c r="D426" s="130" t="str">
        <f t="shared" si="21"/>
        <v>N/T</v>
      </c>
      <c r="E426" s="107" t="str">
        <f t="shared" si="20"/>
        <v/>
      </c>
      <c r="G426" s="19"/>
      <c r="H426" s="19"/>
      <c r="I426" s="19"/>
      <c r="J426" s="19"/>
      <c r="K426" s="233"/>
      <c r="L426" s="19"/>
      <c r="M426" s="19"/>
      <c r="N426" s="19"/>
      <c r="O426" s="19"/>
      <c r="P426" s="19"/>
      <c r="Q426" s="19"/>
      <c r="R426" s="19"/>
      <c r="S426" s="19"/>
      <c r="T426" s="19"/>
      <c r="U426" s="19"/>
      <c r="V426" s="19"/>
      <c r="W426" s="19"/>
      <c r="X426" s="19"/>
      <c r="Y426" s="19"/>
    </row>
    <row r="427" spans="1:25" ht="12" customHeight="1">
      <c r="A427" s="219" t="n" cm="1">
        <f t="array" ref="A427">IFERROR(INDEX('03.Muestra'!$B$8:$B$42,SMALL(IF("Página Web"='03.Muestra'!$D$8:$D$42,ROW('03.Muestra'!$B$8:$B$42)-MIN(ROW('03.Muestra'!$D$8:$D$42))+1,""),ROW()-398)),"")</f>
        <v>1.0</v>
      </c>
      <c r="B427" s="114" t="str" cm="1">
        <f t="array" ref="B427">IFERROR(INDEX('03.Muestra'!$C$8:$C$42,SMALL(IF("Página Web"='03.Muestra'!$D$8:$D$42,ROW('03.Muestra'!$C$8:$C$42)-MIN(ROW('03.Muestra'!$D$8:$D$42))+1,""),ROW()-398)),"")</f>
        <v>Home - PortCastelló</v>
      </c>
      <c r="C427" s="114" t="str" cm="1">
        <f t="array" ref="C427">IFERROR(INDEX('03.Muestra'!$F$8:$F$42,SMALL(IF("Página Web"='03.Muestra'!$D$8:$D$42,ROW('03.Muestra'!$F$8:$F$42)-MIN(ROW('03.Muestra'!$D$8:$D$42))+1,""),ROW()-398)),"")</f>
        <v>https://www.portcastello.com/</v>
      </c>
      <c r="D427" s="130" t="str">
        <f t="shared" si="21"/>
        <v>N/T</v>
      </c>
      <c r="E427" s="107" t="str">
        <f t="shared" si="20"/>
        <v/>
      </c>
      <c r="F427" s="124"/>
      <c r="G427" s="19"/>
      <c r="H427" s="19"/>
      <c r="I427" s="19"/>
      <c r="J427" s="19"/>
      <c r="K427" s="233"/>
      <c r="L427" s="19"/>
      <c r="M427" s="19"/>
      <c r="N427" s="19"/>
      <c r="O427" s="19"/>
      <c r="P427" s="19"/>
      <c r="Q427" s="19"/>
      <c r="R427" s="19"/>
      <c r="S427" s="19"/>
      <c r="T427" s="19"/>
      <c r="U427" s="19"/>
      <c r="V427" s="19"/>
      <c r="W427" s="19"/>
      <c r="X427" s="19"/>
      <c r="Y427" s="19"/>
    </row>
    <row r="428" spans="1:25" ht="12" customHeight="1">
      <c r="A428" s="219" t="n" cm="1">
        <f t="array" ref="A428">IFERROR(INDEX('03.Muestra'!$B$8:$B$42,SMALL(IF("Página Web"='03.Muestra'!$D$8:$D$42,ROW('03.Muestra'!$B$8:$B$42)-MIN(ROW('03.Muestra'!$D$8:$D$42))+1,""),ROW()-398)),"")</f>
        <v>1.0</v>
      </c>
      <c r="B428" s="114" t="str" cm="1">
        <f t="array" ref="B428">IFERROR(INDEX('03.Muestra'!$C$8:$C$42,SMALL(IF("Página Web"='03.Muestra'!$D$8:$D$42,ROW('03.Muestra'!$C$8:$C$42)-MIN(ROW('03.Muestra'!$D$8:$D$42))+1,""),ROW()-398)),"")</f>
        <v>Home - PortCastelló</v>
      </c>
      <c r="C428" s="114" t="str" cm="1">
        <f t="array" ref="C428">IFERROR(INDEX('03.Muestra'!$F$8:$F$42,SMALL(IF("Página Web"='03.Muestra'!$D$8:$D$42,ROW('03.Muestra'!$F$8:$F$42)-MIN(ROW('03.Muestra'!$D$8:$D$42))+1,""),ROW()-398)),"")</f>
        <v>https://www.portcastello.com/</v>
      </c>
      <c r="D428" s="130" t="str">
        <f t="shared" si="21"/>
        <v>N/T</v>
      </c>
      <c r="E428" s="107" t="str">
        <f t="shared" si="20"/>
        <v/>
      </c>
      <c r="F428" s="124"/>
      <c r="G428" s="19"/>
      <c r="H428" s="19"/>
      <c r="I428" s="19"/>
      <c r="J428" s="19"/>
      <c r="K428" s="233"/>
      <c r="L428" s="19"/>
      <c r="M428" s="19"/>
      <c r="N428" s="19"/>
      <c r="O428" s="19"/>
      <c r="P428" s="19"/>
      <c r="Q428" s="19"/>
      <c r="R428" s="19"/>
      <c r="S428" s="19"/>
      <c r="T428" s="19"/>
      <c r="U428" s="19"/>
      <c r="V428" s="19"/>
      <c r="W428" s="19"/>
      <c r="X428" s="19"/>
      <c r="Y428" s="19"/>
    </row>
    <row r="429" spans="1:25" ht="12" customHeight="1">
      <c r="A429" s="219" t="n" cm="1">
        <f t="array" ref="A429">IFERROR(INDEX('03.Muestra'!$B$8:$B$42,SMALL(IF("Página Web"='03.Muestra'!$D$8:$D$42,ROW('03.Muestra'!$B$8:$B$42)-MIN(ROW('03.Muestra'!$D$8:$D$42))+1,""),ROW()-398)),"")</f>
        <v>1.0</v>
      </c>
      <c r="B429" s="114" t="str" cm="1">
        <f t="array" ref="B429">IFERROR(INDEX('03.Muestra'!$C$8:$C$42,SMALL(IF("Página Web"='03.Muestra'!$D$8:$D$42,ROW('03.Muestra'!$C$8:$C$42)-MIN(ROW('03.Muestra'!$D$8:$D$42))+1,""),ROW()-398)),"")</f>
        <v>Home - PortCastelló</v>
      </c>
      <c r="C429" s="114" t="str" cm="1">
        <f t="array" ref="C429">IFERROR(INDEX('03.Muestra'!$F$8:$F$42,SMALL(IF("Página Web"='03.Muestra'!$D$8:$D$42,ROW('03.Muestra'!$F$8:$F$42)-MIN(ROW('03.Muestra'!$D$8:$D$42))+1,""),ROW()-398)),"")</f>
        <v>https://www.portcastello.com/</v>
      </c>
      <c r="D429" s="130" t="str">
        <f t="shared" si="21"/>
        <v>N/T</v>
      </c>
      <c r="E429" s="107" t="str">
        <f t="shared" si="20"/>
        <v/>
      </c>
      <c r="F429" s="124"/>
      <c r="G429" s="19"/>
      <c r="H429" s="19"/>
      <c r="I429" s="19"/>
      <c r="J429" s="19"/>
      <c r="K429" s="233"/>
      <c r="L429" s="19"/>
      <c r="M429" s="19"/>
      <c r="N429" s="19"/>
      <c r="O429" s="19"/>
      <c r="P429" s="19"/>
      <c r="Q429" s="19"/>
      <c r="R429" s="19"/>
      <c r="S429" s="19"/>
      <c r="T429" s="19"/>
      <c r="U429" s="19"/>
      <c r="V429" s="19"/>
      <c r="W429" s="19"/>
      <c r="X429" s="19"/>
      <c r="Y429" s="19"/>
    </row>
    <row r="430" spans="1:25" ht="12" customHeight="1">
      <c r="A430" s="219" t="n" cm="1">
        <f t="array" ref="A430">IFERROR(INDEX('03.Muestra'!$B$8:$B$42,SMALL(IF("Página Web"='03.Muestra'!$D$8:$D$42,ROW('03.Muestra'!$B$8:$B$42)-MIN(ROW('03.Muestra'!$D$8:$D$42))+1,""),ROW()-398)),"")</f>
        <v>1.0</v>
      </c>
      <c r="B430" s="114" t="str" cm="1">
        <f t="array" ref="B430">IFERROR(INDEX('03.Muestra'!$C$8:$C$42,SMALL(IF("Página Web"='03.Muestra'!$D$8:$D$42,ROW('03.Muestra'!$C$8:$C$42)-MIN(ROW('03.Muestra'!$D$8:$D$42))+1,""),ROW()-398)),"")</f>
        <v>Home - PortCastelló</v>
      </c>
      <c r="C430" s="114" t="str" cm="1">
        <f t="array" ref="C430">IFERROR(INDEX('03.Muestra'!$F$8:$F$42,SMALL(IF("Página Web"='03.Muestra'!$D$8:$D$42,ROW('03.Muestra'!$F$8:$F$42)-MIN(ROW('03.Muestra'!$D$8:$D$42))+1,""),ROW()-398)),"")</f>
        <v>https://www.portcastello.com/</v>
      </c>
      <c r="D430" s="130" t="str">
        <f t="shared" si="21"/>
        <v>N/T</v>
      </c>
      <c r="E430" s="107" t="str">
        <f t="shared" si="20"/>
        <v/>
      </c>
      <c r="F430" s="124"/>
      <c r="G430" s="19"/>
      <c r="H430" s="19"/>
      <c r="I430" s="19"/>
      <c r="J430" s="19"/>
      <c r="K430" s="233"/>
      <c r="L430" s="19"/>
      <c r="M430" s="19"/>
      <c r="N430" s="19"/>
      <c r="O430" s="19"/>
      <c r="P430" s="19"/>
      <c r="Q430" s="19"/>
      <c r="R430" s="19"/>
      <c r="S430" s="19"/>
      <c r="T430" s="19"/>
      <c r="U430" s="19"/>
      <c r="V430" s="19"/>
      <c r="W430" s="19"/>
      <c r="X430" s="19"/>
      <c r="Y430" s="19"/>
    </row>
    <row r="431" spans="1:25" ht="12" customHeight="1">
      <c r="A431" s="219" t="n" cm="1">
        <f t="array" ref="A431">IFERROR(INDEX('03.Muestra'!$B$8:$B$42,SMALL(IF("Página Web"='03.Muestra'!$D$8:$D$42,ROW('03.Muestra'!$B$8:$B$42)-MIN(ROW('03.Muestra'!$D$8:$D$42))+1,""),ROW()-398)),"")</f>
        <v>1.0</v>
      </c>
      <c r="B431" s="114" t="str" cm="1">
        <f t="array" ref="B431">IFERROR(INDEX('03.Muestra'!$C$8:$C$42,SMALL(IF("Página Web"='03.Muestra'!$D$8:$D$42,ROW('03.Muestra'!$C$8:$C$42)-MIN(ROW('03.Muestra'!$D$8:$D$42))+1,""),ROW()-398)),"")</f>
        <v>Home - PortCastelló</v>
      </c>
      <c r="C431" s="114" t="str" cm="1">
        <f t="array" ref="C431">IFERROR(INDEX('03.Muestra'!$F$8:$F$42,SMALL(IF("Página Web"='03.Muestra'!$D$8:$D$42,ROW('03.Muestra'!$F$8:$F$42)-MIN(ROW('03.Muestra'!$D$8:$D$42))+1,""),ROW()-398)),"")</f>
        <v>https://www.portcastello.com/</v>
      </c>
      <c r="D431" s="130" t="str">
        <f t="shared" si="21"/>
        <v>N/T</v>
      </c>
      <c r="E431" s="107" t="str">
        <f t="shared" si="20"/>
        <v/>
      </c>
      <c r="F431" s="124"/>
      <c r="G431" s="19"/>
      <c r="H431" s="19"/>
      <c r="I431" s="19"/>
      <c r="J431" s="19"/>
      <c r="K431" s="233"/>
      <c r="L431" s="19"/>
      <c r="M431" s="19"/>
      <c r="N431" s="19"/>
      <c r="O431" s="19"/>
      <c r="P431" s="19"/>
      <c r="Q431" s="19"/>
      <c r="R431" s="19"/>
      <c r="S431" s="19"/>
      <c r="T431" s="19"/>
      <c r="U431" s="19"/>
      <c r="V431" s="19"/>
      <c r="W431" s="19"/>
      <c r="X431" s="19"/>
      <c r="Y431" s="19"/>
    </row>
    <row r="432" spans="1:25" ht="12" customHeight="1">
      <c r="A432" s="219" t="str" cm="1">
        <f t="array" ref="A432">IFERROR(INDEX('03.Muestra'!$B$8:$B$42,SMALL(IF("Página Web"='03.Muestra'!$D$8:$D$42,ROW('03.Muestra'!$B$8:$B$42)-MIN(ROW('03.Muestra'!$D$8:$D$42))+1,""),ROW()-398)),"")</f>
        <v/>
      </c>
      <c r="B432" s="114" t="str" cm="1">
        <f t="array" ref="B432">IFERROR(INDEX('03.Muestra'!$C$8:$C$42,SMALL(IF("Página Web"='03.Muestra'!$D$8:$D$42,ROW('03.Muestra'!$C$8:$C$42)-MIN(ROW('03.Muestra'!$D$8:$D$42))+1,""),ROW()-398)),"")</f>
        <v/>
      </c>
      <c r="C432" s="114" t="str" cm="1">
        <f t="array" ref="C432">IFERROR(INDEX('03.Muestra'!$F$8:$F$42,SMALL(IF("Página Web"='03.Muestra'!$D$8:$D$42,ROW('03.Muestra'!$F$8:$F$42)-MIN(ROW('03.Muestra'!$D$8:$D$42))+1,""),ROW()-398)),"")</f>
        <v/>
      </c>
      <c r="D432" s="130" t="str">
        <f t="shared" si="21"/>
        <v/>
      </c>
      <c r="E432" s="107" t="str">
        <f t="shared" si="20"/>
        <v/>
      </c>
      <c r="F432" s="124"/>
      <c r="G432" s="19"/>
      <c r="H432" s="19"/>
      <c r="I432" s="19"/>
      <c r="J432" s="19"/>
      <c r="K432" s="233"/>
      <c r="L432" s="19"/>
      <c r="M432" s="19"/>
      <c r="N432" s="19"/>
      <c r="O432" s="19"/>
      <c r="P432" s="19"/>
      <c r="Q432" s="19"/>
      <c r="R432" s="19"/>
      <c r="S432" s="19"/>
      <c r="T432" s="19"/>
      <c r="U432" s="19"/>
      <c r="V432" s="19"/>
      <c r="W432" s="19"/>
      <c r="X432" s="19"/>
      <c r="Y432" s="19"/>
    </row>
    <row r="433" spans="1:25" ht="12" customHeight="1">
      <c r="A433" s="219" t="str" cm="1">
        <f t="array" ref="A433">IFERROR(INDEX('03.Muestra'!$B$8:$B$42,SMALL(IF("Página Web"='03.Muestra'!$D$8:$D$42,ROW('03.Muestra'!$B$8:$B$42)-MIN(ROW('03.Muestra'!$D$8:$D$42))+1,""),ROW()-398)),"")</f>
        <v/>
      </c>
      <c r="B433" s="114" t="str" cm="1">
        <f t="array" ref="B433">IFERROR(INDEX('03.Muestra'!$C$8:$C$42,SMALL(IF("Página Web"='03.Muestra'!$D$8:$D$42,ROW('03.Muestra'!$C$8:$C$42)-MIN(ROW('03.Muestra'!$D$8:$D$42))+1,""),ROW()-398)),"")</f>
        <v/>
      </c>
      <c r="C433" s="114" t="str" cm="1">
        <f t="array" ref="C433">IFERROR(INDEX('03.Muestra'!$F$8:$F$42,SMALL(IF("Página Web"='03.Muestra'!$D$8:$D$42,ROW('03.Muestra'!$F$8:$F$42)-MIN(ROW('03.Muestra'!$D$8:$D$42))+1,""),ROW()-398)),"")</f>
        <v/>
      </c>
      <c r="D433" s="130" t="str">
        <f t="shared" si="21"/>
        <v/>
      </c>
      <c r="E433" s="107" t="str">
        <f t="shared" si="20"/>
        <v/>
      </c>
      <c r="F433" s="19"/>
      <c r="G433" s="19"/>
      <c r="H433" s="19"/>
      <c r="I433" s="19"/>
      <c r="J433" s="19"/>
      <c r="K433" s="233"/>
      <c r="L433" s="19"/>
      <c r="M433" s="19"/>
      <c r="N433" s="19"/>
      <c r="O433" s="19"/>
      <c r="P433" s="19"/>
      <c r="Q433" s="19"/>
      <c r="R433" s="19"/>
      <c r="S433" s="19"/>
      <c r="T433" s="19"/>
      <c r="U433" s="19"/>
      <c r="V433" s="19"/>
      <c r="W433" s="19"/>
      <c r="X433" s="19"/>
      <c r="Y433" s="19"/>
    </row>
    <row r="434" spans="1:25" ht="12" customHeight="1">
      <c r="B434" s="19"/>
      <c r="C434" s="112"/>
      <c r="D434" s="112"/>
      <c r="E434" s="112"/>
      <c r="F434" s="19"/>
      <c r="G434" s="19"/>
      <c r="H434" s="19"/>
      <c r="I434" s="19"/>
      <c r="J434" s="19"/>
      <c r="K434" s="233"/>
      <c r="L434" s="19"/>
      <c r="M434" s="19"/>
      <c r="N434" s="19"/>
      <c r="O434" s="19"/>
      <c r="P434" s="19"/>
      <c r="Q434" s="19"/>
      <c r="R434" s="19"/>
      <c r="S434" s="19"/>
      <c r="T434" s="19"/>
      <c r="U434" s="19"/>
      <c r="V434" s="19"/>
      <c r="W434" s="19"/>
      <c r="X434" s="19"/>
      <c r="Y434" s="19"/>
    </row>
    <row r="435" spans="1:25" ht="12" customHeight="1">
      <c r="B435" s="19"/>
      <c r="C435" s="19"/>
      <c r="D435" s="112"/>
      <c r="E435" s="112"/>
      <c r="F435" s="19"/>
      <c r="G435" s="19"/>
      <c r="H435" s="19"/>
      <c r="I435" s="19"/>
      <c r="J435" s="19"/>
      <c r="K435" s="233"/>
      <c r="L435" s="19"/>
      <c r="M435" s="19"/>
      <c r="N435" s="19"/>
      <c r="O435" s="19"/>
      <c r="P435" s="19"/>
      <c r="Q435" s="19"/>
      <c r="R435" s="19"/>
      <c r="S435" s="19"/>
      <c r="T435" s="19"/>
      <c r="U435" s="19"/>
      <c r="V435" s="19"/>
      <c r="W435" s="19"/>
      <c r="X435" s="19"/>
      <c r="Y435" s="19"/>
    </row>
    <row r="436" spans="1:25" ht="29.25" customHeight="1">
      <c r="A436" s="218" t="s">
        <v>268</v>
      </c>
      <c r="B436" s="24" t="s">
        <v>90</v>
      </c>
      <c r="C436" s="25" t="s">
        <v>384</v>
      </c>
      <c r="D436" s="26" t="s">
        <v>32</v>
      </c>
      <c r="E436" s="123"/>
      <c r="K436" s="233"/>
      <c r="L436" s="19"/>
      <c r="M436" s="19"/>
      <c r="N436" s="19"/>
      <c r="O436" s="19"/>
      <c r="P436" s="19"/>
      <c r="Q436" s="19"/>
      <c r="R436" s="19"/>
      <c r="S436" s="19"/>
      <c r="T436" s="19"/>
      <c r="U436" s="19"/>
      <c r="V436" s="19"/>
      <c r="W436" s="19"/>
      <c r="X436" s="19"/>
      <c r="Y436" s="19"/>
    </row>
    <row r="437" spans="1:25" ht="12" customHeight="1">
      <c r="A437" s="219" t="n" cm="1">
        <f t="array" ref="A437">IFERROR(INDEX('03.Muestra'!$B$8:$B$42,SMALL(IF("Página Web"='03.Muestra'!$D$8:$D$42,ROW('03.Muestra'!$B$8:$B$42)-MIN(ROW('03.Muestra'!$D$8:$D$42))+1,""),ROW()-436)),"")</f>
        <v>1.0</v>
      </c>
      <c r="B437" s="114" t="str" cm="1">
        <f t="array" ref="B437">IFERROR(INDEX('03.Muestra'!$C$8:$C$42,SMALL(IF("Página Web"='03.Muestra'!$D$8:$D$42,ROW('03.Muestra'!$C$8:$C$42)-MIN(ROW('03.Muestra'!$D$8:$D$42))+1,""),ROW()-436)),"")</f>
        <v>Home - PortCastelló</v>
      </c>
      <c r="C437" s="114" t="str" cm="1">
        <f t="array" ref="C437">IFERROR(INDEX('03.Muestra'!$F$8:$F$42,SMALL(IF("Página Web"='03.Muestra'!$D$8:$D$42,ROW('03.Muestra'!$F$8:$F$42)-MIN(ROW('03.Muestra'!$D$8:$D$42))+1,""),ROW()-436)),"")</f>
        <v>https://www.portcastello.com/</v>
      </c>
      <c r="D437" s="130" t="str">
        <f>IF(AND(B437&lt;&gt;"",C437&lt;&gt;""),"N/T","")</f>
        <v>N/T</v>
      </c>
      <c r="E437" s="107" t="str">
        <f t="shared" ref="E437:E471" si="22">IF(D437&lt;&gt;"",IF(AND(B437&lt;&gt;"",C437&lt;&gt;""),"","ERR"),"")</f>
        <v/>
      </c>
      <c r="F437" s="115" t="s">
        <v>33</v>
      </c>
      <c r="G437" s="116" t="s">
        <v>37</v>
      </c>
      <c r="H437" s="117" t="s">
        <v>35</v>
      </c>
      <c r="I437" s="118" t="s">
        <v>28</v>
      </c>
      <c r="J437" s="119" t="s">
        <v>26</v>
      </c>
      <c r="K437" s="226" t="s">
        <v>474</v>
      </c>
      <c r="L437" s="19"/>
      <c r="M437" s="19"/>
      <c r="N437" s="19"/>
      <c r="O437" s="19"/>
      <c r="P437" s="19"/>
      <c r="Q437" s="19"/>
      <c r="R437" s="19"/>
      <c r="S437" s="19"/>
      <c r="T437" s="19"/>
      <c r="U437" s="19"/>
      <c r="V437" s="19"/>
      <c r="W437" s="19"/>
      <c r="X437" s="19"/>
      <c r="Y437" s="19"/>
    </row>
    <row r="438" spans="1:25" ht="12" customHeight="1">
      <c r="A438" s="219" t="n" cm="1">
        <f t="array" ref="A438">IFERROR(INDEX('03.Muestra'!$B$8:$B$42,SMALL(IF("Página Web"='03.Muestra'!$D$8:$D$42,ROW('03.Muestra'!$B$8:$B$42)-MIN(ROW('03.Muestra'!$D$8:$D$42))+1,""),ROW()-436)),"")</f>
        <v>1.0</v>
      </c>
      <c r="B438" s="114" t="str" cm="1">
        <f t="array" ref="B438">IFERROR(INDEX('03.Muestra'!$C$8:$C$42,SMALL(IF("Página Web"='03.Muestra'!$D$8:$D$42,ROW('03.Muestra'!$C$8:$C$42)-MIN(ROW('03.Muestra'!$D$8:$D$42))+1,""),ROW()-436)),"")</f>
        <v>Home - PortCastelló</v>
      </c>
      <c r="C438" s="114" t="str" cm="1">
        <f t="array" ref="C438">IFERROR(INDEX('03.Muestra'!$F$8:$F$42,SMALL(IF("Página Web"='03.Muestra'!$D$8:$D$42,ROW('03.Muestra'!$F$8:$F$42)-MIN(ROW('03.Muestra'!$D$8:$D$42))+1,""),ROW()-436)),"")</f>
        <v>https://www.portcastello.com/</v>
      </c>
      <c r="D438" s="130" t="str">
        <f t="shared" ref="D438:D471" si="23">IF(AND(B438&lt;&gt;"",C438&lt;&gt;""),"N/T","")</f>
        <v>N/T</v>
      </c>
      <c r="E438" s="107" t="str">
        <f t="shared" si="22"/>
        <v/>
      </c>
      <c r="F438" s="120" t="n">
        <f ca="1">COUNTIF($D437:INDIRECT("$D" &amp;  SUM(ROW()-1,'03.Muestra'!$D$45)-1),F437)</f>
        <v>33.0</v>
      </c>
      <c r="G438" s="120" t="n">
        <f ca="1">COUNTIF($D437:INDIRECT("$D" &amp;  SUM(ROW()-1,'03.Muestra'!$D$45)-1),G437)</f>
        <v>0.0</v>
      </c>
      <c r="H438" s="120" t="n">
        <f ca="1">COUNTIF($D437:INDIRECT("$D" &amp;  SUM(ROW()-1,'03.Muestra'!$D$45)-1),H437)</f>
        <v>0.0</v>
      </c>
      <c r="I438" s="120" t="n">
        <f ca="1">COUNTIF($D437:INDIRECT("$D" &amp;  SUM(ROW()-1,'03.Muestra'!$D$45)-1),I437)</f>
        <v>0.0</v>
      </c>
      <c r="J438" s="120" t="n">
        <f ca="1">COUNTIF($D437:INDIRECT("$D" &amp;  SUM(ROW()-1,'03.Muestra'!$D$45)-1),J437)</f>
        <v>0.0</v>
      </c>
      <c r="K438" s="227" t="n">
        <f ca="1">IF(COUNTIF('03.Muestra'!$D$8:$D$42,"Página Web")=0,0,COUNTBLANK($D437:INDIRECT("$D" &amp;  SUM(ROW()-1,COUNTIF('03.Muestra'!$D$8:$D$42,"Página Web"))-1)))</f>
        <v>0.0</v>
      </c>
      <c r="L438" s="19"/>
      <c r="M438" s="19"/>
      <c r="N438" s="19"/>
      <c r="O438" s="19"/>
      <c r="P438" s="19"/>
      <c r="Q438" s="19"/>
      <c r="R438" s="19"/>
      <c r="S438" s="19"/>
      <c r="T438" s="19"/>
      <c r="U438" s="19"/>
      <c r="V438" s="19"/>
      <c r="W438" s="19"/>
      <c r="X438" s="19"/>
      <c r="Y438" s="19"/>
    </row>
    <row r="439" spans="1:25" ht="12" customHeight="1">
      <c r="A439" s="219" t="n" cm="1">
        <f t="array" ref="A439">IFERROR(INDEX('03.Muestra'!$B$8:$B$42,SMALL(IF("Página Web"='03.Muestra'!$D$8:$D$42,ROW('03.Muestra'!$B$8:$B$42)-MIN(ROW('03.Muestra'!$D$8:$D$42))+1,""),ROW()-436)),"")</f>
        <v>1.0</v>
      </c>
      <c r="B439" s="114" t="str" cm="1">
        <f t="array" ref="B439">IFERROR(INDEX('03.Muestra'!$C$8:$C$42,SMALL(IF("Página Web"='03.Muestra'!$D$8:$D$42,ROW('03.Muestra'!$C$8:$C$42)-MIN(ROW('03.Muestra'!$D$8:$D$42))+1,""),ROW()-436)),"")</f>
        <v>Home - PortCastelló</v>
      </c>
      <c r="C439" s="114" t="str" cm="1">
        <f t="array" ref="C439">IFERROR(INDEX('03.Muestra'!$F$8:$F$42,SMALL(IF("Página Web"='03.Muestra'!$D$8:$D$42,ROW('03.Muestra'!$F$8:$F$42)-MIN(ROW('03.Muestra'!$D$8:$D$42))+1,""),ROW()-436)),"")</f>
        <v>https://www.portcastello.com/</v>
      </c>
      <c r="D439" s="130" t="str">
        <f t="shared" si="23"/>
        <v>N/T</v>
      </c>
      <c r="E439" s="107" t="str">
        <f t="shared" si="22"/>
        <v/>
      </c>
      <c r="G439" s="19"/>
      <c r="H439" s="19"/>
      <c r="I439" s="19"/>
      <c r="J439" s="19"/>
      <c r="K439" s="233"/>
      <c r="L439" s="19"/>
      <c r="M439" s="19"/>
      <c r="N439" s="19"/>
      <c r="O439" s="19"/>
      <c r="P439" s="19"/>
      <c r="Q439" s="19"/>
      <c r="R439" s="19"/>
      <c r="S439" s="19"/>
      <c r="T439" s="19"/>
      <c r="U439" s="19"/>
      <c r="V439" s="19"/>
      <c r="W439" s="19"/>
      <c r="X439" s="19"/>
      <c r="Y439" s="19"/>
    </row>
    <row r="440" spans="1:25" ht="12" customHeight="1">
      <c r="A440" s="219" t="n" cm="1">
        <f t="array" ref="A440">IFERROR(INDEX('03.Muestra'!$B$8:$B$42,SMALL(IF("Página Web"='03.Muestra'!$D$8:$D$42,ROW('03.Muestra'!$B$8:$B$42)-MIN(ROW('03.Muestra'!$D$8:$D$42))+1,""),ROW()-436)),"")</f>
        <v>1.0</v>
      </c>
      <c r="B440" s="114" t="str" cm="1">
        <f t="array" ref="B440">IFERROR(INDEX('03.Muestra'!$C$8:$C$42,SMALL(IF("Página Web"='03.Muestra'!$D$8:$D$42,ROW('03.Muestra'!$C$8:$C$42)-MIN(ROW('03.Muestra'!$D$8:$D$42))+1,""),ROW()-436)),"")</f>
        <v>Home - PortCastelló</v>
      </c>
      <c r="C440" s="114" t="str" cm="1">
        <f t="array" ref="C440">IFERROR(INDEX('03.Muestra'!$F$8:$F$42,SMALL(IF("Página Web"='03.Muestra'!$D$8:$D$42,ROW('03.Muestra'!$F$8:$F$42)-MIN(ROW('03.Muestra'!$D$8:$D$42))+1,""),ROW()-436)),"")</f>
        <v>https://www.portcastello.com/</v>
      </c>
      <c r="D440" s="130" t="str">
        <f t="shared" si="23"/>
        <v>N/T</v>
      </c>
      <c r="E440" s="107" t="str">
        <f t="shared" si="22"/>
        <v/>
      </c>
      <c r="G440" s="19"/>
      <c r="H440" s="19"/>
      <c r="I440" s="19"/>
      <c r="J440" s="19"/>
      <c r="K440" s="233"/>
      <c r="L440" s="19"/>
      <c r="M440" s="19"/>
      <c r="N440" s="19"/>
      <c r="O440" s="19"/>
      <c r="P440" s="19"/>
      <c r="Q440" s="19"/>
      <c r="R440" s="19"/>
      <c r="S440" s="19"/>
      <c r="T440" s="19"/>
      <c r="U440" s="19"/>
      <c r="V440" s="19"/>
      <c r="W440" s="19"/>
      <c r="X440" s="19"/>
      <c r="Y440" s="19"/>
    </row>
    <row r="441" spans="1:25" ht="12" customHeight="1">
      <c r="A441" s="219" t="n" cm="1">
        <f t="array" ref="A441">IFERROR(INDEX('03.Muestra'!$B$8:$B$42,SMALL(IF("Página Web"='03.Muestra'!$D$8:$D$42,ROW('03.Muestra'!$B$8:$B$42)-MIN(ROW('03.Muestra'!$D$8:$D$42))+1,""),ROW()-436)),"")</f>
        <v>1.0</v>
      </c>
      <c r="B441" s="114" t="str" cm="1">
        <f t="array" ref="B441">IFERROR(INDEX('03.Muestra'!$C$8:$C$42,SMALL(IF("Página Web"='03.Muestra'!$D$8:$D$42,ROW('03.Muestra'!$C$8:$C$42)-MIN(ROW('03.Muestra'!$D$8:$D$42))+1,""),ROW()-436)),"")</f>
        <v>Home - PortCastelló</v>
      </c>
      <c r="C441" s="114" t="str" cm="1">
        <f t="array" ref="C441">IFERROR(INDEX('03.Muestra'!$F$8:$F$42,SMALL(IF("Página Web"='03.Muestra'!$D$8:$D$42,ROW('03.Muestra'!$F$8:$F$42)-MIN(ROW('03.Muestra'!$D$8:$D$42))+1,""),ROW()-436)),"")</f>
        <v>https://www.portcastello.com/</v>
      </c>
      <c r="D441" s="130" t="str">
        <f t="shared" si="23"/>
        <v>N/T</v>
      </c>
      <c r="E441" s="107" t="str">
        <f t="shared" si="22"/>
        <v/>
      </c>
      <c r="G441" s="19"/>
      <c r="H441" s="19"/>
      <c r="I441" s="19"/>
      <c r="J441" s="19"/>
      <c r="K441" s="233"/>
      <c r="L441" s="19"/>
      <c r="M441" s="19"/>
      <c r="N441" s="19"/>
      <c r="O441" s="19"/>
      <c r="P441" s="19"/>
      <c r="Q441" s="19"/>
      <c r="R441" s="19"/>
      <c r="S441" s="19"/>
      <c r="T441" s="19"/>
      <c r="U441" s="19"/>
      <c r="V441" s="19"/>
      <c r="W441" s="19"/>
      <c r="X441" s="19"/>
      <c r="Y441" s="19"/>
    </row>
    <row r="442" spans="1:25" ht="12" customHeight="1">
      <c r="A442" s="219" t="n" cm="1">
        <f t="array" ref="A442">IFERROR(INDEX('03.Muestra'!$B$8:$B$42,SMALL(IF("Página Web"='03.Muestra'!$D$8:$D$42,ROW('03.Muestra'!$B$8:$B$42)-MIN(ROW('03.Muestra'!$D$8:$D$42))+1,""),ROW()-436)),"")</f>
        <v>1.0</v>
      </c>
      <c r="B442" s="114" t="str" cm="1">
        <f t="array" ref="B442">IFERROR(INDEX('03.Muestra'!$C$8:$C$42,SMALL(IF("Página Web"='03.Muestra'!$D$8:$D$42,ROW('03.Muestra'!$C$8:$C$42)-MIN(ROW('03.Muestra'!$D$8:$D$42))+1,""),ROW()-436)),"")</f>
        <v>Home - PortCastelló</v>
      </c>
      <c r="C442" s="114" t="str" cm="1">
        <f t="array" ref="C442">IFERROR(INDEX('03.Muestra'!$F$8:$F$42,SMALL(IF("Página Web"='03.Muestra'!$D$8:$D$42,ROW('03.Muestra'!$F$8:$F$42)-MIN(ROW('03.Muestra'!$D$8:$D$42))+1,""),ROW()-436)),"")</f>
        <v>https://www.portcastello.com/</v>
      </c>
      <c r="D442" s="130" t="str">
        <f t="shared" si="23"/>
        <v>N/T</v>
      </c>
      <c r="E442" s="107" t="str">
        <f t="shared" si="22"/>
        <v/>
      </c>
      <c r="G442" s="19"/>
      <c r="H442" s="19"/>
      <c r="I442" s="19"/>
      <c r="J442" s="19"/>
      <c r="K442" s="233"/>
      <c r="L442" s="19"/>
      <c r="M442" s="19"/>
      <c r="N442" s="19"/>
      <c r="O442" s="19"/>
      <c r="P442" s="19"/>
      <c r="Q442" s="19"/>
      <c r="R442" s="19"/>
      <c r="S442" s="19"/>
      <c r="T442" s="19"/>
      <c r="U442" s="19"/>
      <c r="V442" s="19"/>
      <c r="W442" s="19"/>
      <c r="X442" s="19"/>
      <c r="Y442" s="19"/>
    </row>
    <row r="443" spans="1:25" ht="12" customHeight="1">
      <c r="A443" s="219" t="n" cm="1">
        <f t="array" ref="A443">IFERROR(INDEX('03.Muestra'!$B$8:$B$42,SMALL(IF("Página Web"='03.Muestra'!$D$8:$D$42,ROW('03.Muestra'!$B$8:$B$42)-MIN(ROW('03.Muestra'!$D$8:$D$42))+1,""),ROW()-436)),"")</f>
        <v>1.0</v>
      </c>
      <c r="B443" s="114" t="str" cm="1">
        <f t="array" ref="B443">IFERROR(INDEX('03.Muestra'!$C$8:$C$42,SMALL(IF("Página Web"='03.Muestra'!$D$8:$D$42,ROW('03.Muestra'!$C$8:$C$42)-MIN(ROW('03.Muestra'!$D$8:$D$42))+1,""),ROW()-436)),"")</f>
        <v>Home - PortCastelló</v>
      </c>
      <c r="C443" s="114" t="str" cm="1">
        <f t="array" ref="C443">IFERROR(INDEX('03.Muestra'!$F$8:$F$42,SMALL(IF("Página Web"='03.Muestra'!$D$8:$D$42,ROW('03.Muestra'!$F$8:$F$42)-MIN(ROW('03.Muestra'!$D$8:$D$42))+1,""),ROW()-436)),"")</f>
        <v>https://www.portcastello.com/</v>
      </c>
      <c r="D443" s="130" t="str">
        <f t="shared" si="23"/>
        <v>N/T</v>
      </c>
      <c r="E443" s="107" t="str">
        <f t="shared" si="22"/>
        <v/>
      </c>
      <c r="F443" s="19"/>
      <c r="G443" s="19"/>
      <c r="H443" s="19"/>
      <c r="I443" s="19"/>
      <c r="J443" s="19"/>
      <c r="K443" s="233"/>
      <c r="L443" s="19"/>
      <c r="M443" s="19"/>
      <c r="N443" s="19"/>
      <c r="O443" s="19"/>
      <c r="P443" s="19"/>
      <c r="Q443" s="19"/>
      <c r="R443" s="19"/>
      <c r="S443" s="19"/>
      <c r="T443" s="19"/>
      <c r="U443" s="19"/>
      <c r="V443" s="19"/>
      <c r="W443" s="19"/>
      <c r="X443" s="19"/>
      <c r="Y443" s="19"/>
    </row>
    <row r="444" spans="1:25" ht="12" customHeight="1">
      <c r="A444" s="219" t="n" cm="1">
        <f t="array" ref="A444">IFERROR(INDEX('03.Muestra'!$B$8:$B$42,SMALL(IF("Página Web"='03.Muestra'!$D$8:$D$42,ROW('03.Muestra'!$B$8:$B$42)-MIN(ROW('03.Muestra'!$D$8:$D$42))+1,""),ROW()-436)),"")</f>
        <v>1.0</v>
      </c>
      <c r="B444" s="114" t="str" cm="1">
        <f t="array" ref="B444">IFERROR(INDEX('03.Muestra'!$C$8:$C$42,SMALL(IF("Página Web"='03.Muestra'!$D$8:$D$42,ROW('03.Muestra'!$C$8:$C$42)-MIN(ROW('03.Muestra'!$D$8:$D$42))+1,""),ROW()-436)),"")</f>
        <v>Home - PortCastelló</v>
      </c>
      <c r="C444" s="114" t="str" cm="1">
        <f t="array" ref="C444">IFERROR(INDEX('03.Muestra'!$F$8:$F$42,SMALL(IF("Página Web"='03.Muestra'!$D$8:$D$42,ROW('03.Muestra'!$F$8:$F$42)-MIN(ROW('03.Muestra'!$D$8:$D$42))+1,""),ROW()-436)),"")</f>
        <v>https://www.portcastello.com/</v>
      </c>
      <c r="D444" s="130" t="str">
        <f t="shared" si="23"/>
        <v>N/T</v>
      </c>
      <c r="E444" s="107" t="str">
        <f t="shared" si="22"/>
        <v/>
      </c>
      <c r="F444" s="19"/>
      <c r="G444" s="19"/>
      <c r="H444" s="19"/>
      <c r="I444" s="19"/>
      <c r="J444" s="19"/>
      <c r="K444" s="233"/>
      <c r="L444" s="19"/>
      <c r="M444" s="19"/>
      <c r="N444" s="19"/>
      <c r="O444" s="19"/>
      <c r="P444" s="19"/>
      <c r="Q444" s="19"/>
      <c r="R444" s="19"/>
      <c r="S444" s="19"/>
      <c r="T444" s="19"/>
      <c r="U444" s="19"/>
      <c r="V444" s="19"/>
      <c r="W444" s="19"/>
      <c r="X444" s="19"/>
      <c r="Y444" s="19"/>
    </row>
    <row r="445" spans="1:25" ht="12" customHeight="1">
      <c r="A445" s="219" t="n" cm="1">
        <f t="array" ref="A445">IFERROR(INDEX('03.Muestra'!$B$8:$B$42,SMALL(IF("Página Web"='03.Muestra'!$D$8:$D$42,ROW('03.Muestra'!$B$8:$B$42)-MIN(ROW('03.Muestra'!$D$8:$D$42))+1,""),ROW()-436)),"")</f>
        <v>1.0</v>
      </c>
      <c r="B445" s="114" t="str" cm="1">
        <f t="array" ref="B445">IFERROR(INDEX('03.Muestra'!$C$8:$C$42,SMALL(IF("Página Web"='03.Muestra'!$D$8:$D$42,ROW('03.Muestra'!$C$8:$C$42)-MIN(ROW('03.Muestra'!$D$8:$D$42))+1,""),ROW()-436)),"")</f>
        <v>Home - PortCastelló</v>
      </c>
      <c r="C445" s="114" t="str" cm="1">
        <f t="array" ref="C445">IFERROR(INDEX('03.Muestra'!$F$8:$F$42,SMALL(IF("Página Web"='03.Muestra'!$D$8:$D$42,ROW('03.Muestra'!$F$8:$F$42)-MIN(ROW('03.Muestra'!$D$8:$D$42))+1,""),ROW()-436)),"")</f>
        <v>https://www.portcastello.com/</v>
      </c>
      <c r="D445" s="130" t="str">
        <f t="shared" si="23"/>
        <v>N/T</v>
      </c>
      <c r="E445" s="107" t="str">
        <f t="shared" si="22"/>
        <v/>
      </c>
      <c r="F445" s="19"/>
      <c r="G445" s="19"/>
      <c r="H445" s="19"/>
      <c r="I445" s="19"/>
      <c r="J445" s="19"/>
      <c r="K445" s="233"/>
      <c r="L445" s="19"/>
      <c r="M445" s="19"/>
      <c r="N445" s="19"/>
      <c r="O445" s="19"/>
      <c r="P445" s="19"/>
      <c r="Q445" s="19"/>
      <c r="R445" s="19"/>
      <c r="S445" s="19"/>
      <c r="T445" s="19"/>
      <c r="U445" s="19"/>
      <c r="V445" s="19"/>
      <c r="W445" s="19"/>
      <c r="X445" s="19"/>
      <c r="Y445" s="19"/>
    </row>
    <row r="446" spans="1:25" ht="12" customHeight="1">
      <c r="A446" s="219" t="n" cm="1">
        <f t="array" ref="A446">IFERROR(INDEX('03.Muestra'!$B$8:$B$42,SMALL(IF("Página Web"='03.Muestra'!$D$8:$D$42,ROW('03.Muestra'!$B$8:$B$42)-MIN(ROW('03.Muestra'!$D$8:$D$42))+1,""),ROW()-436)),"")</f>
        <v>1.0</v>
      </c>
      <c r="B446" s="114" t="str" cm="1">
        <f t="array" ref="B446">IFERROR(INDEX('03.Muestra'!$C$8:$C$42,SMALL(IF("Página Web"='03.Muestra'!$D$8:$D$42,ROW('03.Muestra'!$C$8:$C$42)-MIN(ROW('03.Muestra'!$D$8:$D$42))+1,""),ROW()-436)),"")</f>
        <v>Home - PortCastelló</v>
      </c>
      <c r="C446" s="114" t="str" cm="1">
        <f t="array" ref="C446">IFERROR(INDEX('03.Muestra'!$F$8:$F$42,SMALL(IF("Página Web"='03.Muestra'!$D$8:$D$42,ROW('03.Muestra'!$F$8:$F$42)-MIN(ROW('03.Muestra'!$D$8:$D$42))+1,""),ROW()-436)),"")</f>
        <v>https://www.portcastello.com/</v>
      </c>
      <c r="D446" s="130" t="str">
        <f t="shared" si="23"/>
        <v>N/T</v>
      </c>
      <c r="E446" s="107" t="str">
        <f t="shared" si="22"/>
        <v/>
      </c>
      <c r="F446" s="19"/>
      <c r="G446" s="19"/>
      <c r="H446" s="19"/>
      <c r="I446" s="19"/>
      <c r="J446" s="19"/>
      <c r="K446" s="233"/>
      <c r="L446" s="19"/>
      <c r="M446" s="19"/>
      <c r="N446" s="19"/>
      <c r="O446" s="19"/>
      <c r="P446" s="19"/>
      <c r="Q446" s="19"/>
      <c r="R446" s="19"/>
      <c r="S446" s="19"/>
      <c r="T446" s="19"/>
      <c r="U446" s="19"/>
      <c r="V446" s="19"/>
      <c r="W446" s="19"/>
      <c r="X446" s="19"/>
      <c r="Y446" s="19"/>
    </row>
    <row r="447" spans="1:25" ht="12" customHeight="1">
      <c r="A447" s="219" t="n" cm="1">
        <f t="array" ref="A447">IFERROR(INDEX('03.Muestra'!$B$8:$B$42,SMALL(IF("Página Web"='03.Muestra'!$D$8:$D$42,ROW('03.Muestra'!$B$8:$B$42)-MIN(ROW('03.Muestra'!$D$8:$D$42))+1,""),ROW()-436)),"")</f>
        <v>1.0</v>
      </c>
      <c r="B447" s="114" t="str" cm="1">
        <f t="array" ref="B447">IFERROR(INDEX('03.Muestra'!$C$8:$C$42,SMALL(IF("Página Web"='03.Muestra'!$D$8:$D$42,ROW('03.Muestra'!$C$8:$C$42)-MIN(ROW('03.Muestra'!$D$8:$D$42))+1,""),ROW()-436)),"")</f>
        <v>Home - PortCastelló</v>
      </c>
      <c r="C447" s="114" t="str" cm="1">
        <f t="array" ref="C447">IFERROR(INDEX('03.Muestra'!$F$8:$F$42,SMALL(IF("Página Web"='03.Muestra'!$D$8:$D$42,ROW('03.Muestra'!$F$8:$F$42)-MIN(ROW('03.Muestra'!$D$8:$D$42))+1,""),ROW()-436)),"")</f>
        <v>https://www.portcastello.com/</v>
      </c>
      <c r="D447" s="130" t="str">
        <f t="shared" si="23"/>
        <v>N/T</v>
      </c>
      <c r="E447" s="107" t="str">
        <f t="shared" si="22"/>
        <v/>
      </c>
      <c r="F447" s="19"/>
      <c r="G447" s="19"/>
      <c r="H447" s="19"/>
      <c r="I447" s="19"/>
      <c r="J447" s="19"/>
      <c r="K447" s="233"/>
      <c r="L447" s="19"/>
      <c r="M447" s="19"/>
      <c r="N447" s="19"/>
      <c r="O447" s="19"/>
      <c r="P447" s="19"/>
      <c r="Q447" s="19"/>
      <c r="R447" s="19"/>
      <c r="S447" s="19"/>
      <c r="T447" s="19"/>
      <c r="U447" s="19"/>
      <c r="V447" s="19"/>
      <c r="W447" s="19"/>
      <c r="X447" s="19"/>
      <c r="Y447" s="19"/>
    </row>
    <row r="448" spans="1:25" ht="12" customHeight="1">
      <c r="A448" s="219" t="n" cm="1">
        <f t="array" ref="A448">IFERROR(INDEX('03.Muestra'!$B$8:$B$42,SMALL(IF("Página Web"='03.Muestra'!$D$8:$D$42,ROW('03.Muestra'!$B$8:$B$42)-MIN(ROW('03.Muestra'!$D$8:$D$42))+1,""),ROW()-436)),"")</f>
        <v>1.0</v>
      </c>
      <c r="B448" s="114" t="str" cm="1">
        <f t="array" ref="B448">IFERROR(INDEX('03.Muestra'!$C$8:$C$42,SMALL(IF("Página Web"='03.Muestra'!$D$8:$D$42,ROW('03.Muestra'!$C$8:$C$42)-MIN(ROW('03.Muestra'!$D$8:$D$42))+1,""),ROW()-436)),"")</f>
        <v>Home - PortCastelló</v>
      </c>
      <c r="C448" s="114" t="str" cm="1">
        <f t="array" ref="C448">IFERROR(INDEX('03.Muestra'!$F$8:$F$42,SMALL(IF("Página Web"='03.Muestra'!$D$8:$D$42,ROW('03.Muestra'!$F$8:$F$42)-MIN(ROW('03.Muestra'!$D$8:$D$42))+1,""),ROW()-436)),"")</f>
        <v>https://www.portcastello.com/</v>
      </c>
      <c r="D448" s="130" t="str">
        <f t="shared" si="23"/>
        <v>N/T</v>
      </c>
      <c r="E448" s="107" t="str">
        <f t="shared" si="22"/>
        <v/>
      </c>
      <c r="F448" s="19"/>
      <c r="G448" s="19"/>
      <c r="H448" s="19"/>
      <c r="I448" s="19"/>
      <c r="J448" s="19"/>
      <c r="K448" s="233"/>
      <c r="L448" s="19"/>
      <c r="M448" s="19"/>
      <c r="N448" s="19"/>
      <c r="O448" s="19"/>
      <c r="P448" s="19"/>
      <c r="Q448" s="19"/>
      <c r="R448" s="19"/>
      <c r="S448" s="19"/>
      <c r="T448" s="19"/>
      <c r="U448" s="19"/>
      <c r="V448" s="19"/>
      <c r="W448" s="19"/>
      <c r="X448" s="19"/>
      <c r="Y448" s="19"/>
    </row>
    <row r="449" spans="1:25" ht="12" customHeight="1">
      <c r="A449" s="219" t="n" cm="1">
        <f t="array" ref="A449">IFERROR(INDEX('03.Muestra'!$B$8:$B$42,SMALL(IF("Página Web"='03.Muestra'!$D$8:$D$42,ROW('03.Muestra'!$B$8:$B$42)-MIN(ROW('03.Muestra'!$D$8:$D$42))+1,""),ROW()-436)),"")</f>
        <v>1.0</v>
      </c>
      <c r="B449" s="114" t="str" cm="1">
        <f t="array" ref="B449">IFERROR(INDEX('03.Muestra'!$C$8:$C$42,SMALL(IF("Página Web"='03.Muestra'!$D$8:$D$42,ROW('03.Muestra'!$C$8:$C$42)-MIN(ROW('03.Muestra'!$D$8:$D$42))+1,""),ROW()-436)),"")</f>
        <v>Home - PortCastelló</v>
      </c>
      <c r="C449" s="114" t="str" cm="1">
        <f t="array" ref="C449">IFERROR(INDEX('03.Muestra'!$F$8:$F$42,SMALL(IF("Página Web"='03.Muestra'!$D$8:$D$42,ROW('03.Muestra'!$F$8:$F$42)-MIN(ROW('03.Muestra'!$D$8:$D$42))+1,""),ROW()-436)),"")</f>
        <v>https://www.portcastello.com/</v>
      </c>
      <c r="D449" s="130" t="str">
        <f t="shared" si="23"/>
        <v>N/T</v>
      </c>
      <c r="E449" s="107" t="str">
        <f t="shared" si="22"/>
        <v/>
      </c>
      <c r="F449" s="19"/>
      <c r="G449" s="19"/>
      <c r="H449" s="19"/>
      <c r="I449" s="19"/>
      <c r="J449" s="19"/>
      <c r="K449" s="233"/>
      <c r="L449" s="19"/>
      <c r="M449" s="19"/>
      <c r="N449" s="19"/>
      <c r="O449" s="19"/>
      <c r="P449" s="19"/>
      <c r="Q449" s="19"/>
      <c r="R449" s="19"/>
      <c r="S449" s="19"/>
      <c r="T449" s="19"/>
      <c r="U449" s="19"/>
      <c r="V449" s="19"/>
      <c r="W449" s="19"/>
      <c r="X449" s="19"/>
      <c r="Y449" s="19"/>
    </row>
    <row r="450" spans="1:25" ht="12" customHeight="1">
      <c r="A450" s="219" t="n" cm="1">
        <f t="array" ref="A450">IFERROR(INDEX('03.Muestra'!$B$8:$B$42,SMALL(IF("Página Web"='03.Muestra'!$D$8:$D$42,ROW('03.Muestra'!$B$8:$B$42)-MIN(ROW('03.Muestra'!$D$8:$D$42))+1,""),ROW()-436)),"")</f>
        <v>1.0</v>
      </c>
      <c r="B450" s="114" t="str" cm="1">
        <f t="array" ref="B450">IFERROR(INDEX('03.Muestra'!$C$8:$C$42,SMALL(IF("Página Web"='03.Muestra'!$D$8:$D$42,ROW('03.Muestra'!$C$8:$C$42)-MIN(ROW('03.Muestra'!$D$8:$D$42))+1,""),ROW()-436)),"")</f>
        <v>Home - PortCastelló</v>
      </c>
      <c r="C450" s="114" t="str" cm="1">
        <f t="array" ref="C450">IFERROR(INDEX('03.Muestra'!$F$8:$F$42,SMALL(IF("Página Web"='03.Muestra'!$D$8:$D$42,ROW('03.Muestra'!$F$8:$F$42)-MIN(ROW('03.Muestra'!$D$8:$D$42))+1,""),ROW()-436)),"")</f>
        <v>https://www.portcastello.com/</v>
      </c>
      <c r="D450" s="130" t="str">
        <f t="shared" si="23"/>
        <v>N/T</v>
      </c>
      <c r="E450" s="107" t="str">
        <f t="shared" si="22"/>
        <v/>
      </c>
      <c r="F450" s="19"/>
      <c r="G450" s="19"/>
      <c r="H450" s="19"/>
      <c r="I450" s="19"/>
      <c r="J450" s="19"/>
      <c r="K450" s="233"/>
      <c r="L450" s="19"/>
      <c r="M450" s="19"/>
      <c r="N450" s="19"/>
      <c r="O450" s="19"/>
      <c r="P450" s="19"/>
      <c r="Q450" s="19"/>
      <c r="R450" s="19"/>
      <c r="S450" s="19"/>
      <c r="T450" s="19"/>
      <c r="U450" s="19"/>
      <c r="V450" s="19"/>
      <c r="W450" s="19"/>
      <c r="X450" s="19"/>
      <c r="Y450" s="19"/>
    </row>
    <row r="451" spans="1:25" ht="12" customHeight="1">
      <c r="A451" s="219" t="n" cm="1">
        <f t="array" ref="A451">IFERROR(INDEX('03.Muestra'!$B$8:$B$42,SMALL(IF("Página Web"='03.Muestra'!$D$8:$D$42,ROW('03.Muestra'!$B$8:$B$42)-MIN(ROW('03.Muestra'!$D$8:$D$42))+1,""),ROW()-436)),"")</f>
        <v>1.0</v>
      </c>
      <c r="B451" s="114" t="str" cm="1">
        <f t="array" ref="B451">IFERROR(INDEX('03.Muestra'!$C$8:$C$42,SMALL(IF("Página Web"='03.Muestra'!$D$8:$D$42,ROW('03.Muestra'!$C$8:$C$42)-MIN(ROW('03.Muestra'!$D$8:$D$42))+1,""),ROW()-436)),"")</f>
        <v>Home - PortCastelló</v>
      </c>
      <c r="C451" s="114" t="str" cm="1">
        <f t="array" ref="C451">IFERROR(INDEX('03.Muestra'!$F$8:$F$42,SMALL(IF("Página Web"='03.Muestra'!$D$8:$D$42,ROW('03.Muestra'!$F$8:$F$42)-MIN(ROW('03.Muestra'!$D$8:$D$42))+1,""),ROW()-436)),"")</f>
        <v>https://www.portcastello.com/</v>
      </c>
      <c r="D451" s="130" t="str">
        <f t="shared" si="23"/>
        <v>N/T</v>
      </c>
      <c r="E451" s="107" t="str">
        <f t="shared" si="22"/>
        <v/>
      </c>
      <c r="F451" s="19"/>
      <c r="G451" s="19"/>
      <c r="H451" s="19"/>
      <c r="I451" s="19"/>
      <c r="J451" s="19"/>
      <c r="K451" s="233"/>
      <c r="L451" s="19"/>
      <c r="M451" s="19"/>
      <c r="N451" s="19"/>
      <c r="O451" s="19"/>
      <c r="P451" s="19"/>
      <c r="Q451" s="19"/>
      <c r="R451" s="19"/>
      <c r="S451" s="19"/>
      <c r="T451" s="19"/>
      <c r="U451" s="19"/>
      <c r="V451" s="19"/>
      <c r="W451" s="19"/>
      <c r="X451" s="19"/>
      <c r="Y451" s="19"/>
    </row>
    <row r="452" spans="1:25" ht="12" customHeight="1">
      <c r="A452" s="219" t="n" cm="1">
        <f t="array" ref="A452">IFERROR(INDEX('03.Muestra'!$B$8:$B$42,SMALL(IF("Página Web"='03.Muestra'!$D$8:$D$42,ROW('03.Muestra'!$B$8:$B$42)-MIN(ROW('03.Muestra'!$D$8:$D$42))+1,""),ROW()-436)),"")</f>
        <v>1.0</v>
      </c>
      <c r="B452" s="114" t="str" cm="1">
        <f t="array" ref="B452">IFERROR(INDEX('03.Muestra'!$C$8:$C$42,SMALL(IF("Página Web"='03.Muestra'!$D$8:$D$42,ROW('03.Muestra'!$C$8:$C$42)-MIN(ROW('03.Muestra'!$D$8:$D$42))+1,""),ROW()-436)),"")</f>
        <v>Home - PortCastelló</v>
      </c>
      <c r="C452" s="114" t="str" cm="1">
        <f t="array" ref="C452">IFERROR(INDEX('03.Muestra'!$F$8:$F$42,SMALL(IF("Página Web"='03.Muestra'!$D$8:$D$42,ROW('03.Muestra'!$F$8:$F$42)-MIN(ROW('03.Muestra'!$D$8:$D$42))+1,""),ROW()-436)),"")</f>
        <v>https://www.portcastello.com/</v>
      </c>
      <c r="D452" s="130" t="str">
        <f t="shared" si="23"/>
        <v>N/T</v>
      </c>
      <c r="E452" s="107" t="str">
        <f t="shared" si="22"/>
        <v/>
      </c>
      <c r="F452" s="19"/>
      <c r="G452" s="19"/>
      <c r="H452" s="19"/>
      <c r="I452" s="19"/>
      <c r="J452" s="19"/>
      <c r="K452" s="233"/>
      <c r="L452" s="19"/>
      <c r="M452" s="19"/>
      <c r="N452" s="19"/>
      <c r="O452" s="19"/>
      <c r="P452" s="19"/>
      <c r="Q452" s="19"/>
      <c r="R452" s="19"/>
      <c r="S452" s="19"/>
      <c r="T452" s="19"/>
      <c r="U452" s="19"/>
      <c r="V452" s="19"/>
      <c r="W452" s="19"/>
      <c r="X452" s="19"/>
      <c r="Y452" s="19"/>
    </row>
    <row r="453" spans="1:25" ht="12" customHeight="1">
      <c r="A453" s="219" t="n" cm="1">
        <f t="array" ref="A453">IFERROR(INDEX('03.Muestra'!$B$8:$B$42,SMALL(IF("Página Web"='03.Muestra'!$D$8:$D$42,ROW('03.Muestra'!$B$8:$B$42)-MIN(ROW('03.Muestra'!$D$8:$D$42))+1,""),ROW()-436)),"")</f>
        <v>1.0</v>
      </c>
      <c r="B453" s="114" t="str" cm="1">
        <f t="array" ref="B453">IFERROR(INDEX('03.Muestra'!$C$8:$C$42,SMALL(IF("Página Web"='03.Muestra'!$D$8:$D$42,ROW('03.Muestra'!$C$8:$C$42)-MIN(ROW('03.Muestra'!$D$8:$D$42))+1,""),ROW()-436)),"")</f>
        <v>Home - PortCastelló</v>
      </c>
      <c r="C453" s="114" t="str" cm="1">
        <f t="array" ref="C453">IFERROR(INDEX('03.Muestra'!$F$8:$F$42,SMALL(IF("Página Web"='03.Muestra'!$D$8:$D$42,ROW('03.Muestra'!$F$8:$F$42)-MIN(ROW('03.Muestra'!$D$8:$D$42))+1,""),ROW()-436)),"")</f>
        <v>https://www.portcastello.com/</v>
      </c>
      <c r="D453" s="130" t="str">
        <f t="shared" si="23"/>
        <v>N/T</v>
      </c>
      <c r="E453" s="107" t="str">
        <f t="shared" si="22"/>
        <v/>
      </c>
      <c r="F453" s="19"/>
      <c r="G453" s="19"/>
      <c r="H453" s="19"/>
      <c r="I453" s="19"/>
      <c r="J453" s="19"/>
      <c r="K453" s="233"/>
      <c r="L453" s="19"/>
      <c r="M453" s="19"/>
      <c r="N453" s="19"/>
      <c r="O453" s="19"/>
      <c r="P453" s="19"/>
      <c r="Q453" s="19"/>
      <c r="R453" s="19"/>
      <c r="S453" s="19"/>
      <c r="T453" s="19"/>
      <c r="U453" s="19"/>
      <c r="V453" s="19"/>
      <c r="W453" s="19"/>
      <c r="X453" s="19"/>
      <c r="Y453" s="19"/>
    </row>
    <row r="454" spans="1:25" ht="12" customHeight="1">
      <c r="A454" s="219" t="n" cm="1">
        <f t="array" ref="A454">IFERROR(INDEX('03.Muestra'!$B$8:$B$42,SMALL(IF("Página Web"='03.Muestra'!$D$8:$D$42,ROW('03.Muestra'!$B$8:$B$42)-MIN(ROW('03.Muestra'!$D$8:$D$42))+1,""),ROW()-436)),"")</f>
        <v>1.0</v>
      </c>
      <c r="B454" s="114" t="str" cm="1">
        <f t="array" ref="B454">IFERROR(INDEX('03.Muestra'!$C$8:$C$42,SMALL(IF("Página Web"='03.Muestra'!$D$8:$D$42,ROW('03.Muestra'!$C$8:$C$42)-MIN(ROW('03.Muestra'!$D$8:$D$42))+1,""),ROW()-436)),"")</f>
        <v>Home - PortCastelló</v>
      </c>
      <c r="C454" s="114" t="str" cm="1">
        <f t="array" ref="C454">IFERROR(INDEX('03.Muestra'!$F$8:$F$42,SMALL(IF("Página Web"='03.Muestra'!$D$8:$D$42,ROW('03.Muestra'!$F$8:$F$42)-MIN(ROW('03.Muestra'!$D$8:$D$42))+1,""),ROW()-436)),"")</f>
        <v>https://www.portcastello.com/</v>
      </c>
      <c r="D454" s="130" t="str">
        <f t="shared" si="23"/>
        <v>N/T</v>
      </c>
      <c r="E454" s="107" t="str">
        <f t="shared" si="22"/>
        <v/>
      </c>
      <c r="F454" s="19"/>
      <c r="G454" s="19"/>
      <c r="H454" s="19"/>
      <c r="I454" s="19"/>
      <c r="J454" s="19"/>
      <c r="K454" s="233"/>
      <c r="L454" s="19"/>
      <c r="M454" s="19"/>
      <c r="N454" s="19"/>
      <c r="O454" s="19"/>
      <c r="P454" s="19"/>
      <c r="Q454" s="19"/>
      <c r="R454" s="19"/>
      <c r="S454" s="19"/>
      <c r="T454" s="19"/>
      <c r="U454" s="19"/>
      <c r="V454" s="19"/>
      <c r="W454" s="19"/>
      <c r="X454" s="19"/>
      <c r="Y454" s="19"/>
    </row>
    <row r="455" spans="1:25" ht="12" customHeight="1">
      <c r="A455" s="219" t="n" cm="1">
        <f t="array" ref="A455">IFERROR(INDEX('03.Muestra'!$B$8:$B$42,SMALL(IF("Página Web"='03.Muestra'!$D$8:$D$42,ROW('03.Muestra'!$B$8:$B$42)-MIN(ROW('03.Muestra'!$D$8:$D$42))+1,""),ROW()-436)),"")</f>
        <v>1.0</v>
      </c>
      <c r="B455" s="114" t="str" cm="1">
        <f t="array" ref="B455">IFERROR(INDEX('03.Muestra'!$C$8:$C$42,SMALL(IF("Página Web"='03.Muestra'!$D$8:$D$42,ROW('03.Muestra'!$C$8:$C$42)-MIN(ROW('03.Muestra'!$D$8:$D$42))+1,""),ROW()-436)),"")</f>
        <v>Home - PortCastelló</v>
      </c>
      <c r="C455" s="114" t="str" cm="1">
        <f t="array" ref="C455">IFERROR(INDEX('03.Muestra'!$F$8:$F$42,SMALL(IF("Página Web"='03.Muestra'!$D$8:$D$42,ROW('03.Muestra'!$F$8:$F$42)-MIN(ROW('03.Muestra'!$D$8:$D$42))+1,""),ROW()-436)),"")</f>
        <v>https://www.portcastello.com/</v>
      </c>
      <c r="D455" s="130" t="str">
        <f t="shared" si="23"/>
        <v>N/T</v>
      </c>
      <c r="E455" s="107" t="str">
        <f t="shared" si="22"/>
        <v/>
      </c>
      <c r="F455" s="19"/>
      <c r="G455" s="19"/>
      <c r="H455" s="19"/>
      <c r="I455" s="19"/>
      <c r="J455" s="19"/>
      <c r="K455" s="233"/>
      <c r="L455" s="19"/>
      <c r="M455" s="19"/>
      <c r="N455" s="19"/>
      <c r="O455" s="19"/>
      <c r="P455" s="19"/>
      <c r="Q455" s="19"/>
      <c r="R455" s="19"/>
      <c r="S455" s="19"/>
      <c r="T455" s="19"/>
      <c r="U455" s="19"/>
      <c r="V455" s="19"/>
      <c r="W455" s="19"/>
      <c r="X455" s="19"/>
      <c r="Y455" s="19"/>
    </row>
    <row r="456" spans="1:25" ht="12" customHeight="1">
      <c r="A456" s="219" t="n" cm="1">
        <f t="array" ref="A456">IFERROR(INDEX('03.Muestra'!$B$8:$B$42,SMALL(IF("Página Web"='03.Muestra'!$D$8:$D$42,ROW('03.Muestra'!$B$8:$B$42)-MIN(ROW('03.Muestra'!$D$8:$D$42))+1,""),ROW()-436)),"")</f>
        <v>1.0</v>
      </c>
      <c r="B456" s="114" t="str" cm="1">
        <f t="array" ref="B456">IFERROR(INDEX('03.Muestra'!$C$8:$C$42,SMALL(IF("Página Web"='03.Muestra'!$D$8:$D$42,ROW('03.Muestra'!$C$8:$C$42)-MIN(ROW('03.Muestra'!$D$8:$D$42))+1,""),ROW()-436)),"")</f>
        <v>Home - PortCastelló</v>
      </c>
      <c r="C456" s="114" t="str" cm="1">
        <f t="array" ref="C456">IFERROR(INDEX('03.Muestra'!$F$8:$F$42,SMALL(IF("Página Web"='03.Muestra'!$D$8:$D$42,ROW('03.Muestra'!$F$8:$F$42)-MIN(ROW('03.Muestra'!$D$8:$D$42))+1,""),ROW()-436)),"")</f>
        <v>https://www.portcastello.com/</v>
      </c>
      <c r="D456" s="130" t="str">
        <f t="shared" si="23"/>
        <v>N/T</v>
      </c>
      <c r="E456" s="107" t="str">
        <f t="shared" si="22"/>
        <v/>
      </c>
      <c r="F456" s="19"/>
      <c r="G456" s="19"/>
      <c r="H456" s="19"/>
      <c r="I456" s="19"/>
      <c r="J456" s="19"/>
      <c r="K456" s="233"/>
      <c r="L456" s="19"/>
      <c r="M456" s="19"/>
      <c r="N456" s="19"/>
      <c r="O456" s="19"/>
      <c r="P456" s="19"/>
      <c r="Q456" s="19"/>
      <c r="R456" s="19"/>
      <c r="S456" s="19"/>
      <c r="T456" s="19"/>
      <c r="U456" s="19"/>
      <c r="V456" s="19"/>
      <c r="W456" s="19"/>
      <c r="X456" s="19"/>
      <c r="Y456" s="19"/>
    </row>
    <row r="457" spans="1:25" ht="12" customHeight="1">
      <c r="A457" s="219" t="n" cm="1">
        <f t="array" ref="A457">IFERROR(INDEX('03.Muestra'!$B$8:$B$42,SMALL(IF("Página Web"='03.Muestra'!$D$8:$D$42,ROW('03.Muestra'!$B$8:$B$42)-MIN(ROW('03.Muestra'!$D$8:$D$42))+1,""),ROW()-436)),"")</f>
        <v>1.0</v>
      </c>
      <c r="B457" s="114" t="str" cm="1">
        <f t="array" ref="B457">IFERROR(INDEX('03.Muestra'!$C$8:$C$42,SMALL(IF("Página Web"='03.Muestra'!$D$8:$D$42,ROW('03.Muestra'!$C$8:$C$42)-MIN(ROW('03.Muestra'!$D$8:$D$42))+1,""),ROW()-436)),"")</f>
        <v>Home - PortCastelló</v>
      </c>
      <c r="C457" s="114" t="str" cm="1">
        <f t="array" ref="C457">IFERROR(INDEX('03.Muestra'!$F$8:$F$42,SMALL(IF("Página Web"='03.Muestra'!$D$8:$D$42,ROW('03.Muestra'!$F$8:$F$42)-MIN(ROW('03.Muestra'!$D$8:$D$42))+1,""),ROW()-436)),"")</f>
        <v>https://www.portcastello.com/</v>
      </c>
      <c r="D457" s="130" t="str">
        <f t="shared" si="23"/>
        <v>N/T</v>
      </c>
      <c r="E457" s="107" t="str">
        <f t="shared" si="22"/>
        <v/>
      </c>
      <c r="F457" s="19"/>
      <c r="G457" s="19"/>
      <c r="H457" s="19"/>
      <c r="I457" s="19"/>
      <c r="J457" s="19"/>
      <c r="K457" s="233"/>
      <c r="L457" s="19"/>
      <c r="M457" s="19"/>
      <c r="N457" s="19"/>
      <c r="O457" s="19"/>
      <c r="P457" s="19"/>
      <c r="Q457" s="19"/>
      <c r="R457" s="19"/>
      <c r="S457" s="19"/>
      <c r="T457" s="19"/>
      <c r="U457" s="19"/>
      <c r="V457" s="19"/>
      <c r="W457" s="19"/>
      <c r="X457" s="19"/>
      <c r="Y457" s="19"/>
    </row>
    <row r="458" spans="1:25" ht="12" customHeight="1">
      <c r="A458" s="219" t="n" cm="1">
        <f t="array" ref="A458">IFERROR(INDEX('03.Muestra'!$B$8:$B$42,SMALL(IF("Página Web"='03.Muestra'!$D$8:$D$42,ROW('03.Muestra'!$B$8:$B$42)-MIN(ROW('03.Muestra'!$D$8:$D$42))+1,""),ROW()-436)),"")</f>
        <v>1.0</v>
      </c>
      <c r="B458" s="114" t="str" cm="1">
        <f t="array" ref="B458">IFERROR(INDEX('03.Muestra'!$C$8:$C$42,SMALL(IF("Página Web"='03.Muestra'!$D$8:$D$42,ROW('03.Muestra'!$C$8:$C$42)-MIN(ROW('03.Muestra'!$D$8:$D$42))+1,""),ROW()-436)),"")</f>
        <v>Home - PortCastelló</v>
      </c>
      <c r="C458" s="114" t="str" cm="1">
        <f t="array" ref="C458">IFERROR(INDEX('03.Muestra'!$F$8:$F$42,SMALL(IF("Página Web"='03.Muestra'!$D$8:$D$42,ROW('03.Muestra'!$F$8:$F$42)-MIN(ROW('03.Muestra'!$D$8:$D$42))+1,""),ROW()-436)),"")</f>
        <v>https://www.portcastello.com/</v>
      </c>
      <c r="D458" s="130" t="str">
        <f t="shared" si="23"/>
        <v>N/T</v>
      </c>
      <c r="E458" s="107" t="str">
        <f t="shared" si="22"/>
        <v/>
      </c>
      <c r="F458" s="19"/>
      <c r="G458" s="19"/>
      <c r="H458" s="19"/>
      <c r="I458" s="19"/>
      <c r="J458" s="19"/>
      <c r="K458" s="233"/>
      <c r="L458" s="19"/>
      <c r="M458" s="19"/>
      <c r="N458" s="19"/>
      <c r="O458" s="19"/>
      <c r="P458" s="19"/>
      <c r="Q458" s="19"/>
      <c r="R458" s="19"/>
      <c r="S458" s="19"/>
      <c r="T458" s="19"/>
      <c r="U458" s="19"/>
      <c r="V458" s="19"/>
      <c r="W458" s="19"/>
      <c r="X458" s="19"/>
      <c r="Y458" s="19"/>
    </row>
    <row r="459" spans="1:25" ht="12" customHeight="1">
      <c r="A459" s="219" t="n" cm="1">
        <f t="array" ref="A459">IFERROR(INDEX('03.Muestra'!$B$8:$B$42,SMALL(IF("Página Web"='03.Muestra'!$D$8:$D$42,ROW('03.Muestra'!$B$8:$B$42)-MIN(ROW('03.Muestra'!$D$8:$D$42))+1,""),ROW()-436)),"")</f>
        <v>1.0</v>
      </c>
      <c r="B459" s="114" t="str" cm="1">
        <f t="array" ref="B459">IFERROR(INDEX('03.Muestra'!$C$8:$C$42,SMALL(IF("Página Web"='03.Muestra'!$D$8:$D$42,ROW('03.Muestra'!$C$8:$C$42)-MIN(ROW('03.Muestra'!$D$8:$D$42))+1,""),ROW()-436)),"")</f>
        <v>Home - PortCastelló</v>
      </c>
      <c r="C459" s="114" t="str" cm="1">
        <f t="array" ref="C459">IFERROR(INDEX('03.Muestra'!$F$8:$F$42,SMALL(IF("Página Web"='03.Muestra'!$D$8:$D$42,ROW('03.Muestra'!$F$8:$F$42)-MIN(ROW('03.Muestra'!$D$8:$D$42))+1,""),ROW()-436)),"")</f>
        <v>https://www.portcastello.com/</v>
      </c>
      <c r="D459" s="130" t="str">
        <f t="shared" si="23"/>
        <v>N/T</v>
      </c>
      <c r="E459" s="107" t="str">
        <f t="shared" si="22"/>
        <v/>
      </c>
      <c r="F459" s="19"/>
      <c r="G459" s="19"/>
      <c r="H459" s="19"/>
      <c r="I459" s="19"/>
      <c r="J459" s="19"/>
      <c r="K459" s="233"/>
      <c r="L459" s="19"/>
      <c r="M459" s="19"/>
      <c r="N459" s="19"/>
      <c r="O459" s="19"/>
      <c r="P459" s="19"/>
      <c r="Q459" s="19"/>
      <c r="R459" s="19"/>
      <c r="S459" s="19"/>
      <c r="T459" s="19"/>
      <c r="U459" s="19"/>
      <c r="V459" s="19"/>
      <c r="W459" s="19"/>
      <c r="X459" s="19"/>
      <c r="Y459" s="19"/>
    </row>
    <row r="460" spans="1:25" ht="12" customHeight="1">
      <c r="A460" s="219" t="n" cm="1">
        <f t="array" ref="A460">IFERROR(INDEX('03.Muestra'!$B$8:$B$42,SMALL(IF("Página Web"='03.Muestra'!$D$8:$D$42,ROW('03.Muestra'!$B$8:$B$42)-MIN(ROW('03.Muestra'!$D$8:$D$42))+1,""),ROW()-436)),"")</f>
        <v>1.0</v>
      </c>
      <c r="B460" s="114" t="str" cm="1">
        <f t="array" ref="B460">IFERROR(INDEX('03.Muestra'!$C$8:$C$42,SMALL(IF("Página Web"='03.Muestra'!$D$8:$D$42,ROW('03.Muestra'!$C$8:$C$42)-MIN(ROW('03.Muestra'!$D$8:$D$42))+1,""),ROW()-436)),"")</f>
        <v>Home - PortCastelló</v>
      </c>
      <c r="C460" s="114" t="str" cm="1">
        <f t="array" ref="C460">IFERROR(INDEX('03.Muestra'!$F$8:$F$42,SMALL(IF("Página Web"='03.Muestra'!$D$8:$D$42,ROW('03.Muestra'!$F$8:$F$42)-MIN(ROW('03.Muestra'!$D$8:$D$42))+1,""),ROW()-436)),"")</f>
        <v>https://www.portcastello.com/</v>
      </c>
      <c r="D460" s="130" t="str">
        <f t="shared" si="23"/>
        <v>N/T</v>
      </c>
      <c r="E460" s="107" t="str">
        <f t="shared" si="22"/>
        <v/>
      </c>
      <c r="F460" s="19"/>
      <c r="G460" s="19"/>
      <c r="H460" s="19"/>
      <c r="I460" s="19"/>
      <c r="J460" s="19"/>
      <c r="K460" s="233"/>
      <c r="L460" s="19"/>
      <c r="M460" s="19"/>
      <c r="N460" s="19"/>
      <c r="O460" s="19"/>
      <c r="P460" s="19"/>
      <c r="Q460" s="19"/>
      <c r="R460" s="19"/>
      <c r="S460" s="19"/>
      <c r="T460" s="19"/>
      <c r="U460" s="19"/>
      <c r="V460" s="19"/>
      <c r="W460" s="19"/>
      <c r="X460" s="19"/>
      <c r="Y460" s="19"/>
    </row>
    <row r="461" spans="1:25" ht="12" customHeight="1">
      <c r="A461" s="219" t="n" cm="1">
        <f t="array" ref="A461">IFERROR(INDEX('03.Muestra'!$B$8:$B$42,SMALL(IF("Página Web"='03.Muestra'!$D$8:$D$42,ROW('03.Muestra'!$B$8:$B$42)-MIN(ROW('03.Muestra'!$D$8:$D$42))+1,""),ROW()-436)),"")</f>
        <v>1.0</v>
      </c>
      <c r="B461" s="114" t="str" cm="1">
        <f t="array" ref="B461">IFERROR(INDEX('03.Muestra'!$C$8:$C$42,SMALL(IF("Página Web"='03.Muestra'!$D$8:$D$42,ROW('03.Muestra'!$C$8:$C$42)-MIN(ROW('03.Muestra'!$D$8:$D$42))+1,""),ROW()-436)),"")</f>
        <v>Home - PortCastelló</v>
      </c>
      <c r="C461" s="114" t="str" cm="1">
        <f t="array" ref="C461">IFERROR(INDEX('03.Muestra'!$F$8:$F$42,SMALL(IF("Página Web"='03.Muestra'!$D$8:$D$42,ROW('03.Muestra'!$F$8:$F$42)-MIN(ROW('03.Muestra'!$D$8:$D$42))+1,""),ROW()-436)),"")</f>
        <v>https://www.portcastello.com/</v>
      </c>
      <c r="D461" s="130" t="str">
        <f t="shared" si="23"/>
        <v>N/T</v>
      </c>
      <c r="E461" s="107" t="str">
        <f t="shared" si="22"/>
        <v/>
      </c>
      <c r="F461" s="19"/>
      <c r="G461" s="19"/>
      <c r="H461" s="19"/>
      <c r="I461" s="19"/>
      <c r="J461" s="19"/>
      <c r="K461" s="233"/>
      <c r="L461" s="19"/>
      <c r="M461" s="19"/>
      <c r="N461" s="19"/>
      <c r="O461" s="19"/>
      <c r="P461" s="19"/>
      <c r="Q461" s="19"/>
      <c r="R461" s="19"/>
      <c r="S461" s="19"/>
      <c r="T461" s="19"/>
      <c r="U461" s="19"/>
      <c r="V461" s="19"/>
      <c r="W461" s="19"/>
      <c r="X461" s="19"/>
      <c r="Y461" s="19"/>
    </row>
    <row r="462" spans="1:25" ht="12" customHeight="1">
      <c r="A462" s="219" t="n" cm="1">
        <f t="array" ref="A462">IFERROR(INDEX('03.Muestra'!$B$8:$B$42,SMALL(IF("Página Web"='03.Muestra'!$D$8:$D$42,ROW('03.Muestra'!$B$8:$B$42)-MIN(ROW('03.Muestra'!$D$8:$D$42))+1,""),ROW()-436)),"")</f>
        <v>1.0</v>
      </c>
      <c r="B462" s="114" t="str" cm="1">
        <f t="array" ref="B462">IFERROR(INDEX('03.Muestra'!$C$8:$C$42,SMALL(IF("Página Web"='03.Muestra'!$D$8:$D$42,ROW('03.Muestra'!$C$8:$C$42)-MIN(ROW('03.Muestra'!$D$8:$D$42))+1,""),ROW()-436)),"")</f>
        <v>Home - PortCastelló</v>
      </c>
      <c r="C462" s="114" t="str" cm="1">
        <f t="array" ref="C462">IFERROR(INDEX('03.Muestra'!$F$8:$F$42,SMALL(IF("Página Web"='03.Muestra'!$D$8:$D$42,ROW('03.Muestra'!$F$8:$F$42)-MIN(ROW('03.Muestra'!$D$8:$D$42))+1,""),ROW()-436)),"")</f>
        <v>https://www.portcastello.com/</v>
      </c>
      <c r="D462" s="130" t="str">
        <f t="shared" si="23"/>
        <v>N/T</v>
      </c>
      <c r="E462" s="107" t="str">
        <f t="shared" si="22"/>
        <v/>
      </c>
      <c r="F462" s="19"/>
      <c r="G462" s="19"/>
      <c r="H462" s="19"/>
      <c r="I462" s="19"/>
      <c r="J462" s="19"/>
      <c r="K462" s="233"/>
      <c r="L462" s="19"/>
      <c r="M462" s="19"/>
      <c r="N462" s="19"/>
      <c r="O462" s="19"/>
      <c r="P462" s="19"/>
      <c r="Q462" s="19"/>
      <c r="R462" s="19"/>
      <c r="S462" s="19"/>
      <c r="T462" s="19"/>
      <c r="U462" s="19"/>
      <c r="V462" s="19"/>
      <c r="W462" s="19"/>
      <c r="X462" s="19"/>
      <c r="Y462" s="19"/>
    </row>
    <row r="463" spans="1:25" ht="12" customHeight="1">
      <c r="A463" s="219" t="n" cm="1">
        <f t="array" ref="A463">IFERROR(INDEX('03.Muestra'!$B$8:$B$42,SMALL(IF("Página Web"='03.Muestra'!$D$8:$D$42,ROW('03.Muestra'!$B$8:$B$42)-MIN(ROW('03.Muestra'!$D$8:$D$42))+1,""),ROW()-436)),"")</f>
        <v>1.0</v>
      </c>
      <c r="B463" s="114" t="str" cm="1">
        <f t="array" ref="B463">IFERROR(INDEX('03.Muestra'!$C$8:$C$42,SMALL(IF("Página Web"='03.Muestra'!$D$8:$D$42,ROW('03.Muestra'!$C$8:$C$42)-MIN(ROW('03.Muestra'!$D$8:$D$42))+1,""),ROW()-436)),"")</f>
        <v>Home - PortCastelló</v>
      </c>
      <c r="C463" s="114" t="str" cm="1">
        <f t="array" ref="C463">IFERROR(INDEX('03.Muestra'!$F$8:$F$42,SMALL(IF("Página Web"='03.Muestra'!$D$8:$D$42,ROW('03.Muestra'!$F$8:$F$42)-MIN(ROW('03.Muestra'!$D$8:$D$42))+1,""),ROW()-436)),"")</f>
        <v>https://www.portcastello.com/</v>
      </c>
      <c r="D463" s="130" t="str">
        <f t="shared" si="23"/>
        <v>N/T</v>
      </c>
      <c r="E463" s="107" t="str">
        <f t="shared" si="22"/>
        <v/>
      </c>
      <c r="F463" s="19"/>
      <c r="G463" s="19"/>
      <c r="H463" s="19"/>
      <c r="I463" s="19"/>
      <c r="J463" s="19"/>
      <c r="K463" s="233"/>
      <c r="L463" s="19"/>
      <c r="M463" s="19"/>
      <c r="N463" s="19"/>
      <c r="O463" s="19"/>
      <c r="P463" s="19"/>
      <c r="Q463" s="19"/>
      <c r="R463" s="19"/>
      <c r="S463" s="19"/>
      <c r="T463" s="19"/>
      <c r="U463" s="19"/>
      <c r="V463" s="19"/>
      <c r="W463" s="19"/>
      <c r="X463" s="19"/>
      <c r="Y463" s="19"/>
    </row>
    <row r="464" spans="1:25" ht="12" customHeight="1">
      <c r="A464" s="219" t="n" cm="1">
        <f t="array" ref="A464">IFERROR(INDEX('03.Muestra'!$B$8:$B$42,SMALL(IF("Página Web"='03.Muestra'!$D$8:$D$42,ROW('03.Muestra'!$B$8:$B$42)-MIN(ROW('03.Muestra'!$D$8:$D$42))+1,""),ROW()-436)),"")</f>
        <v>1.0</v>
      </c>
      <c r="B464" s="114" t="str" cm="1">
        <f t="array" ref="B464">IFERROR(INDEX('03.Muestra'!$C$8:$C$42,SMALL(IF("Página Web"='03.Muestra'!$D$8:$D$42,ROW('03.Muestra'!$C$8:$C$42)-MIN(ROW('03.Muestra'!$D$8:$D$42))+1,""),ROW()-436)),"")</f>
        <v>Home - PortCastelló</v>
      </c>
      <c r="C464" s="114" t="str" cm="1">
        <f t="array" ref="C464">IFERROR(INDEX('03.Muestra'!$F$8:$F$42,SMALL(IF("Página Web"='03.Muestra'!$D$8:$D$42,ROW('03.Muestra'!$F$8:$F$42)-MIN(ROW('03.Muestra'!$D$8:$D$42))+1,""),ROW()-436)),"")</f>
        <v>https://www.portcastello.com/</v>
      </c>
      <c r="D464" s="130" t="str">
        <f t="shared" si="23"/>
        <v>N/T</v>
      </c>
      <c r="E464" s="107" t="str">
        <f t="shared" si="22"/>
        <v/>
      </c>
      <c r="G464" s="19"/>
      <c r="H464" s="19"/>
      <c r="I464" s="19"/>
      <c r="J464" s="19"/>
      <c r="K464" s="233"/>
      <c r="L464" s="19"/>
      <c r="M464" s="19"/>
      <c r="N464" s="19"/>
      <c r="O464" s="19"/>
      <c r="P464" s="19"/>
      <c r="Q464" s="19"/>
      <c r="R464" s="19"/>
      <c r="S464" s="19"/>
      <c r="T464" s="19"/>
      <c r="U464" s="19"/>
      <c r="V464" s="19"/>
      <c r="W464" s="19"/>
      <c r="X464" s="19"/>
      <c r="Y464" s="19"/>
    </row>
    <row r="465" spans="1:25" ht="12" customHeight="1">
      <c r="A465" s="219" t="n" cm="1">
        <f t="array" ref="A465">IFERROR(INDEX('03.Muestra'!$B$8:$B$42,SMALL(IF("Página Web"='03.Muestra'!$D$8:$D$42,ROW('03.Muestra'!$B$8:$B$42)-MIN(ROW('03.Muestra'!$D$8:$D$42))+1,""),ROW()-436)),"")</f>
        <v>1.0</v>
      </c>
      <c r="B465" s="114" t="str" cm="1">
        <f t="array" ref="B465">IFERROR(INDEX('03.Muestra'!$C$8:$C$42,SMALL(IF("Página Web"='03.Muestra'!$D$8:$D$42,ROW('03.Muestra'!$C$8:$C$42)-MIN(ROW('03.Muestra'!$D$8:$D$42))+1,""),ROW()-436)),"")</f>
        <v>Home - PortCastelló</v>
      </c>
      <c r="C465" s="114" t="str" cm="1">
        <f t="array" ref="C465">IFERROR(INDEX('03.Muestra'!$F$8:$F$42,SMALL(IF("Página Web"='03.Muestra'!$D$8:$D$42,ROW('03.Muestra'!$F$8:$F$42)-MIN(ROW('03.Muestra'!$D$8:$D$42))+1,""),ROW()-436)),"")</f>
        <v>https://www.portcastello.com/</v>
      </c>
      <c r="D465" s="130" t="str">
        <f t="shared" si="23"/>
        <v>N/T</v>
      </c>
      <c r="E465" s="107" t="str">
        <f t="shared" si="22"/>
        <v/>
      </c>
      <c r="F465" s="124"/>
      <c r="G465" s="19"/>
      <c r="H465" s="19"/>
      <c r="I465" s="19"/>
      <c r="J465" s="19"/>
      <c r="K465" s="233"/>
      <c r="L465" s="19"/>
      <c r="M465" s="19"/>
      <c r="N465" s="19"/>
      <c r="O465" s="19"/>
      <c r="P465" s="19"/>
      <c r="Q465" s="19"/>
      <c r="R465" s="19"/>
      <c r="S465" s="19"/>
      <c r="T465" s="19"/>
      <c r="U465" s="19"/>
      <c r="V465" s="19"/>
      <c r="W465" s="19"/>
      <c r="X465" s="19"/>
      <c r="Y465" s="19"/>
    </row>
    <row r="466" spans="1:25" ht="12" customHeight="1">
      <c r="A466" s="219" t="n" cm="1">
        <f t="array" ref="A466">IFERROR(INDEX('03.Muestra'!$B$8:$B$42,SMALL(IF("Página Web"='03.Muestra'!$D$8:$D$42,ROW('03.Muestra'!$B$8:$B$42)-MIN(ROW('03.Muestra'!$D$8:$D$42))+1,""),ROW()-436)),"")</f>
        <v>1.0</v>
      </c>
      <c r="B466" s="114" t="str" cm="1">
        <f t="array" ref="B466">IFERROR(INDEX('03.Muestra'!$C$8:$C$42,SMALL(IF("Página Web"='03.Muestra'!$D$8:$D$42,ROW('03.Muestra'!$C$8:$C$42)-MIN(ROW('03.Muestra'!$D$8:$D$42))+1,""),ROW()-436)),"")</f>
        <v>Home - PortCastelló</v>
      </c>
      <c r="C466" s="114" t="str" cm="1">
        <f t="array" ref="C466">IFERROR(INDEX('03.Muestra'!$F$8:$F$42,SMALL(IF("Página Web"='03.Muestra'!$D$8:$D$42,ROW('03.Muestra'!$F$8:$F$42)-MIN(ROW('03.Muestra'!$D$8:$D$42))+1,""),ROW()-436)),"")</f>
        <v>https://www.portcastello.com/</v>
      </c>
      <c r="D466" s="130" t="str">
        <f t="shared" si="23"/>
        <v>N/T</v>
      </c>
      <c r="E466" s="107" t="str">
        <f t="shared" si="22"/>
        <v/>
      </c>
      <c r="F466" s="124"/>
      <c r="G466" s="19"/>
      <c r="H466" s="19"/>
      <c r="I466" s="19"/>
      <c r="J466" s="19"/>
      <c r="K466" s="233"/>
      <c r="L466" s="19"/>
      <c r="M466" s="19"/>
      <c r="N466" s="19"/>
      <c r="O466" s="19"/>
      <c r="P466" s="19"/>
      <c r="Q466" s="19"/>
      <c r="R466" s="19"/>
      <c r="S466" s="19"/>
      <c r="T466" s="19"/>
      <c r="U466" s="19"/>
      <c r="V466" s="19"/>
      <c r="W466" s="19"/>
      <c r="X466" s="19"/>
      <c r="Y466" s="19"/>
    </row>
    <row r="467" spans="1:25" ht="12" customHeight="1">
      <c r="A467" s="219" t="n" cm="1">
        <f t="array" ref="A467">IFERROR(INDEX('03.Muestra'!$B$8:$B$42,SMALL(IF("Página Web"='03.Muestra'!$D$8:$D$42,ROW('03.Muestra'!$B$8:$B$42)-MIN(ROW('03.Muestra'!$D$8:$D$42))+1,""),ROW()-436)),"")</f>
        <v>1.0</v>
      </c>
      <c r="B467" s="114" t="str" cm="1">
        <f t="array" ref="B467">IFERROR(INDEX('03.Muestra'!$C$8:$C$42,SMALL(IF("Página Web"='03.Muestra'!$D$8:$D$42,ROW('03.Muestra'!$C$8:$C$42)-MIN(ROW('03.Muestra'!$D$8:$D$42))+1,""),ROW()-436)),"")</f>
        <v>Home - PortCastelló</v>
      </c>
      <c r="C467" s="114" t="str" cm="1">
        <f t="array" ref="C467">IFERROR(INDEX('03.Muestra'!$F$8:$F$42,SMALL(IF("Página Web"='03.Muestra'!$D$8:$D$42,ROW('03.Muestra'!$F$8:$F$42)-MIN(ROW('03.Muestra'!$D$8:$D$42))+1,""),ROW()-436)),"")</f>
        <v>https://www.portcastello.com/</v>
      </c>
      <c r="D467" s="130" t="str">
        <f t="shared" si="23"/>
        <v>N/T</v>
      </c>
      <c r="E467" s="107" t="str">
        <f t="shared" si="22"/>
        <v/>
      </c>
      <c r="F467" s="124"/>
      <c r="G467" s="19"/>
      <c r="H467" s="19"/>
      <c r="I467" s="19"/>
      <c r="J467" s="19"/>
      <c r="K467" s="233"/>
      <c r="L467" s="19"/>
      <c r="M467" s="19"/>
      <c r="N467" s="19"/>
      <c r="O467" s="19"/>
      <c r="P467" s="19"/>
      <c r="Q467" s="19"/>
      <c r="R467" s="19"/>
      <c r="S467" s="19"/>
      <c r="T467" s="19"/>
      <c r="U467" s="19"/>
      <c r="V467" s="19"/>
      <c r="W467" s="19"/>
      <c r="X467" s="19"/>
      <c r="Y467" s="19"/>
    </row>
    <row r="468" spans="1:25" ht="12" customHeight="1">
      <c r="A468" s="219" t="n" cm="1">
        <f t="array" ref="A468">IFERROR(INDEX('03.Muestra'!$B$8:$B$42,SMALL(IF("Página Web"='03.Muestra'!$D$8:$D$42,ROW('03.Muestra'!$B$8:$B$42)-MIN(ROW('03.Muestra'!$D$8:$D$42))+1,""),ROW()-436)),"")</f>
        <v>1.0</v>
      </c>
      <c r="B468" s="114" t="str" cm="1">
        <f t="array" ref="B468">IFERROR(INDEX('03.Muestra'!$C$8:$C$42,SMALL(IF("Página Web"='03.Muestra'!$D$8:$D$42,ROW('03.Muestra'!$C$8:$C$42)-MIN(ROW('03.Muestra'!$D$8:$D$42))+1,""),ROW()-436)),"")</f>
        <v>Home - PortCastelló</v>
      </c>
      <c r="C468" s="114" t="str" cm="1">
        <f t="array" ref="C468">IFERROR(INDEX('03.Muestra'!$F$8:$F$42,SMALL(IF("Página Web"='03.Muestra'!$D$8:$D$42,ROW('03.Muestra'!$F$8:$F$42)-MIN(ROW('03.Muestra'!$D$8:$D$42))+1,""),ROW()-436)),"")</f>
        <v>https://www.portcastello.com/</v>
      </c>
      <c r="D468" s="130" t="str">
        <f t="shared" si="23"/>
        <v>N/T</v>
      </c>
      <c r="E468" s="107" t="str">
        <f t="shared" si="22"/>
        <v/>
      </c>
      <c r="F468" s="124"/>
      <c r="G468" s="19"/>
      <c r="H468" s="19"/>
      <c r="I468" s="19"/>
      <c r="J468" s="19"/>
      <c r="K468" s="233"/>
      <c r="L468" s="19"/>
      <c r="M468" s="19"/>
      <c r="N468" s="19"/>
      <c r="O468" s="19"/>
      <c r="P468" s="19"/>
      <c r="Q468" s="19"/>
      <c r="R468" s="19"/>
      <c r="S468" s="19"/>
      <c r="T468" s="19"/>
      <c r="U468" s="19"/>
      <c r="V468" s="19"/>
      <c r="W468" s="19"/>
      <c r="X468" s="19"/>
      <c r="Y468" s="19"/>
    </row>
    <row r="469" spans="1:25" ht="12" customHeight="1">
      <c r="A469" s="219" t="n" cm="1">
        <f t="array" ref="A469">IFERROR(INDEX('03.Muestra'!$B$8:$B$42,SMALL(IF("Página Web"='03.Muestra'!$D$8:$D$42,ROW('03.Muestra'!$B$8:$B$42)-MIN(ROW('03.Muestra'!$D$8:$D$42))+1,""),ROW()-436)),"")</f>
        <v>1.0</v>
      </c>
      <c r="B469" s="114" t="str" cm="1">
        <f t="array" ref="B469">IFERROR(INDEX('03.Muestra'!$C$8:$C$42,SMALL(IF("Página Web"='03.Muestra'!$D$8:$D$42,ROW('03.Muestra'!$C$8:$C$42)-MIN(ROW('03.Muestra'!$D$8:$D$42))+1,""),ROW()-436)),"")</f>
        <v>Home - PortCastelló</v>
      </c>
      <c r="C469" s="114" t="str" cm="1">
        <f t="array" ref="C469">IFERROR(INDEX('03.Muestra'!$F$8:$F$42,SMALL(IF("Página Web"='03.Muestra'!$D$8:$D$42,ROW('03.Muestra'!$F$8:$F$42)-MIN(ROW('03.Muestra'!$D$8:$D$42))+1,""),ROW()-436)),"")</f>
        <v>https://www.portcastello.com/</v>
      </c>
      <c r="D469" s="130" t="str">
        <f t="shared" si="23"/>
        <v>N/T</v>
      </c>
      <c r="E469" s="107" t="str">
        <f t="shared" si="22"/>
        <v/>
      </c>
      <c r="F469" s="124"/>
      <c r="G469" s="19"/>
      <c r="H469" s="19"/>
      <c r="I469" s="19"/>
      <c r="J469" s="19"/>
      <c r="K469" s="233"/>
      <c r="L469" s="19"/>
      <c r="M469" s="19"/>
      <c r="N469" s="19"/>
      <c r="O469" s="19"/>
      <c r="P469" s="19"/>
      <c r="Q469" s="19"/>
      <c r="R469" s="19"/>
      <c r="S469" s="19"/>
      <c r="T469" s="19"/>
      <c r="U469" s="19"/>
      <c r="V469" s="19"/>
      <c r="W469" s="19"/>
      <c r="X469" s="19"/>
      <c r="Y469" s="19"/>
    </row>
    <row r="470" spans="1:25" ht="12" customHeight="1">
      <c r="A470" s="219" t="str" cm="1">
        <f t="array" ref="A470">IFERROR(INDEX('03.Muestra'!$B$8:$B$42,SMALL(IF("Página Web"='03.Muestra'!$D$8:$D$42,ROW('03.Muestra'!$B$8:$B$42)-MIN(ROW('03.Muestra'!$D$8:$D$42))+1,""),ROW()-436)),"")</f>
        <v/>
      </c>
      <c r="B470" s="114" t="str" cm="1">
        <f t="array" ref="B470">IFERROR(INDEX('03.Muestra'!$C$8:$C$42,SMALL(IF("Página Web"='03.Muestra'!$D$8:$D$42,ROW('03.Muestra'!$C$8:$C$42)-MIN(ROW('03.Muestra'!$D$8:$D$42))+1,""),ROW()-436)),"")</f>
        <v/>
      </c>
      <c r="C470" s="114" t="str" cm="1">
        <f t="array" ref="C470">IFERROR(INDEX('03.Muestra'!$F$8:$F$42,SMALL(IF("Página Web"='03.Muestra'!$D$8:$D$42,ROW('03.Muestra'!$F$8:$F$42)-MIN(ROW('03.Muestra'!$D$8:$D$42))+1,""),ROW()-436)),"")</f>
        <v/>
      </c>
      <c r="D470" s="130" t="str">
        <f t="shared" si="23"/>
        <v/>
      </c>
      <c r="E470" s="107" t="str">
        <f t="shared" si="22"/>
        <v/>
      </c>
      <c r="F470" s="124"/>
      <c r="G470" s="19"/>
      <c r="H470" s="19"/>
      <c r="I470" s="19"/>
      <c r="J470" s="19"/>
      <c r="K470" s="233"/>
      <c r="L470" s="19"/>
      <c r="M470" s="19"/>
      <c r="N470" s="19"/>
      <c r="O470" s="19"/>
      <c r="P470" s="19"/>
      <c r="Q470" s="19"/>
      <c r="R470" s="19"/>
      <c r="S470" s="19"/>
      <c r="T470" s="19"/>
      <c r="U470" s="19"/>
      <c r="V470" s="19"/>
      <c r="W470" s="19"/>
      <c r="X470" s="19"/>
      <c r="Y470" s="19"/>
    </row>
    <row r="471" spans="1:25" ht="12" customHeight="1">
      <c r="A471" s="219" t="str" cm="1">
        <f t="array" ref="A471">IFERROR(INDEX('03.Muestra'!$B$8:$B$42,SMALL(IF("Página Web"='03.Muestra'!$D$8:$D$42,ROW('03.Muestra'!$B$8:$B$42)-MIN(ROW('03.Muestra'!$D$8:$D$42))+1,""),ROW()-436)),"")</f>
        <v/>
      </c>
      <c r="B471" s="114" t="str" cm="1">
        <f t="array" ref="B471">IFERROR(INDEX('03.Muestra'!$C$8:$C$42,SMALL(IF("Página Web"='03.Muestra'!$D$8:$D$42,ROW('03.Muestra'!$C$8:$C$42)-MIN(ROW('03.Muestra'!$D$8:$D$42))+1,""),ROW()-436)),"")</f>
        <v/>
      </c>
      <c r="C471" s="114" t="str" cm="1">
        <f t="array" ref="C471">IFERROR(INDEX('03.Muestra'!$F$8:$F$42,SMALL(IF("Página Web"='03.Muestra'!$D$8:$D$42,ROW('03.Muestra'!$F$8:$F$42)-MIN(ROW('03.Muestra'!$D$8:$D$42))+1,""),ROW()-436)),"")</f>
        <v/>
      </c>
      <c r="D471" s="130" t="str">
        <f t="shared" si="23"/>
        <v/>
      </c>
      <c r="E471" s="107" t="str">
        <f t="shared" si="22"/>
        <v/>
      </c>
      <c r="F471" s="19"/>
      <c r="G471" s="19"/>
      <c r="H471" s="19"/>
      <c r="I471" s="19"/>
      <c r="J471" s="19"/>
      <c r="K471" s="233"/>
      <c r="L471" s="19"/>
      <c r="M471" s="19"/>
      <c r="N471" s="19"/>
      <c r="O471" s="19"/>
      <c r="P471" s="19"/>
      <c r="Q471" s="19"/>
      <c r="R471" s="19"/>
      <c r="S471" s="19"/>
      <c r="T471" s="19"/>
      <c r="U471" s="19"/>
      <c r="V471" s="19"/>
      <c r="W471" s="19"/>
      <c r="X471" s="19"/>
      <c r="Y471" s="19"/>
    </row>
    <row r="472" spans="1:25" ht="12" customHeight="1">
      <c r="B472" s="19"/>
      <c r="C472" s="19"/>
      <c r="D472" s="19"/>
      <c r="E472" s="107"/>
      <c r="F472" s="19"/>
      <c r="G472" s="19"/>
      <c r="H472" s="19"/>
      <c r="I472" s="19"/>
      <c r="J472" s="19"/>
      <c r="K472" s="233"/>
      <c r="L472" s="19"/>
      <c r="M472" s="19"/>
      <c r="N472" s="19"/>
      <c r="O472" s="19"/>
      <c r="P472" s="19"/>
      <c r="Q472" s="19"/>
      <c r="R472" s="19"/>
      <c r="S472" s="19"/>
      <c r="T472" s="19"/>
      <c r="U472" s="19"/>
      <c r="V472" s="19"/>
      <c r="W472" s="19"/>
      <c r="X472" s="19"/>
      <c r="Y472" s="19"/>
    </row>
    <row r="473" spans="1:25" ht="12" customHeight="1">
      <c r="B473" s="19"/>
      <c r="C473" s="19"/>
      <c r="D473" s="107"/>
      <c r="E473" s="112"/>
      <c r="F473" s="19"/>
      <c r="G473" s="19"/>
      <c r="H473" s="19"/>
      <c r="I473" s="19"/>
      <c r="J473" s="19"/>
      <c r="K473" s="233"/>
      <c r="L473" s="19"/>
      <c r="M473" s="19"/>
      <c r="N473" s="19"/>
      <c r="O473" s="19"/>
      <c r="P473" s="19"/>
      <c r="Q473" s="19"/>
      <c r="R473" s="19"/>
      <c r="S473" s="19"/>
      <c r="T473" s="19"/>
      <c r="U473" s="19"/>
      <c r="V473" s="19"/>
      <c r="W473" s="19"/>
      <c r="X473" s="19"/>
      <c r="Y473" s="19"/>
    </row>
    <row r="474" spans="1:25" ht="29.25" customHeight="1">
      <c r="A474" s="218" t="s">
        <v>268</v>
      </c>
      <c r="B474" s="24" t="s">
        <v>90</v>
      </c>
      <c r="C474" s="25" t="s">
        <v>385</v>
      </c>
      <c r="D474" s="26" t="s">
        <v>32</v>
      </c>
      <c r="E474" s="123"/>
      <c r="K474" s="233"/>
      <c r="L474" s="19"/>
      <c r="M474" s="19"/>
      <c r="N474" s="19"/>
      <c r="O474" s="19"/>
      <c r="P474" s="19"/>
      <c r="Q474" s="19"/>
      <c r="R474" s="19"/>
      <c r="S474" s="19"/>
      <c r="T474" s="19"/>
      <c r="U474" s="19"/>
      <c r="V474" s="19"/>
      <c r="W474" s="19"/>
      <c r="X474" s="19"/>
      <c r="Y474" s="19"/>
    </row>
    <row r="475" spans="1:25" ht="12" customHeight="1">
      <c r="A475" s="219" t="n" cm="1">
        <f t="array" ref="A475">IFERROR(INDEX('03.Muestra'!$B$8:$B$42,SMALL(IF("Página Web"='03.Muestra'!$D$8:$D$42,ROW('03.Muestra'!$B$8:$B$42)-MIN(ROW('03.Muestra'!$D$8:$D$42))+1,""),ROW()-474)),"")</f>
        <v>1.0</v>
      </c>
      <c r="B475" s="114" t="str" cm="1">
        <f t="array" ref="B475">IFERROR(INDEX('03.Muestra'!$C$8:$C$42,SMALL(IF("Página Web"='03.Muestra'!$D$8:$D$42,ROW('03.Muestra'!$C$8:$C$42)-MIN(ROW('03.Muestra'!$D$8:$D$42))+1,""),ROW()-474)),"")</f>
        <v>Home - PortCastelló</v>
      </c>
      <c r="C475" s="114" t="str" cm="1">
        <f t="array" ref="C475">IFERROR(INDEX('03.Muestra'!$F$8:$F$42,SMALL(IF("Página Web"='03.Muestra'!$D$8:$D$42,ROW('03.Muestra'!$F$8:$F$42)-MIN(ROW('03.Muestra'!$D$8:$D$42))+1,""),ROW()-474)),"")</f>
        <v>https://www.portcastello.com/</v>
      </c>
      <c r="D475" s="130" t="s">
        <v>37</v>
      </c>
      <c r="E475" s="107" t="str">
        <f t="shared" ref="E475:E509" si="24">IF(D475&lt;&gt;"",IF(AND(B475&lt;&gt;"",C475&lt;&gt;""),"","ERR"),"")</f>
        <v/>
      </c>
      <c r="F475" s="115" t="s">
        <v>33</v>
      </c>
      <c r="G475" s="116" t="s">
        <v>37</v>
      </c>
      <c r="H475" s="117" t="s">
        <v>35</v>
      </c>
      <c r="I475" s="118" t="s">
        <v>28</v>
      </c>
      <c r="J475" s="119" t="s">
        <v>26</v>
      </c>
      <c r="K475" s="226" t="s">
        <v>474</v>
      </c>
      <c r="L475" s="19"/>
      <c r="M475" s="19"/>
      <c r="N475" s="19"/>
      <c r="O475" s="19"/>
      <c r="P475" s="19"/>
      <c r="Q475" s="19"/>
      <c r="R475" s="19"/>
      <c r="S475" s="19"/>
      <c r="T475" s="19"/>
      <c r="U475" s="19"/>
      <c r="V475" s="19"/>
      <c r="W475" s="19"/>
      <c r="X475" s="19"/>
      <c r="Y475" s="19"/>
    </row>
    <row r="476" spans="1:25" ht="12" customHeight="1">
      <c r="A476" s="219" t="n" cm="1">
        <f t="array" ref="A476">IFERROR(INDEX('03.Muestra'!$B$8:$B$42,SMALL(IF("Página Web"='03.Muestra'!$D$8:$D$42,ROW('03.Muestra'!$B$8:$B$42)-MIN(ROW('03.Muestra'!$D$8:$D$42))+1,""),ROW()-474)),"")</f>
        <v>1.0</v>
      </c>
      <c r="B476" s="114" t="str" cm="1">
        <f t="array" ref="B476">IFERROR(INDEX('03.Muestra'!$C$8:$C$42,SMALL(IF("Página Web"='03.Muestra'!$D$8:$D$42,ROW('03.Muestra'!$C$8:$C$42)-MIN(ROW('03.Muestra'!$D$8:$D$42))+1,""),ROW()-474)),"")</f>
        <v>Home - PortCastelló</v>
      </c>
      <c r="C476" s="114" t="str" cm="1">
        <f t="array" ref="C476">IFERROR(INDEX('03.Muestra'!$F$8:$F$42,SMALL(IF("Página Web"='03.Muestra'!$D$8:$D$42,ROW('03.Muestra'!$F$8:$F$42)-MIN(ROW('03.Muestra'!$D$8:$D$42))+1,""),ROW()-474)),"")</f>
        <v>https://www.portcastello.com/</v>
      </c>
      <c r="D476" s="130" t="s">
        <v>37</v>
      </c>
      <c r="E476" s="107" t="str">
        <f t="shared" si="24"/>
        <v/>
      </c>
      <c r="F476" s="120" t="n">
        <f ca="1">COUNTIF($D475:INDIRECT("$D" &amp;  SUM(ROW()-1,'03.Muestra'!$D$45)-1),F475)</f>
        <v>0.0</v>
      </c>
      <c r="G476" s="120" t="n">
        <f ca="1">COUNTIF($D475:INDIRECT("$D" &amp;  SUM(ROW()-1,'03.Muestra'!$D$45)-1),G475)</f>
        <v>31.0</v>
      </c>
      <c r="H476" s="120" t="n">
        <f ca="1">COUNTIF($D475:INDIRECT("$D" &amp;  SUM(ROW()-1,'03.Muestra'!$D$45)-1),H475)</f>
        <v>0.0</v>
      </c>
      <c r="I476" s="120" t="n">
        <f ca="1">COUNTIF($D475:INDIRECT("$D" &amp;  SUM(ROW()-1,'03.Muestra'!$D$45)-1),I475)</f>
        <v>2.0</v>
      </c>
      <c r="J476" s="120" t="n">
        <f ca="1">COUNTIF($D475:INDIRECT("$D" &amp;  SUM(ROW()-1,'03.Muestra'!$D$45)-1),J475)</f>
        <v>0.0</v>
      </c>
      <c r="K476" s="227" t="n">
        <f ca="1">IF(COUNTIF('03.Muestra'!$D$8:$D$42,"Página Web")=0,0,COUNTBLANK($D475:INDIRECT("$D" &amp;  SUM(ROW()-1,COUNTIF('03.Muestra'!$D$8:$D$42,"Página Web"))-1)))</f>
        <v>0.0</v>
      </c>
      <c r="L476" s="19"/>
      <c r="M476" s="19"/>
      <c r="N476" s="19"/>
      <c r="O476" s="19"/>
      <c r="P476" s="19"/>
      <c r="Q476" s="19"/>
      <c r="R476" s="19"/>
      <c r="S476" s="19"/>
      <c r="T476" s="19"/>
      <c r="U476" s="19"/>
      <c r="V476" s="19"/>
      <c r="W476" s="19"/>
      <c r="X476" s="19"/>
      <c r="Y476" s="19"/>
    </row>
    <row r="477" spans="1:25" ht="12" customHeight="1">
      <c r="A477" s="219" t="n" cm="1">
        <f t="array" ref="A477">IFERROR(INDEX('03.Muestra'!$B$8:$B$42,SMALL(IF("Página Web"='03.Muestra'!$D$8:$D$42,ROW('03.Muestra'!$B$8:$B$42)-MIN(ROW('03.Muestra'!$D$8:$D$42))+1,""),ROW()-474)),"")</f>
        <v>1.0</v>
      </c>
      <c r="B477" s="114" t="str" cm="1">
        <f t="array" ref="B477">IFERROR(INDEX('03.Muestra'!$C$8:$C$42,SMALL(IF("Página Web"='03.Muestra'!$D$8:$D$42,ROW('03.Muestra'!$C$8:$C$42)-MIN(ROW('03.Muestra'!$D$8:$D$42))+1,""),ROW()-474)),"")</f>
        <v>Home - PortCastelló</v>
      </c>
      <c r="C477" s="114" t="str" cm="1">
        <f t="array" ref="C477">IFERROR(INDEX('03.Muestra'!$F$8:$F$42,SMALL(IF("Página Web"='03.Muestra'!$D$8:$D$42,ROW('03.Muestra'!$F$8:$F$42)-MIN(ROW('03.Muestra'!$D$8:$D$42))+1,""),ROW()-474)),"")</f>
        <v>https://www.portcastello.com/</v>
      </c>
      <c r="D477" s="130" t="s">
        <v>37</v>
      </c>
      <c r="E477" s="107" t="str">
        <f t="shared" si="24"/>
        <v/>
      </c>
      <c r="G477" s="19"/>
      <c r="H477" s="19"/>
      <c r="I477" s="19"/>
      <c r="J477" s="19"/>
      <c r="K477" s="233"/>
      <c r="L477" s="19"/>
      <c r="M477" s="19"/>
      <c r="N477" s="19"/>
      <c r="O477" s="19"/>
      <c r="P477" s="19"/>
      <c r="Q477" s="19"/>
      <c r="R477" s="19"/>
      <c r="S477" s="19"/>
      <c r="T477" s="19"/>
      <c r="U477" s="19"/>
      <c r="V477" s="19"/>
      <c r="W477" s="19"/>
      <c r="X477" s="19"/>
      <c r="Y477" s="19"/>
    </row>
    <row r="478" spans="1:25" ht="12" customHeight="1">
      <c r="A478" s="219" t="n" cm="1">
        <f t="array" ref="A478">IFERROR(INDEX('03.Muestra'!$B$8:$B$42,SMALL(IF("Página Web"='03.Muestra'!$D$8:$D$42,ROW('03.Muestra'!$B$8:$B$42)-MIN(ROW('03.Muestra'!$D$8:$D$42))+1,""),ROW()-474)),"")</f>
        <v>1.0</v>
      </c>
      <c r="B478" s="114" t="str" cm="1">
        <f t="array" ref="B478">IFERROR(INDEX('03.Muestra'!$C$8:$C$42,SMALL(IF("Página Web"='03.Muestra'!$D$8:$D$42,ROW('03.Muestra'!$C$8:$C$42)-MIN(ROW('03.Muestra'!$D$8:$D$42))+1,""),ROW()-474)),"")</f>
        <v>Home - PortCastelló</v>
      </c>
      <c r="C478" s="114" t="str" cm="1">
        <f t="array" ref="C478">IFERROR(INDEX('03.Muestra'!$F$8:$F$42,SMALL(IF("Página Web"='03.Muestra'!$D$8:$D$42,ROW('03.Muestra'!$F$8:$F$42)-MIN(ROW('03.Muestra'!$D$8:$D$42))+1,""),ROW()-474)),"")</f>
        <v>https://www.portcastello.com/</v>
      </c>
      <c r="D478" s="130" t="s">
        <v>37</v>
      </c>
      <c r="E478" s="107" t="str">
        <f t="shared" si="24"/>
        <v/>
      </c>
      <c r="G478" s="19"/>
      <c r="H478" s="19"/>
      <c r="I478" s="19"/>
      <c r="J478" s="19"/>
      <c r="K478" s="233"/>
      <c r="L478" s="19"/>
      <c r="M478" s="19"/>
      <c r="N478" s="19"/>
      <c r="O478" s="19"/>
      <c r="P478" s="19"/>
      <c r="Q478" s="19"/>
      <c r="R478" s="19"/>
      <c r="S478" s="19"/>
      <c r="T478" s="19"/>
      <c r="U478" s="19"/>
      <c r="V478" s="19"/>
      <c r="W478" s="19"/>
      <c r="X478" s="19"/>
      <c r="Y478" s="19"/>
    </row>
    <row r="479" spans="1:25" ht="12" customHeight="1">
      <c r="A479" s="219" t="n" cm="1">
        <f t="array" ref="A479">IFERROR(INDEX('03.Muestra'!$B$8:$B$42,SMALL(IF("Página Web"='03.Muestra'!$D$8:$D$42,ROW('03.Muestra'!$B$8:$B$42)-MIN(ROW('03.Muestra'!$D$8:$D$42))+1,""),ROW()-474)),"")</f>
        <v>1.0</v>
      </c>
      <c r="B479" s="114" t="str" cm="1">
        <f t="array" ref="B479">IFERROR(INDEX('03.Muestra'!$C$8:$C$42,SMALL(IF("Página Web"='03.Muestra'!$D$8:$D$42,ROW('03.Muestra'!$C$8:$C$42)-MIN(ROW('03.Muestra'!$D$8:$D$42))+1,""),ROW()-474)),"")</f>
        <v>Home - PortCastelló</v>
      </c>
      <c r="C479" s="114" t="str" cm="1">
        <f t="array" ref="C479">IFERROR(INDEX('03.Muestra'!$F$8:$F$42,SMALL(IF("Página Web"='03.Muestra'!$D$8:$D$42,ROW('03.Muestra'!$F$8:$F$42)-MIN(ROW('03.Muestra'!$D$8:$D$42))+1,""),ROW()-474)),"")</f>
        <v>https://www.portcastello.com/</v>
      </c>
      <c r="D479" s="130" t="s">
        <v>37</v>
      </c>
      <c r="E479" s="107" t="str">
        <f t="shared" si="24"/>
        <v/>
      </c>
      <c r="G479" s="19"/>
      <c r="H479" s="19"/>
      <c r="I479" s="19"/>
      <c r="J479" s="19"/>
      <c r="K479" s="233"/>
      <c r="L479" s="19"/>
      <c r="M479" s="19"/>
      <c r="N479" s="19"/>
      <c r="O479" s="19"/>
      <c r="P479" s="19"/>
      <c r="Q479" s="19"/>
      <c r="R479" s="19"/>
      <c r="S479" s="19"/>
      <c r="T479" s="19"/>
      <c r="U479" s="19"/>
      <c r="V479" s="19"/>
      <c r="W479" s="19"/>
      <c r="X479" s="19"/>
      <c r="Y479" s="19"/>
    </row>
    <row r="480" spans="1:25" ht="12" customHeight="1">
      <c r="A480" s="219" t="n" cm="1">
        <f t="array" ref="A480">IFERROR(INDEX('03.Muestra'!$B$8:$B$42,SMALL(IF("Página Web"='03.Muestra'!$D$8:$D$42,ROW('03.Muestra'!$B$8:$B$42)-MIN(ROW('03.Muestra'!$D$8:$D$42))+1,""),ROW()-474)),"")</f>
        <v>1.0</v>
      </c>
      <c r="B480" s="114" t="str" cm="1">
        <f t="array" ref="B480">IFERROR(INDEX('03.Muestra'!$C$8:$C$42,SMALL(IF("Página Web"='03.Muestra'!$D$8:$D$42,ROW('03.Muestra'!$C$8:$C$42)-MIN(ROW('03.Muestra'!$D$8:$D$42))+1,""),ROW()-474)),"")</f>
        <v>Home - PortCastelló</v>
      </c>
      <c r="C480" s="114" t="str" cm="1">
        <f t="array" ref="C480">IFERROR(INDEX('03.Muestra'!$F$8:$F$42,SMALL(IF("Página Web"='03.Muestra'!$D$8:$D$42,ROW('03.Muestra'!$F$8:$F$42)-MIN(ROW('03.Muestra'!$D$8:$D$42))+1,""),ROW()-474)),"")</f>
        <v>https://www.portcastello.com/</v>
      </c>
      <c r="D480" s="130" t="s">
        <v>37</v>
      </c>
      <c r="E480" s="107" t="str">
        <f t="shared" si="24"/>
        <v/>
      </c>
      <c r="G480" s="19"/>
      <c r="H480" s="19"/>
      <c r="I480" s="19"/>
      <c r="J480" s="19"/>
      <c r="K480" s="233"/>
      <c r="L480" s="19"/>
      <c r="M480" s="19"/>
      <c r="N480" s="19"/>
      <c r="O480" s="19"/>
      <c r="P480" s="19"/>
      <c r="Q480" s="19"/>
      <c r="R480" s="19"/>
      <c r="S480" s="19"/>
      <c r="T480" s="19"/>
      <c r="U480" s="19"/>
      <c r="V480" s="19"/>
      <c r="W480" s="19"/>
      <c r="X480" s="19"/>
      <c r="Y480" s="19"/>
    </row>
    <row r="481" spans="1:25" ht="12" customHeight="1">
      <c r="A481" s="219" t="n" cm="1">
        <f t="array" ref="A481">IFERROR(INDEX('03.Muestra'!$B$8:$B$42,SMALL(IF("Página Web"='03.Muestra'!$D$8:$D$42,ROW('03.Muestra'!$B$8:$B$42)-MIN(ROW('03.Muestra'!$D$8:$D$42))+1,""),ROW()-474)),"")</f>
        <v>1.0</v>
      </c>
      <c r="B481" s="114" t="str" cm="1">
        <f t="array" ref="B481">IFERROR(INDEX('03.Muestra'!$C$8:$C$42,SMALL(IF("Página Web"='03.Muestra'!$D$8:$D$42,ROW('03.Muestra'!$C$8:$C$42)-MIN(ROW('03.Muestra'!$D$8:$D$42))+1,""),ROW()-474)),"")</f>
        <v>Home - PortCastelló</v>
      </c>
      <c r="C481" s="114" t="str" cm="1">
        <f t="array" ref="C481">IFERROR(INDEX('03.Muestra'!$F$8:$F$42,SMALL(IF("Página Web"='03.Muestra'!$D$8:$D$42,ROW('03.Muestra'!$F$8:$F$42)-MIN(ROW('03.Muestra'!$D$8:$D$42))+1,""),ROW()-474)),"")</f>
        <v>https://www.portcastello.com/</v>
      </c>
      <c r="D481" s="130" t="s">
        <v>37</v>
      </c>
      <c r="E481" s="107" t="str">
        <f t="shared" si="24"/>
        <v/>
      </c>
      <c r="F481" s="19"/>
      <c r="G481" s="19"/>
      <c r="H481" s="19"/>
      <c r="I481" s="19"/>
      <c r="J481" s="19"/>
      <c r="K481" s="233"/>
      <c r="L481" s="19"/>
      <c r="M481" s="19"/>
      <c r="N481" s="19"/>
      <c r="O481" s="19"/>
      <c r="P481" s="19"/>
      <c r="Q481" s="19"/>
      <c r="R481" s="19"/>
      <c r="S481" s="19"/>
      <c r="T481" s="19"/>
      <c r="U481" s="19"/>
      <c r="V481" s="19"/>
      <c r="W481" s="19"/>
      <c r="X481" s="19"/>
      <c r="Y481" s="19"/>
    </row>
    <row r="482" spans="1:25" ht="12" customHeight="1">
      <c r="A482" s="219" t="n" cm="1">
        <f t="array" ref="A482">IFERROR(INDEX('03.Muestra'!$B$8:$B$42,SMALL(IF("Página Web"='03.Muestra'!$D$8:$D$42,ROW('03.Muestra'!$B$8:$B$42)-MIN(ROW('03.Muestra'!$D$8:$D$42))+1,""),ROW()-474)),"")</f>
        <v>1.0</v>
      </c>
      <c r="B482" s="114" t="str" cm="1">
        <f t="array" ref="B482">IFERROR(INDEX('03.Muestra'!$C$8:$C$42,SMALL(IF("Página Web"='03.Muestra'!$D$8:$D$42,ROW('03.Muestra'!$C$8:$C$42)-MIN(ROW('03.Muestra'!$D$8:$D$42))+1,""),ROW()-474)),"")</f>
        <v>Home - PortCastelló</v>
      </c>
      <c r="C482" s="114" t="str" cm="1">
        <f t="array" ref="C482">IFERROR(INDEX('03.Muestra'!$F$8:$F$42,SMALL(IF("Página Web"='03.Muestra'!$D$8:$D$42,ROW('03.Muestra'!$F$8:$F$42)-MIN(ROW('03.Muestra'!$D$8:$D$42))+1,""),ROW()-474)),"")</f>
        <v>https://www.portcastello.com/</v>
      </c>
      <c r="D482" s="130" t="s">
        <v>37</v>
      </c>
      <c r="E482" s="107" t="str">
        <f t="shared" si="24"/>
        <v/>
      </c>
      <c r="F482" s="19"/>
      <c r="G482" s="19"/>
      <c r="H482" s="19"/>
      <c r="I482" s="19"/>
      <c r="J482" s="19"/>
      <c r="K482" s="233"/>
      <c r="L482" s="19"/>
      <c r="M482" s="19"/>
      <c r="N482" s="19"/>
      <c r="O482" s="19"/>
      <c r="P482" s="19"/>
      <c r="Q482" s="19"/>
      <c r="R482" s="19"/>
      <c r="S482" s="19"/>
      <c r="T482" s="19"/>
      <c r="U482" s="19"/>
      <c r="V482" s="19"/>
      <c r="W482" s="19"/>
      <c r="X482" s="19"/>
      <c r="Y482" s="19"/>
    </row>
    <row r="483" spans="1:25" ht="12" customHeight="1">
      <c r="A483" s="219" t="n" cm="1">
        <f t="array" ref="A483">IFERROR(INDEX('03.Muestra'!$B$8:$B$42,SMALL(IF("Página Web"='03.Muestra'!$D$8:$D$42,ROW('03.Muestra'!$B$8:$B$42)-MIN(ROW('03.Muestra'!$D$8:$D$42))+1,""),ROW()-474)),"")</f>
        <v>1.0</v>
      </c>
      <c r="B483" s="114" t="str" cm="1">
        <f t="array" ref="B483">IFERROR(INDEX('03.Muestra'!$C$8:$C$42,SMALL(IF("Página Web"='03.Muestra'!$D$8:$D$42,ROW('03.Muestra'!$C$8:$C$42)-MIN(ROW('03.Muestra'!$D$8:$D$42))+1,""),ROW()-474)),"")</f>
        <v>Home - PortCastelló</v>
      </c>
      <c r="C483" s="114" t="str" cm="1">
        <f t="array" ref="C483">IFERROR(INDEX('03.Muestra'!$F$8:$F$42,SMALL(IF("Página Web"='03.Muestra'!$D$8:$D$42,ROW('03.Muestra'!$F$8:$F$42)-MIN(ROW('03.Muestra'!$D$8:$D$42))+1,""),ROW()-474)),"")</f>
        <v>https://www.portcastello.com/</v>
      </c>
      <c r="D483" s="130" t="s">
        <v>37</v>
      </c>
      <c r="E483" s="107" t="str">
        <f t="shared" si="24"/>
        <v/>
      </c>
      <c r="F483" s="19"/>
      <c r="G483" s="19"/>
      <c r="H483" s="19"/>
      <c r="I483" s="19"/>
      <c r="J483" s="19"/>
      <c r="K483" s="233"/>
      <c r="L483" s="19"/>
      <c r="M483" s="19"/>
      <c r="N483" s="19"/>
      <c r="O483" s="19"/>
      <c r="P483" s="19"/>
      <c r="Q483" s="19"/>
      <c r="R483" s="19"/>
      <c r="S483" s="19"/>
      <c r="T483" s="19"/>
      <c r="U483" s="19"/>
      <c r="V483" s="19"/>
      <c r="W483" s="19"/>
      <c r="X483" s="19"/>
      <c r="Y483" s="19"/>
    </row>
    <row r="484" spans="1:25" ht="12" customHeight="1">
      <c r="A484" s="219" t="n" cm="1">
        <f t="array" ref="A484">IFERROR(INDEX('03.Muestra'!$B$8:$B$42,SMALL(IF("Página Web"='03.Muestra'!$D$8:$D$42,ROW('03.Muestra'!$B$8:$B$42)-MIN(ROW('03.Muestra'!$D$8:$D$42))+1,""),ROW()-474)),"")</f>
        <v>1.0</v>
      </c>
      <c r="B484" s="114" t="str" cm="1">
        <f t="array" ref="B484">IFERROR(INDEX('03.Muestra'!$C$8:$C$42,SMALL(IF("Página Web"='03.Muestra'!$D$8:$D$42,ROW('03.Muestra'!$C$8:$C$42)-MIN(ROW('03.Muestra'!$D$8:$D$42))+1,""),ROW()-474)),"")</f>
        <v>Home - PortCastelló</v>
      </c>
      <c r="C484" s="114" t="str" cm="1">
        <f t="array" ref="C484">IFERROR(INDEX('03.Muestra'!$F$8:$F$42,SMALL(IF("Página Web"='03.Muestra'!$D$8:$D$42,ROW('03.Muestra'!$F$8:$F$42)-MIN(ROW('03.Muestra'!$D$8:$D$42))+1,""),ROW()-474)),"")</f>
        <v>https://www.portcastello.com/</v>
      </c>
      <c r="D484" s="130" t="s">
        <v>37</v>
      </c>
      <c r="E484" s="107" t="str">
        <f t="shared" si="24"/>
        <v/>
      </c>
      <c r="F484" s="19"/>
      <c r="G484" s="19"/>
      <c r="H484" s="19"/>
      <c r="I484" s="19"/>
      <c r="J484" s="19"/>
      <c r="K484" s="233"/>
      <c r="L484" s="19"/>
      <c r="M484" s="19"/>
      <c r="N484" s="19"/>
      <c r="O484" s="19"/>
      <c r="P484" s="19"/>
      <c r="Q484" s="19"/>
      <c r="R484" s="19"/>
      <c r="S484" s="19"/>
      <c r="T484" s="19"/>
      <c r="U484" s="19"/>
      <c r="V484" s="19"/>
      <c r="W484" s="19"/>
      <c r="X484" s="19"/>
      <c r="Y484" s="19"/>
    </row>
    <row r="485" spans="1:25" ht="12" customHeight="1">
      <c r="A485" s="219" t="n" cm="1">
        <f t="array" ref="A485">IFERROR(INDEX('03.Muestra'!$B$8:$B$42,SMALL(IF("Página Web"='03.Muestra'!$D$8:$D$42,ROW('03.Muestra'!$B$8:$B$42)-MIN(ROW('03.Muestra'!$D$8:$D$42))+1,""),ROW()-474)),"")</f>
        <v>1.0</v>
      </c>
      <c r="B485" s="114" t="str" cm="1">
        <f t="array" ref="B485">IFERROR(INDEX('03.Muestra'!$C$8:$C$42,SMALL(IF("Página Web"='03.Muestra'!$D$8:$D$42,ROW('03.Muestra'!$C$8:$C$42)-MIN(ROW('03.Muestra'!$D$8:$D$42))+1,""),ROW()-474)),"")</f>
        <v>Home - PortCastelló</v>
      </c>
      <c r="C485" s="114" t="str" cm="1">
        <f t="array" ref="C485">IFERROR(INDEX('03.Muestra'!$F$8:$F$42,SMALL(IF("Página Web"='03.Muestra'!$D$8:$D$42,ROW('03.Muestra'!$F$8:$F$42)-MIN(ROW('03.Muestra'!$D$8:$D$42))+1,""),ROW()-474)),"")</f>
        <v>https://www.portcastello.com/</v>
      </c>
      <c r="D485" s="130" t="s">
        <v>37</v>
      </c>
      <c r="E485" s="107" t="str">
        <f t="shared" si="24"/>
        <v/>
      </c>
      <c r="F485" s="19"/>
      <c r="G485" s="19"/>
      <c r="H485" s="19"/>
      <c r="I485" s="19"/>
      <c r="J485" s="19"/>
      <c r="K485" s="233"/>
      <c r="L485" s="19"/>
      <c r="M485" s="19"/>
      <c r="N485" s="19"/>
      <c r="O485" s="19"/>
      <c r="P485" s="19"/>
      <c r="Q485" s="19"/>
      <c r="R485" s="19"/>
      <c r="S485" s="19"/>
      <c r="T485" s="19"/>
      <c r="U485" s="19"/>
      <c r="V485" s="19"/>
      <c r="W485" s="19"/>
      <c r="X485" s="19"/>
      <c r="Y485" s="19"/>
    </row>
    <row r="486" spans="1:25" ht="12" customHeight="1">
      <c r="A486" s="219" t="n" cm="1">
        <f t="array" ref="A486">IFERROR(INDEX('03.Muestra'!$B$8:$B$42,SMALL(IF("Página Web"='03.Muestra'!$D$8:$D$42,ROW('03.Muestra'!$B$8:$B$42)-MIN(ROW('03.Muestra'!$D$8:$D$42))+1,""),ROW()-474)),"")</f>
        <v>1.0</v>
      </c>
      <c r="B486" s="114" t="str" cm="1">
        <f t="array" ref="B486">IFERROR(INDEX('03.Muestra'!$C$8:$C$42,SMALL(IF("Página Web"='03.Muestra'!$D$8:$D$42,ROW('03.Muestra'!$C$8:$C$42)-MIN(ROW('03.Muestra'!$D$8:$D$42))+1,""),ROW()-474)),"")</f>
        <v>Home - PortCastelló</v>
      </c>
      <c r="C486" s="114" t="str" cm="1">
        <f t="array" ref="C486">IFERROR(INDEX('03.Muestra'!$F$8:$F$42,SMALL(IF("Página Web"='03.Muestra'!$D$8:$D$42,ROW('03.Muestra'!$F$8:$F$42)-MIN(ROW('03.Muestra'!$D$8:$D$42))+1,""),ROW()-474)),"")</f>
        <v>https://www.portcastello.com/</v>
      </c>
      <c r="D486" s="130" t="s">
        <v>37</v>
      </c>
      <c r="E486" s="107" t="str">
        <f t="shared" si="24"/>
        <v/>
      </c>
      <c r="F486" s="19"/>
      <c r="G486" s="19"/>
      <c r="H486" s="19"/>
      <c r="I486" s="19"/>
      <c r="J486" s="19"/>
      <c r="K486" s="233"/>
      <c r="L486" s="19"/>
      <c r="M486" s="19"/>
      <c r="N486" s="19"/>
      <c r="O486" s="19"/>
      <c r="P486" s="19"/>
      <c r="Q486" s="19"/>
      <c r="R486" s="19"/>
      <c r="S486" s="19"/>
      <c r="T486" s="19"/>
      <c r="U486" s="19"/>
      <c r="V486" s="19"/>
      <c r="W486" s="19"/>
      <c r="X486" s="19"/>
      <c r="Y486" s="19"/>
    </row>
    <row r="487" spans="1:25" ht="12" customHeight="1">
      <c r="A487" s="219" t="n" cm="1">
        <f t="array" ref="A487">IFERROR(INDEX('03.Muestra'!$B$8:$B$42,SMALL(IF("Página Web"='03.Muestra'!$D$8:$D$42,ROW('03.Muestra'!$B$8:$B$42)-MIN(ROW('03.Muestra'!$D$8:$D$42))+1,""),ROW()-474)),"")</f>
        <v>1.0</v>
      </c>
      <c r="B487" s="114" t="str" cm="1">
        <f t="array" ref="B487">IFERROR(INDEX('03.Muestra'!$C$8:$C$42,SMALL(IF("Página Web"='03.Muestra'!$D$8:$D$42,ROW('03.Muestra'!$C$8:$C$42)-MIN(ROW('03.Muestra'!$D$8:$D$42))+1,""),ROW()-474)),"")</f>
        <v>Home - PortCastelló</v>
      </c>
      <c r="C487" s="114" t="str" cm="1">
        <f t="array" ref="C487">IFERROR(INDEX('03.Muestra'!$F$8:$F$42,SMALL(IF("Página Web"='03.Muestra'!$D$8:$D$42,ROW('03.Muestra'!$F$8:$F$42)-MIN(ROW('03.Muestra'!$D$8:$D$42))+1,""),ROW()-474)),"")</f>
        <v>https://www.portcastello.com/</v>
      </c>
      <c r="D487" s="130" t="s">
        <v>37</v>
      </c>
      <c r="E487" s="107" t="str">
        <f t="shared" si="24"/>
        <v/>
      </c>
      <c r="F487" s="19"/>
      <c r="G487" s="19"/>
      <c r="H487" s="19"/>
      <c r="I487" s="19"/>
      <c r="J487" s="19"/>
      <c r="K487" s="233"/>
      <c r="L487" s="19"/>
      <c r="M487" s="19"/>
      <c r="N487" s="19"/>
      <c r="O487" s="19"/>
      <c r="P487" s="19"/>
      <c r="Q487" s="19"/>
      <c r="R487" s="19"/>
      <c r="S487" s="19"/>
      <c r="T487" s="19"/>
      <c r="U487" s="19"/>
      <c r="V487" s="19"/>
      <c r="W487" s="19"/>
      <c r="X487" s="19"/>
      <c r="Y487" s="19"/>
    </row>
    <row r="488" spans="1:25" ht="12" customHeight="1">
      <c r="A488" s="219" t="n" cm="1">
        <f t="array" ref="A488">IFERROR(INDEX('03.Muestra'!$B$8:$B$42,SMALL(IF("Página Web"='03.Muestra'!$D$8:$D$42,ROW('03.Muestra'!$B$8:$B$42)-MIN(ROW('03.Muestra'!$D$8:$D$42))+1,""),ROW()-474)),"")</f>
        <v>1.0</v>
      </c>
      <c r="B488" s="114" t="str" cm="1">
        <f t="array" ref="B488">IFERROR(INDEX('03.Muestra'!$C$8:$C$42,SMALL(IF("Página Web"='03.Muestra'!$D$8:$D$42,ROW('03.Muestra'!$C$8:$C$42)-MIN(ROW('03.Muestra'!$D$8:$D$42))+1,""),ROW()-474)),"")</f>
        <v>Home - PortCastelló</v>
      </c>
      <c r="C488" s="114" t="str" cm="1">
        <f t="array" ref="C488">IFERROR(INDEX('03.Muestra'!$F$8:$F$42,SMALL(IF("Página Web"='03.Muestra'!$D$8:$D$42,ROW('03.Muestra'!$F$8:$F$42)-MIN(ROW('03.Muestra'!$D$8:$D$42))+1,""),ROW()-474)),"")</f>
        <v>https://www.portcastello.com/</v>
      </c>
      <c r="D488" s="130" t="s">
        <v>37</v>
      </c>
      <c r="E488" s="107" t="str">
        <f t="shared" si="24"/>
        <v/>
      </c>
      <c r="F488" s="19"/>
      <c r="G488" s="19"/>
      <c r="H488" s="19"/>
      <c r="I488" s="19"/>
      <c r="J488" s="19"/>
      <c r="K488" s="233"/>
      <c r="L488" s="19"/>
      <c r="M488" s="19"/>
      <c r="N488" s="19"/>
      <c r="O488" s="19"/>
      <c r="P488" s="19"/>
      <c r="Q488" s="19"/>
      <c r="R488" s="19"/>
      <c r="S488" s="19"/>
      <c r="T488" s="19"/>
      <c r="U488" s="19"/>
      <c r="V488" s="19"/>
      <c r="W488" s="19"/>
      <c r="X488" s="19"/>
      <c r="Y488" s="19"/>
    </row>
    <row r="489" spans="1:25" ht="12" customHeight="1">
      <c r="A489" s="219" t="n" cm="1">
        <f t="array" ref="A489">IFERROR(INDEX('03.Muestra'!$B$8:$B$42,SMALL(IF("Página Web"='03.Muestra'!$D$8:$D$42,ROW('03.Muestra'!$B$8:$B$42)-MIN(ROW('03.Muestra'!$D$8:$D$42))+1,""),ROW()-474)),"")</f>
        <v>1.0</v>
      </c>
      <c r="B489" s="114" t="str" cm="1">
        <f t="array" ref="B489">IFERROR(INDEX('03.Muestra'!$C$8:$C$42,SMALL(IF("Página Web"='03.Muestra'!$D$8:$D$42,ROW('03.Muestra'!$C$8:$C$42)-MIN(ROW('03.Muestra'!$D$8:$D$42))+1,""),ROW()-474)),"")</f>
        <v>Home - PortCastelló</v>
      </c>
      <c r="C489" s="114" t="str" cm="1">
        <f t="array" ref="C489">IFERROR(INDEX('03.Muestra'!$F$8:$F$42,SMALL(IF("Página Web"='03.Muestra'!$D$8:$D$42,ROW('03.Muestra'!$F$8:$F$42)-MIN(ROW('03.Muestra'!$D$8:$D$42))+1,""),ROW()-474)),"")</f>
        <v>https://www.portcastello.com/</v>
      </c>
      <c r="D489" s="130" t="s">
        <v>37</v>
      </c>
      <c r="E489" s="107" t="str">
        <f t="shared" si="24"/>
        <v/>
      </c>
      <c r="F489" s="19"/>
      <c r="G489" s="19"/>
      <c r="H489" s="19"/>
      <c r="I489" s="19"/>
      <c r="J489" s="19"/>
      <c r="K489" s="233"/>
      <c r="L489" s="19"/>
      <c r="M489" s="19"/>
      <c r="N489" s="19"/>
      <c r="O489" s="19"/>
      <c r="P489" s="19"/>
      <c r="Q489" s="19"/>
      <c r="R489" s="19"/>
      <c r="S489" s="19"/>
      <c r="T489" s="19"/>
      <c r="U489" s="19"/>
      <c r="V489" s="19"/>
      <c r="W489" s="19"/>
      <c r="X489" s="19"/>
      <c r="Y489" s="19"/>
    </row>
    <row r="490" spans="1:25" ht="12" customHeight="1">
      <c r="A490" s="219" t="n" cm="1">
        <f t="array" ref="A490">IFERROR(INDEX('03.Muestra'!$B$8:$B$42,SMALL(IF("Página Web"='03.Muestra'!$D$8:$D$42,ROW('03.Muestra'!$B$8:$B$42)-MIN(ROW('03.Muestra'!$D$8:$D$42))+1,""),ROW()-474)),"")</f>
        <v>1.0</v>
      </c>
      <c r="B490" s="114" t="str" cm="1">
        <f t="array" ref="B490">IFERROR(INDEX('03.Muestra'!$C$8:$C$42,SMALL(IF("Página Web"='03.Muestra'!$D$8:$D$42,ROW('03.Muestra'!$C$8:$C$42)-MIN(ROW('03.Muestra'!$D$8:$D$42))+1,""),ROW()-474)),"")</f>
        <v>Home - PortCastelló</v>
      </c>
      <c r="C490" s="114" t="str" cm="1">
        <f t="array" ref="C490">IFERROR(INDEX('03.Muestra'!$F$8:$F$42,SMALL(IF("Página Web"='03.Muestra'!$D$8:$D$42,ROW('03.Muestra'!$F$8:$F$42)-MIN(ROW('03.Muestra'!$D$8:$D$42))+1,""),ROW()-474)),"")</f>
        <v>https://www.portcastello.com/</v>
      </c>
      <c r="D490" s="130" t="s">
        <v>28</v>
      </c>
      <c r="E490" s="107" t="str">
        <f t="shared" si="24"/>
        <v/>
      </c>
      <c r="F490" s="19"/>
      <c r="G490" s="19"/>
      <c r="H490" s="19"/>
      <c r="I490" s="19"/>
      <c r="J490" s="19"/>
      <c r="K490" s="233"/>
      <c r="L490" s="19"/>
      <c r="M490" s="19"/>
      <c r="N490" s="19"/>
      <c r="O490" s="19"/>
      <c r="P490" s="19"/>
      <c r="Q490" s="19"/>
      <c r="R490" s="19"/>
      <c r="S490" s="19"/>
      <c r="T490" s="19"/>
      <c r="U490" s="19"/>
      <c r="V490" s="19"/>
      <c r="W490" s="19"/>
      <c r="X490" s="19"/>
      <c r="Y490" s="19"/>
    </row>
    <row r="491" spans="1:25" ht="12" customHeight="1">
      <c r="A491" s="219" t="n" cm="1">
        <f t="array" ref="A491">IFERROR(INDEX('03.Muestra'!$B$8:$B$42,SMALL(IF("Página Web"='03.Muestra'!$D$8:$D$42,ROW('03.Muestra'!$B$8:$B$42)-MIN(ROW('03.Muestra'!$D$8:$D$42))+1,""),ROW()-474)),"")</f>
        <v>1.0</v>
      </c>
      <c r="B491" s="114" t="str" cm="1">
        <f t="array" ref="B491">IFERROR(INDEX('03.Muestra'!$C$8:$C$42,SMALL(IF("Página Web"='03.Muestra'!$D$8:$D$42,ROW('03.Muestra'!$C$8:$C$42)-MIN(ROW('03.Muestra'!$D$8:$D$42))+1,""),ROW()-474)),"")</f>
        <v>Home - PortCastelló</v>
      </c>
      <c r="C491" s="114" t="str" cm="1">
        <f t="array" ref="C491">IFERROR(INDEX('03.Muestra'!$F$8:$F$42,SMALL(IF("Página Web"='03.Muestra'!$D$8:$D$42,ROW('03.Muestra'!$F$8:$F$42)-MIN(ROW('03.Muestra'!$D$8:$D$42))+1,""),ROW()-474)),"")</f>
        <v>https://www.portcastello.com/</v>
      </c>
      <c r="D491" s="130" t="s">
        <v>37</v>
      </c>
      <c r="E491" s="107" t="str">
        <f t="shared" si="24"/>
        <v/>
      </c>
      <c r="F491" s="19"/>
      <c r="G491" s="19"/>
      <c r="H491" s="19"/>
      <c r="I491" s="19"/>
      <c r="J491" s="19"/>
      <c r="K491" s="233"/>
      <c r="L491" s="19"/>
      <c r="M491" s="19"/>
      <c r="N491" s="19"/>
      <c r="O491" s="19"/>
      <c r="P491" s="19"/>
      <c r="Q491" s="19"/>
      <c r="R491" s="19"/>
      <c r="S491" s="19"/>
      <c r="T491" s="19"/>
      <c r="U491" s="19"/>
      <c r="V491" s="19"/>
      <c r="W491" s="19"/>
      <c r="X491" s="19"/>
      <c r="Y491" s="19"/>
    </row>
    <row r="492" spans="1:25" ht="12" customHeight="1">
      <c r="A492" s="219" t="n" cm="1">
        <f t="array" ref="A492">IFERROR(INDEX('03.Muestra'!$B$8:$B$42,SMALL(IF("Página Web"='03.Muestra'!$D$8:$D$42,ROW('03.Muestra'!$B$8:$B$42)-MIN(ROW('03.Muestra'!$D$8:$D$42))+1,""),ROW()-474)),"")</f>
        <v>1.0</v>
      </c>
      <c r="B492" s="114" t="str" cm="1">
        <f t="array" ref="B492">IFERROR(INDEX('03.Muestra'!$C$8:$C$42,SMALL(IF("Página Web"='03.Muestra'!$D$8:$D$42,ROW('03.Muestra'!$C$8:$C$42)-MIN(ROW('03.Muestra'!$D$8:$D$42))+1,""),ROW()-474)),"")</f>
        <v>Home - PortCastelló</v>
      </c>
      <c r="C492" s="114" t="str" cm="1">
        <f t="array" ref="C492">IFERROR(INDEX('03.Muestra'!$F$8:$F$42,SMALL(IF("Página Web"='03.Muestra'!$D$8:$D$42,ROW('03.Muestra'!$F$8:$F$42)-MIN(ROW('03.Muestra'!$D$8:$D$42))+1,""),ROW()-474)),"")</f>
        <v>https://www.portcastello.com/</v>
      </c>
      <c r="D492" s="130" t="s">
        <v>37</v>
      </c>
      <c r="E492" s="107" t="str">
        <f t="shared" si="24"/>
        <v/>
      </c>
      <c r="F492" s="19"/>
      <c r="G492" s="19"/>
      <c r="H492" s="19"/>
      <c r="I492" s="19"/>
      <c r="J492" s="19"/>
      <c r="K492" s="233"/>
      <c r="L492" s="19"/>
      <c r="M492" s="19"/>
      <c r="N492" s="19"/>
      <c r="O492" s="19"/>
      <c r="P492" s="19"/>
      <c r="Q492" s="19"/>
      <c r="R492" s="19"/>
      <c r="S492" s="19"/>
      <c r="T492" s="19"/>
      <c r="U492" s="19"/>
      <c r="V492" s="19"/>
      <c r="W492" s="19"/>
      <c r="X492" s="19"/>
      <c r="Y492" s="19"/>
    </row>
    <row r="493" spans="1:25" ht="12" customHeight="1">
      <c r="A493" s="219" t="n" cm="1">
        <f t="array" ref="A493">IFERROR(INDEX('03.Muestra'!$B$8:$B$42,SMALL(IF("Página Web"='03.Muestra'!$D$8:$D$42,ROW('03.Muestra'!$B$8:$B$42)-MIN(ROW('03.Muestra'!$D$8:$D$42))+1,""),ROW()-474)),"")</f>
        <v>1.0</v>
      </c>
      <c r="B493" s="114" t="str" cm="1">
        <f t="array" ref="B493">IFERROR(INDEX('03.Muestra'!$C$8:$C$42,SMALL(IF("Página Web"='03.Muestra'!$D$8:$D$42,ROW('03.Muestra'!$C$8:$C$42)-MIN(ROW('03.Muestra'!$D$8:$D$42))+1,""),ROW()-474)),"")</f>
        <v>Home - PortCastelló</v>
      </c>
      <c r="C493" s="114" t="str" cm="1">
        <f t="array" ref="C493">IFERROR(INDEX('03.Muestra'!$F$8:$F$42,SMALL(IF("Página Web"='03.Muestra'!$D$8:$D$42,ROW('03.Muestra'!$F$8:$F$42)-MIN(ROW('03.Muestra'!$D$8:$D$42))+1,""),ROW()-474)),"")</f>
        <v>https://www.portcastello.com/</v>
      </c>
      <c r="D493" s="130" t="s">
        <v>37</v>
      </c>
      <c r="E493" s="107" t="str">
        <f t="shared" si="24"/>
        <v/>
      </c>
      <c r="F493" s="19"/>
      <c r="G493" s="19"/>
      <c r="H493" s="19"/>
      <c r="I493" s="19"/>
      <c r="J493" s="19"/>
      <c r="K493" s="233"/>
      <c r="L493" s="19"/>
      <c r="M493" s="19"/>
      <c r="N493" s="19"/>
      <c r="O493" s="19"/>
      <c r="P493" s="19"/>
      <c r="Q493" s="19"/>
      <c r="R493" s="19"/>
      <c r="S493" s="19"/>
      <c r="T493" s="19"/>
      <c r="U493" s="19"/>
      <c r="V493" s="19"/>
      <c r="W493" s="19"/>
      <c r="X493" s="19"/>
      <c r="Y493" s="19"/>
    </row>
    <row r="494" spans="1:25" ht="12" customHeight="1">
      <c r="A494" s="219" t="n" cm="1">
        <f t="array" ref="A494">IFERROR(INDEX('03.Muestra'!$B$8:$B$42,SMALL(IF("Página Web"='03.Muestra'!$D$8:$D$42,ROW('03.Muestra'!$B$8:$B$42)-MIN(ROW('03.Muestra'!$D$8:$D$42))+1,""),ROW()-474)),"")</f>
        <v>1.0</v>
      </c>
      <c r="B494" s="114" t="str" cm="1">
        <f t="array" ref="B494">IFERROR(INDEX('03.Muestra'!$C$8:$C$42,SMALL(IF("Página Web"='03.Muestra'!$D$8:$D$42,ROW('03.Muestra'!$C$8:$C$42)-MIN(ROW('03.Muestra'!$D$8:$D$42))+1,""),ROW()-474)),"")</f>
        <v>Home - PortCastelló</v>
      </c>
      <c r="C494" s="114" t="str" cm="1">
        <f t="array" ref="C494">IFERROR(INDEX('03.Muestra'!$F$8:$F$42,SMALL(IF("Página Web"='03.Muestra'!$D$8:$D$42,ROW('03.Muestra'!$F$8:$F$42)-MIN(ROW('03.Muestra'!$D$8:$D$42))+1,""),ROW()-474)),"")</f>
        <v>https://www.portcastello.com/</v>
      </c>
      <c r="D494" s="130" t="s">
        <v>37</v>
      </c>
      <c r="E494" s="107" t="str">
        <f t="shared" si="24"/>
        <v/>
      </c>
      <c r="F494" s="19"/>
      <c r="G494" s="19"/>
      <c r="H494" s="19"/>
      <c r="I494" s="19"/>
      <c r="J494" s="19"/>
      <c r="K494" s="233"/>
      <c r="L494" s="19"/>
      <c r="M494" s="19"/>
      <c r="N494" s="19"/>
      <c r="O494" s="19"/>
      <c r="P494" s="19"/>
      <c r="Q494" s="19"/>
      <c r="R494" s="19"/>
      <c r="S494" s="19"/>
      <c r="T494" s="19"/>
      <c r="U494" s="19"/>
      <c r="V494" s="19"/>
      <c r="W494" s="19"/>
      <c r="X494" s="19"/>
      <c r="Y494" s="19"/>
    </row>
    <row r="495" spans="1:25" ht="12" customHeight="1">
      <c r="A495" s="219" t="n" cm="1">
        <f t="array" ref="A495">IFERROR(INDEX('03.Muestra'!$B$8:$B$42,SMALL(IF("Página Web"='03.Muestra'!$D$8:$D$42,ROW('03.Muestra'!$B$8:$B$42)-MIN(ROW('03.Muestra'!$D$8:$D$42))+1,""),ROW()-474)),"")</f>
        <v>1.0</v>
      </c>
      <c r="B495" s="114" t="str" cm="1">
        <f t="array" ref="B495">IFERROR(INDEX('03.Muestra'!$C$8:$C$42,SMALL(IF("Página Web"='03.Muestra'!$D$8:$D$42,ROW('03.Muestra'!$C$8:$C$42)-MIN(ROW('03.Muestra'!$D$8:$D$42))+1,""),ROW()-474)),"")</f>
        <v>Home - PortCastelló</v>
      </c>
      <c r="C495" s="114" t="str" cm="1">
        <f t="array" ref="C495">IFERROR(INDEX('03.Muestra'!$F$8:$F$42,SMALL(IF("Página Web"='03.Muestra'!$D$8:$D$42,ROW('03.Muestra'!$F$8:$F$42)-MIN(ROW('03.Muestra'!$D$8:$D$42))+1,""),ROW()-474)),"")</f>
        <v>https://www.portcastello.com/</v>
      </c>
      <c r="D495" s="130" t="s">
        <v>37</v>
      </c>
      <c r="E495" s="107" t="str">
        <f t="shared" si="24"/>
        <v/>
      </c>
      <c r="F495" s="19"/>
      <c r="G495" s="19"/>
      <c r="H495" s="19"/>
      <c r="I495" s="19"/>
      <c r="J495" s="19"/>
      <c r="K495" s="233"/>
      <c r="L495" s="19"/>
      <c r="M495" s="19"/>
      <c r="N495" s="19"/>
      <c r="O495" s="19"/>
      <c r="P495" s="19"/>
      <c r="Q495" s="19"/>
      <c r="R495" s="19"/>
      <c r="S495" s="19"/>
      <c r="T495" s="19"/>
      <c r="U495" s="19"/>
      <c r="V495" s="19"/>
      <c r="W495" s="19"/>
      <c r="X495" s="19"/>
      <c r="Y495" s="19"/>
    </row>
    <row r="496" spans="1:25" ht="12" customHeight="1">
      <c r="A496" s="219" t="n" cm="1">
        <f t="array" ref="A496">IFERROR(INDEX('03.Muestra'!$B$8:$B$42,SMALL(IF("Página Web"='03.Muestra'!$D$8:$D$42,ROW('03.Muestra'!$B$8:$B$42)-MIN(ROW('03.Muestra'!$D$8:$D$42))+1,""),ROW()-474)),"")</f>
        <v>1.0</v>
      </c>
      <c r="B496" s="114" t="str" cm="1">
        <f t="array" ref="B496">IFERROR(INDEX('03.Muestra'!$C$8:$C$42,SMALL(IF("Página Web"='03.Muestra'!$D$8:$D$42,ROW('03.Muestra'!$C$8:$C$42)-MIN(ROW('03.Muestra'!$D$8:$D$42))+1,""),ROW()-474)),"")</f>
        <v>Home - PortCastelló</v>
      </c>
      <c r="C496" s="114" t="str" cm="1">
        <f t="array" ref="C496">IFERROR(INDEX('03.Muestra'!$F$8:$F$42,SMALL(IF("Página Web"='03.Muestra'!$D$8:$D$42,ROW('03.Muestra'!$F$8:$F$42)-MIN(ROW('03.Muestra'!$D$8:$D$42))+1,""),ROW()-474)),"")</f>
        <v>https://www.portcastello.com/</v>
      </c>
      <c r="D496" s="130" t="s">
        <v>37</v>
      </c>
      <c r="E496" s="107" t="str">
        <f t="shared" si="24"/>
        <v/>
      </c>
      <c r="F496" s="19"/>
      <c r="G496" s="19"/>
      <c r="H496" s="19"/>
      <c r="I496" s="19"/>
      <c r="J496" s="19"/>
      <c r="K496" s="233"/>
      <c r="L496" s="19"/>
      <c r="M496" s="19"/>
      <c r="N496" s="19"/>
      <c r="O496" s="19"/>
      <c r="P496" s="19"/>
      <c r="Q496" s="19"/>
      <c r="R496" s="19"/>
      <c r="S496" s="19"/>
      <c r="T496" s="19"/>
      <c r="U496" s="19"/>
      <c r="V496" s="19"/>
      <c r="W496" s="19"/>
      <c r="X496" s="19"/>
      <c r="Y496" s="19"/>
    </row>
    <row r="497" spans="1:25" ht="12" customHeight="1">
      <c r="A497" s="219" t="n" cm="1">
        <f t="array" ref="A497">IFERROR(INDEX('03.Muestra'!$B$8:$B$42,SMALL(IF("Página Web"='03.Muestra'!$D$8:$D$42,ROW('03.Muestra'!$B$8:$B$42)-MIN(ROW('03.Muestra'!$D$8:$D$42))+1,""),ROW()-474)),"")</f>
        <v>1.0</v>
      </c>
      <c r="B497" s="114" t="str" cm="1">
        <f t="array" ref="B497">IFERROR(INDEX('03.Muestra'!$C$8:$C$42,SMALL(IF("Página Web"='03.Muestra'!$D$8:$D$42,ROW('03.Muestra'!$C$8:$C$42)-MIN(ROW('03.Muestra'!$D$8:$D$42))+1,""),ROW()-474)),"")</f>
        <v>Home - PortCastelló</v>
      </c>
      <c r="C497" s="114" t="str" cm="1">
        <f t="array" ref="C497">IFERROR(INDEX('03.Muestra'!$F$8:$F$42,SMALL(IF("Página Web"='03.Muestra'!$D$8:$D$42,ROW('03.Muestra'!$F$8:$F$42)-MIN(ROW('03.Muestra'!$D$8:$D$42))+1,""),ROW()-474)),"")</f>
        <v>https://www.portcastello.com/</v>
      </c>
      <c r="D497" s="130" t="s">
        <v>37</v>
      </c>
      <c r="E497" s="107" t="str">
        <f t="shared" si="24"/>
        <v/>
      </c>
      <c r="F497" s="19"/>
      <c r="G497" s="19"/>
      <c r="H497" s="19"/>
      <c r="I497" s="19"/>
      <c r="J497" s="19"/>
      <c r="K497" s="233"/>
      <c r="L497" s="19"/>
      <c r="M497" s="19"/>
      <c r="N497" s="19"/>
      <c r="O497" s="19"/>
      <c r="P497" s="19"/>
      <c r="Q497" s="19"/>
      <c r="R497" s="19"/>
      <c r="S497" s="19"/>
      <c r="T497" s="19"/>
      <c r="U497" s="19"/>
      <c r="V497" s="19"/>
      <c r="W497" s="19"/>
      <c r="X497" s="19"/>
      <c r="Y497" s="19"/>
    </row>
    <row r="498" spans="1:25" ht="12" customHeight="1">
      <c r="A498" s="219" t="n" cm="1">
        <f t="array" ref="A498">IFERROR(INDEX('03.Muestra'!$B$8:$B$42,SMALL(IF("Página Web"='03.Muestra'!$D$8:$D$42,ROW('03.Muestra'!$B$8:$B$42)-MIN(ROW('03.Muestra'!$D$8:$D$42))+1,""),ROW()-474)),"")</f>
        <v>1.0</v>
      </c>
      <c r="B498" s="114" t="str" cm="1">
        <f t="array" ref="B498">IFERROR(INDEX('03.Muestra'!$C$8:$C$42,SMALL(IF("Página Web"='03.Muestra'!$D$8:$D$42,ROW('03.Muestra'!$C$8:$C$42)-MIN(ROW('03.Muestra'!$D$8:$D$42))+1,""),ROW()-474)),"")</f>
        <v>Home - PortCastelló</v>
      </c>
      <c r="C498" s="114" t="str" cm="1">
        <f t="array" ref="C498">IFERROR(INDEX('03.Muestra'!$F$8:$F$42,SMALL(IF("Página Web"='03.Muestra'!$D$8:$D$42,ROW('03.Muestra'!$F$8:$F$42)-MIN(ROW('03.Muestra'!$D$8:$D$42))+1,""),ROW()-474)),"")</f>
        <v>https://www.portcastello.com/</v>
      </c>
      <c r="D498" s="130" t="s">
        <v>28</v>
      </c>
      <c r="E498" s="107" t="str">
        <f t="shared" si="24"/>
        <v/>
      </c>
      <c r="F498" s="19"/>
      <c r="G498" s="19"/>
      <c r="H498" s="19"/>
      <c r="I498" s="19"/>
      <c r="J498" s="19"/>
      <c r="K498" s="233"/>
      <c r="L498" s="19"/>
      <c r="M498" s="19"/>
      <c r="N498" s="19"/>
      <c r="O498" s="19"/>
      <c r="P498" s="19"/>
      <c r="Q498" s="19"/>
      <c r="R498" s="19"/>
      <c r="S498" s="19"/>
      <c r="T498" s="19"/>
      <c r="U498" s="19"/>
      <c r="V498" s="19"/>
      <c r="W498" s="19"/>
      <c r="X498" s="19"/>
      <c r="Y498" s="19"/>
    </row>
    <row r="499" spans="1:25" ht="12" customHeight="1">
      <c r="A499" s="219" t="n" cm="1">
        <f t="array" ref="A499">IFERROR(INDEX('03.Muestra'!$B$8:$B$42,SMALL(IF("Página Web"='03.Muestra'!$D$8:$D$42,ROW('03.Muestra'!$B$8:$B$42)-MIN(ROW('03.Muestra'!$D$8:$D$42))+1,""),ROW()-474)),"")</f>
        <v>1.0</v>
      </c>
      <c r="B499" s="114" t="str" cm="1">
        <f t="array" ref="B499">IFERROR(INDEX('03.Muestra'!$C$8:$C$42,SMALL(IF("Página Web"='03.Muestra'!$D$8:$D$42,ROW('03.Muestra'!$C$8:$C$42)-MIN(ROW('03.Muestra'!$D$8:$D$42))+1,""),ROW()-474)),"")</f>
        <v>Home - PortCastelló</v>
      </c>
      <c r="C499" s="114" t="str" cm="1">
        <f t="array" ref="C499">IFERROR(INDEX('03.Muestra'!$F$8:$F$42,SMALL(IF("Página Web"='03.Muestra'!$D$8:$D$42,ROW('03.Muestra'!$F$8:$F$42)-MIN(ROW('03.Muestra'!$D$8:$D$42))+1,""),ROW()-474)),"")</f>
        <v>https://www.portcastello.com/</v>
      </c>
      <c r="D499" s="130" t="s">
        <v>37</v>
      </c>
      <c r="E499" s="107" t="str">
        <f t="shared" si="24"/>
        <v/>
      </c>
      <c r="F499" s="19"/>
      <c r="G499" s="19"/>
      <c r="H499" s="19"/>
      <c r="I499" s="19"/>
      <c r="J499" s="19"/>
      <c r="K499" s="233"/>
      <c r="L499" s="19"/>
      <c r="M499" s="19"/>
      <c r="N499" s="19"/>
      <c r="O499" s="19"/>
      <c r="P499" s="19"/>
      <c r="Q499" s="19"/>
      <c r="R499" s="19"/>
      <c r="S499" s="19"/>
      <c r="T499" s="19"/>
      <c r="U499" s="19"/>
      <c r="V499" s="19"/>
      <c r="W499" s="19"/>
      <c r="X499" s="19"/>
      <c r="Y499" s="19"/>
    </row>
    <row r="500" spans="1:25" ht="12" customHeight="1">
      <c r="A500" s="219" t="n" cm="1">
        <f t="array" ref="A500">IFERROR(INDEX('03.Muestra'!$B$8:$B$42,SMALL(IF("Página Web"='03.Muestra'!$D$8:$D$42,ROW('03.Muestra'!$B$8:$B$42)-MIN(ROW('03.Muestra'!$D$8:$D$42))+1,""),ROW()-474)),"")</f>
        <v>1.0</v>
      </c>
      <c r="B500" s="114" t="str" cm="1">
        <f t="array" ref="B500">IFERROR(INDEX('03.Muestra'!$C$8:$C$42,SMALL(IF("Página Web"='03.Muestra'!$D$8:$D$42,ROW('03.Muestra'!$C$8:$C$42)-MIN(ROW('03.Muestra'!$D$8:$D$42))+1,""),ROW()-474)),"")</f>
        <v>Home - PortCastelló</v>
      </c>
      <c r="C500" s="114" t="str" cm="1">
        <f t="array" ref="C500">IFERROR(INDEX('03.Muestra'!$F$8:$F$42,SMALL(IF("Página Web"='03.Muestra'!$D$8:$D$42,ROW('03.Muestra'!$F$8:$F$42)-MIN(ROW('03.Muestra'!$D$8:$D$42))+1,""),ROW()-474)),"")</f>
        <v>https://www.portcastello.com/</v>
      </c>
      <c r="D500" s="130" t="s">
        <v>37</v>
      </c>
      <c r="E500" s="107" t="str">
        <f t="shared" si="24"/>
        <v/>
      </c>
      <c r="F500" s="19"/>
      <c r="G500" s="19"/>
      <c r="H500" s="19"/>
      <c r="I500" s="19"/>
      <c r="J500" s="19"/>
      <c r="K500" s="233"/>
      <c r="L500" s="19"/>
      <c r="M500" s="19"/>
      <c r="N500" s="19"/>
      <c r="O500" s="19"/>
      <c r="P500" s="19"/>
      <c r="Q500" s="19"/>
      <c r="R500" s="19"/>
      <c r="S500" s="19"/>
      <c r="T500" s="19"/>
      <c r="U500" s="19"/>
      <c r="V500" s="19"/>
      <c r="W500" s="19"/>
      <c r="X500" s="19"/>
      <c r="Y500" s="19"/>
    </row>
    <row r="501" spans="1:25" ht="12" customHeight="1">
      <c r="A501" s="219" t="n" cm="1">
        <f t="array" ref="A501">IFERROR(INDEX('03.Muestra'!$B$8:$B$42,SMALL(IF("Página Web"='03.Muestra'!$D$8:$D$42,ROW('03.Muestra'!$B$8:$B$42)-MIN(ROW('03.Muestra'!$D$8:$D$42))+1,""),ROW()-474)),"")</f>
        <v>1.0</v>
      </c>
      <c r="B501" s="114" t="str" cm="1">
        <f t="array" ref="B501">IFERROR(INDEX('03.Muestra'!$C$8:$C$42,SMALL(IF("Página Web"='03.Muestra'!$D$8:$D$42,ROW('03.Muestra'!$C$8:$C$42)-MIN(ROW('03.Muestra'!$D$8:$D$42))+1,""),ROW()-474)),"")</f>
        <v>Home - PortCastelló</v>
      </c>
      <c r="C501" s="114" t="str" cm="1">
        <f t="array" ref="C501">IFERROR(INDEX('03.Muestra'!$F$8:$F$42,SMALL(IF("Página Web"='03.Muestra'!$D$8:$D$42,ROW('03.Muestra'!$F$8:$F$42)-MIN(ROW('03.Muestra'!$D$8:$D$42))+1,""),ROW()-474)),"")</f>
        <v>https://www.portcastello.com/</v>
      </c>
      <c r="D501" s="130" t="s">
        <v>37</v>
      </c>
      <c r="E501" s="107" t="str">
        <f t="shared" si="24"/>
        <v/>
      </c>
      <c r="F501" s="19"/>
      <c r="G501" s="19"/>
      <c r="H501" s="19"/>
      <c r="I501" s="19"/>
      <c r="J501" s="19"/>
      <c r="K501" s="233"/>
      <c r="L501" s="19"/>
      <c r="M501" s="19"/>
      <c r="N501" s="19"/>
      <c r="O501" s="19"/>
      <c r="P501" s="19"/>
      <c r="Q501" s="19"/>
      <c r="R501" s="19"/>
      <c r="S501" s="19"/>
      <c r="T501" s="19"/>
      <c r="U501" s="19"/>
      <c r="V501" s="19"/>
      <c r="W501" s="19"/>
      <c r="X501" s="19"/>
      <c r="Y501" s="19"/>
    </row>
    <row r="502" spans="1:25" ht="12" customHeight="1">
      <c r="A502" s="219" t="n" cm="1">
        <f t="array" ref="A502">IFERROR(INDEX('03.Muestra'!$B$8:$B$42,SMALL(IF("Página Web"='03.Muestra'!$D$8:$D$42,ROW('03.Muestra'!$B$8:$B$42)-MIN(ROW('03.Muestra'!$D$8:$D$42))+1,""),ROW()-474)),"")</f>
        <v>1.0</v>
      </c>
      <c r="B502" s="114" t="str" cm="1">
        <f t="array" ref="B502">IFERROR(INDEX('03.Muestra'!$C$8:$C$42,SMALL(IF("Página Web"='03.Muestra'!$D$8:$D$42,ROW('03.Muestra'!$C$8:$C$42)-MIN(ROW('03.Muestra'!$D$8:$D$42))+1,""),ROW()-474)),"")</f>
        <v>Home - PortCastelló</v>
      </c>
      <c r="C502" s="114" t="str" cm="1">
        <f t="array" ref="C502">IFERROR(INDEX('03.Muestra'!$F$8:$F$42,SMALL(IF("Página Web"='03.Muestra'!$D$8:$D$42,ROW('03.Muestra'!$F$8:$F$42)-MIN(ROW('03.Muestra'!$D$8:$D$42))+1,""),ROW()-474)),"")</f>
        <v>https://www.portcastello.com/</v>
      </c>
      <c r="D502" s="130" t="s">
        <v>37</v>
      </c>
      <c r="E502" s="107" t="str">
        <f t="shared" si="24"/>
        <v/>
      </c>
      <c r="G502" s="19"/>
      <c r="H502" s="19"/>
      <c r="I502" s="19"/>
      <c r="J502" s="19"/>
      <c r="K502" s="233"/>
      <c r="L502" s="19"/>
      <c r="M502" s="19"/>
      <c r="N502" s="19"/>
      <c r="O502" s="19"/>
      <c r="P502" s="19"/>
      <c r="Q502" s="19"/>
      <c r="R502" s="19"/>
      <c r="S502" s="19"/>
      <c r="T502" s="19"/>
      <c r="U502" s="19"/>
      <c r="V502" s="19"/>
      <c r="W502" s="19"/>
      <c r="X502" s="19"/>
      <c r="Y502" s="19"/>
    </row>
    <row r="503" spans="1:25" ht="12" customHeight="1">
      <c r="A503" s="219" t="n" cm="1">
        <f t="array" ref="A503">IFERROR(INDEX('03.Muestra'!$B$8:$B$42,SMALL(IF("Página Web"='03.Muestra'!$D$8:$D$42,ROW('03.Muestra'!$B$8:$B$42)-MIN(ROW('03.Muestra'!$D$8:$D$42))+1,""),ROW()-474)),"")</f>
        <v>1.0</v>
      </c>
      <c r="B503" s="114" t="str" cm="1">
        <f t="array" ref="B503">IFERROR(INDEX('03.Muestra'!$C$8:$C$42,SMALL(IF("Página Web"='03.Muestra'!$D$8:$D$42,ROW('03.Muestra'!$C$8:$C$42)-MIN(ROW('03.Muestra'!$D$8:$D$42))+1,""),ROW()-474)),"")</f>
        <v>Home - PortCastelló</v>
      </c>
      <c r="C503" s="114" t="str" cm="1">
        <f t="array" ref="C503">IFERROR(INDEX('03.Muestra'!$F$8:$F$42,SMALL(IF("Página Web"='03.Muestra'!$D$8:$D$42,ROW('03.Muestra'!$F$8:$F$42)-MIN(ROW('03.Muestra'!$D$8:$D$42))+1,""),ROW()-474)),"")</f>
        <v>https://www.portcastello.com/</v>
      </c>
      <c r="D503" s="130" t="s">
        <v>37</v>
      </c>
      <c r="E503" s="107" t="str">
        <f t="shared" si="24"/>
        <v/>
      </c>
      <c r="F503" s="124"/>
      <c r="G503" s="19"/>
      <c r="H503" s="19"/>
      <c r="I503" s="19"/>
      <c r="J503" s="19"/>
      <c r="K503" s="233"/>
      <c r="L503" s="19"/>
      <c r="M503" s="19"/>
      <c r="N503" s="19"/>
      <c r="O503" s="19"/>
      <c r="P503" s="19"/>
      <c r="Q503" s="19"/>
      <c r="R503" s="19"/>
      <c r="S503" s="19"/>
      <c r="T503" s="19"/>
      <c r="U503" s="19"/>
      <c r="V503" s="19"/>
      <c r="W503" s="19"/>
      <c r="X503" s="19"/>
      <c r="Y503" s="19"/>
    </row>
    <row r="504" spans="1:25" ht="12" customHeight="1">
      <c r="A504" s="219" t="n" cm="1">
        <f t="array" ref="A504">IFERROR(INDEX('03.Muestra'!$B$8:$B$42,SMALL(IF("Página Web"='03.Muestra'!$D$8:$D$42,ROW('03.Muestra'!$B$8:$B$42)-MIN(ROW('03.Muestra'!$D$8:$D$42))+1,""),ROW()-474)),"")</f>
        <v>1.0</v>
      </c>
      <c r="B504" s="114" t="str" cm="1">
        <f t="array" ref="B504">IFERROR(INDEX('03.Muestra'!$C$8:$C$42,SMALL(IF("Página Web"='03.Muestra'!$D$8:$D$42,ROW('03.Muestra'!$C$8:$C$42)-MIN(ROW('03.Muestra'!$D$8:$D$42))+1,""),ROW()-474)),"")</f>
        <v>Home - PortCastelló</v>
      </c>
      <c r="C504" s="114" t="str" cm="1">
        <f t="array" ref="C504">IFERROR(INDEX('03.Muestra'!$F$8:$F$42,SMALL(IF("Página Web"='03.Muestra'!$D$8:$D$42,ROW('03.Muestra'!$F$8:$F$42)-MIN(ROW('03.Muestra'!$D$8:$D$42))+1,""),ROW()-474)),"")</f>
        <v>https://www.portcastello.com/</v>
      </c>
      <c r="D504" s="130" t="s">
        <v>37</v>
      </c>
      <c r="E504" s="107" t="str">
        <f t="shared" si="24"/>
        <v/>
      </c>
      <c r="F504" s="124"/>
      <c r="G504" s="19"/>
      <c r="H504" s="19"/>
      <c r="I504" s="19"/>
      <c r="J504" s="19"/>
      <c r="K504" s="233"/>
      <c r="L504" s="19"/>
      <c r="M504" s="19"/>
      <c r="N504" s="19"/>
      <c r="O504" s="19"/>
      <c r="P504" s="19"/>
      <c r="Q504" s="19"/>
      <c r="R504" s="19"/>
      <c r="S504" s="19"/>
      <c r="T504" s="19"/>
      <c r="U504" s="19"/>
      <c r="V504" s="19"/>
      <c r="W504" s="19"/>
      <c r="X504" s="19"/>
      <c r="Y504" s="19"/>
    </row>
    <row r="505" spans="1:25" ht="12" customHeight="1">
      <c r="A505" s="219" t="n" cm="1">
        <f t="array" ref="A505">IFERROR(INDEX('03.Muestra'!$B$8:$B$42,SMALL(IF("Página Web"='03.Muestra'!$D$8:$D$42,ROW('03.Muestra'!$B$8:$B$42)-MIN(ROW('03.Muestra'!$D$8:$D$42))+1,""),ROW()-474)),"")</f>
        <v>1.0</v>
      </c>
      <c r="B505" s="114" t="str" cm="1">
        <f t="array" ref="B505">IFERROR(INDEX('03.Muestra'!$C$8:$C$42,SMALL(IF("Página Web"='03.Muestra'!$D$8:$D$42,ROW('03.Muestra'!$C$8:$C$42)-MIN(ROW('03.Muestra'!$D$8:$D$42))+1,""),ROW()-474)),"")</f>
        <v>Home - PortCastelló</v>
      </c>
      <c r="C505" s="114" t="str" cm="1">
        <f t="array" ref="C505">IFERROR(INDEX('03.Muestra'!$F$8:$F$42,SMALL(IF("Página Web"='03.Muestra'!$D$8:$D$42,ROW('03.Muestra'!$F$8:$F$42)-MIN(ROW('03.Muestra'!$D$8:$D$42))+1,""),ROW()-474)),"")</f>
        <v>https://www.portcastello.com/</v>
      </c>
      <c r="D505" s="130" t="s">
        <v>37</v>
      </c>
      <c r="E505" s="107" t="str">
        <f t="shared" si="24"/>
        <v/>
      </c>
      <c r="F505" s="124"/>
      <c r="G505" s="19"/>
      <c r="H505" s="19"/>
      <c r="I505" s="19"/>
      <c r="J505" s="19"/>
      <c r="K505" s="233"/>
      <c r="L505" s="19"/>
      <c r="M505" s="19"/>
      <c r="N505" s="19"/>
      <c r="O505" s="19"/>
      <c r="P505" s="19"/>
      <c r="Q505" s="19"/>
      <c r="R505" s="19"/>
      <c r="S505" s="19"/>
      <c r="T505" s="19"/>
      <c r="U505" s="19"/>
      <c r="V505" s="19"/>
      <c r="W505" s="19"/>
      <c r="X505" s="19"/>
      <c r="Y505" s="19"/>
    </row>
    <row r="506" spans="1:25" ht="12" customHeight="1">
      <c r="A506" s="219" t="n" cm="1">
        <f t="array" ref="A506">IFERROR(INDEX('03.Muestra'!$B$8:$B$42,SMALL(IF("Página Web"='03.Muestra'!$D$8:$D$42,ROW('03.Muestra'!$B$8:$B$42)-MIN(ROW('03.Muestra'!$D$8:$D$42))+1,""),ROW()-474)),"")</f>
        <v>1.0</v>
      </c>
      <c r="B506" s="114" t="str" cm="1">
        <f t="array" ref="B506">IFERROR(INDEX('03.Muestra'!$C$8:$C$42,SMALL(IF("Página Web"='03.Muestra'!$D$8:$D$42,ROW('03.Muestra'!$C$8:$C$42)-MIN(ROW('03.Muestra'!$D$8:$D$42))+1,""),ROW()-474)),"")</f>
        <v>Home - PortCastelló</v>
      </c>
      <c r="C506" s="114" t="str" cm="1">
        <f t="array" ref="C506">IFERROR(INDEX('03.Muestra'!$F$8:$F$42,SMALL(IF("Página Web"='03.Muestra'!$D$8:$D$42,ROW('03.Muestra'!$F$8:$F$42)-MIN(ROW('03.Muestra'!$D$8:$D$42))+1,""),ROW()-474)),"")</f>
        <v>https://www.portcastello.com/</v>
      </c>
      <c r="D506" s="130" t="s">
        <v>37</v>
      </c>
      <c r="E506" s="107" t="str">
        <f t="shared" si="24"/>
        <v/>
      </c>
      <c r="F506" s="124"/>
      <c r="G506" s="19"/>
      <c r="H506" s="19"/>
      <c r="I506" s="19"/>
      <c r="J506" s="19"/>
      <c r="K506" s="233"/>
      <c r="L506" s="19"/>
      <c r="M506" s="19"/>
      <c r="N506" s="19"/>
      <c r="O506" s="19"/>
      <c r="P506" s="19"/>
      <c r="Q506" s="19"/>
      <c r="R506" s="19"/>
      <c r="S506" s="19"/>
      <c r="T506" s="19"/>
      <c r="U506" s="19"/>
      <c r="V506" s="19"/>
      <c r="W506" s="19"/>
      <c r="X506" s="19"/>
      <c r="Y506" s="19"/>
    </row>
    <row r="507" spans="1:25" ht="12" customHeight="1">
      <c r="A507" s="219" t="n" cm="1">
        <f t="array" ref="A507">IFERROR(INDEX('03.Muestra'!$B$8:$B$42,SMALL(IF("Página Web"='03.Muestra'!$D$8:$D$42,ROW('03.Muestra'!$B$8:$B$42)-MIN(ROW('03.Muestra'!$D$8:$D$42))+1,""),ROW()-474)),"")</f>
        <v>1.0</v>
      </c>
      <c r="B507" s="114" t="str" cm="1">
        <f t="array" ref="B507">IFERROR(INDEX('03.Muestra'!$C$8:$C$42,SMALL(IF("Página Web"='03.Muestra'!$D$8:$D$42,ROW('03.Muestra'!$C$8:$C$42)-MIN(ROW('03.Muestra'!$D$8:$D$42))+1,""),ROW()-474)),"")</f>
        <v>Home - PortCastelló</v>
      </c>
      <c r="C507" s="114" t="str" cm="1">
        <f t="array" ref="C507">IFERROR(INDEX('03.Muestra'!$F$8:$F$42,SMALL(IF("Página Web"='03.Muestra'!$D$8:$D$42,ROW('03.Muestra'!$F$8:$F$42)-MIN(ROW('03.Muestra'!$D$8:$D$42))+1,""),ROW()-474)),"")</f>
        <v>https://www.portcastello.com/</v>
      </c>
      <c r="D507" s="130" t="s">
        <v>37</v>
      </c>
      <c r="E507" s="107" t="str">
        <f t="shared" si="24"/>
        <v/>
      </c>
      <c r="F507" s="124"/>
      <c r="G507" s="19"/>
      <c r="H507" s="19"/>
      <c r="I507" s="19"/>
      <c r="J507" s="19"/>
      <c r="K507" s="233"/>
      <c r="L507" s="19"/>
      <c r="M507" s="19"/>
      <c r="N507" s="19"/>
      <c r="O507" s="19"/>
      <c r="P507" s="19"/>
      <c r="Q507" s="19"/>
      <c r="R507" s="19"/>
      <c r="S507" s="19"/>
      <c r="T507" s="19"/>
      <c r="U507" s="19"/>
      <c r="V507" s="19"/>
      <c r="W507" s="19"/>
      <c r="X507" s="19"/>
      <c r="Y507" s="19"/>
    </row>
    <row r="508" spans="1:25" ht="12" customHeight="1">
      <c r="A508" s="219" t="str" cm="1">
        <f t="array" ref="A508">IFERROR(INDEX('03.Muestra'!$B$8:$B$42,SMALL(IF("Página Web"='03.Muestra'!$D$8:$D$42,ROW('03.Muestra'!$B$8:$B$42)-MIN(ROW('03.Muestra'!$D$8:$D$42))+1,""),ROW()-474)),"")</f>
        <v/>
      </c>
      <c r="B508" s="114" t="str" cm="1">
        <f t="array" ref="B508">IFERROR(INDEX('03.Muestra'!$C$8:$C$42,SMALL(IF("Página Web"='03.Muestra'!$D$8:$D$42,ROW('03.Muestra'!$C$8:$C$42)-MIN(ROW('03.Muestra'!$D$8:$D$42))+1,""),ROW()-474)),"")</f>
        <v/>
      </c>
      <c r="C508" s="114" t="str" cm="1">
        <f t="array" ref="C508">IFERROR(INDEX('03.Muestra'!$F$8:$F$42,SMALL(IF("Página Web"='03.Muestra'!$D$8:$D$42,ROW('03.Muestra'!$F$8:$F$42)-MIN(ROW('03.Muestra'!$D$8:$D$42))+1,""),ROW()-474)),"")</f>
        <v/>
      </c>
      <c r="D508" s="130" t="str">
        <f t="shared" si="25" ref="D508:D509">IF(AND(B508&lt;&gt;"",C508&lt;&gt;""),"N/T","")</f>
        <v/>
      </c>
      <c r="E508" s="107" t="str">
        <f t="shared" si="24"/>
        <v/>
      </c>
      <c r="F508" s="124"/>
      <c r="G508" s="19"/>
      <c r="H508" s="19"/>
      <c r="I508" s="19"/>
      <c r="J508" s="19"/>
      <c r="K508" s="233"/>
      <c r="L508" s="19"/>
      <c r="M508" s="19"/>
      <c r="N508" s="19"/>
      <c r="O508" s="19"/>
      <c r="P508" s="19"/>
      <c r="Q508" s="19"/>
      <c r="R508" s="19"/>
      <c r="S508" s="19"/>
      <c r="T508" s="19"/>
      <c r="U508" s="19"/>
      <c r="V508" s="19"/>
      <c r="W508" s="19"/>
      <c r="X508" s="19"/>
      <c r="Y508" s="19"/>
    </row>
    <row r="509" spans="1:25" ht="12" customHeight="1">
      <c r="A509" s="219" t="str" cm="1">
        <f t="array" ref="A509">IFERROR(INDEX('03.Muestra'!$B$8:$B$42,SMALL(IF("Página Web"='03.Muestra'!$D$8:$D$42,ROW('03.Muestra'!$B$8:$B$42)-MIN(ROW('03.Muestra'!$D$8:$D$42))+1,""),ROW()-474)),"")</f>
        <v/>
      </c>
      <c r="B509" s="114" t="str" cm="1">
        <f t="array" ref="B509">IFERROR(INDEX('03.Muestra'!$C$8:$C$42,SMALL(IF("Página Web"='03.Muestra'!$D$8:$D$42,ROW('03.Muestra'!$C$8:$C$42)-MIN(ROW('03.Muestra'!$D$8:$D$42))+1,""),ROW()-474)),"")</f>
        <v/>
      </c>
      <c r="C509" s="114" t="str" cm="1">
        <f t="array" ref="C509">IFERROR(INDEX('03.Muestra'!$F$8:$F$42,SMALL(IF("Página Web"='03.Muestra'!$D$8:$D$42,ROW('03.Muestra'!$F$8:$F$42)-MIN(ROW('03.Muestra'!$D$8:$D$42))+1,""),ROW()-474)),"")</f>
        <v/>
      </c>
      <c r="D509" s="130" t="str">
        <f t="shared" si="25"/>
        <v/>
      </c>
      <c r="E509" s="107" t="str">
        <f t="shared" si="24"/>
        <v/>
      </c>
      <c r="F509" s="19"/>
      <c r="G509" s="19"/>
      <c r="H509" s="19"/>
      <c r="I509" s="19"/>
      <c r="J509" s="19"/>
      <c r="K509" s="233"/>
      <c r="L509" s="19"/>
      <c r="M509" s="19"/>
      <c r="N509" s="19"/>
      <c r="O509" s="19"/>
      <c r="P509" s="19"/>
      <c r="Q509" s="19"/>
      <c r="R509" s="19"/>
      <c r="S509" s="19"/>
      <c r="T509" s="19"/>
      <c r="U509" s="19"/>
      <c r="V509" s="19"/>
      <c r="W509" s="19"/>
      <c r="X509" s="19"/>
      <c r="Y509" s="19"/>
    </row>
    <row r="510" spans="1:25" ht="12" customHeight="1">
      <c r="B510" s="19"/>
      <c r="C510" s="19"/>
      <c r="D510" s="107"/>
      <c r="E510" s="107"/>
      <c r="F510" s="19"/>
      <c r="G510" s="19"/>
      <c r="H510" s="19"/>
      <c r="I510" s="19"/>
      <c r="J510" s="19"/>
      <c r="K510" s="233"/>
      <c r="L510" s="19"/>
      <c r="M510" s="19"/>
      <c r="N510" s="19"/>
      <c r="O510" s="19"/>
      <c r="P510" s="19"/>
      <c r="Q510" s="19"/>
      <c r="R510" s="19"/>
      <c r="S510" s="19"/>
      <c r="T510" s="19"/>
      <c r="U510" s="19"/>
      <c r="V510" s="19"/>
      <c r="W510" s="19"/>
      <c r="X510" s="19"/>
      <c r="Y510" s="19"/>
    </row>
    <row r="511" spans="1:25" ht="12" customHeight="1">
      <c r="B511" s="19"/>
      <c r="C511" s="19"/>
      <c r="D511" s="107"/>
      <c r="E511" s="107"/>
      <c r="F511" s="19"/>
      <c r="G511" s="19"/>
      <c r="H511" s="19"/>
      <c r="I511" s="19"/>
      <c r="J511" s="19"/>
      <c r="K511" s="233"/>
      <c r="L511" s="19"/>
      <c r="M511" s="19"/>
      <c r="N511" s="19"/>
      <c r="O511" s="19"/>
      <c r="P511" s="19"/>
      <c r="Q511" s="19"/>
      <c r="R511" s="19"/>
      <c r="S511" s="19"/>
      <c r="T511" s="19"/>
      <c r="U511" s="19"/>
      <c r="V511" s="19"/>
      <c r="W511" s="19"/>
      <c r="X511" s="19"/>
      <c r="Y511" s="19"/>
    </row>
    <row r="512" spans="1:25" ht="29.25" customHeight="1">
      <c r="A512" s="218" t="s">
        <v>268</v>
      </c>
      <c r="B512" s="24" t="s">
        <v>90</v>
      </c>
      <c r="C512" s="25" t="s">
        <v>386</v>
      </c>
      <c r="D512" s="26" t="s">
        <v>32</v>
      </c>
      <c r="E512" s="123"/>
      <c r="K512" s="233"/>
      <c r="L512" s="19"/>
      <c r="M512" s="19"/>
      <c r="N512" s="19"/>
      <c r="O512" s="19"/>
      <c r="P512" s="19"/>
      <c r="Q512" s="19"/>
      <c r="R512" s="19"/>
      <c r="S512" s="19"/>
      <c r="T512" s="19"/>
      <c r="U512" s="19"/>
      <c r="V512" s="19"/>
      <c r="W512" s="19"/>
      <c r="X512" s="19"/>
      <c r="Y512" s="19"/>
    </row>
    <row r="513" spans="1:25" ht="12" customHeight="1">
      <c r="A513" s="219" t="n" cm="1">
        <f t="array" ref="A513">IFERROR(INDEX('03.Muestra'!$B$8:$B$42,SMALL(IF("Página Web"='03.Muestra'!$D$8:$D$42,ROW('03.Muestra'!$B$8:$B$42)-MIN(ROW('03.Muestra'!$D$8:$D$42))+1,""),ROW()-512)),"")</f>
        <v>1.0</v>
      </c>
      <c r="B513" s="114" t="str" cm="1">
        <f t="array" ref="B513">IFERROR(INDEX('03.Muestra'!$C$8:$C$42,SMALL(IF("Página Web"='03.Muestra'!$D$8:$D$42,ROW('03.Muestra'!$C$8:$C$42)-MIN(ROW('03.Muestra'!$D$8:$D$42))+1,""),ROW()-512)),"")</f>
        <v>Home - PortCastelló</v>
      </c>
      <c r="C513" s="114" t="str" cm="1">
        <f t="array" ref="C513">IFERROR(INDEX('03.Muestra'!$F$8:$F$42,SMALL(IF("Página Web"='03.Muestra'!$D$8:$D$42,ROW('03.Muestra'!$F$8:$F$42)-MIN(ROW('03.Muestra'!$D$8:$D$42))+1,""),ROW()-512)),"")</f>
        <v>https://www.portcastello.com/</v>
      </c>
      <c r="D513" s="130" t="str">
        <f>IF(AND(B513&lt;&gt;"",C513&lt;&gt;""),"N/T","")</f>
        <v>N/T</v>
      </c>
      <c r="E513" s="107" t="str">
        <f t="shared" ref="E513:E547" si="26">IF(D513&lt;&gt;"",IF(AND(B513&lt;&gt;"",C513&lt;&gt;""),"","ERR"),"")</f>
        <v/>
      </c>
      <c r="F513" s="115" t="s">
        <v>33</v>
      </c>
      <c r="G513" s="116" t="s">
        <v>37</v>
      </c>
      <c r="H513" s="117" t="s">
        <v>35</v>
      </c>
      <c r="I513" s="118" t="s">
        <v>28</v>
      </c>
      <c r="J513" s="119" t="s">
        <v>26</v>
      </c>
      <c r="K513" s="226" t="s">
        <v>474</v>
      </c>
      <c r="L513" s="19"/>
      <c r="M513" s="19"/>
      <c r="N513" s="19"/>
      <c r="O513" s="19"/>
      <c r="P513" s="19"/>
      <c r="Q513" s="19"/>
      <c r="R513" s="19"/>
      <c r="S513" s="19"/>
      <c r="T513" s="19"/>
      <c r="U513" s="19"/>
      <c r="V513" s="19"/>
      <c r="W513" s="19"/>
      <c r="X513" s="19"/>
      <c r="Y513" s="19"/>
    </row>
    <row r="514" spans="1:25" ht="12" customHeight="1">
      <c r="A514" s="219" t="n" cm="1">
        <f t="array" ref="A514">IFERROR(INDEX('03.Muestra'!$B$8:$B$42,SMALL(IF("Página Web"='03.Muestra'!$D$8:$D$42,ROW('03.Muestra'!$B$8:$B$42)-MIN(ROW('03.Muestra'!$D$8:$D$42))+1,""),ROW()-512)),"")</f>
        <v>1.0</v>
      </c>
      <c r="B514" s="114" t="str" cm="1">
        <f t="array" ref="B514">IFERROR(INDEX('03.Muestra'!$C$8:$C$42,SMALL(IF("Página Web"='03.Muestra'!$D$8:$D$42,ROW('03.Muestra'!$C$8:$C$42)-MIN(ROW('03.Muestra'!$D$8:$D$42))+1,""),ROW()-512)),"")</f>
        <v>Home - PortCastelló</v>
      </c>
      <c r="C514" s="114" t="str" cm="1">
        <f t="array" ref="C514">IFERROR(INDEX('03.Muestra'!$F$8:$F$42,SMALL(IF("Página Web"='03.Muestra'!$D$8:$D$42,ROW('03.Muestra'!$F$8:$F$42)-MIN(ROW('03.Muestra'!$D$8:$D$42))+1,""),ROW()-512)),"")</f>
        <v>https://www.portcastello.com/</v>
      </c>
      <c r="D514" s="130" t="str">
        <f t="shared" ref="D514:D547" si="27">IF(AND(B514&lt;&gt;"",C514&lt;&gt;""),"N/T","")</f>
        <v>N/T</v>
      </c>
      <c r="E514" s="107" t="str">
        <f t="shared" si="26"/>
        <v/>
      </c>
      <c r="F514" s="120" t="n">
        <f ca="1">COUNTIF($D513:INDIRECT("$D" &amp;  SUM(ROW()-1,'03.Muestra'!$D$45)-1),F513)</f>
        <v>33.0</v>
      </c>
      <c r="G514" s="120" t="n">
        <f ca="1">COUNTIF($D513:INDIRECT("$D" &amp;  SUM(ROW()-1,'03.Muestra'!$D$45)-1),G513)</f>
        <v>0.0</v>
      </c>
      <c r="H514" s="120" t="n">
        <f ca="1">COUNTIF($D513:INDIRECT("$D" &amp;  SUM(ROW()-1,'03.Muestra'!$D$45)-1),H513)</f>
        <v>0.0</v>
      </c>
      <c r="I514" s="120" t="n">
        <f ca="1">COUNTIF($D513:INDIRECT("$D" &amp;  SUM(ROW()-1,'03.Muestra'!$D$45)-1),I513)</f>
        <v>0.0</v>
      </c>
      <c r="J514" s="120" t="n">
        <f ca="1">COUNTIF($D513:INDIRECT("$D" &amp;  SUM(ROW()-1,'03.Muestra'!$D$45)-1),J513)</f>
        <v>0.0</v>
      </c>
      <c r="K514" s="227" t="n">
        <f ca="1">IF(COUNTIF('03.Muestra'!$D$8:$D$42,"Página Web")=0,0,COUNTBLANK($D513:INDIRECT("$D" &amp;  SUM(ROW()-1,COUNTIF('03.Muestra'!$D$8:$D$42,"Página Web"))-1)))</f>
        <v>0.0</v>
      </c>
      <c r="L514" s="19"/>
      <c r="M514" s="19"/>
      <c r="N514" s="19"/>
      <c r="O514" s="19"/>
      <c r="P514" s="19"/>
      <c r="Q514" s="19"/>
      <c r="R514" s="19"/>
      <c r="S514" s="19"/>
      <c r="T514" s="19"/>
      <c r="U514" s="19"/>
      <c r="V514" s="19"/>
      <c r="W514" s="19"/>
      <c r="X514" s="19"/>
      <c r="Y514" s="19"/>
    </row>
    <row r="515" spans="1:25" ht="12" customHeight="1">
      <c r="A515" s="219" t="n" cm="1">
        <f t="array" ref="A515">IFERROR(INDEX('03.Muestra'!$B$8:$B$42,SMALL(IF("Página Web"='03.Muestra'!$D$8:$D$42,ROW('03.Muestra'!$B$8:$B$42)-MIN(ROW('03.Muestra'!$D$8:$D$42))+1,""),ROW()-512)),"")</f>
        <v>1.0</v>
      </c>
      <c r="B515" s="114" t="str" cm="1">
        <f t="array" ref="B515">IFERROR(INDEX('03.Muestra'!$C$8:$C$42,SMALL(IF("Página Web"='03.Muestra'!$D$8:$D$42,ROW('03.Muestra'!$C$8:$C$42)-MIN(ROW('03.Muestra'!$D$8:$D$42))+1,""),ROW()-512)),"")</f>
        <v>Home - PortCastelló</v>
      </c>
      <c r="C515" s="114" t="str" cm="1">
        <f t="array" ref="C515">IFERROR(INDEX('03.Muestra'!$F$8:$F$42,SMALL(IF("Página Web"='03.Muestra'!$D$8:$D$42,ROW('03.Muestra'!$F$8:$F$42)-MIN(ROW('03.Muestra'!$D$8:$D$42))+1,""),ROW()-512)),"")</f>
        <v>https://www.portcastello.com/</v>
      </c>
      <c r="D515" s="130" t="str">
        <f t="shared" si="27"/>
        <v>N/T</v>
      </c>
      <c r="E515" s="107" t="str">
        <f t="shared" si="26"/>
        <v/>
      </c>
      <c r="G515" s="19"/>
      <c r="H515" s="19"/>
      <c r="I515" s="19"/>
      <c r="J515" s="19"/>
      <c r="K515" s="233"/>
      <c r="L515" s="19"/>
      <c r="M515" s="19"/>
      <c r="N515" s="19"/>
      <c r="O515" s="19"/>
      <c r="P515" s="19"/>
      <c r="Q515" s="19"/>
      <c r="R515" s="19"/>
      <c r="S515" s="19"/>
      <c r="T515" s="19"/>
      <c r="U515" s="19"/>
      <c r="V515" s="19"/>
      <c r="W515" s="19"/>
      <c r="X515" s="19"/>
      <c r="Y515" s="19"/>
    </row>
    <row r="516" spans="1:25" ht="12" customHeight="1">
      <c r="A516" s="219" t="n" cm="1">
        <f t="array" ref="A516">IFERROR(INDEX('03.Muestra'!$B$8:$B$42,SMALL(IF("Página Web"='03.Muestra'!$D$8:$D$42,ROW('03.Muestra'!$B$8:$B$42)-MIN(ROW('03.Muestra'!$D$8:$D$42))+1,""),ROW()-512)),"")</f>
        <v>1.0</v>
      </c>
      <c r="B516" s="114" t="str" cm="1">
        <f t="array" ref="B516">IFERROR(INDEX('03.Muestra'!$C$8:$C$42,SMALL(IF("Página Web"='03.Muestra'!$D$8:$D$42,ROW('03.Muestra'!$C$8:$C$42)-MIN(ROW('03.Muestra'!$D$8:$D$42))+1,""),ROW()-512)),"")</f>
        <v>Home - PortCastelló</v>
      </c>
      <c r="C516" s="114" t="str" cm="1">
        <f t="array" ref="C516">IFERROR(INDEX('03.Muestra'!$F$8:$F$42,SMALL(IF("Página Web"='03.Muestra'!$D$8:$D$42,ROW('03.Muestra'!$F$8:$F$42)-MIN(ROW('03.Muestra'!$D$8:$D$42))+1,""),ROW()-512)),"")</f>
        <v>https://www.portcastello.com/</v>
      </c>
      <c r="D516" s="130" t="str">
        <f t="shared" si="27"/>
        <v>N/T</v>
      </c>
      <c r="E516" s="107" t="str">
        <f t="shared" si="26"/>
        <v/>
      </c>
      <c r="G516" s="19"/>
      <c r="H516" s="19"/>
      <c r="I516" s="19"/>
      <c r="J516" s="19"/>
      <c r="K516" s="233"/>
      <c r="L516" s="19"/>
      <c r="M516" s="19"/>
      <c r="N516" s="19"/>
      <c r="O516" s="19"/>
      <c r="P516" s="19"/>
      <c r="Q516" s="19"/>
      <c r="R516" s="19"/>
      <c r="S516" s="19"/>
      <c r="T516" s="19"/>
      <c r="U516" s="19"/>
      <c r="V516" s="19"/>
      <c r="W516" s="19"/>
      <c r="X516" s="19"/>
      <c r="Y516" s="19"/>
    </row>
    <row r="517" spans="1:25" ht="12" customHeight="1">
      <c r="A517" s="219" t="n" cm="1">
        <f t="array" ref="A517">IFERROR(INDEX('03.Muestra'!$B$8:$B$42,SMALL(IF("Página Web"='03.Muestra'!$D$8:$D$42,ROW('03.Muestra'!$B$8:$B$42)-MIN(ROW('03.Muestra'!$D$8:$D$42))+1,""),ROW()-512)),"")</f>
        <v>1.0</v>
      </c>
      <c r="B517" s="114" t="str" cm="1">
        <f t="array" ref="B517">IFERROR(INDEX('03.Muestra'!$C$8:$C$42,SMALL(IF("Página Web"='03.Muestra'!$D$8:$D$42,ROW('03.Muestra'!$C$8:$C$42)-MIN(ROW('03.Muestra'!$D$8:$D$42))+1,""),ROW()-512)),"")</f>
        <v>Home - PortCastelló</v>
      </c>
      <c r="C517" s="114" t="str" cm="1">
        <f t="array" ref="C517">IFERROR(INDEX('03.Muestra'!$F$8:$F$42,SMALL(IF("Página Web"='03.Muestra'!$D$8:$D$42,ROW('03.Muestra'!$F$8:$F$42)-MIN(ROW('03.Muestra'!$D$8:$D$42))+1,""),ROW()-512)),"")</f>
        <v>https://www.portcastello.com/</v>
      </c>
      <c r="D517" s="130" t="str">
        <f t="shared" si="27"/>
        <v>N/T</v>
      </c>
      <c r="E517" s="107" t="str">
        <f t="shared" si="26"/>
        <v/>
      </c>
      <c r="G517" s="19"/>
      <c r="H517" s="19"/>
      <c r="I517" s="19"/>
      <c r="J517" s="19"/>
      <c r="K517" s="233"/>
      <c r="L517" s="19"/>
      <c r="M517" s="19"/>
      <c r="N517" s="19"/>
      <c r="O517" s="19"/>
      <c r="P517" s="19"/>
      <c r="Q517" s="19"/>
      <c r="R517" s="19"/>
      <c r="S517" s="19"/>
      <c r="T517" s="19"/>
      <c r="U517" s="19"/>
      <c r="V517" s="19"/>
      <c r="W517" s="19"/>
      <c r="X517" s="19"/>
      <c r="Y517" s="19"/>
    </row>
    <row r="518" spans="1:25" ht="12" customHeight="1">
      <c r="A518" s="219" t="n" cm="1">
        <f t="array" ref="A518">IFERROR(INDEX('03.Muestra'!$B$8:$B$42,SMALL(IF("Página Web"='03.Muestra'!$D$8:$D$42,ROW('03.Muestra'!$B$8:$B$42)-MIN(ROW('03.Muestra'!$D$8:$D$42))+1,""),ROW()-512)),"")</f>
        <v>1.0</v>
      </c>
      <c r="B518" s="114" t="str" cm="1">
        <f t="array" ref="B518">IFERROR(INDEX('03.Muestra'!$C$8:$C$42,SMALL(IF("Página Web"='03.Muestra'!$D$8:$D$42,ROW('03.Muestra'!$C$8:$C$42)-MIN(ROW('03.Muestra'!$D$8:$D$42))+1,""),ROW()-512)),"")</f>
        <v>Home - PortCastelló</v>
      </c>
      <c r="C518" s="114" t="str" cm="1">
        <f t="array" ref="C518">IFERROR(INDEX('03.Muestra'!$F$8:$F$42,SMALL(IF("Página Web"='03.Muestra'!$D$8:$D$42,ROW('03.Muestra'!$F$8:$F$42)-MIN(ROW('03.Muestra'!$D$8:$D$42))+1,""),ROW()-512)),"")</f>
        <v>https://www.portcastello.com/</v>
      </c>
      <c r="D518" s="130" t="str">
        <f t="shared" si="27"/>
        <v>N/T</v>
      </c>
      <c r="E518" s="107" t="str">
        <f t="shared" si="26"/>
        <v/>
      </c>
      <c r="G518" s="19"/>
      <c r="H518" s="19"/>
      <c r="I518" s="19"/>
      <c r="J518" s="19"/>
      <c r="K518" s="233"/>
      <c r="L518" s="19"/>
      <c r="M518" s="19"/>
      <c r="N518" s="19"/>
      <c r="O518" s="19"/>
      <c r="P518" s="19"/>
      <c r="Q518" s="19"/>
      <c r="R518" s="19"/>
      <c r="S518" s="19"/>
      <c r="T518" s="19"/>
      <c r="U518" s="19"/>
      <c r="V518" s="19"/>
      <c r="W518" s="19"/>
      <c r="X518" s="19"/>
      <c r="Y518" s="19"/>
    </row>
    <row r="519" spans="1:25" ht="12" customHeight="1">
      <c r="A519" s="219" t="n" cm="1">
        <f t="array" ref="A519">IFERROR(INDEX('03.Muestra'!$B$8:$B$42,SMALL(IF("Página Web"='03.Muestra'!$D$8:$D$42,ROW('03.Muestra'!$B$8:$B$42)-MIN(ROW('03.Muestra'!$D$8:$D$42))+1,""),ROW()-512)),"")</f>
        <v>1.0</v>
      </c>
      <c r="B519" s="114" t="str" cm="1">
        <f t="array" ref="B519">IFERROR(INDEX('03.Muestra'!$C$8:$C$42,SMALL(IF("Página Web"='03.Muestra'!$D$8:$D$42,ROW('03.Muestra'!$C$8:$C$42)-MIN(ROW('03.Muestra'!$D$8:$D$42))+1,""),ROW()-512)),"")</f>
        <v>Home - PortCastelló</v>
      </c>
      <c r="C519" s="114" t="str" cm="1">
        <f t="array" ref="C519">IFERROR(INDEX('03.Muestra'!$F$8:$F$42,SMALL(IF("Página Web"='03.Muestra'!$D$8:$D$42,ROW('03.Muestra'!$F$8:$F$42)-MIN(ROW('03.Muestra'!$D$8:$D$42))+1,""),ROW()-512)),"")</f>
        <v>https://www.portcastello.com/</v>
      </c>
      <c r="D519" s="130" t="str">
        <f t="shared" si="27"/>
        <v>N/T</v>
      </c>
      <c r="E519" s="107" t="str">
        <f t="shared" si="26"/>
        <v/>
      </c>
      <c r="F519" s="19"/>
      <c r="G519" s="19"/>
      <c r="H519" s="19"/>
      <c r="I519" s="19"/>
      <c r="J519" s="19"/>
      <c r="K519" s="233"/>
      <c r="L519" s="19"/>
      <c r="M519" s="19"/>
      <c r="N519" s="19"/>
      <c r="O519" s="19"/>
      <c r="P519" s="19"/>
      <c r="Q519" s="19"/>
      <c r="R519" s="19"/>
      <c r="S519" s="19"/>
      <c r="T519" s="19"/>
      <c r="U519" s="19"/>
      <c r="V519" s="19"/>
      <c r="W519" s="19"/>
      <c r="X519" s="19"/>
      <c r="Y519" s="19"/>
    </row>
    <row r="520" spans="1:25" ht="12" customHeight="1">
      <c r="A520" s="219" t="n" cm="1">
        <f t="array" ref="A520">IFERROR(INDEX('03.Muestra'!$B$8:$B$42,SMALL(IF("Página Web"='03.Muestra'!$D$8:$D$42,ROW('03.Muestra'!$B$8:$B$42)-MIN(ROW('03.Muestra'!$D$8:$D$42))+1,""),ROW()-512)),"")</f>
        <v>1.0</v>
      </c>
      <c r="B520" s="114" t="str" cm="1">
        <f t="array" ref="B520">IFERROR(INDEX('03.Muestra'!$C$8:$C$42,SMALL(IF("Página Web"='03.Muestra'!$D$8:$D$42,ROW('03.Muestra'!$C$8:$C$42)-MIN(ROW('03.Muestra'!$D$8:$D$42))+1,""),ROW()-512)),"")</f>
        <v>Home - PortCastelló</v>
      </c>
      <c r="C520" s="114" t="str" cm="1">
        <f t="array" ref="C520">IFERROR(INDEX('03.Muestra'!$F$8:$F$42,SMALL(IF("Página Web"='03.Muestra'!$D$8:$D$42,ROW('03.Muestra'!$F$8:$F$42)-MIN(ROW('03.Muestra'!$D$8:$D$42))+1,""),ROW()-512)),"")</f>
        <v>https://www.portcastello.com/</v>
      </c>
      <c r="D520" s="130" t="str">
        <f t="shared" si="27"/>
        <v>N/T</v>
      </c>
      <c r="E520" s="107" t="str">
        <f t="shared" si="26"/>
        <v/>
      </c>
      <c r="F520" s="19"/>
      <c r="G520" s="19"/>
      <c r="H520" s="19"/>
      <c r="I520" s="19"/>
      <c r="J520" s="19"/>
      <c r="K520" s="233"/>
      <c r="L520" s="19"/>
      <c r="M520" s="19"/>
      <c r="N520" s="19"/>
      <c r="O520" s="19"/>
      <c r="P520" s="19"/>
      <c r="Q520" s="19"/>
      <c r="R520" s="19"/>
      <c r="S520" s="19"/>
      <c r="T520" s="19"/>
      <c r="U520" s="19"/>
      <c r="V520" s="19"/>
      <c r="W520" s="19"/>
      <c r="X520" s="19"/>
      <c r="Y520" s="19"/>
    </row>
    <row r="521" spans="1:25" ht="12" customHeight="1">
      <c r="A521" s="219" t="n" cm="1">
        <f t="array" ref="A521">IFERROR(INDEX('03.Muestra'!$B$8:$B$42,SMALL(IF("Página Web"='03.Muestra'!$D$8:$D$42,ROW('03.Muestra'!$B$8:$B$42)-MIN(ROW('03.Muestra'!$D$8:$D$42))+1,""),ROW()-512)),"")</f>
        <v>1.0</v>
      </c>
      <c r="B521" s="114" t="str" cm="1">
        <f t="array" ref="B521">IFERROR(INDEX('03.Muestra'!$C$8:$C$42,SMALL(IF("Página Web"='03.Muestra'!$D$8:$D$42,ROW('03.Muestra'!$C$8:$C$42)-MIN(ROW('03.Muestra'!$D$8:$D$42))+1,""),ROW()-512)),"")</f>
        <v>Home - PortCastelló</v>
      </c>
      <c r="C521" s="114" t="str" cm="1">
        <f t="array" ref="C521">IFERROR(INDEX('03.Muestra'!$F$8:$F$42,SMALL(IF("Página Web"='03.Muestra'!$D$8:$D$42,ROW('03.Muestra'!$F$8:$F$42)-MIN(ROW('03.Muestra'!$D$8:$D$42))+1,""),ROW()-512)),"")</f>
        <v>https://www.portcastello.com/</v>
      </c>
      <c r="D521" s="130" t="str">
        <f t="shared" si="27"/>
        <v>N/T</v>
      </c>
      <c r="E521" s="107" t="str">
        <f t="shared" si="26"/>
        <v/>
      </c>
      <c r="F521" s="19"/>
      <c r="G521" s="19"/>
      <c r="H521" s="19"/>
      <c r="I521" s="19"/>
      <c r="J521" s="19"/>
      <c r="K521" s="233"/>
      <c r="L521" s="19"/>
      <c r="M521" s="19"/>
      <c r="N521" s="19"/>
      <c r="O521" s="19"/>
      <c r="P521" s="19"/>
      <c r="Q521" s="19"/>
      <c r="R521" s="19"/>
      <c r="S521" s="19"/>
      <c r="T521" s="19"/>
      <c r="U521" s="19"/>
      <c r="V521" s="19"/>
      <c r="W521" s="19"/>
      <c r="X521" s="19"/>
      <c r="Y521" s="19"/>
    </row>
    <row r="522" spans="1:25" ht="12" customHeight="1">
      <c r="A522" s="219" t="n" cm="1">
        <f t="array" ref="A522">IFERROR(INDEX('03.Muestra'!$B$8:$B$42,SMALL(IF("Página Web"='03.Muestra'!$D$8:$D$42,ROW('03.Muestra'!$B$8:$B$42)-MIN(ROW('03.Muestra'!$D$8:$D$42))+1,""),ROW()-512)),"")</f>
        <v>1.0</v>
      </c>
      <c r="B522" s="114" t="str" cm="1">
        <f t="array" ref="B522">IFERROR(INDEX('03.Muestra'!$C$8:$C$42,SMALL(IF("Página Web"='03.Muestra'!$D$8:$D$42,ROW('03.Muestra'!$C$8:$C$42)-MIN(ROW('03.Muestra'!$D$8:$D$42))+1,""),ROW()-512)),"")</f>
        <v>Home - PortCastelló</v>
      </c>
      <c r="C522" s="114" t="str" cm="1">
        <f t="array" ref="C522">IFERROR(INDEX('03.Muestra'!$F$8:$F$42,SMALL(IF("Página Web"='03.Muestra'!$D$8:$D$42,ROW('03.Muestra'!$F$8:$F$42)-MIN(ROW('03.Muestra'!$D$8:$D$42))+1,""),ROW()-512)),"")</f>
        <v>https://www.portcastello.com/</v>
      </c>
      <c r="D522" s="130" t="str">
        <f t="shared" si="27"/>
        <v>N/T</v>
      </c>
      <c r="E522" s="107" t="str">
        <f t="shared" si="26"/>
        <v/>
      </c>
      <c r="F522" s="19"/>
      <c r="G522" s="19"/>
      <c r="H522" s="19"/>
      <c r="I522" s="19"/>
      <c r="J522" s="19"/>
      <c r="K522" s="233"/>
      <c r="L522" s="19"/>
      <c r="M522" s="19"/>
      <c r="N522" s="19"/>
      <c r="O522" s="19"/>
      <c r="P522" s="19"/>
      <c r="Q522" s="19"/>
      <c r="R522" s="19"/>
      <c r="S522" s="19"/>
      <c r="T522" s="19"/>
      <c r="U522" s="19"/>
      <c r="V522" s="19"/>
      <c r="W522" s="19"/>
      <c r="X522" s="19"/>
      <c r="Y522" s="19"/>
    </row>
    <row r="523" spans="1:25" ht="12" customHeight="1">
      <c r="A523" s="219" t="n" cm="1">
        <f t="array" ref="A523">IFERROR(INDEX('03.Muestra'!$B$8:$B$42,SMALL(IF("Página Web"='03.Muestra'!$D$8:$D$42,ROW('03.Muestra'!$B$8:$B$42)-MIN(ROW('03.Muestra'!$D$8:$D$42))+1,""),ROW()-512)),"")</f>
        <v>1.0</v>
      </c>
      <c r="B523" s="114" t="str" cm="1">
        <f t="array" ref="B523">IFERROR(INDEX('03.Muestra'!$C$8:$C$42,SMALL(IF("Página Web"='03.Muestra'!$D$8:$D$42,ROW('03.Muestra'!$C$8:$C$42)-MIN(ROW('03.Muestra'!$D$8:$D$42))+1,""),ROW()-512)),"")</f>
        <v>Home - PortCastelló</v>
      </c>
      <c r="C523" s="114" t="str" cm="1">
        <f t="array" ref="C523">IFERROR(INDEX('03.Muestra'!$F$8:$F$42,SMALL(IF("Página Web"='03.Muestra'!$D$8:$D$42,ROW('03.Muestra'!$F$8:$F$42)-MIN(ROW('03.Muestra'!$D$8:$D$42))+1,""),ROW()-512)),"")</f>
        <v>https://www.portcastello.com/</v>
      </c>
      <c r="D523" s="130" t="str">
        <f t="shared" si="27"/>
        <v>N/T</v>
      </c>
      <c r="E523" s="107" t="str">
        <f t="shared" si="26"/>
        <v/>
      </c>
      <c r="F523" s="19"/>
      <c r="G523" s="19"/>
      <c r="H523" s="19"/>
      <c r="I523" s="19"/>
      <c r="J523" s="19"/>
      <c r="K523" s="233"/>
      <c r="L523" s="19"/>
      <c r="M523" s="19"/>
      <c r="N523" s="19"/>
      <c r="O523" s="19"/>
      <c r="P523" s="19"/>
      <c r="Q523" s="19"/>
      <c r="R523" s="19"/>
      <c r="S523" s="19"/>
      <c r="T523" s="19"/>
      <c r="U523" s="19"/>
      <c r="V523" s="19"/>
      <c r="W523" s="19"/>
      <c r="X523" s="19"/>
      <c r="Y523" s="19"/>
    </row>
    <row r="524" spans="1:25" ht="12" customHeight="1">
      <c r="A524" s="219" t="n" cm="1">
        <f t="array" ref="A524">IFERROR(INDEX('03.Muestra'!$B$8:$B$42,SMALL(IF("Página Web"='03.Muestra'!$D$8:$D$42,ROW('03.Muestra'!$B$8:$B$42)-MIN(ROW('03.Muestra'!$D$8:$D$42))+1,""),ROW()-512)),"")</f>
        <v>1.0</v>
      </c>
      <c r="B524" s="114" t="str" cm="1">
        <f t="array" ref="B524">IFERROR(INDEX('03.Muestra'!$C$8:$C$42,SMALL(IF("Página Web"='03.Muestra'!$D$8:$D$42,ROW('03.Muestra'!$C$8:$C$42)-MIN(ROW('03.Muestra'!$D$8:$D$42))+1,""),ROW()-512)),"")</f>
        <v>Home - PortCastelló</v>
      </c>
      <c r="C524" s="114" t="str" cm="1">
        <f t="array" ref="C524">IFERROR(INDEX('03.Muestra'!$F$8:$F$42,SMALL(IF("Página Web"='03.Muestra'!$D$8:$D$42,ROW('03.Muestra'!$F$8:$F$42)-MIN(ROW('03.Muestra'!$D$8:$D$42))+1,""),ROW()-512)),"")</f>
        <v>https://www.portcastello.com/</v>
      </c>
      <c r="D524" s="130" t="str">
        <f t="shared" si="27"/>
        <v>N/T</v>
      </c>
      <c r="E524" s="107" t="str">
        <f t="shared" si="26"/>
        <v/>
      </c>
      <c r="F524" s="19"/>
      <c r="G524" s="19"/>
      <c r="H524" s="19"/>
      <c r="I524" s="19"/>
      <c r="J524" s="19"/>
      <c r="K524" s="233"/>
      <c r="L524" s="19"/>
      <c r="M524" s="19"/>
      <c r="N524" s="19"/>
      <c r="O524" s="19"/>
      <c r="P524" s="19"/>
      <c r="Q524" s="19"/>
      <c r="R524" s="19"/>
      <c r="S524" s="19"/>
      <c r="T524" s="19"/>
      <c r="U524" s="19"/>
      <c r="V524" s="19"/>
      <c r="W524" s="19"/>
      <c r="X524" s="19"/>
      <c r="Y524" s="19"/>
    </row>
    <row r="525" spans="1:25" ht="12" customHeight="1">
      <c r="A525" s="219" t="n" cm="1">
        <f t="array" ref="A525">IFERROR(INDEX('03.Muestra'!$B$8:$B$42,SMALL(IF("Página Web"='03.Muestra'!$D$8:$D$42,ROW('03.Muestra'!$B$8:$B$42)-MIN(ROW('03.Muestra'!$D$8:$D$42))+1,""),ROW()-512)),"")</f>
        <v>1.0</v>
      </c>
      <c r="B525" s="114" t="str" cm="1">
        <f t="array" ref="B525">IFERROR(INDEX('03.Muestra'!$C$8:$C$42,SMALL(IF("Página Web"='03.Muestra'!$D$8:$D$42,ROW('03.Muestra'!$C$8:$C$42)-MIN(ROW('03.Muestra'!$D$8:$D$42))+1,""),ROW()-512)),"")</f>
        <v>Home - PortCastelló</v>
      </c>
      <c r="C525" s="114" t="str" cm="1">
        <f t="array" ref="C525">IFERROR(INDEX('03.Muestra'!$F$8:$F$42,SMALL(IF("Página Web"='03.Muestra'!$D$8:$D$42,ROW('03.Muestra'!$F$8:$F$42)-MIN(ROW('03.Muestra'!$D$8:$D$42))+1,""),ROW()-512)),"")</f>
        <v>https://www.portcastello.com/</v>
      </c>
      <c r="D525" s="130" t="str">
        <f t="shared" si="27"/>
        <v>N/T</v>
      </c>
      <c r="E525" s="107" t="str">
        <f t="shared" si="26"/>
        <v/>
      </c>
      <c r="F525" s="19"/>
      <c r="G525" s="19"/>
      <c r="H525" s="19"/>
      <c r="I525" s="19"/>
      <c r="J525" s="19"/>
      <c r="K525" s="233"/>
      <c r="L525" s="19"/>
      <c r="M525" s="19"/>
      <c r="N525" s="19"/>
      <c r="O525" s="19"/>
      <c r="P525" s="19"/>
      <c r="Q525" s="19"/>
      <c r="R525" s="19"/>
      <c r="S525" s="19"/>
      <c r="T525" s="19"/>
      <c r="U525" s="19"/>
      <c r="V525" s="19"/>
      <c r="W525" s="19"/>
      <c r="X525" s="19"/>
      <c r="Y525" s="19"/>
    </row>
    <row r="526" spans="1:25" ht="12" customHeight="1">
      <c r="A526" s="219" t="n" cm="1">
        <f t="array" ref="A526">IFERROR(INDEX('03.Muestra'!$B$8:$B$42,SMALL(IF("Página Web"='03.Muestra'!$D$8:$D$42,ROW('03.Muestra'!$B$8:$B$42)-MIN(ROW('03.Muestra'!$D$8:$D$42))+1,""),ROW()-512)),"")</f>
        <v>1.0</v>
      </c>
      <c r="B526" s="114" t="str" cm="1">
        <f t="array" ref="B526">IFERROR(INDEX('03.Muestra'!$C$8:$C$42,SMALL(IF("Página Web"='03.Muestra'!$D$8:$D$42,ROW('03.Muestra'!$C$8:$C$42)-MIN(ROW('03.Muestra'!$D$8:$D$42))+1,""),ROW()-512)),"")</f>
        <v>Home - PortCastelló</v>
      </c>
      <c r="C526" s="114" t="str" cm="1">
        <f t="array" ref="C526">IFERROR(INDEX('03.Muestra'!$F$8:$F$42,SMALL(IF("Página Web"='03.Muestra'!$D$8:$D$42,ROW('03.Muestra'!$F$8:$F$42)-MIN(ROW('03.Muestra'!$D$8:$D$42))+1,""),ROW()-512)),"")</f>
        <v>https://www.portcastello.com/</v>
      </c>
      <c r="D526" s="130" t="str">
        <f t="shared" si="27"/>
        <v>N/T</v>
      </c>
      <c r="E526" s="107" t="str">
        <f t="shared" si="26"/>
        <v/>
      </c>
      <c r="F526" s="19"/>
      <c r="G526" s="19"/>
      <c r="H526" s="19"/>
      <c r="I526" s="19"/>
      <c r="J526" s="19"/>
      <c r="K526" s="233"/>
      <c r="L526" s="19"/>
      <c r="M526" s="19"/>
      <c r="N526" s="19"/>
      <c r="O526" s="19"/>
      <c r="P526" s="19"/>
      <c r="Q526" s="19"/>
      <c r="R526" s="19"/>
      <c r="S526" s="19"/>
      <c r="T526" s="19"/>
      <c r="U526" s="19"/>
      <c r="V526" s="19"/>
      <c r="W526" s="19"/>
      <c r="X526" s="19"/>
      <c r="Y526" s="19"/>
    </row>
    <row r="527" spans="1:25" ht="12" customHeight="1">
      <c r="A527" s="219" t="n" cm="1">
        <f t="array" ref="A527">IFERROR(INDEX('03.Muestra'!$B$8:$B$42,SMALL(IF("Página Web"='03.Muestra'!$D$8:$D$42,ROW('03.Muestra'!$B$8:$B$42)-MIN(ROW('03.Muestra'!$D$8:$D$42))+1,""),ROW()-512)),"")</f>
        <v>1.0</v>
      </c>
      <c r="B527" s="114" t="str" cm="1">
        <f t="array" ref="B527">IFERROR(INDEX('03.Muestra'!$C$8:$C$42,SMALL(IF("Página Web"='03.Muestra'!$D$8:$D$42,ROW('03.Muestra'!$C$8:$C$42)-MIN(ROW('03.Muestra'!$D$8:$D$42))+1,""),ROW()-512)),"")</f>
        <v>Home - PortCastelló</v>
      </c>
      <c r="C527" s="114" t="str" cm="1">
        <f t="array" ref="C527">IFERROR(INDEX('03.Muestra'!$F$8:$F$42,SMALL(IF("Página Web"='03.Muestra'!$D$8:$D$42,ROW('03.Muestra'!$F$8:$F$42)-MIN(ROW('03.Muestra'!$D$8:$D$42))+1,""),ROW()-512)),"")</f>
        <v>https://www.portcastello.com/</v>
      </c>
      <c r="D527" s="130" t="str">
        <f t="shared" si="27"/>
        <v>N/T</v>
      </c>
      <c r="E527" s="107" t="str">
        <f t="shared" si="26"/>
        <v/>
      </c>
      <c r="F527" s="19"/>
      <c r="G527" s="19"/>
      <c r="H527" s="19"/>
      <c r="I527" s="19"/>
      <c r="J527" s="19"/>
      <c r="K527" s="233"/>
      <c r="L527" s="19"/>
      <c r="M527" s="19"/>
      <c r="N527" s="19"/>
      <c r="O527" s="19"/>
      <c r="P527" s="19"/>
      <c r="Q527" s="19"/>
      <c r="R527" s="19"/>
      <c r="S527" s="19"/>
      <c r="T527" s="19"/>
      <c r="U527" s="19"/>
      <c r="V527" s="19"/>
      <c r="W527" s="19"/>
      <c r="X527" s="19"/>
      <c r="Y527" s="19"/>
    </row>
    <row r="528" spans="1:25" ht="12" customHeight="1">
      <c r="A528" s="219" t="n" cm="1">
        <f t="array" ref="A528">IFERROR(INDEX('03.Muestra'!$B$8:$B$42,SMALL(IF("Página Web"='03.Muestra'!$D$8:$D$42,ROW('03.Muestra'!$B$8:$B$42)-MIN(ROW('03.Muestra'!$D$8:$D$42))+1,""),ROW()-512)),"")</f>
        <v>1.0</v>
      </c>
      <c r="B528" s="114" t="str" cm="1">
        <f t="array" ref="B528">IFERROR(INDEX('03.Muestra'!$C$8:$C$42,SMALL(IF("Página Web"='03.Muestra'!$D$8:$D$42,ROW('03.Muestra'!$C$8:$C$42)-MIN(ROW('03.Muestra'!$D$8:$D$42))+1,""),ROW()-512)),"")</f>
        <v>Home - PortCastelló</v>
      </c>
      <c r="C528" s="114" t="str" cm="1">
        <f t="array" ref="C528">IFERROR(INDEX('03.Muestra'!$F$8:$F$42,SMALL(IF("Página Web"='03.Muestra'!$D$8:$D$42,ROW('03.Muestra'!$F$8:$F$42)-MIN(ROW('03.Muestra'!$D$8:$D$42))+1,""),ROW()-512)),"")</f>
        <v>https://www.portcastello.com/</v>
      </c>
      <c r="D528" s="130" t="str">
        <f t="shared" si="27"/>
        <v>N/T</v>
      </c>
      <c r="E528" s="107" t="str">
        <f t="shared" si="26"/>
        <v/>
      </c>
      <c r="F528" s="19"/>
      <c r="G528" s="19"/>
      <c r="H528" s="19"/>
      <c r="I528" s="19"/>
      <c r="J528" s="19"/>
      <c r="K528" s="233"/>
      <c r="L528" s="19"/>
      <c r="M528" s="19"/>
      <c r="N528" s="19"/>
      <c r="O528" s="19"/>
      <c r="P528" s="19"/>
      <c r="Q528" s="19"/>
      <c r="R528" s="19"/>
      <c r="S528" s="19"/>
      <c r="T528" s="19"/>
      <c r="U528" s="19"/>
      <c r="V528" s="19"/>
      <c r="W528" s="19"/>
      <c r="X528" s="19"/>
      <c r="Y528" s="19"/>
    </row>
    <row r="529" spans="1:25" ht="12" customHeight="1">
      <c r="A529" s="219" t="n" cm="1">
        <f t="array" ref="A529">IFERROR(INDEX('03.Muestra'!$B$8:$B$42,SMALL(IF("Página Web"='03.Muestra'!$D$8:$D$42,ROW('03.Muestra'!$B$8:$B$42)-MIN(ROW('03.Muestra'!$D$8:$D$42))+1,""),ROW()-512)),"")</f>
        <v>1.0</v>
      </c>
      <c r="B529" s="114" t="str" cm="1">
        <f t="array" ref="B529">IFERROR(INDEX('03.Muestra'!$C$8:$C$42,SMALL(IF("Página Web"='03.Muestra'!$D$8:$D$42,ROW('03.Muestra'!$C$8:$C$42)-MIN(ROW('03.Muestra'!$D$8:$D$42))+1,""),ROW()-512)),"")</f>
        <v>Home - PortCastelló</v>
      </c>
      <c r="C529" s="114" t="str" cm="1">
        <f t="array" ref="C529">IFERROR(INDEX('03.Muestra'!$F$8:$F$42,SMALL(IF("Página Web"='03.Muestra'!$D$8:$D$42,ROW('03.Muestra'!$F$8:$F$42)-MIN(ROW('03.Muestra'!$D$8:$D$42))+1,""),ROW()-512)),"")</f>
        <v>https://www.portcastello.com/</v>
      </c>
      <c r="D529" s="130" t="str">
        <f t="shared" si="27"/>
        <v>N/T</v>
      </c>
      <c r="E529" s="107" t="str">
        <f t="shared" si="26"/>
        <v/>
      </c>
      <c r="F529" s="19"/>
      <c r="G529" s="19"/>
      <c r="H529" s="19"/>
      <c r="I529" s="19"/>
      <c r="J529" s="19"/>
      <c r="K529" s="233"/>
      <c r="L529" s="19"/>
      <c r="M529" s="19"/>
      <c r="N529" s="19"/>
      <c r="O529" s="19"/>
      <c r="P529" s="19"/>
      <c r="Q529" s="19"/>
      <c r="R529" s="19"/>
      <c r="S529" s="19"/>
      <c r="T529" s="19"/>
      <c r="U529" s="19"/>
      <c r="V529" s="19"/>
      <c r="W529" s="19"/>
      <c r="X529" s="19"/>
      <c r="Y529" s="19"/>
    </row>
    <row r="530" spans="1:25" ht="12" customHeight="1">
      <c r="A530" s="219" t="n" cm="1">
        <f t="array" ref="A530">IFERROR(INDEX('03.Muestra'!$B$8:$B$42,SMALL(IF("Página Web"='03.Muestra'!$D$8:$D$42,ROW('03.Muestra'!$B$8:$B$42)-MIN(ROW('03.Muestra'!$D$8:$D$42))+1,""),ROW()-512)),"")</f>
        <v>1.0</v>
      </c>
      <c r="B530" s="114" t="str" cm="1">
        <f t="array" ref="B530">IFERROR(INDEX('03.Muestra'!$C$8:$C$42,SMALL(IF("Página Web"='03.Muestra'!$D$8:$D$42,ROW('03.Muestra'!$C$8:$C$42)-MIN(ROW('03.Muestra'!$D$8:$D$42))+1,""),ROW()-512)),"")</f>
        <v>Home - PortCastelló</v>
      </c>
      <c r="C530" s="114" t="str" cm="1">
        <f t="array" ref="C530">IFERROR(INDEX('03.Muestra'!$F$8:$F$42,SMALL(IF("Página Web"='03.Muestra'!$D$8:$D$42,ROW('03.Muestra'!$F$8:$F$42)-MIN(ROW('03.Muestra'!$D$8:$D$42))+1,""),ROW()-512)),"")</f>
        <v>https://www.portcastello.com/</v>
      </c>
      <c r="D530" s="130" t="str">
        <f t="shared" si="27"/>
        <v>N/T</v>
      </c>
      <c r="E530" s="107" t="str">
        <f t="shared" si="26"/>
        <v/>
      </c>
      <c r="F530" s="19"/>
      <c r="G530" s="19"/>
      <c r="H530" s="19"/>
      <c r="I530" s="19"/>
      <c r="J530" s="19"/>
      <c r="K530" s="233"/>
      <c r="L530" s="19"/>
      <c r="M530" s="19"/>
      <c r="N530" s="19"/>
      <c r="O530" s="19"/>
      <c r="P530" s="19"/>
      <c r="Q530" s="19"/>
      <c r="R530" s="19"/>
      <c r="S530" s="19"/>
      <c r="T530" s="19"/>
      <c r="U530" s="19"/>
      <c r="V530" s="19"/>
      <c r="W530" s="19"/>
      <c r="X530" s="19"/>
      <c r="Y530" s="19"/>
    </row>
    <row r="531" spans="1:25" ht="12" customHeight="1">
      <c r="A531" s="219" t="n" cm="1">
        <f t="array" ref="A531">IFERROR(INDEX('03.Muestra'!$B$8:$B$42,SMALL(IF("Página Web"='03.Muestra'!$D$8:$D$42,ROW('03.Muestra'!$B$8:$B$42)-MIN(ROW('03.Muestra'!$D$8:$D$42))+1,""),ROW()-512)),"")</f>
        <v>1.0</v>
      </c>
      <c r="B531" s="114" t="str" cm="1">
        <f t="array" ref="B531">IFERROR(INDEX('03.Muestra'!$C$8:$C$42,SMALL(IF("Página Web"='03.Muestra'!$D$8:$D$42,ROW('03.Muestra'!$C$8:$C$42)-MIN(ROW('03.Muestra'!$D$8:$D$42))+1,""),ROW()-512)),"")</f>
        <v>Home - PortCastelló</v>
      </c>
      <c r="C531" s="114" t="str" cm="1">
        <f t="array" ref="C531">IFERROR(INDEX('03.Muestra'!$F$8:$F$42,SMALL(IF("Página Web"='03.Muestra'!$D$8:$D$42,ROW('03.Muestra'!$F$8:$F$42)-MIN(ROW('03.Muestra'!$D$8:$D$42))+1,""),ROW()-512)),"")</f>
        <v>https://www.portcastello.com/</v>
      </c>
      <c r="D531" s="130" t="str">
        <f t="shared" si="27"/>
        <v>N/T</v>
      </c>
      <c r="E531" s="107" t="str">
        <f t="shared" si="26"/>
        <v/>
      </c>
      <c r="F531" s="19"/>
      <c r="G531" s="19"/>
      <c r="H531" s="19"/>
      <c r="I531" s="19"/>
      <c r="J531" s="19"/>
      <c r="K531" s="233"/>
      <c r="L531" s="19"/>
      <c r="M531" s="19"/>
      <c r="N531" s="19"/>
      <c r="O531" s="19"/>
      <c r="P531" s="19"/>
      <c r="Q531" s="19"/>
      <c r="R531" s="19"/>
      <c r="S531" s="19"/>
      <c r="T531" s="19"/>
      <c r="U531" s="19"/>
      <c r="V531" s="19"/>
      <c r="W531" s="19"/>
      <c r="X531" s="19"/>
      <c r="Y531" s="19"/>
    </row>
    <row r="532" spans="1:25" ht="12" customHeight="1">
      <c r="A532" s="219" t="n" cm="1">
        <f t="array" ref="A532">IFERROR(INDEX('03.Muestra'!$B$8:$B$42,SMALL(IF("Página Web"='03.Muestra'!$D$8:$D$42,ROW('03.Muestra'!$B$8:$B$42)-MIN(ROW('03.Muestra'!$D$8:$D$42))+1,""),ROW()-512)),"")</f>
        <v>1.0</v>
      </c>
      <c r="B532" s="114" t="str" cm="1">
        <f t="array" ref="B532">IFERROR(INDEX('03.Muestra'!$C$8:$C$42,SMALL(IF("Página Web"='03.Muestra'!$D$8:$D$42,ROW('03.Muestra'!$C$8:$C$42)-MIN(ROW('03.Muestra'!$D$8:$D$42))+1,""),ROW()-512)),"")</f>
        <v>Home - PortCastelló</v>
      </c>
      <c r="C532" s="114" t="str" cm="1">
        <f t="array" ref="C532">IFERROR(INDEX('03.Muestra'!$F$8:$F$42,SMALL(IF("Página Web"='03.Muestra'!$D$8:$D$42,ROW('03.Muestra'!$F$8:$F$42)-MIN(ROW('03.Muestra'!$D$8:$D$42))+1,""),ROW()-512)),"")</f>
        <v>https://www.portcastello.com/</v>
      </c>
      <c r="D532" s="130" t="str">
        <f t="shared" si="27"/>
        <v>N/T</v>
      </c>
      <c r="E532" s="107" t="str">
        <f t="shared" si="26"/>
        <v/>
      </c>
      <c r="F532" s="19"/>
      <c r="G532" s="19"/>
      <c r="H532" s="19"/>
      <c r="I532" s="19"/>
      <c r="J532" s="19"/>
      <c r="K532" s="233"/>
      <c r="L532" s="19"/>
      <c r="M532" s="19"/>
      <c r="N532" s="19"/>
      <c r="O532" s="19"/>
      <c r="P532" s="19"/>
      <c r="Q532" s="19"/>
      <c r="R532" s="19"/>
      <c r="S532" s="19"/>
      <c r="T532" s="19"/>
      <c r="U532" s="19"/>
      <c r="V532" s="19"/>
      <c r="W532" s="19"/>
      <c r="X532" s="19"/>
      <c r="Y532" s="19"/>
    </row>
    <row r="533" spans="1:25" ht="12" customHeight="1">
      <c r="A533" s="219" t="n" cm="1">
        <f t="array" ref="A533">IFERROR(INDEX('03.Muestra'!$B$8:$B$42,SMALL(IF("Página Web"='03.Muestra'!$D$8:$D$42,ROW('03.Muestra'!$B$8:$B$42)-MIN(ROW('03.Muestra'!$D$8:$D$42))+1,""),ROW()-512)),"")</f>
        <v>1.0</v>
      </c>
      <c r="B533" s="114" t="str" cm="1">
        <f t="array" ref="B533">IFERROR(INDEX('03.Muestra'!$C$8:$C$42,SMALL(IF("Página Web"='03.Muestra'!$D$8:$D$42,ROW('03.Muestra'!$C$8:$C$42)-MIN(ROW('03.Muestra'!$D$8:$D$42))+1,""),ROW()-512)),"")</f>
        <v>Home - PortCastelló</v>
      </c>
      <c r="C533" s="114" t="str" cm="1">
        <f t="array" ref="C533">IFERROR(INDEX('03.Muestra'!$F$8:$F$42,SMALL(IF("Página Web"='03.Muestra'!$D$8:$D$42,ROW('03.Muestra'!$F$8:$F$42)-MIN(ROW('03.Muestra'!$D$8:$D$42))+1,""),ROW()-512)),"")</f>
        <v>https://www.portcastello.com/</v>
      </c>
      <c r="D533" s="130" t="str">
        <f t="shared" si="27"/>
        <v>N/T</v>
      </c>
      <c r="E533" s="107" t="str">
        <f t="shared" si="26"/>
        <v/>
      </c>
      <c r="F533" s="19"/>
      <c r="G533" s="19"/>
      <c r="H533" s="19"/>
      <c r="I533" s="19"/>
      <c r="J533" s="19"/>
      <c r="K533" s="233"/>
      <c r="L533" s="19"/>
      <c r="M533" s="19"/>
      <c r="N533" s="19"/>
      <c r="O533" s="19"/>
      <c r="P533" s="19"/>
      <c r="Q533" s="19"/>
      <c r="R533" s="19"/>
      <c r="S533" s="19"/>
      <c r="T533" s="19"/>
      <c r="U533" s="19"/>
      <c r="V533" s="19"/>
      <c r="W533" s="19"/>
      <c r="X533" s="19"/>
      <c r="Y533" s="19"/>
    </row>
    <row r="534" spans="1:25" ht="12" customHeight="1">
      <c r="A534" s="219" t="n" cm="1">
        <f t="array" ref="A534">IFERROR(INDEX('03.Muestra'!$B$8:$B$42,SMALL(IF("Página Web"='03.Muestra'!$D$8:$D$42,ROW('03.Muestra'!$B$8:$B$42)-MIN(ROW('03.Muestra'!$D$8:$D$42))+1,""),ROW()-512)),"")</f>
        <v>1.0</v>
      </c>
      <c r="B534" s="114" t="str" cm="1">
        <f t="array" ref="B534">IFERROR(INDEX('03.Muestra'!$C$8:$C$42,SMALL(IF("Página Web"='03.Muestra'!$D$8:$D$42,ROW('03.Muestra'!$C$8:$C$42)-MIN(ROW('03.Muestra'!$D$8:$D$42))+1,""),ROW()-512)),"")</f>
        <v>Home - PortCastelló</v>
      </c>
      <c r="C534" s="114" t="str" cm="1">
        <f t="array" ref="C534">IFERROR(INDEX('03.Muestra'!$F$8:$F$42,SMALL(IF("Página Web"='03.Muestra'!$D$8:$D$42,ROW('03.Muestra'!$F$8:$F$42)-MIN(ROW('03.Muestra'!$D$8:$D$42))+1,""),ROW()-512)),"")</f>
        <v>https://www.portcastello.com/</v>
      </c>
      <c r="D534" s="130" t="str">
        <f t="shared" si="27"/>
        <v>N/T</v>
      </c>
      <c r="E534" s="107" t="str">
        <f t="shared" si="26"/>
        <v/>
      </c>
      <c r="F534" s="19"/>
      <c r="G534" s="19"/>
      <c r="H534" s="19"/>
      <c r="I534" s="19"/>
      <c r="J534" s="19"/>
      <c r="K534" s="233"/>
      <c r="L534" s="19"/>
      <c r="M534" s="19"/>
      <c r="N534" s="19"/>
      <c r="O534" s="19"/>
      <c r="P534" s="19"/>
      <c r="Q534" s="19"/>
      <c r="R534" s="19"/>
      <c r="S534" s="19"/>
      <c r="T534" s="19"/>
      <c r="U534" s="19"/>
      <c r="V534" s="19"/>
      <c r="W534" s="19"/>
      <c r="X534" s="19"/>
      <c r="Y534" s="19"/>
    </row>
    <row r="535" spans="1:25" ht="12" customHeight="1">
      <c r="A535" s="219" t="n" cm="1">
        <f t="array" ref="A535">IFERROR(INDEX('03.Muestra'!$B$8:$B$42,SMALL(IF("Página Web"='03.Muestra'!$D$8:$D$42,ROW('03.Muestra'!$B$8:$B$42)-MIN(ROW('03.Muestra'!$D$8:$D$42))+1,""),ROW()-512)),"")</f>
        <v>1.0</v>
      </c>
      <c r="B535" s="114" t="str" cm="1">
        <f t="array" ref="B535">IFERROR(INDEX('03.Muestra'!$C$8:$C$42,SMALL(IF("Página Web"='03.Muestra'!$D$8:$D$42,ROW('03.Muestra'!$C$8:$C$42)-MIN(ROW('03.Muestra'!$D$8:$D$42))+1,""),ROW()-512)),"")</f>
        <v>Home - PortCastelló</v>
      </c>
      <c r="C535" s="114" t="str" cm="1">
        <f t="array" ref="C535">IFERROR(INDEX('03.Muestra'!$F$8:$F$42,SMALL(IF("Página Web"='03.Muestra'!$D$8:$D$42,ROW('03.Muestra'!$F$8:$F$42)-MIN(ROW('03.Muestra'!$D$8:$D$42))+1,""),ROW()-512)),"")</f>
        <v>https://www.portcastello.com/</v>
      </c>
      <c r="D535" s="130" t="str">
        <f t="shared" si="27"/>
        <v>N/T</v>
      </c>
      <c r="E535" s="107" t="str">
        <f t="shared" si="26"/>
        <v/>
      </c>
      <c r="F535" s="19"/>
      <c r="G535" s="19"/>
      <c r="H535" s="19"/>
      <c r="I535" s="19"/>
      <c r="J535" s="19"/>
      <c r="K535" s="233"/>
      <c r="L535" s="19"/>
      <c r="M535" s="19"/>
      <c r="N535" s="19"/>
      <c r="O535" s="19"/>
      <c r="P535" s="19"/>
      <c r="Q535" s="19"/>
      <c r="R535" s="19"/>
      <c r="S535" s="19"/>
      <c r="T535" s="19"/>
      <c r="U535" s="19"/>
      <c r="V535" s="19"/>
      <c r="W535" s="19"/>
      <c r="X535" s="19"/>
      <c r="Y535" s="19"/>
    </row>
    <row r="536" spans="1:25" ht="12" customHeight="1">
      <c r="A536" s="219" t="n" cm="1">
        <f t="array" ref="A536">IFERROR(INDEX('03.Muestra'!$B$8:$B$42,SMALL(IF("Página Web"='03.Muestra'!$D$8:$D$42,ROW('03.Muestra'!$B$8:$B$42)-MIN(ROW('03.Muestra'!$D$8:$D$42))+1,""),ROW()-512)),"")</f>
        <v>1.0</v>
      </c>
      <c r="B536" s="114" t="str" cm="1">
        <f t="array" ref="B536">IFERROR(INDEX('03.Muestra'!$C$8:$C$42,SMALL(IF("Página Web"='03.Muestra'!$D$8:$D$42,ROW('03.Muestra'!$C$8:$C$42)-MIN(ROW('03.Muestra'!$D$8:$D$42))+1,""),ROW()-512)),"")</f>
        <v>Home - PortCastelló</v>
      </c>
      <c r="C536" s="114" t="str" cm="1">
        <f t="array" ref="C536">IFERROR(INDEX('03.Muestra'!$F$8:$F$42,SMALL(IF("Página Web"='03.Muestra'!$D$8:$D$42,ROW('03.Muestra'!$F$8:$F$42)-MIN(ROW('03.Muestra'!$D$8:$D$42))+1,""),ROW()-512)),"")</f>
        <v>https://www.portcastello.com/</v>
      </c>
      <c r="D536" s="130" t="str">
        <f t="shared" si="27"/>
        <v>N/T</v>
      </c>
      <c r="E536" s="107" t="str">
        <f t="shared" si="26"/>
        <v/>
      </c>
      <c r="F536" s="19"/>
      <c r="G536" s="19"/>
      <c r="H536" s="19"/>
      <c r="I536" s="19"/>
      <c r="J536" s="19"/>
      <c r="K536" s="233"/>
      <c r="L536" s="19"/>
      <c r="M536" s="19"/>
      <c r="N536" s="19"/>
      <c r="O536" s="19"/>
      <c r="P536" s="19"/>
      <c r="Q536" s="19"/>
      <c r="R536" s="19"/>
      <c r="S536" s="19"/>
      <c r="T536" s="19"/>
      <c r="U536" s="19"/>
      <c r="V536" s="19"/>
      <c r="W536" s="19"/>
      <c r="X536" s="19"/>
      <c r="Y536" s="19"/>
    </row>
    <row r="537" spans="1:25" ht="12" customHeight="1">
      <c r="A537" s="219" t="n" cm="1">
        <f t="array" ref="A537">IFERROR(INDEX('03.Muestra'!$B$8:$B$42,SMALL(IF("Página Web"='03.Muestra'!$D$8:$D$42,ROW('03.Muestra'!$B$8:$B$42)-MIN(ROW('03.Muestra'!$D$8:$D$42))+1,""),ROW()-512)),"")</f>
        <v>1.0</v>
      </c>
      <c r="B537" s="114" t="str" cm="1">
        <f t="array" ref="B537">IFERROR(INDEX('03.Muestra'!$C$8:$C$42,SMALL(IF("Página Web"='03.Muestra'!$D$8:$D$42,ROW('03.Muestra'!$C$8:$C$42)-MIN(ROW('03.Muestra'!$D$8:$D$42))+1,""),ROW()-512)),"")</f>
        <v>Home - PortCastelló</v>
      </c>
      <c r="C537" s="114" t="str" cm="1">
        <f t="array" ref="C537">IFERROR(INDEX('03.Muestra'!$F$8:$F$42,SMALL(IF("Página Web"='03.Muestra'!$D$8:$D$42,ROW('03.Muestra'!$F$8:$F$42)-MIN(ROW('03.Muestra'!$D$8:$D$42))+1,""),ROW()-512)),"")</f>
        <v>https://www.portcastello.com/</v>
      </c>
      <c r="D537" s="130" t="str">
        <f t="shared" si="27"/>
        <v>N/T</v>
      </c>
      <c r="E537" s="107" t="str">
        <f t="shared" si="26"/>
        <v/>
      </c>
      <c r="F537" s="19"/>
      <c r="G537" s="19"/>
      <c r="H537" s="19"/>
      <c r="I537" s="19"/>
      <c r="J537" s="19"/>
      <c r="K537" s="233"/>
      <c r="L537" s="19"/>
      <c r="M537" s="19"/>
      <c r="N537" s="19"/>
      <c r="O537" s="19"/>
      <c r="P537" s="19"/>
      <c r="Q537" s="19"/>
      <c r="R537" s="19"/>
      <c r="S537" s="19"/>
      <c r="T537" s="19"/>
      <c r="U537" s="19"/>
      <c r="V537" s="19"/>
      <c r="W537" s="19"/>
      <c r="X537" s="19"/>
      <c r="Y537" s="19"/>
    </row>
    <row r="538" spans="1:25" ht="12" customHeight="1">
      <c r="A538" s="219" t="n" cm="1">
        <f t="array" ref="A538">IFERROR(INDEX('03.Muestra'!$B$8:$B$42,SMALL(IF("Página Web"='03.Muestra'!$D$8:$D$42,ROW('03.Muestra'!$B$8:$B$42)-MIN(ROW('03.Muestra'!$D$8:$D$42))+1,""),ROW()-512)),"")</f>
        <v>1.0</v>
      </c>
      <c r="B538" s="114" t="str" cm="1">
        <f t="array" ref="B538">IFERROR(INDEX('03.Muestra'!$C$8:$C$42,SMALL(IF("Página Web"='03.Muestra'!$D$8:$D$42,ROW('03.Muestra'!$C$8:$C$42)-MIN(ROW('03.Muestra'!$D$8:$D$42))+1,""),ROW()-512)),"")</f>
        <v>Home - PortCastelló</v>
      </c>
      <c r="C538" s="114" t="str" cm="1">
        <f t="array" ref="C538">IFERROR(INDEX('03.Muestra'!$F$8:$F$42,SMALL(IF("Página Web"='03.Muestra'!$D$8:$D$42,ROW('03.Muestra'!$F$8:$F$42)-MIN(ROW('03.Muestra'!$D$8:$D$42))+1,""),ROW()-512)),"")</f>
        <v>https://www.portcastello.com/</v>
      </c>
      <c r="D538" s="130" t="str">
        <f t="shared" si="27"/>
        <v>N/T</v>
      </c>
      <c r="E538" s="107" t="str">
        <f t="shared" si="26"/>
        <v/>
      </c>
      <c r="F538" s="19"/>
      <c r="G538" s="19"/>
      <c r="H538" s="19"/>
      <c r="I538" s="19"/>
      <c r="J538" s="19"/>
      <c r="K538" s="233"/>
      <c r="L538" s="19"/>
      <c r="M538" s="19"/>
      <c r="N538" s="19"/>
      <c r="O538" s="19"/>
      <c r="P538" s="19"/>
      <c r="Q538" s="19"/>
      <c r="R538" s="19"/>
      <c r="S538" s="19"/>
      <c r="T538" s="19"/>
      <c r="U538" s="19"/>
      <c r="V538" s="19"/>
      <c r="W538" s="19"/>
      <c r="X538" s="19"/>
      <c r="Y538" s="19"/>
    </row>
    <row r="539" spans="1:25" ht="12" customHeight="1">
      <c r="A539" s="219" t="n" cm="1">
        <f t="array" ref="A539">IFERROR(INDEX('03.Muestra'!$B$8:$B$42,SMALL(IF("Página Web"='03.Muestra'!$D$8:$D$42,ROW('03.Muestra'!$B$8:$B$42)-MIN(ROW('03.Muestra'!$D$8:$D$42))+1,""),ROW()-512)),"")</f>
        <v>1.0</v>
      </c>
      <c r="B539" s="114" t="str" cm="1">
        <f t="array" ref="B539">IFERROR(INDEX('03.Muestra'!$C$8:$C$42,SMALL(IF("Página Web"='03.Muestra'!$D$8:$D$42,ROW('03.Muestra'!$C$8:$C$42)-MIN(ROW('03.Muestra'!$D$8:$D$42))+1,""),ROW()-512)),"")</f>
        <v>Home - PortCastelló</v>
      </c>
      <c r="C539" s="114" t="str" cm="1">
        <f t="array" ref="C539">IFERROR(INDEX('03.Muestra'!$F$8:$F$42,SMALL(IF("Página Web"='03.Muestra'!$D$8:$D$42,ROW('03.Muestra'!$F$8:$F$42)-MIN(ROW('03.Muestra'!$D$8:$D$42))+1,""),ROW()-512)),"")</f>
        <v>https://www.portcastello.com/</v>
      </c>
      <c r="D539" s="130" t="str">
        <f t="shared" si="27"/>
        <v>N/T</v>
      </c>
      <c r="E539" s="107" t="str">
        <f t="shared" si="26"/>
        <v/>
      </c>
      <c r="F539" s="19"/>
      <c r="G539" s="19"/>
      <c r="H539" s="19"/>
      <c r="I539" s="19"/>
      <c r="J539" s="19"/>
      <c r="K539" s="233"/>
      <c r="L539" s="19"/>
      <c r="M539" s="19"/>
      <c r="N539" s="19"/>
      <c r="O539" s="19"/>
      <c r="P539" s="19"/>
      <c r="Q539" s="19"/>
      <c r="R539" s="19"/>
      <c r="S539" s="19"/>
      <c r="T539" s="19"/>
      <c r="U539" s="19"/>
      <c r="V539" s="19"/>
      <c r="W539" s="19"/>
      <c r="X539" s="19"/>
      <c r="Y539" s="19"/>
    </row>
    <row r="540" spans="1:25" ht="12" customHeight="1">
      <c r="A540" s="219" t="n" cm="1">
        <f t="array" ref="A540">IFERROR(INDEX('03.Muestra'!$B$8:$B$42,SMALL(IF("Página Web"='03.Muestra'!$D$8:$D$42,ROW('03.Muestra'!$B$8:$B$42)-MIN(ROW('03.Muestra'!$D$8:$D$42))+1,""),ROW()-512)),"")</f>
        <v>1.0</v>
      </c>
      <c r="B540" s="114" t="str" cm="1">
        <f t="array" ref="B540">IFERROR(INDEX('03.Muestra'!$C$8:$C$42,SMALL(IF("Página Web"='03.Muestra'!$D$8:$D$42,ROW('03.Muestra'!$C$8:$C$42)-MIN(ROW('03.Muestra'!$D$8:$D$42))+1,""),ROW()-512)),"")</f>
        <v>Home - PortCastelló</v>
      </c>
      <c r="C540" s="114" t="str" cm="1">
        <f t="array" ref="C540">IFERROR(INDEX('03.Muestra'!$F$8:$F$42,SMALL(IF("Página Web"='03.Muestra'!$D$8:$D$42,ROW('03.Muestra'!$F$8:$F$42)-MIN(ROW('03.Muestra'!$D$8:$D$42))+1,""),ROW()-512)),"")</f>
        <v>https://www.portcastello.com/</v>
      </c>
      <c r="D540" s="130" t="str">
        <f t="shared" si="27"/>
        <v>N/T</v>
      </c>
      <c r="E540" s="107" t="str">
        <f t="shared" si="26"/>
        <v/>
      </c>
      <c r="G540" s="19"/>
      <c r="H540" s="19"/>
      <c r="I540" s="19"/>
      <c r="J540" s="19"/>
      <c r="K540" s="233"/>
      <c r="L540" s="19"/>
      <c r="M540" s="19"/>
      <c r="N540" s="19"/>
      <c r="O540" s="19"/>
      <c r="P540" s="19"/>
      <c r="Q540" s="19"/>
      <c r="R540" s="19"/>
      <c r="S540" s="19"/>
      <c r="T540" s="19"/>
      <c r="U540" s="19"/>
      <c r="V540" s="19"/>
      <c r="W540" s="19"/>
      <c r="X540" s="19"/>
      <c r="Y540" s="19"/>
    </row>
    <row r="541" spans="1:25" ht="12" customHeight="1">
      <c r="A541" s="219" t="n" cm="1">
        <f t="array" ref="A541">IFERROR(INDEX('03.Muestra'!$B$8:$B$42,SMALL(IF("Página Web"='03.Muestra'!$D$8:$D$42,ROW('03.Muestra'!$B$8:$B$42)-MIN(ROW('03.Muestra'!$D$8:$D$42))+1,""),ROW()-512)),"")</f>
        <v>1.0</v>
      </c>
      <c r="B541" s="114" t="str" cm="1">
        <f t="array" ref="B541">IFERROR(INDEX('03.Muestra'!$C$8:$C$42,SMALL(IF("Página Web"='03.Muestra'!$D$8:$D$42,ROW('03.Muestra'!$C$8:$C$42)-MIN(ROW('03.Muestra'!$D$8:$D$42))+1,""),ROW()-512)),"")</f>
        <v>Home - PortCastelló</v>
      </c>
      <c r="C541" s="114" t="str" cm="1">
        <f t="array" ref="C541">IFERROR(INDEX('03.Muestra'!$F$8:$F$42,SMALL(IF("Página Web"='03.Muestra'!$D$8:$D$42,ROW('03.Muestra'!$F$8:$F$42)-MIN(ROW('03.Muestra'!$D$8:$D$42))+1,""),ROW()-512)),"")</f>
        <v>https://www.portcastello.com/</v>
      </c>
      <c r="D541" s="130" t="str">
        <f t="shared" si="27"/>
        <v>N/T</v>
      </c>
      <c r="E541" s="107" t="str">
        <f t="shared" si="26"/>
        <v/>
      </c>
      <c r="F541" s="124"/>
      <c r="G541" s="19"/>
      <c r="H541" s="19"/>
      <c r="I541" s="19"/>
      <c r="J541" s="19"/>
      <c r="K541" s="233"/>
      <c r="L541" s="19"/>
      <c r="M541" s="19"/>
      <c r="N541" s="19"/>
      <c r="O541" s="19"/>
      <c r="P541" s="19"/>
      <c r="Q541" s="19"/>
      <c r="R541" s="19"/>
      <c r="S541" s="19"/>
      <c r="T541" s="19"/>
      <c r="U541" s="19"/>
      <c r="V541" s="19"/>
      <c r="W541" s="19"/>
      <c r="X541" s="19"/>
      <c r="Y541" s="19"/>
    </row>
    <row r="542" spans="1:25" ht="12" customHeight="1">
      <c r="A542" s="219" t="n" cm="1">
        <f t="array" ref="A542">IFERROR(INDEX('03.Muestra'!$B$8:$B$42,SMALL(IF("Página Web"='03.Muestra'!$D$8:$D$42,ROW('03.Muestra'!$B$8:$B$42)-MIN(ROW('03.Muestra'!$D$8:$D$42))+1,""),ROW()-512)),"")</f>
        <v>1.0</v>
      </c>
      <c r="B542" s="114" t="str" cm="1">
        <f t="array" ref="B542">IFERROR(INDEX('03.Muestra'!$C$8:$C$42,SMALL(IF("Página Web"='03.Muestra'!$D$8:$D$42,ROW('03.Muestra'!$C$8:$C$42)-MIN(ROW('03.Muestra'!$D$8:$D$42))+1,""),ROW()-512)),"")</f>
        <v>Home - PortCastelló</v>
      </c>
      <c r="C542" s="114" t="str" cm="1">
        <f t="array" ref="C542">IFERROR(INDEX('03.Muestra'!$F$8:$F$42,SMALL(IF("Página Web"='03.Muestra'!$D$8:$D$42,ROW('03.Muestra'!$F$8:$F$42)-MIN(ROW('03.Muestra'!$D$8:$D$42))+1,""),ROW()-512)),"")</f>
        <v>https://www.portcastello.com/</v>
      </c>
      <c r="D542" s="130" t="str">
        <f t="shared" si="27"/>
        <v>N/T</v>
      </c>
      <c r="E542" s="107" t="str">
        <f t="shared" si="26"/>
        <v/>
      </c>
      <c r="F542" s="124"/>
      <c r="G542" s="19"/>
      <c r="H542" s="19"/>
      <c r="I542" s="19"/>
      <c r="J542" s="19"/>
      <c r="K542" s="233"/>
      <c r="L542" s="19"/>
      <c r="M542" s="19"/>
      <c r="N542" s="19"/>
      <c r="O542" s="19"/>
      <c r="P542" s="19"/>
      <c r="Q542" s="19"/>
      <c r="R542" s="19"/>
      <c r="S542" s="19"/>
      <c r="T542" s="19"/>
      <c r="U542" s="19"/>
      <c r="V542" s="19"/>
      <c r="W542" s="19"/>
      <c r="X542" s="19"/>
      <c r="Y542" s="19"/>
    </row>
    <row r="543" spans="1:25" ht="12" customHeight="1">
      <c r="A543" s="219" t="n" cm="1">
        <f t="array" ref="A543">IFERROR(INDEX('03.Muestra'!$B$8:$B$42,SMALL(IF("Página Web"='03.Muestra'!$D$8:$D$42,ROW('03.Muestra'!$B$8:$B$42)-MIN(ROW('03.Muestra'!$D$8:$D$42))+1,""),ROW()-512)),"")</f>
        <v>1.0</v>
      </c>
      <c r="B543" s="114" t="str" cm="1">
        <f t="array" ref="B543">IFERROR(INDEX('03.Muestra'!$C$8:$C$42,SMALL(IF("Página Web"='03.Muestra'!$D$8:$D$42,ROW('03.Muestra'!$C$8:$C$42)-MIN(ROW('03.Muestra'!$D$8:$D$42))+1,""),ROW()-512)),"")</f>
        <v>Home - PortCastelló</v>
      </c>
      <c r="C543" s="114" t="str" cm="1">
        <f t="array" ref="C543">IFERROR(INDEX('03.Muestra'!$F$8:$F$42,SMALL(IF("Página Web"='03.Muestra'!$D$8:$D$42,ROW('03.Muestra'!$F$8:$F$42)-MIN(ROW('03.Muestra'!$D$8:$D$42))+1,""),ROW()-512)),"")</f>
        <v>https://www.portcastello.com/</v>
      </c>
      <c r="D543" s="130" t="str">
        <f t="shared" si="27"/>
        <v>N/T</v>
      </c>
      <c r="E543" s="107" t="str">
        <f t="shared" si="26"/>
        <v/>
      </c>
      <c r="F543" s="124"/>
      <c r="G543" s="19"/>
      <c r="H543" s="19"/>
      <c r="I543" s="19"/>
      <c r="J543" s="19"/>
      <c r="K543" s="233"/>
      <c r="L543" s="19"/>
      <c r="M543" s="19"/>
      <c r="N543" s="19"/>
      <c r="O543" s="19"/>
      <c r="P543" s="19"/>
      <c r="Q543" s="19"/>
      <c r="R543" s="19"/>
      <c r="S543" s="19"/>
      <c r="T543" s="19"/>
      <c r="U543" s="19"/>
      <c r="V543" s="19"/>
      <c r="W543" s="19"/>
      <c r="X543" s="19"/>
      <c r="Y543" s="19"/>
    </row>
    <row r="544" spans="1:25" ht="12" customHeight="1">
      <c r="A544" s="219" t="n" cm="1">
        <f t="array" ref="A544">IFERROR(INDEX('03.Muestra'!$B$8:$B$42,SMALL(IF("Página Web"='03.Muestra'!$D$8:$D$42,ROW('03.Muestra'!$B$8:$B$42)-MIN(ROW('03.Muestra'!$D$8:$D$42))+1,""),ROW()-512)),"")</f>
        <v>1.0</v>
      </c>
      <c r="B544" s="114" t="str" cm="1">
        <f t="array" ref="B544">IFERROR(INDEX('03.Muestra'!$C$8:$C$42,SMALL(IF("Página Web"='03.Muestra'!$D$8:$D$42,ROW('03.Muestra'!$C$8:$C$42)-MIN(ROW('03.Muestra'!$D$8:$D$42))+1,""),ROW()-512)),"")</f>
        <v>Home - PortCastelló</v>
      </c>
      <c r="C544" s="114" t="str" cm="1">
        <f t="array" ref="C544">IFERROR(INDEX('03.Muestra'!$F$8:$F$42,SMALL(IF("Página Web"='03.Muestra'!$D$8:$D$42,ROW('03.Muestra'!$F$8:$F$42)-MIN(ROW('03.Muestra'!$D$8:$D$42))+1,""),ROW()-512)),"")</f>
        <v>https://www.portcastello.com/</v>
      </c>
      <c r="D544" s="130" t="str">
        <f t="shared" si="27"/>
        <v>N/T</v>
      </c>
      <c r="E544" s="107" t="str">
        <f t="shared" si="26"/>
        <v/>
      </c>
      <c r="F544" s="124"/>
      <c r="G544" s="19"/>
      <c r="H544" s="19"/>
      <c r="I544" s="19"/>
      <c r="J544" s="19"/>
      <c r="K544" s="233"/>
      <c r="L544" s="19"/>
      <c r="M544" s="19"/>
      <c r="N544" s="19"/>
      <c r="O544" s="19"/>
      <c r="P544" s="19"/>
      <c r="Q544" s="19"/>
      <c r="R544" s="19"/>
      <c r="S544" s="19"/>
      <c r="T544" s="19"/>
      <c r="U544" s="19"/>
      <c r="V544" s="19"/>
      <c r="W544" s="19"/>
      <c r="X544" s="19"/>
      <c r="Y544" s="19"/>
    </row>
    <row r="545" spans="1:25" ht="12" customHeight="1">
      <c r="A545" s="219" t="n" cm="1">
        <f t="array" ref="A545">IFERROR(INDEX('03.Muestra'!$B$8:$B$42,SMALL(IF("Página Web"='03.Muestra'!$D$8:$D$42,ROW('03.Muestra'!$B$8:$B$42)-MIN(ROW('03.Muestra'!$D$8:$D$42))+1,""),ROW()-512)),"")</f>
        <v>1.0</v>
      </c>
      <c r="B545" s="114" t="str" cm="1">
        <f t="array" ref="B545">IFERROR(INDEX('03.Muestra'!$C$8:$C$42,SMALL(IF("Página Web"='03.Muestra'!$D$8:$D$42,ROW('03.Muestra'!$C$8:$C$42)-MIN(ROW('03.Muestra'!$D$8:$D$42))+1,""),ROW()-512)),"")</f>
        <v>Home - PortCastelló</v>
      </c>
      <c r="C545" s="114" t="str" cm="1">
        <f t="array" ref="C545">IFERROR(INDEX('03.Muestra'!$F$8:$F$42,SMALL(IF("Página Web"='03.Muestra'!$D$8:$D$42,ROW('03.Muestra'!$F$8:$F$42)-MIN(ROW('03.Muestra'!$D$8:$D$42))+1,""),ROW()-512)),"")</f>
        <v>https://www.portcastello.com/</v>
      </c>
      <c r="D545" s="130" t="str">
        <f t="shared" si="27"/>
        <v>N/T</v>
      </c>
      <c r="E545" s="107" t="str">
        <f t="shared" si="26"/>
        <v/>
      </c>
      <c r="F545" s="124"/>
      <c r="G545" s="19"/>
      <c r="H545" s="19"/>
      <c r="I545" s="19"/>
      <c r="J545" s="19"/>
      <c r="K545" s="233"/>
      <c r="L545" s="19"/>
      <c r="M545" s="19"/>
      <c r="N545" s="19"/>
      <c r="O545" s="19"/>
      <c r="P545" s="19"/>
      <c r="Q545" s="19"/>
      <c r="R545" s="19"/>
      <c r="S545" s="19"/>
      <c r="T545" s="19"/>
      <c r="U545" s="19"/>
      <c r="V545" s="19"/>
      <c r="W545" s="19"/>
      <c r="X545" s="19"/>
      <c r="Y545" s="19"/>
    </row>
    <row r="546" spans="1:25" ht="12" customHeight="1">
      <c r="A546" s="219" t="str" cm="1">
        <f t="array" ref="A546">IFERROR(INDEX('03.Muestra'!$B$8:$B$42,SMALL(IF("Página Web"='03.Muestra'!$D$8:$D$42,ROW('03.Muestra'!$B$8:$B$42)-MIN(ROW('03.Muestra'!$D$8:$D$42))+1,""),ROW()-512)),"")</f>
        <v/>
      </c>
      <c r="B546" s="114" t="str" cm="1">
        <f t="array" ref="B546">IFERROR(INDEX('03.Muestra'!$C$8:$C$42,SMALL(IF("Página Web"='03.Muestra'!$D$8:$D$42,ROW('03.Muestra'!$C$8:$C$42)-MIN(ROW('03.Muestra'!$D$8:$D$42))+1,""),ROW()-512)),"")</f>
        <v/>
      </c>
      <c r="C546" s="114" t="str" cm="1">
        <f t="array" ref="C546">IFERROR(INDEX('03.Muestra'!$F$8:$F$42,SMALL(IF("Página Web"='03.Muestra'!$D$8:$D$42,ROW('03.Muestra'!$F$8:$F$42)-MIN(ROW('03.Muestra'!$D$8:$D$42))+1,""),ROW()-512)),"")</f>
        <v/>
      </c>
      <c r="D546" s="130" t="str">
        <f t="shared" si="27"/>
        <v/>
      </c>
      <c r="E546" s="107" t="str">
        <f t="shared" si="26"/>
        <v/>
      </c>
      <c r="F546" s="124"/>
      <c r="G546" s="19"/>
      <c r="H546" s="19"/>
      <c r="I546" s="19"/>
      <c r="J546" s="19"/>
      <c r="K546" s="233"/>
      <c r="L546" s="19"/>
      <c r="M546" s="19"/>
      <c r="N546" s="19"/>
      <c r="O546" s="19"/>
      <c r="P546" s="19"/>
      <c r="Q546" s="19"/>
      <c r="R546" s="19"/>
      <c r="S546" s="19"/>
      <c r="T546" s="19"/>
      <c r="U546" s="19"/>
      <c r="V546" s="19"/>
      <c r="W546" s="19"/>
      <c r="X546" s="19"/>
      <c r="Y546" s="19"/>
    </row>
    <row r="547" spans="1:25" ht="12" customHeight="1">
      <c r="A547" s="219" t="str" cm="1">
        <f t="array" ref="A547">IFERROR(INDEX('03.Muestra'!$B$8:$B$42,SMALL(IF("Página Web"='03.Muestra'!$D$8:$D$42,ROW('03.Muestra'!$B$8:$B$42)-MIN(ROW('03.Muestra'!$D$8:$D$42))+1,""),ROW()-512)),"")</f>
        <v/>
      </c>
      <c r="B547" s="114" t="str" cm="1">
        <f t="array" ref="B547">IFERROR(INDEX('03.Muestra'!$C$8:$C$42,SMALL(IF("Página Web"='03.Muestra'!$D$8:$D$42,ROW('03.Muestra'!$C$8:$C$42)-MIN(ROW('03.Muestra'!$D$8:$D$42))+1,""),ROW()-512)),"")</f>
        <v/>
      </c>
      <c r="C547" s="114" t="str" cm="1">
        <f t="array" ref="C547">IFERROR(INDEX('03.Muestra'!$F$8:$F$42,SMALL(IF("Página Web"='03.Muestra'!$D$8:$D$42,ROW('03.Muestra'!$F$8:$F$42)-MIN(ROW('03.Muestra'!$D$8:$D$42))+1,""),ROW()-512)),"")</f>
        <v/>
      </c>
      <c r="D547" s="130" t="str">
        <f t="shared" si="27"/>
        <v/>
      </c>
      <c r="E547" s="107" t="str">
        <f t="shared" si="26"/>
        <v/>
      </c>
      <c r="F547" s="19"/>
      <c r="G547" s="19"/>
      <c r="H547" s="19"/>
      <c r="I547" s="19"/>
      <c r="J547" s="19"/>
      <c r="K547" s="233"/>
      <c r="L547" s="19"/>
      <c r="M547" s="19"/>
      <c r="N547" s="19"/>
      <c r="O547" s="19"/>
      <c r="P547" s="19"/>
      <c r="Q547" s="19"/>
      <c r="R547" s="19"/>
      <c r="S547" s="19"/>
      <c r="T547" s="19"/>
      <c r="U547" s="19"/>
      <c r="V547" s="19"/>
      <c r="W547" s="19"/>
      <c r="X547" s="19"/>
      <c r="Y547" s="19"/>
    </row>
    <row r="548" spans="1:25" ht="12" customHeight="1">
      <c r="B548" s="19"/>
      <c r="C548" s="19"/>
      <c r="D548" s="107"/>
      <c r="E548" s="107"/>
      <c r="F548" s="19"/>
      <c r="G548" s="19"/>
      <c r="H548" s="19"/>
      <c r="I548" s="19"/>
      <c r="J548" s="19"/>
      <c r="K548" s="233"/>
      <c r="L548" s="19"/>
      <c r="M548" s="19"/>
      <c r="N548" s="19"/>
      <c r="O548" s="19"/>
      <c r="P548" s="19"/>
      <c r="Q548" s="19"/>
      <c r="R548" s="19"/>
      <c r="S548" s="19"/>
      <c r="T548" s="19"/>
      <c r="U548" s="19"/>
      <c r="V548" s="19"/>
      <c r="W548" s="19"/>
      <c r="X548" s="19"/>
      <c r="Y548" s="19"/>
    </row>
    <row r="549" spans="1:25" ht="12" customHeight="1">
      <c r="B549" s="19"/>
      <c r="C549" s="19"/>
      <c r="D549" s="107"/>
      <c r="E549" s="112"/>
      <c r="F549" s="19"/>
      <c r="G549" s="19"/>
      <c r="H549" s="19"/>
      <c r="I549" s="19"/>
      <c r="J549" s="19"/>
      <c r="K549" s="233"/>
      <c r="L549" s="19"/>
      <c r="M549" s="19"/>
      <c r="N549" s="19"/>
      <c r="O549" s="19"/>
      <c r="P549" s="19"/>
      <c r="Q549" s="19"/>
      <c r="R549" s="19"/>
      <c r="S549" s="19"/>
      <c r="T549" s="19"/>
      <c r="U549" s="19"/>
      <c r="V549" s="19"/>
      <c r="W549" s="19"/>
      <c r="X549" s="19"/>
      <c r="Y549" s="19"/>
    </row>
    <row r="550" spans="1:25" ht="29.25" customHeight="1">
      <c r="A550" s="218" t="s">
        <v>268</v>
      </c>
      <c r="B550" s="24" t="s">
        <v>90</v>
      </c>
      <c r="C550" s="25" t="s">
        <v>387</v>
      </c>
      <c r="D550" s="26" t="s">
        <v>32</v>
      </c>
      <c r="E550" s="123"/>
      <c r="K550" s="233"/>
      <c r="L550" s="19"/>
      <c r="M550" s="19"/>
      <c r="N550" s="19"/>
      <c r="O550" s="19"/>
      <c r="P550" s="19"/>
      <c r="Q550" s="19"/>
      <c r="R550" s="19"/>
      <c r="S550" s="19"/>
      <c r="T550" s="19"/>
      <c r="U550" s="19"/>
      <c r="V550" s="19"/>
      <c r="W550" s="19"/>
      <c r="X550" s="19"/>
      <c r="Y550" s="19"/>
    </row>
    <row r="551" spans="1:25" ht="12" customHeight="1">
      <c r="A551" s="219" t="n" cm="1">
        <f t="array" ref="A551">IFERROR(INDEX('03.Muestra'!$B$8:$B$42,SMALL(IF("Página Web"='03.Muestra'!$D$8:$D$42,ROW('03.Muestra'!$B$8:$B$42)-MIN(ROW('03.Muestra'!$D$8:$D$42))+1,""),ROW()-550)),"")</f>
        <v>1.0</v>
      </c>
      <c r="B551" s="114" t="str" cm="1">
        <f t="array" ref="B551">IFERROR(INDEX('03.Muestra'!$C$8:$C$42,SMALL(IF("Página Web"='03.Muestra'!$D$8:$D$42,ROW('03.Muestra'!$C$8:$C$42)-MIN(ROW('03.Muestra'!$D$8:$D$42))+1,""),ROW()-550)),"")</f>
        <v>Home - PortCastelló</v>
      </c>
      <c r="C551" s="114" t="str" cm="1">
        <f t="array" ref="C551">IFERROR(INDEX('03.Muestra'!$F$8:$F$42,SMALL(IF("Página Web"='03.Muestra'!$D$8:$D$42,ROW('03.Muestra'!$F$8:$F$42)-MIN(ROW('03.Muestra'!$D$8:$D$42))+1,""),ROW()-550)),"")</f>
        <v>https://www.portcastello.com/</v>
      </c>
      <c r="D551" s="130" t="str">
        <f>IF(AND(B551&lt;&gt;"",C551&lt;&gt;""),"N/T","")</f>
        <v>N/T</v>
      </c>
      <c r="E551" s="107" t="str">
        <f t="shared" ref="E551:E585" si="28">IF(D551&lt;&gt;"",IF(AND(B551&lt;&gt;"",C551&lt;&gt;""),"","ERR"),"")</f>
        <v/>
      </c>
      <c r="F551" s="115" t="s">
        <v>33</v>
      </c>
      <c r="G551" s="116" t="s">
        <v>37</v>
      </c>
      <c r="H551" s="117" t="s">
        <v>35</v>
      </c>
      <c r="I551" s="118" t="s">
        <v>28</v>
      </c>
      <c r="J551" s="119" t="s">
        <v>26</v>
      </c>
      <c r="K551" s="226" t="s">
        <v>474</v>
      </c>
      <c r="L551" s="19"/>
      <c r="M551" s="19"/>
      <c r="N551" s="19"/>
      <c r="O551" s="19"/>
      <c r="P551" s="19"/>
      <c r="Q551" s="19"/>
      <c r="R551" s="19"/>
      <c r="S551" s="19"/>
      <c r="T551" s="19"/>
      <c r="U551" s="19"/>
      <c r="V551" s="19"/>
      <c r="W551" s="19"/>
      <c r="X551" s="19"/>
      <c r="Y551" s="19"/>
    </row>
    <row r="552" spans="1:25" ht="12" customHeight="1">
      <c r="A552" s="219" t="n" cm="1">
        <f t="array" ref="A552">IFERROR(INDEX('03.Muestra'!$B$8:$B$42,SMALL(IF("Página Web"='03.Muestra'!$D$8:$D$42,ROW('03.Muestra'!$B$8:$B$42)-MIN(ROW('03.Muestra'!$D$8:$D$42))+1,""),ROW()-550)),"")</f>
        <v>1.0</v>
      </c>
      <c r="B552" s="114" t="str" cm="1">
        <f t="array" ref="B552">IFERROR(INDEX('03.Muestra'!$C$8:$C$42,SMALL(IF("Página Web"='03.Muestra'!$D$8:$D$42,ROW('03.Muestra'!$C$8:$C$42)-MIN(ROW('03.Muestra'!$D$8:$D$42))+1,""),ROW()-550)),"")</f>
        <v>Home - PortCastelló</v>
      </c>
      <c r="C552" s="114" t="str" cm="1">
        <f t="array" ref="C552">IFERROR(INDEX('03.Muestra'!$F$8:$F$42,SMALL(IF("Página Web"='03.Muestra'!$D$8:$D$42,ROW('03.Muestra'!$F$8:$F$42)-MIN(ROW('03.Muestra'!$D$8:$D$42))+1,""),ROW()-550)),"")</f>
        <v>https://www.portcastello.com/</v>
      </c>
      <c r="D552" s="130" t="str">
        <f t="shared" ref="D552:D585" si="29">IF(AND(B552&lt;&gt;"",C552&lt;&gt;""),"N/T","")</f>
        <v>N/T</v>
      </c>
      <c r="E552" s="107" t="str">
        <f t="shared" si="28"/>
        <v/>
      </c>
      <c r="F552" s="120" t="n">
        <f ca="1">COUNTIF($D551:INDIRECT("$D" &amp;  SUM(ROW()-1,'03.Muestra'!$D$45)-1),F551)</f>
        <v>33.0</v>
      </c>
      <c r="G552" s="120" t="n">
        <f ca="1">COUNTIF($D551:INDIRECT("$D" &amp;  SUM(ROW()-1,'03.Muestra'!$D$45)-1),G551)</f>
        <v>0.0</v>
      </c>
      <c r="H552" s="120" t="n">
        <f ca="1">COUNTIF($D551:INDIRECT("$D" &amp;  SUM(ROW()-1,'03.Muestra'!$D$45)-1),H551)</f>
        <v>0.0</v>
      </c>
      <c r="I552" s="120" t="n">
        <f ca="1">COUNTIF($D551:INDIRECT("$D" &amp;  SUM(ROW()-1,'03.Muestra'!$D$45)-1),I551)</f>
        <v>0.0</v>
      </c>
      <c r="J552" s="120" t="n">
        <f ca="1">COUNTIF($D551:INDIRECT("$D" &amp;  SUM(ROW()-1,'03.Muestra'!$D$45)-1),J551)</f>
        <v>0.0</v>
      </c>
      <c r="K552" s="227" t="n">
        <f ca="1">IF(COUNTIF('03.Muestra'!$D$8:$D$42,"Página Web")=0,0,COUNTBLANK($D551:INDIRECT("$D" &amp;  SUM(ROW()-1,COUNTIF('03.Muestra'!$D$8:$D$42,"Página Web"))-1)))</f>
        <v>0.0</v>
      </c>
      <c r="L552" s="19"/>
      <c r="M552" s="19"/>
      <c r="N552" s="19"/>
      <c r="O552" s="19"/>
      <c r="P552" s="19"/>
      <c r="Q552" s="19"/>
      <c r="R552" s="19"/>
      <c r="S552" s="19"/>
      <c r="T552" s="19"/>
      <c r="U552" s="19"/>
      <c r="V552" s="19"/>
      <c r="W552" s="19"/>
      <c r="X552" s="19"/>
      <c r="Y552" s="19"/>
    </row>
    <row r="553" spans="1:25" ht="12" customHeight="1">
      <c r="A553" s="219" t="n" cm="1">
        <f t="array" ref="A553">IFERROR(INDEX('03.Muestra'!$B$8:$B$42,SMALL(IF("Página Web"='03.Muestra'!$D$8:$D$42,ROW('03.Muestra'!$B$8:$B$42)-MIN(ROW('03.Muestra'!$D$8:$D$42))+1,""),ROW()-550)),"")</f>
        <v>1.0</v>
      </c>
      <c r="B553" s="114" t="str" cm="1">
        <f t="array" ref="B553">IFERROR(INDEX('03.Muestra'!$C$8:$C$42,SMALL(IF("Página Web"='03.Muestra'!$D$8:$D$42,ROW('03.Muestra'!$C$8:$C$42)-MIN(ROW('03.Muestra'!$D$8:$D$42))+1,""),ROW()-550)),"")</f>
        <v>Home - PortCastelló</v>
      </c>
      <c r="C553" s="114" t="str" cm="1">
        <f t="array" ref="C553">IFERROR(INDEX('03.Muestra'!$F$8:$F$42,SMALL(IF("Página Web"='03.Muestra'!$D$8:$D$42,ROW('03.Muestra'!$F$8:$F$42)-MIN(ROW('03.Muestra'!$D$8:$D$42))+1,""),ROW()-550)),"")</f>
        <v>https://www.portcastello.com/</v>
      </c>
      <c r="D553" s="130" t="str">
        <f t="shared" si="29"/>
        <v>N/T</v>
      </c>
      <c r="E553" s="107" t="str">
        <f t="shared" si="28"/>
        <v/>
      </c>
      <c r="G553" s="19"/>
      <c r="H553" s="19"/>
      <c r="I553" s="19"/>
      <c r="J553" s="19"/>
      <c r="K553" s="233"/>
      <c r="L553" s="19"/>
      <c r="M553" s="19"/>
      <c r="N553" s="19"/>
      <c r="O553" s="19"/>
      <c r="P553" s="19"/>
      <c r="Q553" s="19"/>
      <c r="R553" s="19"/>
      <c r="S553" s="19"/>
      <c r="T553" s="19"/>
      <c r="U553" s="19"/>
      <c r="V553" s="19"/>
      <c r="W553" s="19"/>
      <c r="X553" s="19"/>
      <c r="Y553" s="19"/>
    </row>
    <row r="554" spans="1:25" ht="12" customHeight="1">
      <c r="A554" s="219" t="n" cm="1">
        <f t="array" ref="A554">IFERROR(INDEX('03.Muestra'!$B$8:$B$42,SMALL(IF("Página Web"='03.Muestra'!$D$8:$D$42,ROW('03.Muestra'!$B$8:$B$42)-MIN(ROW('03.Muestra'!$D$8:$D$42))+1,""),ROW()-550)),"")</f>
        <v>1.0</v>
      </c>
      <c r="B554" s="114" t="str" cm="1">
        <f t="array" ref="B554">IFERROR(INDEX('03.Muestra'!$C$8:$C$42,SMALL(IF("Página Web"='03.Muestra'!$D$8:$D$42,ROW('03.Muestra'!$C$8:$C$42)-MIN(ROW('03.Muestra'!$D$8:$D$42))+1,""),ROW()-550)),"")</f>
        <v>Home - PortCastelló</v>
      </c>
      <c r="C554" s="114" t="str" cm="1">
        <f t="array" ref="C554">IFERROR(INDEX('03.Muestra'!$F$8:$F$42,SMALL(IF("Página Web"='03.Muestra'!$D$8:$D$42,ROW('03.Muestra'!$F$8:$F$42)-MIN(ROW('03.Muestra'!$D$8:$D$42))+1,""),ROW()-550)),"")</f>
        <v>https://www.portcastello.com/</v>
      </c>
      <c r="D554" s="130" t="str">
        <f t="shared" si="29"/>
        <v>N/T</v>
      </c>
      <c r="E554" s="107" t="str">
        <f t="shared" si="28"/>
        <v/>
      </c>
      <c r="G554" s="19"/>
      <c r="H554" s="19"/>
      <c r="I554" s="19"/>
      <c r="J554" s="19"/>
      <c r="K554" s="233"/>
      <c r="L554" s="19"/>
      <c r="M554" s="19"/>
      <c r="N554" s="19"/>
      <c r="O554" s="19"/>
      <c r="P554" s="19"/>
      <c r="Q554" s="19"/>
      <c r="R554" s="19"/>
      <c r="S554" s="19"/>
      <c r="T554" s="19"/>
      <c r="U554" s="19"/>
      <c r="V554" s="19"/>
      <c r="W554" s="19"/>
      <c r="X554" s="19"/>
      <c r="Y554" s="19"/>
    </row>
    <row r="555" spans="1:25" ht="12" customHeight="1">
      <c r="A555" s="219" t="n" cm="1">
        <f t="array" ref="A555">IFERROR(INDEX('03.Muestra'!$B$8:$B$42,SMALL(IF("Página Web"='03.Muestra'!$D$8:$D$42,ROW('03.Muestra'!$B$8:$B$42)-MIN(ROW('03.Muestra'!$D$8:$D$42))+1,""),ROW()-550)),"")</f>
        <v>1.0</v>
      </c>
      <c r="B555" s="114" t="str" cm="1">
        <f t="array" ref="B555">IFERROR(INDEX('03.Muestra'!$C$8:$C$42,SMALL(IF("Página Web"='03.Muestra'!$D$8:$D$42,ROW('03.Muestra'!$C$8:$C$42)-MIN(ROW('03.Muestra'!$D$8:$D$42))+1,""),ROW()-550)),"")</f>
        <v>Home - PortCastelló</v>
      </c>
      <c r="C555" s="114" t="str" cm="1">
        <f t="array" ref="C555">IFERROR(INDEX('03.Muestra'!$F$8:$F$42,SMALL(IF("Página Web"='03.Muestra'!$D$8:$D$42,ROW('03.Muestra'!$F$8:$F$42)-MIN(ROW('03.Muestra'!$D$8:$D$42))+1,""),ROW()-550)),"")</f>
        <v>https://www.portcastello.com/</v>
      </c>
      <c r="D555" s="130" t="str">
        <f t="shared" si="29"/>
        <v>N/T</v>
      </c>
      <c r="E555" s="107" t="str">
        <f t="shared" si="28"/>
        <v/>
      </c>
      <c r="G555" s="19"/>
      <c r="H555" s="19"/>
      <c r="I555" s="19"/>
      <c r="J555" s="19"/>
      <c r="K555" s="233"/>
      <c r="L555" s="19"/>
      <c r="M555" s="19"/>
      <c r="N555" s="19"/>
      <c r="O555" s="19"/>
      <c r="P555" s="19"/>
      <c r="Q555" s="19"/>
      <c r="R555" s="19"/>
      <c r="S555" s="19"/>
      <c r="T555" s="19"/>
      <c r="U555" s="19"/>
      <c r="V555" s="19"/>
      <c r="W555" s="19"/>
      <c r="X555" s="19"/>
      <c r="Y555" s="19"/>
    </row>
    <row r="556" spans="1:25" ht="12" customHeight="1">
      <c r="A556" s="219" t="n" cm="1">
        <f t="array" ref="A556">IFERROR(INDEX('03.Muestra'!$B$8:$B$42,SMALL(IF("Página Web"='03.Muestra'!$D$8:$D$42,ROW('03.Muestra'!$B$8:$B$42)-MIN(ROW('03.Muestra'!$D$8:$D$42))+1,""),ROW()-550)),"")</f>
        <v>1.0</v>
      </c>
      <c r="B556" s="114" t="str" cm="1">
        <f t="array" ref="B556">IFERROR(INDEX('03.Muestra'!$C$8:$C$42,SMALL(IF("Página Web"='03.Muestra'!$D$8:$D$42,ROW('03.Muestra'!$C$8:$C$42)-MIN(ROW('03.Muestra'!$D$8:$D$42))+1,""),ROW()-550)),"")</f>
        <v>Home - PortCastelló</v>
      </c>
      <c r="C556" s="114" t="str" cm="1">
        <f t="array" ref="C556">IFERROR(INDEX('03.Muestra'!$F$8:$F$42,SMALL(IF("Página Web"='03.Muestra'!$D$8:$D$42,ROW('03.Muestra'!$F$8:$F$42)-MIN(ROW('03.Muestra'!$D$8:$D$42))+1,""),ROW()-550)),"")</f>
        <v>https://www.portcastello.com/</v>
      </c>
      <c r="D556" s="130" t="str">
        <f t="shared" si="29"/>
        <v>N/T</v>
      </c>
      <c r="E556" s="107" t="str">
        <f t="shared" si="28"/>
        <v/>
      </c>
      <c r="G556" s="19"/>
      <c r="H556" s="19"/>
      <c r="I556" s="19"/>
      <c r="J556" s="19"/>
      <c r="K556" s="233"/>
      <c r="L556" s="19"/>
      <c r="M556" s="19"/>
      <c r="N556" s="19"/>
      <c r="O556" s="19"/>
      <c r="P556" s="19"/>
      <c r="Q556" s="19"/>
      <c r="R556" s="19"/>
      <c r="S556" s="19"/>
      <c r="T556" s="19"/>
      <c r="U556" s="19"/>
      <c r="V556" s="19"/>
      <c r="W556" s="19"/>
      <c r="X556" s="19"/>
      <c r="Y556" s="19"/>
    </row>
    <row r="557" spans="1:25" ht="12" customHeight="1">
      <c r="A557" s="219" t="n" cm="1">
        <f t="array" ref="A557">IFERROR(INDEX('03.Muestra'!$B$8:$B$42,SMALL(IF("Página Web"='03.Muestra'!$D$8:$D$42,ROW('03.Muestra'!$B$8:$B$42)-MIN(ROW('03.Muestra'!$D$8:$D$42))+1,""),ROW()-550)),"")</f>
        <v>1.0</v>
      </c>
      <c r="B557" s="114" t="str" cm="1">
        <f t="array" ref="B557">IFERROR(INDEX('03.Muestra'!$C$8:$C$42,SMALL(IF("Página Web"='03.Muestra'!$D$8:$D$42,ROW('03.Muestra'!$C$8:$C$42)-MIN(ROW('03.Muestra'!$D$8:$D$42))+1,""),ROW()-550)),"")</f>
        <v>Home - PortCastelló</v>
      </c>
      <c r="C557" s="114" t="str" cm="1">
        <f t="array" ref="C557">IFERROR(INDEX('03.Muestra'!$F$8:$F$42,SMALL(IF("Página Web"='03.Muestra'!$D$8:$D$42,ROW('03.Muestra'!$F$8:$F$42)-MIN(ROW('03.Muestra'!$D$8:$D$42))+1,""),ROW()-550)),"")</f>
        <v>https://www.portcastello.com/</v>
      </c>
      <c r="D557" s="130" t="str">
        <f t="shared" si="29"/>
        <v>N/T</v>
      </c>
      <c r="E557" s="107" t="str">
        <f t="shared" si="28"/>
        <v/>
      </c>
      <c r="F557" s="19"/>
      <c r="G557" s="19"/>
      <c r="H557" s="19"/>
      <c r="I557" s="19"/>
      <c r="J557" s="19"/>
      <c r="K557" s="233"/>
      <c r="L557" s="19"/>
      <c r="M557" s="19"/>
      <c r="N557" s="19"/>
      <c r="O557" s="19"/>
      <c r="P557" s="19"/>
      <c r="Q557" s="19"/>
      <c r="R557" s="19"/>
      <c r="S557" s="19"/>
      <c r="T557" s="19"/>
      <c r="U557" s="19"/>
      <c r="V557" s="19"/>
      <c r="W557" s="19"/>
      <c r="X557" s="19"/>
      <c r="Y557" s="19"/>
    </row>
    <row r="558" spans="1:25" ht="12" customHeight="1">
      <c r="A558" s="219" t="n" cm="1">
        <f t="array" ref="A558">IFERROR(INDEX('03.Muestra'!$B$8:$B$42,SMALL(IF("Página Web"='03.Muestra'!$D$8:$D$42,ROW('03.Muestra'!$B$8:$B$42)-MIN(ROW('03.Muestra'!$D$8:$D$42))+1,""),ROW()-550)),"")</f>
        <v>1.0</v>
      </c>
      <c r="B558" s="114" t="str" cm="1">
        <f t="array" ref="B558">IFERROR(INDEX('03.Muestra'!$C$8:$C$42,SMALL(IF("Página Web"='03.Muestra'!$D$8:$D$42,ROW('03.Muestra'!$C$8:$C$42)-MIN(ROW('03.Muestra'!$D$8:$D$42))+1,""),ROW()-550)),"")</f>
        <v>Home - PortCastelló</v>
      </c>
      <c r="C558" s="114" t="str" cm="1">
        <f t="array" ref="C558">IFERROR(INDEX('03.Muestra'!$F$8:$F$42,SMALL(IF("Página Web"='03.Muestra'!$D$8:$D$42,ROW('03.Muestra'!$F$8:$F$42)-MIN(ROW('03.Muestra'!$D$8:$D$42))+1,""),ROW()-550)),"")</f>
        <v>https://www.portcastello.com/</v>
      </c>
      <c r="D558" s="130" t="str">
        <f t="shared" si="29"/>
        <v>N/T</v>
      </c>
      <c r="E558" s="107" t="str">
        <f t="shared" si="28"/>
        <v/>
      </c>
      <c r="F558" s="19"/>
      <c r="G558" s="19"/>
      <c r="H558" s="19"/>
      <c r="I558" s="19"/>
      <c r="J558" s="19"/>
      <c r="K558" s="233"/>
      <c r="L558" s="19"/>
      <c r="M558" s="19"/>
      <c r="N558" s="19"/>
      <c r="O558" s="19"/>
      <c r="P558" s="19"/>
      <c r="Q558" s="19"/>
      <c r="R558" s="19"/>
      <c r="S558" s="19"/>
      <c r="T558" s="19"/>
      <c r="U558" s="19"/>
      <c r="V558" s="19"/>
      <c r="W558" s="19"/>
      <c r="X558" s="19"/>
      <c r="Y558" s="19"/>
    </row>
    <row r="559" spans="1:25" ht="12" customHeight="1">
      <c r="A559" s="219" t="n" cm="1">
        <f t="array" ref="A559">IFERROR(INDEX('03.Muestra'!$B$8:$B$42,SMALL(IF("Página Web"='03.Muestra'!$D$8:$D$42,ROW('03.Muestra'!$B$8:$B$42)-MIN(ROW('03.Muestra'!$D$8:$D$42))+1,""),ROW()-550)),"")</f>
        <v>1.0</v>
      </c>
      <c r="B559" s="114" t="str" cm="1">
        <f t="array" ref="B559">IFERROR(INDEX('03.Muestra'!$C$8:$C$42,SMALL(IF("Página Web"='03.Muestra'!$D$8:$D$42,ROW('03.Muestra'!$C$8:$C$42)-MIN(ROW('03.Muestra'!$D$8:$D$42))+1,""),ROW()-550)),"")</f>
        <v>Home - PortCastelló</v>
      </c>
      <c r="C559" s="114" t="str" cm="1">
        <f t="array" ref="C559">IFERROR(INDEX('03.Muestra'!$F$8:$F$42,SMALL(IF("Página Web"='03.Muestra'!$D$8:$D$42,ROW('03.Muestra'!$F$8:$F$42)-MIN(ROW('03.Muestra'!$D$8:$D$42))+1,""),ROW()-550)),"")</f>
        <v>https://www.portcastello.com/</v>
      </c>
      <c r="D559" s="130" t="str">
        <f t="shared" si="29"/>
        <v>N/T</v>
      </c>
      <c r="E559" s="107" t="str">
        <f t="shared" si="28"/>
        <v/>
      </c>
      <c r="F559" s="19"/>
      <c r="G559" s="19"/>
      <c r="H559" s="19"/>
      <c r="I559" s="19"/>
      <c r="J559" s="19"/>
      <c r="K559" s="233"/>
      <c r="L559" s="19"/>
      <c r="M559" s="19"/>
      <c r="N559" s="19"/>
      <c r="O559" s="19"/>
      <c r="P559" s="19"/>
      <c r="Q559" s="19"/>
      <c r="R559" s="19"/>
      <c r="S559" s="19"/>
      <c r="T559" s="19"/>
      <c r="U559" s="19"/>
      <c r="V559" s="19"/>
      <c r="W559" s="19"/>
      <c r="X559" s="19"/>
      <c r="Y559" s="19"/>
    </row>
    <row r="560" spans="1:25" ht="12" customHeight="1">
      <c r="A560" s="219" t="n" cm="1">
        <f t="array" ref="A560">IFERROR(INDEX('03.Muestra'!$B$8:$B$42,SMALL(IF("Página Web"='03.Muestra'!$D$8:$D$42,ROW('03.Muestra'!$B$8:$B$42)-MIN(ROW('03.Muestra'!$D$8:$D$42))+1,""),ROW()-550)),"")</f>
        <v>1.0</v>
      </c>
      <c r="B560" s="114" t="str" cm="1">
        <f t="array" ref="B560">IFERROR(INDEX('03.Muestra'!$C$8:$C$42,SMALL(IF("Página Web"='03.Muestra'!$D$8:$D$42,ROW('03.Muestra'!$C$8:$C$42)-MIN(ROW('03.Muestra'!$D$8:$D$42))+1,""),ROW()-550)),"")</f>
        <v>Home - PortCastelló</v>
      </c>
      <c r="C560" s="114" t="str" cm="1">
        <f t="array" ref="C560">IFERROR(INDEX('03.Muestra'!$F$8:$F$42,SMALL(IF("Página Web"='03.Muestra'!$D$8:$D$42,ROW('03.Muestra'!$F$8:$F$42)-MIN(ROW('03.Muestra'!$D$8:$D$42))+1,""),ROW()-550)),"")</f>
        <v>https://www.portcastello.com/</v>
      </c>
      <c r="D560" s="130" t="str">
        <f t="shared" si="29"/>
        <v>N/T</v>
      </c>
      <c r="E560" s="107" t="str">
        <f t="shared" si="28"/>
        <v/>
      </c>
      <c r="F560" s="19"/>
      <c r="G560" s="19"/>
      <c r="H560" s="19"/>
      <c r="I560" s="19"/>
      <c r="J560" s="19"/>
      <c r="K560" s="233"/>
      <c r="L560" s="19"/>
      <c r="M560" s="19"/>
      <c r="N560" s="19"/>
      <c r="O560" s="19"/>
      <c r="P560" s="19"/>
      <c r="Q560" s="19"/>
      <c r="R560" s="19"/>
      <c r="S560" s="19"/>
      <c r="T560" s="19"/>
      <c r="U560" s="19"/>
      <c r="V560" s="19"/>
      <c r="W560" s="19"/>
      <c r="X560" s="19"/>
      <c r="Y560" s="19"/>
    </row>
    <row r="561" spans="1:25" ht="12" customHeight="1">
      <c r="A561" s="219" t="n" cm="1">
        <f t="array" ref="A561">IFERROR(INDEX('03.Muestra'!$B$8:$B$42,SMALL(IF("Página Web"='03.Muestra'!$D$8:$D$42,ROW('03.Muestra'!$B$8:$B$42)-MIN(ROW('03.Muestra'!$D$8:$D$42))+1,""),ROW()-550)),"")</f>
        <v>1.0</v>
      </c>
      <c r="B561" s="114" t="str" cm="1">
        <f t="array" ref="B561">IFERROR(INDEX('03.Muestra'!$C$8:$C$42,SMALL(IF("Página Web"='03.Muestra'!$D$8:$D$42,ROW('03.Muestra'!$C$8:$C$42)-MIN(ROW('03.Muestra'!$D$8:$D$42))+1,""),ROW()-550)),"")</f>
        <v>Home - PortCastelló</v>
      </c>
      <c r="C561" s="114" t="str" cm="1">
        <f t="array" ref="C561">IFERROR(INDEX('03.Muestra'!$F$8:$F$42,SMALL(IF("Página Web"='03.Muestra'!$D$8:$D$42,ROW('03.Muestra'!$F$8:$F$42)-MIN(ROW('03.Muestra'!$D$8:$D$42))+1,""),ROW()-550)),"")</f>
        <v>https://www.portcastello.com/</v>
      </c>
      <c r="D561" s="130" t="str">
        <f t="shared" si="29"/>
        <v>N/T</v>
      </c>
      <c r="E561" s="107" t="str">
        <f t="shared" si="28"/>
        <v/>
      </c>
      <c r="F561" s="19"/>
      <c r="G561" s="19"/>
      <c r="H561" s="19"/>
      <c r="I561" s="19"/>
      <c r="J561" s="19"/>
      <c r="K561" s="233"/>
      <c r="L561" s="19"/>
      <c r="M561" s="19"/>
      <c r="N561" s="19"/>
      <c r="O561" s="19"/>
      <c r="P561" s="19"/>
      <c r="Q561" s="19"/>
      <c r="R561" s="19"/>
      <c r="S561" s="19"/>
      <c r="T561" s="19"/>
      <c r="U561" s="19"/>
      <c r="V561" s="19"/>
      <c r="W561" s="19"/>
      <c r="X561" s="19"/>
      <c r="Y561" s="19"/>
    </row>
    <row r="562" spans="1:25" ht="12" customHeight="1">
      <c r="A562" s="219" t="n" cm="1">
        <f t="array" ref="A562">IFERROR(INDEX('03.Muestra'!$B$8:$B$42,SMALL(IF("Página Web"='03.Muestra'!$D$8:$D$42,ROW('03.Muestra'!$B$8:$B$42)-MIN(ROW('03.Muestra'!$D$8:$D$42))+1,""),ROW()-550)),"")</f>
        <v>1.0</v>
      </c>
      <c r="B562" s="114" t="str" cm="1">
        <f t="array" ref="B562">IFERROR(INDEX('03.Muestra'!$C$8:$C$42,SMALL(IF("Página Web"='03.Muestra'!$D$8:$D$42,ROW('03.Muestra'!$C$8:$C$42)-MIN(ROW('03.Muestra'!$D$8:$D$42))+1,""),ROW()-550)),"")</f>
        <v>Home - PortCastelló</v>
      </c>
      <c r="C562" s="114" t="str" cm="1">
        <f t="array" ref="C562">IFERROR(INDEX('03.Muestra'!$F$8:$F$42,SMALL(IF("Página Web"='03.Muestra'!$D$8:$D$42,ROW('03.Muestra'!$F$8:$F$42)-MIN(ROW('03.Muestra'!$D$8:$D$42))+1,""),ROW()-550)),"")</f>
        <v>https://www.portcastello.com/</v>
      </c>
      <c r="D562" s="130" t="str">
        <f t="shared" si="29"/>
        <v>N/T</v>
      </c>
      <c r="E562" s="107" t="str">
        <f t="shared" si="28"/>
        <v/>
      </c>
      <c r="F562" s="19"/>
      <c r="G562" s="19"/>
      <c r="H562" s="19"/>
      <c r="I562" s="19"/>
      <c r="J562" s="19"/>
      <c r="K562" s="233"/>
      <c r="L562" s="19"/>
      <c r="M562" s="19"/>
      <c r="N562" s="19"/>
      <c r="O562" s="19"/>
      <c r="P562" s="19"/>
      <c r="Q562" s="19"/>
      <c r="R562" s="19"/>
      <c r="S562" s="19"/>
      <c r="T562" s="19"/>
      <c r="U562" s="19"/>
      <c r="V562" s="19"/>
      <c r="W562" s="19"/>
      <c r="X562" s="19"/>
      <c r="Y562" s="19"/>
    </row>
    <row r="563" spans="1:25" ht="12" customHeight="1">
      <c r="A563" s="219" t="n" cm="1">
        <f t="array" ref="A563">IFERROR(INDEX('03.Muestra'!$B$8:$B$42,SMALL(IF("Página Web"='03.Muestra'!$D$8:$D$42,ROW('03.Muestra'!$B$8:$B$42)-MIN(ROW('03.Muestra'!$D$8:$D$42))+1,""),ROW()-550)),"")</f>
        <v>1.0</v>
      </c>
      <c r="B563" s="114" t="str" cm="1">
        <f t="array" ref="B563">IFERROR(INDEX('03.Muestra'!$C$8:$C$42,SMALL(IF("Página Web"='03.Muestra'!$D$8:$D$42,ROW('03.Muestra'!$C$8:$C$42)-MIN(ROW('03.Muestra'!$D$8:$D$42))+1,""),ROW()-550)),"")</f>
        <v>Home - PortCastelló</v>
      </c>
      <c r="C563" s="114" t="str" cm="1">
        <f t="array" ref="C563">IFERROR(INDEX('03.Muestra'!$F$8:$F$42,SMALL(IF("Página Web"='03.Muestra'!$D$8:$D$42,ROW('03.Muestra'!$F$8:$F$42)-MIN(ROW('03.Muestra'!$D$8:$D$42))+1,""),ROW()-550)),"")</f>
        <v>https://www.portcastello.com/</v>
      </c>
      <c r="D563" s="130" t="str">
        <f t="shared" si="29"/>
        <v>N/T</v>
      </c>
      <c r="E563" s="107" t="str">
        <f t="shared" si="28"/>
        <v/>
      </c>
      <c r="F563" s="19"/>
      <c r="G563" s="19"/>
      <c r="H563" s="19"/>
      <c r="I563" s="19"/>
      <c r="J563" s="19"/>
      <c r="K563" s="233"/>
      <c r="L563" s="19"/>
      <c r="M563" s="19"/>
      <c r="N563" s="19"/>
      <c r="O563" s="19"/>
      <c r="P563" s="19"/>
      <c r="Q563" s="19"/>
      <c r="R563" s="19"/>
      <c r="S563" s="19"/>
      <c r="T563" s="19"/>
      <c r="U563" s="19"/>
      <c r="V563" s="19"/>
      <c r="W563" s="19"/>
      <c r="X563" s="19"/>
      <c r="Y563" s="19"/>
    </row>
    <row r="564" spans="1:25" ht="12" customHeight="1">
      <c r="A564" s="219" t="n" cm="1">
        <f t="array" ref="A564">IFERROR(INDEX('03.Muestra'!$B$8:$B$42,SMALL(IF("Página Web"='03.Muestra'!$D$8:$D$42,ROW('03.Muestra'!$B$8:$B$42)-MIN(ROW('03.Muestra'!$D$8:$D$42))+1,""),ROW()-550)),"")</f>
        <v>1.0</v>
      </c>
      <c r="B564" s="114" t="str" cm="1">
        <f t="array" ref="B564">IFERROR(INDEX('03.Muestra'!$C$8:$C$42,SMALL(IF("Página Web"='03.Muestra'!$D$8:$D$42,ROW('03.Muestra'!$C$8:$C$42)-MIN(ROW('03.Muestra'!$D$8:$D$42))+1,""),ROW()-550)),"")</f>
        <v>Home - PortCastelló</v>
      </c>
      <c r="C564" s="114" t="str" cm="1">
        <f t="array" ref="C564">IFERROR(INDEX('03.Muestra'!$F$8:$F$42,SMALL(IF("Página Web"='03.Muestra'!$D$8:$D$42,ROW('03.Muestra'!$F$8:$F$42)-MIN(ROW('03.Muestra'!$D$8:$D$42))+1,""),ROW()-550)),"")</f>
        <v>https://www.portcastello.com/</v>
      </c>
      <c r="D564" s="130" t="str">
        <f t="shared" si="29"/>
        <v>N/T</v>
      </c>
      <c r="E564" s="107" t="str">
        <f t="shared" si="28"/>
        <v/>
      </c>
      <c r="F564" s="19"/>
      <c r="G564" s="19"/>
      <c r="H564" s="19"/>
      <c r="I564" s="19"/>
      <c r="J564" s="19"/>
      <c r="K564" s="233"/>
      <c r="L564" s="19"/>
      <c r="M564" s="19"/>
      <c r="N564" s="19"/>
      <c r="O564" s="19"/>
      <c r="P564" s="19"/>
      <c r="Q564" s="19"/>
      <c r="R564" s="19"/>
      <c r="S564" s="19"/>
      <c r="T564" s="19"/>
      <c r="U564" s="19"/>
      <c r="V564" s="19"/>
      <c r="W564" s="19"/>
      <c r="X564" s="19"/>
      <c r="Y564" s="19"/>
    </row>
    <row r="565" spans="1:25" ht="12" customHeight="1">
      <c r="A565" s="219" t="n" cm="1">
        <f t="array" ref="A565">IFERROR(INDEX('03.Muestra'!$B$8:$B$42,SMALL(IF("Página Web"='03.Muestra'!$D$8:$D$42,ROW('03.Muestra'!$B$8:$B$42)-MIN(ROW('03.Muestra'!$D$8:$D$42))+1,""),ROW()-550)),"")</f>
        <v>1.0</v>
      </c>
      <c r="B565" s="114" t="str" cm="1">
        <f t="array" ref="B565">IFERROR(INDEX('03.Muestra'!$C$8:$C$42,SMALL(IF("Página Web"='03.Muestra'!$D$8:$D$42,ROW('03.Muestra'!$C$8:$C$42)-MIN(ROW('03.Muestra'!$D$8:$D$42))+1,""),ROW()-550)),"")</f>
        <v>Home - PortCastelló</v>
      </c>
      <c r="C565" s="114" t="str" cm="1">
        <f t="array" ref="C565">IFERROR(INDEX('03.Muestra'!$F$8:$F$42,SMALL(IF("Página Web"='03.Muestra'!$D$8:$D$42,ROW('03.Muestra'!$F$8:$F$42)-MIN(ROW('03.Muestra'!$D$8:$D$42))+1,""),ROW()-550)),"")</f>
        <v>https://www.portcastello.com/</v>
      </c>
      <c r="D565" s="130" t="str">
        <f t="shared" si="29"/>
        <v>N/T</v>
      </c>
      <c r="E565" s="107" t="str">
        <f t="shared" si="28"/>
        <v/>
      </c>
      <c r="F565" s="19"/>
      <c r="G565" s="19"/>
      <c r="H565" s="19"/>
      <c r="I565" s="19"/>
      <c r="J565" s="19"/>
      <c r="K565" s="233"/>
      <c r="L565" s="19"/>
      <c r="M565" s="19"/>
      <c r="N565" s="19"/>
      <c r="O565" s="19"/>
      <c r="P565" s="19"/>
      <c r="Q565" s="19"/>
      <c r="R565" s="19"/>
      <c r="S565" s="19"/>
      <c r="T565" s="19"/>
      <c r="U565" s="19"/>
      <c r="V565" s="19"/>
      <c r="W565" s="19"/>
      <c r="X565" s="19"/>
      <c r="Y565" s="19"/>
    </row>
    <row r="566" spans="1:25" ht="12" customHeight="1">
      <c r="A566" s="219" t="n" cm="1">
        <f t="array" ref="A566">IFERROR(INDEX('03.Muestra'!$B$8:$B$42,SMALL(IF("Página Web"='03.Muestra'!$D$8:$D$42,ROW('03.Muestra'!$B$8:$B$42)-MIN(ROW('03.Muestra'!$D$8:$D$42))+1,""),ROW()-550)),"")</f>
        <v>1.0</v>
      </c>
      <c r="B566" s="114" t="str" cm="1">
        <f t="array" ref="B566">IFERROR(INDEX('03.Muestra'!$C$8:$C$42,SMALL(IF("Página Web"='03.Muestra'!$D$8:$D$42,ROW('03.Muestra'!$C$8:$C$42)-MIN(ROW('03.Muestra'!$D$8:$D$42))+1,""),ROW()-550)),"")</f>
        <v>Home - PortCastelló</v>
      </c>
      <c r="C566" s="114" t="str" cm="1">
        <f t="array" ref="C566">IFERROR(INDEX('03.Muestra'!$F$8:$F$42,SMALL(IF("Página Web"='03.Muestra'!$D$8:$D$42,ROW('03.Muestra'!$F$8:$F$42)-MIN(ROW('03.Muestra'!$D$8:$D$42))+1,""),ROW()-550)),"")</f>
        <v>https://www.portcastello.com/</v>
      </c>
      <c r="D566" s="130" t="str">
        <f t="shared" si="29"/>
        <v>N/T</v>
      </c>
      <c r="E566" s="107" t="str">
        <f t="shared" si="28"/>
        <v/>
      </c>
      <c r="F566" s="19"/>
      <c r="G566" s="19"/>
      <c r="H566" s="19"/>
      <c r="I566" s="19"/>
      <c r="J566" s="19"/>
      <c r="K566" s="233"/>
      <c r="L566" s="19"/>
      <c r="M566" s="19"/>
      <c r="N566" s="19"/>
      <c r="O566" s="19"/>
      <c r="P566" s="19"/>
      <c r="Q566" s="19"/>
      <c r="R566" s="19"/>
      <c r="S566" s="19"/>
      <c r="T566" s="19"/>
      <c r="U566" s="19"/>
      <c r="V566" s="19"/>
      <c r="W566" s="19"/>
      <c r="X566" s="19"/>
      <c r="Y566" s="19"/>
    </row>
    <row r="567" spans="1:25" ht="12" customHeight="1">
      <c r="A567" s="219" t="n" cm="1">
        <f t="array" ref="A567">IFERROR(INDEX('03.Muestra'!$B$8:$B$42,SMALL(IF("Página Web"='03.Muestra'!$D$8:$D$42,ROW('03.Muestra'!$B$8:$B$42)-MIN(ROW('03.Muestra'!$D$8:$D$42))+1,""),ROW()-550)),"")</f>
        <v>1.0</v>
      </c>
      <c r="B567" s="114" t="str" cm="1">
        <f t="array" ref="B567">IFERROR(INDEX('03.Muestra'!$C$8:$C$42,SMALL(IF("Página Web"='03.Muestra'!$D$8:$D$42,ROW('03.Muestra'!$C$8:$C$42)-MIN(ROW('03.Muestra'!$D$8:$D$42))+1,""),ROW()-550)),"")</f>
        <v>Home - PortCastelló</v>
      </c>
      <c r="C567" s="114" t="str" cm="1">
        <f t="array" ref="C567">IFERROR(INDEX('03.Muestra'!$F$8:$F$42,SMALL(IF("Página Web"='03.Muestra'!$D$8:$D$42,ROW('03.Muestra'!$F$8:$F$42)-MIN(ROW('03.Muestra'!$D$8:$D$42))+1,""),ROW()-550)),"")</f>
        <v>https://www.portcastello.com/</v>
      </c>
      <c r="D567" s="130" t="str">
        <f t="shared" si="29"/>
        <v>N/T</v>
      </c>
      <c r="E567" s="107" t="str">
        <f t="shared" si="28"/>
        <v/>
      </c>
      <c r="F567" s="19"/>
      <c r="G567" s="19"/>
      <c r="H567" s="19"/>
      <c r="I567" s="19"/>
      <c r="J567" s="19"/>
      <c r="K567" s="233"/>
      <c r="L567" s="19"/>
      <c r="M567" s="19"/>
      <c r="N567" s="19"/>
      <c r="O567" s="19"/>
      <c r="P567" s="19"/>
      <c r="Q567" s="19"/>
      <c r="R567" s="19"/>
      <c r="S567" s="19"/>
      <c r="T567" s="19"/>
      <c r="U567" s="19"/>
      <c r="V567" s="19"/>
      <c r="W567" s="19"/>
      <c r="X567" s="19"/>
      <c r="Y567" s="19"/>
    </row>
    <row r="568" spans="1:25" ht="12" customHeight="1">
      <c r="A568" s="219" t="n" cm="1">
        <f t="array" ref="A568">IFERROR(INDEX('03.Muestra'!$B$8:$B$42,SMALL(IF("Página Web"='03.Muestra'!$D$8:$D$42,ROW('03.Muestra'!$B$8:$B$42)-MIN(ROW('03.Muestra'!$D$8:$D$42))+1,""),ROW()-550)),"")</f>
        <v>1.0</v>
      </c>
      <c r="B568" s="114" t="str" cm="1">
        <f t="array" ref="B568">IFERROR(INDEX('03.Muestra'!$C$8:$C$42,SMALL(IF("Página Web"='03.Muestra'!$D$8:$D$42,ROW('03.Muestra'!$C$8:$C$42)-MIN(ROW('03.Muestra'!$D$8:$D$42))+1,""),ROW()-550)),"")</f>
        <v>Home - PortCastelló</v>
      </c>
      <c r="C568" s="114" t="str" cm="1">
        <f t="array" ref="C568">IFERROR(INDEX('03.Muestra'!$F$8:$F$42,SMALL(IF("Página Web"='03.Muestra'!$D$8:$D$42,ROW('03.Muestra'!$F$8:$F$42)-MIN(ROW('03.Muestra'!$D$8:$D$42))+1,""),ROW()-550)),"")</f>
        <v>https://www.portcastello.com/</v>
      </c>
      <c r="D568" s="130" t="str">
        <f t="shared" si="29"/>
        <v>N/T</v>
      </c>
      <c r="E568" s="107" t="str">
        <f t="shared" si="28"/>
        <v/>
      </c>
      <c r="F568" s="19"/>
      <c r="G568" s="19"/>
      <c r="H568" s="19"/>
      <c r="I568" s="19"/>
      <c r="J568" s="19"/>
      <c r="K568" s="233"/>
      <c r="L568" s="19"/>
      <c r="M568" s="19"/>
      <c r="N568" s="19"/>
      <c r="O568" s="19"/>
      <c r="P568" s="19"/>
      <c r="Q568" s="19"/>
      <c r="R568" s="19"/>
      <c r="S568" s="19"/>
      <c r="T568" s="19"/>
      <c r="U568" s="19"/>
      <c r="V568" s="19"/>
      <c r="W568" s="19"/>
      <c r="X568" s="19"/>
      <c r="Y568" s="19"/>
    </row>
    <row r="569" spans="1:25" ht="12" customHeight="1">
      <c r="A569" s="219" t="n" cm="1">
        <f t="array" ref="A569">IFERROR(INDEX('03.Muestra'!$B$8:$B$42,SMALL(IF("Página Web"='03.Muestra'!$D$8:$D$42,ROW('03.Muestra'!$B$8:$B$42)-MIN(ROW('03.Muestra'!$D$8:$D$42))+1,""),ROW()-550)),"")</f>
        <v>1.0</v>
      </c>
      <c r="B569" s="114" t="str" cm="1">
        <f t="array" ref="B569">IFERROR(INDEX('03.Muestra'!$C$8:$C$42,SMALL(IF("Página Web"='03.Muestra'!$D$8:$D$42,ROW('03.Muestra'!$C$8:$C$42)-MIN(ROW('03.Muestra'!$D$8:$D$42))+1,""),ROW()-550)),"")</f>
        <v>Home - PortCastelló</v>
      </c>
      <c r="C569" s="114" t="str" cm="1">
        <f t="array" ref="C569">IFERROR(INDEX('03.Muestra'!$F$8:$F$42,SMALL(IF("Página Web"='03.Muestra'!$D$8:$D$42,ROW('03.Muestra'!$F$8:$F$42)-MIN(ROW('03.Muestra'!$D$8:$D$42))+1,""),ROW()-550)),"")</f>
        <v>https://www.portcastello.com/</v>
      </c>
      <c r="D569" s="130" t="str">
        <f t="shared" si="29"/>
        <v>N/T</v>
      </c>
      <c r="E569" s="107" t="str">
        <f t="shared" si="28"/>
        <v/>
      </c>
      <c r="F569" s="19"/>
      <c r="G569" s="19"/>
      <c r="H569" s="19"/>
      <c r="I569" s="19"/>
      <c r="J569" s="19"/>
      <c r="K569" s="233"/>
      <c r="L569" s="19"/>
      <c r="M569" s="19"/>
      <c r="N569" s="19"/>
      <c r="O569" s="19"/>
      <c r="P569" s="19"/>
      <c r="Q569" s="19"/>
      <c r="R569" s="19"/>
      <c r="S569" s="19"/>
      <c r="T569" s="19"/>
      <c r="U569" s="19"/>
      <c r="V569" s="19"/>
      <c r="W569" s="19"/>
      <c r="X569" s="19"/>
      <c r="Y569" s="19"/>
    </row>
    <row r="570" spans="1:25" ht="12" customHeight="1">
      <c r="A570" s="219" t="n" cm="1">
        <f t="array" ref="A570">IFERROR(INDEX('03.Muestra'!$B$8:$B$42,SMALL(IF("Página Web"='03.Muestra'!$D$8:$D$42,ROW('03.Muestra'!$B$8:$B$42)-MIN(ROW('03.Muestra'!$D$8:$D$42))+1,""),ROW()-550)),"")</f>
        <v>1.0</v>
      </c>
      <c r="B570" s="114" t="str" cm="1">
        <f t="array" ref="B570">IFERROR(INDEX('03.Muestra'!$C$8:$C$42,SMALL(IF("Página Web"='03.Muestra'!$D$8:$D$42,ROW('03.Muestra'!$C$8:$C$42)-MIN(ROW('03.Muestra'!$D$8:$D$42))+1,""),ROW()-550)),"")</f>
        <v>Home - PortCastelló</v>
      </c>
      <c r="C570" s="114" t="str" cm="1">
        <f t="array" ref="C570">IFERROR(INDEX('03.Muestra'!$F$8:$F$42,SMALL(IF("Página Web"='03.Muestra'!$D$8:$D$42,ROW('03.Muestra'!$F$8:$F$42)-MIN(ROW('03.Muestra'!$D$8:$D$42))+1,""),ROW()-550)),"")</f>
        <v>https://www.portcastello.com/</v>
      </c>
      <c r="D570" s="130" t="str">
        <f t="shared" si="29"/>
        <v>N/T</v>
      </c>
      <c r="E570" s="107" t="str">
        <f t="shared" si="28"/>
        <v/>
      </c>
      <c r="F570" s="19"/>
      <c r="G570" s="19"/>
      <c r="H570" s="19"/>
      <c r="I570" s="19"/>
      <c r="J570" s="19"/>
      <c r="K570" s="233"/>
      <c r="L570" s="19"/>
      <c r="M570" s="19"/>
      <c r="N570" s="19"/>
      <c r="O570" s="19"/>
      <c r="P570" s="19"/>
      <c r="Q570" s="19"/>
      <c r="R570" s="19"/>
      <c r="S570" s="19"/>
      <c r="T570" s="19"/>
      <c r="U570" s="19"/>
      <c r="V570" s="19"/>
      <c r="W570" s="19"/>
      <c r="X570" s="19"/>
      <c r="Y570" s="19"/>
    </row>
    <row r="571" spans="1:25" ht="12" customHeight="1">
      <c r="A571" s="219" t="n" cm="1">
        <f t="array" ref="A571">IFERROR(INDEX('03.Muestra'!$B$8:$B$42,SMALL(IF("Página Web"='03.Muestra'!$D$8:$D$42,ROW('03.Muestra'!$B$8:$B$42)-MIN(ROW('03.Muestra'!$D$8:$D$42))+1,""),ROW()-550)),"")</f>
        <v>1.0</v>
      </c>
      <c r="B571" s="114" t="str" cm="1">
        <f t="array" ref="B571">IFERROR(INDEX('03.Muestra'!$C$8:$C$42,SMALL(IF("Página Web"='03.Muestra'!$D$8:$D$42,ROW('03.Muestra'!$C$8:$C$42)-MIN(ROW('03.Muestra'!$D$8:$D$42))+1,""),ROW()-550)),"")</f>
        <v>Home - PortCastelló</v>
      </c>
      <c r="C571" s="114" t="str" cm="1">
        <f t="array" ref="C571">IFERROR(INDEX('03.Muestra'!$F$8:$F$42,SMALL(IF("Página Web"='03.Muestra'!$D$8:$D$42,ROW('03.Muestra'!$F$8:$F$42)-MIN(ROW('03.Muestra'!$D$8:$D$42))+1,""),ROW()-550)),"")</f>
        <v>https://www.portcastello.com/</v>
      </c>
      <c r="D571" s="130" t="str">
        <f t="shared" si="29"/>
        <v>N/T</v>
      </c>
      <c r="E571" s="107" t="str">
        <f t="shared" si="28"/>
        <v/>
      </c>
      <c r="F571" s="19"/>
      <c r="G571" s="19"/>
      <c r="H571" s="19"/>
      <c r="I571" s="19"/>
      <c r="J571" s="19"/>
      <c r="K571" s="233"/>
      <c r="L571" s="19"/>
      <c r="M571" s="19"/>
      <c r="N571" s="19"/>
      <c r="O571" s="19"/>
      <c r="P571" s="19"/>
      <c r="Q571" s="19"/>
      <c r="R571" s="19"/>
      <c r="S571" s="19"/>
      <c r="T571" s="19"/>
      <c r="U571" s="19"/>
      <c r="V571" s="19"/>
      <c r="W571" s="19"/>
      <c r="X571" s="19"/>
      <c r="Y571" s="19"/>
    </row>
    <row r="572" spans="1:25" ht="12" customHeight="1">
      <c r="A572" s="219" t="n" cm="1">
        <f t="array" ref="A572">IFERROR(INDEX('03.Muestra'!$B$8:$B$42,SMALL(IF("Página Web"='03.Muestra'!$D$8:$D$42,ROW('03.Muestra'!$B$8:$B$42)-MIN(ROW('03.Muestra'!$D$8:$D$42))+1,""),ROW()-550)),"")</f>
        <v>1.0</v>
      </c>
      <c r="B572" s="114" t="str" cm="1">
        <f t="array" ref="B572">IFERROR(INDEX('03.Muestra'!$C$8:$C$42,SMALL(IF("Página Web"='03.Muestra'!$D$8:$D$42,ROW('03.Muestra'!$C$8:$C$42)-MIN(ROW('03.Muestra'!$D$8:$D$42))+1,""),ROW()-550)),"")</f>
        <v>Home - PortCastelló</v>
      </c>
      <c r="C572" s="114" t="str" cm="1">
        <f t="array" ref="C572">IFERROR(INDEX('03.Muestra'!$F$8:$F$42,SMALL(IF("Página Web"='03.Muestra'!$D$8:$D$42,ROW('03.Muestra'!$F$8:$F$42)-MIN(ROW('03.Muestra'!$D$8:$D$42))+1,""),ROW()-550)),"")</f>
        <v>https://www.portcastello.com/</v>
      </c>
      <c r="D572" s="130" t="str">
        <f t="shared" si="29"/>
        <v>N/T</v>
      </c>
      <c r="E572" s="107" t="str">
        <f t="shared" si="28"/>
        <v/>
      </c>
      <c r="F572" s="19"/>
      <c r="G572" s="19"/>
      <c r="H572" s="19"/>
      <c r="I572" s="19"/>
      <c r="J572" s="19"/>
      <c r="K572" s="233"/>
      <c r="L572" s="19"/>
      <c r="M572" s="19"/>
      <c r="N572" s="19"/>
      <c r="O572" s="19"/>
      <c r="P572" s="19"/>
      <c r="Q572" s="19"/>
      <c r="R572" s="19"/>
      <c r="S572" s="19"/>
      <c r="T572" s="19"/>
      <c r="U572" s="19"/>
      <c r="V572" s="19"/>
      <c r="W572" s="19"/>
      <c r="X572" s="19"/>
      <c r="Y572" s="19"/>
    </row>
    <row r="573" spans="1:25" ht="12" customHeight="1">
      <c r="A573" s="219" t="n" cm="1">
        <f t="array" ref="A573">IFERROR(INDEX('03.Muestra'!$B$8:$B$42,SMALL(IF("Página Web"='03.Muestra'!$D$8:$D$42,ROW('03.Muestra'!$B$8:$B$42)-MIN(ROW('03.Muestra'!$D$8:$D$42))+1,""),ROW()-550)),"")</f>
        <v>1.0</v>
      </c>
      <c r="B573" s="114" t="str" cm="1">
        <f t="array" ref="B573">IFERROR(INDEX('03.Muestra'!$C$8:$C$42,SMALL(IF("Página Web"='03.Muestra'!$D$8:$D$42,ROW('03.Muestra'!$C$8:$C$42)-MIN(ROW('03.Muestra'!$D$8:$D$42))+1,""),ROW()-550)),"")</f>
        <v>Home - PortCastelló</v>
      </c>
      <c r="C573" s="114" t="str" cm="1">
        <f t="array" ref="C573">IFERROR(INDEX('03.Muestra'!$F$8:$F$42,SMALL(IF("Página Web"='03.Muestra'!$D$8:$D$42,ROW('03.Muestra'!$F$8:$F$42)-MIN(ROW('03.Muestra'!$D$8:$D$42))+1,""),ROW()-550)),"")</f>
        <v>https://www.portcastello.com/</v>
      </c>
      <c r="D573" s="130" t="str">
        <f t="shared" si="29"/>
        <v>N/T</v>
      </c>
      <c r="E573" s="107" t="str">
        <f t="shared" si="28"/>
        <v/>
      </c>
      <c r="F573" s="19"/>
      <c r="G573" s="19"/>
      <c r="H573" s="19"/>
      <c r="I573" s="19"/>
      <c r="J573" s="19"/>
      <c r="K573" s="233"/>
      <c r="L573" s="19"/>
      <c r="M573" s="19"/>
      <c r="N573" s="19"/>
      <c r="O573" s="19"/>
      <c r="P573" s="19"/>
      <c r="Q573" s="19"/>
      <c r="R573" s="19"/>
      <c r="S573" s="19"/>
      <c r="T573" s="19"/>
      <c r="U573" s="19"/>
      <c r="V573" s="19"/>
      <c r="W573" s="19"/>
      <c r="X573" s="19"/>
      <c r="Y573" s="19"/>
    </row>
    <row r="574" spans="1:25" ht="12" customHeight="1">
      <c r="A574" s="219" t="n" cm="1">
        <f t="array" ref="A574">IFERROR(INDEX('03.Muestra'!$B$8:$B$42,SMALL(IF("Página Web"='03.Muestra'!$D$8:$D$42,ROW('03.Muestra'!$B$8:$B$42)-MIN(ROW('03.Muestra'!$D$8:$D$42))+1,""),ROW()-550)),"")</f>
        <v>1.0</v>
      </c>
      <c r="B574" s="114" t="str" cm="1">
        <f t="array" ref="B574">IFERROR(INDEX('03.Muestra'!$C$8:$C$42,SMALL(IF("Página Web"='03.Muestra'!$D$8:$D$42,ROW('03.Muestra'!$C$8:$C$42)-MIN(ROW('03.Muestra'!$D$8:$D$42))+1,""),ROW()-550)),"")</f>
        <v>Home - PortCastelló</v>
      </c>
      <c r="C574" s="114" t="str" cm="1">
        <f t="array" ref="C574">IFERROR(INDEX('03.Muestra'!$F$8:$F$42,SMALL(IF("Página Web"='03.Muestra'!$D$8:$D$42,ROW('03.Muestra'!$F$8:$F$42)-MIN(ROW('03.Muestra'!$D$8:$D$42))+1,""),ROW()-550)),"")</f>
        <v>https://www.portcastello.com/</v>
      </c>
      <c r="D574" s="130" t="str">
        <f t="shared" si="29"/>
        <v>N/T</v>
      </c>
      <c r="E574" s="107" t="str">
        <f t="shared" si="28"/>
        <v/>
      </c>
      <c r="F574" s="19"/>
      <c r="G574" s="19"/>
      <c r="H574" s="19"/>
      <c r="I574" s="19"/>
      <c r="J574" s="19"/>
      <c r="K574" s="233"/>
      <c r="L574" s="19"/>
      <c r="M574" s="19"/>
      <c r="N574" s="19"/>
      <c r="O574" s="19"/>
      <c r="P574" s="19"/>
      <c r="Q574" s="19"/>
      <c r="R574" s="19"/>
      <c r="S574" s="19"/>
      <c r="T574" s="19"/>
      <c r="U574" s="19"/>
      <c r="V574" s="19"/>
      <c r="W574" s="19"/>
      <c r="X574" s="19"/>
      <c r="Y574" s="19"/>
    </row>
    <row r="575" spans="1:25" ht="12" customHeight="1">
      <c r="A575" s="219" t="n" cm="1">
        <f t="array" ref="A575">IFERROR(INDEX('03.Muestra'!$B$8:$B$42,SMALL(IF("Página Web"='03.Muestra'!$D$8:$D$42,ROW('03.Muestra'!$B$8:$B$42)-MIN(ROW('03.Muestra'!$D$8:$D$42))+1,""),ROW()-550)),"")</f>
        <v>1.0</v>
      </c>
      <c r="B575" s="114" t="str" cm="1">
        <f t="array" ref="B575">IFERROR(INDEX('03.Muestra'!$C$8:$C$42,SMALL(IF("Página Web"='03.Muestra'!$D$8:$D$42,ROW('03.Muestra'!$C$8:$C$42)-MIN(ROW('03.Muestra'!$D$8:$D$42))+1,""),ROW()-550)),"")</f>
        <v>Home - PortCastelló</v>
      </c>
      <c r="C575" s="114" t="str" cm="1">
        <f t="array" ref="C575">IFERROR(INDEX('03.Muestra'!$F$8:$F$42,SMALL(IF("Página Web"='03.Muestra'!$D$8:$D$42,ROW('03.Muestra'!$F$8:$F$42)-MIN(ROW('03.Muestra'!$D$8:$D$42))+1,""),ROW()-550)),"")</f>
        <v>https://www.portcastello.com/</v>
      </c>
      <c r="D575" s="130" t="str">
        <f t="shared" si="29"/>
        <v>N/T</v>
      </c>
      <c r="E575" s="107" t="str">
        <f t="shared" si="28"/>
        <v/>
      </c>
      <c r="F575" s="19"/>
      <c r="G575" s="19"/>
      <c r="H575" s="19"/>
      <c r="I575" s="19"/>
      <c r="J575" s="19"/>
      <c r="K575" s="233"/>
      <c r="L575" s="19"/>
      <c r="M575" s="19"/>
      <c r="N575" s="19"/>
      <c r="O575" s="19"/>
      <c r="P575" s="19"/>
      <c r="Q575" s="19"/>
      <c r="R575" s="19"/>
      <c r="S575" s="19"/>
      <c r="T575" s="19"/>
      <c r="U575" s="19"/>
      <c r="V575" s="19"/>
      <c r="W575" s="19"/>
      <c r="X575" s="19"/>
      <c r="Y575" s="19"/>
    </row>
    <row r="576" spans="1:25" ht="12" customHeight="1">
      <c r="A576" s="219" t="n" cm="1">
        <f t="array" ref="A576">IFERROR(INDEX('03.Muestra'!$B$8:$B$42,SMALL(IF("Página Web"='03.Muestra'!$D$8:$D$42,ROW('03.Muestra'!$B$8:$B$42)-MIN(ROW('03.Muestra'!$D$8:$D$42))+1,""),ROW()-550)),"")</f>
        <v>1.0</v>
      </c>
      <c r="B576" s="114" t="str" cm="1">
        <f t="array" ref="B576">IFERROR(INDEX('03.Muestra'!$C$8:$C$42,SMALL(IF("Página Web"='03.Muestra'!$D$8:$D$42,ROW('03.Muestra'!$C$8:$C$42)-MIN(ROW('03.Muestra'!$D$8:$D$42))+1,""),ROW()-550)),"")</f>
        <v>Home - PortCastelló</v>
      </c>
      <c r="C576" s="114" t="str" cm="1">
        <f t="array" ref="C576">IFERROR(INDEX('03.Muestra'!$F$8:$F$42,SMALL(IF("Página Web"='03.Muestra'!$D$8:$D$42,ROW('03.Muestra'!$F$8:$F$42)-MIN(ROW('03.Muestra'!$D$8:$D$42))+1,""),ROW()-550)),"")</f>
        <v>https://www.portcastello.com/</v>
      </c>
      <c r="D576" s="130" t="str">
        <f t="shared" si="29"/>
        <v>N/T</v>
      </c>
      <c r="E576" s="107" t="str">
        <f t="shared" si="28"/>
        <v/>
      </c>
      <c r="F576" s="19"/>
      <c r="G576" s="19"/>
      <c r="H576" s="19"/>
      <c r="I576" s="19"/>
      <c r="J576" s="19"/>
      <c r="K576" s="233"/>
      <c r="L576" s="19"/>
      <c r="M576" s="19"/>
      <c r="N576" s="19"/>
      <c r="O576" s="19"/>
      <c r="P576" s="19"/>
      <c r="Q576" s="19"/>
      <c r="R576" s="19"/>
      <c r="S576" s="19"/>
      <c r="T576" s="19"/>
      <c r="U576" s="19"/>
      <c r="V576" s="19"/>
      <c r="W576" s="19"/>
      <c r="X576" s="19"/>
      <c r="Y576" s="19"/>
    </row>
    <row r="577" spans="1:25" ht="12" customHeight="1">
      <c r="A577" s="219" t="n" cm="1">
        <f t="array" ref="A577">IFERROR(INDEX('03.Muestra'!$B$8:$B$42,SMALL(IF("Página Web"='03.Muestra'!$D$8:$D$42,ROW('03.Muestra'!$B$8:$B$42)-MIN(ROW('03.Muestra'!$D$8:$D$42))+1,""),ROW()-550)),"")</f>
        <v>1.0</v>
      </c>
      <c r="B577" s="114" t="str" cm="1">
        <f t="array" ref="B577">IFERROR(INDEX('03.Muestra'!$C$8:$C$42,SMALL(IF("Página Web"='03.Muestra'!$D$8:$D$42,ROW('03.Muestra'!$C$8:$C$42)-MIN(ROW('03.Muestra'!$D$8:$D$42))+1,""),ROW()-550)),"")</f>
        <v>Home - PortCastelló</v>
      </c>
      <c r="C577" s="114" t="str" cm="1">
        <f t="array" ref="C577">IFERROR(INDEX('03.Muestra'!$F$8:$F$42,SMALL(IF("Página Web"='03.Muestra'!$D$8:$D$42,ROW('03.Muestra'!$F$8:$F$42)-MIN(ROW('03.Muestra'!$D$8:$D$42))+1,""),ROW()-550)),"")</f>
        <v>https://www.portcastello.com/</v>
      </c>
      <c r="D577" s="130" t="str">
        <f t="shared" si="29"/>
        <v>N/T</v>
      </c>
      <c r="E577" s="107" t="str">
        <f t="shared" si="28"/>
        <v/>
      </c>
      <c r="F577" s="19"/>
      <c r="G577" s="19"/>
      <c r="H577" s="19"/>
      <c r="I577" s="19"/>
      <c r="J577" s="19"/>
      <c r="K577" s="233"/>
      <c r="L577" s="19"/>
      <c r="M577" s="19"/>
      <c r="N577" s="19"/>
      <c r="O577" s="19"/>
      <c r="P577" s="19"/>
      <c r="Q577" s="19"/>
      <c r="R577" s="19"/>
      <c r="S577" s="19"/>
      <c r="T577" s="19"/>
      <c r="U577" s="19"/>
      <c r="V577" s="19"/>
      <c r="W577" s="19"/>
      <c r="X577" s="19"/>
      <c r="Y577" s="19"/>
    </row>
    <row r="578" spans="1:25" ht="12" customHeight="1">
      <c r="A578" s="219" t="n" cm="1">
        <f t="array" ref="A578">IFERROR(INDEX('03.Muestra'!$B$8:$B$42,SMALL(IF("Página Web"='03.Muestra'!$D$8:$D$42,ROW('03.Muestra'!$B$8:$B$42)-MIN(ROW('03.Muestra'!$D$8:$D$42))+1,""),ROW()-550)),"")</f>
        <v>1.0</v>
      </c>
      <c r="B578" s="114" t="str" cm="1">
        <f t="array" ref="B578">IFERROR(INDEX('03.Muestra'!$C$8:$C$42,SMALL(IF("Página Web"='03.Muestra'!$D$8:$D$42,ROW('03.Muestra'!$C$8:$C$42)-MIN(ROW('03.Muestra'!$D$8:$D$42))+1,""),ROW()-550)),"")</f>
        <v>Home - PortCastelló</v>
      </c>
      <c r="C578" s="114" t="str" cm="1">
        <f t="array" ref="C578">IFERROR(INDEX('03.Muestra'!$F$8:$F$42,SMALL(IF("Página Web"='03.Muestra'!$D$8:$D$42,ROW('03.Muestra'!$F$8:$F$42)-MIN(ROW('03.Muestra'!$D$8:$D$42))+1,""),ROW()-550)),"")</f>
        <v>https://www.portcastello.com/</v>
      </c>
      <c r="D578" s="130" t="str">
        <f t="shared" si="29"/>
        <v>N/T</v>
      </c>
      <c r="E578" s="107" t="str">
        <f t="shared" si="28"/>
        <v/>
      </c>
      <c r="G578" s="19"/>
      <c r="H578" s="19"/>
      <c r="I578" s="19"/>
      <c r="J578" s="19"/>
      <c r="K578" s="233"/>
      <c r="L578" s="19"/>
      <c r="M578" s="19"/>
      <c r="N578" s="19"/>
      <c r="O578" s="19"/>
      <c r="P578" s="19"/>
      <c r="Q578" s="19"/>
      <c r="R578" s="19"/>
      <c r="S578" s="19"/>
      <c r="T578" s="19"/>
      <c r="U578" s="19"/>
      <c r="V578" s="19"/>
      <c r="W578" s="19"/>
      <c r="X578" s="19"/>
      <c r="Y578" s="19"/>
    </row>
    <row r="579" spans="1:25" ht="12" customHeight="1">
      <c r="A579" s="219" t="n" cm="1">
        <f t="array" ref="A579">IFERROR(INDEX('03.Muestra'!$B$8:$B$42,SMALL(IF("Página Web"='03.Muestra'!$D$8:$D$42,ROW('03.Muestra'!$B$8:$B$42)-MIN(ROW('03.Muestra'!$D$8:$D$42))+1,""),ROW()-550)),"")</f>
        <v>1.0</v>
      </c>
      <c r="B579" s="114" t="str" cm="1">
        <f t="array" ref="B579">IFERROR(INDEX('03.Muestra'!$C$8:$C$42,SMALL(IF("Página Web"='03.Muestra'!$D$8:$D$42,ROW('03.Muestra'!$C$8:$C$42)-MIN(ROW('03.Muestra'!$D$8:$D$42))+1,""),ROW()-550)),"")</f>
        <v>Home - PortCastelló</v>
      </c>
      <c r="C579" s="114" t="str" cm="1">
        <f t="array" ref="C579">IFERROR(INDEX('03.Muestra'!$F$8:$F$42,SMALL(IF("Página Web"='03.Muestra'!$D$8:$D$42,ROW('03.Muestra'!$F$8:$F$42)-MIN(ROW('03.Muestra'!$D$8:$D$42))+1,""),ROW()-550)),"")</f>
        <v>https://www.portcastello.com/</v>
      </c>
      <c r="D579" s="130" t="str">
        <f t="shared" si="29"/>
        <v>N/T</v>
      </c>
      <c r="E579" s="107" t="str">
        <f t="shared" si="28"/>
        <v/>
      </c>
      <c r="F579" s="124"/>
      <c r="G579" s="19"/>
      <c r="H579" s="19"/>
      <c r="I579" s="19"/>
      <c r="J579" s="19"/>
      <c r="K579" s="233"/>
      <c r="L579" s="19"/>
      <c r="M579" s="19"/>
      <c r="N579" s="19"/>
      <c r="O579" s="19"/>
      <c r="P579" s="19"/>
      <c r="Q579" s="19"/>
      <c r="R579" s="19"/>
      <c r="S579" s="19"/>
      <c r="T579" s="19"/>
      <c r="U579" s="19"/>
      <c r="V579" s="19"/>
      <c r="W579" s="19"/>
      <c r="X579" s="19"/>
      <c r="Y579" s="19"/>
    </row>
    <row r="580" spans="1:25" ht="12" customHeight="1">
      <c r="A580" s="219" t="n" cm="1">
        <f t="array" ref="A580">IFERROR(INDEX('03.Muestra'!$B$8:$B$42,SMALL(IF("Página Web"='03.Muestra'!$D$8:$D$42,ROW('03.Muestra'!$B$8:$B$42)-MIN(ROW('03.Muestra'!$D$8:$D$42))+1,""),ROW()-550)),"")</f>
        <v>1.0</v>
      </c>
      <c r="B580" s="114" t="str" cm="1">
        <f t="array" ref="B580">IFERROR(INDEX('03.Muestra'!$C$8:$C$42,SMALL(IF("Página Web"='03.Muestra'!$D$8:$D$42,ROW('03.Muestra'!$C$8:$C$42)-MIN(ROW('03.Muestra'!$D$8:$D$42))+1,""),ROW()-550)),"")</f>
        <v>Home - PortCastelló</v>
      </c>
      <c r="C580" s="114" t="str" cm="1">
        <f t="array" ref="C580">IFERROR(INDEX('03.Muestra'!$F$8:$F$42,SMALL(IF("Página Web"='03.Muestra'!$D$8:$D$42,ROW('03.Muestra'!$F$8:$F$42)-MIN(ROW('03.Muestra'!$D$8:$D$42))+1,""),ROW()-550)),"")</f>
        <v>https://www.portcastello.com/</v>
      </c>
      <c r="D580" s="130" t="str">
        <f t="shared" si="29"/>
        <v>N/T</v>
      </c>
      <c r="E580" s="107" t="str">
        <f t="shared" si="28"/>
        <v/>
      </c>
      <c r="F580" s="124"/>
      <c r="G580" s="19"/>
      <c r="H580" s="19"/>
      <c r="I580" s="19"/>
      <c r="J580" s="19"/>
      <c r="K580" s="233"/>
      <c r="L580" s="19"/>
      <c r="M580" s="19"/>
      <c r="N580" s="19"/>
      <c r="O580" s="19"/>
      <c r="P580" s="19"/>
      <c r="Q580" s="19"/>
      <c r="R580" s="19"/>
      <c r="S580" s="19"/>
      <c r="T580" s="19"/>
      <c r="U580" s="19"/>
      <c r="V580" s="19"/>
      <c r="W580" s="19"/>
      <c r="X580" s="19"/>
      <c r="Y580" s="19"/>
    </row>
    <row r="581" spans="1:25" ht="12" customHeight="1">
      <c r="A581" s="219" t="n" cm="1">
        <f t="array" ref="A581">IFERROR(INDEX('03.Muestra'!$B$8:$B$42,SMALL(IF("Página Web"='03.Muestra'!$D$8:$D$42,ROW('03.Muestra'!$B$8:$B$42)-MIN(ROW('03.Muestra'!$D$8:$D$42))+1,""),ROW()-550)),"")</f>
        <v>1.0</v>
      </c>
      <c r="B581" s="114" t="str" cm="1">
        <f t="array" ref="B581">IFERROR(INDEX('03.Muestra'!$C$8:$C$42,SMALL(IF("Página Web"='03.Muestra'!$D$8:$D$42,ROW('03.Muestra'!$C$8:$C$42)-MIN(ROW('03.Muestra'!$D$8:$D$42))+1,""),ROW()-550)),"")</f>
        <v>Home - PortCastelló</v>
      </c>
      <c r="C581" s="114" t="str" cm="1">
        <f t="array" ref="C581">IFERROR(INDEX('03.Muestra'!$F$8:$F$42,SMALL(IF("Página Web"='03.Muestra'!$D$8:$D$42,ROW('03.Muestra'!$F$8:$F$42)-MIN(ROW('03.Muestra'!$D$8:$D$42))+1,""),ROW()-550)),"")</f>
        <v>https://www.portcastello.com/</v>
      </c>
      <c r="D581" s="130" t="str">
        <f t="shared" si="29"/>
        <v>N/T</v>
      </c>
      <c r="E581" s="107" t="str">
        <f t="shared" si="28"/>
        <v/>
      </c>
      <c r="F581" s="124"/>
      <c r="G581" s="19"/>
      <c r="H581" s="19"/>
      <c r="I581" s="19"/>
      <c r="J581" s="19"/>
      <c r="K581" s="233"/>
      <c r="L581" s="19"/>
      <c r="M581" s="19"/>
      <c r="N581" s="19"/>
      <c r="O581" s="19"/>
      <c r="P581" s="19"/>
      <c r="Q581" s="19"/>
      <c r="R581" s="19"/>
      <c r="S581" s="19"/>
      <c r="T581" s="19"/>
      <c r="U581" s="19"/>
      <c r="V581" s="19"/>
      <c r="W581" s="19"/>
      <c r="X581" s="19"/>
      <c r="Y581" s="19"/>
    </row>
    <row r="582" spans="1:25" ht="12" customHeight="1">
      <c r="A582" s="219" t="n" cm="1">
        <f t="array" ref="A582">IFERROR(INDEX('03.Muestra'!$B$8:$B$42,SMALL(IF("Página Web"='03.Muestra'!$D$8:$D$42,ROW('03.Muestra'!$B$8:$B$42)-MIN(ROW('03.Muestra'!$D$8:$D$42))+1,""),ROW()-550)),"")</f>
        <v>1.0</v>
      </c>
      <c r="B582" s="114" t="str" cm="1">
        <f t="array" ref="B582">IFERROR(INDEX('03.Muestra'!$C$8:$C$42,SMALL(IF("Página Web"='03.Muestra'!$D$8:$D$42,ROW('03.Muestra'!$C$8:$C$42)-MIN(ROW('03.Muestra'!$D$8:$D$42))+1,""),ROW()-550)),"")</f>
        <v>Home - PortCastelló</v>
      </c>
      <c r="C582" s="114" t="str" cm="1">
        <f t="array" ref="C582">IFERROR(INDEX('03.Muestra'!$F$8:$F$42,SMALL(IF("Página Web"='03.Muestra'!$D$8:$D$42,ROW('03.Muestra'!$F$8:$F$42)-MIN(ROW('03.Muestra'!$D$8:$D$42))+1,""),ROW()-550)),"")</f>
        <v>https://www.portcastello.com/</v>
      </c>
      <c r="D582" s="130" t="str">
        <f t="shared" si="29"/>
        <v>N/T</v>
      </c>
      <c r="E582" s="107" t="str">
        <f t="shared" si="28"/>
        <v/>
      </c>
      <c r="F582" s="124"/>
      <c r="G582" s="19"/>
      <c r="H582" s="19"/>
      <c r="I582" s="19"/>
      <c r="J582" s="19"/>
      <c r="K582" s="233"/>
      <c r="L582" s="19"/>
      <c r="M582" s="19"/>
      <c r="N582" s="19"/>
      <c r="O582" s="19"/>
      <c r="P582" s="19"/>
      <c r="Q582" s="19"/>
      <c r="R582" s="19"/>
      <c r="S582" s="19"/>
      <c r="T582" s="19"/>
      <c r="U582" s="19"/>
      <c r="V582" s="19"/>
      <c r="W582" s="19"/>
      <c r="X582" s="19"/>
      <c r="Y582" s="19"/>
    </row>
    <row r="583" spans="1:25" ht="12" customHeight="1">
      <c r="A583" s="219" t="n" cm="1">
        <f t="array" ref="A583">IFERROR(INDEX('03.Muestra'!$B$8:$B$42,SMALL(IF("Página Web"='03.Muestra'!$D$8:$D$42,ROW('03.Muestra'!$B$8:$B$42)-MIN(ROW('03.Muestra'!$D$8:$D$42))+1,""),ROW()-550)),"")</f>
        <v>1.0</v>
      </c>
      <c r="B583" s="114" t="str" cm="1">
        <f t="array" ref="B583">IFERROR(INDEX('03.Muestra'!$C$8:$C$42,SMALL(IF("Página Web"='03.Muestra'!$D$8:$D$42,ROW('03.Muestra'!$C$8:$C$42)-MIN(ROW('03.Muestra'!$D$8:$D$42))+1,""),ROW()-550)),"")</f>
        <v>Home - PortCastelló</v>
      </c>
      <c r="C583" s="114" t="str" cm="1">
        <f t="array" ref="C583">IFERROR(INDEX('03.Muestra'!$F$8:$F$42,SMALL(IF("Página Web"='03.Muestra'!$D$8:$D$42,ROW('03.Muestra'!$F$8:$F$42)-MIN(ROW('03.Muestra'!$D$8:$D$42))+1,""),ROW()-550)),"")</f>
        <v>https://www.portcastello.com/</v>
      </c>
      <c r="D583" s="130" t="str">
        <f t="shared" si="29"/>
        <v>N/T</v>
      </c>
      <c r="E583" s="107" t="str">
        <f t="shared" si="28"/>
        <v/>
      </c>
      <c r="F583" s="124"/>
      <c r="G583" s="19"/>
      <c r="H583" s="19"/>
      <c r="I583" s="19"/>
      <c r="J583" s="19"/>
      <c r="K583" s="233"/>
      <c r="L583" s="19"/>
      <c r="M583" s="19"/>
      <c r="N583" s="19"/>
      <c r="O583" s="19"/>
      <c r="P583" s="19"/>
      <c r="Q583" s="19"/>
      <c r="R583" s="19"/>
      <c r="S583" s="19"/>
      <c r="T583" s="19"/>
      <c r="U583" s="19"/>
      <c r="V583" s="19"/>
      <c r="W583" s="19"/>
      <c r="X583" s="19"/>
      <c r="Y583" s="19"/>
    </row>
    <row r="584" spans="1:25" ht="12" customHeight="1">
      <c r="A584" s="219" t="str" cm="1">
        <f t="array" ref="A584">IFERROR(INDEX('03.Muestra'!$B$8:$B$42,SMALL(IF("Página Web"='03.Muestra'!$D$8:$D$42,ROW('03.Muestra'!$B$8:$B$42)-MIN(ROW('03.Muestra'!$D$8:$D$42))+1,""),ROW()-550)),"")</f>
        <v/>
      </c>
      <c r="B584" s="114" t="str" cm="1">
        <f t="array" ref="B584">IFERROR(INDEX('03.Muestra'!$C$8:$C$42,SMALL(IF("Página Web"='03.Muestra'!$D$8:$D$42,ROW('03.Muestra'!$C$8:$C$42)-MIN(ROW('03.Muestra'!$D$8:$D$42))+1,""),ROW()-550)),"")</f>
        <v/>
      </c>
      <c r="C584" s="114" t="str" cm="1">
        <f t="array" ref="C584">IFERROR(INDEX('03.Muestra'!$F$8:$F$42,SMALL(IF("Página Web"='03.Muestra'!$D$8:$D$42,ROW('03.Muestra'!$F$8:$F$42)-MIN(ROW('03.Muestra'!$D$8:$D$42))+1,""),ROW()-550)),"")</f>
        <v/>
      </c>
      <c r="D584" s="130" t="str">
        <f t="shared" si="29"/>
        <v/>
      </c>
      <c r="E584" s="107" t="str">
        <f t="shared" si="28"/>
        <v/>
      </c>
      <c r="F584" s="124"/>
      <c r="G584" s="19"/>
      <c r="H584" s="19"/>
      <c r="I584" s="19"/>
      <c r="J584" s="19"/>
      <c r="K584" s="233"/>
      <c r="L584" s="19"/>
      <c r="M584" s="19"/>
      <c r="N584" s="19"/>
      <c r="O584" s="19"/>
      <c r="P584" s="19"/>
      <c r="Q584" s="19"/>
      <c r="R584" s="19"/>
      <c r="S584" s="19"/>
      <c r="T584" s="19"/>
      <c r="U584" s="19"/>
      <c r="V584" s="19"/>
      <c r="W584" s="19"/>
      <c r="X584" s="19"/>
      <c r="Y584" s="19"/>
    </row>
    <row r="585" spans="1:25" ht="12" customHeight="1">
      <c r="A585" s="219" t="str" cm="1">
        <f t="array" ref="A585">IFERROR(INDEX('03.Muestra'!$B$8:$B$42,SMALL(IF("Página Web"='03.Muestra'!$D$8:$D$42,ROW('03.Muestra'!$B$8:$B$42)-MIN(ROW('03.Muestra'!$D$8:$D$42))+1,""),ROW()-550)),"")</f>
        <v/>
      </c>
      <c r="B585" s="114" t="str" cm="1">
        <f t="array" ref="B585">IFERROR(INDEX('03.Muestra'!$C$8:$C$42,SMALL(IF("Página Web"='03.Muestra'!$D$8:$D$42,ROW('03.Muestra'!$C$8:$C$42)-MIN(ROW('03.Muestra'!$D$8:$D$42))+1,""),ROW()-550)),"")</f>
        <v/>
      </c>
      <c r="C585" s="114" t="str" cm="1">
        <f t="array" ref="C585">IFERROR(INDEX('03.Muestra'!$F$8:$F$42,SMALL(IF("Página Web"='03.Muestra'!$D$8:$D$42,ROW('03.Muestra'!$F$8:$F$42)-MIN(ROW('03.Muestra'!$D$8:$D$42))+1,""),ROW()-550)),"")</f>
        <v/>
      </c>
      <c r="D585" s="130" t="str">
        <f t="shared" si="29"/>
        <v/>
      </c>
      <c r="E585" s="107" t="str">
        <f t="shared" si="28"/>
        <v/>
      </c>
      <c r="F585" s="19"/>
      <c r="G585" s="19"/>
      <c r="H585" s="19"/>
      <c r="I585" s="19"/>
      <c r="J585" s="19"/>
      <c r="K585" s="233"/>
      <c r="L585" s="19"/>
      <c r="M585" s="19"/>
      <c r="N585" s="19"/>
      <c r="O585" s="19"/>
      <c r="P585" s="19"/>
      <c r="Q585" s="19"/>
      <c r="R585" s="19"/>
      <c r="S585" s="19"/>
      <c r="T585" s="19"/>
      <c r="U585" s="19"/>
      <c r="V585" s="19"/>
      <c r="W585" s="19"/>
      <c r="X585" s="19"/>
      <c r="Y585" s="19"/>
    </row>
    <row r="586" spans="1:25" ht="12" customHeight="1">
      <c r="B586" s="19"/>
      <c r="C586" s="19"/>
      <c r="D586" s="107"/>
      <c r="E586" s="107"/>
      <c r="F586" s="19"/>
      <c r="G586" s="19"/>
      <c r="H586" s="19"/>
      <c r="I586" s="19"/>
      <c r="J586" s="19"/>
      <c r="K586" s="233"/>
      <c r="L586" s="19"/>
      <c r="M586" s="19"/>
      <c r="N586" s="19"/>
      <c r="O586" s="19"/>
      <c r="P586" s="19"/>
      <c r="Q586" s="19"/>
      <c r="R586" s="19"/>
      <c r="S586" s="19"/>
      <c r="T586" s="19"/>
      <c r="U586" s="19"/>
      <c r="V586" s="19"/>
      <c r="W586" s="19"/>
      <c r="X586" s="19"/>
      <c r="Y586" s="19"/>
    </row>
    <row r="587" spans="1:25" ht="12" customHeight="1">
      <c r="B587" s="19"/>
      <c r="C587" s="19"/>
      <c r="D587" s="107"/>
      <c r="E587" s="112"/>
      <c r="F587" s="19"/>
      <c r="G587" s="19"/>
      <c r="H587" s="19"/>
      <c r="I587" s="19"/>
      <c r="J587" s="19"/>
      <c r="K587" s="233"/>
      <c r="L587" s="19"/>
      <c r="M587" s="19"/>
      <c r="N587" s="19"/>
      <c r="O587" s="19"/>
      <c r="P587" s="19"/>
      <c r="Q587" s="19"/>
      <c r="R587" s="19"/>
      <c r="S587" s="19"/>
      <c r="T587" s="19"/>
      <c r="U587" s="19"/>
      <c r="V587" s="19"/>
      <c r="W587" s="19"/>
      <c r="X587" s="19"/>
      <c r="Y587" s="19"/>
    </row>
    <row r="588" spans="1:25" ht="29.25" customHeight="1">
      <c r="A588" s="218" t="s">
        <v>268</v>
      </c>
      <c r="B588" s="24" t="s">
        <v>90</v>
      </c>
      <c r="C588" s="25" t="s">
        <v>388</v>
      </c>
      <c r="D588" s="26" t="s">
        <v>32</v>
      </c>
      <c r="E588" s="123"/>
      <c r="K588" s="233"/>
      <c r="L588" s="19"/>
      <c r="M588" s="19"/>
      <c r="N588" s="19"/>
      <c r="O588" s="19"/>
      <c r="P588" s="19"/>
      <c r="Q588" s="19"/>
      <c r="R588" s="19"/>
      <c r="S588" s="19"/>
      <c r="T588" s="19"/>
      <c r="U588" s="19"/>
      <c r="V588" s="19"/>
      <c r="W588" s="19"/>
      <c r="X588" s="19"/>
      <c r="Y588" s="19"/>
    </row>
    <row r="589" spans="1:25" ht="12" customHeight="1">
      <c r="A589" s="219" t="n" cm="1">
        <f t="array" ref="A589">IFERROR(INDEX('03.Muestra'!$B$8:$B$42,SMALL(IF("Página Web"='03.Muestra'!$D$8:$D$42,ROW('03.Muestra'!$B$8:$B$42)-MIN(ROW('03.Muestra'!$D$8:$D$42))+1,""),ROW()-588)),"")</f>
        <v>1.0</v>
      </c>
      <c r="B589" s="114" t="str" cm="1">
        <f t="array" ref="B589">IFERROR(INDEX('03.Muestra'!$C$8:$C$42,SMALL(IF("Página Web"='03.Muestra'!$D$8:$D$42,ROW('03.Muestra'!$C$8:$C$42)-MIN(ROW('03.Muestra'!$D$8:$D$42))+1,""),ROW()-588)),"")</f>
        <v>Home - PortCastelló</v>
      </c>
      <c r="C589" s="114" t="str" cm="1">
        <f t="array" ref="C589">IFERROR(INDEX('03.Muestra'!$F$8:$F$42,SMALL(IF("Página Web"='03.Muestra'!$D$8:$D$42,ROW('03.Muestra'!$F$8:$F$42)-MIN(ROW('03.Muestra'!$D$8:$D$42))+1,""),ROW()-588)),"")</f>
        <v>https://www.portcastello.com/</v>
      </c>
      <c r="D589" s="130" t="s">
        <v>37</v>
      </c>
      <c r="E589" s="107" t="str">
        <f t="shared" ref="E589:E623" si="30">IF(D589&lt;&gt;"",IF(AND(B589&lt;&gt;"",C589&lt;&gt;""),"","ERR"),"")</f>
        <v/>
      </c>
      <c r="F589" s="115" t="s">
        <v>33</v>
      </c>
      <c r="G589" s="116" t="s">
        <v>37</v>
      </c>
      <c r="H589" s="117" t="s">
        <v>35</v>
      </c>
      <c r="I589" s="118" t="s">
        <v>28</v>
      </c>
      <c r="J589" s="119" t="s">
        <v>26</v>
      </c>
      <c r="K589" s="226" t="s">
        <v>474</v>
      </c>
      <c r="L589" s="19"/>
      <c r="M589" s="19"/>
      <c r="N589" s="19"/>
      <c r="O589" s="19"/>
      <c r="P589" s="19"/>
      <c r="Q589" s="19"/>
      <c r="R589" s="19"/>
      <c r="S589" s="19"/>
      <c r="T589" s="19"/>
      <c r="U589" s="19"/>
      <c r="V589" s="19"/>
      <c r="W589" s="19"/>
      <c r="X589" s="19"/>
      <c r="Y589" s="19"/>
    </row>
    <row r="590" spans="1:25" ht="12" customHeight="1">
      <c r="A590" s="219" t="n" cm="1">
        <f t="array" ref="A590">IFERROR(INDEX('03.Muestra'!$B$8:$B$42,SMALL(IF("Página Web"='03.Muestra'!$D$8:$D$42,ROW('03.Muestra'!$B$8:$B$42)-MIN(ROW('03.Muestra'!$D$8:$D$42))+1,""),ROW()-588)),"")</f>
        <v>1.0</v>
      </c>
      <c r="B590" s="114" t="str" cm="1">
        <f t="array" ref="B590">IFERROR(INDEX('03.Muestra'!$C$8:$C$42,SMALL(IF("Página Web"='03.Muestra'!$D$8:$D$42,ROW('03.Muestra'!$C$8:$C$42)-MIN(ROW('03.Muestra'!$D$8:$D$42))+1,""),ROW()-588)),"")</f>
        <v>Home - PortCastelló</v>
      </c>
      <c r="C590" s="114" t="str" cm="1">
        <f t="array" ref="C590">IFERROR(INDEX('03.Muestra'!$F$8:$F$42,SMALL(IF("Página Web"='03.Muestra'!$D$8:$D$42,ROW('03.Muestra'!$F$8:$F$42)-MIN(ROW('03.Muestra'!$D$8:$D$42))+1,""),ROW()-588)),"")</f>
        <v>https://www.portcastello.com/</v>
      </c>
      <c r="D590" s="130" t="s">
        <v>37</v>
      </c>
      <c r="E590" s="107" t="str">
        <f t="shared" si="30"/>
        <v/>
      </c>
      <c r="F590" s="120" t="n">
        <f ca="1">COUNTIF($D589:INDIRECT("$D" &amp;  SUM(ROW()-1,'03.Muestra'!$D$45)-1),F589)</f>
        <v>0.0</v>
      </c>
      <c r="G590" s="120" t="n">
        <f ca="1">COUNTIF($D589:INDIRECT("$D" &amp;  SUM(ROW()-1,'03.Muestra'!$D$45)-1),G589)</f>
        <v>33.0</v>
      </c>
      <c r="H590" s="120" t="n">
        <f ca="1">COUNTIF($D589:INDIRECT("$D" &amp;  SUM(ROW()-1,'03.Muestra'!$D$45)-1),H589)</f>
        <v>0.0</v>
      </c>
      <c r="I590" s="120" t="n">
        <f ca="1">COUNTIF($D589:INDIRECT("$D" &amp;  SUM(ROW()-1,'03.Muestra'!$D$45)-1),I589)</f>
        <v>0.0</v>
      </c>
      <c r="J590" s="120" t="n">
        <f ca="1">COUNTIF($D589:INDIRECT("$D" &amp;  SUM(ROW()-1,'03.Muestra'!$D$45)-1),J589)</f>
        <v>0.0</v>
      </c>
      <c r="K590" s="227" t="n">
        <f ca="1">IF(COUNTIF('03.Muestra'!$D$8:$D$42,"Página Web")=0,0,COUNTBLANK($D589:INDIRECT("$D" &amp;  SUM(ROW()-1,COUNTIF('03.Muestra'!$D$8:$D$42,"Página Web"))-1)))</f>
        <v>0.0</v>
      </c>
      <c r="L590" s="19"/>
      <c r="M590" s="19"/>
      <c r="N590" s="19"/>
      <c r="O590" s="19"/>
      <c r="P590" s="19"/>
      <c r="Q590" s="19"/>
      <c r="R590" s="19"/>
      <c r="S590" s="19"/>
      <c r="T590" s="19"/>
      <c r="U590" s="19"/>
      <c r="V590" s="19"/>
      <c r="W590" s="19"/>
      <c r="X590" s="19"/>
      <c r="Y590" s="19"/>
    </row>
    <row r="591" spans="1:25" ht="12" customHeight="1">
      <c r="A591" s="219" t="n" cm="1">
        <f t="array" ref="A591">IFERROR(INDEX('03.Muestra'!$B$8:$B$42,SMALL(IF("Página Web"='03.Muestra'!$D$8:$D$42,ROW('03.Muestra'!$B$8:$B$42)-MIN(ROW('03.Muestra'!$D$8:$D$42))+1,""),ROW()-588)),"")</f>
        <v>1.0</v>
      </c>
      <c r="B591" s="114" t="str" cm="1">
        <f t="array" ref="B591">IFERROR(INDEX('03.Muestra'!$C$8:$C$42,SMALL(IF("Página Web"='03.Muestra'!$D$8:$D$42,ROW('03.Muestra'!$C$8:$C$42)-MIN(ROW('03.Muestra'!$D$8:$D$42))+1,""),ROW()-588)),"")</f>
        <v>Home - PortCastelló</v>
      </c>
      <c r="C591" s="114" t="str" cm="1">
        <f t="array" ref="C591">IFERROR(INDEX('03.Muestra'!$F$8:$F$42,SMALL(IF("Página Web"='03.Muestra'!$D$8:$D$42,ROW('03.Muestra'!$F$8:$F$42)-MIN(ROW('03.Muestra'!$D$8:$D$42))+1,""),ROW()-588)),"")</f>
        <v>https://www.portcastello.com/</v>
      </c>
      <c r="D591" s="130" t="s">
        <v>37</v>
      </c>
      <c r="E591" s="107" t="str">
        <f t="shared" si="30"/>
        <v/>
      </c>
      <c r="G591" s="19"/>
      <c r="H591" s="19"/>
      <c r="I591" s="19"/>
      <c r="J591" s="19"/>
      <c r="K591" s="233"/>
      <c r="L591" s="19"/>
      <c r="M591" s="19"/>
      <c r="N591" s="19"/>
      <c r="O591" s="19"/>
      <c r="P591" s="19"/>
      <c r="Q591" s="19"/>
      <c r="R591" s="19"/>
      <c r="S591" s="19"/>
      <c r="T591" s="19"/>
      <c r="U591" s="19"/>
      <c r="V591" s="19"/>
      <c r="W591" s="19"/>
      <c r="X591" s="19"/>
      <c r="Y591" s="19"/>
    </row>
    <row r="592" spans="1:25" ht="12" customHeight="1">
      <c r="A592" s="219" t="n" cm="1">
        <f t="array" ref="A592">IFERROR(INDEX('03.Muestra'!$B$8:$B$42,SMALL(IF("Página Web"='03.Muestra'!$D$8:$D$42,ROW('03.Muestra'!$B$8:$B$42)-MIN(ROW('03.Muestra'!$D$8:$D$42))+1,""),ROW()-588)),"")</f>
        <v>1.0</v>
      </c>
      <c r="B592" s="114" t="str" cm="1">
        <f t="array" ref="B592">IFERROR(INDEX('03.Muestra'!$C$8:$C$42,SMALL(IF("Página Web"='03.Muestra'!$D$8:$D$42,ROW('03.Muestra'!$C$8:$C$42)-MIN(ROW('03.Muestra'!$D$8:$D$42))+1,""),ROW()-588)),"")</f>
        <v>Home - PortCastelló</v>
      </c>
      <c r="C592" s="114" t="str" cm="1">
        <f t="array" ref="C592">IFERROR(INDEX('03.Muestra'!$F$8:$F$42,SMALL(IF("Página Web"='03.Muestra'!$D$8:$D$42,ROW('03.Muestra'!$F$8:$F$42)-MIN(ROW('03.Muestra'!$D$8:$D$42))+1,""),ROW()-588)),"")</f>
        <v>https://www.portcastello.com/</v>
      </c>
      <c r="D592" s="130" t="s">
        <v>37</v>
      </c>
      <c r="E592" s="107" t="str">
        <f t="shared" si="30"/>
        <v/>
      </c>
      <c r="G592" s="19"/>
      <c r="H592" s="19"/>
      <c r="I592" s="19"/>
      <c r="J592" s="19"/>
      <c r="K592" s="233"/>
      <c r="L592" s="19"/>
      <c r="M592" s="19"/>
      <c r="N592" s="19"/>
      <c r="O592" s="19"/>
      <c r="P592" s="19"/>
      <c r="Q592" s="19"/>
      <c r="R592" s="19"/>
      <c r="S592" s="19"/>
      <c r="T592" s="19"/>
      <c r="U592" s="19"/>
      <c r="V592" s="19"/>
      <c r="W592" s="19"/>
      <c r="X592" s="19"/>
      <c r="Y592" s="19"/>
    </row>
    <row r="593" spans="1:25" ht="12" customHeight="1">
      <c r="A593" s="219" t="n" cm="1">
        <f t="array" ref="A593">IFERROR(INDEX('03.Muestra'!$B$8:$B$42,SMALL(IF("Página Web"='03.Muestra'!$D$8:$D$42,ROW('03.Muestra'!$B$8:$B$42)-MIN(ROW('03.Muestra'!$D$8:$D$42))+1,""),ROW()-588)),"")</f>
        <v>1.0</v>
      </c>
      <c r="B593" s="114" t="str" cm="1">
        <f t="array" ref="B593">IFERROR(INDEX('03.Muestra'!$C$8:$C$42,SMALL(IF("Página Web"='03.Muestra'!$D$8:$D$42,ROW('03.Muestra'!$C$8:$C$42)-MIN(ROW('03.Muestra'!$D$8:$D$42))+1,""),ROW()-588)),"")</f>
        <v>Home - PortCastelló</v>
      </c>
      <c r="C593" s="114" t="str" cm="1">
        <f t="array" ref="C593">IFERROR(INDEX('03.Muestra'!$F$8:$F$42,SMALL(IF("Página Web"='03.Muestra'!$D$8:$D$42,ROW('03.Muestra'!$F$8:$F$42)-MIN(ROW('03.Muestra'!$D$8:$D$42))+1,""),ROW()-588)),"")</f>
        <v>https://www.portcastello.com/</v>
      </c>
      <c r="D593" s="130" t="s">
        <v>37</v>
      </c>
      <c r="E593" s="107" t="str">
        <f t="shared" si="30"/>
        <v/>
      </c>
      <c r="G593" s="19"/>
      <c r="H593" s="19"/>
      <c r="I593" s="19"/>
      <c r="J593" s="19"/>
      <c r="K593" s="233"/>
      <c r="L593" s="19"/>
      <c r="M593" s="19"/>
      <c r="N593" s="19"/>
      <c r="O593" s="19"/>
      <c r="P593" s="19"/>
      <c r="Q593" s="19"/>
      <c r="R593" s="19"/>
      <c r="S593" s="19"/>
      <c r="T593" s="19"/>
      <c r="U593" s="19"/>
      <c r="V593" s="19"/>
      <c r="W593" s="19"/>
      <c r="X593" s="19"/>
      <c r="Y593" s="19"/>
    </row>
    <row r="594" spans="1:25" ht="12" customHeight="1">
      <c r="A594" s="219" t="n" cm="1">
        <f t="array" ref="A594">IFERROR(INDEX('03.Muestra'!$B$8:$B$42,SMALL(IF("Página Web"='03.Muestra'!$D$8:$D$42,ROW('03.Muestra'!$B$8:$B$42)-MIN(ROW('03.Muestra'!$D$8:$D$42))+1,""),ROW()-588)),"")</f>
        <v>1.0</v>
      </c>
      <c r="B594" s="114" t="str" cm="1">
        <f t="array" ref="B594">IFERROR(INDEX('03.Muestra'!$C$8:$C$42,SMALL(IF("Página Web"='03.Muestra'!$D$8:$D$42,ROW('03.Muestra'!$C$8:$C$42)-MIN(ROW('03.Muestra'!$D$8:$D$42))+1,""),ROW()-588)),"")</f>
        <v>Home - PortCastelló</v>
      </c>
      <c r="C594" s="114" t="str" cm="1">
        <f t="array" ref="C594">IFERROR(INDEX('03.Muestra'!$F$8:$F$42,SMALL(IF("Página Web"='03.Muestra'!$D$8:$D$42,ROW('03.Muestra'!$F$8:$F$42)-MIN(ROW('03.Muestra'!$D$8:$D$42))+1,""),ROW()-588)),"")</f>
        <v>https://www.portcastello.com/</v>
      </c>
      <c r="D594" s="130" t="s">
        <v>37</v>
      </c>
      <c r="E594" s="107" t="str">
        <f t="shared" si="30"/>
        <v/>
      </c>
      <c r="G594" s="19"/>
      <c r="H594" s="19"/>
      <c r="I594" s="19"/>
      <c r="J594" s="19"/>
      <c r="K594" s="233"/>
      <c r="L594" s="19"/>
      <c r="M594" s="19"/>
      <c r="N594" s="19"/>
      <c r="O594" s="19"/>
      <c r="P594" s="19"/>
      <c r="Q594" s="19"/>
      <c r="R594" s="19"/>
      <c r="S594" s="19"/>
      <c r="T594" s="19"/>
      <c r="U594" s="19"/>
      <c r="V594" s="19"/>
      <c r="W594" s="19"/>
      <c r="X594" s="19"/>
      <c r="Y594" s="19"/>
    </row>
    <row r="595" spans="1:25" ht="12" customHeight="1">
      <c r="A595" s="219" t="n" cm="1">
        <f t="array" ref="A595">IFERROR(INDEX('03.Muestra'!$B$8:$B$42,SMALL(IF("Página Web"='03.Muestra'!$D$8:$D$42,ROW('03.Muestra'!$B$8:$B$42)-MIN(ROW('03.Muestra'!$D$8:$D$42))+1,""),ROW()-588)),"")</f>
        <v>1.0</v>
      </c>
      <c r="B595" s="114" t="str" cm="1">
        <f t="array" ref="B595">IFERROR(INDEX('03.Muestra'!$C$8:$C$42,SMALL(IF("Página Web"='03.Muestra'!$D$8:$D$42,ROW('03.Muestra'!$C$8:$C$42)-MIN(ROW('03.Muestra'!$D$8:$D$42))+1,""),ROW()-588)),"")</f>
        <v>Home - PortCastelló</v>
      </c>
      <c r="C595" s="114" t="str" cm="1">
        <f t="array" ref="C595">IFERROR(INDEX('03.Muestra'!$F$8:$F$42,SMALL(IF("Página Web"='03.Muestra'!$D$8:$D$42,ROW('03.Muestra'!$F$8:$F$42)-MIN(ROW('03.Muestra'!$D$8:$D$42))+1,""),ROW()-588)),"")</f>
        <v>https://www.portcastello.com/</v>
      </c>
      <c r="D595" s="130" t="s">
        <v>37</v>
      </c>
      <c r="E595" s="107" t="str">
        <f t="shared" si="30"/>
        <v/>
      </c>
      <c r="F595" s="19"/>
      <c r="G595" s="19"/>
      <c r="H595" s="19"/>
      <c r="I595" s="19"/>
      <c r="J595" s="19"/>
      <c r="K595" s="233"/>
      <c r="L595" s="19"/>
      <c r="M595" s="19"/>
      <c r="N595" s="19"/>
      <c r="O595" s="19"/>
      <c r="P595" s="19"/>
      <c r="Q595" s="19"/>
      <c r="R595" s="19"/>
      <c r="S595" s="19"/>
      <c r="T595" s="19"/>
      <c r="U595" s="19"/>
      <c r="V595" s="19"/>
      <c r="W595" s="19"/>
      <c r="X595" s="19"/>
      <c r="Y595" s="19"/>
    </row>
    <row r="596" spans="1:25" ht="12" customHeight="1">
      <c r="A596" s="219" t="n" cm="1">
        <f t="array" ref="A596">IFERROR(INDEX('03.Muestra'!$B$8:$B$42,SMALL(IF("Página Web"='03.Muestra'!$D$8:$D$42,ROW('03.Muestra'!$B$8:$B$42)-MIN(ROW('03.Muestra'!$D$8:$D$42))+1,""),ROW()-588)),"")</f>
        <v>1.0</v>
      </c>
      <c r="B596" s="114" t="str" cm="1">
        <f t="array" ref="B596">IFERROR(INDEX('03.Muestra'!$C$8:$C$42,SMALL(IF("Página Web"='03.Muestra'!$D$8:$D$42,ROW('03.Muestra'!$C$8:$C$42)-MIN(ROW('03.Muestra'!$D$8:$D$42))+1,""),ROW()-588)),"")</f>
        <v>Home - PortCastelló</v>
      </c>
      <c r="C596" s="114" t="str" cm="1">
        <f t="array" ref="C596">IFERROR(INDEX('03.Muestra'!$F$8:$F$42,SMALL(IF("Página Web"='03.Muestra'!$D$8:$D$42,ROW('03.Muestra'!$F$8:$F$42)-MIN(ROW('03.Muestra'!$D$8:$D$42))+1,""),ROW()-588)),"")</f>
        <v>https://www.portcastello.com/</v>
      </c>
      <c r="D596" s="130" t="s">
        <v>37</v>
      </c>
      <c r="E596" s="107" t="str">
        <f t="shared" si="30"/>
        <v/>
      </c>
      <c r="F596" s="19"/>
      <c r="G596" s="19"/>
      <c r="H596" s="19"/>
      <c r="I596" s="19"/>
      <c r="J596" s="19"/>
      <c r="K596" s="233"/>
      <c r="L596" s="19"/>
      <c r="M596" s="19"/>
      <c r="N596" s="19"/>
      <c r="O596" s="19"/>
      <c r="P596" s="19"/>
      <c r="Q596" s="19"/>
      <c r="R596" s="19"/>
      <c r="S596" s="19"/>
      <c r="T596" s="19"/>
      <c r="U596" s="19"/>
      <c r="V596" s="19"/>
      <c r="W596" s="19"/>
      <c r="X596" s="19"/>
      <c r="Y596" s="19"/>
    </row>
    <row r="597" spans="1:25" ht="12" customHeight="1">
      <c r="A597" s="219" t="n" cm="1">
        <f t="array" ref="A597">IFERROR(INDEX('03.Muestra'!$B$8:$B$42,SMALL(IF("Página Web"='03.Muestra'!$D$8:$D$42,ROW('03.Muestra'!$B$8:$B$42)-MIN(ROW('03.Muestra'!$D$8:$D$42))+1,""),ROW()-588)),"")</f>
        <v>1.0</v>
      </c>
      <c r="B597" s="114" t="str" cm="1">
        <f t="array" ref="B597">IFERROR(INDEX('03.Muestra'!$C$8:$C$42,SMALL(IF("Página Web"='03.Muestra'!$D$8:$D$42,ROW('03.Muestra'!$C$8:$C$42)-MIN(ROW('03.Muestra'!$D$8:$D$42))+1,""),ROW()-588)),"")</f>
        <v>Home - PortCastelló</v>
      </c>
      <c r="C597" s="114" t="str" cm="1">
        <f t="array" ref="C597">IFERROR(INDEX('03.Muestra'!$F$8:$F$42,SMALL(IF("Página Web"='03.Muestra'!$D$8:$D$42,ROW('03.Muestra'!$F$8:$F$42)-MIN(ROW('03.Muestra'!$D$8:$D$42))+1,""),ROW()-588)),"")</f>
        <v>https://www.portcastello.com/</v>
      </c>
      <c r="D597" s="130" t="s">
        <v>37</v>
      </c>
      <c r="E597" s="107" t="str">
        <f t="shared" si="30"/>
        <v/>
      </c>
      <c r="F597" s="19"/>
      <c r="G597" s="19"/>
      <c r="H597" s="19"/>
      <c r="I597" s="19"/>
      <c r="J597" s="19"/>
      <c r="K597" s="233"/>
      <c r="L597" s="19"/>
      <c r="M597" s="19"/>
      <c r="N597" s="19"/>
      <c r="O597" s="19"/>
      <c r="P597" s="19"/>
      <c r="Q597" s="19"/>
      <c r="R597" s="19"/>
      <c r="S597" s="19"/>
      <c r="T597" s="19"/>
      <c r="U597" s="19"/>
      <c r="V597" s="19"/>
      <c r="W597" s="19"/>
      <c r="X597" s="19"/>
      <c r="Y597" s="19"/>
    </row>
    <row r="598" spans="1:25" ht="12" customHeight="1">
      <c r="A598" s="219" t="n" cm="1">
        <f t="array" ref="A598">IFERROR(INDEX('03.Muestra'!$B$8:$B$42,SMALL(IF("Página Web"='03.Muestra'!$D$8:$D$42,ROW('03.Muestra'!$B$8:$B$42)-MIN(ROW('03.Muestra'!$D$8:$D$42))+1,""),ROW()-588)),"")</f>
        <v>1.0</v>
      </c>
      <c r="B598" s="114" t="str" cm="1">
        <f t="array" ref="B598">IFERROR(INDEX('03.Muestra'!$C$8:$C$42,SMALL(IF("Página Web"='03.Muestra'!$D$8:$D$42,ROW('03.Muestra'!$C$8:$C$42)-MIN(ROW('03.Muestra'!$D$8:$D$42))+1,""),ROW()-588)),"")</f>
        <v>Home - PortCastelló</v>
      </c>
      <c r="C598" s="114" t="str" cm="1">
        <f t="array" ref="C598">IFERROR(INDEX('03.Muestra'!$F$8:$F$42,SMALL(IF("Página Web"='03.Muestra'!$D$8:$D$42,ROW('03.Muestra'!$F$8:$F$42)-MIN(ROW('03.Muestra'!$D$8:$D$42))+1,""),ROW()-588)),"")</f>
        <v>https://www.portcastello.com/</v>
      </c>
      <c r="D598" s="130" t="s">
        <v>37</v>
      </c>
      <c r="E598" s="107" t="str">
        <f t="shared" si="30"/>
        <v/>
      </c>
      <c r="F598" s="19"/>
      <c r="G598" s="19"/>
      <c r="H598" s="19"/>
      <c r="I598" s="19"/>
      <c r="J598" s="19"/>
      <c r="K598" s="233"/>
      <c r="L598" s="19"/>
      <c r="M598" s="19"/>
      <c r="N598" s="19"/>
      <c r="O598" s="19"/>
      <c r="P598" s="19"/>
      <c r="Q598" s="19"/>
      <c r="R598" s="19"/>
      <c r="S598" s="19"/>
      <c r="T598" s="19"/>
      <c r="U598" s="19"/>
      <c r="V598" s="19"/>
      <c r="W598" s="19"/>
      <c r="X598" s="19"/>
      <c r="Y598" s="19"/>
    </row>
    <row r="599" spans="1:25" ht="12" customHeight="1">
      <c r="A599" s="219" t="n" cm="1">
        <f t="array" ref="A599">IFERROR(INDEX('03.Muestra'!$B$8:$B$42,SMALL(IF("Página Web"='03.Muestra'!$D$8:$D$42,ROW('03.Muestra'!$B$8:$B$42)-MIN(ROW('03.Muestra'!$D$8:$D$42))+1,""),ROW()-588)),"")</f>
        <v>1.0</v>
      </c>
      <c r="B599" s="114" t="str" cm="1">
        <f t="array" ref="B599">IFERROR(INDEX('03.Muestra'!$C$8:$C$42,SMALL(IF("Página Web"='03.Muestra'!$D$8:$D$42,ROW('03.Muestra'!$C$8:$C$42)-MIN(ROW('03.Muestra'!$D$8:$D$42))+1,""),ROW()-588)),"")</f>
        <v>Home - PortCastelló</v>
      </c>
      <c r="C599" s="114" t="str" cm="1">
        <f t="array" ref="C599">IFERROR(INDEX('03.Muestra'!$F$8:$F$42,SMALL(IF("Página Web"='03.Muestra'!$D$8:$D$42,ROW('03.Muestra'!$F$8:$F$42)-MIN(ROW('03.Muestra'!$D$8:$D$42))+1,""),ROW()-588)),"")</f>
        <v>https://www.portcastello.com/</v>
      </c>
      <c r="D599" s="130" t="s">
        <v>37</v>
      </c>
      <c r="E599" s="107" t="str">
        <f t="shared" si="30"/>
        <v/>
      </c>
      <c r="F599" s="19"/>
      <c r="G599" s="19"/>
      <c r="H599" s="19"/>
      <c r="I599" s="19"/>
      <c r="J599" s="19"/>
      <c r="K599" s="233"/>
      <c r="L599" s="19"/>
      <c r="M599" s="19"/>
      <c r="N599" s="19"/>
      <c r="O599" s="19"/>
      <c r="P599" s="19"/>
      <c r="Q599" s="19"/>
      <c r="R599" s="19"/>
      <c r="S599" s="19"/>
      <c r="T599" s="19"/>
      <c r="U599" s="19"/>
      <c r="V599" s="19"/>
      <c r="W599" s="19"/>
      <c r="X599" s="19"/>
      <c r="Y599" s="19"/>
    </row>
    <row r="600" spans="1:25" ht="12" customHeight="1">
      <c r="A600" s="219" t="n" cm="1">
        <f t="array" ref="A600">IFERROR(INDEX('03.Muestra'!$B$8:$B$42,SMALL(IF("Página Web"='03.Muestra'!$D$8:$D$42,ROW('03.Muestra'!$B$8:$B$42)-MIN(ROW('03.Muestra'!$D$8:$D$42))+1,""),ROW()-588)),"")</f>
        <v>1.0</v>
      </c>
      <c r="B600" s="114" t="str" cm="1">
        <f t="array" ref="B600">IFERROR(INDEX('03.Muestra'!$C$8:$C$42,SMALL(IF("Página Web"='03.Muestra'!$D$8:$D$42,ROW('03.Muestra'!$C$8:$C$42)-MIN(ROW('03.Muestra'!$D$8:$D$42))+1,""),ROW()-588)),"")</f>
        <v>Home - PortCastelló</v>
      </c>
      <c r="C600" s="114" t="str" cm="1">
        <f t="array" ref="C600">IFERROR(INDEX('03.Muestra'!$F$8:$F$42,SMALL(IF("Página Web"='03.Muestra'!$D$8:$D$42,ROW('03.Muestra'!$F$8:$F$42)-MIN(ROW('03.Muestra'!$D$8:$D$42))+1,""),ROW()-588)),"")</f>
        <v>https://www.portcastello.com/</v>
      </c>
      <c r="D600" s="130" t="s">
        <v>37</v>
      </c>
      <c r="E600" s="107" t="str">
        <f t="shared" si="30"/>
        <v/>
      </c>
      <c r="F600" s="19"/>
      <c r="G600" s="19"/>
      <c r="H600" s="19"/>
      <c r="I600" s="19"/>
      <c r="J600" s="19"/>
      <c r="K600" s="233"/>
      <c r="L600" s="19"/>
      <c r="M600" s="19"/>
      <c r="N600" s="19"/>
      <c r="O600" s="19"/>
      <c r="P600" s="19"/>
      <c r="Q600" s="19"/>
      <c r="R600" s="19"/>
      <c r="S600" s="19"/>
      <c r="T600" s="19"/>
      <c r="U600" s="19"/>
      <c r="V600" s="19"/>
      <c r="W600" s="19"/>
      <c r="X600" s="19"/>
      <c r="Y600" s="19"/>
    </row>
    <row r="601" spans="1:25" ht="12" customHeight="1">
      <c r="A601" s="219" t="n" cm="1">
        <f t="array" ref="A601">IFERROR(INDEX('03.Muestra'!$B$8:$B$42,SMALL(IF("Página Web"='03.Muestra'!$D$8:$D$42,ROW('03.Muestra'!$B$8:$B$42)-MIN(ROW('03.Muestra'!$D$8:$D$42))+1,""),ROW()-588)),"")</f>
        <v>1.0</v>
      </c>
      <c r="B601" s="114" t="str" cm="1">
        <f t="array" ref="B601">IFERROR(INDEX('03.Muestra'!$C$8:$C$42,SMALL(IF("Página Web"='03.Muestra'!$D$8:$D$42,ROW('03.Muestra'!$C$8:$C$42)-MIN(ROW('03.Muestra'!$D$8:$D$42))+1,""),ROW()-588)),"")</f>
        <v>Home - PortCastelló</v>
      </c>
      <c r="C601" s="114" t="str" cm="1">
        <f t="array" ref="C601">IFERROR(INDEX('03.Muestra'!$F$8:$F$42,SMALL(IF("Página Web"='03.Muestra'!$D$8:$D$42,ROW('03.Muestra'!$F$8:$F$42)-MIN(ROW('03.Muestra'!$D$8:$D$42))+1,""),ROW()-588)),"")</f>
        <v>https://www.portcastello.com/</v>
      </c>
      <c r="D601" s="130" t="s">
        <v>37</v>
      </c>
      <c r="E601" s="107" t="str">
        <f t="shared" si="30"/>
        <v/>
      </c>
      <c r="F601" s="19"/>
      <c r="G601" s="19"/>
      <c r="H601" s="19"/>
      <c r="I601" s="19"/>
      <c r="J601" s="19"/>
      <c r="K601" s="233"/>
      <c r="L601" s="19"/>
      <c r="M601" s="19"/>
      <c r="N601" s="19"/>
      <c r="O601" s="19"/>
      <c r="P601" s="19"/>
      <c r="Q601" s="19"/>
      <c r="R601" s="19"/>
      <c r="S601" s="19"/>
      <c r="T601" s="19"/>
      <c r="U601" s="19"/>
      <c r="V601" s="19"/>
      <c r="W601" s="19"/>
      <c r="X601" s="19"/>
      <c r="Y601" s="19"/>
    </row>
    <row r="602" spans="1:25" ht="12" customHeight="1">
      <c r="A602" s="219" t="n" cm="1">
        <f t="array" ref="A602">IFERROR(INDEX('03.Muestra'!$B$8:$B$42,SMALL(IF("Página Web"='03.Muestra'!$D$8:$D$42,ROW('03.Muestra'!$B$8:$B$42)-MIN(ROW('03.Muestra'!$D$8:$D$42))+1,""),ROW()-588)),"")</f>
        <v>1.0</v>
      </c>
      <c r="B602" s="114" t="str" cm="1">
        <f t="array" ref="B602">IFERROR(INDEX('03.Muestra'!$C$8:$C$42,SMALL(IF("Página Web"='03.Muestra'!$D$8:$D$42,ROW('03.Muestra'!$C$8:$C$42)-MIN(ROW('03.Muestra'!$D$8:$D$42))+1,""),ROW()-588)),"")</f>
        <v>Home - PortCastelló</v>
      </c>
      <c r="C602" s="114" t="str" cm="1">
        <f t="array" ref="C602">IFERROR(INDEX('03.Muestra'!$F$8:$F$42,SMALL(IF("Página Web"='03.Muestra'!$D$8:$D$42,ROW('03.Muestra'!$F$8:$F$42)-MIN(ROW('03.Muestra'!$D$8:$D$42))+1,""),ROW()-588)),"")</f>
        <v>https://www.portcastello.com/</v>
      </c>
      <c r="D602" s="130" t="s">
        <v>37</v>
      </c>
      <c r="E602" s="107" t="str">
        <f t="shared" si="30"/>
        <v/>
      </c>
      <c r="F602" s="19"/>
      <c r="G602" s="19"/>
      <c r="H602" s="19"/>
      <c r="I602" s="19"/>
      <c r="J602" s="19"/>
      <c r="K602" s="233"/>
      <c r="L602" s="19"/>
      <c r="M602" s="19"/>
      <c r="N602" s="19"/>
      <c r="O602" s="19"/>
      <c r="P602" s="19"/>
      <c r="Q602" s="19"/>
      <c r="R602" s="19"/>
      <c r="S602" s="19"/>
      <c r="T602" s="19"/>
      <c r="U602" s="19"/>
      <c r="V602" s="19"/>
      <c r="W602" s="19"/>
      <c r="X602" s="19"/>
      <c r="Y602" s="19"/>
    </row>
    <row r="603" spans="1:25" ht="12" customHeight="1">
      <c r="A603" s="219" t="n" cm="1">
        <f t="array" ref="A603">IFERROR(INDEX('03.Muestra'!$B$8:$B$42,SMALL(IF("Página Web"='03.Muestra'!$D$8:$D$42,ROW('03.Muestra'!$B$8:$B$42)-MIN(ROW('03.Muestra'!$D$8:$D$42))+1,""),ROW()-588)),"")</f>
        <v>1.0</v>
      </c>
      <c r="B603" s="114" t="str" cm="1">
        <f t="array" ref="B603">IFERROR(INDEX('03.Muestra'!$C$8:$C$42,SMALL(IF("Página Web"='03.Muestra'!$D$8:$D$42,ROW('03.Muestra'!$C$8:$C$42)-MIN(ROW('03.Muestra'!$D$8:$D$42))+1,""),ROW()-588)),"")</f>
        <v>Home - PortCastelló</v>
      </c>
      <c r="C603" s="114" t="str" cm="1">
        <f t="array" ref="C603">IFERROR(INDEX('03.Muestra'!$F$8:$F$42,SMALL(IF("Página Web"='03.Muestra'!$D$8:$D$42,ROW('03.Muestra'!$F$8:$F$42)-MIN(ROW('03.Muestra'!$D$8:$D$42))+1,""),ROW()-588)),"")</f>
        <v>https://www.portcastello.com/</v>
      </c>
      <c r="D603" s="130" t="s">
        <v>37</v>
      </c>
      <c r="E603" s="107" t="str">
        <f t="shared" si="30"/>
        <v/>
      </c>
      <c r="F603" s="19"/>
      <c r="G603" s="19"/>
      <c r="H603" s="19"/>
      <c r="I603" s="19"/>
      <c r="J603" s="19"/>
      <c r="K603" s="233"/>
      <c r="L603" s="19"/>
      <c r="M603" s="19"/>
      <c r="N603" s="19"/>
      <c r="O603" s="19"/>
      <c r="P603" s="19"/>
      <c r="Q603" s="19"/>
      <c r="R603" s="19"/>
      <c r="S603" s="19"/>
      <c r="T603" s="19"/>
      <c r="U603" s="19"/>
      <c r="V603" s="19"/>
      <c r="W603" s="19"/>
      <c r="X603" s="19"/>
      <c r="Y603" s="19"/>
    </row>
    <row r="604" spans="1:25" ht="12" customHeight="1">
      <c r="A604" s="219" t="n" cm="1">
        <f t="array" ref="A604">IFERROR(INDEX('03.Muestra'!$B$8:$B$42,SMALL(IF("Página Web"='03.Muestra'!$D$8:$D$42,ROW('03.Muestra'!$B$8:$B$42)-MIN(ROW('03.Muestra'!$D$8:$D$42))+1,""),ROW()-588)),"")</f>
        <v>1.0</v>
      </c>
      <c r="B604" s="114" t="str" cm="1">
        <f t="array" ref="B604">IFERROR(INDEX('03.Muestra'!$C$8:$C$42,SMALL(IF("Página Web"='03.Muestra'!$D$8:$D$42,ROW('03.Muestra'!$C$8:$C$42)-MIN(ROW('03.Muestra'!$D$8:$D$42))+1,""),ROW()-588)),"")</f>
        <v>Home - PortCastelló</v>
      </c>
      <c r="C604" s="114" t="str" cm="1">
        <f t="array" ref="C604">IFERROR(INDEX('03.Muestra'!$F$8:$F$42,SMALL(IF("Página Web"='03.Muestra'!$D$8:$D$42,ROW('03.Muestra'!$F$8:$F$42)-MIN(ROW('03.Muestra'!$D$8:$D$42))+1,""),ROW()-588)),"")</f>
        <v>https://www.portcastello.com/</v>
      </c>
      <c r="D604" s="130" t="s">
        <v>37</v>
      </c>
      <c r="E604" s="107" t="str">
        <f t="shared" si="30"/>
        <v/>
      </c>
      <c r="F604" s="19"/>
      <c r="G604" s="19"/>
      <c r="H604" s="19"/>
      <c r="I604" s="19"/>
      <c r="J604" s="19"/>
      <c r="K604" s="233"/>
      <c r="L604" s="19"/>
      <c r="M604" s="19"/>
      <c r="N604" s="19"/>
      <c r="O604" s="19"/>
      <c r="P604" s="19"/>
      <c r="Q604" s="19"/>
      <c r="R604" s="19"/>
      <c r="S604" s="19"/>
      <c r="T604" s="19"/>
      <c r="U604" s="19"/>
      <c r="V604" s="19"/>
      <c r="W604" s="19"/>
      <c r="X604" s="19"/>
      <c r="Y604" s="19"/>
    </row>
    <row r="605" spans="1:25" ht="12" customHeight="1">
      <c r="A605" s="219" t="n" cm="1">
        <f t="array" ref="A605">IFERROR(INDEX('03.Muestra'!$B$8:$B$42,SMALL(IF("Página Web"='03.Muestra'!$D$8:$D$42,ROW('03.Muestra'!$B$8:$B$42)-MIN(ROW('03.Muestra'!$D$8:$D$42))+1,""),ROW()-588)),"")</f>
        <v>1.0</v>
      </c>
      <c r="B605" s="114" t="str" cm="1">
        <f t="array" ref="B605">IFERROR(INDEX('03.Muestra'!$C$8:$C$42,SMALL(IF("Página Web"='03.Muestra'!$D$8:$D$42,ROW('03.Muestra'!$C$8:$C$42)-MIN(ROW('03.Muestra'!$D$8:$D$42))+1,""),ROW()-588)),"")</f>
        <v>Home - PortCastelló</v>
      </c>
      <c r="C605" s="114" t="str" cm="1">
        <f t="array" ref="C605">IFERROR(INDEX('03.Muestra'!$F$8:$F$42,SMALL(IF("Página Web"='03.Muestra'!$D$8:$D$42,ROW('03.Muestra'!$F$8:$F$42)-MIN(ROW('03.Muestra'!$D$8:$D$42))+1,""),ROW()-588)),"")</f>
        <v>https://www.portcastello.com/</v>
      </c>
      <c r="D605" s="130" t="s">
        <v>37</v>
      </c>
      <c r="E605" s="107" t="str">
        <f t="shared" si="30"/>
        <v/>
      </c>
      <c r="F605" s="19"/>
      <c r="G605" s="19"/>
      <c r="H605" s="19"/>
      <c r="I605" s="19"/>
      <c r="J605" s="19"/>
      <c r="K605" s="233"/>
      <c r="L605" s="19"/>
      <c r="M605" s="19"/>
      <c r="N605" s="19"/>
      <c r="O605" s="19"/>
      <c r="P605" s="19"/>
      <c r="Q605" s="19"/>
      <c r="R605" s="19"/>
      <c r="S605" s="19"/>
      <c r="T605" s="19"/>
      <c r="U605" s="19"/>
      <c r="V605" s="19"/>
      <c r="W605" s="19"/>
      <c r="X605" s="19"/>
      <c r="Y605" s="19"/>
    </row>
    <row r="606" spans="1:25" ht="12" customHeight="1">
      <c r="A606" s="219" t="n" cm="1">
        <f t="array" ref="A606">IFERROR(INDEX('03.Muestra'!$B$8:$B$42,SMALL(IF("Página Web"='03.Muestra'!$D$8:$D$42,ROW('03.Muestra'!$B$8:$B$42)-MIN(ROW('03.Muestra'!$D$8:$D$42))+1,""),ROW()-588)),"")</f>
        <v>1.0</v>
      </c>
      <c r="B606" s="114" t="str" cm="1">
        <f t="array" ref="B606">IFERROR(INDEX('03.Muestra'!$C$8:$C$42,SMALL(IF("Página Web"='03.Muestra'!$D$8:$D$42,ROW('03.Muestra'!$C$8:$C$42)-MIN(ROW('03.Muestra'!$D$8:$D$42))+1,""),ROW()-588)),"")</f>
        <v>Home - PortCastelló</v>
      </c>
      <c r="C606" s="114" t="str" cm="1">
        <f t="array" ref="C606">IFERROR(INDEX('03.Muestra'!$F$8:$F$42,SMALL(IF("Página Web"='03.Muestra'!$D$8:$D$42,ROW('03.Muestra'!$F$8:$F$42)-MIN(ROW('03.Muestra'!$D$8:$D$42))+1,""),ROW()-588)),"")</f>
        <v>https://www.portcastello.com/</v>
      </c>
      <c r="D606" s="130" t="s">
        <v>37</v>
      </c>
      <c r="E606" s="107" t="str">
        <f t="shared" si="30"/>
        <v/>
      </c>
      <c r="F606" s="19"/>
      <c r="G606" s="19"/>
      <c r="H606" s="19"/>
      <c r="I606" s="19"/>
      <c r="J606" s="19"/>
      <c r="K606" s="233"/>
      <c r="L606" s="19"/>
      <c r="M606" s="19"/>
      <c r="N606" s="19"/>
      <c r="O606" s="19"/>
      <c r="P606" s="19"/>
      <c r="Q606" s="19"/>
      <c r="R606" s="19"/>
      <c r="S606" s="19"/>
      <c r="T606" s="19"/>
      <c r="U606" s="19"/>
      <c r="V606" s="19"/>
      <c r="W606" s="19"/>
      <c r="X606" s="19"/>
      <c r="Y606" s="19"/>
    </row>
    <row r="607" spans="1:25" ht="12" customHeight="1">
      <c r="A607" s="219" t="n" cm="1">
        <f t="array" ref="A607">IFERROR(INDEX('03.Muestra'!$B$8:$B$42,SMALL(IF("Página Web"='03.Muestra'!$D$8:$D$42,ROW('03.Muestra'!$B$8:$B$42)-MIN(ROW('03.Muestra'!$D$8:$D$42))+1,""),ROW()-588)),"")</f>
        <v>1.0</v>
      </c>
      <c r="B607" s="114" t="str" cm="1">
        <f t="array" ref="B607">IFERROR(INDEX('03.Muestra'!$C$8:$C$42,SMALL(IF("Página Web"='03.Muestra'!$D$8:$D$42,ROW('03.Muestra'!$C$8:$C$42)-MIN(ROW('03.Muestra'!$D$8:$D$42))+1,""),ROW()-588)),"")</f>
        <v>Home - PortCastelló</v>
      </c>
      <c r="C607" s="114" t="str" cm="1">
        <f t="array" ref="C607">IFERROR(INDEX('03.Muestra'!$F$8:$F$42,SMALL(IF("Página Web"='03.Muestra'!$D$8:$D$42,ROW('03.Muestra'!$F$8:$F$42)-MIN(ROW('03.Muestra'!$D$8:$D$42))+1,""),ROW()-588)),"")</f>
        <v>https://www.portcastello.com/</v>
      </c>
      <c r="D607" s="130" t="s">
        <v>37</v>
      </c>
      <c r="E607" s="107" t="str">
        <f t="shared" si="30"/>
        <v/>
      </c>
      <c r="F607" s="19"/>
      <c r="G607" s="19"/>
      <c r="H607" s="19"/>
      <c r="I607" s="19"/>
      <c r="J607" s="19"/>
      <c r="K607" s="233"/>
      <c r="L607" s="19"/>
      <c r="M607" s="19"/>
      <c r="N607" s="19"/>
      <c r="O607" s="19"/>
      <c r="P607" s="19"/>
      <c r="Q607" s="19"/>
      <c r="R607" s="19"/>
      <c r="S607" s="19"/>
      <c r="T607" s="19"/>
      <c r="U607" s="19"/>
      <c r="V607" s="19"/>
      <c r="W607" s="19"/>
      <c r="X607" s="19"/>
      <c r="Y607" s="19"/>
    </row>
    <row r="608" spans="1:25" ht="12" customHeight="1">
      <c r="A608" s="219" t="n" cm="1">
        <f t="array" ref="A608">IFERROR(INDEX('03.Muestra'!$B$8:$B$42,SMALL(IF("Página Web"='03.Muestra'!$D$8:$D$42,ROW('03.Muestra'!$B$8:$B$42)-MIN(ROW('03.Muestra'!$D$8:$D$42))+1,""),ROW()-588)),"")</f>
        <v>1.0</v>
      </c>
      <c r="B608" s="114" t="str" cm="1">
        <f t="array" ref="B608">IFERROR(INDEX('03.Muestra'!$C$8:$C$42,SMALL(IF("Página Web"='03.Muestra'!$D$8:$D$42,ROW('03.Muestra'!$C$8:$C$42)-MIN(ROW('03.Muestra'!$D$8:$D$42))+1,""),ROW()-588)),"")</f>
        <v>Home - PortCastelló</v>
      </c>
      <c r="C608" s="114" t="str" cm="1">
        <f t="array" ref="C608">IFERROR(INDEX('03.Muestra'!$F$8:$F$42,SMALL(IF("Página Web"='03.Muestra'!$D$8:$D$42,ROW('03.Muestra'!$F$8:$F$42)-MIN(ROW('03.Muestra'!$D$8:$D$42))+1,""),ROW()-588)),"")</f>
        <v>https://www.portcastello.com/</v>
      </c>
      <c r="D608" s="130" t="s">
        <v>37</v>
      </c>
      <c r="E608" s="107" t="str">
        <f t="shared" si="30"/>
        <v/>
      </c>
      <c r="F608" s="19"/>
      <c r="G608" s="19"/>
      <c r="H608" s="19"/>
      <c r="I608" s="19"/>
      <c r="J608" s="19"/>
      <c r="K608" s="233"/>
      <c r="L608" s="19"/>
      <c r="M608" s="19"/>
      <c r="N608" s="19"/>
      <c r="O608" s="19"/>
      <c r="P608" s="19"/>
      <c r="Q608" s="19"/>
      <c r="R608" s="19"/>
      <c r="S608" s="19"/>
      <c r="T608" s="19"/>
      <c r="U608" s="19"/>
      <c r="V608" s="19"/>
      <c r="W608" s="19"/>
      <c r="X608" s="19"/>
      <c r="Y608" s="19"/>
    </row>
    <row r="609" spans="1:25" ht="12" customHeight="1">
      <c r="A609" s="219" t="n" cm="1">
        <f t="array" ref="A609">IFERROR(INDEX('03.Muestra'!$B$8:$B$42,SMALL(IF("Página Web"='03.Muestra'!$D$8:$D$42,ROW('03.Muestra'!$B$8:$B$42)-MIN(ROW('03.Muestra'!$D$8:$D$42))+1,""),ROW()-588)),"")</f>
        <v>1.0</v>
      </c>
      <c r="B609" s="114" t="str" cm="1">
        <f t="array" ref="B609">IFERROR(INDEX('03.Muestra'!$C$8:$C$42,SMALL(IF("Página Web"='03.Muestra'!$D$8:$D$42,ROW('03.Muestra'!$C$8:$C$42)-MIN(ROW('03.Muestra'!$D$8:$D$42))+1,""),ROW()-588)),"")</f>
        <v>Home - PortCastelló</v>
      </c>
      <c r="C609" s="114" t="str" cm="1">
        <f t="array" ref="C609">IFERROR(INDEX('03.Muestra'!$F$8:$F$42,SMALL(IF("Página Web"='03.Muestra'!$D$8:$D$42,ROW('03.Muestra'!$F$8:$F$42)-MIN(ROW('03.Muestra'!$D$8:$D$42))+1,""),ROW()-588)),"")</f>
        <v>https://www.portcastello.com/</v>
      </c>
      <c r="D609" s="130" t="s">
        <v>37</v>
      </c>
      <c r="E609" s="107" t="str">
        <f t="shared" si="30"/>
        <v/>
      </c>
      <c r="F609" s="19"/>
      <c r="G609" s="19"/>
      <c r="H609" s="19"/>
      <c r="I609" s="19"/>
      <c r="J609" s="19"/>
      <c r="K609" s="233"/>
      <c r="L609" s="19"/>
      <c r="M609" s="19"/>
      <c r="N609" s="19"/>
      <c r="O609" s="19"/>
      <c r="P609" s="19"/>
      <c r="Q609" s="19"/>
      <c r="R609" s="19"/>
      <c r="S609" s="19"/>
      <c r="T609" s="19"/>
      <c r="U609" s="19"/>
      <c r="V609" s="19"/>
      <c r="W609" s="19"/>
      <c r="X609" s="19"/>
      <c r="Y609" s="19"/>
    </row>
    <row r="610" spans="1:25" ht="12" customHeight="1">
      <c r="A610" s="219" t="n" cm="1">
        <f t="array" ref="A610">IFERROR(INDEX('03.Muestra'!$B$8:$B$42,SMALL(IF("Página Web"='03.Muestra'!$D$8:$D$42,ROW('03.Muestra'!$B$8:$B$42)-MIN(ROW('03.Muestra'!$D$8:$D$42))+1,""),ROW()-588)),"")</f>
        <v>1.0</v>
      </c>
      <c r="B610" s="114" t="str" cm="1">
        <f t="array" ref="B610">IFERROR(INDEX('03.Muestra'!$C$8:$C$42,SMALL(IF("Página Web"='03.Muestra'!$D$8:$D$42,ROW('03.Muestra'!$C$8:$C$42)-MIN(ROW('03.Muestra'!$D$8:$D$42))+1,""),ROW()-588)),"")</f>
        <v>Home - PortCastelló</v>
      </c>
      <c r="C610" s="114" t="str" cm="1">
        <f t="array" ref="C610">IFERROR(INDEX('03.Muestra'!$F$8:$F$42,SMALL(IF("Página Web"='03.Muestra'!$D$8:$D$42,ROW('03.Muestra'!$F$8:$F$42)-MIN(ROW('03.Muestra'!$D$8:$D$42))+1,""),ROW()-588)),"")</f>
        <v>https://www.portcastello.com/</v>
      </c>
      <c r="D610" s="130" t="s">
        <v>37</v>
      </c>
      <c r="E610" s="107" t="str">
        <f t="shared" si="30"/>
        <v/>
      </c>
      <c r="F610" s="19"/>
      <c r="G610" s="19"/>
      <c r="H610" s="19"/>
      <c r="I610" s="19"/>
      <c r="J610" s="19"/>
      <c r="K610" s="233"/>
      <c r="L610" s="19"/>
      <c r="M610" s="19"/>
      <c r="N610" s="19"/>
      <c r="O610" s="19"/>
      <c r="P610" s="19"/>
      <c r="Q610" s="19"/>
      <c r="R610" s="19"/>
      <c r="S610" s="19"/>
      <c r="T610" s="19"/>
      <c r="U610" s="19"/>
      <c r="V610" s="19"/>
      <c r="W610" s="19"/>
      <c r="X610" s="19"/>
      <c r="Y610" s="19"/>
    </row>
    <row r="611" spans="1:25" ht="12" customHeight="1">
      <c r="A611" s="219" t="n" cm="1">
        <f t="array" ref="A611">IFERROR(INDEX('03.Muestra'!$B$8:$B$42,SMALL(IF("Página Web"='03.Muestra'!$D$8:$D$42,ROW('03.Muestra'!$B$8:$B$42)-MIN(ROW('03.Muestra'!$D$8:$D$42))+1,""),ROW()-588)),"")</f>
        <v>1.0</v>
      </c>
      <c r="B611" s="114" t="str" cm="1">
        <f t="array" ref="B611">IFERROR(INDEX('03.Muestra'!$C$8:$C$42,SMALL(IF("Página Web"='03.Muestra'!$D$8:$D$42,ROW('03.Muestra'!$C$8:$C$42)-MIN(ROW('03.Muestra'!$D$8:$D$42))+1,""),ROW()-588)),"")</f>
        <v>Home - PortCastelló</v>
      </c>
      <c r="C611" s="114" t="str" cm="1">
        <f t="array" ref="C611">IFERROR(INDEX('03.Muestra'!$F$8:$F$42,SMALL(IF("Página Web"='03.Muestra'!$D$8:$D$42,ROW('03.Muestra'!$F$8:$F$42)-MIN(ROW('03.Muestra'!$D$8:$D$42))+1,""),ROW()-588)),"")</f>
        <v>https://www.portcastello.com/</v>
      </c>
      <c r="D611" s="130" t="s">
        <v>37</v>
      </c>
      <c r="E611" s="107" t="str">
        <f t="shared" si="30"/>
        <v/>
      </c>
      <c r="F611" s="19"/>
      <c r="G611" s="19"/>
      <c r="H611" s="19"/>
      <c r="I611" s="19"/>
      <c r="J611" s="19"/>
      <c r="K611" s="233"/>
      <c r="L611" s="19"/>
      <c r="M611" s="19"/>
      <c r="N611" s="19"/>
      <c r="O611" s="19"/>
      <c r="P611" s="19"/>
      <c r="Q611" s="19"/>
      <c r="R611" s="19"/>
      <c r="S611" s="19"/>
      <c r="T611" s="19"/>
      <c r="U611" s="19"/>
      <c r="V611" s="19"/>
      <c r="W611" s="19"/>
      <c r="X611" s="19"/>
      <c r="Y611" s="19"/>
    </row>
    <row r="612" spans="1:25" ht="12" customHeight="1">
      <c r="A612" s="219" t="n" cm="1">
        <f t="array" ref="A612">IFERROR(INDEX('03.Muestra'!$B$8:$B$42,SMALL(IF("Página Web"='03.Muestra'!$D$8:$D$42,ROW('03.Muestra'!$B$8:$B$42)-MIN(ROW('03.Muestra'!$D$8:$D$42))+1,""),ROW()-588)),"")</f>
        <v>1.0</v>
      </c>
      <c r="B612" s="114" t="str" cm="1">
        <f t="array" ref="B612">IFERROR(INDEX('03.Muestra'!$C$8:$C$42,SMALL(IF("Página Web"='03.Muestra'!$D$8:$D$42,ROW('03.Muestra'!$C$8:$C$42)-MIN(ROW('03.Muestra'!$D$8:$D$42))+1,""),ROW()-588)),"")</f>
        <v>Home - PortCastelló</v>
      </c>
      <c r="C612" s="114" t="str" cm="1">
        <f t="array" ref="C612">IFERROR(INDEX('03.Muestra'!$F$8:$F$42,SMALL(IF("Página Web"='03.Muestra'!$D$8:$D$42,ROW('03.Muestra'!$F$8:$F$42)-MIN(ROW('03.Muestra'!$D$8:$D$42))+1,""),ROW()-588)),"")</f>
        <v>https://www.portcastello.com/</v>
      </c>
      <c r="D612" s="130" t="s">
        <v>37</v>
      </c>
      <c r="E612" s="107" t="str">
        <f t="shared" si="30"/>
        <v/>
      </c>
      <c r="F612" s="19"/>
      <c r="G612" s="19"/>
      <c r="H612" s="19"/>
      <c r="I612" s="19"/>
      <c r="J612" s="19"/>
      <c r="K612" s="233"/>
      <c r="L612" s="19"/>
      <c r="M612" s="19"/>
      <c r="N612" s="19"/>
      <c r="O612" s="19"/>
      <c r="P612" s="19"/>
      <c r="Q612" s="19"/>
      <c r="R612" s="19"/>
      <c r="S612" s="19"/>
      <c r="T612" s="19"/>
      <c r="U612" s="19"/>
      <c r="V612" s="19"/>
      <c r="W612" s="19"/>
      <c r="X612" s="19"/>
      <c r="Y612" s="19"/>
    </row>
    <row r="613" spans="1:25" ht="12" customHeight="1">
      <c r="A613" s="219" t="n" cm="1">
        <f t="array" ref="A613">IFERROR(INDEX('03.Muestra'!$B$8:$B$42,SMALL(IF("Página Web"='03.Muestra'!$D$8:$D$42,ROW('03.Muestra'!$B$8:$B$42)-MIN(ROW('03.Muestra'!$D$8:$D$42))+1,""),ROW()-588)),"")</f>
        <v>1.0</v>
      </c>
      <c r="B613" s="114" t="str" cm="1">
        <f t="array" ref="B613">IFERROR(INDEX('03.Muestra'!$C$8:$C$42,SMALL(IF("Página Web"='03.Muestra'!$D$8:$D$42,ROW('03.Muestra'!$C$8:$C$42)-MIN(ROW('03.Muestra'!$D$8:$D$42))+1,""),ROW()-588)),"")</f>
        <v>Home - PortCastelló</v>
      </c>
      <c r="C613" s="114" t="str" cm="1">
        <f t="array" ref="C613">IFERROR(INDEX('03.Muestra'!$F$8:$F$42,SMALL(IF("Página Web"='03.Muestra'!$D$8:$D$42,ROW('03.Muestra'!$F$8:$F$42)-MIN(ROW('03.Muestra'!$D$8:$D$42))+1,""),ROW()-588)),"")</f>
        <v>https://www.portcastello.com/</v>
      </c>
      <c r="D613" s="130" t="s">
        <v>37</v>
      </c>
      <c r="E613" s="107" t="str">
        <f t="shared" si="30"/>
        <v/>
      </c>
      <c r="F613" s="19"/>
      <c r="G613" s="19"/>
      <c r="H613" s="19"/>
      <c r="I613" s="19"/>
      <c r="J613" s="19"/>
      <c r="K613" s="233"/>
      <c r="L613" s="19"/>
      <c r="M613" s="19"/>
      <c r="N613" s="19"/>
      <c r="O613" s="19"/>
      <c r="P613" s="19"/>
      <c r="Q613" s="19"/>
      <c r="R613" s="19"/>
      <c r="S613" s="19"/>
      <c r="T613" s="19"/>
      <c r="U613" s="19"/>
      <c r="V613" s="19"/>
      <c r="W613" s="19"/>
      <c r="X613" s="19"/>
      <c r="Y613" s="19"/>
    </row>
    <row r="614" spans="1:25" ht="12" customHeight="1">
      <c r="A614" s="219" t="n" cm="1">
        <f t="array" ref="A614">IFERROR(INDEX('03.Muestra'!$B$8:$B$42,SMALL(IF("Página Web"='03.Muestra'!$D$8:$D$42,ROW('03.Muestra'!$B$8:$B$42)-MIN(ROW('03.Muestra'!$D$8:$D$42))+1,""),ROW()-588)),"")</f>
        <v>1.0</v>
      </c>
      <c r="B614" s="114" t="str" cm="1">
        <f t="array" ref="B614">IFERROR(INDEX('03.Muestra'!$C$8:$C$42,SMALL(IF("Página Web"='03.Muestra'!$D$8:$D$42,ROW('03.Muestra'!$C$8:$C$42)-MIN(ROW('03.Muestra'!$D$8:$D$42))+1,""),ROW()-588)),"")</f>
        <v>Home - PortCastelló</v>
      </c>
      <c r="C614" s="114" t="str" cm="1">
        <f t="array" ref="C614">IFERROR(INDEX('03.Muestra'!$F$8:$F$42,SMALL(IF("Página Web"='03.Muestra'!$D$8:$D$42,ROW('03.Muestra'!$F$8:$F$42)-MIN(ROW('03.Muestra'!$D$8:$D$42))+1,""),ROW()-588)),"")</f>
        <v>https://www.portcastello.com/</v>
      </c>
      <c r="D614" s="130" t="s">
        <v>37</v>
      </c>
      <c r="E614" s="107" t="str">
        <f t="shared" si="30"/>
        <v/>
      </c>
      <c r="F614" s="19"/>
      <c r="G614" s="19"/>
      <c r="H614" s="19"/>
      <c r="I614" s="19"/>
      <c r="J614" s="19"/>
      <c r="K614" s="233"/>
      <c r="L614" s="19"/>
      <c r="M614" s="19"/>
      <c r="N614" s="19"/>
      <c r="O614" s="19"/>
      <c r="P614" s="19"/>
      <c r="Q614" s="19"/>
      <c r="R614" s="19"/>
      <c r="S614" s="19"/>
      <c r="T614" s="19"/>
      <c r="U614" s="19"/>
      <c r="V614" s="19"/>
      <c r="W614" s="19"/>
      <c r="X614" s="19"/>
      <c r="Y614" s="19"/>
    </row>
    <row r="615" spans="1:25" ht="12" customHeight="1">
      <c r="A615" s="219" t="n" cm="1">
        <f t="array" ref="A615">IFERROR(INDEX('03.Muestra'!$B$8:$B$42,SMALL(IF("Página Web"='03.Muestra'!$D$8:$D$42,ROW('03.Muestra'!$B$8:$B$42)-MIN(ROW('03.Muestra'!$D$8:$D$42))+1,""),ROW()-588)),"")</f>
        <v>1.0</v>
      </c>
      <c r="B615" s="114" t="str" cm="1">
        <f t="array" ref="B615">IFERROR(INDEX('03.Muestra'!$C$8:$C$42,SMALL(IF("Página Web"='03.Muestra'!$D$8:$D$42,ROW('03.Muestra'!$C$8:$C$42)-MIN(ROW('03.Muestra'!$D$8:$D$42))+1,""),ROW()-588)),"")</f>
        <v>Home - PortCastelló</v>
      </c>
      <c r="C615" s="114" t="str" cm="1">
        <f t="array" ref="C615">IFERROR(INDEX('03.Muestra'!$F$8:$F$42,SMALL(IF("Página Web"='03.Muestra'!$D$8:$D$42,ROW('03.Muestra'!$F$8:$F$42)-MIN(ROW('03.Muestra'!$D$8:$D$42))+1,""),ROW()-588)),"")</f>
        <v>https://www.portcastello.com/</v>
      </c>
      <c r="D615" s="130" t="s">
        <v>37</v>
      </c>
      <c r="E615" s="107" t="str">
        <f t="shared" si="30"/>
        <v/>
      </c>
      <c r="F615" s="19"/>
      <c r="G615" s="19"/>
      <c r="H615" s="19"/>
      <c r="I615" s="19"/>
      <c r="J615" s="19"/>
      <c r="K615" s="233"/>
      <c r="L615" s="19"/>
      <c r="M615" s="19"/>
      <c r="N615" s="19"/>
      <c r="O615" s="19"/>
      <c r="P615" s="19"/>
      <c r="Q615" s="19"/>
      <c r="R615" s="19"/>
      <c r="S615" s="19"/>
      <c r="T615" s="19"/>
      <c r="U615" s="19"/>
      <c r="V615" s="19"/>
      <c r="W615" s="19"/>
      <c r="X615" s="19"/>
      <c r="Y615" s="19"/>
    </row>
    <row r="616" spans="1:25" ht="12" customHeight="1">
      <c r="A616" s="219" t="n" cm="1">
        <f t="array" ref="A616">IFERROR(INDEX('03.Muestra'!$B$8:$B$42,SMALL(IF("Página Web"='03.Muestra'!$D$8:$D$42,ROW('03.Muestra'!$B$8:$B$42)-MIN(ROW('03.Muestra'!$D$8:$D$42))+1,""),ROW()-588)),"")</f>
        <v>1.0</v>
      </c>
      <c r="B616" s="114" t="str" cm="1">
        <f t="array" ref="B616">IFERROR(INDEX('03.Muestra'!$C$8:$C$42,SMALL(IF("Página Web"='03.Muestra'!$D$8:$D$42,ROW('03.Muestra'!$C$8:$C$42)-MIN(ROW('03.Muestra'!$D$8:$D$42))+1,""),ROW()-588)),"")</f>
        <v>Home - PortCastelló</v>
      </c>
      <c r="C616" s="114" t="str" cm="1">
        <f t="array" ref="C616">IFERROR(INDEX('03.Muestra'!$F$8:$F$42,SMALL(IF("Página Web"='03.Muestra'!$D$8:$D$42,ROW('03.Muestra'!$F$8:$F$42)-MIN(ROW('03.Muestra'!$D$8:$D$42))+1,""),ROW()-588)),"")</f>
        <v>https://www.portcastello.com/</v>
      </c>
      <c r="D616" s="130" t="s">
        <v>37</v>
      </c>
      <c r="E616" s="107" t="str">
        <f t="shared" si="30"/>
        <v/>
      </c>
      <c r="G616" s="19"/>
      <c r="H616" s="19"/>
      <c r="I616" s="19"/>
      <c r="J616" s="19"/>
      <c r="K616" s="233"/>
      <c r="L616" s="19"/>
      <c r="M616" s="19"/>
      <c r="N616" s="19"/>
      <c r="O616" s="19"/>
      <c r="P616" s="19"/>
      <c r="Q616" s="19"/>
      <c r="R616" s="19"/>
      <c r="S616" s="19"/>
      <c r="T616" s="19"/>
      <c r="U616" s="19"/>
      <c r="V616" s="19"/>
      <c r="W616" s="19"/>
      <c r="X616" s="19"/>
      <c r="Y616" s="19"/>
    </row>
    <row r="617" spans="1:25" ht="12" customHeight="1">
      <c r="A617" s="219" t="n" cm="1">
        <f t="array" ref="A617">IFERROR(INDEX('03.Muestra'!$B$8:$B$42,SMALL(IF("Página Web"='03.Muestra'!$D$8:$D$42,ROW('03.Muestra'!$B$8:$B$42)-MIN(ROW('03.Muestra'!$D$8:$D$42))+1,""),ROW()-588)),"")</f>
        <v>1.0</v>
      </c>
      <c r="B617" s="114" t="str" cm="1">
        <f t="array" ref="B617">IFERROR(INDEX('03.Muestra'!$C$8:$C$42,SMALL(IF("Página Web"='03.Muestra'!$D$8:$D$42,ROW('03.Muestra'!$C$8:$C$42)-MIN(ROW('03.Muestra'!$D$8:$D$42))+1,""),ROW()-588)),"")</f>
        <v>Home - PortCastelló</v>
      </c>
      <c r="C617" s="114" t="str" cm="1">
        <f t="array" ref="C617">IFERROR(INDEX('03.Muestra'!$F$8:$F$42,SMALL(IF("Página Web"='03.Muestra'!$D$8:$D$42,ROW('03.Muestra'!$F$8:$F$42)-MIN(ROW('03.Muestra'!$D$8:$D$42))+1,""),ROW()-588)),"")</f>
        <v>https://www.portcastello.com/</v>
      </c>
      <c r="D617" s="130" t="s">
        <v>37</v>
      </c>
      <c r="E617" s="107" t="str">
        <f t="shared" si="30"/>
        <v/>
      </c>
      <c r="F617" s="124"/>
      <c r="G617" s="19"/>
      <c r="H617" s="19"/>
      <c r="I617" s="19"/>
      <c r="J617" s="19"/>
      <c r="K617" s="233"/>
      <c r="L617" s="19"/>
      <c r="M617" s="19"/>
      <c r="N617" s="19"/>
      <c r="O617" s="19"/>
      <c r="P617" s="19"/>
      <c r="Q617" s="19"/>
      <c r="R617" s="19"/>
      <c r="S617" s="19"/>
      <c r="T617" s="19"/>
      <c r="U617" s="19"/>
      <c r="V617" s="19"/>
      <c r="W617" s="19"/>
      <c r="X617" s="19"/>
      <c r="Y617" s="19"/>
    </row>
    <row r="618" spans="1:25" ht="12" customHeight="1">
      <c r="A618" s="219" t="n" cm="1">
        <f t="array" ref="A618">IFERROR(INDEX('03.Muestra'!$B$8:$B$42,SMALL(IF("Página Web"='03.Muestra'!$D$8:$D$42,ROW('03.Muestra'!$B$8:$B$42)-MIN(ROW('03.Muestra'!$D$8:$D$42))+1,""),ROW()-588)),"")</f>
        <v>1.0</v>
      </c>
      <c r="B618" s="114" t="str" cm="1">
        <f t="array" ref="B618">IFERROR(INDEX('03.Muestra'!$C$8:$C$42,SMALL(IF("Página Web"='03.Muestra'!$D$8:$D$42,ROW('03.Muestra'!$C$8:$C$42)-MIN(ROW('03.Muestra'!$D$8:$D$42))+1,""),ROW()-588)),"")</f>
        <v>Home - PortCastelló</v>
      </c>
      <c r="C618" s="114" t="str" cm="1">
        <f t="array" ref="C618">IFERROR(INDEX('03.Muestra'!$F$8:$F$42,SMALL(IF("Página Web"='03.Muestra'!$D$8:$D$42,ROW('03.Muestra'!$F$8:$F$42)-MIN(ROW('03.Muestra'!$D$8:$D$42))+1,""),ROW()-588)),"")</f>
        <v>https://www.portcastello.com/</v>
      </c>
      <c r="D618" s="130" t="s">
        <v>37</v>
      </c>
      <c r="E618" s="107" t="str">
        <f t="shared" si="30"/>
        <v/>
      </c>
      <c r="F618" s="124"/>
      <c r="G618" s="19"/>
      <c r="H618" s="19"/>
      <c r="I618" s="19"/>
      <c r="J618" s="19"/>
      <c r="K618" s="233"/>
      <c r="L618" s="19"/>
      <c r="M618" s="19"/>
      <c r="N618" s="19"/>
      <c r="O618" s="19"/>
      <c r="P618" s="19"/>
      <c r="Q618" s="19"/>
      <c r="R618" s="19"/>
      <c r="S618" s="19"/>
      <c r="T618" s="19"/>
      <c r="U618" s="19"/>
      <c r="V618" s="19"/>
      <c r="W618" s="19"/>
      <c r="X618" s="19"/>
      <c r="Y618" s="19"/>
    </row>
    <row r="619" spans="1:25" ht="12" customHeight="1">
      <c r="A619" s="219" t="n" cm="1">
        <f t="array" ref="A619">IFERROR(INDEX('03.Muestra'!$B$8:$B$42,SMALL(IF("Página Web"='03.Muestra'!$D$8:$D$42,ROW('03.Muestra'!$B$8:$B$42)-MIN(ROW('03.Muestra'!$D$8:$D$42))+1,""),ROW()-588)),"")</f>
        <v>1.0</v>
      </c>
      <c r="B619" s="114" t="str" cm="1">
        <f t="array" ref="B619">IFERROR(INDEX('03.Muestra'!$C$8:$C$42,SMALL(IF("Página Web"='03.Muestra'!$D$8:$D$42,ROW('03.Muestra'!$C$8:$C$42)-MIN(ROW('03.Muestra'!$D$8:$D$42))+1,""),ROW()-588)),"")</f>
        <v>Home - PortCastelló</v>
      </c>
      <c r="C619" s="114" t="str" cm="1">
        <f t="array" ref="C619">IFERROR(INDEX('03.Muestra'!$F$8:$F$42,SMALL(IF("Página Web"='03.Muestra'!$D$8:$D$42,ROW('03.Muestra'!$F$8:$F$42)-MIN(ROW('03.Muestra'!$D$8:$D$42))+1,""),ROW()-588)),"")</f>
        <v>https://www.portcastello.com/</v>
      </c>
      <c r="D619" s="130" t="s">
        <v>37</v>
      </c>
      <c r="E619" s="107" t="str">
        <f t="shared" si="30"/>
        <v/>
      </c>
      <c r="F619" s="124"/>
      <c r="G619" s="19"/>
      <c r="H619" s="19"/>
      <c r="I619" s="19"/>
      <c r="J619" s="19"/>
      <c r="K619" s="233"/>
      <c r="L619" s="19"/>
      <c r="M619" s="19"/>
      <c r="N619" s="19"/>
      <c r="O619" s="19"/>
      <c r="P619" s="19"/>
      <c r="Q619" s="19"/>
      <c r="R619" s="19"/>
      <c r="S619" s="19"/>
      <c r="T619" s="19"/>
      <c r="U619" s="19"/>
      <c r="V619" s="19"/>
      <c r="W619" s="19"/>
      <c r="X619" s="19"/>
      <c r="Y619" s="19"/>
    </row>
    <row r="620" spans="1:25" ht="12" customHeight="1">
      <c r="A620" s="219" t="n" cm="1">
        <f t="array" ref="A620">IFERROR(INDEX('03.Muestra'!$B$8:$B$42,SMALL(IF("Página Web"='03.Muestra'!$D$8:$D$42,ROW('03.Muestra'!$B$8:$B$42)-MIN(ROW('03.Muestra'!$D$8:$D$42))+1,""),ROW()-588)),"")</f>
        <v>1.0</v>
      </c>
      <c r="B620" s="114" t="str" cm="1">
        <f t="array" ref="B620">IFERROR(INDEX('03.Muestra'!$C$8:$C$42,SMALL(IF("Página Web"='03.Muestra'!$D$8:$D$42,ROW('03.Muestra'!$C$8:$C$42)-MIN(ROW('03.Muestra'!$D$8:$D$42))+1,""),ROW()-588)),"")</f>
        <v>Home - PortCastelló</v>
      </c>
      <c r="C620" s="114" t="str" cm="1">
        <f t="array" ref="C620">IFERROR(INDEX('03.Muestra'!$F$8:$F$42,SMALL(IF("Página Web"='03.Muestra'!$D$8:$D$42,ROW('03.Muestra'!$F$8:$F$42)-MIN(ROW('03.Muestra'!$D$8:$D$42))+1,""),ROW()-588)),"")</f>
        <v>https://www.portcastello.com/</v>
      </c>
      <c r="D620" s="130" t="s">
        <v>37</v>
      </c>
      <c r="E620" s="107" t="str">
        <f t="shared" si="30"/>
        <v/>
      </c>
      <c r="F620" s="124"/>
      <c r="G620" s="19"/>
      <c r="H620" s="19"/>
      <c r="I620" s="19"/>
      <c r="J620" s="19"/>
      <c r="K620" s="233"/>
      <c r="L620" s="19"/>
      <c r="M620" s="19"/>
      <c r="N620" s="19"/>
      <c r="O620" s="19"/>
      <c r="P620" s="19"/>
      <c r="Q620" s="19"/>
      <c r="R620" s="19"/>
      <c r="S620" s="19"/>
      <c r="T620" s="19"/>
      <c r="U620" s="19"/>
      <c r="V620" s="19"/>
      <c r="W620" s="19"/>
      <c r="X620" s="19"/>
      <c r="Y620" s="19"/>
    </row>
    <row r="621" spans="1:25" ht="12" customHeight="1">
      <c r="A621" s="219" t="n" cm="1">
        <f t="array" ref="A621">IFERROR(INDEX('03.Muestra'!$B$8:$B$42,SMALL(IF("Página Web"='03.Muestra'!$D$8:$D$42,ROW('03.Muestra'!$B$8:$B$42)-MIN(ROW('03.Muestra'!$D$8:$D$42))+1,""),ROW()-588)),"")</f>
        <v>1.0</v>
      </c>
      <c r="B621" s="114" t="str" cm="1">
        <f t="array" ref="B621">IFERROR(INDEX('03.Muestra'!$C$8:$C$42,SMALL(IF("Página Web"='03.Muestra'!$D$8:$D$42,ROW('03.Muestra'!$C$8:$C$42)-MIN(ROW('03.Muestra'!$D$8:$D$42))+1,""),ROW()-588)),"")</f>
        <v>Home - PortCastelló</v>
      </c>
      <c r="C621" s="114" t="str" cm="1">
        <f t="array" ref="C621">IFERROR(INDEX('03.Muestra'!$F$8:$F$42,SMALL(IF("Página Web"='03.Muestra'!$D$8:$D$42,ROW('03.Muestra'!$F$8:$F$42)-MIN(ROW('03.Muestra'!$D$8:$D$42))+1,""),ROW()-588)),"")</f>
        <v>https://www.portcastello.com/</v>
      </c>
      <c r="D621" s="130" t="s">
        <v>37</v>
      </c>
      <c r="E621" s="107" t="str">
        <f t="shared" si="30"/>
        <v/>
      </c>
      <c r="F621" s="124"/>
      <c r="G621" s="19"/>
      <c r="H621" s="19"/>
      <c r="I621" s="19"/>
      <c r="J621" s="19"/>
      <c r="K621" s="233"/>
      <c r="L621" s="19"/>
      <c r="M621" s="19"/>
      <c r="N621" s="19"/>
      <c r="O621" s="19"/>
      <c r="P621" s="19"/>
      <c r="Q621" s="19"/>
      <c r="R621" s="19"/>
      <c r="S621" s="19"/>
      <c r="T621" s="19"/>
      <c r="U621" s="19"/>
      <c r="V621" s="19"/>
      <c r="W621" s="19"/>
      <c r="X621" s="19"/>
      <c r="Y621" s="19"/>
    </row>
    <row r="622" spans="1:25" ht="12" customHeight="1">
      <c r="A622" s="219" t="str" cm="1">
        <f t="array" ref="A622">IFERROR(INDEX('03.Muestra'!$B$8:$B$42,SMALL(IF("Página Web"='03.Muestra'!$D$8:$D$42,ROW('03.Muestra'!$B$8:$B$42)-MIN(ROW('03.Muestra'!$D$8:$D$42))+1,""),ROW()-588)),"")</f>
        <v/>
      </c>
      <c r="B622" s="114" t="str" cm="1">
        <f t="array" ref="B622">IFERROR(INDEX('03.Muestra'!$C$8:$C$42,SMALL(IF("Página Web"='03.Muestra'!$D$8:$D$42,ROW('03.Muestra'!$C$8:$C$42)-MIN(ROW('03.Muestra'!$D$8:$D$42))+1,""),ROW()-588)),"")</f>
        <v/>
      </c>
      <c r="C622" s="114" t="str" cm="1">
        <f t="array" ref="C622">IFERROR(INDEX('03.Muestra'!$F$8:$F$42,SMALL(IF("Página Web"='03.Muestra'!$D$8:$D$42,ROW('03.Muestra'!$F$8:$F$42)-MIN(ROW('03.Muestra'!$D$8:$D$42))+1,""),ROW()-588)),"")</f>
        <v/>
      </c>
      <c r="D622" s="130" t="str">
        <f t="shared" si="31" ref="D622:D623">IF(AND(B622&lt;&gt;"",C622&lt;&gt;""),"N/T","")</f>
        <v/>
      </c>
      <c r="E622" s="107" t="str">
        <f t="shared" si="30"/>
        <v/>
      </c>
      <c r="F622" s="124"/>
      <c r="G622" s="19"/>
      <c r="H622" s="19"/>
      <c r="I622" s="19"/>
      <c r="J622" s="19"/>
      <c r="K622" s="233"/>
      <c r="L622" s="19"/>
      <c r="M622" s="19"/>
      <c r="N622" s="19"/>
      <c r="O622" s="19"/>
      <c r="P622" s="19"/>
      <c r="Q622" s="19"/>
      <c r="R622" s="19"/>
      <c r="S622" s="19"/>
      <c r="T622" s="19"/>
      <c r="U622" s="19"/>
      <c r="V622" s="19"/>
      <c r="W622" s="19"/>
      <c r="X622" s="19"/>
      <c r="Y622" s="19"/>
    </row>
    <row r="623" spans="1:25" ht="12" customHeight="1">
      <c r="A623" s="219" t="str" cm="1">
        <f t="array" ref="A623">IFERROR(INDEX('03.Muestra'!$B$8:$B$42,SMALL(IF("Página Web"='03.Muestra'!$D$8:$D$42,ROW('03.Muestra'!$B$8:$B$42)-MIN(ROW('03.Muestra'!$D$8:$D$42))+1,""),ROW()-588)),"")</f>
        <v/>
      </c>
      <c r="B623" s="114" t="str" cm="1">
        <f t="array" ref="B623">IFERROR(INDEX('03.Muestra'!$C$8:$C$42,SMALL(IF("Página Web"='03.Muestra'!$D$8:$D$42,ROW('03.Muestra'!$C$8:$C$42)-MIN(ROW('03.Muestra'!$D$8:$D$42))+1,""),ROW()-588)),"")</f>
        <v/>
      </c>
      <c r="C623" s="114" t="str" cm="1">
        <f t="array" ref="C623">IFERROR(INDEX('03.Muestra'!$F$8:$F$42,SMALL(IF("Página Web"='03.Muestra'!$D$8:$D$42,ROW('03.Muestra'!$F$8:$F$42)-MIN(ROW('03.Muestra'!$D$8:$D$42))+1,""),ROW()-588)),"")</f>
        <v/>
      </c>
      <c r="D623" s="130" t="str">
        <f t="shared" si="31"/>
        <v/>
      </c>
      <c r="E623" s="107" t="str">
        <f t="shared" si="30"/>
        <v/>
      </c>
      <c r="F623" s="19"/>
      <c r="G623" s="19"/>
      <c r="H623" s="19"/>
      <c r="I623" s="19"/>
      <c r="J623" s="19"/>
      <c r="K623" s="233"/>
      <c r="L623" s="19"/>
      <c r="M623" s="19"/>
      <c r="N623" s="19"/>
      <c r="O623" s="19"/>
      <c r="P623" s="19"/>
      <c r="Q623" s="19"/>
      <c r="R623" s="19"/>
      <c r="S623" s="19"/>
      <c r="T623" s="19"/>
      <c r="U623" s="19"/>
      <c r="V623" s="19"/>
      <c r="W623" s="19"/>
      <c r="X623" s="19"/>
      <c r="Y623" s="19"/>
    </row>
    <row r="624" spans="1:25" ht="12" customHeight="1">
      <c r="B624" s="19"/>
      <c r="C624" s="19"/>
      <c r="D624" s="107"/>
      <c r="E624" s="107"/>
      <c r="F624" s="19"/>
      <c r="G624" s="19"/>
      <c r="H624" s="19"/>
      <c r="I624" s="19"/>
      <c r="J624" s="19"/>
      <c r="K624" s="233"/>
      <c r="L624" s="19"/>
      <c r="M624" s="19"/>
      <c r="N624" s="19"/>
      <c r="O624" s="19"/>
      <c r="P624" s="19"/>
      <c r="Q624" s="19"/>
      <c r="R624" s="19"/>
      <c r="S624" s="19"/>
      <c r="T624" s="19"/>
      <c r="U624" s="19"/>
      <c r="V624" s="19"/>
      <c r="W624" s="19"/>
      <c r="X624" s="19"/>
      <c r="Y624" s="19"/>
    </row>
    <row r="625" spans="1:25" ht="12" customHeight="1">
      <c r="B625" s="19"/>
      <c r="C625" s="19"/>
      <c r="D625" s="107"/>
      <c r="E625" s="112"/>
      <c r="F625" s="19"/>
      <c r="G625" s="19"/>
      <c r="H625" s="19"/>
      <c r="I625" s="19"/>
      <c r="J625" s="19"/>
      <c r="K625" s="233"/>
      <c r="L625" s="19"/>
      <c r="M625" s="19"/>
      <c r="N625" s="19"/>
      <c r="O625" s="19"/>
      <c r="P625" s="19"/>
      <c r="Q625" s="19"/>
      <c r="R625" s="19"/>
      <c r="S625" s="19"/>
      <c r="T625" s="19"/>
      <c r="U625" s="19"/>
      <c r="V625" s="19"/>
      <c r="W625" s="19"/>
      <c r="X625" s="19"/>
      <c r="Y625" s="19"/>
    </row>
    <row r="626" spans="1:25" ht="29.25" customHeight="1">
      <c r="A626" s="218" t="s">
        <v>268</v>
      </c>
      <c r="B626" s="24" t="s">
        <v>90</v>
      </c>
      <c r="C626" s="25" t="s">
        <v>389</v>
      </c>
      <c r="D626" s="26" t="s">
        <v>32</v>
      </c>
      <c r="E626" s="123"/>
      <c r="K626" s="233"/>
      <c r="L626" s="19"/>
      <c r="M626" s="19"/>
      <c r="N626" s="19"/>
      <c r="O626" s="19"/>
      <c r="P626" s="19"/>
      <c r="Q626" s="19"/>
      <c r="R626" s="19"/>
      <c r="S626" s="19"/>
      <c r="T626" s="19"/>
      <c r="U626" s="19"/>
      <c r="V626" s="19"/>
      <c r="W626" s="19"/>
      <c r="X626" s="19"/>
      <c r="Y626" s="19"/>
    </row>
    <row r="627" spans="1:25" ht="12" customHeight="1">
      <c r="A627" s="219" t="n" cm="1">
        <f t="array" ref="A627">IFERROR(INDEX('03.Muestra'!$B$8:$B$42,SMALL(IF("Página Web"='03.Muestra'!$D$8:$D$42,ROW('03.Muestra'!$B$8:$B$42)-MIN(ROW('03.Muestra'!$D$8:$D$42))+1,""),ROW()-626)),"")</f>
        <v>1.0</v>
      </c>
      <c r="B627" s="114" t="str" cm="1">
        <f t="array" ref="B627">IFERROR(INDEX('03.Muestra'!$C$8:$C$42,SMALL(IF("Página Web"='03.Muestra'!$D$8:$D$42,ROW('03.Muestra'!$C$8:$C$42)-MIN(ROW('03.Muestra'!$D$8:$D$42))+1,""),ROW()-626)),"")</f>
        <v>Home - PortCastelló</v>
      </c>
      <c r="C627" s="114" t="str" cm="1">
        <f t="array" ref="C627">IFERROR(INDEX('03.Muestra'!$F$8:$F$42,SMALL(IF("Página Web"='03.Muestra'!$D$8:$D$42,ROW('03.Muestra'!$F$8:$F$42)-MIN(ROW('03.Muestra'!$D$8:$D$42))+1,""),ROW()-626)),"")</f>
        <v>https://www.portcastello.com/</v>
      </c>
      <c r="D627" s="130" t="str">
        <f>IF(AND(B627&lt;&gt;"",C627&lt;&gt;""),"N/T","")</f>
        <v>N/T</v>
      </c>
      <c r="E627" s="107" t="str">
        <f t="shared" ref="E627:E661" si="32">IF(D627&lt;&gt;"",IF(AND(B627&lt;&gt;"",C627&lt;&gt;""),"","ERR"),"")</f>
        <v/>
      </c>
      <c r="F627" s="115" t="s">
        <v>33</v>
      </c>
      <c r="G627" s="116" t="s">
        <v>37</v>
      </c>
      <c r="H627" s="117" t="s">
        <v>35</v>
      </c>
      <c r="I627" s="118" t="s">
        <v>28</v>
      </c>
      <c r="J627" s="119" t="s">
        <v>26</v>
      </c>
      <c r="K627" s="226" t="s">
        <v>474</v>
      </c>
      <c r="L627" s="19"/>
      <c r="M627" s="19"/>
      <c r="N627" s="19"/>
      <c r="O627" s="19"/>
      <c r="P627" s="19"/>
      <c r="Q627" s="19"/>
      <c r="R627" s="19"/>
      <c r="S627" s="19"/>
      <c r="T627" s="19"/>
      <c r="U627" s="19"/>
      <c r="V627" s="19"/>
      <c r="W627" s="19"/>
      <c r="X627" s="19"/>
      <c r="Y627" s="19"/>
    </row>
    <row r="628" spans="1:25" ht="12" customHeight="1">
      <c r="A628" s="219" t="n" cm="1">
        <f t="array" ref="A628">IFERROR(INDEX('03.Muestra'!$B$8:$B$42,SMALL(IF("Página Web"='03.Muestra'!$D$8:$D$42,ROW('03.Muestra'!$B$8:$B$42)-MIN(ROW('03.Muestra'!$D$8:$D$42))+1,""),ROW()-626)),"")</f>
        <v>1.0</v>
      </c>
      <c r="B628" s="114" t="str" cm="1">
        <f t="array" ref="B628">IFERROR(INDEX('03.Muestra'!$C$8:$C$42,SMALL(IF("Página Web"='03.Muestra'!$D$8:$D$42,ROW('03.Muestra'!$C$8:$C$42)-MIN(ROW('03.Muestra'!$D$8:$D$42))+1,""),ROW()-626)),"")</f>
        <v>Home - PortCastelló</v>
      </c>
      <c r="C628" s="114" t="str" cm="1">
        <f t="array" ref="C628">IFERROR(INDEX('03.Muestra'!$F$8:$F$42,SMALL(IF("Página Web"='03.Muestra'!$D$8:$D$42,ROW('03.Muestra'!$F$8:$F$42)-MIN(ROW('03.Muestra'!$D$8:$D$42))+1,""),ROW()-626)),"")</f>
        <v>https://www.portcastello.com/</v>
      </c>
      <c r="D628" s="130" t="str">
        <f t="shared" ref="D628:D661" si="33">IF(AND(B628&lt;&gt;"",C628&lt;&gt;""),"N/T","")</f>
        <v>N/T</v>
      </c>
      <c r="E628" s="107" t="str">
        <f t="shared" si="32"/>
        <v/>
      </c>
      <c r="F628" s="120" t="n">
        <f ca="1">COUNTIF($D627:INDIRECT("$D" &amp;  SUM(ROW()-1,'03.Muestra'!$D$45)-1),F627)</f>
        <v>33.0</v>
      </c>
      <c r="G628" s="120" t="n">
        <f ca="1">COUNTIF($D627:INDIRECT("$D" &amp;  SUM(ROW()-1,'03.Muestra'!$D$45)-1),G627)</f>
        <v>0.0</v>
      </c>
      <c r="H628" s="120" t="n">
        <f ca="1">COUNTIF($D627:INDIRECT("$D" &amp;  SUM(ROW()-1,'03.Muestra'!$D$45)-1),H627)</f>
        <v>0.0</v>
      </c>
      <c r="I628" s="120" t="n">
        <f ca="1">COUNTIF($D627:INDIRECT("$D" &amp;  SUM(ROW()-1,'03.Muestra'!$D$45)-1),I627)</f>
        <v>0.0</v>
      </c>
      <c r="J628" s="120" t="n">
        <f ca="1">COUNTIF($D627:INDIRECT("$D" &amp;  SUM(ROW()-1,'03.Muestra'!$D$45)-1),J627)</f>
        <v>0.0</v>
      </c>
      <c r="K628" s="227" t="n">
        <f ca="1">IF(COUNTIF('03.Muestra'!$D$8:$D$42,"Página Web")=0,0,COUNTBLANK($D627:INDIRECT("$D" &amp;  SUM(ROW()-1,COUNTIF('03.Muestra'!$D$8:$D$42,"Página Web"))-1)))</f>
        <v>0.0</v>
      </c>
      <c r="L628" s="19"/>
      <c r="M628" s="19"/>
      <c r="N628" s="19"/>
      <c r="O628" s="19"/>
      <c r="P628" s="19"/>
      <c r="Q628" s="19"/>
      <c r="R628" s="19"/>
      <c r="S628" s="19"/>
      <c r="T628" s="19"/>
      <c r="U628" s="19"/>
      <c r="V628" s="19"/>
      <c r="W628" s="19"/>
      <c r="X628" s="19"/>
      <c r="Y628" s="19"/>
    </row>
    <row r="629" spans="1:25" ht="12" customHeight="1">
      <c r="A629" s="219" t="n" cm="1">
        <f t="array" ref="A629">IFERROR(INDEX('03.Muestra'!$B$8:$B$42,SMALL(IF("Página Web"='03.Muestra'!$D$8:$D$42,ROW('03.Muestra'!$B$8:$B$42)-MIN(ROW('03.Muestra'!$D$8:$D$42))+1,""),ROW()-626)),"")</f>
        <v>1.0</v>
      </c>
      <c r="B629" s="114" t="str" cm="1">
        <f t="array" ref="B629">IFERROR(INDEX('03.Muestra'!$C$8:$C$42,SMALL(IF("Página Web"='03.Muestra'!$D$8:$D$42,ROW('03.Muestra'!$C$8:$C$42)-MIN(ROW('03.Muestra'!$D$8:$D$42))+1,""),ROW()-626)),"")</f>
        <v>Home - PortCastelló</v>
      </c>
      <c r="C629" s="114" t="str" cm="1">
        <f t="array" ref="C629">IFERROR(INDEX('03.Muestra'!$F$8:$F$42,SMALL(IF("Página Web"='03.Muestra'!$D$8:$D$42,ROW('03.Muestra'!$F$8:$F$42)-MIN(ROW('03.Muestra'!$D$8:$D$42))+1,""),ROW()-626)),"")</f>
        <v>https://www.portcastello.com/</v>
      </c>
      <c r="D629" s="130" t="str">
        <f t="shared" si="33"/>
        <v>N/T</v>
      </c>
      <c r="E629" s="107" t="str">
        <f t="shared" si="32"/>
        <v/>
      </c>
      <c r="G629" s="19"/>
      <c r="H629" s="19"/>
      <c r="I629" s="19"/>
      <c r="J629" s="19"/>
      <c r="K629" s="233"/>
      <c r="L629" s="19"/>
      <c r="M629" s="19"/>
      <c r="N629" s="19"/>
      <c r="O629" s="19"/>
      <c r="P629" s="19"/>
      <c r="Q629" s="19"/>
      <c r="R629" s="19"/>
      <c r="S629" s="19"/>
      <c r="T629" s="19"/>
      <c r="U629" s="19"/>
      <c r="V629" s="19"/>
      <c r="W629" s="19"/>
      <c r="X629" s="19"/>
      <c r="Y629" s="19"/>
    </row>
    <row r="630" spans="1:25" ht="12" customHeight="1">
      <c r="A630" s="219" t="n" cm="1">
        <f t="array" ref="A630">IFERROR(INDEX('03.Muestra'!$B$8:$B$42,SMALL(IF("Página Web"='03.Muestra'!$D$8:$D$42,ROW('03.Muestra'!$B$8:$B$42)-MIN(ROW('03.Muestra'!$D$8:$D$42))+1,""),ROW()-626)),"")</f>
        <v>1.0</v>
      </c>
      <c r="B630" s="114" t="str" cm="1">
        <f t="array" ref="B630">IFERROR(INDEX('03.Muestra'!$C$8:$C$42,SMALL(IF("Página Web"='03.Muestra'!$D$8:$D$42,ROW('03.Muestra'!$C$8:$C$42)-MIN(ROW('03.Muestra'!$D$8:$D$42))+1,""),ROW()-626)),"")</f>
        <v>Home - PortCastelló</v>
      </c>
      <c r="C630" s="114" t="str" cm="1">
        <f t="array" ref="C630">IFERROR(INDEX('03.Muestra'!$F$8:$F$42,SMALL(IF("Página Web"='03.Muestra'!$D$8:$D$42,ROW('03.Muestra'!$F$8:$F$42)-MIN(ROW('03.Muestra'!$D$8:$D$42))+1,""),ROW()-626)),"")</f>
        <v>https://www.portcastello.com/</v>
      </c>
      <c r="D630" s="130" t="str">
        <f t="shared" si="33"/>
        <v>N/T</v>
      </c>
      <c r="E630" s="107" t="str">
        <f t="shared" si="32"/>
        <v/>
      </c>
      <c r="G630" s="19"/>
      <c r="H630" s="19"/>
      <c r="I630" s="19"/>
      <c r="J630" s="19"/>
      <c r="K630" s="233"/>
      <c r="L630" s="19"/>
      <c r="M630" s="19"/>
      <c r="N630" s="19"/>
      <c r="O630" s="19"/>
      <c r="P630" s="19"/>
      <c r="Q630" s="19"/>
      <c r="R630" s="19"/>
      <c r="S630" s="19"/>
      <c r="T630" s="19"/>
      <c r="U630" s="19"/>
      <c r="V630" s="19"/>
      <c r="W630" s="19"/>
      <c r="X630" s="19"/>
      <c r="Y630" s="19"/>
    </row>
    <row r="631" spans="1:25" ht="12" customHeight="1">
      <c r="A631" s="219" t="n" cm="1">
        <f t="array" ref="A631">IFERROR(INDEX('03.Muestra'!$B$8:$B$42,SMALL(IF("Página Web"='03.Muestra'!$D$8:$D$42,ROW('03.Muestra'!$B$8:$B$42)-MIN(ROW('03.Muestra'!$D$8:$D$42))+1,""),ROW()-626)),"")</f>
        <v>1.0</v>
      </c>
      <c r="B631" s="114" t="str" cm="1">
        <f t="array" ref="B631">IFERROR(INDEX('03.Muestra'!$C$8:$C$42,SMALL(IF("Página Web"='03.Muestra'!$D$8:$D$42,ROW('03.Muestra'!$C$8:$C$42)-MIN(ROW('03.Muestra'!$D$8:$D$42))+1,""),ROW()-626)),"")</f>
        <v>Home - PortCastelló</v>
      </c>
      <c r="C631" s="114" t="str" cm="1">
        <f t="array" ref="C631">IFERROR(INDEX('03.Muestra'!$F$8:$F$42,SMALL(IF("Página Web"='03.Muestra'!$D$8:$D$42,ROW('03.Muestra'!$F$8:$F$42)-MIN(ROW('03.Muestra'!$D$8:$D$42))+1,""),ROW()-626)),"")</f>
        <v>https://www.portcastello.com/</v>
      </c>
      <c r="D631" s="130" t="str">
        <f t="shared" si="33"/>
        <v>N/T</v>
      </c>
      <c r="E631" s="107" t="str">
        <f t="shared" si="32"/>
        <v/>
      </c>
      <c r="G631" s="19"/>
      <c r="H631" s="19"/>
      <c r="I631" s="19"/>
      <c r="J631" s="19"/>
      <c r="K631" s="233"/>
      <c r="L631" s="19"/>
      <c r="M631" s="19"/>
      <c r="N631" s="19"/>
      <c r="O631" s="19"/>
      <c r="P631" s="19"/>
      <c r="Q631" s="19"/>
      <c r="R631" s="19"/>
      <c r="S631" s="19"/>
      <c r="T631" s="19"/>
      <c r="U631" s="19"/>
      <c r="V631" s="19"/>
      <c r="W631" s="19"/>
      <c r="X631" s="19"/>
      <c r="Y631" s="19"/>
    </row>
    <row r="632" spans="1:25" ht="12" customHeight="1">
      <c r="A632" s="219" t="n" cm="1">
        <f t="array" ref="A632">IFERROR(INDEX('03.Muestra'!$B$8:$B$42,SMALL(IF("Página Web"='03.Muestra'!$D$8:$D$42,ROW('03.Muestra'!$B$8:$B$42)-MIN(ROW('03.Muestra'!$D$8:$D$42))+1,""),ROW()-626)),"")</f>
        <v>1.0</v>
      </c>
      <c r="B632" s="114" t="str" cm="1">
        <f t="array" ref="B632">IFERROR(INDEX('03.Muestra'!$C$8:$C$42,SMALL(IF("Página Web"='03.Muestra'!$D$8:$D$42,ROW('03.Muestra'!$C$8:$C$42)-MIN(ROW('03.Muestra'!$D$8:$D$42))+1,""),ROW()-626)),"")</f>
        <v>Home - PortCastelló</v>
      </c>
      <c r="C632" s="114" t="str" cm="1">
        <f t="array" ref="C632">IFERROR(INDEX('03.Muestra'!$F$8:$F$42,SMALL(IF("Página Web"='03.Muestra'!$D$8:$D$42,ROW('03.Muestra'!$F$8:$F$42)-MIN(ROW('03.Muestra'!$D$8:$D$42))+1,""),ROW()-626)),"")</f>
        <v>https://www.portcastello.com/</v>
      </c>
      <c r="D632" s="130" t="str">
        <f t="shared" si="33"/>
        <v>N/T</v>
      </c>
      <c r="E632" s="107" t="str">
        <f t="shared" si="32"/>
        <v/>
      </c>
      <c r="G632" s="19"/>
      <c r="H632" s="19"/>
      <c r="I632" s="19"/>
      <c r="J632" s="19"/>
      <c r="K632" s="233"/>
      <c r="L632" s="19"/>
      <c r="M632" s="19"/>
      <c r="N632" s="19"/>
      <c r="O632" s="19"/>
      <c r="P632" s="19"/>
      <c r="Q632" s="19"/>
      <c r="R632" s="19"/>
      <c r="S632" s="19"/>
      <c r="T632" s="19"/>
      <c r="U632" s="19"/>
      <c r="V632" s="19"/>
      <c r="W632" s="19"/>
      <c r="X632" s="19"/>
      <c r="Y632" s="19"/>
    </row>
    <row r="633" spans="1:25" ht="12" customHeight="1">
      <c r="A633" s="219" t="n" cm="1">
        <f t="array" ref="A633">IFERROR(INDEX('03.Muestra'!$B$8:$B$42,SMALL(IF("Página Web"='03.Muestra'!$D$8:$D$42,ROW('03.Muestra'!$B$8:$B$42)-MIN(ROW('03.Muestra'!$D$8:$D$42))+1,""),ROW()-626)),"")</f>
        <v>1.0</v>
      </c>
      <c r="B633" s="114" t="str" cm="1">
        <f t="array" ref="B633">IFERROR(INDEX('03.Muestra'!$C$8:$C$42,SMALL(IF("Página Web"='03.Muestra'!$D$8:$D$42,ROW('03.Muestra'!$C$8:$C$42)-MIN(ROW('03.Muestra'!$D$8:$D$42))+1,""),ROW()-626)),"")</f>
        <v>Home - PortCastelló</v>
      </c>
      <c r="C633" s="114" t="str" cm="1">
        <f t="array" ref="C633">IFERROR(INDEX('03.Muestra'!$F$8:$F$42,SMALL(IF("Página Web"='03.Muestra'!$D$8:$D$42,ROW('03.Muestra'!$F$8:$F$42)-MIN(ROW('03.Muestra'!$D$8:$D$42))+1,""),ROW()-626)),"")</f>
        <v>https://www.portcastello.com/</v>
      </c>
      <c r="D633" s="130" t="str">
        <f t="shared" si="33"/>
        <v>N/T</v>
      </c>
      <c r="E633" s="107" t="str">
        <f t="shared" si="32"/>
        <v/>
      </c>
      <c r="F633" s="19"/>
      <c r="G633" s="19"/>
      <c r="H633" s="19"/>
      <c r="I633" s="19"/>
      <c r="J633" s="19"/>
      <c r="K633" s="233"/>
      <c r="L633" s="19"/>
      <c r="M633" s="19"/>
      <c r="N633" s="19"/>
      <c r="O633" s="19"/>
      <c r="P633" s="19"/>
      <c r="Q633" s="19"/>
      <c r="R633" s="19"/>
      <c r="S633" s="19"/>
      <c r="T633" s="19"/>
      <c r="U633" s="19"/>
      <c r="V633" s="19"/>
      <c r="W633" s="19"/>
      <c r="X633" s="19"/>
      <c r="Y633" s="19"/>
    </row>
    <row r="634" spans="1:25" ht="12" customHeight="1">
      <c r="A634" s="219" t="n" cm="1">
        <f t="array" ref="A634">IFERROR(INDEX('03.Muestra'!$B$8:$B$42,SMALL(IF("Página Web"='03.Muestra'!$D$8:$D$42,ROW('03.Muestra'!$B$8:$B$42)-MIN(ROW('03.Muestra'!$D$8:$D$42))+1,""),ROW()-626)),"")</f>
        <v>1.0</v>
      </c>
      <c r="B634" s="114" t="str" cm="1">
        <f t="array" ref="B634">IFERROR(INDEX('03.Muestra'!$C$8:$C$42,SMALL(IF("Página Web"='03.Muestra'!$D$8:$D$42,ROW('03.Muestra'!$C$8:$C$42)-MIN(ROW('03.Muestra'!$D$8:$D$42))+1,""),ROW()-626)),"")</f>
        <v>Home - PortCastelló</v>
      </c>
      <c r="C634" s="114" t="str" cm="1">
        <f t="array" ref="C634">IFERROR(INDEX('03.Muestra'!$F$8:$F$42,SMALL(IF("Página Web"='03.Muestra'!$D$8:$D$42,ROW('03.Muestra'!$F$8:$F$42)-MIN(ROW('03.Muestra'!$D$8:$D$42))+1,""),ROW()-626)),"")</f>
        <v>https://www.portcastello.com/</v>
      </c>
      <c r="D634" s="130" t="str">
        <f t="shared" si="33"/>
        <v>N/T</v>
      </c>
      <c r="E634" s="107" t="str">
        <f t="shared" si="32"/>
        <v/>
      </c>
      <c r="F634" s="19"/>
      <c r="G634" s="19"/>
      <c r="H634" s="19"/>
      <c r="I634" s="19"/>
      <c r="J634" s="19"/>
      <c r="K634" s="233"/>
      <c r="L634" s="19"/>
      <c r="M634" s="19"/>
      <c r="N634" s="19"/>
      <c r="O634" s="19"/>
      <c r="P634" s="19"/>
      <c r="Q634" s="19"/>
      <c r="R634" s="19"/>
      <c r="S634" s="19"/>
      <c r="T634" s="19"/>
      <c r="U634" s="19"/>
      <c r="V634" s="19"/>
      <c r="W634" s="19"/>
      <c r="X634" s="19"/>
      <c r="Y634" s="19"/>
    </row>
    <row r="635" spans="1:25" ht="12" customHeight="1">
      <c r="A635" s="219" t="n" cm="1">
        <f t="array" ref="A635">IFERROR(INDEX('03.Muestra'!$B$8:$B$42,SMALL(IF("Página Web"='03.Muestra'!$D$8:$D$42,ROW('03.Muestra'!$B$8:$B$42)-MIN(ROW('03.Muestra'!$D$8:$D$42))+1,""),ROW()-626)),"")</f>
        <v>1.0</v>
      </c>
      <c r="B635" s="114" t="str" cm="1">
        <f t="array" ref="B635">IFERROR(INDEX('03.Muestra'!$C$8:$C$42,SMALL(IF("Página Web"='03.Muestra'!$D$8:$D$42,ROW('03.Muestra'!$C$8:$C$42)-MIN(ROW('03.Muestra'!$D$8:$D$42))+1,""),ROW()-626)),"")</f>
        <v>Home - PortCastelló</v>
      </c>
      <c r="C635" s="114" t="str" cm="1">
        <f t="array" ref="C635">IFERROR(INDEX('03.Muestra'!$F$8:$F$42,SMALL(IF("Página Web"='03.Muestra'!$D$8:$D$42,ROW('03.Muestra'!$F$8:$F$42)-MIN(ROW('03.Muestra'!$D$8:$D$42))+1,""),ROW()-626)),"")</f>
        <v>https://www.portcastello.com/</v>
      </c>
      <c r="D635" s="130" t="str">
        <f t="shared" si="33"/>
        <v>N/T</v>
      </c>
      <c r="E635" s="107" t="str">
        <f t="shared" si="32"/>
        <v/>
      </c>
      <c r="F635" s="19"/>
      <c r="G635" s="19"/>
      <c r="H635" s="19"/>
      <c r="I635" s="19"/>
      <c r="J635" s="19"/>
      <c r="K635" s="233"/>
      <c r="L635" s="19"/>
      <c r="M635" s="19"/>
      <c r="N635" s="19"/>
      <c r="O635" s="19"/>
      <c r="P635" s="19"/>
      <c r="Q635" s="19"/>
      <c r="R635" s="19"/>
      <c r="S635" s="19"/>
      <c r="T635" s="19"/>
      <c r="U635" s="19"/>
      <c r="V635" s="19"/>
      <c r="W635" s="19"/>
      <c r="X635" s="19"/>
      <c r="Y635" s="19"/>
    </row>
    <row r="636" spans="1:25" ht="12" customHeight="1">
      <c r="A636" s="219" t="n" cm="1">
        <f t="array" ref="A636">IFERROR(INDEX('03.Muestra'!$B$8:$B$42,SMALL(IF("Página Web"='03.Muestra'!$D$8:$D$42,ROW('03.Muestra'!$B$8:$B$42)-MIN(ROW('03.Muestra'!$D$8:$D$42))+1,""),ROW()-626)),"")</f>
        <v>1.0</v>
      </c>
      <c r="B636" s="114" t="str" cm="1">
        <f t="array" ref="B636">IFERROR(INDEX('03.Muestra'!$C$8:$C$42,SMALL(IF("Página Web"='03.Muestra'!$D$8:$D$42,ROW('03.Muestra'!$C$8:$C$42)-MIN(ROW('03.Muestra'!$D$8:$D$42))+1,""),ROW()-626)),"")</f>
        <v>Home - PortCastelló</v>
      </c>
      <c r="C636" s="114" t="str" cm="1">
        <f t="array" ref="C636">IFERROR(INDEX('03.Muestra'!$F$8:$F$42,SMALL(IF("Página Web"='03.Muestra'!$D$8:$D$42,ROW('03.Muestra'!$F$8:$F$42)-MIN(ROW('03.Muestra'!$D$8:$D$42))+1,""),ROW()-626)),"")</f>
        <v>https://www.portcastello.com/</v>
      </c>
      <c r="D636" s="130" t="str">
        <f t="shared" si="33"/>
        <v>N/T</v>
      </c>
      <c r="E636" s="107" t="str">
        <f t="shared" si="32"/>
        <v/>
      </c>
      <c r="F636" s="19"/>
      <c r="G636" s="19"/>
      <c r="H636" s="19"/>
      <c r="I636" s="19"/>
      <c r="J636" s="19"/>
      <c r="K636" s="233"/>
      <c r="L636" s="19"/>
      <c r="M636" s="19"/>
      <c r="N636" s="19"/>
      <c r="O636" s="19"/>
      <c r="P636" s="19"/>
      <c r="Q636" s="19"/>
      <c r="R636" s="19"/>
      <c r="S636" s="19"/>
      <c r="T636" s="19"/>
      <c r="U636" s="19"/>
      <c r="V636" s="19"/>
      <c r="W636" s="19"/>
      <c r="X636" s="19"/>
      <c r="Y636" s="19"/>
    </row>
    <row r="637" spans="1:25" ht="12" customHeight="1">
      <c r="A637" s="219" t="n" cm="1">
        <f t="array" ref="A637">IFERROR(INDEX('03.Muestra'!$B$8:$B$42,SMALL(IF("Página Web"='03.Muestra'!$D$8:$D$42,ROW('03.Muestra'!$B$8:$B$42)-MIN(ROW('03.Muestra'!$D$8:$D$42))+1,""),ROW()-626)),"")</f>
        <v>1.0</v>
      </c>
      <c r="B637" s="114" t="str" cm="1">
        <f t="array" ref="B637">IFERROR(INDEX('03.Muestra'!$C$8:$C$42,SMALL(IF("Página Web"='03.Muestra'!$D$8:$D$42,ROW('03.Muestra'!$C$8:$C$42)-MIN(ROW('03.Muestra'!$D$8:$D$42))+1,""),ROW()-626)),"")</f>
        <v>Home - PortCastelló</v>
      </c>
      <c r="C637" s="114" t="str" cm="1">
        <f t="array" ref="C637">IFERROR(INDEX('03.Muestra'!$F$8:$F$42,SMALL(IF("Página Web"='03.Muestra'!$D$8:$D$42,ROW('03.Muestra'!$F$8:$F$42)-MIN(ROW('03.Muestra'!$D$8:$D$42))+1,""),ROW()-626)),"")</f>
        <v>https://www.portcastello.com/</v>
      </c>
      <c r="D637" s="130" t="str">
        <f t="shared" si="33"/>
        <v>N/T</v>
      </c>
      <c r="E637" s="107" t="str">
        <f t="shared" si="32"/>
        <v/>
      </c>
      <c r="F637" s="19"/>
      <c r="G637" s="19"/>
      <c r="H637" s="19"/>
      <c r="I637" s="19"/>
      <c r="J637" s="19"/>
      <c r="K637" s="233"/>
      <c r="L637" s="19"/>
      <c r="M637" s="19"/>
      <c r="N637" s="19"/>
      <c r="O637" s="19"/>
      <c r="P637" s="19"/>
      <c r="Q637" s="19"/>
      <c r="R637" s="19"/>
      <c r="S637" s="19"/>
      <c r="T637" s="19"/>
      <c r="U637" s="19"/>
      <c r="V637" s="19"/>
      <c r="W637" s="19"/>
      <c r="X637" s="19"/>
      <c r="Y637" s="19"/>
    </row>
    <row r="638" spans="1:25" ht="12" customHeight="1">
      <c r="A638" s="219" t="n" cm="1">
        <f t="array" ref="A638">IFERROR(INDEX('03.Muestra'!$B$8:$B$42,SMALL(IF("Página Web"='03.Muestra'!$D$8:$D$42,ROW('03.Muestra'!$B$8:$B$42)-MIN(ROW('03.Muestra'!$D$8:$D$42))+1,""),ROW()-626)),"")</f>
        <v>1.0</v>
      </c>
      <c r="B638" s="114" t="str" cm="1">
        <f t="array" ref="B638">IFERROR(INDEX('03.Muestra'!$C$8:$C$42,SMALL(IF("Página Web"='03.Muestra'!$D$8:$D$42,ROW('03.Muestra'!$C$8:$C$42)-MIN(ROW('03.Muestra'!$D$8:$D$42))+1,""),ROW()-626)),"")</f>
        <v>Home - PortCastelló</v>
      </c>
      <c r="C638" s="114" t="str" cm="1">
        <f t="array" ref="C638">IFERROR(INDEX('03.Muestra'!$F$8:$F$42,SMALL(IF("Página Web"='03.Muestra'!$D$8:$D$42,ROW('03.Muestra'!$F$8:$F$42)-MIN(ROW('03.Muestra'!$D$8:$D$42))+1,""),ROW()-626)),"")</f>
        <v>https://www.portcastello.com/</v>
      </c>
      <c r="D638" s="130" t="str">
        <f t="shared" si="33"/>
        <v>N/T</v>
      </c>
      <c r="E638" s="107" t="str">
        <f t="shared" si="32"/>
        <v/>
      </c>
      <c r="F638" s="19"/>
      <c r="G638" s="19"/>
      <c r="H638" s="19"/>
      <c r="I638" s="19"/>
      <c r="J638" s="19"/>
      <c r="K638" s="233"/>
      <c r="L638" s="19"/>
      <c r="M638" s="19"/>
      <c r="N638" s="19"/>
      <c r="O638" s="19"/>
      <c r="P638" s="19"/>
      <c r="Q638" s="19"/>
      <c r="R638" s="19"/>
      <c r="S638" s="19"/>
      <c r="T638" s="19"/>
      <c r="U638" s="19"/>
      <c r="V638" s="19"/>
      <c r="W638" s="19"/>
      <c r="X638" s="19"/>
      <c r="Y638" s="19"/>
    </row>
    <row r="639" spans="1:25" ht="12" customHeight="1">
      <c r="A639" s="219" t="n" cm="1">
        <f t="array" ref="A639">IFERROR(INDEX('03.Muestra'!$B$8:$B$42,SMALL(IF("Página Web"='03.Muestra'!$D$8:$D$42,ROW('03.Muestra'!$B$8:$B$42)-MIN(ROW('03.Muestra'!$D$8:$D$42))+1,""),ROW()-626)),"")</f>
        <v>1.0</v>
      </c>
      <c r="B639" s="114" t="str" cm="1">
        <f t="array" ref="B639">IFERROR(INDEX('03.Muestra'!$C$8:$C$42,SMALL(IF("Página Web"='03.Muestra'!$D$8:$D$42,ROW('03.Muestra'!$C$8:$C$42)-MIN(ROW('03.Muestra'!$D$8:$D$42))+1,""),ROW()-626)),"")</f>
        <v>Home - PortCastelló</v>
      </c>
      <c r="C639" s="114" t="str" cm="1">
        <f t="array" ref="C639">IFERROR(INDEX('03.Muestra'!$F$8:$F$42,SMALL(IF("Página Web"='03.Muestra'!$D$8:$D$42,ROW('03.Muestra'!$F$8:$F$42)-MIN(ROW('03.Muestra'!$D$8:$D$42))+1,""),ROW()-626)),"")</f>
        <v>https://www.portcastello.com/</v>
      </c>
      <c r="D639" s="130" t="str">
        <f t="shared" si="33"/>
        <v>N/T</v>
      </c>
      <c r="E639" s="107" t="str">
        <f t="shared" si="32"/>
        <v/>
      </c>
      <c r="F639" s="19"/>
      <c r="G639" s="19"/>
      <c r="H639" s="19"/>
      <c r="I639" s="19"/>
      <c r="J639" s="19"/>
      <c r="K639" s="233"/>
      <c r="L639" s="19"/>
      <c r="M639" s="19"/>
      <c r="N639" s="19"/>
      <c r="O639" s="19"/>
      <c r="P639" s="19"/>
      <c r="Q639" s="19"/>
      <c r="R639" s="19"/>
      <c r="S639" s="19"/>
      <c r="T639" s="19"/>
      <c r="U639" s="19"/>
      <c r="V639" s="19"/>
      <c r="W639" s="19"/>
      <c r="X639" s="19"/>
      <c r="Y639" s="19"/>
    </row>
    <row r="640" spans="1:25" ht="12" customHeight="1">
      <c r="A640" s="219" t="n" cm="1">
        <f t="array" ref="A640">IFERROR(INDEX('03.Muestra'!$B$8:$B$42,SMALL(IF("Página Web"='03.Muestra'!$D$8:$D$42,ROW('03.Muestra'!$B$8:$B$42)-MIN(ROW('03.Muestra'!$D$8:$D$42))+1,""),ROW()-626)),"")</f>
        <v>1.0</v>
      </c>
      <c r="B640" s="114" t="str" cm="1">
        <f t="array" ref="B640">IFERROR(INDEX('03.Muestra'!$C$8:$C$42,SMALL(IF("Página Web"='03.Muestra'!$D$8:$D$42,ROW('03.Muestra'!$C$8:$C$42)-MIN(ROW('03.Muestra'!$D$8:$D$42))+1,""),ROW()-626)),"")</f>
        <v>Home - PortCastelló</v>
      </c>
      <c r="C640" s="114" t="str" cm="1">
        <f t="array" ref="C640">IFERROR(INDEX('03.Muestra'!$F$8:$F$42,SMALL(IF("Página Web"='03.Muestra'!$D$8:$D$42,ROW('03.Muestra'!$F$8:$F$42)-MIN(ROW('03.Muestra'!$D$8:$D$42))+1,""),ROW()-626)),"")</f>
        <v>https://www.portcastello.com/</v>
      </c>
      <c r="D640" s="130" t="str">
        <f t="shared" si="33"/>
        <v>N/T</v>
      </c>
      <c r="E640" s="107" t="str">
        <f t="shared" si="32"/>
        <v/>
      </c>
      <c r="F640" s="19"/>
      <c r="G640" s="19"/>
      <c r="H640" s="19"/>
      <c r="I640" s="19"/>
      <c r="J640" s="19"/>
      <c r="K640" s="233"/>
      <c r="L640" s="19"/>
      <c r="M640" s="19"/>
      <c r="N640" s="19"/>
      <c r="O640" s="19"/>
      <c r="P640" s="19"/>
      <c r="Q640" s="19"/>
      <c r="R640" s="19"/>
      <c r="S640" s="19"/>
      <c r="T640" s="19"/>
      <c r="U640" s="19"/>
      <c r="V640" s="19"/>
      <c r="W640" s="19"/>
      <c r="X640" s="19"/>
      <c r="Y640" s="19"/>
    </row>
    <row r="641" spans="1:25" ht="12" customHeight="1">
      <c r="A641" s="219" t="n" cm="1">
        <f t="array" ref="A641">IFERROR(INDEX('03.Muestra'!$B$8:$B$42,SMALL(IF("Página Web"='03.Muestra'!$D$8:$D$42,ROW('03.Muestra'!$B$8:$B$42)-MIN(ROW('03.Muestra'!$D$8:$D$42))+1,""),ROW()-626)),"")</f>
        <v>1.0</v>
      </c>
      <c r="B641" s="114" t="str" cm="1">
        <f t="array" ref="B641">IFERROR(INDEX('03.Muestra'!$C$8:$C$42,SMALL(IF("Página Web"='03.Muestra'!$D$8:$D$42,ROW('03.Muestra'!$C$8:$C$42)-MIN(ROW('03.Muestra'!$D$8:$D$42))+1,""),ROW()-626)),"")</f>
        <v>Home - PortCastelló</v>
      </c>
      <c r="C641" s="114" t="str" cm="1">
        <f t="array" ref="C641">IFERROR(INDEX('03.Muestra'!$F$8:$F$42,SMALL(IF("Página Web"='03.Muestra'!$D$8:$D$42,ROW('03.Muestra'!$F$8:$F$42)-MIN(ROW('03.Muestra'!$D$8:$D$42))+1,""),ROW()-626)),"")</f>
        <v>https://www.portcastello.com/</v>
      </c>
      <c r="D641" s="130" t="str">
        <f t="shared" si="33"/>
        <v>N/T</v>
      </c>
      <c r="E641" s="107" t="str">
        <f t="shared" si="32"/>
        <v/>
      </c>
      <c r="F641" s="19"/>
      <c r="G641" s="19"/>
      <c r="H641" s="19"/>
      <c r="I641" s="19"/>
      <c r="J641" s="19"/>
      <c r="K641" s="233"/>
      <c r="L641" s="19"/>
      <c r="M641" s="19"/>
      <c r="N641" s="19"/>
      <c r="O641" s="19"/>
      <c r="P641" s="19"/>
      <c r="Q641" s="19"/>
      <c r="R641" s="19"/>
      <c r="S641" s="19"/>
      <c r="T641" s="19"/>
      <c r="U641" s="19"/>
      <c r="V641" s="19"/>
      <c r="W641" s="19"/>
      <c r="X641" s="19"/>
      <c r="Y641" s="19"/>
    </row>
    <row r="642" spans="1:25" ht="12" customHeight="1">
      <c r="A642" s="219" t="n" cm="1">
        <f t="array" ref="A642">IFERROR(INDEX('03.Muestra'!$B$8:$B$42,SMALL(IF("Página Web"='03.Muestra'!$D$8:$D$42,ROW('03.Muestra'!$B$8:$B$42)-MIN(ROW('03.Muestra'!$D$8:$D$42))+1,""),ROW()-626)),"")</f>
        <v>1.0</v>
      </c>
      <c r="B642" s="114" t="str" cm="1">
        <f t="array" ref="B642">IFERROR(INDEX('03.Muestra'!$C$8:$C$42,SMALL(IF("Página Web"='03.Muestra'!$D$8:$D$42,ROW('03.Muestra'!$C$8:$C$42)-MIN(ROW('03.Muestra'!$D$8:$D$42))+1,""),ROW()-626)),"")</f>
        <v>Home - PortCastelló</v>
      </c>
      <c r="C642" s="114" t="str" cm="1">
        <f t="array" ref="C642">IFERROR(INDEX('03.Muestra'!$F$8:$F$42,SMALL(IF("Página Web"='03.Muestra'!$D$8:$D$42,ROW('03.Muestra'!$F$8:$F$42)-MIN(ROW('03.Muestra'!$D$8:$D$42))+1,""),ROW()-626)),"")</f>
        <v>https://www.portcastello.com/</v>
      </c>
      <c r="D642" s="130" t="str">
        <f t="shared" si="33"/>
        <v>N/T</v>
      </c>
      <c r="E642" s="107" t="str">
        <f t="shared" si="32"/>
        <v/>
      </c>
      <c r="F642" s="19"/>
      <c r="G642" s="19"/>
      <c r="H642" s="19"/>
      <c r="I642" s="19"/>
      <c r="J642" s="19"/>
      <c r="K642" s="233"/>
      <c r="L642" s="19"/>
      <c r="M642" s="19"/>
      <c r="N642" s="19"/>
      <c r="O642" s="19"/>
      <c r="P642" s="19"/>
      <c r="Q642" s="19"/>
      <c r="R642" s="19"/>
      <c r="S642" s="19"/>
      <c r="T642" s="19"/>
      <c r="U642" s="19"/>
      <c r="V642" s="19"/>
      <c r="W642" s="19"/>
      <c r="X642" s="19"/>
      <c r="Y642" s="19"/>
    </row>
    <row r="643" spans="1:25" ht="12" customHeight="1">
      <c r="A643" s="219" t="n" cm="1">
        <f t="array" ref="A643">IFERROR(INDEX('03.Muestra'!$B$8:$B$42,SMALL(IF("Página Web"='03.Muestra'!$D$8:$D$42,ROW('03.Muestra'!$B$8:$B$42)-MIN(ROW('03.Muestra'!$D$8:$D$42))+1,""),ROW()-626)),"")</f>
        <v>1.0</v>
      </c>
      <c r="B643" s="114" t="str" cm="1">
        <f t="array" ref="B643">IFERROR(INDEX('03.Muestra'!$C$8:$C$42,SMALL(IF("Página Web"='03.Muestra'!$D$8:$D$42,ROW('03.Muestra'!$C$8:$C$42)-MIN(ROW('03.Muestra'!$D$8:$D$42))+1,""),ROW()-626)),"")</f>
        <v>Home - PortCastelló</v>
      </c>
      <c r="C643" s="114" t="str" cm="1">
        <f t="array" ref="C643">IFERROR(INDEX('03.Muestra'!$F$8:$F$42,SMALL(IF("Página Web"='03.Muestra'!$D$8:$D$42,ROW('03.Muestra'!$F$8:$F$42)-MIN(ROW('03.Muestra'!$D$8:$D$42))+1,""),ROW()-626)),"")</f>
        <v>https://www.portcastello.com/</v>
      </c>
      <c r="D643" s="130" t="str">
        <f t="shared" si="33"/>
        <v>N/T</v>
      </c>
      <c r="E643" s="107" t="str">
        <f t="shared" si="32"/>
        <v/>
      </c>
      <c r="F643" s="19"/>
      <c r="G643" s="19"/>
      <c r="H643" s="19"/>
      <c r="I643" s="19"/>
      <c r="J643" s="19"/>
      <c r="K643" s="233"/>
      <c r="L643" s="19"/>
      <c r="M643" s="19"/>
      <c r="N643" s="19"/>
      <c r="O643" s="19"/>
      <c r="P643" s="19"/>
      <c r="Q643" s="19"/>
      <c r="R643" s="19"/>
      <c r="S643" s="19"/>
      <c r="T643" s="19"/>
      <c r="U643" s="19"/>
      <c r="V643" s="19"/>
      <c r="W643" s="19"/>
      <c r="X643" s="19"/>
      <c r="Y643" s="19"/>
    </row>
    <row r="644" spans="1:25" ht="12" customHeight="1">
      <c r="A644" s="219" t="n" cm="1">
        <f t="array" ref="A644">IFERROR(INDEX('03.Muestra'!$B$8:$B$42,SMALL(IF("Página Web"='03.Muestra'!$D$8:$D$42,ROW('03.Muestra'!$B$8:$B$42)-MIN(ROW('03.Muestra'!$D$8:$D$42))+1,""),ROW()-626)),"")</f>
        <v>1.0</v>
      </c>
      <c r="B644" s="114" t="str" cm="1">
        <f t="array" ref="B644">IFERROR(INDEX('03.Muestra'!$C$8:$C$42,SMALL(IF("Página Web"='03.Muestra'!$D$8:$D$42,ROW('03.Muestra'!$C$8:$C$42)-MIN(ROW('03.Muestra'!$D$8:$D$42))+1,""),ROW()-626)),"")</f>
        <v>Home - PortCastelló</v>
      </c>
      <c r="C644" s="114" t="str" cm="1">
        <f t="array" ref="C644">IFERROR(INDEX('03.Muestra'!$F$8:$F$42,SMALL(IF("Página Web"='03.Muestra'!$D$8:$D$42,ROW('03.Muestra'!$F$8:$F$42)-MIN(ROW('03.Muestra'!$D$8:$D$42))+1,""),ROW()-626)),"")</f>
        <v>https://www.portcastello.com/</v>
      </c>
      <c r="D644" s="130" t="str">
        <f t="shared" si="33"/>
        <v>N/T</v>
      </c>
      <c r="E644" s="107" t="str">
        <f t="shared" si="32"/>
        <v/>
      </c>
      <c r="F644" s="19"/>
      <c r="G644" s="19"/>
      <c r="H644" s="19"/>
      <c r="I644" s="19"/>
      <c r="J644" s="19"/>
      <c r="K644" s="233"/>
      <c r="L644" s="19"/>
      <c r="M644" s="19"/>
      <c r="N644" s="19"/>
      <c r="O644" s="19"/>
      <c r="P644" s="19"/>
      <c r="Q644" s="19"/>
      <c r="R644" s="19"/>
      <c r="S644" s="19"/>
      <c r="T644" s="19"/>
      <c r="U644" s="19"/>
      <c r="V644" s="19"/>
      <c r="W644" s="19"/>
      <c r="X644" s="19"/>
      <c r="Y644" s="19"/>
    </row>
    <row r="645" spans="1:25" ht="12" customHeight="1">
      <c r="A645" s="219" t="n" cm="1">
        <f t="array" ref="A645">IFERROR(INDEX('03.Muestra'!$B$8:$B$42,SMALL(IF("Página Web"='03.Muestra'!$D$8:$D$42,ROW('03.Muestra'!$B$8:$B$42)-MIN(ROW('03.Muestra'!$D$8:$D$42))+1,""),ROW()-626)),"")</f>
        <v>1.0</v>
      </c>
      <c r="B645" s="114" t="str" cm="1">
        <f t="array" ref="B645">IFERROR(INDEX('03.Muestra'!$C$8:$C$42,SMALL(IF("Página Web"='03.Muestra'!$D$8:$D$42,ROW('03.Muestra'!$C$8:$C$42)-MIN(ROW('03.Muestra'!$D$8:$D$42))+1,""),ROW()-626)),"")</f>
        <v>Home - PortCastelló</v>
      </c>
      <c r="C645" s="114" t="str" cm="1">
        <f t="array" ref="C645">IFERROR(INDEX('03.Muestra'!$F$8:$F$42,SMALL(IF("Página Web"='03.Muestra'!$D$8:$D$42,ROW('03.Muestra'!$F$8:$F$42)-MIN(ROW('03.Muestra'!$D$8:$D$42))+1,""),ROW()-626)),"")</f>
        <v>https://www.portcastello.com/</v>
      </c>
      <c r="D645" s="130" t="str">
        <f t="shared" si="33"/>
        <v>N/T</v>
      </c>
      <c r="E645" s="107" t="str">
        <f t="shared" si="32"/>
        <v/>
      </c>
      <c r="F645" s="19"/>
      <c r="G645" s="19"/>
      <c r="H645" s="19"/>
      <c r="I645" s="19"/>
      <c r="J645" s="19"/>
      <c r="K645" s="233"/>
      <c r="L645" s="19"/>
      <c r="M645" s="19"/>
      <c r="N645" s="19"/>
      <c r="O645" s="19"/>
      <c r="P645" s="19"/>
      <c r="Q645" s="19"/>
      <c r="R645" s="19"/>
      <c r="S645" s="19"/>
      <c r="T645" s="19"/>
      <c r="U645" s="19"/>
      <c r="V645" s="19"/>
      <c r="W645" s="19"/>
      <c r="X645" s="19"/>
      <c r="Y645" s="19"/>
    </row>
    <row r="646" spans="1:25" ht="12" customHeight="1">
      <c r="A646" s="219" t="n" cm="1">
        <f t="array" ref="A646">IFERROR(INDEX('03.Muestra'!$B$8:$B$42,SMALL(IF("Página Web"='03.Muestra'!$D$8:$D$42,ROW('03.Muestra'!$B$8:$B$42)-MIN(ROW('03.Muestra'!$D$8:$D$42))+1,""),ROW()-626)),"")</f>
        <v>1.0</v>
      </c>
      <c r="B646" s="114" t="str" cm="1">
        <f t="array" ref="B646">IFERROR(INDEX('03.Muestra'!$C$8:$C$42,SMALL(IF("Página Web"='03.Muestra'!$D$8:$D$42,ROW('03.Muestra'!$C$8:$C$42)-MIN(ROW('03.Muestra'!$D$8:$D$42))+1,""),ROW()-626)),"")</f>
        <v>Home - PortCastelló</v>
      </c>
      <c r="C646" s="114" t="str" cm="1">
        <f t="array" ref="C646">IFERROR(INDEX('03.Muestra'!$F$8:$F$42,SMALL(IF("Página Web"='03.Muestra'!$D$8:$D$42,ROW('03.Muestra'!$F$8:$F$42)-MIN(ROW('03.Muestra'!$D$8:$D$42))+1,""),ROW()-626)),"")</f>
        <v>https://www.portcastello.com/</v>
      </c>
      <c r="D646" s="130" t="str">
        <f t="shared" si="33"/>
        <v>N/T</v>
      </c>
      <c r="E646" s="107" t="str">
        <f t="shared" si="32"/>
        <v/>
      </c>
      <c r="F646" s="19"/>
      <c r="G646" s="19"/>
      <c r="H646" s="19"/>
      <c r="I646" s="19"/>
      <c r="J646" s="19"/>
      <c r="K646" s="233"/>
      <c r="L646" s="19"/>
      <c r="M646" s="19"/>
      <c r="N646" s="19"/>
      <c r="O646" s="19"/>
      <c r="P646" s="19"/>
      <c r="Q646" s="19"/>
      <c r="R646" s="19"/>
      <c r="S646" s="19"/>
      <c r="T646" s="19"/>
      <c r="U646" s="19"/>
      <c r="V646" s="19"/>
      <c r="W646" s="19"/>
      <c r="X646" s="19"/>
      <c r="Y646" s="19"/>
    </row>
    <row r="647" spans="1:25" ht="12" customHeight="1">
      <c r="A647" s="219" t="n" cm="1">
        <f t="array" ref="A647">IFERROR(INDEX('03.Muestra'!$B$8:$B$42,SMALL(IF("Página Web"='03.Muestra'!$D$8:$D$42,ROW('03.Muestra'!$B$8:$B$42)-MIN(ROW('03.Muestra'!$D$8:$D$42))+1,""),ROW()-626)),"")</f>
        <v>1.0</v>
      </c>
      <c r="B647" s="114" t="str" cm="1">
        <f t="array" ref="B647">IFERROR(INDEX('03.Muestra'!$C$8:$C$42,SMALL(IF("Página Web"='03.Muestra'!$D$8:$D$42,ROW('03.Muestra'!$C$8:$C$42)-MIN(ROW('03.Muestra'!$D$8:$D$42))+1,""),ROW()-626)),"")</f>
        <v>Home - PortCastelló</v>
      </c>
      <c r="C647" s="114" t="str" cm="1">
        <f t="array" ref="C647">IFERROR(INDEX('03.Muestra'!$F$8:$F$42,SMALL(IF("Página Web"='03.Muestra'!$D$8:$D$42,ROW('03.Muestra'!$F$8:$F$42)-MIN(ROW('03.Muestra'!$D$8:$D$42))+1,""),ROW()-626)),"")</f>
        <v>https://www.portcastello.com/</v>
      </c>
      <c r="D647" s="130" t="str">
        <f t="shared" si="33"/>
        <v>N/T</v>
      </c>
      <c r="E647" s="107" t="str">
        <f t="shared" si="32"/>
        <v/>
      </c>
      <c r="F647" s="19"/>
      <c r="G647" s="19"/>
      <c r="H647" s="19"/>
      <c r="I647" s="19"/>
      <c r="J647" s="19"/>
      <c r="K647" s="233"/>
      <c r="L647" s="19"/>
      <c r="M647" s="19"/>
      <c r="N647" s="19"/>
      <c r="O647" s="19"/>
      <c r="P647" s="19"/>
      <c r="Q647" s="19"/>
      <c r="R647" s="19"/>
      <c r="S647" s="19"/>
      <c r="T647" s="19"/>
      <c r="U647" s="19"/>
      <c r="V647" s="19"/>
      <c r="W647" s="19"/>
      <c r="X647" s="19"/>
      <c r="Y647" s="19"/>
    </row>
    <row r="648" spans="1:25" ht="12" customHeight="1">
      <c r="A648" s="219" t="n" cm="1">
        <f t="array" ref="A648">IFERROR(INDEX('03.Muestra'!$B$8:$B$42,SMALL(IF("Página Web"='03.Muestra'!$D$8:$D$42,ROW('03.Muestra'!$B$8:$B$42)-MIN(ROW('03.Muestra'!$D$8:$D$42))+1,""),ROW()-626)),"")</f>
        <v>1.0</v>
      </c>
      <c r="B648" s="114" t="str" cm="1">
        <f t="array" ref="B648">IFERROR(INDEX('03.Muestra'!$C$8:$C$42,SMALL(IF("Página Web"='03.Muestra'!$D$8:$D$42,ROW('03.Muestra'!$C$8:$C$42)-MIN(ROW('03.Muestra'!$D$8:$D$42))+1,""),ROW()-626)),"")</f>
        <v>Home - PortCastelló</v>
      </c>
      <c r="C648" s="114" t="str" cm="1">
        <f t="array" ref="C648">IFERROR(INDEX('03.Muestra'!$F$8:$F$42,SMALL(IF("Página Web"='03.Muestra'!$D$8:$D$42,ROW('03.Muestra'!$F$8:$F$42)-MIN(ROW('03.Muestra'!$D$8:$D$42))+1,""),ROW()-626)),"")</f>
        <v>https://www.portcastello.com/</v>
      </c>
      <c r="D648" s="130" t="str">
        <f t="shared" si="33"/>
        <v>N/T</v>
      </c>
      <c r="E648" s="107" t="str">
        <f t="shared" si="32"/>
        <v/>
      </c>
      <c r="F648" s="19"/>
      <c r="G648" s="19"/>
      <c r="H648" s="19"/>
      <c r="I648" s="19"/>
      <c r="J648" s="19"/>
      <c r="K648" s="233"/>
      <c r="L648" s="19"/>
      <c r="M648" s="19"/>
      <c r="N648" s="19"/>
      <c r="O648" s="19"/>
      <c r="P648" s="19"/>
      <c r="Q648" s="19"/>
      <c r="R648" s="19"/>
      <c r="S648" s="19"/>
      <c r="T648" s="19"/>
      <c r="U648" s="19"/>
      <c r="V648" s="19"/>
      <c r="W648" s="19"/>
      <c r="X648" s="19"/>
      <c r="Y648" s="19"/>
    </row>
    <row r="649" spans="1:25" ht="12" customHeight="1">
      <c r="A649" s="219" t="n" cm="1">
        <f t="array" ref="A649">IFERROR(INDEX('03.Muestra'!$B$8:$B$42,SMALL(IF("Página Web"='03.Muestra'!$D$8:$D$42,ROW('03.Muestra'!$B$8:$B$42)-MIN(ROW('03.Muestra'!$D$8:$D$42))+1,""),ROW()-626)),"")</f>
        <v>1.0</v>
      </c>
      <c r="B649" s="114" t="str" cm="1">
        <f t="array" ref="B649">IFERROR(INDEX('03.Muestra'!$C$8:$C$42,SMALL(IF("Página Web"='03.Muestra'!$D$8:$D$42,ROW('03.Muestra'!$C$8:$C$42)-MIN(ROW('03.Muestra'!$D$8:$D$42))+1,""),ROW()-626)),"")</f>
        <v>Home - PortCastelló</v>
      </c>
      <c r="C649" s="114" t="str" cm="1">
        <f t="array" ref="C649">IFERROR(INDEX('03.Muestra'!$F$8:$F$42,SMALL(IF("Página Web"='03.Muestra'!$D$8:$D$42,ROW('03.Muestra'!$F$8:$F$42)-MIN(ROW('03.Muestra'!$D$8:$D$42))+1,""),ROW()-626)),"")</f>
        <v>https://www.portcastello.com/</v>
      </c>
      <c r="D649" s="130" t="str">
        <f t="shared" si="33"/>
        <v>N/T</v>
      </c>
      <c r="E649" s="107" t="str">
        <f t="shared" si="32"/>
        <v/>
      </c>
      <c r="F649" s="19"/>
      <c r="G649" s="19"/>
      <c r="H649" s="19"/>
      <c r="I649" s="19"/>
      <c r="J649" s="19"/>
      <c r="K649" s="233"/>
      <c r="L649" s="19"/>
      <c r="M649" s="19"/>
      <c r="N649" s="19"/>
      <c r="O649" s="19"/>
      <c r="P649" s="19"/>
      <c r="Q649" s="19"/>
      <c r="R649" s="19"/>
      <c r="S649" s="19"/>
      <c r="T649" s="19"/>
      <c r="U649" s="19"/>
      <c r="V649" s="19"/>
      <c r="W649" s="19"/>
      <c r="X649" s="19"/>
      <c r="Y649" s="19"/>
    </row>
    <row r="650" spans="1:25" ht="12" customHeight="1">
      <c r="A650" s="219" t="n" cm="1">
        <f t="array" ref="A650">IFERROR(INDEX('03.Muestra'!$B$8:$B$42,SMALL(IF("Página Web"='03.Muestra'!$D$8:$D$42,ROW('03.Muestra'!$B$8:$B$42)-MIN(ROW('03.Muestra'!$D$8:$D$42))+1,""),ROW()-626)),"")</f>
        <v>1.0</v>
      </c>
      <c r="B650" s="114" t="str" cm="1">
        <f t="array" ref="B650">IFERROR(INDEX('03.Muestra'!$C$8:$C$42,SMALL(IF("Página Web"='03.Muestra'!$D$8:$D$42,ROW('03.Muestra'!$C$8:$C$42)-MIN(ROW('03.Muestra'!$D$8:$D$42))+1,""),ROW()-626)),"")</f>
        <v>Home - PortCastelló</v>
      </c>
      <c r="C650" s="114" t="str" cm="1">
        <f t="array" ref="C650">IFERROR(INDEX('03.Muestra'!$F$8:$F$42,SMALL(IF("Página Web"='03.Muestra'!$D$8:$D$42,ROW('03.Muestra'!$F$8:$F$42)-MIN(ROW('03.Muestra'!$D$8:$D$42))+1,""),ROW()-626)),"")</f>
        <v>https://www.portcastello.com/</v>
      </c>
      <c r="D650" s="130" t="str">
        <f t="shared" si="33"/>
        <v>N/T</v>
      </c>
      <c r="E650" s="107" t="str">
        <f t="shared" si="32"/>
        <v/>
      </c>
      <c r="F650" s="19"/>
      <c r="G650" s="19"/>
      <c r="H650" s="19"/>
      <c r="I650" s="19"/>
      <c r="J650" s="19"/>
      <c r="K650" s="233"/>
      <c r="L650" s="19"/>
      <c r="M650" s="19"/>
      <c r="N650" s="19"/>
      <c r="O650" s="19"/>
      <c r="P650" s="19"/>
      <c r="Q650" s="19"/>
      <c r="R650" s="19"/>
      <c r="S650" s="19"/>
      <c r="T650" s="19"/>
      <c r="U650" s="19"/>
      <c r="V650" s="19"/>
      <c r="W650" s="19"/>
      <c r="X650" s="19"/>
      <c r="Y650" s="19"/>
    </row>
    <row r="651" spans="1:25" ht="12" customHeight="1">
      <c r="A651" s="219" t="n" cm="1">
        <f t="array" ref="A651">IFERROR(INDEX('03.Muestra'!$B$8:$B$42,SMALL(IF("Página Web"='03.Muestra'!$D$8:$D$42,ROW('03.Muestra'!$B$8:$B$42)-MIN(ROW('03.Muestra'!$D$8:$D$42))+1,""),ROW()-626)),"")</f>
        <v>1.0</v>
      </c>
      <c r="B651" s="114" t="str" cm="1">
        <f t="array" ref="B651">IFERROR(INDEX('03.Muestra'!$C$8:$C$42,SMALL(IF("Página Web"='03.Muestra'!$D$8:$D$42,ROW('03.Muestra'!$C$8:$C$42)-MIN(ROW('03.Muestra'!$D$8:$D$42))+1,""),ROW()-626)),"")</f>
        <v>Home - PortCastelló</v>
      </c>
      <c r="C651" s="114" t="str" cm="1">
        <f t="array" ref="C651">IFERROR(INDEX('03.Muestra'!$F$8:$F$42,SMALL(IF("Página Web"='03.Muestra'!$D$8:$D$42,ROW('03.Muestra'!$F$8:$F$42)-MIN(ROW('03.Muestra'!$D$8:$D$42))+1,""),ROW()-626)),"")</f>
        <v>https://www.portcastello.com/</v>
      </c>
      <c r="D651" s="130" t="str">
        <f t="shared" si="33"/>
        <v>N/T</v>
      </c>
      <c r="E651" s="107" t="str">
        <f t="shared" si="32"/>
        <v/>
      </c>
      <c r="F651" s="19"/>
      <c r="G651" s="19"/>
      <c r="H651" s="19"/>
      <c r="I651" s="19"/>
      <c r="J651" s="19"/>
      <c r="K651" s="233"/>
      <c r="L651" s="19"/>
      <c r="M651" s="19"/>
      <c r="N651" s="19"/>
      <c r="O651" s="19"/>
      <c r="P651" s="19"/>
      <c r="Q651" s="19"/>
      <c r="R651" s="19"/>
      <c r="S651" s="19"/>
      <c r="T651" s="19"/>
      <c r="U651" s="19"/>
      <c r="V651" s="19"/>
      <c r="W651" s="19"/>
      <c r="X651" s="19"/>
      <c r="Y651" s="19"/>
    </row>
    <row r="652" spans="1:25" ht="12" customHeight="1">
      <c r="A652" s="219" t="n" cm="1">
        <f t="array" ref="A652">IFERROR(INDEX('03.Muestra'!$B$8:$B$42,SMALL(IF("Página Web"='03.Muestra'!$D$8:$D$42,ROW('03.Muestra'!$B$8:$B$42)-MIN(ROW('03.Muestra'!$D$8:$D$42))+1,""),ROW()-626)),"")</f>
        <v>1.0</v>
      </c>
      <c r="B652" s="114" t="str" cm="1">
        <f t="array" ref="B652">IFERROR(INDEX('03.Muestra'!$C$8:$C$42,SMALL(IF("Página Web"='03.Muestra'!$D$8:$D$42,ROW('03.Muestra'!$C$8:$C$42)-MIN(ROW('03.Muestra'!$D$8:$D$42))+1,""),ROW()-626)),"")</f>
        <v>Home - PortCastelló</v>
      </c>
      <c r="C652" s="114" t="str" cm="1">
        <f t="array" ref="C652">IFERROR(INDEX('03.Muestra'!$F$8:$F$42,SMALL(IF("Página Web"='03.Muestra'!$D$8:$D$42,ROW('03.Muestra'!$F$8:$F$42)-MIN(ROW('03.Muestra'!$D$8:$D$42))+1,""),ROW()-626)),"")</f>
        <v>https://www.portcastello.com/</v>
      </c>
      <c r="D652" s="130" t="str">
        <f t="shared" si="33"/>
        <v>N/T</v>
      </c>
      <c r="E652" s="107" t="str">
        <f t="shared" si="32"/>
        <v/>
      </c>
      <c r="F652" s="19"/>
      <c r="G652" s="19"/>
      <c r="H652" s="19"/>
      <c r="I652" s="19"/>
      <c r="J652" s="19"/>
      <c r="K652" s="233"/>
      <c r="L652" s="19"/>
      <c r="M652" s="19"/>
      <c r="N652" s="19"/>
      <c r="O652" s="19"/>
      <c r="P652" s="19"/>
      <c r="Q652" s="19"/>
      <c r="R652" s="19"/>
      <c r="S652" s="19"/>
      <c r="T652" s="19"/>
      <c r="U652" s="19"/>
      <c r="V652" s="19"/>
      <c r="W652" s="19"/>
      <c r="X652" s="19"/>
      <c r="Y652" s="19"/>
    </row>
    <row r="653" spans="1:25" ht="12" customHeight="1">
      <c r="A653" s="219" t="n" cm="1">
        <f t="array" ref="A653">IFERROR(INDEX('03.Muestra'!$B$8:$B$42,SMALL(IF("Página Web"='03.Muestra'!$D$8:$D$42,ROW('03.Muestra'!$B$8:$B$42)-MIN(ROW('03.Muestra'!$D$8:$D$42))+1,""),ROW()-626)),"")</f>
        <v>1.0</v>
      </c>
      <c r="B653" s="114" t="str" cm="1">
        <f t="array" ref="B653">IFERROR(INDEX('03.Muestra'!$C$8:$C$42,SMALL(IF("Página Web"='03.Muestra'!$D$8:$D$42,ROW('03.Muestra'!$C$8:$C$42)-MIN(ROW('03.Muestra'!$D$8:$D$42))+1,""),ROW()-626)),"")</f>
        <v>Home - PortCastelló</v>
      </c>
      <c r="C653" s="114" t="str" cm="1">
        <f t="array" ref="C653">IFERROR(INDEX('03.Muestra'!$F$8:$F$42,SMALL(IF("Página Web"='03.Muestra'!$D$8:$D$42,ROW('03.Muestra'!$F$8:$F$42)-MIN(ROW('03.Muestra'!$D$8:$D$42))+1,""),ROW()-626)),"")</f>
        <v>https://www.portcastello.com/</v>
      </c>
      <c r="D653" s="130" t="str">
        <f t="shared" si="33"/>
        <v>N/T</v>
      </c>
      <c r="E653" s="107" t="str">
        <f t="shared" si="32"/>
        <v/>
      </c>
      <c r="F653" s="19"/>
      <c r="G653" s="19"/>
      <c r="H653" s="19"/>
      <c r="I653" s="19"/>
      <c r="J653" s="19"/>
      <c r="K653" s="233"/>
      <c r="L653" s="19"/>
      <c r="M653" s="19"/>
      <c r="N653" s="19"/>
      <c r="O653" s="19"/>
      <c r="P653" s="19"/>
      <c r="Q653" s="19"/>
      <c r="R653" s="19"/>
      <c r="S653" s="19"/>
      <c r="T653" s="19"/>
      <c r="U653" s="19"/>
      <c r="V653" s="19"/>
      <c r="W653" s="19"/>
      <c r="X653" s="19"/>
      <c r="Y653" s="19"/>
    </row>
    <row r="654" spans="1:25" ht="12" customHeight="1">
      <c r="A654" s="219" t="n" cm="1">
        <f t="array" ref="A654">IFERROR(INDEX('03.Muestra'!$B$8:$B$42,SMALL(IF("Página Web"='03.Muestra'!$D$8:$D$42,ROW('03.Muestra'!$B$8:$B$42)-MIN(ROW('03.Muestra'!$D$8:$D$42))+1,""),ROW()-626)),"")</f>
        <v>1.0</v>
      </c>
      <c r="B654" s="114" t="str" cm="1">
        <f t="array" ref="B654">IFERROR(INDEX('03.Muestra'!$C$8:$C$42,SMALL(IF("Página Web"='03.Muestra'!$D$8:$D$42,ROW('03.Muestra'!$C$8:$C$42)-MIN(ROW('03.Muestra'!$D$8:$D$42))+1,""),ROW()-626)),"")</f>
        <v>Home - PortCastelló</v>
      </c>
      <c r="C654" s="114" t="str" cm="1">
        <f t="array" ref="C654">IFERROR(INDEX('03.Muestra'!$F$8:$F$42,SMALL(IF("Página Web"='03.Muestra'!$D$8:$D$42,ROW('03.Muestra'!$F$8:$F$42)-MIN(ROW('03.Muestra'!$D$8:$D$42))+1,""),ROW()-626)),"")</f>
        <v>https://www.portcastello.com/</v>
      </c>
      <c r="D654" s="130" t="str">
        <f t="shared" si="33"/>
        <v>N/T</v>
      </c>
      <c r="E654" s="107" t="str">
        <f t="shared" si="32"/>
        <v/>
      </c>
      <c r="G654" s="19"/>
      <c r="H654" s="19"/>
      <c r="I654" s="19"/>
      <c r="J654" s="19"/>
      <c r="K654" s="233"/>
      <c r="L654" s="19"/>
      <c r="M654" s="19"/>
      <c r="N654" s="19"/>
      <c r="O654" s="19"/>
      <c r="P654" s="19"/>
      <c r="Q654" s="19"/>
      <c r="R654" s="19"/>
      <c r="S654" s="19"/>
      <c r="T654" s="19"/>
      <c r="U654" s="19"/>
      <c r="V654" s="19"/>
      <c r="W654" s="19"/>
      <c r="X654" s="19"/>
      <c r="Y654" s="19"/>
    </row>
    <row r="655" spans="1:25" ht="12" customHeight="1">
      <c r="A655" s="219" t="n" cm="1">
        <f t="array" ref="A655">IFERROR(INDEX('03.Muestra'!$B$8:$B$42,SMALL(IF("Página Web"='03.Muestra'!$D$8:$D$42,ROW('03.Muestra'!$B$8:$B$42)-MIN(ROW('03.Muestra'!$D$8:$D$42))+1,""),ROW()-626)),"")</f>
        <v>1.0</v>
      </c>
      <c r="B655" s="114" t="str" cm="1">
        <f t="array" ref="B655">IFERROR(INDEX('03.Muestra'!$C$8:$C$42,SMALL(IF("Página Web"='03.Muestra'!$D$8:$D$42,ROW('03.Muestra'!$C$8:$C$42)-MIN(ROW('03.Muestra'!$D$8:$D$42))+1,""),ROW()-626)),"")</f>
        <v>Home - PortCastelló</v>
      </c>
      <c r="C655" s="114" t="str" cm="1">
        <f t="array" ref="C655">IFERROR(INDEX('03.Muestra'!$F$8:$F$42,SMALL(IF("Página Web"='03.Muestra'!$D$8:$D$42,ROW('03.Muestra'!$F$8:$F$42)-MIN(ROW('03.Muestra'!$D$8:$D$42))+1,""),ROW()-626)),"")</f>
        <v>https://www.portcastello.com/</v>
      </c>
      <c r="D655" s="130" t="str">
        <f t="shared" si="33"/>
        <v>N/T</v>
      </c>
      <c r="E655" s="107" t="str">
        <f t="shared" si="32"/>
        <v/>
      </c>
      <c r="F655" s="124"/>
      <c r="G655" s="19"/>
      <c r="H655" s="19"/>
      <c r="I655" s="19"/>
      <c r="J655" s="19"/>
      <c r="K655" s="233"/>
      <c r="L655" s="19"/>
      <c r="M655" s="19"/>
      <c r="N655" s="19"/>
      <c r="O655" s="19"/>
      <c r="P655" s="19"/>
      <c r="Q655" s="19"/>
      <c r="R655" s="19"/>
      <c r="S655" s="19"/>
      <c r="T655" s="19"/>
      <c r="U655" s="19"/>
      <c r="V655" s="19"/>
      <c r="W655" s="19"/>
      <c r="X655" s="19"/>
      <c r="Y655" s="19"/>
    </row>
    <row r="656" spans="1:25" ht="12" customHeight="1">
      <c r="A656" s="219" t="n" cm="1">
        <f t="array" ref="A656">IFERROR(INDEX('03.Muestra'!$B$8:$B$42,SMALL(IF("Página Web"='03.Muestra'!$D$8:$D$42,ROW('03.Muestra'!$B$8:$B$42)-MIN(ROW('03.Muestra'!$D$8:$D$42))+1,""),ROW()-626)),"")</f>
        <v>1.0</v>
      </c>
      <c r="B656" s="114" t="str" cm="1">
        <f t="array" ref="B656">IFERROR(INDEX('03.Muestra'!$C$8:$C$42,SMALL(IF("Página Web"='03.Muestra'!$D$8:$D$42,ROW('03.Muestra'!$C$8:$C$42)-MIN(ROW('03.Muestra'!$D$8:$D$42))+1,""),ROW()-626)),"")</f>
        <v>Home - PortCastelló</v>
      </c>
      <c r="C656" s="114" t="str" cm="1">
        <f t="array" ref="C656">IFERROR(INDEX('03.Muestra'!$F$8:$F$42,SMALL(IF("Página Web"='03.Muestra'!$D$8:$D$42,ROW('03.Muestra'!$F$8:$F$42)-MIN(ROW('03.Muestra'!$D$8:$D$42))+1,""),ROW()-626)),"")</f>
        <v>https://www.portcastello.com/</v>
      </c>
      <c r="D656" s="130" t="str">
        <f t="shared" si="33"/>
        <v>N/T</v>
      </c>
      <c r="E656" s="107" t="str">
        <f t="shared" si="32"/>
        <v/>
      </c>
      <c r="F656" s="124"/>
      <c r="G656" s="19"/>
      <c r="H656" s="19"/>
      <c r="I656" s="19"/>
      <c r="J656" s="19"/>
      <c r="K656" s="233"/>
      <c r="L656" s="19"/>
      <c r="M656" s="19"/>
      <c r="N656" s="19"/>
      <c r="O656" s="19"/>
      <c r="P656" s="19"/>
      <c r="Q656" s="19"/>
      <c r="R656" s="19"/>
      <c r="S656" s="19"/>
      <c r="T656" s="19"/>
      <c r="U656" s="19"/>
      <c r="V656" s="19"/>
      <c r="W656" s="19"/>
      <c r="X656" s="19"/>
      <c r="Y656" s="19"/>
    </row>
    <row r="657" spans="1:25" ht="12" customHeight="1">
      <c r="A657" s="219" t="n" cm="1">
        <f t="array" ref="A657">IFERROR(INDEX('03.Muestra'!$B$8:$B$42,SMALL(IF("Página Web"='03.Muestra'!$D$8:$D$42,ROW('03.Muestra'!$B$8:$B$42)-MIN(ROW('03.Muestra'!$D$8:$D$42))+1,""),ROW()-626)),"")</f>
        <v>1.0</v>
      </c>
      <c r="B657" s="114" t="str" cm="1">
        <f t="array" ref="B657">IFERROR(INDEX('03.Muestra'!$C$8:$C$42,SMALL(IF("Página Web"='03.Muestra'!$D$8:$D$42,ROW('03.Muestra'!$C$8:$C$42)-MIN(ROW('03.Muestra'!$D$8:$D$42))+1,""),ROW()-626)),"")</f>
        <v>Home - PortCastelló</v>
      </c>
      <c r="C657" s="114" t="str" cm="1">
        <f t="array" ref="C657">IFERROR(INDEX('03.Muestra'!$F$8:$F$42,SMALL(IF("Página Web"='03.Muestra'!$D$8:$D$42,ROW('03.Muestra'!$F$8:$F$42)-MIN(ROW('03.Muestra'!$D$8:$D$42))+1,""),ROW()-626)),"")</f>
        <v>https://www.portcastello.com/</v>
      </c>
      <c r="D657" s="130" t="str">
        <f t="shared" si="33"/>
        <v>N/T</v>
      </c>
      <c r="E657" s="107" t="str">
        <f t="shared" si="32"/>
        <v/>
      </c>
      <c r="F657" s="124"/>
      <c r="G657" s="19"/>
      <c r="H657" s="19"/>
      <c r="I657" s="19"/>
      <c r="J657" s="19"/>
      <c r="K657" s="233"/>
      <c r="L657" s="19"/>
      <c r="M657" s="19"/>
      <c r="N657" s="19"/>
      <c r="O657" s="19"/>
      <c r="P657" s="19"/>
      <c r="Q657" s="19"/>
      <c r="R657" s="19"/>
      <c r="S657" s="19"/>
      <c r="T657" s="19"/>
      <c r="U657" s="19"/>
      <c r="V657" s="19"/>
      <c r="W657" s="19"/>
      <c r="X657" s="19"/>
      <c r="Y657" s="19"/>
    </row>
    <row r="658" spans="1:25" ht="12" customHeight="1">
      <c r="A658" s="219" t="n" cm="1">
        <f t="array" ref="A658">IFERROR(INDEX('03.Muestra'!$B$8:$B$42,SMALL(IF("Página Web"='03.Muestra'!$D$8:$D$42,ROW('03.Muestra'!$B$8:$B$42)-MIN(ROW('03.Muestra'!$D$8:$D$42))+1,""),ROW()-626)),"")</f>
        <v>1.0</v>
      </c>
      <c r="B658" s="114" t="str" cm="1">
        <f t="array" ref="B658">IFERROR(INDEX('03.Muestra'!$C$8:$C$42,SMALL(IF("Página Web"='03.Muestra'!$D$8:$D$42,ROW('03.Muestra'!$C$8:$C$42)-MIN(ROW('03.Muestra'!$D$8:$D$42))+1,""),ROW()-626)),"")</f>
        <v>Home - PortCastelló</v>
      </c>
      <c r="C658" s="114" t="str" cm="1">
        <f t="array" ref="C658">IFERROR(INDEX('03.Muestra'!$F$8:$F$42,SMALL(IF("Página Web"='03.Muestra'!$D$8:$D$42,ROW('03.Muestra'!$F$8:$F$42)-MIN(ROW('03.Muestra'!$D$8:$D$42))+1,""),ROW()-626)),"")</f>
        <v>https://www.portcastello.com/</v>
      </c>
      <c r="D658" s="130" t="str">
        <f t="shared" si="33"/>
        <v>N/T</v>
      </c>
      <c r="E658" s="107" t="str">
        <f t="shared" si="32"/>
        <v/>
      </c>
      <c r="F658" s="124"/>
      <c r="G658" s="19"/>
      <c r="H658" s="19"/>
      <c r="I658" s="19"/>
      <c r="J658" s="19"/>
      <c r="K658" s="233"/>
      <c r="L658" s="19"/>
      <c r="M658" s="19"/>
      <c r="N658" s="19"/>
      <c r="O658" s="19"/>
      <c r="P658" s="19"/>
      <c r="Q658" s="19"/>
      <c r="R658" s="19"/>
      <c r="S658" s="19"/>
      <c r="T658" s="19"/>
      <c r="U658" s="19"/>
      <c r="V658" s="19"/>
      <c r="W658" s="19"/>
      <c r="X658" s="19"/>
      <c r="Y658" s="19"/>
    </row>
    <row r="659" spans="1:25" ht="12" customHeight="1">
      <c r="A659" s="219" t="n" cm="1">
        <f t="array" ref="A659">IFERROR(INDEX('03.Muestra'!$B$8:$B$42,SMALL(IF("Página Web"='03.Muestra'!$D$8:$D$42,ROW('03.Muestra'!$B$8:$B$42)-MIN(ROW('03.Muestra'!$D$8:$D$42))+1,""),ROW()-626)),"")</f>
        <v>1.0</v>
      </c>
      <c r="B659" s="114" t="str" cm="1">
        <f t="array" ref="B659">IFERROR(INDEX('03.Muestra'!$C$8:$C$42,SMALL(IF("Página Web"='03.Muestra'!$D$8:$D$42,ROW('03.Muestra'!$C$8:$C$42)-MIN(ROW('03.Muestra'!$D$8:$D$42))+1,""),ROW()-626)),"")</f>
        <v>Home - PortCastelló</v>
      </c>
      <c r="C659" s="114" t="str" cm="1">
        <f t="array" ref="C659">IFERROR(INDEX('03.Muestra'!$F$8:$F$42,SMALL(IF("Página Web"='03.Muestra'!$D$8:$D$42,ROW('03.Muestra'!$F$8:$F$42)-MIN(ROW('03.Muestra'!$D$8:$D$42))+1,""),ROW()-626)),"")</f>
        <v>https://www.portcastello.com/</v>
      </c>
      <c r="D659" s="130" t="str">
        <f t="shared" si="33"/>
        <v>N/T</v>
      </c>
      <c r="E659" s="107" t="str">
        <f t="shared" si="32"/>
        <v/>
      </c>
      <c r="F659" s="124"/>
      <c r="G659" s="19"/>
      <c r="H659" s="19"/>
      <c r="I659" s="19"/>
      <c r="J659" s="19"/>
      <c r="K659" s="233"/>
      <c r="L659" s="19"/>
      <c r="M659" s="19"/>
      <c r="N659" s="19"/>
      <c r="O659" s="19"/>
      <c r="P659" s="19"/>
      <c r="Q659" s="19"/>
      <c r="R659" s="19"/>
      <c r="S659" s="19"/>
      <c r="T659" s="19"/>
      <c r="U659" s="19"/>
      <c r="V659" s="19"/>
      <c r="W659" s="19"/>
      <c r="X659" s="19"/>
      <c r="Y659" s="19"/>
    </row>
    <row r="660" spans="1:25" ht="12" customHeight="1">
      <c r="A660" s="219" t="str" cm="1">
        <f t="array" ref="A660">IFERROR(INDEX('03.Muestra'!$B$8:$B$42,SMALL(IF("Página Web"='03.Muestra'!$D$8:$D$42,ROW('03.Muestra'!$B$8:$B$42)-MIN(ROW('03.Muestra'!$D$8:$D$42))+1,""),ROW()-626)),"")</f>
        <v/>
      </c>
      <c r="B660" s="114" t="str" cm="1">
        <f t="array" ref="B660">IFERROR(INDEX('03.Muestra'!$C$8:$C$42,SMALL(IF("Página Web"='03.Muestra'!$D$8:$D$42,ROW('03.Muestra'!$C$8:$C$42)-MIN(ROW('03.Muestra'!$D$8:$D$42))+1,""),ROW()-626)),"")</f>
        <v/>
      </c>
      <c r="C660" s="114" t="str" cm="1">
        <f t="array" ref="C660">IFERROR(INDEX('03.Muestra'!$F$8:$F$42,SMALL(IF("Página Web"='03.Muestra'!$D$8:$D$42,ROW('03.Muestra'!$F$8:$F$42)-MIN(ROW('03.Muestra'!$D$8:$D$42))+1,""),ROW()-626)),"")</f>
        <v/>
      </c>
      <c r="D660" s="130" t="str">
        <f t="shared" si="33"/>
        <v/>
      </c>
      <c r="E660" s="107" t="str">
        <f t="shared" si="32"/>
        <v/>
      </c>
      <c r="F660" s="124"/>
      <c r="G660" s="19"/>
      <c r="H660" s="19"/>
      <c r="I660" s="19"/>
      <c r="J660" s="19"/>
      <c r="K660" s="233"/>
      <c r="L660" s="19"/>
      <c r="M660" s="19"/>
      <c r="N660" s="19"/>
      <c r="O660" s="19"/>
      <c r="P660" s="19"/>
      <c r="Q660" s="19"/>
      <c r="R660" s="19"/>
      <c r="S660" s="19"/>
      <c r="T660" s="19"/>
      <c r="U660" s="19"/>
      <c r="V660" s="19"/>
      <c r="W660" s="19"/>
      <c r="X660" s="19"/>
      <c r="Y660" s="19"/>
    </row>
    <row r="661" spans="1:25" ht="12" customHeight="1">
      <c r="A661" s="219" t="str" cm="1">
        <f t="array" ref="A661">IFERROR(INDEX('03.Muestra'!$B$8:$B$42,SMALL(IF("Página Web"='03.Muestra'!$D$8:$D$42,ROW('03.Muestra'!$B$8:$B$42)-MIN(ROW('03.Muestra'!$D$8:$D$42))+1,""),ROW()-626)),"")</f>
        <v/>
      </c>
      <c r="B661" s="114" t="str" cm="1">
        <f t="array" ref="B661">IFERROR(INDEX('03.Muestra'!$C$8:$C$42,SMALL(IF("Página Web"='03.Muestra'!$D$8:$D$42,ROW('03.Muestra'!$C$8:$C$42)-MIN(ROW('03.Muestra'!$D$8:$D$42))+1,""),ROW()-626)),"")</f>
        <v/>
      </c>
      <c r="C661" s="114" t="str" cm="1">
        <f t="array" ref="C661">IFERROR(INDEX('03.Muestra'!$F$8:$F$42,SMALL(IF("Página Web"='03.Muestra'!$D$8:$D$42,ROW('03.Muestra'!$F$8:$F$42)-MIN(ROW('03.Muestra'!$D$8:$D$42))+1,""),ROW()-626)),"")</f>
        <v/>
      </c>
      <c r="D661" s="130" t="str">
        <f t="shared" si="33"/>
        <v/>
      </c>
      <c r="E661" s="107" t="str">
        <f t="shared" si="32"/>
        <v/>
      </c>
      <c r="F661" s="19"/>
      <c r="G661" s="19"/>
      <c r="H661" s="19"/>
      <c r="I661" s="19"/>
      <c r="J661" s="19"/>
      <c r="K661" s="233"/>
      <c r="L661" s="19"/>
      <c r="M661" s="19"/>
      <c r="N661" s="19"/>
      <c r="O661" s="19"/>
      <c r="P661" s="19"/>
      <c r="Q661" s="19"/>
      <c r="R661" s="19"/>
      <c r="S661" s="19"/>
      <c r="T661" s="19"/>
      <c r="U661" s="19"/>
      <c r="V661" s="19"/>
      <c r="W661" s="19"/>
      <c r="X661" s="19"/>
      <c r="Y661" s="19"/>
    </row>
    <row r="662" spans="1:25" ht="12" customHeight="1">
      <c r="B662" s="19"/>
      <c r="C662" s="19"/>
      <c r="D662" s="107"/>
      <c r="E662" s="107"/>
      <c r="F662" s="19"/>
      <c r="G662" s="19"/>
      <c r="H662" s="19"/>
      <c r="I662" s="19"/>
      <c r="J662" s="19"/>
      <c r="K662" s="233"/>
      <c r="L662" s="19"/>
      <c r="M662" s="19"/>
      <c r="N662" s="19"/>
      <c r="O662" s="19"/>
      <c r="P662" s="19"/>
      <c r="Q662" s="19"/>
      <c r="R662" s="19"/>
      <c r="S662" s="19"/>
      <c r="T662" s="19"/>
      <c r="U662" s="19"/>
      <c r="V662" s="19"/>
      <c r="W662" s="19"/>
      <c r="X662" s="19"/>
      <c r="Y662" s="19"/>
    </row>
    <row r="663" spans="1:25" ht="12" customHeight="1">
      <c r="B663" s="19"/>
      <c r="C663" s="19"/>
      <c r="D663" s="107"/>
      <c r="E663" s="112"/>
      <c r="F663" s="19"/>
      <c r="G663" s="19"/>
      <c r="H663" s="19"/>
      <c r="I663" s="19"/>
      <c r="J663" s="19"/>
      <c r="K663" s="233"/>
      <c r="L663" s="19"/>
      <c r="M663" s="19"/>
      <c r="N663" s="19"/>
      <c r="O663" s="19"/>
      <c r="P663" s="19"/>
      <c r="Q663" s="19"/>
      <c r="R663" s="19"/>
      <c r="S663" s="19"/>
      <c r="T663" s="19"/>
      <c r="U663" s="19"/>
      <c r="V663" s="19"/>
      <c r="W663" s="19"/>
      <c r="X663" s="19"/>
      <c r="Y663" s="19"/>
    </row>
    <row r="664" spans="1:25" ht="29.25" customHeight="1">
      <c r="A664" s="218" t="s">
        <v>268</v>
      </c>
      <c r="B664" s="24" t="s">
        <v>90</v>
      </c>
      <c r="C664" s="25" t="s">
        <v>390</v>
      </c>
      <c r="D664" s="26" t="s">
        <v>32</v>
      </c>
      <c r="E664" s="123"/>
      <c r="K664" s="233"/>
      <c r="L664" s="19"/>
      <c r="M664" s="19"/>
      <c r="N664" s="19"/>
      <c r="O664" s="19"/>
      <c r="P664" s="19"/>
      <c r="Q664" s="19"/>
      <c r="R664" s="19"/>
      <c r="S664" s="19"/>
      <c r="T664" s="19"/>
      <c r="U664" s="19"/>
      <c r="V664" s="19"/>
      <c r="W664" s="19"/>
      <c r="X664" s="19"/>
      <c r="Y664" s="19"/>
    </row>
    <row r="665" spans="1:25" ht="12" customHeight="1">
      <c r="A665" s="219" t="n" cm="1">
        <f t="array" ref="A665">IFERROR(INDEX('03.Muestra'!$B$8:$B$42,SMALL(IF("Página Web"='03.Muestra'!$D$8:$D$42,ROW('03.Muestra'!$B$8:$B$42)-MIN(ROW('03.Muestra'!$D$8:$D$42))+1,""),ROW()-664)),"")</f>
        <v>1.0</v>
      </c>
      <c r="B665" s="114" t="str" cm="1">
        <f t="array" ref="B665">IFERROR(INDEX('03.Muestra'!$C$8:$C$42,SMALL(IF("Página Web"='03.Muestra'!$D$8:$D$42,ROW('03.Muestra'!$C$8:$C$42)-MIN(ROW('03.Muestra'!$D$8:$D$42))+1,""),ROW()-664)),"")</f>
        <v>Home - PortCastelló</v>
      </c>
      <c r="C665" s="114" t="str" cm="1">
        <f t="array" ref="C665">IFERROR(INDEX('03.Muestra'!$F$8:$F$42,SMALL(IF("Página Web"='03.Muestra'!$D$8:$D$42,ROW('03.Muestra'!$F$8:$F$42)-MIN(ROW('03.Muestra'!$D$8:$D$42))+1,""),ROW()-664)),"")</f>
        <v>https://www.portcastello.com/</v>
      </c>
      <c r="D665" s="130" t="s">
        <v>37</v>
      </c>
      <c r="E665" s="107" t="str">
        <f t="shared" ref="E665:E699" si="34">IF(D665&lt;&gt;"",IF(AND(B665&lt;&gt;"",C665&lt;&gt;""),"","ERR"),"")</f>
        <v/>
      </c>
      <c r="F665" s="115" t="s">
        <v>33</v>
      </c>
      <c r="G665" s="116" t="s">
        <v>37</v>
      </c>
      <c r="H665" s="117" t="s">
        <v>35</v>
      </c>
      <c r="I665" s="118" t="s">
        <v>28</v>
      </c>
      <c r="J665" s="119" t="s">
        <v>26</v>
      </c>
      <c r="K665" s="226" t="s">
        <v>474</v>
      </c>
      <c r="L665" s="19"/>
      <c r="M665" s="19"/>
      <c r="N665" s="19"/>
      <c r="O665" s="19"/>
      <c r="P665" s="19"/>
      <c r="Q665" s="19"/>
      <c r="R665" s="19"/>
      <c r="S665" s="19"/>
      <c r="T665" s="19"/>
      <c r="U665" s="19"/>
      <c r="V665" s="19"/>
      <c r="W665" s="19"/>
      <c r="X665" s="19"/>
      <c r="Y665" s="19"/>
    </row>
    <row r="666" spans="1:25" ht="12" customHeight="1">
      <c r="A666" s="219" t="n" cm="1">
        <f t="array" ref="A666">IFERROR(INDEX('03.Muestra'!$B$8:$B$42,SMALL(IF("Página Web"='03.Muestra'!$D$8:$D$42,ROW('03.Muestra'!$B$8:$B$42)-MIN(ROW('03.Muestra'!$D$8:$D$42))+1,""),ROW()-664)),"")</f>
        <v>1.0</v>
      </c>
      <c r="B666" s="114" t="str" cm="1">
        <f t="array" ref="B666">IFERROR(INDEX('03.Muestra'!$C$8:$C$42,SMALL(IF("Página Web"='03.Muestra'!$D$8:$D$42,ROW('03.Muestra'!$C$8:$C$42)-MIN(ROW('03.Muestra'!$D$8:$D$42))+1,""),ROW()-664)),"")</f>
        <v>Home - PortCastelló</v>
      </c>
      <c r="C666" s="114" t="str" cm="1">
        <f t="array" ref="C666">IFERROR(INDEX('03.Muestra'!$F$8:$F$42,SMALL(IF("Página Web"='03.Muestra'!$D$8:$D$42,ROW('03.Muestra'!$F$8:$F$42)-MIN(ROW('03.Muestra'!$D$8:$D$42))+1,""),ROW()-664)),"")</f>
        <v>https://www.portcastello.com/</v>
      </c>
      <c r="D666" s="130" t="s">
        <v>37</v>
      </c>
      <c r="E666" s="107" t="str">
        <f t="shared" si="34"/>
        <v/>
      </c>
      <c r="F666" s="120" t="n">
        <f ca="1">COUNTIF($D665:INDIRECT("$D" &amp;  SUM(ROW()-1,'03.Muestra'!$D$45)-1),F665)</f>
        <v>0.0</v>
      </c>
      <c r="G666" s="120" t="n">
        <f ca="1">COUNTIF($D665:INDIRECT("$D" &amp;  SUM(ROW()-1,'03.Muestra'!$D$45)-1),G665)</f>
        <v>33.0</v>
      </c>
      <c r="H666" s="120" t="n">
        <f ca="1">COUNTIF($D665:INDIRECT("$D" &amp;  SUM(ROW()-1,'03.Muestra'!$D$45)-1),H665)</f>
        <v>0.0</v>
      </c>
      <c r="I666" s="120" t="n">
        <f ca="1">COUNTIF($D665:INDIRECT("$D" &amp;  SUM(ROW()-1,'03.Muestra'!$D$45)-1),I665)</f>
        <v>0.0</v>
      </c>
      <c r="J666" s="120" t="n">
        <f ca="1">COUNTIF($D665:INDIRECT("$D" &amp;  SUM(ROW()-1,'03.Muestra'!$D$45)-1),J665)</f>
        <v>0.0</v>
      </c>
      <c r="K666" s="227" t="n">
        <f ca="1">IF(COUNTIF('03.Muestra'!$D$8:$D$42,"Página Web")=0,0,COUNTBLANK($D665:INDIRECT("$D" &amp;  SUM(ROW()-1,COUNTIF('03.Muestra'!$D$8:$D$42,"Página Web"))-1)))</f>
        <v>0.0</v>
      </c>
      <c r="L666" s="19"/>
      <c r="M666" s="19"/>
      <c r="N666" s="19"/>
      <c r="O666" s="19"/>
      <c r="P666" s="19"/>
      <c r="Q666" s="19"/>
      <c r="R666" s="19"/>
      <c r="S666" s="19"/>
      <c r="T666" s="19"/>
      <c r="U666" s="19"/>
      <c r="V666" s="19"/>
      <c r="W666" s="19"/>
      <c r="X666" s="19"/>
      <c r="Y666" s="19"/>
    </row>
    <row r="667" spans="1:25" ht="12" customHeight="1">
      <c r="A667" s="219" t="n" cm="1">
        <f t="array" ref="A667">IFERROR(INDEX('03.Muestra'!$B$8:$B$42,SMALL(IF("Página Web"='03.Muestra'!$D$8:$D$42,ROW('03.Muestra'!$B$8:$B$42)-MIN(ROW('03.Muestra'!$D$8:$D$42))+1,""),ROW()-664)),"")</f>
        <v>1.0</v>
      </c>
      <c r="B667" s="114" t="str" cm="1">
        <f t="array" ref="B667">IFERROR(INDEX('03.Muestra'!$C$8:$C$42,SMALL(IF("Página Web"='03.Muestra'!$D$8:$D$42,ROW('03.Muestra'!$C$8:$C$42)-MIN(ROW('03.Muestra'!$D$8:$D$42))+1,""),ROW()-664)),"")</f>
        <v>Home - PortCastelló</v>
      </c>
      <c r="C667" s="114" t="str" cm="1">
        <f t="array" ref="C667">IFERROR(INDEX('03.Muestra'!$F$8:$F$42,SMALL(IF("Página Web"='03.Muestra'!$D$8:$D$42,ROW('03.Muestra'!$F$8:$F$42)-MIN(ROW('03.Muestra'!$D$8:$D$42))+1,""),ROW()-664)),"")</f>
        <v>https://www.portcastello.com/</v>
      </c>
      <c r="D667" s="130" t="s">
        <v>37</v>
      </c>
      <c r="E667" s="107" t="str">
        <f t="shared" si="34"/>
        <v/>
      </c>
      <c r="G667" s="19"/>
      <c r="H667" s="19"/>
      <c r="I667" s="19"/>
      <c r="J667" s="19"/>
      <c r="K667" s="233"/>
      <c r="L667" s="19"/>
      <c r="M667" s="19"/>
      <c r="N667" s="19"/>
      <c r="O667" s="19"/>
      <c r="P667" s="19"/>
      <c r="Q667" s="19"/>
      <c r="R667" s="19"/>
      <c r="S667" s="19"/>
      <c r="T667" s="19"/>
      <c r="U667" s="19"/>
      <c r="V667" s="19"/>
      <c r="W667" s="19"/>
      <c r="X667" s="19"/>
      <c r="Y667" s="19"/>
    </row>
    <row r="668" spans="1:25" ht="12" customHeight="1">
      <c r="A668" s="219" t="n" cm="1">
        <f t="array" ref="A668">IFERROR(INDEX('03.Muestra'!$B$8:$B$42,SMALL(IF("Página Web"='03.Muestra'!$D$8:$D$42,ROW('03.Muestra'!$B$8:$B$42)-MIN(ROW('03.Muestra'!$D$8:$D$42))+1,""),ROW()-664)),"")</f>
        <v>1.0</v>
      </c>
      <c r="B668" s="114" t="str" cm="1">
        <f t="array" ref="B668">IFERROR(INDEX('03.Muestra'!$C$8:$C$42,SMALL(IF("Página Web"='03.Muestra'!$D$8:$D$42,ROW('03.Muestra'!$C$8:$C$42)-MIN(ROW('03.Muestra'!$D$8:$D$42))+1,""),ROW()-664)),"")</f>
        <v>Home - PortCastelló</v>
      </c>
      <c r="C668" s="114" t="str" cm="1">
        <f t="array" ref="C668">IFERROR(INDEX('03.Muestra'!$F$8:$F$42,SMALL(IF("Página Web"='03.Muestra'!$D$8:$D$42,ROW('03.Muestra'!$F$8:$F$42)-MIN(ROW('03.Muestra'!$D$8:$D$42))+1,""),ROW()-664)),"")</f>
        <v>https://www.portcastello.com/</v>
      </c>
      <c r="D668" s="130" t="s">
        <v>37</v>
      </c>
      <c r="E668" s="107" t="str">
        <f t="shared" si="34"/>
        <v/>
      </c>
      <c r="G668" s="19"/>
      <c r="H668" s="19"/>
      <c r="I668" s="19"/>
      <c r="J668" s="19"/>
      <c r="K668" s="233"/>
      <c r="L668" s="19"/>
      <c r="M668" s="19"/>
      <c r="N668" s="19"/>
      <c r="O668" s="19"/>
      <c r="P668" s="19"/>
      <c r="Q668" s="19"/>
      <c r="R668" s="19"/>
      <c r="S668" s="19"/>
      <c r="T668" s="19"/>
      <c r="U668" s="19"/>
      <c r="V668" s="19"/>
      <c r="W668" s="19"/>
      <c r="X668" s="19"/>
      <c r="Y668" s="19"/>
    </row>
    <row r="669" spans="1:25" ht="12" customHeight="1">
      <c r="A669" s="219" t="n" cm="1">
        <f t="array" ref="A669">IFERROR(INDEX('03.Muestra'!$B$8:$B$42,SMALL(IF("Página Web"='03.Muestra'!$D$8:$D$42,ROW('03.Muestra'!$B$8:$B$42)-MIN(ROW('03.Muestra'!$D$8:$D$42))+1,""),ROW()-664)),"")</f>
        <v>1.0</v>
      </c>
      <c r="B669" s="114" t="str" cm="1">
        <f t="array" ref="B669">IFERROR(INDEX('03.Muestra'!$C$8:$C$42,SMALL(IF("Página Web"='03.Muestra'!$D$8:$D$42,ROW('03.Muestra'!$C$8:$C$42)-MIN(ROW('03.Muestra'!$D$8:$D$42))+1,""),ROW()-664)),"")</f>
        <v>Home - PortCastelló</v>
      </c>
      <c r="C669" s="114" t="str" cm="1">
        <f t="array" ref="C669">IFERROR(INDEX('03.Muestra'!$F$8:$F$42,SMALL(IF("Página Web"='03.Muestra'!$D$8:$D$42,ROW('03.Muestra'!$F$8:$F$42)-MIN(ROW('03.Muestra'!$D$8:$D$42))+1,""),ROW()-664)),"")</f>
        <v>https://www.portcastello.com/</v>
      </c>
      <c r="D669" s="130" t="s">
        <v>37</v>
      </c>
      <c r="E669" s="107" t="str">
        <f t="shared" si="34"/>
        <v/>
      </c>
      <c r="G669" s="19"/>
      <c r="H669" s="19"/>
      <c r="I669" s="19"/>
      <c r="J669" s="19"/>
      <c r="K669" s="233"/>
      <c r="L669" s="19"/>
      <c r="M669" s="19"/>
      <c r="N669" s="19"/>
      <c r="O669" s="19"/>
      <c r="P669" s="19"/>
      <c r="Q669" s="19"/>
      <c r="R669" s="19"/>
      <c r="S669" s="19"/>
      <c r="T669" s="19"/>
      <c r="U669" s="19"/>
      <c r="V669" s="19"/>
      <c r="W669" s="19"/>
      <c r="X669" s="19"/>
      <c r="Y669" s="19"/>
    </row>
    <row r="670" spans="1:25" ht="12" customHeight="1">
      <c r="A670" s="219" t="n" cm="1">
        <f t="array" ref="A670">IFERROR(INDEX('03.Muestra'!$B$8:$B$42,SMALL(IF("Página Web"='03.Muestra'!$D$8:$D$42,ROW('03.Muestra'!$B$8:$B$42)-MIN(ROW('03.Muestra'!$D$8:$D$42))+1,""),ROW()-664)),"")</f>
        <v>1.0</v>
      </c>
      <c r="B670" s="114" t="str" cm="1">
        <f t="array" ref="B670">IFERROR(INDEX('03.Muestra'!$C$8:$C$42,SMALL(IF("Página Web"='03.Muestra'!$D$8:$D$42,ROW('03.Muestra'!$C$8:$C$42)-MIN(ROW('03.Muestra'!$D$8:$D$42))+1,""),ROW()-664)),"")</f>
        <v>Home - PortCastelló</v>
      </c>
      <c r="C670" s="114" t="str" cm="1">
        <f t="array" ref="C670">IFERROR(INDEX('03.Muestra'!$F$8:$F$42,SMALL(IF("Página Web"='03.Muestra'!$D$8:$D$42,ROW('03.Muestra'!$F$8:$F$42)-MIN(ROW('03.Muestra'!$D$8:$D$42))+1,""),ROW()-664)),"")</f>
        <v>https://www.portcastello.com/</v>
      </c>
      <c r="D670" s="130" t="s">
        <v>37</v>
      </c>
      <c r="E670" s="107" t="str">
        <f t="shared" si="34"/>
        <v/>
      </c>
      <c r="G670" s="19"/>
      <c r="H670" s="19"/>
      <c r="I670" s="19"/>
      <c r="J670" s="19"/>
      <c r="K670" s="233"/>
      <c r="L670" s="19"/>
      <c r="M670" s="19"/>
      <c r="N670" s="19"/>
      <c r="O670" s="19"/>
      <c r="P670" s="19"/>
      <c r="Q670" s="19"/>
      <c r="R670" s="19"/>
      <c r="S670" s="19"/>
      <c r="T670" s="19"/>
      <c r="U670" s="19"/>
      <c r="V670" s="19"/>
      <c r="W670" s="19"/>
      <c r="X670" s="19"/>
      <c r="Y670" s="19"/>
    </row>
    <row r="671" spans="1:25" ht="12" customHeight="1">
      <c r="A671" s="219" t="n" cm="1">
        <f t="array" ref="A671">IFERROR(INDEX('03.Muestra'!$B$8:$B$42,SMALL(IF("Página Web"='03.Muestra'!$D$8:$D$42,ROW('03.Muestra'!$B$8:$B$42)-MIN(ROW('03.Muestra'!$D$8:$D$42))+1,""),ROW()-664)),"")</f>
        <v>1.0</v>
      </c>
      <c r="B671" s="114" t="str" cm="1">
        <f t="array" ref="B671">IFERROR(INDEX('03.Muestra'!$C$8:$C$42,SMALL(IF("Página Web"='03.Muestra'!$D$8:$D$42,ROW('03.Muestra'!$C$8:$C$42)-MIN(ROW('03.Muestra'!$D$8:$D$42))+1,""),ROW()-664)),"")</f>
        <v>Home - PortCastelló</v>
      </c>
      <c r="C671" s="114" t="str" cm="1">
        <f t="array" ref="C671">IFERROR(INDEX('03.Muestra'!$F$8:$F$42,SMALL(IF("Página Web"='03.Muestra'!$D$8:$D$42,ROW('03.Muestra'!$F$8:$F$42)-MIN(ROW('03.Muestra'!$D$8:$D$42))+1,""),ROW()-664)),"")</f>
        <v>https://www.portcastello.com/</v>
      </c>
      <c r="D671" s="130" t="s">
        <v>37</v>
      </c>
      <c r="E671" s="107" t="str">
        <f t="shared" si="34"/>
        <v/>
      </c>
      <c r="F671" s="19"/>
      <c r="G671" s="19"/>
      <c r="H671" s="19"/>
      <c r="I671" s="19"/>
      <c r="J671" s="19"/>
      <c r="K671" s="233"/>
      <c r="L671" s="19"/>
      <c r="M671" s="19"/>
      <c r="N671" s="19"/>
      <c r="O671" s="19"/>
      <c r="P671" s="19"/>
      <c r="Q671" s="19"/>
      <c r="R671" s="19"/>
      <c r="S671" s="19"/>
      <c r="T671" s="19"/>
      <c r="U671" s="19"/>
      <c r="V671" s="19"/>
      <c r="W671" s="19"/>
      <c r="X671" s="19"/>
      <c r="Y671" s="19"/>
    </row>
    <row r="672" spans="1:25" ht="12" customHeight="1">
      <c r="A672" s="219" t="n" cm="1">
        <f t="array" ref="A672">IFERROR(INDEX('03.Muestra'!$B$8:$B$42,SMALL(IF("Página Web"='03.Muestra'!$D$8:$D$42,ROW('03.Muestra'!$B$8:$B$42)-MIN(ROW('03.Muestra'!$D$8:$D$42))+1,""),ROW()-664)),"")</f>
        <v>1.0</v>
      </c>
      <c r="B672" s="114" t="str" cm="1">
        <f t="array" ref="B672">IFERROR(INDEX('03.Muestra'!$C$8:$C$42,SMALL(IF("Página Web"='03.Muestra'!$D$8:$D$42,ROW('03.Muestra'!$C$8:$C$42)-MIN(ROW('03.Muestra'!$D$8:$D$42))+1,""),ROW()-664)),"")</f>
        <v>Home - PortCastelló</v>
      </c>
      <c r="C672" s="114" t="str" cm="1">
        <f t="array" ref="C672">IFERROR(INDEX('03.Muestra'!$F$8:$F$42,SMALL(IF("Página Web"='03.Muestra'!$D$8:$D$42,ROW('03.Muestra'!$F$8:$F$42)-MIN(ROW('03.Muestra'!$D$8:$D$42))+1,""),ROW()-664)),"")</f>
        <v>https://www.portcastello.com/</v>
      </c>
      <c r="D672" s="130" t="s">
        <v>37</v>
      </c>
      <c r="E672" s="107" t="str">
        <f t="shared" si="34"/>
        <v/>
      </c>
      <c r="F672" s="19"/>
      <c r="G672" s="19"/>
      <c r="H672" s="19"/>
      <c r="I672" s="19"/>
      <c r="J672" s="19"/>
      <c r="K672" s="233"/>
      <c r="L672" s="19"/>
      <c r="M672" s="19"/>
      <c r="N672" s="19"/>
      <c r="O672" s="19"/>
      <c r="P672" s="19"/>
      <c r="Q672" s="19"/>
      <c r="R672" s="19"/>
      <c r="S672" s="19"/>
      <c r="T672" s="19"/>
      <c r="U672" s="19"/>
      <c r="V672" s="19"/>
      <c r="W672" s="19"/>
      <c r="X672" s="19"/>
      <c r="Y672" s="19"/>
    </row>
    <row r="673" spans="1:25" ht="12" customHeight="1">
      <c r="A673" s="219" t="n" cm="1">
        <f t="array" ref="A673">IFERROR(INDEX('03.Muestra'!$B$8:$B$42,SMALL(IF("Página Web"='03.Muestra'!$D$8:$D$42,ROW('03.Muestra'!$B$8:$B$42)-MIN(ROW('03.Muestra'!$D$8:$D$42))+1,""),ROW()-664)),"")</f>
        <v>1.0</v>
      </c>
      <c r="B673" s="114" t="str" cm="1">
        <f t="array" ref="B673">IFERROR(INDEX('03.Muestra'!$C$8:$C$42,SMALL(IF("Página Web"='03.Muestra'!$D$8:$D$42,ROW('03.Muestra'!$C$8:$C$42)-MIN(ROW('03.Muestra'!$D$8:$D$42))+1,""),ROW()-664)),"")</f>
        <v>Home - PortCastelló</v>
      </c>
      <c r="C673" s="114" t="str" cm="1">
        <f t="array" ref="C673">IFERROR(INDEX('03.Muestra'!$F$8:$F$42,SMALL(IF("Página Web"='03.Muestra'!$D$8:$D$42,ROW('03.Muestra'!$F$8:$F$42)-MIN(ROW('03.Muestra'!$D$8:$D$42))+1,""),ROW()-664)),"")</f>
        <v>https://www.portcastello.com/</v>
      </c>
      <c r="D673" s="130" t="s">
        <v>37</v>
      </c>
      <c r="E673" s="107" t="str">
        <f t="shared" si="34"/>
        <v/>
      </c>
      <c r="F673" s="19"/>
      <c r="G673" s="19"/>
      <c r="H673" s="19"/>
      <c r="I673" s="19"/>
      <c r="J673" s="19"/>
      <c r="K673" s="233"/>
      <c r="L673" s="19"/>
      <c r="M673" s="19"/>
      <c r="N673" s="19"/>
      <c r="O673" s="19"/>
      <c r="P673" s="19"/>
      <c r="Q673" s="19"/>
      <c r="R673" s="19"/>
      <c r="S673" s="19"/>
      <c r="T673" s="19"/>
      <c r="U673" s="19"/>
      <c r="V673" s="19"/>
      <c r="W673" s="19"/>
      <c r="X673" s="19"/>
      <c r="Y673" s="19"/>
    </row>
    <row r="674" spans="1:25" ht="12" customHeight="1">
      <c r="A674" s="219" t="n" cm="1">
        <f t="array" ref="A674">IFERROR(INDEX('03.Muestra'!$B$8:$B$42,SMALL(IF("Página Web"='03.Muestra'!$D$8:$D$42,ROW('03.Muestra'!$B$8:$B$42)-MIN(ROW('03.Muestra'!$D$8:$D$42))+1,""),ROW()-664)),"")</f>
        <v>1.0</v>
      </c>
      <c r="B674" s="114" t="str" cm="1">
        <f t="array" ref="B674">IFERROR(INDEX('03.Muestra'!$C$8:$C$42,SMALL(IF("Página Web"='03.Muestra'!$D$8:$D$42,ROW('03.Muestra'!$C$8:$C$42)-MIN(ROW('03.Muestra'!$D$8:$D$42))+1,""),ROW()-664)),"")</f>
        <v>Home - PortCastelló</v>
      </c>
      <c r="C674" s="114" t="str" cm="1">
        <f t="array" ref="C674">IFERROR(INDEX('03.Muestra'!$F$8:$F$42,SMALL(IF("Página Web"='03.Muestra'!$D$8:$D$42,ROW('03.Muestra'!$F$8:$F$42)-MIN(ROW('03.Muestra'!$D$8:$D$42))+1,""),ROW()-664)),"")</f>
        <v>https://www.portcastello.com/</v>
      </c>
      <c r="D674" s="130" t="s">
        <v>37</v>
      </c>
      <c r="E674" s="107" t="str">
        <f t="shared" si="34"/>
        <v/>
      </c>
      <c r="F674" s="19"/>
      <c r="G674" s="19"/>
      <c r="H674" s="19"/>
      <c r="I674" s="19"/>
      <c r="J674" s="19"/>
      <c r="K674" s="233"/>
      <c r="L674" s="19"/>
      <c r="M674" s="19"/>
      <c r="N674" s="19"/>
      <c r="O674" s="19"/>
      <c r="P674" s="19"/>
      <c r="Q674" s="19"/>
      <c r="R674" s="19"/>
      <c r="S674" s="19"/>
      <c r="T674" s="19"/>
      <c r="U674" s="19"/>
      <c r="V674" s="19"/>
      <c r="W674" s="19"/>
      <c r="X674" s="19"/>
      <c r="Y674" s="19"/>
    </row>
    <row r="675" spans="1:25" ht="12" customHeight="1">
      <c r="A675" s="219" t="n" cm="1">
        <f t="array" ref="A675">IFERROR(INDEX('03.Muestra'!$B$8:$B$42,SMALL(IF("Página Web"='03.Muestra'!$D$8:$D$42,ROW('03.Muestra'!$B$8:$B$42)-MIN(ROW('03.Muestra'!$D$8:$D$42))+1,""),ROW()-664)),"")</f>
        <v>1.0</v>
      </c>
      <c r="B675" s="114" t="str" cm="1">
        <f t="array" ref="B675">IFERROR(INDEX('03.Muestra'!$C$8:$C$42,SMALL(IF("Página Web"='03.Muestra'!$D$8:$D$42,ROW('03.Muestra'!$C$8:$C$42)-MIN(ROW('03.Muestra'!$D$8:$D$42))+1,""),ROW()-664)),"")</f>
        <v>Home - PortCastelló</v>
      </c>
      <c r="C675" s="114" t="str" cm="1">
        <f t="array" ref="C675">IFERROR(INDEX('03.Muestra'!$F$8:$F$42,SMALL(IF("Página Web"='03.Muestra'!$D$8:$D$42,ROW('03.Muestra'!$F$8:$F$42)-MIN(ROW('03.Muestra'!$D$8:$D$42))+1,""),ROW()-664)),"")</f>
        <v>https://www.portcastello.com/</v>
      </c>
      <c r="D675" s="130" t="s">
        <v>37</v>
      </c>
      <c r="E675" s="107" t="str">
        <f t="shared" si="34"/>
        <v/>
      </c>
      <c r="F675" s="19"/>
      <c r="G675" s="19"/>
      <c r="H675" s="19"/>
      <c r="I675" s="19"/>
      <c r="J675" s="19"/>
      <c r="K675" s="233"/>
      <c r="L675" s="19"/>
      <c r="M675" s="19"/>
      <c r="N675" s="19"/>
      <c r="O675" s="19"/>
      <c r="P675" s="19"/>
      <c r="Q675" s="19"/>
      <c r="R675" s="19"/>
      <c r="S675" s="19"/>
      <c r="T675" s="19"/>
      <c r="U675" s="19"/>
      <c r="V675" s="19"/>
      <c r="W675" s="19"/>
      <c r="X675" s="19"/>
      <c r="Y675" s="19"/>
    </row>
    <row r="676" spans="1:25" ht="12" customHeight="1">
      <c r="A676" s="219" t="n" cm="1">
        <f t="array" ref="A676">IFERROR(INDEX('03.Muestra'!$B$8:$B$42,SMALL(IF("Página Web"='03.Muestra'!$D$8:$D$42,ROW('03.Muestra'!$B$8:$B$42)-MIN(ROW('03.Muestra'!$D$8:$D$42))+1,""),ROW()-664)),"")</f>
        <v>1.0</v>
      </c>
      <c r="B676" s="114" t="str" cm="1">
        <f t="array" ref="B676">IFERROR(INDEX('03.Muestra'!$C$8:$C$42,SMALL(IF("Página Web"='03.Muestra'!$D$8:$D$42,ROW('03.Muestra'!$C$8:$C$42)-MIN(ROW('03.Muestra'!$D$8:$D$42))+1,""),ROW()-664)),"")</f>
        <v>Home - PortCastelló</v>
      </c>
      <c r="C676" s="114" t="str" cm="1">
        <f t="array" ref="C676">IFERROR(INDEX('03.Muestra'!$F$8:$F$42,SMALL(IF("Página Web"='03.Muestra'!$D$8:$D$42,ROW('03.Muestra'!$F$8:$F$42)-MIN(ROW('03.Muestra'!$D$8:$D$42))+1,""),ROW()-664)),"")</f>
        <v>https://www.portcastello.com/</v>
      </c>
      <c r="D676" s="130" t="s">
        <v>37</v>
      </c>
      <c r="E676" s="107" t="str">
        <f t="shared" si="34"/>
        <v/>
      </c>
      <c r="F676" s="19"/>
      <c r="G676" s="19"/>
      <c r="H676" s="19"/>
      <c r="I676" s="19"/>
      <c r="J676" s="19"/>
      <c r="K676" s="233"/>
      <c r="L676" s="19"/>
      <c r="M676" s="19"/>
      <c r="N676" s="19"/>
      <c r="O676" s="19"/>
      <c r="P676" s="19"/>
      <c r="Q676" s="19"/>
      <c r="R676" s="19"/>
      <c r="S676" s="19"/>
      <c r="T676" s="19"/>
      <c r="U676" s="19"/>
      <c r="V676" s="19"/>
      <c r="W676" s="19"/>
      <c r="X676" s="19"/>
      <c r="Y676" s="19"/>
    </row>
    <row r="677" spans="1:25" ht="12" customHeight="1">
      <c r="A677" s="219" t="n" cm="1">
        <f t="array" ref="A677">IFERROR(INDEX('03.Muestra'!$B$8:$B$42,SMALL(IF("Página Web"='03.Muestra'!$D$8:$D$42,ROW('03.Muestra'!$B$8:$B$42)-MIN(ROW('03.Muestra'!$D$8:$D$42))+1,""),ROW()-664)),"")</f>
        <v>1.0</v>
      </c>
      <c r="B677" s="114" t="str" cm="1">
        <f t="array" ref="B677">IFERROR(INDEX('03.Muestra'!$C$8:$C$42,SMALL(IF("Página Web"='03.Muestra'!$D$8:$D$42,ROW('03.Muestra'!$C$8:$C$42)-MIN(ROW('03.Muestra'!$D$8:$D$42))+1,""),ROW()-664)),"")</f>
        <v>Home - PortCastelló</v>
      </c>
      <c r="C677" s="114" t="str" cm="1">
        <f t="array" ref="C677">IFERROR(INDEX('03.Muestra'!$F$8:$F$42,SMALL(IF("Página Web"='03.Muestra'!$D$8:$D$42,ROW('03.Muestra'!$F$8:$F$42)-MIN(ROW('03.Muestra'!$D$8:$D$42))+1,""),ROW()-664)),"")</f>
        <v>https://www.portcastello.com/</v>
      </c>
      <c r="D677" s="130" t="s">
        <v>37</v>
      </c>
      <c r="E677" s="107" t="str">
        <f t="shared" si="34"/>
        <v/>
      </c>
      <c r="F677" s="19"/>
      <c r="G677" s="19"/>
      <c r="H677" s="19"/>
      <c r="I677" s="19"/>
      <c r="J677" s="19"/>
      <c r="K677" s="233"/>
      <c r="L677" s="19"/>
      <c r="M677" s="19"/>
      <c r="N677" s="19"/>
      <c r="O677" s="19"/>
      <c r="P677" s="19"/>
      <c r="Q677" s="19"/>
      <c r="R677" s="19"/>
      <c r="S677" s="19"/>
      <c r="T677" s="19"/>
      <c r="U677" s="19"/>
      <c r="V677" s="19"/>
      <c r="W677" s="19"/>
      <c r="X677" s="19"/>
      <c r="Y677" s="19"/>
    </row>
    <row r="678" spans="1:25" ht="12" customHeight="1">
      <c r="A678" s="219" t="n" cm="1">
        <f t="array" ref="A678">IFERROR(INDEX('03.Muestra'!$B$8:$B$42,SMALL(IF("Página Web"='03.Muestra'!$D$8:$D$42,ROW('03.Muestra'!$B$8:$B$42)-MIN(ROW('03.Muestra'!$D$8:$D$42))+1,""),ROW()-664)),"")</f>
        <v>1.0</v>
      </c>
      <c r="B678" s="114" t="str" cm="1">
        <f t="array" ref="B678">IFERROR(INDEX('03.Muestra'!$C$8:$C$42,SMALL(IF("Página Web"='03.Muestra'!$D$8:$D$42,ROW('03.Muestra'!$C$8:$C$42)-MIN(ROW('03.Muestra'!$D$8:$D$42))+1,""),ROW()-664)),"")</f>
        <v>Home - PortCastelló</v>
      </c>
      <c r="C678" s="114" t="str" cm="1">
        <f t="array" ref="C678">IFERROR(INDEX('03.Muestra'!$F$8:$F$42,SMALL(IF("Página Web"='03.Muestra'!$D$8:$D$42,ROW('03.Muestra'!$F$8:$F$42)-MIN(ROW('03.Muestra'!$D$8:$D$42))+1,""),ROW()-664)),"")</f>
        <v>https://www.portcastello.com/</v>
      </c>
      <c r="D678" s="130" t="s">
        <v>37</v>
      </c>
      <c r="E678" s="107" t="str">
        <f t="shared" si="34"/>
        <v/>
      </c>
      <c r="F678" s="19"/>
      <c r="G678" s="19"/>
      <c r="H678" s="19"/>
      <c r="I678" s="19"/>
      <c r="J678" s="19"/>
      <c r="K678" s="233"/>
      <c r="L678" s="19"/>
      <c r="M678" s="19"/>
      <c r="N678" s="19"/>
      <c r="O678" s="19"/>
      <c r="P678" s="19"/>
      <c r="Q678" s="19"/>
      <c r="R678" s="19"/>
      <c r="S678" s="19"/>
      <c r="T678" s="19"/>
      <c r="U678" s="19"/>
      <c r="V678" s="19"/>
      <c r="W678" s="19"/>
      <c r="X678" s="19"/>
      <c r="Y678" s="19"/>
    </row>
    <row r="679" spans="1:25" ht="12" customHeight="1">
      <c r="A679" s="219" t="n" cm="1">
        <f t="array" ref="A679">IFERROR(INDEX('03.Muestra'!$B$8:$B$42,SMALL(IF("Página Web"='03.Muestra'!$D$8:$D$42,ROW('03.Muestra'!$B$8:$B$42)-MIN(ROW('03.Muestra'!$D$8:$D$42))+1,""),ROW()-664)),"")</f>
        <v>1.0</v>
      </c>
      <c r="B679" s="114" t="str" cm="1">
        <f t="array" ref="B679">IFERROR(INDEX('03.Muestra'!$C$8:$C$42,SMALL(IF("Página Web"='03.Muestra'!$D$8:$D$42,ROW('03.Muestra'!$C$8:$C$42)-MIN(ROW('03.Muestra'!$D$8:$D$42))+1,""),ROW()-664)),"")</f>
        <v>Home - PortCastelló</v>
      </c>
      <c r="C679" s="114" t="str" cm="1">
        <f t="array" ref="C679">IFERROR(INDEX('03.Muestra'!$F$8:$F$42,SMALL(IF("Página Web"='03.Muestra'!$D$8:$D$42,ROW('03.Muestra'!$F$8:$F$42)-MIN(ROW('03.Muestra'!$D$8:$D$42))+1,""),ROW()-664)),"")</f>
        <v>https://www.portcastello.com/</v>
      </c>
      <c r="D679" s="130" t="s">
        <v>37</v>
      </c>
      <c r="E679" s="107" t="str">
        <f t="shared" si="34"/>
        <v/>
      </c>
      <c r="F679" s="19"/>
      <c r="G679" s="19"/>
      <c r="H679" s="19"/>
      <c r="I679" s="19"/>
      <c r="J679" s="19"/>
      <c r="K679" s="233"/>
      <c r="L679" s="19"/>
      <c r="M679" s="19"/>
      <c r="N679" s="19"/>
      <c r="O679" s="19"/>
      <c r="P679" s="19"/>
      <c r="Q679" s="19"/>
      <c r="R679" s="19"/>
      <c r="S679" s="19"/>
      <c r="T679" s="19"/>
      <c r="U679" s="19"/>
      <c r="V679" s="19"/>
      <c r="W679" s="19"/>
      <c r="X679" s="19"/>
      <c r="Y679" s="19"/>
    </row>
    <row r="680" spans="1:25" ht="12" customHeight="1">
      <c r="A680" s="219" t="n" cm="1">
        <f t="array" ref="A680">IFERROR(INDEX('03.Muestra'!$B$8:$B$42,SMALL(IF("Página Web"='03.Muestra'!$D$8:$D$42,ROW('03.Muestra'!$B$8:$B$42)-MIN(ROW('03.Muestra'!$D$8:$D$42))+1,""),ROW()-664)),"")</f>
        <v>1.0</v>
      </c>
      <c r="B680" s="114" t="str" cm="1">
        <f t="array" ref="B680">IFERROR(INDEX('03.Muestra'!$C$8:$C$42,SMALL(IF("Página Web"='03.Muestra'!$D$8:$D$42,ROW('03.Muestra'!$C$8:$C$42)-MIN(ROW('03.Muestra'!$D$8:$D$42))+1,""),ROW()-664)),"")</f>
        <v>Home - PortCastelló</v>
      </c>
      <c r="C680" s="114" t="str" cm="1">
        <f t="array" ref="C680">IFERROR(INDEX('03.Muestra'!$F$8:$F$42,SMALL(IF("Página Web"='03.Muestra'!$D$8:$D$42,ROW('03.Muestra'!$F$8:$F$42)-MIN(ROW('03.Muestra'!$D$8:$D$42))+1,""),ROW()-664)),"")</f>
        <v>https://www.portcastello.com/</v>
      </c>
      <c r="D680" s="130" t="s">
        <v>37</v>
      </c>
      <c r="E680" s="107" t="str">
        <f t="shared" si="34"/>
        <v/>
      </c>
      <c r="F680" s="19"/>
      <c r="G680" s="19"/>
      <c r="H680" s="19"/>
      <c r="I680" s="19"/>
      <c r="J680" s="19"/>
      <c r="K680" s="233"/>
      <c r="L680" s="19"/>
      <c r="M680" s="19"/>
      <c r="N680" s="19"/>
      <c r="O680" s="19"/>
      <c r="P680" s="19"/>
      <c r="Q680" s="19"/>
      <c r="R680" s="19"/>
      <c r="S680" s="19"/>
      <c r="T680" s="19"/>
      <c r="U680" s="19"/>
      <c r="V680" s="19"/>
      <c r="W680" s="19"/>
      <c r="X680" s="19"/>
      <c r="Y680" s="19"/>
    </row>
    <row r="681" spans="1:25" ht="12" customHeight="1">
      <c r="A681" s="219" t="n" cm="1">
        <f t="array" ref="A681">IFERROR(INDEX('03.Muestra'!$B$8:$B$42,SMALL(IF("Página Web"='03.Muestra'!$D$8:$D$42,ROW('03.Muestra'!$B$8:$B$42)-MIN(ROW('03.Muestra'!$D$8:$D$42))+1,""),ROW()-664)),"")</f>
        <v>1.0</v>
      </c>
      <c r="B681" s="114" t="str" cm="1">
        <f t="array" ref="B681">IFERROR(INDEX('03.Muestra'!$C$8:$C$42,SMALL(IF("Página Web"='03.Muestra'!$D$8:$D$42,ROW('03.Muestra'!$C$8:$C$42)-MIN(ROW('03.Muestra'!$D$8:$D$42))+1,""),ROW()-664)),"")</f>
        <v>Home - PortCastelló</v>
      </c>
      <c r="C681" s="114" t="str" cm="1">
        <f t="array" ref="C681">IFERROR(INDEX('03.Muestra'!$F$8:$F$42,SMALL(IF("Página Web"='03.Muestra'!$D$8:$D$42,ROW('03.Muestra'!$F$8:$F$42)-MIN(ROW('03.Muestra'!$D$8:$D$42))+1,""),ROW()-664)),"")</f>
        <v>https://www.portcastello.com/</v>
      </c>
      <c r="D681" s="130" t="s">
        <v>37</v>
      </c>
      <c r="E681" s="107" t="str">
        <f t="shared" si="34"/>
        <v/>
      </c>
      <c r="F681" s="19"/>
      <c r="G681" s="19"/>
      <c r="H681" s="19"/>
      <c r="I681" s="19"/>
      <c r="J681" s="19"/>
      <c r="K681" s="233"/>
      <c r="L681" s="19"/>
      <c r="M681" s="19"/>
      <c r="N681" s="19"/>
      <c r="O681" s="19"/>
      <c r="P681" s="19"/>
      <c r="Q681" s="19"/>
      <c r="R681" s="19"/>
      <c r="S681" s="19"/>
      <c r="T681" s="19"/>
      <c r="U681" s="19"/>
      <c r="V681" s="19"/>
      <c r="W681" s="19"/>
      <c r="X681" s="19"/>
      <c r="Y681" s="19"/>
    </row>
    <row r="682" spans="1:25" ht="12" customHeight="1">
      <c r="A682" s="219" t="n" cm="1">
        <f t="array" ref="A682">IFERROR(INDEX('03.Muestra'!$B$8:$B$42,SMALL(IF("Página Web"='03.Muestra'!$D$8:$D$42,ROW('03.Muestra'!$B$8:$B$42)-MIN(ROW('03.Muestra'!$D$8:$D$42))+1,""),ROW()-664)),"")</f>
        <v>1.0</v>
      </c>
      <c r="B682" s="114" t="str" cm="1">
        <f t="array" ref="B682">IFERROR(INDEX('03.Muestra'!$C$8:$C$42,SMALL(IF("Página Web"='03.Muestra'!$D$8:$D$42,ROW('03.Muestra'!$C$8:$C$42)-MIN(ROW('03.Muestra'!$D$8:$D$42))+1,""),ROW()-664)),"")</f>
        <v>Home - PortCastelló</v>
      </c>
      <c r="C682" s="114" t="str" cm="1">
        <f t="array" ref="C682">IFERROR(INDEX('03.Muestra'!$F$8:$F$42,SMALL(IF("Página Web"='03.Muestra'!$D$8:$D$42,ROW('03.Muestra'!$F$8:$F$42)-MIN(ROW('03.Muestra'!$D$8:$D$42))+1,""),ROW()-664)),"")</f>
        <v>https://www.portcastello.com/</v>
      </c>
      <c r="D682" s="130" t="s">
        <v>37</v>
      </c>
      <c r="E682" s="107" t="str">
        <f t="shared" si="34"/>
        <v/>
      </c>
      <c r="F682" s="19"/>
      <c r="G682" s="19"/>
      <c r="H682" s="19"/>
      <c r="I682" s="19"/>
      <c r="J682" s="19"/>
      <c r="K682" s="233"/>
      <c r="L682" s="19"/>
      <c r="M682" s="19"/>
      <c r="N682" s="19"/>
      <c r="O682" s="19"/>
      <c r="P682" s="19"/>
      <c r="Q682" s="19"/>
      <c r="R682" s="19"/>
      <c r="S682" s="19"/>
      <c r="T682" s="19"/>
      <c r="U682" s="19"/>
      <c r="V682" s="19"/>
      <c r="W682" s="19"/>
      <c r="X682" s="19"/>
      <c r="Y682" s="19"/>
    </row>
    <row r="683" spans="1:25" ht="12" customHeight="1">
      <c r="A683" s="219" t="n" cm="1">
        <f t="array" ref="A683">IFERROR(INDEX('03.Muestra'!$B$8:$B$42,SMALL(IF("Página Web"='03.Muestra'!$D$8:$D$42,ROW('03.Muestra'!$B$8:$B$42)-MIN(ROW('03.Muestra'!$D$8:$D$42))+1,""),ROW()-664)),"")</f>
        <v>1.0</v>
      </c>
      <c r="B683" s="114" t="str" cm="1">
        <f t="array" ref="B683">IFERROR(INDEX('03.Muestra'!$C$8:$C$42,SMALL(IF("Página Web"='03.Muestra'!$D$8:$D$42,ROW('03.Muestra'!$C$8:$C$42)-MIN(ROW('03.Muestra'!$D$8:$D$42))+1,""),ROW()-664)),"")</f>
        <v>Home - PortCastelló</v>
      </c>
      <c r="C683" s="114" t="str" cm="1">
        <f t="array" ref="C683">IFERROR(INDEX('03.Muestra'!$F$8:$F$42,SMALL(IF("Página Web"='03.Muestra'!$D$8:$D$42,ROW('03.Muestra'!$F$8:$F$42)-MIN(ROW('03.Muestra'!$D$8:$D$42))+1,""),ROW()-664)),"")</f>
        <v>https://www.portcastello.com/</v>
      </c>
      <c r="D683" s="130" t="s">
        <v>37</v>
      </c>
      <c r="E683" s="107" t="str">
        <f t="shared" si="34"/>
        <v/>
      </c>
      <c r="F683" s="19"/>
      <c r="G683" s="19"/>
      <c r="H683" s="19"/>
      <c r="I683" s="19"/>
      <c r="J683" s="19"/>
      <c r="K683" s="233"/>
      <c r="L683" s="19"/>
      <c r="M683" s="19"/>
      <c r="N683" s="19"/>
      <c r="O683" s="19"/>
      <c r="P683" s="19"/>
      <c r="Q683" s="19"/>
      <c r="R683" s="19"/>
      <c r="S683" s="19"/>
      <c r="T683" s="19"/>
      <c r="U683" s="19"/>
      <c r="V683" s="19"/>
      <c r="W683" s="19"/>
      <c r="X683" s="19"/>
      <c r="Y683" s="19"/>
    </row>
    <row r="684" spans="1:25" ht="12" customHeight="1">
      <c r="A684" s="219" t="n" cm="1">
        <f t="array" ref="A684">IFERROR(INDEX('03.Muestra'!$B$8:$B$42,SMALL(IF("Página Web"='03.Muestra'!$D$8:$D$42,ROW('03.Muestra'!$B$8:$B$42)-MIN(ROW('03.Muestra'!$D$8:$D$42))+1,""),ROW()-664)),"")</f>
        <v>1.0</v>
      </c>
      <c r="B684" s="114" t="str" cm="1">
        <f t="array" ref="B684">IFERROR(INDEX('03.Muestra'!$C$8:$C$42,SMALL(IF("Página Web"='03.Muestra'!$D$8:$D$42,ROW('03.Muestra'!$C$8:$C$42)-MIN(ROW('03.Muestra'!$D$8:$D$42))+1,""),ROW()-664)),"")</f>
        <v>Home - PortCastelló</v>
      </c>
      <c r="C684" s="114" t="str" cm="1">
        <f t="array" ref="C684">IFERROR(INDEX('03.Muestra'!$F$8:$F$42,SMALL(IF("Página Web"='03.Muestra'!$D$8:$D$42,ROW('03.Muestra'!$F$8:$F$42)-MIN(ROW('03.Muestra'!$D$8:$D$42))+1,""),ROW()-664)),"")</f>
        <v>https://www.portcastello.com/</v>
      </c>
      <c r="D684" s="130" t="s">
        <v>37</v>
      </c>
      <c r="E684" s="107" t="str">
        <f t="shared" si="34"/>
        <v/>
      </c>
      <c r="F684" s="19"/>
      <c r="G684" s="19"/>
      <c r="H684" s="19"/>
      <c r="I684" s="19"/>
      <c r="J684" s="19"/>
      <c r="K684" s="233"/>
      <c r="L684" s="19"/>
      <c r="M684" s="19"/>
      <c r="N684" s="19"/>
      <c r="O684" s="19"/>
      <c r="P684" s="19"/>
      <c r="Q684" s="19"/>
      <c r="R684" s="19"/>
      <c r="S684" s="19"/>
      <c r="T684" s="19"/>
      <c r="U684" s="19"/>
      <c r="V684" s="19"/>
      <c r="W684" s="19"/>
      <c r="X684" s="19"/>
      <c r="Y684" s="19"/>
    </row>
    <row r="685" spans="1:25" ht="12" customHeight="1">
      <c r="A685" s="219" t="n" cm="1">
        <f t="array" ref="A685">IFERROR(INDEX('03.Muestra'!$B$8:$B$42,SMALL(IF("Página Web"='03.Muestra'!$D$8:$D$42,ROW('03.Muestra'!$B$8:$B$42)-MIN(ROW('03.Muestra'!$D$8:$D$42))+1,""),ROW()-664)),"")</f>
        <v>1.0</v>
      </c>
      <c r="B685" s="114" t="str" cm="1">
        <f t="array" ref="B685">IFERROR(INDEX('03.Muestra'!$C$8:$C$42,SMALL(IF("Página Web"='03.Muestra'!$D$8:$D$42,ROW('03.Muestra'!$C$8:$C$42)-MIN(ROW('03.Muestra'!$D$8:$D$42))+1,""),ROW()-664)),"")</f>
        <v>Home - PortCastelló</v>
      </c>
      <c r="C685" s="114" t="str" cm="1">
        <f t="array" ref="C685">IFERROR(INDEX('03.Muestra'!$F$8:$F$42,SMALL(IF("Página Web"='03.Muestra'!$D$8:$D$42,ROW('03.Muestra'!$F$8:$F$42)-MIN(ROW('03.Muestra'!$D$8:$D$42))+1,""),ROW()-664)),"")</f>
        <v>https://www.portcastello.com/</v>
      </c>
      <c r="D685" s="130" t="s">
        <v>37</v>
      </c>
      <c r="E685" s="107" t="str">
        <f t="shared" si="34"/>
        <v/>
      </c>
      <c r="F685" s="19"/>
      <c r="G685" s="19"/>
      <c r="H685" s="19"/>
      <c r="I685" s="19"/>
      <c r="J685" s="19"/>
      <c r="K685" s="233"/>
      <c r="L685" s="19"/>
      <c r="M685" s="19"/>
      <c r="N685" s="19"/>
      <c r="O685" s="19"/>
      <c r="P685" s="19"/>
      <c r="Q685" s="19"/>
      <c r="R685" s="19"/>
      <c r="S685" s="19"/>
      <c r="T685" s="19"/>
      <c r="U685" s="19"/>
      <c r="V685" s="19"/>
      <c r="W685" s="19"/>
      <c r="X685" s="19"/>
      <c r="Y685" s="19"/>
    </row>
    <row r="686" spans="1:25" ht="12" customHeight="1">
      <c r="A686" s="219" t="n" cm="1">
        <f t="array" ref="A686">IFERROR(INDEX('03.Muestra'!$B$8:$B$42,SMALL(IF("Página Web"='03.Muestra'!$D$8:$D$42,ROW('03.Muestra'!$B$8:$B$42)-MIN(ROW('03.Muestra'!$D$8:$D$42))+1,""),ROW()-664)),"")</f>
        <v>1.0</v>
      </c>
      <c r="B686" s="114" t="str" cm="1">
        <f t="array" ref="B686">IFERROR(INDEX('03.Muestra'!$C$8:$C$42,SMALL(IF("Página Web"='03.Muestra'!$D$8:$D$42,ROW('03.Muestra'!$C$8:$C$42)-MIN(ROW('03.Muestra'!$D$8:$D$42))+1,""),ROW()-664)),"")</f>
        <v>Home - PortCastelló</v>
      </c>
      <c r="C686" s="114" t="str" cm="1">
        <f t="array" ref="C686">IFERROR(INDEX('03.Muestra'!$F$8:$F$42,SMALL(IF("Página Web"='03.Muestra'!$D$8:$D$42,ROW('03.Muestra'!$F$8:$F$42)-MIN(ROW('03.Muestra'!$D$8:$D$42))+1,""),ROW()-664)),"")</f>
        <v>https://www.portcastello.com/</v>
      </c>
      <c r="D686" s="130" t="s">
        <v>37</v>
      </c>
      <c r="E686" s="107" t="str">
        <f t="shared" si="34"/>
        <v/>
      </c>
      <c r="F686" s="19"/>
      <c r="G686" s="19"/>
      <c r="H686" s="19"/>
      <c r="I686" s="19"/>
      <c r="J686" s="19"/>
      <c r="K686" s="233"/>
      <c r="L686" s="19"/>
      <c r="M686" s="19"/>
      <c r="N686" s="19"/>
      <c r="O686" s="19"/>
      <c r="P686" s="19"/>
      <c r="Q686" s="19"/>
      <c r="R686" s="19"/>
      <c r="S686" s="19"/>
      <c r="T686" s="19"/>
      <c r="U686" s="19"/>
      <c r="V686" s="19"/>
      <c r="W686" s="19"/>
      <c r="X686" s="19"/>
      <c r="Y686" s="19"/>
    </row>
    <row r="687" spans="1:25" ht="12" customHeight="1">
      <c r="A687" s="219" t="n" cm="1">
        <f t="array" ref="A687">IFERROR(INDEX('03.Muestra'!$B$8:$B$42,SMALL(IF("Página Web"='03.Muestra'!$D$8:$D$42,ROW('03.Muestra'!$B$8:$B$42)-MIN(ROW('03.Muestra'!$D$8:$D$42))+1,""),ROW()-664)),"")</f>
        <v>1.0</v>
      </c>
      <c r="B687" s="114" t="str" cm="1">
        <f t="array" ref="B687">IFERROR(INDEX('03.Muestra'!$C$8:$C$42,SMALL(IF("Página Web"='03.Muestra'!$D$8:$D$42,ROW('03.Muestra'!$C$8:$C$42)-MIN(ROW('03.Muestra'!$D$8:$D$42))+1,""),ROW()-664)),"")</f>
        <v>Home - PortCastelló</v>
      </c>
      <c r="C687" s="114" t="str" cm="1">
        <f t="array" ref="C687">IFERROR(INDEX('03.Muestra'!$F$8:$F$42,SMALL(IF("Página Web"='03.Muestra'!$D$8:$D$42,ROW('03.Muestra'!$F$8:$F$42)-MIN(ROW('03.Muestra'!$D$8:$D$42))+1,""),ROW()-664)),"")</f>
        <v>https://www.portcastello.com/</v>
      </c>
      <c r="D687" s="130" t="s">
        <v>37</v>
      </c>
      <c r="E687" s="107" t="str">
        <f t="shared" si="34"/>
        <v/>
      </c>
      <c r="F687" s="19"/>
      <c r="G687" s="19"/>
      <c r="H687" s="19"/>
      <c r="I687" s="19"/>
      <c r="J687" s="19"/>
      <c r="K687" s="233"/>
      <c r="L687" s="19"/>
      <c r="M687" s="19"/>
      <c r="N687" s="19"/>
      <c r="O687" s="19"/>
      <c r="P687" s="19"/>
      <c r="Q687" s="19"/>
      <c r="R687" s="19"/>
      <c r="S687" s="19"/>
      <c r="T687" s="19"/>
      <c r="U687" s="19"/>
      <c r="V687" s="19"/>
      <c r="W687" s="19"/>
      <c r="X687" s="19"/>
      <c r="Y687" s="19"/>
    </row>
    <row r="688" spans="1:25" ht="12" customHeight="1">
      <c r="A688" s="219" t="n" cm="1">
        <f t="array" ref="A688">IFERROR(INDEX('03.Muestra'!$B$8:$B$42,SMALL(IF("Página Web"='03.Muestra'!$D$8:$D$42,ROW('03.Muestra'!$B$8:$B$42)-MIN(ROW('03.Muestra'!$D$8:$D$42))+1,""),ROW()-664)),"")</f>
        <v>1.0</v>
      </c>
      <c r="B688" s="114" t="str" cm="1">
        <f t="array" ref="B688">IFERROR(INDEX('03.Muestra'!$C$8:$C$42,SMALL(IF("Página Web"='03.Muestra'!$D$8:$D$42,ROW('03.Muestra'!$C$8:$C$42)-MIN(ROW('03.Muestra'!$D$8:$D$42))+1,""),ROW()-664)),"")</f>
        <v>Home - PortCastelló</v>
      </c>
      <c r="C688" s="114" t="str" cm="1">
        <f t="array" ref="C688">IFERROR(INDEX('03.Muestra'!$F$8:$F$42,SMALL(IF("Página Web"='03.Muestra'!$D$8:$D$42,ROW('03.Muestra'!$F$8:$F$42)-MIN(ROW('03.Muestra'!$D$8:$D$42))+1,""),ROW()-664)),"")</f>
        <v>https://www.portcastello.com/</v>
      </c>
      <c r="D688" s="130" t="s">
        <v>37</v>
      </c>
      <c r="E688" s="107" t="str">
        <f t="shared" si="34"/>
        <v/>
      </c>
      <c r="F688" s="19"/>
      <c r="G688" s="19"/>
      <c r="H688" s="19"/>
      <c r="I688" s="19"/>
      <c r="J688" s="19"/>
      <c r="K688" s="233"/>
      <c r="L688" s="19"/>
      <c r="M688" s="19"/>
      <c r="N688" s="19"/>
      <c r="O688" s="19"/>
      <c r="P688" s="19"/>
      <c r="Q688" s="19"/>
      <c r="R688" s="19"/>
      <c r="S688" s="19"/>
      <c r="T688" s="19"/>
      <c r="U688" s="19"/>
      <c r="V688" s="19"/>
      <c r="W688" s="19"/>
      <c r="X688" s="19"/>
      <c r="Y688" s="19"/>
    </row>
    <row r="689" spans="1:25" ht="12" customHeight="1">
      <c r="A689" s="219" t="n" cm="1">
        <f t="array" ref="A689">IFERROR(INDEX('03.Muestra'!$B$8:$B$42,SMALL(IF("Página Web"='03.Muestra'!$D$8:$D$42,ROW('03.Muestra'!$B$8:$B$42)-MIN(ROW('03.Muestra'!$D$8:$D$42))+1,""),ROW()-664)),"")</f>
        <v>1.0</v>
      </c>
      <c r="B689" s="114" t="str" cm="1">
        <f t="array" ref="B689">IFERROR(INDEX('03.Muestra'!$C$8:$C$42,SMALL(IF("Página Web"='03.Muestra'!$D$8:$D$42,ROW('03.Muestra'!$C$8:$C$42)-MIN(ROW('03.Muestra'!$D$8:$D$42))+1,""),ROW()-664)),"")</f>
        <v>Home - PortCastelló</v>
      </c>
      <c r="C689" s="114" t="str" cm="1">
        <f t="array" ref="C689">IFERROR(INDEX('03.Muestra'!$F$8:$F$42,SMALL(IF("Página Web"='03.Muestra'!$D$8:$D$42,ROW('03.Muestra'!$F$8:$F$42)-MIN(ROW('03.Muestra'!$D$8:$D$42))+1,""),ROW()-664)),"")</f>
        <v>https://www.portcastello.com/</v>
      </c>
      <c r="D689" s="130" t="s">
        <v>37</v>
      </c>
      <c r="E689" s="107" t="str">
        <f t="shared" si="34"/>
        <v/>
      </c>
      <c r="F689" s="19"/>
      <c r="G689" s="19"/>
      <c r="H689" s="19"/>
      <c r="I689" s="19"/>
      <c r="J689" s="19"/>
      <c r="K689" s="233"/>
      <c r="L689" s="19"/>
      <c r="M689" s="19"/>
      <c r="N689" s="19"/>
      <c r="O689" s="19"/>
      <c r="P689" s="19"/>
      <c r="Q689" s="19"/>
      <c r="R689" s="19"/>
      <c r="S689" s="19"/>
      <c r="T689" s="19"/>
      <c r="U689" s="19"/>
      <c r="V689" s="19"/>
      <c r="W689" s="19"/>
      <c r="X689" s="19"/>
      <c r="Y689" s="19"/>
    </row>
    <row r="690" spans="1:25" ht="12" customHeight="1">
      <c r="A690" s="219" t="n" cm="1">
        <f t="array" ref="A690">IFERROR(INDEX('03.Muestra'!$B$8:$B$42,SMALL(IF("Página Web"='03.Muestra'!$D$8:$D$42,ROW('03.Muestra'!$B$8:$B$42)-MIN(ROW('03.Muestra'!$D$8:$D$42))+1,""),ROW()-664)),"")</f>
        <v>1.0</v>
      </c>
      <c r="B690" s="114" t="str" cm="1">
        <f t="array" ref="B690">IFERROR(INDEX('03.Muestra'!$C$8:$C$42,SMALL(IF("Página Web"='03.Muestra'!$D$8:$D$42,ROW('03.Muestra'!$C$8:$C$42)-MIN(ROW('03.Muestra'!$D$8:$D$42))+1,""),ROW()-664)),"")</f>
        <v>Home - PortCastelló</v>
      </c>
      <c r="C690" s="114" t="str" cm="1">
        <f t="array" ref="C690">IFERROR(INDEX('03.Muestra'!$F$8:$F$42,SMALL(IF("Página Web"='03.Muestra'!$D$8:$D$42,ROW('03.Muestra'!$F$8:$F$42)-MIN(ROW('03.Muestra'!$D$8:$D$42))+1,""),ROW()-664)),"")</f>
        <v>https://www.portcastello.com/</v>
      </c>
      <c r="D690" s="130" t="s">
        <v>37</v>
      </c>
      <c r="E690" s="107" t="str">
        <f t="shared" si="34"/>
        <v/>
      </c>
      <c r="F690" s="19"/>
      <c r="G690" s="19"/>
      <c r="H690" s="19"/>
      <c r="I690" s="19"/>
      <c r="J690" s="19"/>
      <c r="K690" s="233"/>
      <c r="L690" s="19"/>
      <c r="M690" s="19"/>
      <c r="N690" s="19"/>
      <c r="O690" s="19"/>
      <c r="P690" s="19"/>
      <c r="Q690" s="19"/>
      <c r="R690" s="19"/>
      <c r="S690" s="19"/>
      <c r="T690" s="19"/>
      <c r="U690" s="19"/>
      <c r="V690" s="19"/>
      <c r="W690" s="19"/>
      <c r="X690" s="19"/>
      <c r="Y690" s="19"/>
    </row>
    <row r="691" spans="1:25" ht="12" customHeight="1">
      <c r="A691" s="219" t="n" cm="1">
        <f t="array" ref="A691">IFERROR(INDEX('03.Muestra'!$B$8:$B$42,SMALL(IF("Página Web"='03.Muestra'!$D$8:$D$42,ROW('03.Muestra'!$B$8:$B$42)-MIN(ROW('03.Muestra'!$D$8:$D$42))+1,""),ROW()-664)),"")</f>
        <v>1.0</v>
      </c>
      <c r="B691" s="114" t="str" cm="1">
        <f t="array" ref="B691">IFERROR(INDEX('03.Muestra'!$C$8:$C$42,SMALL(IF("Página Web"='03.Muestra'!$D$8:$D$42,ROW('03.Muestra'!$C$8:$C$42)-MIN(ROW('03.Muestra'!$D$8:$D$42))+1,""),ROW()-664)),"")</f>
        <v>Home - PortCastelló</v>
      </c>
      <c r="C691" s="114" t="str" cm="1">
        <f t="array" ref="C691">IFERROR(INDEX('03.Muestra'!$F$8:$F$42,SMALL(IF("Página Web"='03.Muestra'!$D$8:$D$42,ROW('03.Muestra'!$F$8:$F$42)-MIN(ROW('03.Muestra'!$D$8:$D$42))+1,""),ROW()-664)),"")</f>
        <v>https://www.portcastello.com/</v>
      </c>
      <c r="D691" s="130" t="s">
        <v>37</v>
      </c>
      <c r="E691" s="107" t="str">
        <f t="shared" si="34"/>
        <v/>
      </c>
      <c r="F691" s="19"/>
      <c r="G691" s="19"/>
      <c r="H691" s="19"/>
      <c r="I691" s="19"/>
      <c r="J691" s="19"/>
      <c r="K691" s="233"/>
      <c r="L691" s="19"/>
      <c r="M691" s="19"/>
      <c r="N691" s="19"/>
      <c r="O691" s="19"/>
      <c r="P691" s="19"/>
      <c r="Q691" s="19"/>
      <c r="R691" s="19"/>
      <c r="S691" s="19"/>
      <c r="T691" s="19"/>
      <c r="U691" s="19"/>
      <c r="V691" s="19"/>
      <c r="W691" s="19"/>
      <c r="X691" s="19"/>
      <c r="Y691" s="19"/>
    </row>
    <row r="692" spans="1:25" ht="12" customHeight="1">
      <c r="A692" s="219" t="n" cm="1">
        <f t="array" ref="A692">IFERROR(INDEX('03.Muestra'!$B$8:$B$42,SMALL(IF("Página Web"='03.Muestra'!$D$8:$D$42,ROW('03.Muestra'!$B$8:$B$42)-MIN(ROW('03.Muestra'!$D$8:$D$42))+1,""),ROW()-664)),"")</f>
        <v>1.0</v>
      </c>
      <c r="B692" s="114" t="str" cm="1">
        <f t="array" ref="B692">IFERROR(INDEX('03.Muestra'!$C$8:$C$42,SMALL(IF("Página Web"='03.Muestra'!$D$8:$D$42,ROW('03.Muestra'!$C$8:$C$42)-MIN(ROW('03.Muestra'!$D$8:$D$42))+1,""),ROW()-664)),"")</f>
        <v>Home - PortCastelló</v>
      </c>
      <c r="C692" s="114" t="str" cm="1">
        <f t="array" ref="C692">IFERROR(INDEX('03.Muestra'!$F$8:$F$42,SMALL(IF("Página Web"='03.Muestra'!$D$8:$D$42,ROW('03.Muestra'!$F$8:$F$42)-MIN(ROW('03.Muestra'!$D$8:$D$42))+1,""),ROW()-664)),"")</f>
        <v>https://www.portcastello.com/</v>
      </c>
      <c r="D692" s="130" t="s">
        <v>37</v>
      </c>
      <c r="E692" s="107" t="str">
        <f t="shared" si="34"/>
        <v/>
      </c>
      <c r="G692" s="19"/>
      <c r="H692" s="19"/>
      <c r="I692" s="19"/>
      <c r="J692" s="19"/>
      <c r="K692" s="233"/>
      <c r="L692" s="19"/>
      <c r="M692" s="19"/>
      <c r="N692" s="19"/>
      <c r="O692" s="19"/>
      <c r="P692" s="19"/>
      <c r="Q692" s="19"/>
      <c r="R692" s="19"/>
      <c r="S692" s="19"/>
      <c r="T692" s="19"/>
      <c r="U692" s="19"/>
      <c r="V692" s="19"/>
      <c r="W692" s="19"/>
      <c r="X692" s="19"/>
      <c r="Y692" s="19"/>
    </row>
    <row r="693" spans="1:25" ht="12" customHeight="1">
      <c r="A693" s="219" t="n" cm="1">
        <f t="array" ref="A693">IFERROR(INDEX('03.Muestra'!$B$8:$B$42,SMALL(IF("Página Web"='03.Muestra'!$D$8:$D$42,ROW('03.Muestra'!$B$8:$B$42)-MIN(ROW('03.Muestra'!$D$8:$D$42))+1,""),ROW()-664)),"")</f>
        <v>1.0</v>
      </c>
      <c r="B693" s="114" t="str" cm="1">
        <f t="array" ref="B693">IFERROR(INDEX('03.Muestra'!$C$8:$C$42,SMALL(IF("Página Web"='03.Muestra'!$D$8:$D$42,ROW('03.Muestra'!$C$8:$C$42)-MIN(ROW('03.Muestra'!$D$8:$D$42))+1,""),ROW()-664)),"")</f>
        <v>Home - PortCastelló</v>
      </c>
      <c r="C693" s="114" t="str" cm="1">
        <f t="array" ref="C693">IFERROR(INDEX('03.Muestra'!$F$8:$F$42,SMALL(IF("Página Web"='03.Muestra'!$D$8:$D$42,ROW('03.Muestra'!$F$8:$F$42)-MIN(ROW('03.Muestra'!$D$8:$D$42))+1,""),ROW()-664)),"")</f>
        <v>https://www.portcastello.com/</v>
      </c>
      <c r="D693" s="130" t="s">
        <v>37</v>
      </c>
      <c r="E693" s="107" t="str">
        <f t="shared" si="34"/>
        <v/>
      </c>
      <c r="F693" s="124"/>
      <c r="G693" s="19"/>
      <c r="H693" s="19"/>
      <c r="I693" s="19"/>
      <c r="J693" s="19"/>
      <c r="K693" s="233"/>
      <c r="L693" s="19"/>
      <c r="M693" s="19"/>
      <c r="N693" s="19"/>
      <c r="O693" s="19"/>
      <c r="P693" s="19"/>
      <c r="Q693" s="19"/>
      <c r="R693" s="19"/>
      <c r="S693" s="19"/>
      <c r="T693" s="19"/>
      <c r="U693" s="19"/>
      <c r="V693" s="19"/>
      <c r="W693" s="19"/>
      <c r="X693" s="19"/>
      <c r="Y693" s="19"/>
    </row>
    <row r="694" spans="1:25" ht="12" customHeight="1">
      <c r="A694" s="219" t="n" cm="1">
        <f t="array" ref="A694">IFERROR(INDEX('03.Muestra'!$B$8:$B$42,SMALL(IF("Página Web"='03.Muestra'!$D$8:$D$42,ROW('03.Muestra'!$B$8:$B$42)-MIN(ROW('03.Muestra'!$D$8:$D$42))+1,""),ROW()-664)),"")</f>
        <v>1.0</v>
      </c>
      <c r="B694" s="114" t="str" cm="1">
        <f t="array" ref="B694">IFERROR(INDEX('03.Muestra'!$C$8:$C$42,SMALL(IF("Página Web"='03.Muestra'!$D$8:$D$42,ROW('03.Muestra'!$C$8:$C$42)-MIN(ROW('03.Muestra'!$D$8:$D$42))+1,""),ROW()-664)),"")</f>
        <v>Home - PortCastelló</v>
      </c>
      <c r="C694" s="114" t="str" cm="1">
        <f t="array" ref="C694">IFERROR(INDEX('03.Muestra'!$F$8:$F$42,SMALL(IF("Página Web"='03.Muestra'!$D$8:$D$42,ROW('03.Muestra'!$F$8:$F$42)-MIN(ROW('03.Muestra'!$D$8:$D$42))+1,""),ROW()-664)),"")</f>
        <v>https://www.portcastello.com/</v>
      </c>
      <c r="D694" s="130" t="s">
        <v>37</v>
      </c>
      <c r="E694" s="107" t="str">
        <f t="shared" si="34"/>
        <v/>
      </c>
      <c r="F694" s="124"/>
      <c r="G694" s="19"/>
      <c r="H694" s="19"/>
      <c r="I694" s="19"/>
      <c r="J694" s="19"/>
      <c r="K694" s="233"/>
      <c r="L694" s="19"/>
      <c r="M694" s="19"/>
      <c r="N694" s="19"/>
      <c r="O694" s="19"/>
      <c r="P694" s="19"/>
      <c r="Q694" s="19"/>
      <c r="R694" s="19"/>
      <c r="S694" s="19"/>
      <c r="T694" s="19"/>
      <c r="U694" s="19"/>
      <c r="V694" s="19"/>
      <c r="W694" s="19"/>
      <c r="X694" s="19"/>
      <c r="Y694" s="19"/>
    </row>
    <row r="695" spans="1:25" ht="12" customHeight="1">
      <c r="A695" s="219" t="n" cm="1">
        <f t="array" ref="A695">IFERROR(INDEX('03.Muestra'!$B$8:$B$42,SMALL(IF("Página Web"='03.Muestra'!$D$8:$D$42,ROW('03.Muestra'!$B$8:$B$42)-MIN(ROW('03.Muestra'!$D$8:$D$42))+1,""),ROW()-664)),"")</f>
        <v>1.0</v>
      </c>
      <c r="B695" s="114" t="str" cm="1">
        <f t="array" ref="B695">IFERROR(INDEX('03.Muestra'!$C$8:$C$42,SMALL(IF("Página Web"='03.Muestra'!$D$8:$D$42,ROW('03.Muestra'!$C$8:$C$42)-MIN(ROW('03.Muestra'!$D$8:$D$42))+1,""),ROW()-664)),"")</f>
        <v>Home - PortCastelló</v>
      </c>
      <c r="C695" s="114" t="str" cm="1">
        <f t="array" ref="C695">IFERROR(INDEX('03.Muestra'!$F$8:$F$42,SMALL(IF("Página Web"='03.Muestra'!$D$8:$D$42,ROW('03.Muestra'!$F$8:$F$42)-MIN(ROW('03.Muestra'!$D$8:$D$42))+1,""),ROW()-664)),"")</f>
        <v>https://www.portcastello.com/</v>
      </c>
      <c r="D695" s="130" t="s">
        <v>37</v>
      </c>
      <c r="E695" s="107" t="str">
        <f t="shared" si="34"/>
        <v/>
      </c>
      <c r="F695" s="124"/>
      <c r="G695" s="19"/>
      <c r="H695" s="19"/>
      <c r="I695" s="19"/>
      <c r="J695" s="19"/>
      <c r="K695" s="233"/>
      <c r="L695" s="19"/>
      <c r="M695" s="19"/>
      <c r="N695" s="19"/>
      <c r="O695" s="19"/>
      <c r="P695" s="19"/>
      <c r="Q695" s="19"/>
      <c r="R695" s="19"/>
      <c r="S695" s="19"/>
      <c r="T695" s="19"/>
      <c r="U695" s="19"/>
      <c r="V695" s="19"/>
      <c r="W695" s="19"/>
      <c r="X695" s="19"/>
      <c r="Y695" s="19"/>
    </row>
    <row r="696" spans="1:25" ht="12" customHeight="1">
      <c r="A696" s="219" t="n" cm="1">
        <f t="array" ref="A696">IFERROR(INDEX('03.Muestra'!$B$8:$B$42,SMALL(IF("Página Web"='03.Muestra'!$D$8:$D$42,ROW('03.Muestra'!$B$8:$B$42)-MIN(ROW('03.Muestra'!$D$8:$D$42))+1,""),ROW()-664)),"")</f>
        <v>1.0</v>
      </c>
      <c r="B696" s="114" t="str" cm="1">
        <f t="array" ref="B696">IFERROR(INDEX('03.Muestra'!$C$8:$C$42,SMALL(IF("Página Web"='03.Muestra'!$D$8:$D$42,ROW('03.Muestra'!$C$8:$C$42)-MIN(ROW('03.Muestra'!$D$8:$D$42))+1,""),ROW()-664)),"")</f>
        <v>Home - PortCastelló</v>
      </c>
      <c r="C696" s="114" t="str" cm="1">
        <f t="array" ref="C696">IFERROR(INDEX('03.Muestra'!$F$8:$F$42,SMALL(IF("Página Web"='03.Muestra'!$D$8:$D$42,ROW('03.Muestra'!$F$8:$F$42)-MIN(ROW('03.Muestra'!$D$8:$D$42))+1,""),ROW()-664)),"")</f>
        <v>https://www.portcastello.com/</v>
      </c>
      <c r="D696" s="130" t="s">
        <v>37</v>
      </c>
      <c r="E696" s="107" t="str">
        <f t="shared" si="34"/>
        <v/>
      </c>
      <c r="F696" s="124"/>
      <c r="G696" s="19"/>
      <c r="H696" s="19"/>
      <c r="I696" s="19"/>
      <c r="J696" s="19"/>
      <c r="K696" s="233"/>
      <c r="L696" s="19"/>
      <c r="M696" s="19"/>
      <c r="N696" s="19"/>
      <c r="O696" s="19"/>
      <c r="P696" s="19"/>
      <c r="Q696" s="19"/>
      <c r="R696" s="19"/>
      <c r="S696" s="19"/>
      <c r="T696" s="19"/>
      <c r="U696" s="19"/>
      <c r="V696" s="19"/>
      <c r="W696" s="19"/>
      <c r="X696" s="19"/>
      <c r="Y696" s="19"/>
    </row>
    <row r="697" spans="1:25" ht="12" customHeight="1">
      <c r="A697" s="219" t="n" cm="1">
        <f t="array" ref="A697">IFERROR(INDEX('03.Muestra'!$B$8:$B$42,SMALL(IF("Página Web"='03.Muestra'!$D$8:$D$42,ROW('03.Muestra'!$B$8:$B$42)-MIN(ROW('03.Muestra'!$D$8:$D$42))+1,""),ROW()-664)),"")</f>
        <v>1.0</v>
      </c>
      <c r="B697" s="114" t="str" cm="1">
        <f t="array" ref="B697">IFERROR(INDEX('03.Muestra'!$C$8:$C$42,SMALL(IF("Página Web"='03.Muestra'!$D$8:$D$42,ROW('03.Muestra'!$C$8:$C$42)-MIN(ROW('03.Muestra'!$D$8:$D$42))+1,""),ROW()-664)),"")</f>
        <v>Home - PortCastelló</v>
      </c>
      <c r="C697" s="114" t="str" cm="1">
        <f t="array" ref="C697">IFERROR(INDEX('03.Muestra'!$F$8:$F$42,SMALL(IF("Página Web"='03.Muestra'!$D$8:$D$42,ROW('03.Muestra'!$F$8:$F$42)-MIN(ROW('03.Muestra'!$D$8:$D$42))+1,""),ROW()-664)),"")</f>
        <v>https://www.portcastello.com/</v>
      </c>
      <c r="D697" s="130" t="s">
        <v>37</v>
      </c>
      <c r="E697" s="107" t="str">
        <f t="shared" si="34"/>
        <v/>
      </c>
      <c r="F697" s="124"/>
      <c r="G697" s="19"/>
      <c r="H697" s="19"/>
      <c r="I697" s="19"/>
      <c r="J697" s="19"/>
      <c r="K697" s="233"/>
      <c r="L697" s="19"/>
      <c r="M697" s="19"/>
      <c r="N697" s="19"/>
      <c r="O697" s="19"/>
      <c r="P697" s="19"/>
      <c r="Q697" s="19"/>
      <c r="R697" s="19"/>
      <c r="S697" s="19"/>
      <c r="T697" s="19"/>
      <c r="U697" s="19"/>
      <c r="V697" s="19"/>
      <c r="W697" s="19"/>
      <c r="X697" s="19"/>
      <c r="Y697" s="19"/>
    </row>
    <row r="698" spans="1:25" ht="12" customHeight="1">
      <c r="A698" s="219" t="str" cm="1">
        <f t="array" ref="A698">IFERROR(INDEX('03.Muestra'!$B$8:$B$42,SMALL(IF("Página Web"='03.Muestra'!$D$8:$D$42,ROW('03.Muestra'!$B$8:$B$42)-MIN(ROW('03.Muestra'!$D$8:$D$42))+1,""),ROW()-664)),"")</f>
        <v/>
      </c>
      <c r="B698" s="114" t="str" cm="1">
        <f t="array" ref="B698">IFERROR(INDEX('03.Muestra'!$C$8:$C$42,SMALL(IF("Página Web"='03.Muestra'!$D$8:$D$42,ROW('03.Muestra'!$C$8:$C$42)-MIN(ROW('03.Muestra'!$D$8:$D$42))+1,""),ROW()-664)),"")</f>
        <v/>
      </c>
      <c r="C698" s="114" t="str" cm="1">
        <f t="array" ref="C698">IFERROR(INDEX('03.Muestra'!$F$8:$F$42,SMALL(IF("Página Web"='03.Muestra'!$D$8:$D$42,ROW('03.Muestra'!$F$8:$F$42)-MIN(ROW('03.Muestra'!$D$8:$D$42))+1,""),ROW()-664)),"")</f>
        <v/>
      </c>
      <c r="D698" s="130" t="str">
        <f t="shared" si="35" ref="D698:D699">IF(AND(B698&lt;&gt;"",C698&lt;&gt;""),"N/T","")</f>
        <v/>
      </c>
      <c r="E698" s="107" t="str">
        <f t="shared" si="34"/>
        <v/>
      </c>
      <c r="F698" s="124"/>
      <c r="G698" s="19"/>
      <c r="H698" s="19"/>
      <c r="I698" s="19"/>
      <c r="J698" s="19"/>
      <c r="K698" s="233"/>
      <c r="L698" s="19"/>
      <c r="M698" s="19"/>
      <c r="N698" s="19"/>
      <c r="O698" s="19"/>
      <c r="P698" s="19"/>
      <c r="Q698" s="19"/>
      <c r="R698" s="19"/>
      <c r="S698" s="19"/>
      <c r="T698" s="19"/>
      <c r="U698" s="19"/>
      <c r="V698" s="19"/>
      <c r="W698" s="19"/>
      <c r="X698" s="19"/>
      <c r="Y698" s="19"/>
    </row>
    <row r="699" spans="1:25" ht="12" customHeight="1">
      <c r="A699" s="219" t="str" cm="1">
        <f t="array" ref="A699">IFERROR(INDEX('03.Muestra'!$B$8:$B$42,SMALL(IF("Página Web"='03.Muestra'!$D$8:$D$42,ROW('03.Muestra'!$B$8:$B$42)-MIN(ROW('03.Muestra'!$D$8:$D$42))+1,""),ROW()-664)),"")</f>
        <v/>
      </c>
      <c r="B699" s="114" t="str" cm="1">
        <f t="array" ref="B699">IFERROR(INDEX('03.Muestra'!$C$8:$C$42,SMALL(IF("Página Web"='03.Muestra'!$D$8:$D$42,ROW('03.Muestra'!$C$8:$C$42)-MIN(ROW('03.Muestra'!$D$8:$D$42))+1,""),ROW()-664)),"")</f>
        <v/>
      </c>
      <c r="C699" s="114" t="str" cm="1">
        <f t="array" ref="C699">IFERROR(INDEX('03.Muestra'!$F$8:$F$42,SMALL(IF("Página Web"='03.Muestra'!$D$8:$D$42,ROW('03.Muestra'!$F$8:$F$42)-MIN(ROW('03.Muestra'!$D$8:$D$42))+1,""),ROW()-664)),"")</f>
        <v/>
      </c>
      <c r="D699" s="130" t="str">
        <f t="shared" si="35"/>
        <v/>
      </c>
      <c r="E699" s="107" t="str">
        <f t="shared" si="34"/>
        <v/>
      </c>
      <c r="F699" s="19"/>
      <c r="G699" s="19"/>
      <c r="H699" s="19"/>
      <c r="I699" s="19"/>
      <c r="J699" s="19"/>
      <c r="K699" s="233"/>
      <c r="L699" s="19"/>
      <c r="M699" s="19"/>
      <c r="N699" s="19"/>
      <c r="O699" s="19"/>
      <c r="P699" s="19"/>
      <c r="Q699" s="19"/>
      <c r="R699" s="19"/>
      <c r="S699" s="19"/>
      <c r="T699" s="19"/>
      <c r="U699" s="19"/>
      <c r="V699" s="19"/>
      <c r="W699" s="19"/>
      <c r="X699" s="19"/>
      <c r="Y699" s="19"/>
    </row>
    <row r="700" spans="1:25" ht="12" customHeight="1">
      <c r="B700" s="19"/>
      <c r="C700" s="19"/>
      <c r="D700" s="107"/>
      <c r="E700" s="107"/>
      <c r="F700" s="19"/>
      <c r="G700" s="19"/>
      <c r="H700" s="19"/>
      <c r="I700" s="19"/>
      <c r="J700" s="19"/>
      <c r="K700" s="233"/>
      <c r="L700" s="19"/>
      <c r="M700" s="19"/>
      <c r="N700" s="19"/>
      <c r="O700" s="19"/>
      <c r="P700" s="19"/>
      <c r="Q700" s="19"/>
      <c r="R700" s="19"/>
      <c r="S700" s="19"/>
      <c r="T700" s="19"/>
      <c r="U700" s="19"/>
      <c r="V700" s="19"/>
      <c r="W700" s="19"/>
      <c r="X700" s="19"/>
      <c r="Y700" s="19"/>
    </row>
    <row r="701" spans="1:25" ht="12" customHeight="1">
      <c r="B701" s="19"/>
      <c r="C701" s="19"/>
      <c r="D701" s="107"/>
      <c r="E701" s="112"/>
      <c r="F701" s="19"/>
      <c r="G701" s="19"/>
      <c r="H701" s="19"/>
      <c r="I701" s="19"/>
      <c r="J701" s="19"/>
      <c r="K701" s="233"/>
      <c r="L701" s="19"/>
      <c r="M701" s="19"/>
      <c r="N701" s="19"/>
      <c r="O701" s="19"/>
      <c r="P701" s="19"/>
      <c r="Q701" s="19"/>
      <c r="R701" s="19"/>
      <c r="S701" s="19"/>
      <c r="T701" s="19"/>
      <c r="U701" s="19"/>
      <c r="V701" s="19"/>
      <c r="W701" s="19"/>
      <c r="X701" s="19"/>
      <c r="Y701" s="19"/>
    </row>
    <row r="702" spans="1:25" ht="29.25" customHeight="1">
      <c r="A702" s="218" t="s">
        <v>268</v>
      </c>
      <c r="B702" s="24" t="s">
        <v>90</v>
      </c>
      <c r="C702" s="25" t="s">
        <v>391</v>
      </c>
      <c r="D702" s="26" t="s">
        <v>32</v>
      </c>
      <c r="E702" s="123"/>
      <c r="J702" s="125"/>
      <c r="K702" s="233"/>
      <c r="L702" s="19"/>
      <c r="M702" s="19"/>
      <c r="N702" s="19"/>
      <c r="O702" s="19"/>
      <c r="P702" s="19"/>
      <c r="Q702" s="19"/>
      <c r="R702" s="19"/>
      <c r="S702" s="19"/>
      <c r="T702" s="19"/>
      <c r="U702" s="19"/>
      <c r="V702" s="19"/>
      <c r="W702" s="19"/>
      <c r="X702" s="19"/>
      <c r="Y702" s="19"/>
    </row>
    <row r="703" spans="1:25" ht="12" customHeight="1">
      <c r="A703" s="219" t="n" cm="1">
        <f t="array" ref="A703">IFERROR(INDEX('03.Muestra'!$B$8:$B$42,SMALL(IF("Página Web"='03.Muestra'!$D$8:$D$42,ROW('03.Muestra'!$B$8:$B$42)-MIN(ROW('03.Muestra'!$D$8:$D$42))+1,""),ROW()-702)),"")</f>
        <v>1.0</v>
      </c>
      <c r="B703" s="114" t="str" cm="1">
        <f t="array" ref="B703">IFERROR(INDEX('03.Muestra'!$C$8:$C$42,SMALL(IF("Página Web"='03.Muestra'!$D$8:$D$42,ROW('03.Muestra'!$C$8:$C$42)-MIN(ROW('03.Muestra'!$D$8:$D$42))+1,""),ROW()-702)),"")</f>
        <v>Home - PortCastelló</v>
      </c>
      <c r="C703" s="114" t="str" cm="1">
        <f t="array" ref="C703">IFERROR(INDEX('03.Muestra'!$F$8:$F$42,SMALL(IF("Página Web"='03.Muestra'!$D$8:$D$42,ROW('03.Muestra'!$F$8:$F$42)-MIN(ROW('03.Muestra'!$D$8:$D$42))+1,""),ROW()-702)),"")</f>
        <v>https://www.portcastello.com/</v>
      </c>
      <c r="D703" s="130" t="str">
        <f>IF(AND(B703&lt;&gt;"",C703&lt;&gt;""),"N/T","")</f>
        <v>N/T</v>
      </c>
      <c r="E703" s="107" t="str">
        <f t="shared" ref="E703:E737" si="36">IF(D703&lt;&gt;"",IF(AND(B703&lt;&gt;"",C703&lt;&gt;""),"","ERR"),"")</f>
        <v/>
      </c>
      <c r="F703" s="115" t="s">
        <v>33</v>
      </c>
      <c r="G703" s="116" t="s">
        <v>37</v>
      </c>
      <c r="H703" s="117" t="s">
        <v>35</v>
      </c>
      <c r="I703" s="118" t="s">
        <v>28</v>
      </c>
      <c r="J703" s="119" t="s">
        <v>26</v>
      </c>
      <c r="K703" s="226" t="s">
        <v>474</v>
      </c>
      <c r="L703" s="19"/>
      <c r="M703" s="19"/>
      <c r="N703" s="19"/>
      <c r="O703" s="19"/>
      <c r="P703" s="19"/>
      <c r="Q703" s="19"/>
      <c r="R703" s="19"/>
      <c r="S703" s="19"/>
      <c r="T703" s="19"/>
      <c r="U703" s="19"/>
      <c r="V703" s="19"/>
      <c r="W703" s="19"/>
      <c r="X703" s="19"/>
      <c r="Y703" s="19"/>
    </row>
    <row r="704" spans="1:25" ht="12" customHeight="1">
      <c r="A704" s="219" t="n" cm="1">
        <f t="array" ref="A704">IFERROR(INDEX('03.Muestra'!$B$8:$B$42,SMALL(IF("Página Web"='03.Muestra'!$D$8:$D$42,ROW('03.Muestra'!$B$8:$B$42)-MIN(ROW('03.Muestra'!$D$8:$D$42))+1,""),ROW()-702)),"")</f>
        <v>1.0</v>
      </c>
      <c r="B704" s="114" t="str" cm="1">
        <f t="array" ref="B704">IFERROR(INDEX('03.Muestra'!$C$8:$C$42,SMALL(IF("Página Web"='03.Muestra'!$D$8:$D$42,ROW('03.Muestra'!$C$8:$C$42)-MIN(ROW('03.Muestra'!$D$8:$D$42))+1,""),ROW()-702)),"")</f>
        <v>Home - PortCastelló</v>
      </c>
      <c r="C704" s="114" t="str" cm="1">
        <f t="array" ref="C704">IFERROR(INDEX('03.Muestra'!$F$8:$F$42,SMALL(IF("Página Web"='03.Muestra'!$D$8:$D$42,ROW('03.Muestra'!$F$8:$F$42)-MIN(ROW('03.Muestra'!$D$8:$D$42))+1,""),ROW()-702)),"")</f>
        <v>https://www.portcastello.com/</v>
      </c>
      <c r="D704" s="130" t="str">
        <f t="shared" ref="D704:D737" si="37">IF(AND(B704&lt;&gt;"",C704&lt;&gt;""),"N/T","")</f>
        <v>N/T</v>
      </c>
      <c r="E704" s="107" t="str">
        <f t="shared" si="36"/>
        <v/>
      </c>
      <c r="F704" s="120" t="n">
        <f ca="1">COUNTIF($D703:INDIRECT("$D" &amp;  SUM(ROW()-1,'03.Muestra'!$D$45)-1),F703)</f>
        <v>33.0</v>
      </c>
      <c r="G704" s="120" t="n">
        <f ca="1">COUNTIF($D703:INDIRECT("$D" &amp;  SUM(ROW()-1,'03.Muestra'!$D$45)-1),G703)</f>
        <v>0.0</v>
      </c>
      <c r="H704" s="120" t="n">
        <f ca="1">COUNTIF($D703:INDIRECT("$D" &amp;  SUM(ROW()-1,'03.Muestra'!$D$45)-1),H703)</f>
        <v>0.0</v>
      </c>
      <c r="I704" s="120" t="n">
        <f ca="1">COUNTIF($D703:INDIRECT("$D" &amp;  SUM(ROW()-1,'03.Muestra'!$D$45)-1),I703)</f>
        <v>0.0</v>
      </c>
      <c r="J704" s="120" t="n">
        <f ca="1">COUNTIF($D703:INDIRECT("$D" &amp;  SUM(ROW()-1,'03.Muestra'!$D$45)-1),J703)</f>
        <v>0.0</v>
      </c>
      <c r="K704" s="227" t="n">
        <f ca="1">IF(COUNTIF('03.Muestra'!$D$8:$D$42,"Página Web")=0,0,COUNTBLANK($D703:INDIRECT("$D" &amp;  SUM(ROW()-1,COUNTIF('03.Muestra'!$D$8:$D$42,"Página Web"))-1)))</f>
        <v>0.0</v>
      </c>
      <c r="L704" s="19"/>
      <c r="M704" s="19"/>
      <c r="N704" s="19"/>
      <c r="O704" s="19"/>
      <c r="P704" s="19"/>
      <c r="Q704" s="19"/>
      <c r="R704" s="19"/>
      <c r="S704" s="19"/>
      <c r="T704" s="19"/>
      <c r="U704" s="19"/>
      <c r="V704" s="19"/>
      <c r="W704" s="19"/>
      <c r="X704" s="19"/>
      <c r="Y704" s="19"/>
    </row>
    <row r="705" spans="1:25" ht="12" customHeight="1">
      <c r="A705" s="219" t="n" cm="1">
        <f t="array" ref="A705">IFERROR(INDEX('03.Muestra'!$B$8:$B$42,SMALL(IF("Página Web"='03.Muestra'!$D$8:$D$42,ROW('03.Muestra'!$B$8:$B$42)-MIN(ROW('03.Muestra'!$D$8:$D$42))+1,""),ROW()-702)),"")</f>
        <v>1.0</v>
      </c>
      <c r="B705" s="114" t="str" cm="1">
        <f t="array" ref="B705">IFERROR(INDEX('03.Muestra'!$C$8:$C$42,SMALL(IF("Página Web"='03.Muestra'!$D$8:$D$42,ROW('03.Muestra'!$C$8:$C$42)-MIN(ROW('03.Muestra'!$D$8:$D$42))+1,""),ROW()-702)),"")</f>
        <v>Home - PortCastelló</v>
      </c>
      <c r="C705" s="114" t="str" cm="1">
        <f t="array" ref="C705">IFERROR(INDEX('03.Muestra'!$F$8:$F$42,SMALL(IF("Página Web"='03.Muestra'!$D$8:$D$42,ROW('03.Muestra'!$F$8:$F$42)-MIN(ROW('03.Muestra'!$D$8:$D$42))+1,""),ROW()-702)),"")</f>
        <v>https://www.portcastello.com/</v>
      </c>
      <c r="D705" s="130" t="str">
        <f t="shared" si="37"/>
        <v>N/T</v>
      </c>
      <c r="E705" s="107" t="str">
        <f t="shared" si="36"/>
        <v/>
      </c>
      <c r="G705" s="19"/>
      <c r="H705" s="19"/>
      <c r="I705" s="19"/>
      <c r="J705" s="19"/>
      <c r="K705" s="233"/>
      <c r="L705" s="19"/>
      <c r="M705" s="19"/>
      <c r="N705" s="19"/>
      <c r="O705" s="19"/>
      <c r="P705" s="19"/>
      <c r="Q705" s="19"/>
      <c r="R705" s="19"/>
      <c r="S705" s="19"/>
      <c r="T705" s="19"/>
      <c r="U705" s="19"/>
      <c r="V705" s="19"/>
      <c r="W705" s="19"/>
      <c r="X705" s="19"/>
      <c r="Y705" s="19"/>
    </row>
    <row r="706" spans="1:25" ht="12" customHeight="1">
      <c r="A706" s="219" t="n" cm="1">
        <f t="array" ref="A706">IFERROR(INDEX('03.Muestra'!$B$8:$B$42,SMALL(IF("Página Web"='03.Muestra'!$D$8:$D$42,ROW('03.Muestra'!$B$8:$B$42)-MIN(ROW('03.Muestra'!$D$8:$D$42))+1,""),ROW()-702)),"")</f>
        <v>1.0</v>
      </c>
      <c r="B706" s="114" t="str" cm="1">
        <f t="array" ref="B706">IFERROR(INDEX('03.Muestra'!$C$8:$C$42,SMALL(IF("Página Web"='03.Muestra'!$D$8:$D$42,ROW('03.Muestra'!$C$8:$C$42)-MIN(ROW('03.Muestra'!$D$8:$D$42))+1,""),ROW()-702)),"")</f>
        <v>Home - PortCastelló</v>
      </c>
      <c r="C706" s="114" t="str" cm="1">
        <f t="array" ref="C706">IFERROR(INDEX('03.Muestra'!$F$8:$F$42,SMALL(IF("Página Web"='03.Muestra'!$D$8:$D$42,ROW('03.Muestra'!$F$8:$F$42)-MIN(ROW('03.Muestra'!$D$8:$D$42))+1,""),ROW()-702)),"")</f>
        <v>https://www.portcastello.com/</v>
      </c>
      <c r="D706" s="130" t="str">
        <f t="shared" si="37"/>
        <v>N/T</v>
      </c>
      <c r="E706" s="107" t="str">
        <f t="shared" si="36"/>
        <v/>
      </c>
      <c r="G706" s="19"/>
      <c r="H706" s="19"/>
      <c r="I706" s="19"/>
      <c r="J706" s="19"/>
      <c r="K706" s="233"/>
      <c r="L706" s="19"/>
      <c r="M706" s="19"/>
      <c r="N706" s="19"/>
      <c r="O706" s="19"/>
      <c r="P706" s="19"/>
      <c r="Q706" s="19"/>
      <c r="R706" s="19"/>
      <c r="S706" s="19"/>
      <c r="T706" s="19"/>
      <c r="U706" s="19"/>
      <c r="V706" s="19"/>
      <c r="W706" s="19"/>
      <c r="X706" s="19"/>
      <c r="Y706" s="19"/>
    </row>
    <row r="707" spans="1:25" ht="12" customHeight="1">
      <c r="A707" s="219" t="n" cm="1">
        <f t="array" ref="A707">IFERROR(INDEX('03.Muestra'!$B$8:$B$42,SMALL(IF("Página Web"='03.Muestra'!$D$8:$D$42,ROW('03.Muestra'!$B$8:$B$42)-MIN(ROW('03.Muestra'!$D$8:$D$42))+1,""),ROW()-702)),"")</f>
        <v>1.0</v>
      </c>
      <c r="B707" s="114" t="str" cm="1">
        <f t="array" ref="B707">IFERROR(INDEX('03.Muestra'!$C$8:$C$42,SMALL(IF("Página Web"='03.Muestra'!$D$8:$D$42,ROW('03.Muestra'!$C$8:$C$42)-MIN(ROW('03.Muestra'!$D$8:$D$42))+1,""),ROW()-702)),"")</f>
        <v>Home - PortCastelló</v>
      </c>
      <c r="C707" s="114" t="str" cm="1">
        <f t="array" ref="C707">IFERROR(INDEX('03.Muestra'!$F$8:$F$42,SMALL(IF("Página Web"='03.Muestra'!$D$8:$D$42,ROW('03.Muestra'!$F$8:$F$42)-MIN(ROW('03.Muestra'!$D$8:$D$42))+1,""),ROW()-702)),"")</f>
        <v>https://www.portcastello.com/</v>
      </c>
      <c r="D707" s="130" t="str">
        <f t="shared" si="37"/>
        <v>N/T</v>
      </c>
      <c r="E707" s="107" t="str">
        <f t="shared" si="36"/>
        <v/>
      </c>
      <c r="G707" s="19"/>
      <c r="H707" s="19"/>
      <c r="I707" s="19"/>
      <c r="J707" s="19"/>
      <c r="K707" s="233"/>
      <c r="L707" s="19"/>
      <c r="M707" s="19"/>
      <c r="N707" s="19"/>
      <c r="O707" s="19"/>
      <c r="P707" s="19"/>
      <c r="Q707" s="19"/>
      <c r="R707" s="19"/>
      <c r="S707" s="19"/>
      <c r="T707" s="19"/>
      <c r="U707" s="19"/>
      <c r="V707" s="19"/>
      <c r="W707" s="19"/>
      <c r="X707" s="19"/>
      <c r="Y707" s="19"/>
    </row>
    <row r="708" spans="1:25" ht="12" customHeight="1">
      <c r="A708" s="219" t="n" cm="1">
        <f t="array" ref="A708">IFERROR(INDEX('03.Muestra'!$B$8:$B$42,SMALL(IF("Página Web"='03.Muestra'!$D$8:$D$42,ROW('03.Muestra'!$B$8:$B$42)-MIN(ROW('03.Muestra'!$D$8:$D$42))+1,""),ROW()-702)),"")</f>
        <v>1.0</v>
      </c>
      <c r="B708" s="114" t="str" cm="1">
        <f t="array" ref="B708">IFERROR(INDEX('03.Muestra'!$C$8:$C$42,SMALL(IF("Página Web"='03.Muestra'!$D$8:$D$42,ROW('03.Muestra'!$C$8:$C$42)-MIN(ROW('03.Muestra'!$D$8:$D$42))+1,""),ROW()-702)),"")</f>
        <v>Home - PortCastelló</v>
      </c>
      <c r="C708" s="114" t="str" cm="1">
        <f t="array" ref="C708">IFERROR(INDEX('03.Muestra'!$F$8:$F$42,SMALL(IF("Página Web"='03.Muestra'!$D$8:$D$42,ROW('03.Muestra'!$F$8:$F$42)-MIN(ROW('03.Muestra'!$D$8:$D$42))+1,""),ROW()-702)),"")</f>
        <v>https://www.portcastello.com/</v>
      </c>
      <c r="D708" s="130" t="str">
        <f t="shared" si="37"/>
        <v>N/T</v>
      </c>
      <c r="E708" s="107" t="str">
        <f t="shared" si="36"/>
        <v/>
      </c>
      <c r="G708" s="19"/>
      <c r="H708" s="19"/>
      <c r="I708" s="19"/>
      <c r="J708" s="19"/>
      <c r="K708" s="233"/>
      <c r="L708" s="19"/>
      <c r="M708" s="19"/>
      <c r="N708" s="19"/>
      <c r="O708" s="19"/>
      <c r="P708" s="19"/>
      <c r="Q708" s="19"/>
      <c r="R708" s="19"/>
      <c r="S708" s="19"/>
      <c r="T708" s="19"/>
      <c r="U708" s="19"/>
      <c r="V708" s="19"/>
      <c r="W708" s="19"/>
      <c r="X708" s="19"/>
      <c r="Y708" s="19"/>
    </row>
    <row r="709" spans="1:25" ht="12" customHeight="1">
      <c r="A709" s="219" t="n" cm="1">
        <f t="array" ref="A709">IFERROR(INDEX('03.Muestra'!$B$8:$B$42,SMALL(IF("Página Web"='03.Muestra'!$D$8:$D$42,ROW('03.Muestra'!$B$8:$B$42)-MIN(ROW('03.Muestra'!$D$8:$D$42))+1,""),ROW()-702)),"")</f>
        <v>1.0</v>
      </c>
      <c r="B709" s="114" t="str" cm="1">
        <f t="array" ref="B709">IFERROR(INDEX('03.Muestra'!$C$8:$C$42,SMALL(IF("Página Web"='03.Muestra'!$D$8:$D$42,ROW('03.Muestra'!$C$8:$C$42)-MIN(ROW('03.Muestra'!$D$8:$D$42))+1,""),ROW()-702)),"")</f>
        <v>Home - PortCastelló</v>
      </c>
      <c r="C709" s="114" t="str" cm="1">
        <f t="array" ref="C709">IFERROR(INDEX('03.Muestra'!$F$8:$F$42,SMALL(IF("Página Web"='03.Muestra'!$D$8:$D$42,ROW('03.Muestra'!$F$8:$F$42)-MIN(ROW('03.Muestra'!$D$8:$D$42))+1,""),ROW()-702)),"")</f>
        <v>https://www.portcastello.com/</v>
      </c>
      <c r="D709" s="130" t="str">
        <f t="shared" si="37"/>
        <v>N/T</v>
      </c>
      <c r="E709" s="107" t="str">
        <f t="shared" si="36"/>
        <v/>
      </c>
      <c r="F709" s="19"/>
      <c r="G709" s="19"/>
      <c r="H709" s="19"/>
      <c r="I709" s="19"/>
      <c r="J709" s="19"/>
      <c r="K709" s="233"/>
      <c r="L709" s="19"/>
      <c r="M709" s="19"/>
      <c r="N709" s="19"/>
      <c r="O709" s="19"/>
      <c r="P709" s="19"/>
      <c r="Q709" s="19"/>
      <c r="R709" s="19"/>
      <c r="S709" s="19"/>
      <c r="T709" s="19"/>
      <c r="U709" s="19"/>
      <c r="V709" s="19"/>
      <c r="W709" s="19"/>
      <c r="X709" s="19"/>
      <c r="Y709" s="19"/>
    </row>
    <row r="710" spans="1:25" ht="12" customHeight="1">
      <c r="A710" s="219" t="n" cm="1">
        <f t="array" ref="A710">IFERROR(INDEX('03.Muestra'!$B$8:$B$42,SMALL(IF("Página Web"='03.Muestra'!$D$8:$D$42,ROW('03.Muestra'!$B$8:$B$42)-MIN(ROW('03.Muestra'!$D$8:$D$42))+1,""),ROW()-702)),"")</f>
        <v>1.0</v>
      </c>
      <c r="B710" s="114" t="str" cm="1">
        <f t="array" ref="B710">IFERROR(INDEX('03.Muestra'!$C$8:$C$42,SMALL(IF("Página Web"='03.Muestra'!$D$8:$D$42,ROW('03.Muestra'!$C$8:$C$42)-MIN(ROW('03.Muestra'!$D$8:$D$42))+1,""),ROW()-702)),"")</f>
        <v>Home - PortCastelló</v>
      </c>
      <c r="C710" s="114" t="str" cm="1">
        <f t="array" ref="C710">IFERROR(INDEX('03.Muestra'!$F$8:$F$42,SMALL(IF("Página Web"='03.Muestra'!$D$8:$D$42,ROW('03.Muestra'!$F$8:$F$42)-MIN(ROW('03.Muestra'!$D$8:$D$42))+1,""),ROW()-702)),"")</f>
        <v>https://www.portcastello.com/</v>
      </c>
      <c r="D710" s="130" t="str">
        <f t="shared" si="37"/>
        <v>N/T</v>
      </c>
      <c r="E710" s="107" t="str">
        <f t="shared" si="36"/>
        <v/>
      </c>
      <c r="F710" s="19"/>
      <c r="G710" s="19"/>
      <c r="H710" s="19"/>
      <c r="I710" s="19"/>
      <c r="J710" s="19"/>
      <c r="K710" s="233"/>
      <c r="L710" s="19"/>
      <c r="M710" s="19"/>
      <c r="N710" s="19"/>
      <c r="O710" s="19"/>
      <c r="P710" s="19"/>
      <c r="Q710" s="19"/>
      <c r="R710" s="19"/>
      <c r="S710" s="19"/>
      <c r="T710" s="19"/>
      <c r="U710" s="19"/>
      <c r="V710" s="19"/>
      <c r="W710" s="19"/>
      <c r="X710" s="19"/>
      <c r="Y710" s="19"/>
    </row>
    <row r="711" spans="1:25" ht="12" customHeight="1">
      <c r="A711" s="219" t="n" cm="1">
        <f t="array" ref="A711">IFERROR(INDEX('03.Muestra'!$B$8:$B$42,SMALL(IF("Página Web"='03.Muestra'!$D$8:$D$42,ROW('03.Muestra'!$B$8:$B$42)-MIN(ROW('03.Muestra'!$D$8:$D$42))+1,""),ROW()-702)),"")</f>
        <v>1.0</v>
      </c>
      <c r="B711" s="114" t="str" cm="1">
        <f t="array" ref="B711">IFERROR(INDEX('03.Muestra'!$C$8:$C$42,SMALL(IF("Página Web"='03.Muestra'!$D$8:$D$42,ROW('03.Muestra'!$C$8:$C$42)-MIN(ROW('03.Muestra'!$D$8:$D$42))+1,""),ROW()-702)),"")</f>
        <v>Home - PortCastelló</v>
      </c>
      <c r="C711" s="114" t="str" cm="1">
        <f t="array" ref="C711">IFERROR(INDEX('03.Muestra'!$F$8:$F$42,SMALL(IF("Página Web"='03.Muestra'!$D$8:$D$42,ROW('03.Muestra'!$F$8:$F$42)-MIN(ROW('03.Muestra'!$D$8:$D$42))+1,""),ROW()-702)),"")</f>
        <v>https://www.portcastello.com/</v>
      </c>
      <c r="D711" s="130" t="str">
        <f t="shared" si="37"/>
        <v>N/T</v>
      </c>
      <c r="E711" s="107" t="str">
        <f t="shared" si="36"/>
        <v/>
      </c>
      <c r="F711" s="19"/>
      <c r="G711" s="19"/>
      <c r="H711" s="19"/>
      <c r="I711" s="19"/>
      <c r="J711" s="19"/>
      <c r="K711" s="233"/>
      <c r="L711" s="19"/>
      <c r="M711" s="19"/>
      <c r="N711" s="19"/>
      <c r="O711" s="19"/>
      <c r="P711" s="19"/>
      <c r="Q711" s="19"/>
      <c r="R711" s="19"/>
      <c r="S711" s="19"/>
      <c r="T711" s="19"/>
      <c r="U711" s="19"/>
      <c r="V711" s="19"/>
      <c r="W711" s="19"/>
      <c r="X711" s="19"/>
      <c r="Y711" s="19"/>
    </row>
    <row r="712" spans="1:25" ht="12" customHeight="1">
      <c r="A712" s="219" t="n" cm="1">
        <f t="array" ref="A712">IFERROR(INDEX('03.Muestra'!$B$8:$B$42,SMALL(IF("Página Web"='03.Muestra'!$D$8:$D$42,ROW('03.Muestra'!$B$8:$B$42)-MIN(ROW('03.Muestra'!$D$8:$D$42))+1,""),ROW()-702)),"")</f>
        <v>1.0</v>
      </c>
      <c r="B712" s="114" t="str" cm="1">
        <f t="array" ref="B712">IFERROR(INDEX('03.Muestra'!$C$8:$C$42,SMALL(IF("Página Web"='03.Muestra'!$D$8:$D$42,ROW('03.Muestra'!$C$8:$C$42)-MIN(ROW('03.Muestra'!$D$8:$D$42))+1,""),ROW()-702)),"")</f>
        <v>Home - PortCastelló</v>
      </c>
      <c r="C712" s="114" t="str" cm="1">
        <f t="array" ref="C712">IFERROR(INDEX('03.Muestra'!$F$8:$F$42,SMALL(IF("Página Web"='03.Muestra'!$D$8:$D$42,ROW('03.Muestra'!$F$8:$F$42)-MIN(ROW('03.Muestra'!$D$8:$D$42))+1,""),ROW()-702)),"")</f>
        <v>https://www.portcastello.com/</v>
      </c>
      <c r="D712" s="130" t="str">
        <f t="shared" si="37"/>
        <v>N/T</v>
      </c>
      <c r="E712" s="107" t="str">
        <f t="shared" si="36"/>
        <v/>
      </c>
      <c r="F712" s="19"/>
      <c r="G712" s="19"/>
      <c r="H712" s="19"/>
      <c r="I712" s="19"/>
      <c r="J712" s="19"/>
      <c r="K712" s="233"/>
      <c r="L712" s="19"/>
      <c r="M712" s="19"/>
      <c r="N712" s="19"/>
      <c r="O712" s="19"/>
      <c r="P712" s="19"/>
      <c r="Q712" s="19"/>
      <c r="R712" s="19"/>
      <c r="S712" s="19"/>
      <c r="T712" s="19"/>
      <c r="U712" s="19"/>
      <c r="V712" s="19"/>
      <c r="W712" s="19"/>
      <c r="X712" s="19"/>
      <c r="Y712" s="19"/>
    </row>
    <row r="713" spans="1:25" ht="12" customHeight="1">
      <c r="A713" s="219" t="n" cm="1">
        <f t="array" ref="A713">IFERROR(INDEX('03.Muestra'!$B$8:$B$42,SMALL(IF("Página Web"='03.Muestra'!$D$8:$D$42,ROW('03.Muestra'!$B$8:$B$42)-MIN(ROW('03.Muestra'!$D$8:$D$42))+1,""),ROW()-702)),"")</f>
        <v>1.0</v>
      </c>
      <c r="B713" s="114" t="str" cm="1">
        <f t="array" ref="B713">IFERROR(INDEX('03.Muestra'!$C$8:$C$42,SMALL(IF("Página Web"='03.Muestra'!$D$8:$D$42,ROW('03.Muestra'!$C$8:$C$42)-MIN(ROW('03.Muestra'!$D$8:$D$42))+1,""),ROW()-702)),"")</f>
        <v>Home - PortCastelló</v>
      </c>
      <c r="C713" s="114" t="str" cm="1">
        <f t="array" ref="C713">IFERROR(INDEX('03.Muestra'!$F$8:$F$42,SMALL(IF("Página Web"='03.Muestra'!$D$8:$D$42,ROW('03.Muestra'!$F$8:$F$42)-MIN(ROW('03.Muestra'!$D$8:$D$42))+1,""),ROW()-702)),"")</f>
        <v>https://www.portcastello.com/</v>
      </c>
      <c r="D713" s="130" t="str">
        <f t="shared" si="37"/>
        <v>N/T</v>
      </c>
      <c r="E713" s="107" t="str">
        <f t="shared" si="36"/>
        <v/>
      </c>
      <c r="F713" s="19"/>
      <c r="G713" s="19"/>
      <c r="H713" s="19"/>
      <c r="I713" s="19"/>
      <c r="J713" s="19"/>
      <c r="K713" s="233"/>
      <c r="L713" s="19"/>
      <c r="M713" s="19"/>
      <c r="N713" s="19"/>
      <c r="O713" s="19"/>
      <c r="P713" s="19"/>
      <c r="Q713" s="19"/>
      <c r="R713" s="19"/>
      <c r="S713" s="19"/>
      <c r="T713" s="19"/>
      <c r="U713" s="19"/>
      <c r="V713" s="19"/>
      <c r="W713" s="19"/>
      <c r="X713" s="19"/>
      <c r="Y713" s="19"/>
    </row>
    <row r="714" spans="1:25" ht="12" customHeight="1">
      <c r="A714" s="219" t="n" cm="1">
        <f t="array" ref="A714">IFERROR(INDEX('03.Muestra'!$B$8:$B$42,SMALL(IF("Página Web"='03.Muestra'!$D$8:$D$42,ROW('03.Muestra'!$B$8:$B$42)-MIN(ROW('03.Muestra'!$D$8:$D$42))+1,""),ROW()-702)),"")</f>
        <v>1.0</v>
      </c>
      <c r="B714" s="114" t="str" cm="1">
        <f t="array" ref="B714">IFERROR(INDEX('03.Muestra'!$C$8:$C$42,SMALL(IF("Página Web"='03.Muestra'!$D$8:$D$42,ROW('03.Muestra'!$C$8:$C$42)-MIN(ROW('03.Muestra'!$D$8:$D$42))+1,""),ROW()-702)),"")</f>
        <v>Home - PortCastelló</v>
      </c>
      <c r="C714" s="114" t="str" cm="1">
        <f t="array" ref="C714">IFERROR(INDEX('03.Muestra'!$F$8:$F$42,SMALL(IF("Página Web"='03.Muestra'!$D$8:$D$42,ROW('03.Muestra'!$F$8:$F$42)-MIN(ROW('03.Muestra'!$D$8:$D$42))+1,""),ROW()-702)),"")</f>
        <v>https://www.portcastello.com/</v>
      </c>
      <c r="D714" s="130" t="str">
        <f t="shared" si="37"/>
        <v>N/T</v>
      </c>
      <c r="E714" s="107" t="str">
        <f t="shared" si="36"/>
        <v/>
      </c>
      <c r="F714" s="19"/>
      <c r="G714" s="19"/>
      <c r="H714" s="19"/>
      <c r="I714" s="19"/>
      <c r="J714" s="19"/>
      <c r="K714" s="233"/>
      <c r="L714" s="19"/>
      <c r="M714" s="19"/>
      <c r="N714" s="19"/>
      <c r="O714" s="19"/>
      <c r="P714" s="19"/>
      <c r="Q714" s="19"/>
      <c r="R714" s="19"/>
      <c r="S714" s="19"/>
      <c r="T714" s="19"/>
      <c r="U714" s="19"/>
      <c r="V714" s="19"/>
      <c r="W714" s="19"/>
      <c r="X714" s="19"/>
      <c r="Y714" s="19"/>
    </row>
    <row r="715" spans="1:25" ht="12" customHeight="1">
      <c r="A715" s="219" t="n" cm="1">
        <f t="array" ref="A715">IFERROR(INDEX('03.Muestra'!$B$8:$B$42,SMALL(IF("Página Web"='03.Muestra'!$D$8:$D$42,ROW('03.Muestra'!$B$8:$B$42)-MIN(ROW('03.Muestra'!$D$8:$D$42))+1,""),ROW()-702)),"")</f>
        <v>1.0</v>
      </c>
      <c r="B715" s="114" t="str" cm="1">
        <f t="array" ref="B715">IFERROR(INDEX('03.Muestra'!$C$8:$C$42,SMALL(IF("Página Web"='03.Muestra'!$D$8:$D$42,ROW('03.Muestra'!$C$8:$C$42)-MIN(ROW('03.Muestra'!$D$8:$D$42))+1,""),ROW()-702)),"")</f>
        <v>Home - PortCastelló</v>
      </c>
      <c r="C715" s="114" t="str" cm="1">
        <f t="array" ref="C715">IFERROR(INDEX('03.Muestra'!$F$8:$F$42,SMALL(IF("Página Web"='03.Muestra'!$D$8:$D$42,ROW('03.Muestra'!$F$8:$F$42)-MIN(ROW('03.Muestra'!$D$8:$D$42))+1,""),ROW()-702)),"")</f>
        <v>https://www.portcastello.com/</v>
      </c>
      <c r="D715" s="130" t="str">
        <f t="shared" si="37"/>
        <v>N/T</v>
      </c>
      <c r="E715" s="107" t="str">
        <f t="shared" si="36"/>
        <v/>
      </c>
      <c r="F715" s="19"/>
      <c r="G715" s="19"/>
      <c r="H715" s="19"/>
      <c r="I715" s="19"/>
      <c r="J715" s="19"/>
      <c r="K715" s="233"/>
      <c r="L715" s="19"/>
      <c r="M715" s="19"/>
      <c r="N715" s="19"/>
      <c r="O715" s="19"/>
      <c r="P715" s="19"/>
      <c r="Q715" s="19"/>
      <c r="R715" s="19"/>
      <c r="S715" s="19"/>
      <c r="T715" s="19"/>
      <c r="U715" s="19"/>
      <c r="V715" s="19"/>
      <c r="W715" s="19"/>
      <c r="X715" s="19"/>
      <c r="Y715" s="19"/>
    </row>
    <row r="716" spans="1:25" ht="12" customHeight="1">
      <c r="A716" s="219" t="n" cm="1">
        <f t="array" ref="A716">IFERROR(INDEX('03.Muestra'!$B$8:$B$42,SMALL(IF("Página Web"='03.Muestra'!$D$8:$D$42,ROW('03.Muestra'!$B$8:$B$42)-MIN(ROW('03.Muestra'!$D$8:$D$42))+1,""),ROW()-702)),"")</f>
        <v>1.0</v>
      </c>
      <c r="B716" s="114" t="str" cm="1">
        <f t="array" ref="B716">IFERROR(INDEX('03.Muestra'!$C$8:$C$42,SMALL(IF("Página Web"='03.Muestra'!$D$8:$D$42,ROW('03.Muestra'!$C$8:$C$42)-MIN(ROW('03.Muestra'!$D$8:$D$42))+1,""),ROW()-702)),"")</f>
        <v>Home - PortCastelló</v>
      </c>
      <c r="C716" s="114" t="str" cm="1">
        <f t="array" ref="C716">IFERROR(INDEX('03.Muestra'!$F$8:$F$42,SMALL(IF("Página Web"='03.Muestra'!$D$8:$D$42,ROW('03.Muestra'!$F$8:$F$42)-MIN(ROW('03.Muestra'!$D$8:$D$42))+1,""),ROW()-702)),"")</f>
        <v>https://www.portcastello.com/</v>
      </c>
      <c r="D716" s="130" t="str">
        <f t="shared" si="37"/>
        <v>N/T</v>
      </c>
      <c r="E716" s="107" t="str">
        <f t="shared" si="36"/>
        <v/>
      </c>
      <c r="F716" s="19"/>
      <c r="G716" s="19"/>
      <c r="H716" s="19"/>
      <c r="I716" s="19"/>
      <c r="J716" s="19"/>
      <c r="K716" s="233"/>
      <c r="L716" s="19"/>
      <c r="M716" s="19"/>
      <c r="N716" s="19"/>
      <c r="O716" s="19"/>
      <c r="P716" s="19"/>
      <c r="Q716" s="19"/>
      <c r="R716" s="19"/>
      <c r="S716" s="19"/>
      <c r="T716" s="19"/>
      <c r="U716" s="19"/>
      <c r="V716" s="19"/>
      <c r="W716" s="19"/>
      <c r="X716" s="19"/>
      <c r="Y716" s="19"/>
    </row>
    <row r="717" spans="1:25" ht="12" customHeight="1">
      <c r="A717" s="219" t="n" cm="1">
        <f t="array" ref="A717">IFERROR(INDEX('03.Muestra'!$B$8:$B$42,SMALL(IF("Página Web"='03.Muestra'!$D$8:$D$42,ROW('03.Muestra'!$B$8:$B$42)-MIN(ROW('03.Muestra'!$D$8:$D$42))+1,""),ROW()-702)),"")</f>
        <v>1.0</v>
      </c>
      <c r="B717" s="114" t="str" cm="1">
        <f t="array" ref="B717">IFERROR(INDEX('03.Muestra'!$C$8:$C$42,SMALL(IF("Página Web"='03.Muestra'!$D$8:$D$42,ROW('03.Muestra'!$C$8:$C$42)-MIN(ROW('03.Muestra'!$D$8:$D$42))+1,""),ROW()-702)),"")</f>
        <v>Home - PortCastelló</v>
      </c>
      <c r="C717" s="114" t="str" cm="1">
        <f t="array" ref="C717">IFERROR(INDEX('03.Muestra'!$F$8:$F$42,SMALL(IF("Página Web"='03.Muestra'!$D$8:$D$42,ROW('03.Muestra'!$F$8:$F$42)-MIN(ROW('03.Muestra'!$D$8:$D$42))+1,""),ROW()-702)),"")</f>
        <v>https://www.portcastello.com/</v>
      </c>
      <c r="D717" s="130" t="str">
        <f t="shared" si="37"/>
        <v>N/T</v>
      </c>
      <c r="E717" s="107" t="str">
        <f t="shared" si="36"/>
        <v/>
      </c>
      <c r="F717" s="19"/>
      <c r="G717" s="19"/>
      <c r="H717" s="19"/>
      <c r="I717" s="19"/>
      <c r="J717" s="19"/>
      <c r="K717" s="233"/>
      <c r="L717" s="19"/>
      <c r="M717" s="19"/>
      <c r="N717" s="19"/>
      <c r="O717" s="19"/>
      <c r="P717" s="19"/>
      <c r="Q717" s="19"/>
      <c r="R717" s="19"/>
      <c r="S717" s="19"/>
      <c r="T717" s="19"/>
      <c r="U717" s="19"/>
      <c r="V717" s="19"/>
      <c r="W717" s="19"/>
      <c r="X717" s="19"/>
      <c r="Y717" s="19"/>
    </row>
    <row r="718" spans="1:25" ht="12" customHeight="1">
      <c r="A718" s="219" t="n" cm="1">
        <f t="array" ref="A718">IFERROR(INDEX('03.Muestra'!$B$8:$B$42,SMALL(IF("Página Web"='03.Muestra'!$D$8:$D$42,ROW('03.Muestra'!$B$8:$B$42)-MIN(ROW('03.Muestra'!$D$8:$D$42))+1,""),ROW()-702)),"")</f>
        <v>1.0</v>
      </c>
      <c r="B718" s="114" t="str" cm="1">
        <f t="array" ref="B718">IFERROR(INDEX('03.Muestra'!$C$8:$C$42,SMALL(IF("Página Web"='03.Muestra'!$D$8:$D$42,ROW('03.Muestra'!$C$8:$C$42)-MIN(ROW('03.Muestra'!$D$8:$D$42))+1,""),ROW()-702)),"")</f>
        <v>Home - PortCastelló</v>
      </c>
      <c r="C718" s="114" t="str" cm="1">
        <f t="array" ref="C718">IFERROR(INDEX('03.Muestra'!$F$8:$F$42,SMALL(IF("Página Web"='03.Muestra'!$D$8:$D$42,ROW('03.Muestra'!$F$8:$F$42)-MIN(ROW('03.Muestra'!$D$8:$D$42))+1,""),ROW()-702)),"")</f>
        <v>https://www.portcastello.com/</v>
      </c>
      <c r="D718" s="130" t="str">
        <f t="shared" si="37"/>
        <v>N/T</v>
      </c>
      <c r="E718" s="107" t="str">
        <f t="shared" si="36"/>
        <v/>
      </c>
      <c r="F718" s="19"/>
      <c r="G718" s="19"/>
      <c r="H718" s="19"/>
      <c r="I718" s="19"/>
      <c r="J718" s="19"/>
      <c r="K718" s="233"/>
      <c r="L718" s="19"/>
      <c r="M718" s="19"/>
      <c r="N718" s="19"/>
      <c r="O718" s="19"/>
      <c r="P718" s="19"/>
      <c r="Q718" s="19"/>
      <c r="R718" s="19"/>
      <c r="S718" s="19"/>
      <c r="T718" s="19"/>
      <c r="U718" s="19"/>
      <c r="V718" s="19"/>
      <c r="W718" s="19"/>
      <c r="X718" s="19"/>
      <c r="Y718" s="19"/>
    </row>
    <row r="719" spans="1:25" ht="12" customHeight="1">
      <c r="A719" s="219" t="n" cm="1">
        <f t="array" ref="A719">IFERROR(INDEX('03.Muestra'!$B$8:$B$42,SMALL(IF("Página Web"='03.Muestra'!$D$8:$D$42,ROW('03.Muestra'!$B$8:$B$42)-MIN(ROW('03.Muestra'!$D$8:$D$42))+1,""),ROW()-702)),"")</f>
        <v>1.0</v>
      </c>
      <c r="B719" s="114" t="str" cm="1">
        <f t="array" ref="B719">IFERROR(INDEX('03.Muestra'!$C$8:$C$42,SMALL(IF("Página Web"='03.Muestra'!$D$8:$D$42,ROW('03.Muestra'!$C$8:$C$42)-MIN(ROW('03.Muestra'!$D$8:$D$42))+1,""),ROW()-702)),"")</f>
        <v>Home - PortCastelló</v>
      </c>
      <c r="C719" s="114" t="str" cm="1">
        <f t="array" ref="C719">IFERROR(INDEX('03.Muestra'!$F$8:$F$42,SMALL(IF("Página Web"='03.Muestra'!$D$8:$D$42,ROW('03.Muestra'!$F$8:$F$42)-MIN(ROW('03.Muestra'!$D$8:$D$42))+1,""),ROW()-702)),"")</f>
        <v>https://www.portcastello.com/</v>
      </c>
      <c r="D719" s="130" t="str">
        <f t="shared" si="37"/>
        <v>N/T</v>
      </c>
      <c r="E719" s="107" t="str">
        <f t="shared" si="36"/>
        <v/>
      </c>
      <c r="F719" s="19"/>
      <c r="G719" s="19"/>
      <c r="H719" s="19"/>
      <c r="I719" s="19"/>
      <c r="J719" s="19"/>
      <c r="K719" s="233"/>
      <c r="L719" s="19"/>
      <c r="M719" s="19"/>
      <c r="N719" s="19"/>
      <c r="O719" s="19"/>
      <c r="P719" s="19"/>
      <c r="Q719" s="19"/>
      <c r="R719" s="19"/>
      <c r="S719" s="19"/>
      <c r="T719" s="19"/>
      <c r="U719" s="19"/>
      <c r="V719" s="19"/>
      <c r="W719" s="19"/>
      <c r="X719" s="19"/>
      <c r="Y719" s="19"/>
    </row>
    <row r="720" spans="1:25" ht="12" customHeight="1">
      <c r="A720" s="219" t="n" cm="1">
        <f t="array" ref="A720">IFERROR(INDEX('03.Muestra'!$B$8:$B$42,SMALL(IF("Página Web"='03.Muestra'!$D$8:$D$42,ROW('03.Muestra'!$B$8:$B$42)-MIN(ROW('03.Muestra'!$D$8:$D$42))+1,""),ROW()-702)),"")</f>
        <v>1.0</v>
      </c>
      <c r="B720" s="114" t="str" cm="1">
        <f t="array" ref="B720">IFERROR(INDEX('03.Muestra'!$C$8:$C$42,SMALL(IF("Página Web"='03.Muestra'!$D$8:$D$42,ROW('03.Muestra'!$C$8:$C$42)-MIN(ROW('03.Muestra'!$D$8:$D$42))+1,""),ROW()-702)),"")</f>
        <v>Home - PortCastelló</v>
      </c>
      <c r="C720" s="114" t="str" cm="1">
        <f t="array" ref="C720">IFERROR(INDEX('03.Muestra'!$F$8:$F$42,SMALL(IF("Página Web"='03.Muestra'!$D$8:$D$42,ROW('03.Muestra'!$F$8:$F$42)-MIN(ROW('03.Muestra'!$D$8:$D$42))+1,""),ROW()-702)),"")</f>
        <v>https://www.portcastello.com/</v>
      </c>
      <c r="D720" s="130" t="str">
        <f t="shared" si="37"/>
        <v>N/T</v>
      </c>
      <c r="E720" s="107" t="str">
        <f t="shared" si="36"/>
        <v/>
      </c>
      <c r="F720" s="19"/>
      <c r="G720" s="19"/>
      <c r="H720" s="19"/>
      <c r="I720" s="19"/>
      <c r="J720" s="19"/>
      <c r="K720" s="233"/>
      <c r="L720" s="19"/>
      <c r="M720" s="19"/>
      <c r="N720" s="19"/>
      <c r="O720" s="19"/>
      <c r="P720" s="19"/>
      <c r="Q720" s="19"/>
      <c r="R720" s="19"/>
      <c r="S720" s="19"/>
      <c r="T720" s="19"/>
      <c r="U720" s="19"/>
      <c r="V720" s="19"/>
      <c r="W720" s="19"/>
      <c r="X720" s="19"/>
      <c r="Y720" s="19"/>
    </row>
    <row r="721" spans="1:25" ht="12" customHeight="1">
      <c r="A721" s="219" t="n" cm="1">
        <f t="array" ref="A721">IFERROR(INDEX('03.Muestra'!$B$8:$B$42,SMALL(IF("Página Web"='03.Muestra'!$D$8:$D$42,ROW('03.Muestra'!$B$8:$B$42)-MIN(ROW('03.Muestra'!$D$8:$D$42))+1,""),ROW()-702)),"")</f>
        <v>1.0</v>
      </c>
      <c r="B721" s="114" t="str" cm="1">
        <f t="array" ref="B721">IFERROR(INDEX('03.Muestra'!$C$8:$C$42,SMALL(IF("Página Web"='03.Muestra'!$D$8:$D$42,ROW('03.Muestra'!$C$8:$C$42)-MIN(ROW('03.Muestra'!$D$8:$D$42))+1,""),ROW()-702)),"")</f>
        <v>Home - PortCastelló</v>
      </c>
      <c r="C721" s="114" t="str" cm="1">
        <f t="array" ref="C721">IFERROR(INDEX('03.Muestra'!$F$8:$F$42,SMALL(IF("Página Web"='03.Muestra'!$D$8:$D$42,ROW('03.Muestra'!$F$8:$F$42)-MIN(ROW('03.Muestra'!$D$8:$D$42))+1,""),ROW()-702)),"")</f>
        <v>https://www.portcastello.com/</v>
      </c>
      <c r="D721" s="130" t="str">
        <f t="shared" si="37"/>
        <v>N/T</v>
      </c>
      <c r="E721" s="107" t="str">
        <f t="shared" si="36"/>
        <v/>
      </c>
      <c r="F721" s="19"/>
      <c r="G721" s="19"/>
      <c r="H721" s="19"/>
      <c r="I721" s="19"/>
      <c r="J721" s="19"/>
      <c r="K721" s="233"/>
      <c r="L721" s="19"/>
      <c r="M721" s="19"/>
      <c r="N721" s="19"/>
      <c r="O721" s="19"/>
      <c r="P721" s="19"/>
      <c r="Q721" s="19"/>
      <c r="R721" s="19"/>
      <c r="S721" s="19"/>
      <c r="T721" s="19"/>
      <c r="U721" s="19"/>
      <c r="V721" s="19"/>
      <c r="W721" s="19"/>
      <c r="X721" s="19"/>
      <c r="Y721" s="19"/>
    </row>
    <row r="722" spans="1:25" ht="12" customHeight="1">
      <c r="A722" s="219" t="n" cm="1">
        <f t="array" ref="A722">IFERROR(INDEX('03.Muestra'!$B$8:$B$42,SMALL(IF("Página Web"='03.Muestra'!$D$8:$D$42,ROW('03.Muestra'!$B$8:$B$42)-MIN(ROW('03.Muestra'!$D$8:$D$42))+1,""),ROW()-702)),"")</f>
        <v>1.0</v>
      </c>
      <c r="B722" s="114" t="str" cm="1">
        <f t="array" ref="B722">IFERROR(INDEX('03.Muestra'!$C$8:$C$42,SMALL(IF("Página Web"='03.Muestra'!$D$8:$D$42,ROW('03.Muestra'!$C$8:$C$42)-MIN(ROW('03.Muestra'!$D$8:$D$42))+1,""),ROW()-702)),"")</f>
        <v>Home - PortCastelló</v>
      </c>
      <c r="C722" s="114" t="str" cm="1">
        <f t="array" ref="C722">IFERROR(INDEX('03.Muestra'!$F$8:$F$42,SMALL(IF("Página Web"='03.Muestra'!$D$8:$D$42,ROW('03.Muestra'!$F$8:$F$42)-MIN(ROW('03.Muestra'!$D$8:$D$42))+1,""),ROW()-702)),"")</f>
        <v>https://www.portcastello.com/</v>
      </c>
      <c r="D722" s="130" t="str">
        <f t="shared" si="37"/>
        <v>N/T</v>
      </c>
      <c r="E722" s="107" t="str">
        <f t="shared" si="36"/>
        <v/>
      </c>
      <c r="F722" s="19"/>
      <c r="G722" s="19"/>
      <c r="H722" s="19"/>
      <c r="I722" s="19"/>
      <c r="J722" s="19"/>
      <c r="K722" s="233"/>
      <c r="L722" s="19"/>
      <c r="M722" s="19"/>
      <c r="N722" s="19"/>
      <c r="O722" s="19"/>
      <c r="P722" s="19"/>
      <c r="Q722" s="19"/>
      <c r="R722" s="19"/>
      <c r="S722" s="19"/>
      <c r="T722" s="19"/>
      <c r="U722" s="19"/>
      <c r="V722" s="19"/>
      <c r="W722" s="19"/>
      <c r="X722" s="19"/>
      <c r="Y722" s="19"/>
    </row>
    <row r="723" spans="1:25" ht="12" customHeight="1">
      <c r="A723" s="219" t="n" cm="1">
        <f t="array" ref="A723">IFERROR(INDEX('03.Muestra'!$B$8:$B$42,SMALL(IF("Página Web"='03.Muestra'!$D$8:$D$42,ROW('03.Muestra'!$B$8:$B$42)-MIN(ROW('03.Muestra'!$D$8:$D$42))+1,""),ROW()-702)),"")</f>
        <v>1.0</v>
      </c>
      <c r="B723" s="114" t="str" cm="1">
        <f t="array" ref="B723">IFERROR(INDEX('03.Muestra'!$C$8:$C$42,SMALL(IF("Página Web"='03.Muestra'!$D$8:$D$42,ROW('03.Muestra'!$C$8:$C$42)-MIN(ROW('03.Muestra'!$D$8:$D$42))+1,""),ROW()-702)),"")</f>
        <v>Home - PortCastelló</v>
      </c>
      <c r="C723" s="114" t="str" cm="1">
        <f t="array" ref="C723">IFERROR(INDEX('03.Muestra'!$F$8:$F$42,SMALL(IF("Página Web"='03.Muestra'!$D$8:$D$42,ROW('03.Muestra'!$F$8:$F$42)-MIN(ROW('03.Muestra'!$D$8:$D$42))+1,""),ROW()-702)),"")</f>
        <v>https://www.portcastello.com/</v>
      </c>
      <c r="D723" s="130" t="str">
        <f t="shared" si="37"/>
        <v>N/T</v>
      </c>
      <c r="E723" s="107" t="str">
        <f t="shared" si="36"/>
        <v/>
      </c>
      <c r="F723" s="19"/>
      <c r="G723" s="19"/>
      <c r="H723" s="19"/>
      <c r="I723" s="19"/>
      <c r="J723" s="19"/>
      <c r="K723" s="233"/>
      <c r="L723" s="19"/>
      <c r="M723" s="19"/>
      <c r="N723" s="19"/>
      <c r="O723" s="19"/>
      <c r="P723" s="19"/>
      <c r="Q723" s="19"/>
      <c r="R723" s="19"/>
      <c r="S723" s="19"/>
      <c r="T723" s="19"/>
      <c r="U723" s="19"/>
      <c r="V723" s="19"/>
      <c r="W723" s="19"/>
      <c r="X723" s="19"/>
      <c r="Y723" s="19"/>
    </row>
    <row r="724" spans="1:25" ht="12" customHeight="1">
      <c r="A724" s="219" t="n" cm="1">
        <f t="array" ref="A724">IFERROR(INDEX('03.Muestra'!$B$8:$B$42,SMALL(IF("Página Web"='03.Muestra'!$D$8:$D$42,ROW('03.Muestra'!$B$8:$B$42)-MIN(ROW('03.Muestra'!$D$8:$D$42))+1,""),ROW()-702)),"")</f>
        <v>1.0</v>
      </c>
      <c r="B724" s="114" t="str" cm="1">
        <f t="array" ref="B724">IFERROR(INDEX('03.Muestra'!$C$8:$C$42,SMALL(IF("Página Web"='03.Muestra'!$D$8:$D$42,ROW('03.Muestra'!$C$8:$C$42)-MIN(ROW('03.Muestra'!$D$8:$D$42))+1,""),ROW()-702)),"")</f>
        <v>Home - PortCastelló</v>
      </c>
      <c r="C724" s="114" t="str" cm="1">
        <f t="array" ref="C724">IFERROR(INDEX('03.Muestra'!$F$8:$F$42,SMALL(IF("Página Web"='03.Muestra'!$D$8:$D$42,ROW('03.Muestra'!$F$8:$F$42)-MIN(ROW('03.Muestra'!$D$8:$D$42))+1,""),ROW()-702)),"")</f>
        <v>https://www.portcastello.com/</v>
      </c>
      <c r="D724" s="130" t="str">
        <f t="shared" si="37"/>
        <v>N/T</v>
      </c>
      <c r="E724" s="107" t="str">
        <f t="shared" si="36"/>
        <v/>
      </c>
      <c r="F724" s="19"/>
      <c r="G724" s="19"/>
      <c r="H724" s="19"/>
      <c r="I724" s="19"/>
      <c r="J724" s="19"/>
      <c r="K724" s="233"/>
      <c r="L724" s="19"/>
      <c r="M724" s="19"/>
      <c r="N724" s="19"/>
      <c r="O724" s="19"/>
      <c r="P724" s="19"/>
      <c r="Q724" s="19"/>
      <c r="R724" s="19"/>
      <c r="S724" s="19"/>
      <c r="T724" s="19"/>
      <c r="U724" s="19"/>
      <c r="V724" s="19"/>
      <c r="W724" s="19"/>
      <c r="X724" s="19"/>
      <c r="Y724" s="19"/>
    </row>
    <row r="725" spans="1:25" ht="12" customHeight="1">
      <c r="A725" s="219" t="n" cm="1">
        <f t="array" ref="A725">IFERROR(INDEX('03.Muestra'!$B$8:$B$42,SMALL(IF("Página Web"='03.Muestra'!$D$8:$D$42,ROW('03.Muestra'!$B$8:$B$42)-MIN(ROW('03.Muestra'!$D$8:$D$42))+1,""),ROW()-702)),"")</f>
        <v>1.0</v>
      </c>
      <c r="B725" s="114" t="str" cm="1">
        <f t="array" ref="B725">IFERROR(INDEX('03.Muestra'!$C$8:$C$42,SMALL(IF("Página Web"='03.Muestra'!$D$8:$D$42,ROW('03.Muestra'!$C$8:$C$42)-MIN(ROW('03.Muestra'!$D$8:$D$42))+1,""),ROW()-702)),"")</f>
        <v>Home - PortCastelló</v>
      </c>
      <c r="C725" s="114" t="str" cm="1">
        <f t="array" ref="C725">IFERROR(INDEX('03.Muestra'!$F$8:$F$42,SMALL(IF("Página Web"='03.Muestra'!$D$8:$D$42,ROW('03.Muestra'!$F$8:$F$42)-MIN(ROW('03.Muestra'!$D$8:$D$42))+1,""),ROW()-702)),"")</f>
        <v>https://www.portcastello.com/</v>
      </c>
      <c r="D725" s="130" t="str">
        <f t="shared" si="37"/>
        <v>N/T</v>
      </c>
      <c r="E725" s="107" t="str">
        <f t="shared" si="36"/>
        <v/>
      </c>
      <c r="F725" s="19"/>
      <c r="G725" s="19"/>
      <c r="H725" s="19"/>
      <c r="I725" s="19"/>
      <c r="J725" s="19"/>
      <c r="K725" s="233"/>
      <c r="L725" s="19"/>
      <c r="M725" s="19"/>
      <c r="N725" s="19"/>
      <c r="O725" s="19"/>
      <c r="P725" s="19"/>
      <c r="Q725" s="19"/>
      <c r="R725" s="19"/>
      <c r="S725" s="19"/>
      <c r="T725" s="19"/>
      <c r="U725" s="19"/>
      <c r="V725" s="19"/>
      <c r="W725" s="19"/>
      <c r="X725" s="19"/>
      <c r="Y725" s="19"/>
    </row>
    <row r="726" spans="1:25" ht="12" customHeight="1">
      <c r="A726" s="219" t="n" cm="1">
        <f t="array" ref="A726">IFERROR(INDEX('03.Muestra'!$B$8:$B$42,SMALL(IF("Página Web"='03.Muestra'!$D$8:$D$42,ROW('03.Muestra'!$B$8:$B$42)-MIN(ROW('03.Muestra'!$D$8:$D$42))+1,""),ROW()-702)),"")</f>
        <v>1.0</v>
      </c>
      <c r="B726" s="114" t="str" cm="1">
        <f t="array" ref="B726">IFERROR(INDEX('03.Muestra'!$C$8:$C$42,SMALL(IF("Página Web"='03.Muestra'!$D$8:$D$42,ROW('03.Muestra'!$C$8:$C$42)-MIN(ROW('03.Muestra'!$D$8:$D$42))+1,""),ROW()-702)),"")</f>
        <v>Home - PortCastelló</v>
      </c>
      <c r="C726" s="114" t="str" cm="1">
        <f t="array" ref="C726">IFERROR(INDEX('03.Muestra'!$F$8:$F$42,SMALL(IF("Página Web"='03.Muestra'!$D$8:$D$42,ROW('03.Muestra'!$F$8:$F$42)-MIN(ROW('03.Muestra'!$D$8:$D$42))+1,""),ROW()-702)),"")</f>
        <v>https://www.portcastello.com/</v>
      </c>
      <c r="D726" s="130" t="str">
        <f t="shared" si="37"/>
        <v>N/T</v>
      </c>
      <c r="E726" s="107" t="str">
        <f t="shared" si="36"/>
        <v/>
      </c>
      <c r="F726" s="19"/>
      <c r="G726" s="19"/>
      <c r="H726" s="19"/>
      <c r="I726" s="19"/>
      <c r="J726" s="19"/>
      <c r="K726" s="233"/>
      <c r="L726" s="19"/>
      <c r="M726" s="19"/>
      <c r="N726" s="19"/>
      <c r="O726" s="19"/>
      <c r="P726" s="19"/>
      <c r="Q726" s="19"/>
      <c r="R726" s="19"/>
      <c r="S726" s="19"/>
      <c r="T726" s="19"/>
      <c r="U726" s="19"/>
      <c r="V726" s="19"/>
      <c r="W726" s="19"/>
      <c r="X726" s="19"/>
      <c r="Y726" s="19"/>
    </row>
    <row r="727" spans="1:25" ht="12" customHeight="1">
      <c r="A727" s="219" t="n" cm="1">
        <f t="array" ref="A727">IFERROR(INDEX('03.Muestra'!$B$8:$B$42,SMALL(IF("Página Web"='03.Muestra'!$D$8:$D$42,ROW('03.Muestra'!$B$8:$B$42)-MIN(ROW('03.Muestra'!$D$8:$D$42))+1,""),ROW()-702)),"")</f>
        <v>1.0</v>
      </c>
      <c r="B727" s="114" t="str" cm="1">
        <f t="array" ref="B727">IFERROR(INDEX('03.Muestra'!$C$8:$C$42,SMALL(IF("Página Web"='03.Muestra'!$D$8:$D$42,ROW('03.Muestra'!$C$8:$C$42)-MIN(ROW('03.Muestra'!$D$8:$D$42))+1,""),ROW()-702)),"")</f>
        <v>Home - PortCastelló</v>
      </c>
      <c r="C727" s="114" t="str" cm="1">
        <f t="array" ref="C727">IFERROR(INDEX('03.Muestra'!$F$8:$F$42,SMALL(IF("Página Web"='03.Muestra'!$D$8:$D$42,ROW('03.Muestra'!$F$8:$F$42)-MIN(ROW('03.Muestra'!$D$8:$D$42))+1,""),ROW()-702)),"")</f>
        <v>https://www.portcastello.com/</v>
      </c>
      <c r="D727" s="130" t="str">
        <f t="shared" si="37"/>
        <v>N/T</v>
      </c>
      <c r="E727" s="107" t="str">
        <f t="shared" si="36"/>
        <v/>
      </c>
      <c r="F727" s="19"/>
      <c r="G727" s="19"/>
      <c r="H727" s="19"/>
      <c r="I727" s="19"/>
      <c r="J727" s="19"/>
      <c r="K727" s="233"/>
      <c r="L727" s="19"/>
      <c r="M727" s="19"/>
      <c r="N727" s="19"/>
      <c r="O727" s="19"/>
      <c r="P727" s="19"/>
      <c r="Q727" s="19"/>
      <c r="R727" s="19"/>
      <c r="S727" s="19"/>
      <c r="T727" s="19"/>
      <c r="U727" s="19"/>
      <c r="V727" s="19"/>
      <c r="W727" s="19"/>
      <c r="X727" s="19"/>
      <c r="Y727" s="19"/>
    </row>
    <row r="728" spans="1:25" ht="12" customHeight="1">
      <c r="A728" s="219" t="n" cm="1">
        <f t="array" ref="A728">IFERROR(INDEX('03.Muestra'!$B$8:$B$42,SMALL(IF("Página Web"='03.Muestra'!$D$8:$D$42,ROW('03.Muestra'!$B$8:$B$42)-MIN(ROW('03.Muestra'!$D$8:$D$42))+1,""),ROW()-702)),"")</f>
        <v>1.0</v>
      </c>
      <c r="B728" s="114" t="str" cm="1">
        <f t="array" ref="B728">IFERROR(INDEX('03.Muestra'!$C$8:$C$42,SMALL(IF("Página Web"='03.Muestra'!$D$8:$D$42,ROW('03.Muestra'!$C$8:$C$42)-MIN(ROW('03.Muestra'!$D$8:$D$42))+1,""),ROW()-702)),"")</f>
        <v>Home - PortCastelló</v>
      </c>
      <c r="C728" s="114" t="str" cm="1">
        <f t="array" ref="C728">IFERROR(INDEX('03.Muestra'!$F$8:$F$42,SMALL(IF("Página Web"='03.Muestra'!$D$8:$D$42,ROW('03.Muestra'!$F$8:$F$42)-MIN(ROW('03.Muestra'!$D$8:$D$42))+1,""),ROW()-702)),"")</f>
        <v>https://www.portcastello.com/</v>
      </c>
      <c r="D728" s="130" t="str">
        <f t="shared" si="37"/>
        <v>N/T</v>
      </c>
      <c r="E728" s="107" t="str">
        <f t="shared" si="36"/>
        <v/>
      </c>
      <c r="F728" s="19"/>
      <c r="G728" s="19"/>
      <c r="H728" s="19"/>
      <c r="I728" s="19"/>
      <c r="J728" s="19"/>
      <c r="K728" s="233"/>
      <c r="L728" s="19"/>
      <c r="M728" s="19"/>
      <c r="N728" s="19"/>
      <c r="O728" s="19"/>
      <c r="P728" s="19"/>
      <c r="Q728" s="19"/>
      <c r="R728" s="19"/>
      <c r="S728" s="19"/>
      <c r="T728" s="19"/>
      <c r="U728" s="19"/>
      <c r="V728" s="19"/>
      <c r="W728" s="19"/>
      <c r="X728" s="19"/>
      <c r="Y728" s="19"/>
    </row>
    <row r="729" spans="1:25" ht="12" customHeight="1">
      <c r="A729" s="219" t="n" cm="1">
        <f t="array" ref="A729">IFERROR(INDEX('03.Muestra'!$B$8:$B$42,SMALL(IF("Página Web"='03.Muestra'!$D$8:$D$42,ROW('03.Muestra'!$B$8:$B$42)-MIN(ROW('03.Muestra'!$D$8:$D$42))+1,""),ROW()-702)),"")</f>
        <v>1.0</v>
      </c>
      <c r="B729" s="114" t="str" cm="1">
        <f t="array" ref="B729">IFERROR(INDEX('03.Muestra'!$C$8:$C$42,SMALL(IF("Página Web"='03.Muestra'!$D$8:$D$42,ROW('03.Muestra'!$C$8:$C$42)-MIN(ROW('03.Muestra'!$D$8:$D$42))+1,""),ROW()-702)),"")</f>
        <v>Home - PortCastelló</v>
      </c>
      <c r="C729" s="114" t="str" cm="1">
        <f t="array" ref="C729">IFERROR(INDEX('03.Muestra'!$F$8:$F$42,SMALL(IF("Página Web"='03.Muestra'!$D$8:$D$42,ROW('03.Muestra'!$F$8:$F$42)-MIN(ROW('03.Muestra'!$D$8:$D$42))+1,""),ROW()-702)),"")</f>
        <v>https://www.portcastello.com/</v>
      </c>
      <c r="D729" s="130" t="str">
        <f t="shared" si="37"/>
        <v>N/T</v>
      </c>
      <c r="E729" s="107" t="str">
        <f t="shared" si="36"/>
        <v/>
      </c>
      <c r="F729" s="19"/>
      <c r="G729" s="19"/>
      <c r="H729" s="19"/>
      <c r="I729" s="19"/>
      <c r="J729" s="19"/>
      <c r="K729" s="233"/>
      <c r="L729" s="19"/>
      <c r="M729" s="19"/>
      <c r="N729" s="19"/>
      <c r="O729" s="19"/>
      <c r="P729" s="19"/>
      <c r="Q729" s="19"/>
      <c r="R729" s="19"/>
      <c r="S729" s="19"/>
      <c r="T729" s="19"/>
      <c r="U729" s="19"/>
      <c r="V729" s="19"/>
      <c r="W729" s="19"/>
      <c r="X729" s="19"/>
      <c r="Y729" s="19"/>
    </row>
    <row r="730" spans="1:25" ht="12" customHeight="1">
      <c r="A730" s="219" t="n" cm="1">
        <f t="array" ref="A730">IFERROR(INDEX('03.Muestra'!$B$8:$B$42,SMALL(IF("Página Web"='03.Muestra'!$D$8:$D$42,ROW('03.Muestra'!$B$8:$B$42)-MIN(ROW('03.Muestra'!$D$8:$D$42))+1,""),ROW()-702)),"")</f>
        <v>1.0</v>
      </c>
      <c r="B730" s="114" t="str" cm="1">
        <f t="array" ref="B730">IFERROR(INDEX('03.Muestra'!$C$8:$C$42,SMALL(IF("Página Web"='03.Muestra'!$D$8:$D$42,ROW('03.Muestra'!$C$8:$C$42)-MIN(ROW('03.Muestra'!$D$8:$D$42))+1,""),ROW()-702)),"")</f>
        <v>Home - PortCastelló</v>
      </c>
      <c r="C730" s="114" t="str" cm="1">
        <f t="array" ref="C730">IFERROR(INDEX('03.Muestra'!$F$8:$F$42,SMALL(IF("Página Web"='03.Muestra'!$D$8:$D$42,ROW('03.Muestra'!$F$8:$F$42)-MIN(ROW('03.Muestra'!$D$8:$D$42))+1,""),ROW()-702)),"")</f>
        <v>https://www.portcastello.com/</v>
      </c>
      <c r="D730" s="130" t="str">
        <f t="shared" si="37"/>
        <v>N/T</v>
      </c>
      <c r="E730" s="107" t="str">
        <f t="shared" si="36"/>
        <v/>
      </c>
      <c r="G730" s="19"/>
      <c r="H730" s="19"/>
      <c r="I730" s="19"/>
      <c r="J730" s="19"/>
      <c r="K730" s="233"/>
      <c r="L730" s="19"/>
      <c r="M730" s="19"/>
      <c r="N730" s="19"/>
      <c r="O730" s="19"/>
      <c r="P730" s="19"/>
      <c r="Q730" s="19"/>
      <c r="R730" s="19"/>
      <c r="S730" s="19"/>
      <c r="T730" s="19"/>
      <c r="U730" s="19"/>
      <c r="V730" s="19"/>
      <c r="W730" s="19"/>
      <c r="X730" s="19"/>
      <c r="Y730" s="19"/>
    </row>
    <row r="731" spans="1:25" ht="12" customHeight="1">
      <c r="A731" s="219" t="n" cm="1">
        <f t="array" ref="A731">IFERROR(INDEX('03.Muestra'!$B$8:$B$42,SMALL(IF("Página Web"='03.Muestra'!$D$8:$D$42,ROW('03.Muestra'!$B$8:$B$42)-MIN(ROW('03.Muestra'!$D$8:$D$42))+1,""),ROW()-702)),"")</f>
        <v>1.0</v>
      </c>
      <c r="B731" s="114" t="str" cm="1">
        <f t="array" ref="B731">IFERROR(INDEX('03.Muestra'!$C$8:$C$42,SMALL(IF("Página Web"='03.Muestra'!$D$8:$D$42,ROW('03.Muestra'!$C$8:$C$42)-MIN(ROW('03.Muestra'!$D$8:$D$42))+1,""),ROW()-702)),"")</f>
        <v>Home - PortCastelló</v>
      </c>
      <c r="C731" s="114" t="str" cm="1">
        <f t="array" ref="C731">IFERROR(INDEX('03.Muestra'!$F$8:$F$42,SMALL(IF("Página Web"='03.Muestra'!$D$8:$D$42,ROW('03.Muestra'!$F$8:$F$42)-MIN(ROW('03.Muestra'!$D$8:$D$42))+1,""),ROW()-702)),"")</f>
        <v>https://www.portcastello.com/</v>
      </c>
      <c r="D731" s="130" t="str">
        <f t="shared" si="37"/>
        <v>N/T</v>
      </c>
      <c r="E731" s="107" t="str">
        <f t="shared" si="36"/>
        <v/>
      </c>
      <c r="G731" s="19"/>
      <c r="H731" s="19"/>
      <c r="I731" s="19"/>
      <c r="J731" s="19"/>
      <c r="K731" s="233"/>
      <c r="L731" s="19"/>
      <c r="M731" s="19"/>
      <c r="N731" s="19"/>
      <c r="O731" s="19"/>
      <c r="P731" s="19"/>
      <c r="Q731" s="19"/>
      <c r="R731" s="19"/>
      <c r="S731" s="19"/>
      <c r="T731" s="19"/>
      <c r="U731" s="19"/>
      <c r="V731" s="19"/>
      <c r="W731" s="19"/>
      <c r="X731" s="19"/>
      <c r="Y731" s="19"/>
    </row>
    <row r="732" spans="1:25" ht="12" customHeight="1">
      <c r="A732" s="219" t="n" cm="1">
        <f t="array" ref="A732">IFERROR(INDEX('03.Muestra'!$B$8:$B$42,SMALL(IF("Página Web"='03.Muestra'!$D$8:$D$42,ROW('03.Muestra'!$B$8:$B$42)-MIN(ROW('03.Muestra'!$D$8:$D$42))+1,""),ROW()-702)),"")</f>
        <v>1.0</v>
      </c>
      <c r="B732" s="114" t="str" cm="1">
        <f t="array" ref="B732">IFERROR(INDEX('03.Muestra'!$C$8:$C$42,SMALL(IF("Página Web"='03.Muestra'!$D$8:$D$42,ROW('03.Muestra'!$C$8:$C$42)-MIN(ROW('03.Muestra'!$D$8:$D$42))+1,""),ROW()-702)),"")</f>
        <v>Home - PortCastelló</v>
      </c>
      <c r="C732" s="114" t="str" cm="1">
        <f t="array" ref="C732">IFERROR(INDEX('03.Muestra'!$F$8:$F$42,SMALL(IF("Página Web"='03.Muestra'!$D$8:$D$42,ROW('03.Muestra'!$F$8:$F$42)-MIN(ROW('03.Muestra'!$D$8:$D$42))+1,""),ROW()-702)),"")</f>
        <v>https://www.portcastello.com/</v>
      </c>
      <c r="D732" s="130" t="str">
        <f t="shared" si="37"/>
        <v>N/T</v>
      </c>
      <c r="E732" s="107" t="str">
        <f t="shared" si="36"/>
        <v/>
      </c>
      <c r="G732" s="19"/>
      <c r="H732" s="19"/>
      <c r="I732" s="19"/>
      <c r="J732" s="19"/>
      <c r="K732" s="233"/>
      <c r="L732" s="19"/>
      <c r="M732" s="19"/>
      <c r="N732" s="19"/>
      <c r="O732" s="19"/>
      <c r="P732" s="19"/>
      <c r="Q732" s="19"/>
      <c r="R732" s="19"/>
      <c r="S732" s="19"/>
      <c r="T732" s="19"/>
      <c r="U732" s="19"/>
      <c r="V732" s="19"/>
      <c r="W732" s="19"/>
      <c r="X732" s="19"/>
      <c r="Y732" s="19"/>
    </row>
    <row r="733" spans="1:25" ht="12" customHeight="1">
      <c r="A733" s="219" t="n" cm="1">
        <f t="array" ref="A733">IFERROR(INDEX('03.Muestra'!$B$8:$B$42,SMALL(IF("Página Web"='03.Muestra'!$D$8:$D$42,ROW('03.Muestra'!$B$8:$B$42)-MIN(ROW('03.Muestra'!$D$8:$D$42))+1,""),ROW()-702)),"")</f>
        <v>1.0</v>
      </c>
      <c r="B733" s="114" t="str" cm="1">
        <f t="array" ref="B733">IFERROR(INDEX('03.Muestra'!$C$8:$C$42,SMALL(IF("Página Web"='03.Muestra'!$D$8:$D$42,ROW('03.Muestra'!$C$8:$C$42)-MIN(ROW('03.Muestra'!$D$8:$D$42))+1,""),ROW()-702)),"")</f>
        <v>Home - PortCastelló</v>
      </c>
      <c r="C733" s="114" t="str" cm="1">
        <f t="array" ref="C733">IFERROR(INDEX('03.Muestra'!$F$8:$F$42,SMALL(IF("Página Web"='03.Muestra'!$D$8:$D$42,ROW('03.Muestra'!$F$8:$F$42)-MIN(ROW('03.Muestra'!$D$8:$D$42))+1,""),ROW()-702)),"")</f>
        <v>https://www.portcastello.com/</v>
      </c>
      <c r="D733" s="130" t="str">
        <f t="shared" si="37"/>
        <v>N/T</v>
      </c>
      <c r="E733" s="107" t="str">
        <f t="shared" si="36"/>
        <v/>
      </c>
      <c r="G733" s="19"/>
      <c r="H733" s="19"/>
      <c r="I733" s="19"/>
      <c r="J733" s="19"/>
      <c r="K733" s="233"/>
      <c r="L733" s="19"/>
      <c r="M733" s="19"/>
      <c r="N733" s="19"/>
      <c r="O733" s="19"/>
      <c r="P733" s="19"/>
      <c r="Q733" s="19"/>
      <c r="R733" s="19"/>
      <c r="S733" s="19"/>
      <c r="T733" s="19"/>
      <c r="U733" s="19"/>
      <c r="V733" s="19"/>
      <c r="W733" s="19"/>
      <c r="X733" s="19"/>
      <c r="Y733" s="19"/>
    </row>
    <row r="734" spans="1:25" ht="12" customHeight="1">
      <c r="A734" s="219" t="n" cm="1">
        <f t="array" ref="A734">IFERROR(INDEX('03.Muestra'!$B$8:$B$42,SMALL(IF("Página Web"='03.Muestra'!$D$8:$D$42,ROW('03.Muestra'!$B$8:$B$42)-MIN(ROW('03.Muestra'!$D$8:$D$42))+1,""),ROW()-702)),"")</f>
        <v>1.0</v>
      </c>
      <c r="B734" s="114" t="str" cm="1">
        <f t="array" ref="B734">IFERROR(INDEX('03.Muestra'!$C$8:$C$42,SMALL(IF("Página Web"='03.Muestra'!$D$8:$D$42,ROW('03.Muestra'!$C$8:$C$42)-MIN(ROW('03.Muestra'!$D$8:$D$42))+1,""),ROW()-702)),"")</f>
        <v>Home - PortCastelló</v>
      </c>
      <c r="C734" s="114" t="str" cm="1">
        <f t="array" ref="C734">IFERROR(INDEX('03.Muestra'!$F$8:$F$42,SMALL(IF("Página Web"='03.Muestra'!$D$8:$D$42,ROW('03.Muestra'!$F$8:$F$42)-MIN(ROW('03.Muestra'!$D$8:$D$42))+1,""),ROW()-702)),"")</f>
        <v>https://www.portcastello.com/</v>
      </c>
      <c r="D734" s="130" t="str">
        <f t="shared" si="37"/>
        <v>N/T</v>
      </c>
      <c r="E734" s="107" t="str">
        <f t="shared" si="36"/>
        <v/>
      </c>
      <c r="G734" s="19"/>
      <c r="H734" s="19"/>
      <c r="I734" s="19"/>
      <c r="J734" s="19"/>
      <c r="K734" s="233"/>
      <c r="L734" s="19"/>
      <c r="M734" s="19"/>
      <c r="N734" s="19"/>
      <c r="O734" s="19"/>
      <c r="P734" s="19"/>
      <c r="Q734" s="19"/>
      <c r="R734" s="19"/>
      <c r="S734" s="19"/>
      <c r="T734" s="19"/>
      <c r="U734" s="19"/>
      <c r="V734" s="19"/>
      <c r="W734" s="19"/>
      <c r="X734" s="19"/>
      <c r="Y734" s="19"/>
    </row>
    <row r="735" spans="1:25" ht="12" customHeight="1">
      <c r="A735" s="219" t="n" cm="1">
        <f t="array" ref="A735">IFERROR(INDEX('03.Muestra'!$B$8:$B$42,SMALL(IF("Página Web"='03.Muestra'!$D$8:$D$42,ROW('03.Muestra'!$B$8:$B$42)-MIN(ROW('03.Muestra'!$D$8:$D$42))+1,""),ROW()-702)),"")</f>
        <v>1.0</v>
      </c>
      <c r="B735" s="114" t="str" cm="1">
        <f t="array" ref="B735">IFERROR(INDEX('03.Muestra'!$C$8:$C$42,SMALL(IF("Página Web"='03.Muestra'!$D$8:$D$42,ROW('03.Muestra'!$C$8:$C$42)-MIN(ROW('03.Muestra'!$D$8:$D$42))+1,""),ROW()-702)),"")</f>
        <v>Home - PortCastelló</v>
      </c>
      <c r="C735" s="114" t="str" cm="1">
        <f t="array" ref="C735">IFERROR(INDEX('03.Muestra'!$F$8:$F$42,SMALL(IF("Página Web"='03.Muestra'!$D$8:$D$42,ROW('03.Muestra'!$F$8:$F$42)-MIN(ROW('03.Muestra'!$D$8:$D$42))+1,""),ROW()-702)),"")</f>
        <v>https://www.portcastello.com/</v>
      </c>
      <c r="D735" s="130" t="str">
        <f t="shared" si="37"/>
        <v>N/T</v>
      </c>
      <c r="E735" s="107" t="str">
        <f t="shared" si="36"/>
        <v/>
      </c>
      <c r="G735" s="19"/>
      <c r="H735" s="19"/>
      <c r="I735" s="19"/>
      <c r="J735" s="19"/>
      <c r="K735" s="233"/>
      <c r="L735" s="19"/>
      <c r="M735" s="19"/>
      <c r="N735" s="19"/>
      <c r="O735" s="19"/>
      <c r="P735" s="19"/>
      <c r="Q735" s="19"/>
      <c r="R735" s="19"/>
      <c r="S735" s="19"/>
      <c r="T735" s="19"/>
      <c r="U735" s="19"/>
      <c r="V735" s="19"/>
      <c r="W735" s="19"/>
      <c r="X735" s="19"/>
      <c r="Y735" s="19"/>
    </row>
    <row r="736" spans="1:25" ht="12" customHeight="1">
      <c r="A736" s="219" t="str" cm="1">
        <f t="array" ref="A736">IFERROR(INDEX('03.Muestra'!$B$8:$B$42,SMALL(IF("Página Web"='03.Muestra'!$D$8:$D$42,ROW('03.Muestra'!$B$8:$B$42)-MIN(ROW('03.Muestra'!$D$8:$D$42))+1,""),ROW()-702)),"")</f>
        <v/>
      </c>
      <c r="B736" s="114" t="str" cm="1">
        <f t="array" ref="B736">IFERROR(INDEX('03.Muestra'!$C$8:$C$42,SMALL(IF("Página Web"='03.Muestra'!$D$8:$D$42,ROW('03.Muestra'!$C$8:$C$42)-MIN(ROW('03.Muestra'!$D$8:$D$42))+1,""),ROW()-702)),"")</f>
        <v/>
      </c>
      <c r="C736" s="114" t="str" cm="1">
        <f t="array" ref="C736">IFERROR(INDEX('03.Muestra'!$F$8:$F$42,SMALL(IF("Página Web"='03.Muestra'!$D$8:$D$42,ROW('03.Muestra'!$F$8:$F$42)-MIN(ROW('03.Muestra'!$D$8:$D$42))+1,""),ROW()-702)),"")</f>
        <v/>
      </c>
      <c r="D736" s="130" t="str">
        <f t="shared" si="37"/>
        <v/>
      </c>
      <c r="E736" s="107" t="str">
        <f t="shared" si="36"/>
        <v/>
      </c>
      <c r="F736" s="124"/>
      <c r="G736" s="19"/>
      <c r="H736" s="19"/>
      <c r="I736" s="19"/>
      <c r="J736" s="19"/>
      <c r="K736" s="233"/>
      <c r="L736" s="19"/>
      <c r="M736" s="19"/>
      <c r="N736" s="19"/>
      <c r="O736" s="19"/>
      <c r="P736" s="19"/>
      <c r="Q736" s="19"/>
      <c r="R736" s="19"/>
      <c r="S736" s="19"/>
      <c r="T736" s="19"/>
      <c r="U736" s="19"/>
      <c r="V736" s="19"/>
      <c r="W736" s="19"/>
      <c r="X736" s="19"/>
      <c r="Y736" s="19"/>
    </row>
    <row r="737" spans="1:25" ht="12" customHeight="1">
      <c r="A737" s="219" t="str" cm="1">
        <f t="array" ref="A737">IFERROR(INDEX('03.Muestra'!$B$8:$B$42,SMALL(IF("Página Web"='03.Muestra'!$D$8:$D$42,ROW('03.Muestra'!$B$8:$B$42)-MIN(ROW('03.Muestra'!$D$8:$D$42))+1,""),ROW()-702)),"")</f>
        <v/>
      </c>
      <c r="B737" s="114" t="str" cm="1">
        <f t="array" ref="B737">IFERROR(INDEX('03.Muestra'!$C$8:$C$42,SMALL(IF("Página Web"='03.Muestra'!$D$8:$D$42,ROW('03.Muestra'!$C$8:$C$42)-MIN(ROW('03.Muestra'!$D$8:$D$42))+1,""),ROW()-702)),"")</f>
        <v/>
      </c>
      <c r="C737" s="114" t="str" cm="1">
        <f t="array" ref="C737">IFERROR(INDEX('03.Muestra'!$F$8:$F$42,SMALL(IF("Página Web"='03.Muestra'!$D$8:$D$42,ROW('03.Muestra'!$F$8:$F$42)-MIN(ROW('03.Muestra'!$D$8:$D$42))+1,""),ROW()-702)),"")</f>
        <v/>
      </c>
      <c r="D737" s="130" t="str">
        <f t="shared" si="37"/>
        <v/>
      </c>
      <c r="E737" s="107" t="str">
        <f t="shared" si="36"/>
        <v/>
      </c>
      <c r="F737" s="19"/>
      <c r="G737" s="19"/>
      <c r="H737" s="19"/>
      <c r="I737" s="19"/>
      <c r="J737" s="19"/>
      <c r="K737" s="233"/>
      <c r="L737" s="19"/>
      <c r="M737" s="19"/>
      <c r="N737" s="19"/>
      <c r="O737" s="19"/>
      <c r="P737" s="19"/>
      <c r="Q737" s="19"/>
      <c r="R737" s="19"/>
      <c r="S737" s="19"/>
      <c r="T737" s="19"/>
      <c r="U737" s="19"/>
      <c r="V737" s="19"/>
      <c r="W737" s="19"/>
      <c r="X737" s="19"/>
      <c r="Y737" s="19"/>
    </row>
    <row r="738" spans="1:25" ht="12" customHeight="1">
      <c r="B738" s="19"/>
      <c r="C738" s="19"/>
      <c r="D738" s="107"/>
      <c r="E738" s="107"/>
      <c r="F738" s="19"/>
      <c r="G738" s="19"/>
      <c r="H738" s="19"/>
      <c r="I738" s="19"/>
      <c r="J738" s="19"/>
      <c r="K738" s="233"/>
      <c r="L738" s="19"/>
      <c r="M738" s="19"/>
      <c r="N738" s="19"/>
      <c r="O738" s="19"/>
      <c r="P738" s="19"/>
      <c r="Q738" s="19"/>
      <c r="R738" s="19"/>
      <c r="S738" s="19"/>
      <c r="T738" s="19"/>
      <c r="U738" s="19"/>
      <c r="V738" s="19"/>
      <c r="W738" s="19"/>
      <c r="X738" s="19"/>
      <c r="Y738" s="19"/>
    </row>
    <row r="739" spans="1:25" ht="12" customHeight="1">
      <c r="B739" s="126"/>
      <c r="C739" s="19"/>
      <c r="D739" s="107"/>
      <c r="E739" s="112"/>
      <c r="K739" s="233"/>
      <c r="L739" s="19"/>
      <c r="M739" s="19"/>
      <c r="N739" s="19"/>
      <c r="O739" s="19"/>
      <c r="P739" s="19"/>
      <c r="Q739" s="19"/>
      <c r="R739" s="19"/>
      <c r="S739" s="19"/>
      <c r="T739" s="19"/>
      <c r="U739" s="19"/>
      <c r="V739" s="19"/>
      <c r="W739" s="19"/>
      <c r="X739" s="19"/>
      <c r="Y739" s="19"/>
    </row>
    <row r="740" spans="1:25" ht="29.25" customHeight="1">
      <c r="A740" s="218" t="s">
        <v>268</v>
      </c>
      <c r="B740" s="24" t="s">
        <v>90</v>
      </c>
      <c r="C740" s="25" t="s">
        <v>392</v>
      </c>
      <c r="D740" s="26" t="s">
        <v>32</v>
      </c>
      <c r="E740" s="123"/>
      <c r="K740" s="233"/>
      <c r="M740" s="19"/>
      <c r="N740" s="19"/>
      <c r="O740" s="19"/>
      <c r="P740" s="19"/>
      <c r="Q740" s="19"/>
      <c r="R740" s="19"/>
      <c r="S740" s="19"/>
      <c r="T740" s="19"/>
      <c r="U740" s="19"/>
      <c r="V740" s="19"/>
      <c r="W740" s="19"/>
      <c r="X740" s="19"/>
      <c r="Y740" s="19"/>
    </row>
    <row r="741" spans="1:25" ht="12" customHeight="1">
      <c r="A741" s="219" t="n" cm="1">
        <f t="array" ref="A741">IFERROR(INDEX('03.Muestra'!$B$8:$B$42,SMALL(IF("Página Web"='03.Muestra'!$D$8:$D$42,ROW('03.Muestra'!$B$8:$B$42)-MIN(ROW('03.Muestra'!$D$8:$D$42))+1,""),ROW()-740)),"")</f>
        <v>1.0</v>
      </c>
      <c r="B741" s="114" t="str" cm="1">
        <f t="array" ref="B741">IFERROR(INDEX('03.Muestra'!$C$8:$C$42,SMALL(IF("Página Web"='03.Muestra'!$D$8:$D$42,ROW('03.Muestra'!$C$8:$C$42)-MIN(ROW('03.Muestra'!$D$8:$D$42))+1,""),ROW()-740)),"")</f>
        <v>Home - PortCastelló</v>
      </c>
      <c r="C741" s="114" t="str" cm="1">
        <f t="array" ref="C741">IFERROR(INDEX('03.Muestra'!$F$8:$F$42,SMALL(IF("Página Web"='03.Muestra'!$D$8:$D$42,ROW('03.Muestra'!$F$8:$F$42)-MIN(ROW('03.Muestra'!$D$8:$D$42))+1,""),ROW()-740)),"")</f>
        <v>https://www.portcastello.com/</v>
      </c>
      <c r="D741" s="130" t="s">
        <v>37</v>
      </c>
      <c r="E741" s="107" t="str">
        <f t="shared" ref="E741:E775" si="38">IF(D741&lt;&gt;"",IF(AND(B741&lt;&gt;"",C741&lt;&gt;""),"","ERR"),"")</f>
        <v/>
      </c>
      <c r="F741" s="115" t="s">
        <v>33</v>
      </c>
      <c r="G741" s="116" t="s">
        <v>37</v>
      </c>
      <c r="H741" s="117" t="s">
        <v>35</v>
      </c>
      <c r="I741" s="118" t="s">
        <v>28</v>
      </c>
      <c r="J741" s="119" t="s">
        <v>26</v>
      </c>
      <c r="K741" s="226" t="s">
        <v>474</v>
      </c>
      <c r="L741" s="19"/>
      <c r="M741" s="19"/>
      <c r="N741" s="19"/>
      <c r="O741" s="19"/>
      <c r="P741" s="19"/>
      <c r="Q741" s="19"/>
      <c r="R741" s="19"/>
      <c r="S741" s="19"/>
      <c r="T741" s="19"/>
      <c r="U741" s="19"/>
      <c r="V741" s="19"/>
      <c r="W741" s="19"/>
      <c r="X741" s="19"/>
      <c r="Y741" s="19"/>
    </row>
    <row r="742" spans="1:25" ht="12" customHeight="1">
      <c r="A742" s="219" t="n" cm="1">
        <f t="array" ref="A742">IFERROR(INDEX('03.Muestra'!$B$8:$B$42,SMALL(IF("Página Web"='03.Muestra'!$D$8:$D$42,ROW('03.Muestra'!$B$8:$B$42)-MIN(ROW('03.Muestra'!$D$8:$D$42))+1,""),ROW()-740)),"")</f>
        <v>1.0</v>
      </c>
      <c r="B742" s="114" t="str" cm="1">
        <f t="array" ref="B742">IFERROR(INDEX('03.Muestra'!$C$8:$C$42,SMALL(IF("Página Web"='03.Muestra'!$D$8:$D$42,ROW('03.Muestra'!$C$8:$C$42)-MIN(ROW('03.Muestra'!$D$8:$D$42))+1,""),ROW()-740)),"")</f>
        <v>Home - PortCastelló</v>
      </c>
      <c r="C742" s="114" t="str" cm="1">
        <f t="array" ref="C742">IFERROR(INDEX('03.Muestra'!$F$8:$F$42,SMALL(IF("Página Web"='03.Muestra'!$D$8:$D$42,ROW('03.Muestra'!$F$8:$F$42)-MIN(ROW('03.Muestra'!$D$8:$D$42))+1,""),ROW()-740)),"")</f>
        <v>https://www.portcastello.com/</v>
      </c>
      <c r="D742" s="130" t="s">
        <v>37</v>
      </c>
      <c r="E742" s="107" t="str">
        <f t="shared" si="38"/>
        <v/>
      </c>
      <c r="F742" s="120" t="n">
        <f ca="1">COUNTIF($D741:INDIRECT("$D" &amp;  SUM(ROW()-1,'03.Muestra'!$D$45)-1),F741)</f>
        <v>0.0</v>
      </c>
      <c r="G742" s="120" t="n">
        <f ca="1">COUNTIF($D741:INDIRECT("$D" &amp;  SUM(ROW()-1,'03.Muestra'!$D$45)-1),G741)</f>
        <v>33.0</v>
      </c>
      <c r="H742" s="120" t="n">
        <f ca="1">COUNTIF($D741:INDIRECT("$D" &amp;  SUM(ROW()-1,'03.Muestra'!$D$45)-1),H741)</f>
        <v>0.0</v>
      </c>
      <c r="I742" s="120" t="n">
        <f ca="1">COUNTIF($D741:INDIRECT("$D" &amp;  SUM(ROW()-1,'03.Muestra'!$D$45)-1),I741)</f>
        <v>0.0</v>
      </c>
      <c r="J742" s="120" t="n">
        <f ca="1">COUNTIF($D741:INDIRECT("$D" &amp;  SUM(ROW()-1,'03.Muestra'!$D$45)-1),J741)</f>
        <v>0.0</v>
      </c>
      <c r="K742" s="227" t="n">
        <f ca="1">IF(COUNTIF('03.Muestra'!$D$8:$D$42,"Página Web")=0,0,COUNTBLANK($D741:INDIRECT("$D" &amp;  SUM(ROW()-1,COUNTIF('03.Muestra'!$D$8:$D$42,"Página Web"))-1)))</f>
        <v>0.0</v>
      </c>
      <c r="M742" s="19"/>
      <c r="N742" s="19"/>
      <c r="O742" s="19"/>
      <c r="P742" s="19"/>
      <c r="Q742" s="19"/>
      <c r="R742" s="19"/>
      <c r="S742" s="19"/>
      <c r="T742" s="19"/>
      <c r="U742" s="19"/>
      <c r="V742" s="19"/>
      <c r="W742" s="19"/>
      <c r="X742" s="19"/>
      <c r="Y742" s="19"/>
    </row>
    <row r="743" spans="1:25" ht="12" customHeight="1">
      <c r="A743" s="219" t="n" cm="1">
        <f t="array" ref="A743">IFERROR(INDEX('03.Muestra'!$B$8:$B$42,SMALL(IF("Página Web"='03.Muestra'!$D$8:$D$42,ROW('03.Muestra'!$B$8:$B$42)-MIN(ROW('03.Muestra'!$D$8:$D$42))+1,""),ROW()-740)),"")</f>
        <v>1.0</v>
      </c>
      <c r="B743" s="114" t="str" cm="1">
        <f t="array" ref="B743">IFERROR(INDEX('03.Muestra'!$C$8:$C$42,SMALL(IF("Página Web"='03.Muestra'!$D$8:$D$42,ROW('03.Muestra'!$C$8:$C$42)-MIN(ROW('03.Muestra'!$D$8:$D$42))+1,""),ROW()-740)),"")</f>
        <v>Home - PortCastelló</v>
      </c>
      <c r="C743" s="114" t="str" cm="1">
        <f t="array" ref="C743">IFERROR(INDEX('03.Muestra'!$F$8:$F$42,SMALL(IF("Página Web"='03.Muestra'!$D$8:$D$42,ROW('03.Muestra'!$F$8:$F$42)-MIN(ROW('03.Muestra'!$D$8:$D$42))+1,""),ROW()-740)),"")</f>
        <v>https://www.portcastello.com/</v>
      </c>
      <c r="D743" s="130" t="s">
        <v>37</v>
      </c>
      <c r="E743" s="107" t="str">
        <f t="shared" si="38"/>
        <v/>
      </c>
      <c r="F743" s="19"/>
      <c r="G743" s="19"/>
      <c r="H743" s="19"/>
      <c r="I743" s="19"/>
      <c r="J743" s="19"/>
      <c r="K743" s="233"/>
      <c r="M743" s="19"/>
      <c r="N743" s="19"/>
      <c r="O743" s="19"/>
      <c r="P743" s="19"/>
      <c r="Q743" s="19"/>
      <c r="R743" s="19"/>
      <c r="S743" s="19"/>
      <c r="T743" s="19"/>
      <c r="U743" s="19"/>
      <c r="V743" s="19"/>
      <c r="W743" s="19"/>
      <c r="X743" s="19"/>
      <c r="Y743" s="19"/>
    </row>
    <row r="744" spans="1:25" ht="12" customHeight="1">
      <c r="A744" s="219" t="n" cm="1">
        <f t="array" ref="A744">IFERROR(INDEX('03.Muestra'!$B$8:$B$42,SMALL(IF("Página Web"='03.Muestra'!$D$8:$D$42,ROW('03.Muestra'!$B$8:$B$42)-MIN(ROW('03.Muestra'!$D$8:$D$42))+1,""),ROW()-740)),"")</f>
        <v>1.0</v>
      </c>
      <c r="B744" s="114" t="str" cm="1">
        <f t="array" ref="B744">IFERROR(INDEX('03.Muestra'!$C$8:$C$42,SMALL(IF("Página Web"='03.Muestra'!$D$8:$D$42,ROW('03.Muestra'!$C$8:$C$42)-MIN(ROW('03.Muestra'!$D$8:$D$42))+1,""),ROW()-740)),"")</f>
        <v>Home - PortCastelló</v>
      </c>
      <c r="C744" s="114" t="str" cm="1">
        <f t="array" ref="C744">IFERROR(INDEX('03.Muestra'!$F$8:$F$42,SMALL(IF("Página Web"='03.Muestra'!$D$8:$D$42,ROW('03.Muestra'!$F$8:$F$42)-MIN(ROW('03.Muestra'!$D$8:$D$42))+1,""),ROW()-740)),"")</f>
        <v>https://www.portcastello.com/</v>
      </c>
      <c r="D744" s="130" t="s">
        <v>37</v>
      </c>
      <c r="E744" s="107" t="str">
        <f t="shared" si="38"/>
        <v/>
      </c>
      <c r="F744" s="19"/>
      <c r="G744" s="19"/>
      <c r="H744" s="19"/>
      <c r="I744" s="19"/>
      <c r="K744" s="233"/>
      <c r="L744" s="19"/>
      <c r="M744" s="19"/>
      <c r="N744" s="19"/>
      <c r="O744" s="19"/>
      <c r="P744" s="19"/>
      <c r="Q744" s="19"/>
      <c r="R744" s="19"/>
      <c r="S744" s="19"/>
      <c r="T744" s="19"/>
      <c r="U744" s="19"/>
      <c r="V744" s="19"/>
      <c r="W744" s="19"/>
      <c r="X744" s="19"/>
      <c r="Y744" s="19"/>
    </row>
    <row r="745" spans="1:25" ht="12" customHeight="1">
      <c r="A745" s="219" t="n" cm="1">
        <f t="array" ref="A745">IFERROR(INDEX('03.Muestra'!$B$8:$B$42,SMALL(IF("Página Web"='03.Muestra'!$D$8:$D$42,ROW('03.Muestra'!$B$8:$B$42)-MIN(ROW('03.Muestra'!$D$8:$D$42))+1,""),ROW()-740)),"")</f>
        <v>1.0</v>
      </c>
      <c r="B745" s="114" t="str" cm="1">
        <f t="array" ref="B745">IFERROR(INDEX('03.Muestra'!$C$8:$C$42,SMALL(IF("Página Web"='03.Muestra'!$D$8:$D$42,ROW('03.Muestra'!$C$8:$C$42)-MIN(ROW('03.Muestra'!$D$8:$D$42))+1,""),ROW()-740)),"")</f>
        <v>Home - PortCastelló</v>
      </c>
      <c r="C745" s="114" t="str" cm="1">
        <f t="array" ref="C745">IFERROR(INDEX('03.Muestra'!$F$8:$F$42,SMALL(IF("Página Web"='03.Muestra'!$D$8:$D$42,ROW('03.Muestra'!$F$8:$F$42)-MIN(ROW('03.Muestra'!$D$8:$D$42))+1,""),ROW()-740)),"")</f>
        <v>https://www.portcastello.com/</v>
      </c>
      <c r="D745" s="130" t="s">
        <v>37</v>
      </c>
      <c r="E745" s="107" t="str">
        <f t="shared" si="38"/>
        <v/>
      </c>
      <c r="F745" s="122"/>
      <c r="G745" s="19"/>
      <c r="H745" s="19"/>
      <c r="I745" s="19"/>
      <c r="K745" s="233"/>
      <c r="L745" s="19"/>
      <c r="M745" s="19"/>
      <c r="N745" s="19"/>
      <c r="O745" s="19"/>
      <c r="P745" s="19"/>
      <c r="Q745" s="19"/>
      <c r="R745" s="19"/>
      <c r="S745" s="19"/>
      <c r="T745" s="19"/>
      <c r="U745" s="19"/>
      <c r="V745" s="19"/>
      <c r="W745" s="19"/>
      <c r="X745" s="19"/>
      <c r="Y745" s="19"/>
    </row>
    <row r="746" spans="1:25" ht="12" customHeight="1">
      <c r="A746" s="219" t="n" cm="1">
        <f t="array" ref="A746">IFERROR(INDEX('03.Muestra'!$B$8:$B$42,SMALL(IF("Página Web"='03.Muestra'!$D$8:$D$42,ROW('03.Muestra'!$B$8:$B$42)-MIN(ROW('03.Muestra'!$D$8:$D$42))+1,""),ROW()-740)),"")</f>
        <v>1.0</v>
      </c>
      <c r="B746" s="114" t="str" cm="1">
        <f t="array" ref="B746">IFERROR(INDEX('03.Muestra'!$C$8:$C$42,SMALL(IF("Página Web"='03.Muestra'!$D$8:$D$42,ROW('03.Muestra'!$C$8:$C$42)-MIN(ROW('03.Muestra'!$D$8:$D$42))+1,""),ROW()-740)),"")</f>
        <v>Home - PortCastelló</v>
      </c>
      <c r="C746" s="114" t="str" cm="1">
        <f t="array" ref="C746">IFERROR(INDEX('03.Muestra'!$F$8:$F$42,SMALL(IF("Página Web"='03.Muestra'!$D$8:$D$42,ROW('03.Muestra'!$F$8:$F$42)-MIN(ROW('03.Muestra'!$D$8:$D$42))+1,""),ROW()-740)),"")</f>
        <v>https://www.portcastello.com/</v>
      </c>
      <c r="D746" s="130" t="s">
        <v>37</v>
      </c>
      <c r="E746" s="107" t="str">
        <f t="shared" si="38"/>
        <v/>
      </c>
      <c r="F746" s="19"/>
      <c r="G746" s="19"/>
      <c r="H746" s="19"/>
      <c r="I746" s="19"/>
      <c r="K746" s="233"/>
      <c r="L746" s="19"/>
      <c r="M746" s="19"/>
      <c r="N746" s="19"/>
      <c r="O746" s="19"/>
      <c r="P746" s="19"/>
      <c r="Q746" s="19"/>
      <c r="R746" s="19"/>
      <c r="S746" s="19"/>
      <c r="T746" s="19"/>
      <c r="U746" s="19"/>
      <c r="V746" s="19"/>
      <c r="W746" s="19"/>
      <c r="X746" s="19"/>
      <c r="Y746" s="19"/>
    </row>
    <row r="747" spans="1:25" ht="12" customHeight="1">
      <c r="A747" s="219" t="n" cm="1">
        <f t="array" ref="A747">IFERROR(INDEX('03.Muestra'!$B$8:$B$42,SMALL(IF("Página Web"='03.Muestra'!$D$8:$D$42,ROW('03.Muestra'!$B$8:$B$42)-MIN(ROW('03.Muestra'!$D$8:$D$42))+1,""),ROW()-740)),"")</f>
        <v>1.0</v>
      </c>
      <c r="B747" s="114" t="str" cm="1">
        <f t="array" ref="B747">IFERROR(INDEX('03.Muestra'!$C$8:$C$42,SMALL(IF("Página Web"='03.Muestra'!$D$8:$D$42,ROW('03.Muestra'!$C$8:$C$42)-MIN(ROW('03.Muestra'!$D$8:$D$42))+1,""),ROW()-740)),"")</f>
        <v>Home - PortCastelló</v>
      </c>
      <c r="C747" s="114" t="str" cm="1">
        <f t="array" ref="C747">IFERROR(INDEX('03.Muestra'!$F$8:$F$42,SMALL(IF("Página Web"='03.Muestra'!$D$8:$D$42,ROW('03.Muestra'!$F$8:$F$42)-MIN(ROW('03.Muestra'!$D$8:$D$42))+1,""),ROW()-740)),"")</f>
        <v>https://www.portcastello.com/</v>
      </c>
      <c r="D747" s="130" t="s">
        <v>37</v>
      </c>
      <c r="E747" s="107" t="str">
        <f t="shared" si="38"/>
        <v/>
      </c>
      <c r="F747" s="19"/>
      <c r="G747" s="19"/>
      <c r="H747" s="19"/>
      <c r="I747" s="19"/>
      <c r="J747" s="19"/>
      <c r="K747" s="233"/>
      <c r="L747" s="19"/>
      <c r="M747" s="19"/>
      <c r="N747" s="19"/>
      <c r="O747" s="19"/>
      <c r="P747" s="19"/>
      <c r="Q747" s="19"/>
      <c r="R747" s="19"/>
      <c r="S747" s="19"/>
      <c r="T747" s="19"/>
      <c r="U747" s="19"/>
      <c r="V747" s="19"/>
      <c r="W747" s="19"/>
      <c r="X747" s="19"/>
      <c r="Y747" s="19"/>
    </row>
    <row r="748" spans="1:25" ht="12" customHeight="1">
      <c r="A748" s="219" t="n" cm="1">
        <f t="array" ref="A748">IFERROR(INDEX('03.Muestra'!$B$8:$B$42,SMALL(IF("Página Web"='03.Muestra'!$D$8:$D$42,ROW('03.Muestra'!$B$8:$B$42)-MIN(ROW('03.Muestra'!$D$8:$D$42))+1,""),ROW()-740)),"")</f>
        <v>1.0</v>
      </c>
      <c r="B748" s="114" t="str" cm="1">
        <f t="array" ref="B748">IFERROR(INDEX('03.Muestra'!$C$8:$C$42,SMALL(IF("Página Web"='03.Muestra'!$D$8:$D$42,ROW('03.Muestra'!$C$8:$C$42)-MIN(ROW('03.Muestra'!$D$8:$D$42))+1,""),ROW()-740)),"")</f>
        <v>Home - PortCastelló</v>
      </c>
      <c r="C748" s="114" t="str" cm="1">
        <f t="array" ref="C748">IFERROR(INDEX('03.Muestra'!$F$8:$F$42,SMALL(IF("Página Web"='03.Muestra'!$D$8:$D$42,ROW('03.Muestra'!$F$8:$F$42)-MIN(ROW('03.Muestra'!$D$8:$D$42))+1,""),ROW()-740)),"")</f>
        <v>https://www.portcastello.com/</v>
      </c>
      <c r="D748" s="130" t="s">
        <v>37</v>
      </c>
      <c r="E748" s="107" t="str">
        <f t="shared" si="38"/>
        <v/>
      </c>
      <c r="F748" s="19"/>
      <c r="G748" s="19"/>
      <c r="H748" s="19"/>
      <c r="I748" s="19"/>
      <c r="J748" s="19"/>
      <c r="K748" s="233"/>
      <c r="L748" s="19"/>
      <c r="M748" s="19"/>
      <c r="N748" s="19"/>
      <c r="O748" s="19"/>
      <c r="P748" s="19"/>
      <c r="Q748" s="19"/>
      <c r="R748" s="19"/>
      <c r="S748" s="19"/>
      <c r="T748" s="19"/>
      <c r="U748" s="19"/>
      <c r="V748" s="19"/>
      <c r="W748" s="19"/>
      <c r="X748" s="19"/>
      <c r="Y748" s="19"/>
    </row>
    <row r="749" spans="1:25" ht="12" customHeight="1">
      <c r="A749" s="219" t="n" cm="1">
        <f t="array" ref="A749">IFERROR(INDEX('03.Muestra'!$B$8:$B$42,SMALL(IF("Página Web"='03.Muestra'!$D$8:$D$42,ROW('03.Muestra'!$B$8:$B$42)-MIN(ROW('03.Muestra'!$D$8:$D$42))+1,""),ROW()-740)),"")</f>
        <v>1.0</v>
      </c>
      <c r="B749" s="114" t="str" cm="1">
        <f t="array" ref="B749">IFERROR(INDEX('03.Muestra'!$C$8:$C$42,SMALL(IF("Página Web"='03.Muestra'!$D$8:$D$42,ROW('03.Muestra'!$C$8:$C$42)-MIN(ROW('03.Muestra'!$D$8:$D$42))+1,""),ROW()-740)),"")</f>
        <v>Home - PortCastelló</v>
      </c>
      <c r="C749" s="114" t="str" cm="1">
        <f t="array" ref="C749">IFERROR(INDEX('03.Muestra'!$F$8:$F$42,SMALL(IF("Página Web"='03.Muestra'!$D$8:$D$42,ROW('03.Muestra'!$F$8:$F$42)-MIN(ROW('03.Muestra'!$D$8:$D$42))+1,""),ROW()-740)),"")</f>
        <v>https://www.portcastello.com/</v>
      </c>
      <c r="D749" s="130" t="s">
        <v>37</v>
      </c>
      <c r="E749" s="107" t="str">
        <f t="shared" si="38"/>
        <v/>
      </c>
      <c r="F749" s="19"/>
      <c r="G749" s="19"/>
      <c r="H749" s="19"/>
      <c r="I749" s="19"/>
      <c r="J749" s="19"/>
      <c r="K749" s="233"/>
      <c r="M749" s="19"/>
      <c r="N749" s="19"/>
      <c r="O749" s="19"/>
      <c r="P749" s="19"/>
      <c r="Q749" s="19"/>
      <c r="R749" s="19"/>
      <c r="S749" s="19"/>
      <c r="T749" s="19"/>
      <c r="U749" s="19"/>
      <c r="V749" s="19"/>
      <c r="W749" s="19"/>
      <c r="X749" s="19"/>
      <c r="Y749" s="19"/>
    </row>
    <row r="750" spans="1:25" ht="12" customHeight="1">
      <c r="A750" s="219" t="n" cm="1">
        <f t="array" ref="A750">IFERROR(INDEX('03.Muestra'!$B$8:$B$42,SMALL(IF("Página Web"='03.Muestra'!$D$8:$D$42,ROW('03.Muestra'!$B$8:$B$42)-MIN(ROW('03.Muestra'!$D$8:$D$42))+1,""),ROW()-740)),"")</f>
        <v>1.0</v>
      </c>
      <c r="B750" s="114" t="str" cm="1">
        <f t="array" ref="B750">IFERROR(INDEX('03.Muestra'!$C$8:$C$42,SMALL(IF("Página Web"='03.Muestra'!$D$8:$D$42,ROW('03.Muestra'!$C$8:$C$42)-MIN(ROW('03.Muestra'!$D$8:$D$42))+1,""),ROW()-740)),"")</f>
        <v>Home - PortCastelló</v>
      </c>
      <c r="C750" s="114" t="str" cm="1">
        <f t="array" ref="C750">IFERROR(INDEX('03.Muestra'!$F$8:$F$42,SMALL(IF("Página Web"='03.Muestra'!$D$8:$D$42,ROW('03.Muestra'!$F$8:$F$42)-MIN(ROW('03.Muestra'!$D$8:$D$42))+1,""),ROW()-740)),"")</f>
        <v>https://www.portcastello.com/</v>
      </c>
      <c r="D750" s="130" t="s">
        <v>37</v>
      </c>
      <c r="E750" s="107" t="str">
        <f t="shared" si="38"/>
        <v/>
      </c>
      <c r="F750" s="19"/>
      <c r="G750" s="19"/>
      <c r="H750" s="19"/>
      <c r="I750" s="19"/>
      <c r="J750" s="19"/>
      <c r="K750" s="233"/>
      <c r="M750" s="19"/>
      <c r="N750" s="19"/>
      <c r="O750" s="19"/>
      <c r="P750" s="19"/>
      <c r="Q750" s="19"/>
      <c r="R750" s="19"/>
      <c r="S750" s="19"/>
      <c r="T750" s="19"/>
      <c r="U750" s="19"/>
      <c r="V750" s="19"/>
      <c r="W750" s="19"/>
      <c r="X750" s="19"/>
      <c r="Y750" s="19"/>
    </row>
    <row r="751" spans="1:25" ht="12" customHeight="1">
      <c r="A751" s="219" t="n" cm="1">
        <f t="array" ref="A751">IFERROR(INDEX('03.Muestra'!$B$8:$B$42,SMALL(IF("Página Web"='03.Muestra'!$D$8:$D$42,ROW('03.Muestra'!$B$8:$B$42)-MIN(ROW('03.Muestra'!$D$8:$D$42))+1,""),ROW()-740)),"")</f>
        <v>1.0</v>
      </c>
      <c r="B751" s="114" t="str" cm="1">
        <f t="array" ref="B751">IFERROR(INDEX('03.Muestra'!$C$8:$C$42,SMALL(IF("Página Web"='03.Muestra'!$D$8:$D$42,ROW('03.Muestra'!$C$8:$C$42)-MIN(ROW('03.Muestra'!$D$8:$D$42))+1,""),ROW()-740)),"")</f>
        <v>Home - PortCastelló</v>
      </c>
      <c r="C751" s="114" t="str" cm="1">
        <f t="array" ref="C751">IFERROR(INDEX('03.Muestra'!$F$8:$F$42,SMALL(IF("Página Web"='03.Muestra'!$D$8:$D$42,ROW('03.Muestra'!$F$8:$F$42)-MIN(ROW('03.Muestra'!$D$8:$D$42))+1,""),ROW()-740)),"")</f>
        <v>https://www.portcastello.com/</v>
      </c>
      <c r="D751" s="130" t="s">
        <v>37</v>
      </c>
      <c r="E751" s="107" t="str">
        <f t="shared" si="38"/>
        <v/>
      </c>
      <c r="F751" s="19"/>
      <c r="G751" s="19"/>
      <c r="H751" s="19"/>
      <c r="I751" s="19"/>
      <c r="J751" s="19"/>
      <c r="K751" s="233"/>
      <c r="M751" s="19"/>
      <c r="N751" s="19"/>
      <c r="O751" s="19"/>
      <c r="P751" s="19"/>
      <c r="Q751" s="19"/>
      <c r="R751" s="19"/>
      <c r="S751" s="19"/>
      <c r="T751" s="19"/>
      <c r="U751" s="19"/>
      <c r="V751" s="19"/>
      <c r="W751" s="19"/>
      <c r="X751" s="19"/>
      <c r="Y751" s="19"/>
    </row>
    <row r="752" spans="1:25" ht="12" customHeight="1">
      <c r="A752" s="219" t="n" cm="1">
        <f t="array" ref="A752">IFERROR(INDEX('03.Muestra'!$B$8:$B$42,SMALL(IF("Página Web"='03.Muestra'!$D$8:$D$42,ROW('03.Muestra'!$B$8:$B$42)-MIN(ROW('03.Muestra'!$D$8:$D$42))+1,""),ROW()-740)),"")</f>
        <v>1.0</v>
      </c>
      <c r="B752" s="114" t="str" cm="1">
        <f t="array" ref="B752">IFERROR(INDEX('03.Muestra'!$C$8:$C$42,SMALL(IF("Página Web"='03.Muestra'!$D$8:$D$42,ROW('03.Muestra'!$C$8:$C$42)-MIN(ROW('03.Muestra'!$D$8:$D$42))+1,""),ROW()-740)),"")</f>
        <v>Home - PortCastelló</v>
      </c>
      <c r="C752" s="114" t="str" cm="1">
        <f t="array" ref="C752">IFERROR(INDEX('03.Muestra'!$F$8:$F$42,SMALL(IF("Página Web"='03.Muestra'!$D$8:$D$42,ROW('03.Muestra'!$F$8:$F$42)-MIN(ROW('03.Muestra'!$D$8:$D$42))+1,""),ROW()-740)),"")</f>
        <v>https://www.portcastello.com/</v>
      </c>
      <c r="D752" s="130" t="s">
        <v>37</v>
      </c>
      <c r="E752" s="107" t="str">
        <f t="shared" si="38"/>
        <v/>
      </c>
      <c r="F752" s="19"/>
      <c r="G752" s="19"/>
      <c r="H752" s="19"/>
      <c r="I752" s="19"/>
      <c r="J752" s="19"/>
      <c r="K752" s="233"/>
      <c r="L752" s="19"/>
      <c r="M752" s="19"/>
      <c r="N752" s="19"/>
      <c r="O752" s="19"/>
      <c r="P752" s="19"/>
      <c r="Q752" s="19"/>
      <c r="R752" s="19"/>
      <c r="S752" s="19"/>
      <c r="T752" s="19"/>
      <c r="U752" s="19"/>
      <c r="V752" s="19"/>
      <c r="W752" s="19"/>
      <c r="X752" s="19"/>
      <c r="Y752" s="19"/>
    </row>
    <row r="753" spans="1:25" ht="12" customHeight="1">
      <c r="A753" s="219" t="n" cm="1">
        <f t="array" ref="A753">IFERROR(INDEX('03.Muestra'!$B$8:$B$42,SMALL(IF("Página Web"='03.Muestra'!$D$8:$D$42,ROW('03.Muestra'!$B$8:$B$42)-MIN(ROW('03.Muestra'!$D$8:$D$42))+1,""),ROW()-740)),"")</f>
        <v>1.0</v>
      </c>
      <c r="B753" s="114" t="str" cm="1">
        <f t="array" ref="B753">IFERROR(INDEX('03.Muestra'!$C$8:$C$42,SMALL(IF("Página Web"='03.Muestra'!$D$8:$D$42,ROW('03.Muestra'!$C$8:$C$42)-MIN(ROW('03.Muestra'!$D$8:$D$42))+1,""),ROW()-740)),"")</f>
        <v>Home - PortCastelló</v>
      </c>
      <c r="C753" s="114" t="str" cm="1">
        <f t="array" ref="C753">IFERROR(INDEX('03.Muestra'!$F$8:$F$42,SMALL(IF("Página Web"='03.Muestra'!$D$8:$D$42,ROW('03.Muestra'!$F$8:$F$42)-MIN(ROW('03.Muestra'!$D$8:$D$42))+1,""),ROW()-740)),"")</f>
        <v>https://www.portcastello.com/</v>
      </c>
      <c r="D753" s="130" t="s">
        <v>37</v>
      </c>
      <c r="E753" s="107" t="str">
        <f t="shared" si="38"/>
        <v/>
      </c>
      <c r="F753" s="19"/>
      <c r="G753" s="19"/>
      <c r="H753" s="19"/>
      <c r="I753" s="19"/>
      <c r="J753" s="19"/>
      <c r="K753" s="233"/>
      <c r="L753" s="19"/>
      <c r="M753" s="19"/>
      <c r="N753" s="19"/>
      <c r="O753" s="19"/>
      <c r="P753" s="19"/>
      <c r="Q753" s="19"/>
      <c r="R753" s="19"/>
      <c r="S753" s="19"/>
      <c r="T753" s="19"/>
      <c r="U753" s="19"/>
      <c r="V753" s="19"/>
      <c r="W753" s="19"/>
      <c r="X753" s="19"/>
      <c r="Y753" s="19"/>
    </row>
    <row r="754" spans="1:25" ht="12" customHeight="1">
      <c r="A754" s="219" t="n" cm="1">
        <f t="array" ref="A754">IFERROR(INDEX('03.Muestra'!$B$8:$B$42,SMALL(IF("Página Web"='03.Muestra'!$D$8:$D$42,ROW('03.Muestra'!$B$8:$B$42)-MIN(ROW('03.Muestra'!$D$8:$D$42))+1,""),ROW()-740)),"")</f>
        <v>1.0</v>
      </c>
      <c r="B754" s="114" t="str" cm="1">
        <f t="array" ref="B754">IFERROR(INDEX('03.Muestra'!$C$8:$C$42,SMALL(IF("Página Web"='03.Muestra'!$D$8:$D$42,ROW('03.Muestra'!$C$8:$C$42)-MIN(ROW('03.Muestra'!$D$8:$D$42))+1,""),ROW()-740)),"")</f>
        <v>Home - PortCastelló</v>
      </c>
      <c r="C754" s="114" t="str" cm="1">
        <f t="array" ref="C754">IFERROR(INDEX('03.Muestra'!$F$8:$F$42,SMALL(IF("Página Web"='03.Muestra'!$D$8:$D$42,ROW('03.Muestra'!$F$8:$F$42)-MIN(ROW('03.Muestra'!$D$8:$D$42))+1,""),ROW()-740)),"")</f>
        <v>https://www.portcastello.com/</v>
      </c>
      <c r="D754" s="130" t="s">
        <v>37</v>
      </c>
      <c r="E754" s="107" t="str">
        <f t="shared" si="38"/>
        <v/>
      </c>
      <c r="F754" s="19"/>
      <c r="G754" s="19"/>
      <c r="H754" s="19"/>
      <c r="I754" s="19"/>
      <c r="J754" s="19"/>
      <c r="K754" s="233"/>
      <c r="L754" s="19"/>
      <c r="M754" s="19"/>
      <c r="N754" s="19"/>
      <c r="O754" s="19"/>
      <c r="P754" s="19"/>
      <c r="Q754" s="19"/>
      <c r="R754" s="19"/>
      <c r="S754" s="19"/>
      <c r="T754" s="19"/>
      <c r="U754" s="19"/>
      <c r="V754" s="19"/>
      <c r="W754" s="19"/>
      <c r="X754" s="19"/>
      <c r="Y754" s="19"/>
    </row>
    <row r="755" spans="1:25" ht="12" customHeight="1">
      <c r="A755" s="219" t="n" cm="1">
        <f t="array" ref="A755">IFERROR(INDEX('03.Muestra'!$B$8:$B$42,SMALL(IF("Página Web"='03.Muestra'!$D$8:$D$42,ROW('03.Muestra'!$B$8:$B$42)-MIN(ROW('03.Muestra'!$D$8:$D$42))+1,""),ROW()-740)),"")</f>
        <v>1.0</v>
      </c>
      <c r="B755" s="114" t="str" cm="1">
        <f t="array" ref="B755">IFERROR(INDEX('03.Muestra'!$C$8:$C$42,SMALL(IF("Página Web"='03.Muestra'!$D$8:$D$42,ROW('03.Muestra'!$C$8:$C$42)-MIN(ROW('03.Muestra'!$D$8:$D$42))+1,""),ROW()-740)),"")</f>
        <v>Home - PortCastelló</v>
      </c>
      <c r="C755" s="114" t="str" cm="1">
        <f t="array" ref="C755">IFERROR(INDEX('03.Muestra'!$F$8:$F$42,SMALL(IF("Página Web"='03.Muestra'!$D$8:$D$42,ROW('03.Muestra'!$F$8:$F$42)-MIN(ROW('03.Muestra'!$D$8:$D$42))+1,""),ROW()-740)),"")</f>
        <v>https://www.portcastello.com/</v>
      </c>
      <c r="D755" s="130" t="s">
        <v>37</v>
      </c>
      <c r="E755" s="107" t="str">
        <f t="shared" si="38"/>
        <v/>
      </c>
      <c r="F755" s="19"/>
      <c r="G755" s="19"/>
      <c r="H755" s="19"/>
      <c r="I755" s="19"/>
      <c r="J755" s="19"/>
      <c r="K755" s="233"/>
      <c r="L755" s="19"/>
      <c r="M755" s="19"/>
      <c r="N755" s="19"/>
      <c r="O755" s="19"/>
      <c r="P755" s="19"/>
      <c r="Q755" s="19"/>
      <c r="R755" s="19"/>
      <c r="S755" s="19"/>
      <c r="T755" s="19"/>
      <c r="U755" s="19"/>
      <c r="V755" s="19"/>
      <c r="W755" s="19"/>
      <c r="X755" s="19"/>
      <c r="Y755" s="19"/>
    </row>
    <row r="756" spans="1:25" ht="12" customHeight="1">
      <c r="A756" s="219" t="n" cm="1">
        <f t="array" ref="A756">IFERROR(INDEX('03.Muestra'!$B$8:$B$42,SMALL(IF("Página Web"='03.Muestra'!$D$8:$D$42,ROW('03.Muestra'!$B$8:$B$42)-MIN(ROW('03.Muestra'!$D$8:$D$42))+1,""),ROW()-740)),"")</f>
        <v>1.0</v>
      </c>
      <c r="B756" s="114" t="str" cm="1">
        <f t="array" ref="B756">IFERROR(INDEX('03.Muestra'!$C$8:$C$42,SMALL(IF("Página Web"='03.Muestra'!$D$8:$D$42,ROW('03.Muestra'!$C$8:$C$42)-MIN(ROW('03.Muestra'!$D$8:$D$42))+1,""),ROW()-740)),"")</f>
        <v>Home - PortCastelló</v>
      </c>
      <c r="C756" s="114" t="str" cm="1">
        <f t="array" ref="C756">IFERROR(INDEX('03.Muestra'!$F$8:$F$42,SMALL(IF("Página Web"='03.Muestra'!$D$8:$D$42,ROW('03.Muestra'!$F$8:$F$42)-MIN(ROW('03.Muestra'!$D$8:$D$42))+1,""),ROW()-740)),"")</f>
        <v>https://www.portcastello.com/</v>
      </c>
      <c r="D756" s="130" t="s">
        <v>37</v>
      </c>
      <c r="E756" s="107" t="str">
        <f t="shared" si="38"/>
        <v/>
      </c>
      <c r="F756" s="19"/>
      <c r="G756" s="19"/>
      <c r="H756" s="19"/>
      <c r="I756" s="19"/>
      <c r="J756" s="19"/>
      <c r="K756" s="233"/>
      <c r="L756" s="19"/>
      <c r="M756" s="19"/>
      <c r="N756" s="19"/>
      <c r="O756" s="19"/>
      <c r="P756" s="19"/>
      <c r="Q756" s="19"/>
      <c r="R756" s="19"/>
      <c r="S756" s="19"/>
      <c r="T756" s="19"/>
      <c r="U756" s="19"/>
      <c r="V756" s="19"/>
      <c r="W756" s="19"/>
      <c r="X756" s="19"/>
      <c r="Y756" s="19"/>
    </row>
    <row r="757" spans="1:25" ht="12" customHeight="1">
      <c r="A757" s="219" t="n" cm="1">
        <f t="array" ref="A757">IFERROR(INDEX('03.Muestra'!$B$8:$B$42,SMALL(IF("Página Web"='03.Muestra'!$D$8:$D$42,ROW('03.Muestra'!$B$8:$B$42)-MIN(ROW('03.Muestra'!$D$8:$D$42))+1,""),ROW()-740)),"")</f>
        <v>1.0</v>
      </c>
      <c r="B757" s="114" t="str" cm="1">
        <f t="array" ref="B757">IFERROR(INDEX('03.Muestra'!$C$8:$C$42,SMALL(IF("Página Web"='03.Muestra'!$D$8:$D$42,ROW('03.Muestra'!$C$8:$C$42)-MIN(ROW('03.Muestra'!$D$8:$D$42))+1,""),ROW()-740)),"")</f>
        <v>Home - PortCastelló</v>
      </c>
      <c r="C757" s="114" t="str" cm="1">
        <f t="array" ref="C757">IFERROR(INDEX('03.Muestra'!$F$8:$F$42,SMALL(IF("Página Web"='03.Muestra'!$D$8:$D$42,ROW('03.Muestra'!$F$8:$F$42)-MIN(ROW('03.Muestra'!$D$8:$D$42))+1,""),ROW()-740)),"")</f>
        <v>https://www.portcastello.com/</v>
      </c>
      <c r="D757" s="130" t="s">
        <v>37</v>
      </c>
      <c r="E757" s="107" t="str">
        <f t="shared" si="38"/>
        <v/>
      </c>
      <c r="F757" s="19"/>
      <c r="G757" s="19"/>
      <c r="H757" s="19"/>
      <c r="I757" s="19"/>
      <c r="J757" s="19"/>
      <c r="K757" s="233"/>
      <c r="L757" s="19"/>
      <c r="M757" s="19"/>
      <c r="N757" s="19"/>
      <c r="O757" s="19"/>
      <c r="P757" s="19"/>
      <c r="Q757" s="19"/>
      <c r="R757" s="19"/>
      <c r="S757" s="19"/>
      <c r="T757" s="19"/>
      <c r="U757" s="19"/>
      <c r="V757" s="19"/>
      <c r="W757" s="19"/>
      <c r="X757" s="19"/>
      <c r="Y757" s="19"/>
    </row>
    <row r="758" spans="1:25" ht="12" customHeight="1">
      <c r="A758" s="219" t="n" cm="1">
        <f t="array" ref="A758">IFERROR(INDEX('03.Muestra'!$B$8:$B$42,SMALL(IF("Página Web"='03.Muestra'!$D$8:$D$42,ROW('03.Muestra'!$B$8:$B$42)-MIN(ROW('03.Muestra'!$D$8:$D$42))+1,""),ROW()-740)),"")</f>
        <v>1.0</v>
      </c>
      <c r="B758" s="114" t="str" cm="1">
        <f t="array" ref="B758">IFERROR(INDEX('03.Muestra'!$C$8:$C$42,SMALL(IF("Página Web"='03.Muestra'!$D$8:$D$42,ROW('03.Muestra'!$C$8:$C$42)-MIN(ROW('03.Muestra'!$D$8:$D$42))+1,""),ROW()-740)),"")</f>
        <v>Home - PortCastelló</v>
      </c>
      <c r="C758" s="114" t="str" cm="1">
        <f t="array" ref="C758">IFERROR(INDEX('03.Muestra'!$F$8:$F$42,SMALL(IF("Página Web"='03.Muestra'!$D$8:$D$42,ROW('03.Muestra'!$F$8:$F$42)-MIN(ROW('03.Muestra'!$D$8:$D$42))+1,""),ROW()-740)),"")</f>
        <v>https://www.portcastello.com/</v>
      </c>
      <c r="D758" s="130" t="s">
        <v>37</v>
      </c>
      <c r="E758" s="107" t="str">
        <f t="shared" si="38"/>
        <v/>
      </c>
      <c r="F758" s="19"/>
      <c r="G758" s="19"/>
      <c r="H758" s="19"/>
      <c r="I758" s="19"/>
      <c r="J758" s="19"/>
      <c r="K758" s="233"/>
      <c r="L758" s="19"/>
      <c r="M758" s="19"/>
      <c r="N758" s="19"/>
      <c r="O758" s="19"/>
      <c r="P758" s="19"/>
      <c r="Q758" s="19"/>
      <c r="R758" s="19"/>
      <c r="S758" s="19"/>
      <c r="T758" s="19"/>
      <c r="U758" s="19"/>
      <c r="V758" s="19"/>
      <c r="W758" s="19"/>
      <c r="X758" s="19"/>
      <c r="Y758" s="19"/>
    </row>
    <row r="759" spans="1:25" ht="12" customHeight="1">
      <c r="A759" s="219" t="n" cm="1">
        <f t="array" ref="A759">IFERROR(INDEX('03.Muestra'!$B$8:$B$42,SMALL(IF("Página Web"='03.Muestra'!$D$8:$D$42,ROW('03.Muestra'!$B$8:$B$42)-MIN(ROW('03.Muestra'!$D$8:$D$42))+1,""),ROW()-740)),"")</f>
        <v>1.0</v>
      </c>
      <c r="B759" s="114" t="str" cm="1">
        <f t="array" ref="B759">IFERROR(INDEX('03.Muestra'!$C$8:$C$42,SMALL(IF("Página Web"='03.Muestra'!$D$8:$D$42,ROW('03.Muestra'!$C$8:$C$42)-MIN(ROW('03.Muestra'!$D$8:$D$42))+1,""),ROW()-740)),"")</f>
        <v>Home - PortCastelló</v>
      </c>
      <c r="C759" s="114" t="str" cm="1">
        <f t="array" ref="C759">IFERROR(INDEX('03.Muestra'!$F$8:$F$42,SMALL(IF("Página Web"='03.Muestra'!$D$8:$D$42,ROW('03.Muestra'!$F$8:$F$42)-MIN(ROW('03.Muestra'!$D$8:$D$42))+1,""),ROW()-740)),"")</f>
        <v>https://www.portcastello.com/</v>
      </c>
      <c r="D759" s="130" t="s">
        <v>37</v>
      </c>
      <c r="E759" s="107" t="str">
        <f t="shared" si="38"/>
        <v/>
      </c>
      <c r="F759" s="19"/>
      <c r="G759" s="19"/>
      <c r="H759" s="19"/>
      <c r="I759" s="19"/>
      <c r="J759" s="19"/>
      <c r="K759" s="233"/>
      <c r="L759" s="19"/>
      <c r="M759" s="19"/>
      <c r="N759" s="19"/>
      <c r="O759" s="19"/>
      <c r="P759" s="19"/>
      <c r="Q759" s="19"/>
      <c r="R759" s="19"/>
      <c r="S759" s="19"/>
      <c r="T759" s="19"/>
      <c r="U759" s="19"/>
      <c r="V759" s="19"/>
      <c r="W759" s="19"/>
      <c r="X759" s="19"/>
      <c r="Y759" s="19"/>
    </row>
    <row r="760" spans="1:25" ht="12" customHeight="1">
      <c r="A760" s="219" t="n" cm="1">
        <f t="array" ref="A760">IFERROR(INDEX('03.Muestra'!$B$8:$B$42,SMALL(IF("Página Web"='03.Muestra'!$D$8:$D$42,ROW('03.Muestra'!$B$8:$B$42)-MIN(ROW('03.Muestra'!$D$8:$D$42))+1,""),ROW()-740)),"")</f>
        <v>1.0</v>
      </c>
      <c r="B760" s="114" t="str" cm="1">
        <f t="array" ref="B760">IFERROR(INDEX('03.Muestra'!$C$8:$C$42,SMALL(IF("Página Web"='03.Muestra'!$D$8:$D$42,ROW('03.Muestra'!$C$8:$C$42)-MIN(ROW('03.Muestra'!$D$8:$D$42))+1,""),ROW()-740)),"")</f>
        <v>Home - PortCastelló</v>
      </c>
      <c r="C760" s="114" t="str" cm="1">
        <f t="array" ref="C760">IFERROR(INDEX('03.Muestra'!$F$8:$F$42,SMALL(IF("Página Web"='03.Muestra'!$D$8:$D$42,ROW('03.Muestra'!$F$8:$F$42)-MIN(ROW('03.Muestra'!$D$8:$D$42))+1,""),ROW()-740)),"")</f>
        <v>https://www.portcastello.com/</v>
      </c>
      <c r="D760" s="130" t="s">
        <v>37</v>
      </c>
      <c r="E760" s="107" t="str">
        <f t="shared" si="38"/>
        <v/>
      </c>
      <c r="F760" s="19"/>
      <c r="G760" s="19"/>
      <c r="H760" s="19"/>
      <c r="I760" s="19"/>
      <c r="J760" s="19"/>
      <c r="K760" s="233"/>
      <c r="L760" s="19"/>
      <c r="M760" s="19"/>
      <c r="N760" s="19"/>
      <c r="O760" s="19"/>
      <c r="P760" s="19"/>
      <c r="Q760" s="19"/>
      <c r="R760" s="19"/>
      <c r="S760" s="19"/>
      <c r="T760" s="19"/>
      <c r="U760" s="19"/>
      <c r="V760" s="19"/>
      <c r="W760" s="19"/>
      <c r="X760" s="19"/>
      <c r="Y760" s="19"/>
    </row>
    <row r="761" spans="1:25" ht="12" customHeight="1">
      <c r="A761" s="219" t="n" cm="1">
        <f t="array" ref="A761">IFERROR(INDEX('03.Muestra'!$B$8:$B$42,SMALL(IF("Página Web"='03.Muestra'!$D$8:$D$42,ROW('03.Muestra'!$B$8:$B$42)-MIN(ROW('03.Muestra'!$D$8:$D$42))+1,""),ROW()-740)),"")</f>
        <v>1.0</v>
      </c>
      <c r="B761" s="114" t="str" cm="1">
        <f t="array" ref="B761">IFERROR(INDEX('03.Muestra'!$C$8:$C$42,SMALL(IF("Página Web"='03.Muestra'!$D$8:$D$42,ROW('03.Muestra'!$C$8:$C$42)-MIN(ROW('03.Muestra'!$D$8:$D$42))+1,""),ROW()-740)),"")</f>
        <v>Home - PortCastelló</v>
      </c>
      <c r="C761" s="114" t="str" cm="1">
        <f t="array" ref="C761">IFERROR(INDEX('03.Muestra'!$F$8:$F$42,SMALL(IF("Página Web"='03.Muestra'!$D$8:$D$42,ROW('03.Muestra'!$F$8:$F$42)-MIN(ROW('03.Muestra'!$D$8:$D$42))+1,""),ROW()-740)),"")</f>
        <v>https://www.portcastello.com/</v>
      </c>
      <c r="D761" s="130" t="s">
        <v>37</v>
      </c>
      <c r="E761" s="107" t="str">
        <f t="shared" si="38"/>
        <v/>
      </c>
      <c r="F761" s="19"/>
      <c r="G761" s="19"/>
      <c r="H761" s="19"/>
      <c r="I761" s="19"/>
      <c r="J761" s="19"/>
      <c r="K761" s="233"/>
      <c r="L761" s="19"/>
      <c r="M761" s="19"/>
      <c r="N761" s="19"/>
      <c r="O761" s="19"/>
      <c r="P761" s="19"/>
      <c r="Q761" s="19"/>
      <c r="R761" s="19"/>
      <c r="S761" s="19"/>
      <c r="T761" s="19"/>
      <c r="U761" s="19"/>
      <c r="V761" s="19"/>
      <c r="W761" s="19"/>
      <c r="X761" s="19"/>
      <c r="Y761" s="19"/>
    </row>
    <row r="762" spans="1:25" ht="12" customHeight="1">
      <c r="A762" s="219" t="n" cm="1">
        <f t="array" ref="A762">IFERROR(INDEX('03.Muestra'!$B$8:$B$42,SMALL(IF("Página Web"='03.Muestra'!$D$8:$D$42,ROW('03.Muestra'!$B$8:$B$42)-MIN(ROW('03.Muestra'!$D$8:$D$42))+1,""),ROW()-740)),"")</f>
        <v>1.0</v>
      </c>
      <c r="B762" s="114" t="str" cm="1">
        <f t="array" ref="B762">IFERROR(INDEX('03.Muestra'!$C$8:$C$42,SMALL(IF("Página Web"='03.Muestra'!$D$8:$D$42,ROW('03.Muestra'!$C$8:$C$42)-MIN(ROW('03.Muestra'!$D$8:$D$42))+1,""),ROW()-740)),"")</f>
        <v>Home - PortCastelló</v>
      </c>
      <c r="C762" s="114" t="str" cm="1">
        <f t="array" ref="C762">IFERROR(INDEX('03.Muestra'!$F$8:$F$42,SMALL(IF("Página Web"='03.Muestra'!$D$8:$D$42,ROW('03.Muestra'!$F$8:$F$42)-MIN(ROW('03.Muestra'!$D$8:$D$42))+1,""),ROW()-740)),"")</f>
        <v>https://www.portcastello.com/</v>
      </c>
      <c r="D762" s="130" t="s">
        <v>37</v>
      </c>
      <c r="E762" s="107" t="str">
        <f t="shared" si="38"/>
        <v/>
      </c>
      <c r="F762" s="19"/>
      <c r="G762" s="19"/>
      <c r="H762" s="19"/>
      <c r="I762" s="19"/>
      <c r="J762" s="19"/>
      <c r="K762" s="233"/>
      <c r="L762" s="19"/>
      <c r="M762" s="19"/>
      <c r="N762" s="19"/>
      <c r="O762" s="19"/>
      <c r="P762" s="19"/>
      <c r="Q762" s="19"/>
      <c r="R762" s="19"/>
      <c r="S762" s="19"/>
      <c r="T762" s="19"/>
      <c r="U762" s="19"/>
      <c r="V762" s="19"/>
      <c r="W762" s="19"/>
      <c r="X762" s="19"/>
      <c r="Y762" s="19"/>
    </row>
    <row r="763" spans="1:25" ht="12" customHeight="1">
      <c r="A763" s="219" t="n" cm="1">
        <f t="array" ref="A763">IFERROR(INDEX('03.Muestra'!$B$8:$B$42,SMALL(IF("Página Web"='03.Muestra'!$D$8:$D$42,ROW('03.Muestra'!$B$8:$B$42)-MIN(ROW('03.Muestra'!$D$8:$D$42))+1,""),ROW()-740)),"")</f>
        <v>1.0</v>
      </c>
      <c r="B763" s="114" t="str" cm="1">
        <f t="array" ref="B763">IFERROR(INDEX('03.Muestra'!$C$8:$C$42,SMALL(IF("Página Web"='03.Muestra'!$D$8:$D$42,ROW('03.Muestra'!$C$8:$C$42)-MIN(ROW('03.Muestra'!$D$8:$D$42))+1,""),ROW()-740)),"")</f>
        <v>Home - PortCastelló</v>
      </c>
      <c r="C763" s="114" t="str" cm="1">
        <f t="array" ref="C763">IFERROR(INDEX('03.Muestra'!$F$8:$F$42,SMALL(IF("Página Web"='03.Muestra'!$D$8:$D$42,ROW('03.Muestra'!$F$8:$F$42)-MIN(ROW('03.Muestra'!$D$8:$D$42))+1,""),ROW()-740)),"")</f>
        <v>https://www.portcastello.com/</v>
      </c>
      <c r="D763" s="130" t="s">
        <v>37</v>
      </c>
      <c r="E763" s="107" t="str">
        <f t="shared" si="38"/>
        <v/>
      </c>
      <c r="F763" s="19"/>
      <c r="G763" s="19"/>
      <c r="H763" s="19"/>
      <c r="I763" s="19"/>
      <c r="J763" s="19"/>
      <c r="K763" s="233"/>
      <c r="L763" s="19"/>
      <c r="M763" s="19"/>
      <c r="N763" s="19"/>
      <c r="O763" s="19"/>
      <c r="P763" s="19"/>
      <c r="Q763" s="19"/>
      <c r="R763" s="19"/>
      <c r="S763" s="19"/>
      <c r="T763" s="19"/>
      <c r="U763" s="19"/>
      <c r="V763" s="19"/>
      <c r="W763" s="19"/>
      <c r="X763" s="19"/>
      <c r="Y763" s="19"/>
    </row>
    <row r="764" spans="1:25" ht="12" customHeight="1">
      <c r="A764" s="219" t="n" cm="1">
        <f t="array" ref="A764">IFERROR(INDEX('03.Muestra'!$B$8:$B$42,SMALL(IF("Página Web"='03.Muestra'!$D$8:$D$42,ROW('03.Muestra'!$B$8:$B$42)-MIN(ROW('03.Muestra'!$D$8:$D$42))+1,""),ROW()-740)),"")</f>
        <v>1.0</v>
      </c>
      <c r="B764" s="114" t="str" cm="1">
        <f t="array" ref="B764">IFERROR(INDEX('03.Muestra'!$C$8:$C$42,SMALL(IF("Página Web"='03.Muestra'!$D$8:$D$42,ROW('03.Muestra'!$C$8:$C$42)-MIN(ROW('03.Muestra'!$D$8:$D$42))+1,""),ROW()-740)),"")</f>
        <v>Home - PortCastelló</v>
      </c>
      <c r="C764" s="114" t="str" cm="1">
        <f t="array" ref="C764">IFERROR(INDEX('03.Muestra'!$F$8:$F$42,SMALL(IF("Página Web"='03.Muestra'!$D$8:$D$42,ROW('03.Muestra'!$F$8:$F$42)-MIN(ROW('03.Muestra'!$D$8:$D$42))+1,""),ROW()-740)),"")</f>
        <v>https://www.portcastello.com/</v>
      </c>
      <c r="D764" s="130" t="s">
        <v>37</v>
      </c>
      <c r="E764" s="107" t="str">
        <f t="shared" si="38"/>
        <v/>
      </c>
      <c r="F764" s="19"/>
      <c r="G764" s="19"/>
      <c r="H764" s="19"/>
      <c r="I764" s="19"/>
      <c r="J764" s="19"/>
      <c r="K764" s="233"/>
      <c r="L764" s="19"/>
      <c r="M764" s="19"/>
      <c r="N764" s="19"/>
      <c r="O764" s="19"/>
      <c r="P764" s="19"/>
      <c r="Q764" s="19"/>
      <c r="R764" s="19"/>
      <c r="S764" s="19"/>
      <c r="T764" s="19"/>
      <c r="U764" s="19"/>
      <c r="V764" s="19"/>
      <c r="W764" s="19"/>
      <c r="X764" s="19"/>
      <c r="Y764" s="19"/>
    </row>
    <row r="765" spans="1:25" ht="12" customHeight="1">
      <c r="A765" s="219" t="n" cm="1">
        <f t="array" ref="A765">IFERROR(INDEX('03.Muestra'!$B$8:$B$42,SMALL(IF("Página Web"='03.Muestra'!$D$8:$D$42,ROW('03.Muestra'!$B$8:$B$42)-MIN(ROW('03.Muestra'!$D$8:$D$42))+1,""),ROW()-740)),"")</f>
        <v>1.0</v>
      </c>
      <c r="B765" s="114" t="str" cm="1">
        <f t="array" ref="B765">IFERROR(INDEX('03.Muestra'!$C$8:$C$42,SMALL(IF("Página Web"='03.Muestra'!$D$8:$D$42,ROW('03.Muestra'!$C$8:$C$42)-MIN(ROW('03.Muestra'!$D$8:$D$42))+1,""),ROW()-740)),"")</f>
        <v>Home - PortCastelló</v>
      </c>
      <c r="C765" s="114" t="str" cm="1">
        <f t="array" ref="C765">IFERROR(INDEX('03.Muestra'!$F$8:$F$42,SMALL(IF("Página Web"='03.Muestra'!$D$8:$D$42,ROW('03.Muestra'!$F$8:$F$42)-MIN(ROW('03.Muestra'!$D$8:$D$42))+1,""),ROW()-740)),"")</f>
        <v>https://www.portcastello.com/</v>
      </c>
      <c r="D765" s="130" t="s">
        <v>37</v>
      </c>
      <c r="E765" s="107" t="str">
        <f t="shared" si="38"/>
        <v/>
      </c>
      <c r="F765" s="19"/>
      <c r="G765" s="19"/>
      <c r="H765" s="19"/>
      <c r="I765" s="19"/>
      <c r="J765" s="19"/>
      <c r="K765" s="233"/>
      <c r="L765" s="19"/>
      <c r="M765" s="19"/>
      <c r="N765" s="19"/>
      <c r="O765" s="19"/>
      <c r="P765" s="19"/>
      <c r="Q765" s="19"/>
      <c r="R765" s="19"/>
      <c r="S765" s="19"/>
      <c r="T765" s="19"/>
      <c r="U765" s="19"/>
      <c r="V765" s="19"/>
      <c r="W765" s="19"/>
      <c r="X765" s="19"/>
      <c r="Y765" s="19"/>
    </row>
    <row r="766" spans="1:25" ht="12" customHeight="1">
      <c r="A766" s="219" t="n" cm="1">
        <f t="array" ref="A766">IFERROR(INDEX('03.Muestra'!$B$8:$B$42,SMALL(IF("Página Web"='03.Muestra'!$D$8:$D$42,ROW('03.Muestra'!$B$8:$B$42)-MIN(ROW('03.Muestra'!$D$8:$D$42))+1,""),ROW()-740)),"")</f>
        <v>1.0</v>
      </c>
      <c r="B766" s="114" t="str" cm="1">
        <f t="array" ref="B766">IFERROR(INDEX('03.Muestra'!$C$8:$C$42,SMALL(IF("Página Web"='03.Muestra'!$D$8:$D$42,ROW('03.Muestra'!$C$8:$C$42)-MIN(ROW('03.Muestra'!$D$8:$D$42))+1,""),ROW()-740)),"")</f>
        <v>Home - PortCastelló</v>
      </c>
      <c r="C766" s="114" t="str" cm="1">
        <f t="array" ref="C766">IFERROR(INDEX('03.Muestra'!$F$8:$F$42,SMALL(IF("Página Web"='03.Muestra'!$D$8:$D$42,ROW('03.Muestra'!$F$8:$F$42)-MIN(ROW('03.Muestra'!$D$8:$D$42))+1,""),ROW()-740)),"")</f>
        <v>https://www.portcastello.com/</v>
      </c>
      <c r="D766" s="130" t="s">
        <v>37</v>
      </c>
      <c r="E766" s="107" t="str">
        <f t="shared" si="38"/>
        <v/>
      </c>
      <c r="F766" s="19"/>
      <c r="G766" s="19"/>
      <c r="H766" s="19"/>
      <c r="I766" s="19"/>
      <c r="J766" s="19"/>
      <c r="K766" s="233"/>
      <c r="L766" s="19"/>
      <c r="M766" s="19"/>
      <c r="N766" s="19"/>
      <c r="O766" s="19"/>
      <c r="P766" s="19"/>
      <c r="Q766" s="19"/>
      <c r="R766" s="19"/>
      <c r="S766" s="19"/>
      <c r="T766" s="19"/>
      <c r="U766" s="19"/>
      <c r="V766" s="19"/>
      <c r="W766" s="19"/>
      <c r="X766" s="19"/>
      <c r="Y766" s="19"/>
    </row>
    <row r="767" spans="1:25" ht="12" customHeight="1">
      <c r="A767" s="219" t="n" cm="1">
        <f t="array" ref="A767">IFERROR(INDEX('03.Muestra'!$B$8:$B$42,SMALL(IF("Página Web"='03.Muestra'!$D$8:$D$42,ROW('03.Muestra'!$B$8:$B$42)-MIN(ROW('03.Muestra'!$D$8:$D$42))+1,""),ROW()-740)),"")</f>
        <v>1.0</v>
      </c>
      <c r="B767" s="114" t="str" cm="1">
        <f t="array" ref="B767">IFERROR(INDEX('03.Muestra'!$C$8:$C$42,SMALL(IF("Página Web"='03.Muestra'!$D$8:$D$42,ROW('03.Muestra'!$C$8:$C$42)-MIN(ROW('03.Muestra'!$D$8:$D$42))+1,""),ROW()-740)),"")</f>
        <v>Home - PortCastelló</v>
      </c>
      <c r="C767" s="114" t="str" cm="1">
        <f t="array" ref="C767">IFERROR(INDEX('03.Muestra'!$F$8:$F$42,SMALL(IF("Página Web"='03.Muestra'!$D$8:$D$42,ROW('03.Muestra'!$F$8:$F$42)-MIN(ROW('03.Muestra'!$D$8:$D$42))+1,""),ROW()-740)),"")</f>
        <v>https://www.portcastello.com/</v>
      </c>
      <c r="D767" s="130" t="s">
        <v>37</v>
      </c>
      <c r="E767" s="107" t="str">
        <f t="shared" si="38"/>
        <v/>
      </c>
      <c r="F767" s="19"/>
      <c r="G767" s="19"/>
      <c r="H767" s="19"/>
      <c r="I767" s="19"/>
      <c r="J767" s="19"/>
      <c r="K767" s="233"/>
      <c r="L767" s="19"/>
      <c r="M767" s="19"/>
      <c r="N767" s="19"/>
      <c r="O767" s="19"/>
      <c r="P767" s="19"/>
      <c r="Q767" s="19"/>
      <c r="R767" s="19"/>
      <c r="S767" s="19"/>
      <c r="T767" s="19"/>
      <c r="U767" s="19"/>
      <c r="V767" s="19"/>
      <c r="W767" s="19"/>
      <c r="X767" s="19"/>
      <c r="Y767" s="19"/>
    </row>
    <row r="768" spans="1:25" ht="12" customHeight="1">
      <c r="A768" s="219" t="n" cm="1">
        <f t="array" ref="A768">IFERROR(INDEX('03.Muestra'!$B$8:$B$42,SMALL(IF("Página Web"='03.Muestra'!$D$8:$D$42,ROW('03.Muestra'!$B$8:$B$42)-MIN(ROW('03.Muestra'!$D$8:$D$42))+1,""),ROW()-740)),"")</f>
        <v>1.0</v>
      </c>
      <c r="B768" s="114" t="str" cm="1">
        <f t="array" ref="B768">IFERROR(INDEX('03.Muestra'!$C$8:$C$42,SMALL(IF("Página Web"='03.Muestra'!$D$8:$D$42,ROW('03.Muestra'!$C$8:$C$42)-MIN(ROW('03.Muestra'!$D$8:$D$42))+1,""),ROW()-740)),"")</f>
        <v>Home - PortCastelló</v>
      </c>
      <c r="C768" s="114" t="str" cm="1">
        <f t="array" ref="C768">IFERROR(INDEX('03.Muestra'!$F$8:$F$42,SMALL(IF("Página Web"='03.Muestra'!$D$8:$D$42,ROW('03.Muestra'!$F$8:$F$42)-MIN(ROW('03.Muestra'!$D$8:$D$42))+1,""),ROW()-740)),"")</f>
        <v>https://www.portcastello.com/</v>
      </c>
      <c r="D768" s="130" t="s">
        <v>37</v>
      </c>
      <c r="E768" s="107" t="str">
        <f t="shared" si="38"/>
        <v/>
      </c>
      <c r="F768" s="19"/>
      <c r="G768" s="19"/>
      <c r="H768" s="19"/>
      <c r="I768" s="19"/>
      <c r="J768" s="19"/>
      <c r="K768" s="233"/>
      <c r="L768" s="19"/>
      <c r="M768" s="19"/>
      <c r="N768" s="19"/>
      <c r="O768" s="19"/>
      <c r="P768" s="19"/>
      <c r="Q768" s="19"/>
      <c r="R768" s="19"/>
      <c r="S768" s="19"/>
      <c r="T768" s="19"/>
      <c r="U768" s="19"/>
      <c r="V768" s="19"/>
      <c r="W768" s="19"/>
      <c r="X768" s="19"/>
      <c r="Y768" s="19"/>
    </row>
    <row r="769" spans="1:25" ht="12" customHeight="1">
      <c r="A769" s="219" t="n" cm="1">
        <f t="array" ref="A769">IFERROR(INDEX('03.Muestra'!$B$8:$B$42,SMALL(IF("Página Web"='03.Muestra'!$D$8:$D$42,ROW('03.Muestra'!$B$8:$B$42)-MIN(ROW('03.Muestra'!$D$8:$D$42))+1,""),ROW()-740)),"")</f>
        <v>1.0</v>
      </c>
      <c r="B769" s="114" t="str" cm="1">
        <f t="array" ref="B769">IFERROR(INDEX('03.Muestra'!$C$8:$C$42,SMALL(IF("Página Web"='03.Muestra'!$D$8:$D$42,ROW('03.Muestra'!$C$8:$C$42)-MIN(ROW('03.Muestra'!$D$8:$D$42))+1,""),ROW()-740)),"")</f>
        <v>Home - PortCastelló</v>
      </c>
      <c r="C769" s="114" t="str" cm="1">
        <f t="array" ref="C769">IFERROR(INDEX('03.Muestra'!$F$8:$F$42,SMALL(IF("Página Web"='03.Muestra'!$D$8:$D$42,ROW('03.Muestra'!$F$8:$F$42)-MIN(ROW('03.Muestra'!$D$8:$D$42))+1,""),ROW()-740)),"")</f>
        <v>https://www.portcastello.com/</v>
      </c>
      <c r="D769" s="130" t="s">
        <v>37</v>
      </c>
      <c r="E769" s="107" t="str">
        <f t="shared" si="38"/>
        <v/>
      </c>
      <c r="F769" s="19"/>
      <c r="G769" s="19"/>
      <c r="H769" s="19"/>
      <c r="I769" s="19"/>
      <c r="J769" s="19"/>
      <c r="K769" s="233"/>
      <c r="L769" s="19"/>
      <c r="M769" s="19"/>
      <c r="N769" s="19"/>
      <c r="O769" s="19"/>
      <c r="P769" s="19"/>
      <c r="Q769" s="19"/>
      <c r="R769" s="19"/>
      <c r="S769" s="19"/>
      <c r="T769" s="19"/>
      <c r="U769" s="19"/>
      <c r="V769" s="19"/>
      <c r="W769" s="19"/>
      <c r="X769" s="19"/>
      <c r="Y769" s="19"/>
    </row>
    <row r="770" spans="1:25" ht="12" customHeight="1">
      <c r="A770" s="219" t="n" cm="1">
        <f t="array" ref="A770">IFERROR(INDEX('03.Muestra'!$B$8:$B$42,SMALL(IF("Página Web"='03.Muestra'!$D$8:$D$42,ROW('03.Muestra'!$B$8:$B$42)-MIN(ROW('03.Muestra'!$D$8:$D$42))+1,""),ROW()-740)),"")</f>
        <v>1.0</v>
      </c>
      <c r="B770" s="114" t="str" cm="1">
        <f t="array" ref="B770">IFERROR(INDEX('03.Muestra'!$C$8:$C$42,SMALL(IF("Página Web"='03.Muestra'!$D$8:$D$42,ROW('03.Muestra'!$C$8:$C$42)-MIN(ROW('03.Muestra'!$D$8:$D$42))+1,""),ROW()-740)),"")</f>
        <v>Home - PortCastelló</v>
      </c>
      <c r="C770" s="114" t="str" cm="1">
        <f t="array" ref="C770">IFERROR(INDEX('03.Muestra'!$F$8:$F$42,SMALL(IF("Página Web"='03.Muestra'!$D$8:$D$42,ROW('03.Muestra'!$F$8:$F$42)-MIN(ROW('03.Muestra'!$D$8:$D$42))+1,""),ROW()-740)),"")</f>
        <v>https://www.portcastello.com/</v>
      </c>
      <c r="D770" s="130" t="s">
        <v>37</v>
      </c>
      <c r="E770" s="107" t="str">
        <f t="shared" si="38"/>
        <v/>
      </c>
      <c r="F770" s="19"/>
      <c r="G770" s="19"/>
      <c r="H770" s="19"/>
      <c r="I770" s="19"/>
      <c r="J770" s="19"/>
      <c r="K770" s="233"/>
      <c r="L770" s="19"/>
      <c r="M770" s="19"/>
      <c r="N770" s="19"/>
      <c r="O770" s="19"/>
      <c r="P770" s="19"/>
      <c r="Q770" s="19"/>
      <c r="R770" s="19"/>
      <c r="S770" s="19"/>
      <c r="T770" s="19"/>
      <c r="U770" s="19"/>
      <c r="V770" s="19"/>
      <c r="W770" s="19"/>
      <c r="X770" s="19"/>
      <c r="Y770" s="19"/>
    </row>
    <row r="771" spans="1:25" ht="12" customHeight="1">
      <c r="A771" s="219" t="n" cm="1">
        <f t="array" ref="A771">IFERROR(INDEX('03.Muestra'!$B$8:$B$42,SMALL(IF("Página Web"='03.Muestra'!$D$8:$D$42,ROW('03.Muestra'!$B$8:$B$42)-MIN(ROW('03.Muestra'!$D$8:$D$42))+1,""),ROW()-740)),"")</f>
        <v>1.0</v>
      </c>
      <c r="B771" s="114" t="str" cm="1">
        <f t="array" ref="B771">IFERROR(INDEX('03.Muestra'!$C$8:$C$42,SMALL(IF("Página Web"='03.Muestra'!$D$8:$D$42,ROW('03.Muestra'!$C$8:$C$42)-MIN(ROW('03.Muestra'!$D$8:$D$42))+1,""),ROW()-740)),"")</f>
        <v>Home - PortCastelló</v>
      </c>
      <c r="C771" s="114" t="str" cm="1">
        <f t="array" ref="C771">IFERROR(INDEX('03.Muestra'!$F$8:$F$42,SMALL(IF("Página Web"='03.Muestra'!$D$8:$D$42,ROW('03.Muestra'!$F$8:$F$42)-MIN(ROW('03.Muestra'!$D$8:$D$42))+1,""),ROW()-740)),"")</f>
        <v>https://www.portcastello.com/</v>
      </c>
      <c r="D771" s="130" t="s">
        <v>37</v>
      </c>
      <c r="E771" s="107" t="str">
        <f t="shared" si="38"/>
        <v/>
      </c>
      <c r="F771" s="19"/>
      <c r="G771" s="19"/>
      <c r="H771" s="19"/>
      <c r="I771" s="19"/>
      <c r="J771" s="19"/>
      <c r="K771" s="233"/>
      <c r="L771" s="19"/>
      <c r="M771" s="19"/>
      <c r="N771" s="19"/>
      <c r="O771" s="19"/>
      <c r="P771" s="19"/>
      <c r="Q771" s="19"/>
      <c r="R771" s="19"/>
      <c r="S771" s="19"/>
      <c r="T771" s="19"/>
      <c r="U771" s="19"/>
      <c r="V771" s="19"/>
      <c r="W771" s="19"/>
      <c r="X771" s="19"/>
      <c r="Y771" s="19"/>
    </row>
    <row r="772" spans="1:25" ht="12" customHeight="1">
      <c r="A772" s="219" t="n" cm="1">
        <f t="array" ref="A772">IFERROR(INDEX('03.Muestra'!$B$8:$B$42,SMALL(IF("Página Web"='03.Muestra'!$D$8:$D$42,ROW('03.Muestra'!$B$8:$B$42)-MIN(ROW('03.Muestra'!$D$8:$D$42))+1,""),ROW()-740)),"")</f>
        <v>1.0</v>
      </c>
      <c r="B772" s="114" t="str" cm="1">
        <f t="array" ref="B772">IFERROR(INDEX('03.Muestra'!$C$8:$C$42,SMALL(IF("Página Web"='03.Muestra'!$D$8:$D$42,ROW('03.Muestra'!$C$8:$C$42)-MIN(ROW('03.Muestra'!$D$8:$D$42))+1,""),ROW()-740)),"")</f>
        <v>Home - PortCastelló</v>
      </c>
      <c r="C772" s="114" t="str" cm="1">
        <f t="array" ref="C772">IFERROR(INDEX('03.Muestra'!$F$8:$F$42,SMALL(IF("Página Web"='03.Muestra'!$D$8:$D$42,ROW('03.Muestra'!$F$8:$F$42)-MIN(ROW('03.Muestra'!$D$8:$D$42))+1,""),ROW()-740)),"")</f>
        <v>https://www.portcastello.com/</v>
      </c>
      <c r="D772" s="130" t="s">
        <v>37</v>
      </c>
      <c r="E772" s="107" t="str">
        <f t="shared" si="38"/>
        <v/>
      </c>
      <c r="F772" s="19"/>
      <c r="G772" s="19"/>
      <c r="H772" s="19"/>
      <c r="I772" s="19"/>
      <c r="J772" s="19"/>
      <c r="K772" s="233"/>
      <c r="L772" s="19"/>
      <c r="M772" s="19"/>
      <c r="N772" s="19"/>
      <c r="O772" s="19"/>
      <c r="P772" s="19"/>
      <c r="Q772" s="19"/>
      <c r="R772" s="19"/>
      <c r="S772" s="19"/>
      <c r="T772" s="19"/>
      <c r="U772" s="19"/>
      <c r="V772" s="19"/>
      <c r="W772" s="19"/>
      <c r="X772" s="19"/>
      <c r="Y772" s="19"/>
    </row>
    <row r="773" spans="1:25" ht="12" customHeight="1">
      <c r="A773" s="219" t="n" cm="1">
        <f t="array" ref="A773">IFERROR(INDEX('03.Muestra'!$B$8:$B$42,SMALL(IF("Página Web"='03.Muestra'!$D$8:$D$42,ROW('03.Muestra'!$B$8:$B$42)-MIN(ROW('03.Muestra'!$D$8:$D$42))+1,""),ROW()-740)),"")</f>
        <v>1.0</v>
      </c>
      <c r="B773" s="114" t="str" cm="1">
        <f t="array" ref="B773">IFERROR(INDEX('03.Muestra'!$C$8:$C$42,SMALL(IF("Página Web"='03.Muestra'!$D$8:$D$42,ROW('03.Muestra'!$C$8:$C$42)-MIN(ROW('03.Muestra'!$D$8:$D$42))+1,""),ROW()-740)),"")</f>
        <v>Home - PortCastelló</v>
      </c>
      <c r="C773" s="114" t="str" cm="1">
        <f t="array" ref="C773">IFERROR(INDEX('03.Muestra'!$F$8:$F$42,SMALL(IF("Página Web"='03.Muestra'!$D$8:$D$42,ROW('03.Muestra'!$F$8:$F$42)-MIN(ROW('03.Muestra'!$D$8:$D$42))+1,""),ROW()-740)),"")</f>
        <v>https://www.portcastello.com/</v>
      </c>
      <c r="D773" s="130" t="s">
        <v>37</v>
      </c>
      <c r="E773" s="107" t="str">
        <f t="shared" si="38"/>
        <v/>
      </c>
      <c r="F773" s="19"/>
      <c r="G773" s="19"/>
      <c r="H773" s="19"/>
      <c r="I773" s="19"/>
      <c r="J773" s="19"/>
      <c r="K773" s="233"/>
      <c r="L773" s="19"/>
      <c r="M773" s="19"/>
      <c r="N773" s="19"/>
      <c r="O773" s="19"/>
      <c r="P773" s="19"/>
      <c r="Q773" s="19"/>
      <c r="R773" s="19"/>
      <c r="S773" s="19"/>
      <c r="T773" s="19"/>
      <c r="U773" s="19"/>
      <c r="V773" s="19"/>
      <c r="W773" s="19"/>
      <c r="X773" s="19"/>
      <c r="Y773" s="19"/>
    </row>
    <row r="774" spans="1:25" ht="12" customHeight="1">
      <c r="A774" s="219" t="str" cm="1">
        <f t="array" ref="A774">IFERROR(INDEX('03.Muestra'!$B$8:$B$42,SMALL(IF("Página Web"='03.Muestra'!$D$8:$D$42,ROW('03.Muestra'!$B$8:$B$42)-MIN(ROW('03.Muestra'!$D$8:$D$42))+1,""),ROW()-740)),"")</f>
        <v/>
      </c>
      <c r="B774" s="114" t="str" cm="1">
        <f t="array" ref="B774">IFERROR(INDEX('03.Muestra'!$C$8:$C$42,SMALL(IF("Página Web"='03.Muestra'!$D$8:$D$42,ROW('03.Muestra'!$C$8:$C$42)-MIN(ROW('03.Muestra'!$D$8:$D$42))+1,""),ROW()-740)),"")</f>
        <v/>
      </c>
      <c r="C774" s="114" t="str" cm="1">
        <f t="array" ref="C774">IFERROR(INDEX('03.Muestra'!$F$8:$F$42,SMALL(IF("Página Web"='03.Muestra'!$D$8:$D$42,ROW('03.Muestra'!$F$8:$F$42)-MIN(ROW('03.Muestra'!$D$8:$D$42))+1,""),ROW()-740)),"")</f>
        <v/>
      </c>
      <c r="D774" s="130" t="str">
        <f t="shared" si="39" ref="D774:D775">IF(AND(B774&lt;&gt;"",C774&lt;&gt;""),"N/T","")</f>
        <v/>
      </c>
      <c r="E774" s="107" t="str">
        <f t="shared" si="38"/>
        <v/>
      </c>
      <c r="F774" s="19"/>
      <c r="G774" s="19"/>
      <c r="H774" s="19"/>
      <c r="I774" s="19"/>
      <c r="J774" s="19"/>
      <c r="K774" s="233"/>
      <c r="L774" s="19"/>
      <c r="M774" s="19"/>
      <c r="N774" s="19"/>
      <c r="O774" s="19"/>
      <c r="P774" s="19"/>
      <c r="Q774" s="19"/>
      <c r="R774" s="19"/>
      <c r="S774" s="19"/>
      <c r="T774" s="19"/>
      <c r="U774" s="19"/>
      <c r="V774" s="19"/>
      <c r="W774" s="19"/>
      <c r="X774" s="19"/>
      <c r="Y774" s="19"/>
    </row>
    <row r="775" spans="1:25" ht="12" customHeight="1">
      <c r="A775" s="219" t="str" cm="1">
        <f t="array" ref="A775">IFERROR(INDEX('03.Muestra'!$B$8:$B$42,SMALL(IF("Página Web"='03.Muestra'!$D$8:$D$42,ROW('03.Muestra'!$B$8:$B$42)-MIN(ROW('03.Muestra'!$D$8:$D$42))+1,""),ROW()-740)),"")</f>
        <v/>
      </c>
      <c r="B775" s="114" t="str" cm="1">
        <f t="array" ref="B775">IFERROR(INDEX('03.Muestra'!$C$8:$C$42,SMALL(IF("Página Web"='03.Muestra'!$D$8:$D$42,ROW('03.Muestra'!$C$8:$C$42)-MIN(ROW('03.Muestra'!$D$8:$D$42))+1,""),ROW()-740)),"")</f>
        <v/>
      </c>
      <c r="C775" s="114" t="str" cm="1">
        <f t="array" ref="C775">IFERROR(INDEX('03.Muestra'!$F$8:$F$42,SMALL(IF("Página Web"='03.Muestra'!$D$8:$D$42,ROW('03.Muestra'!$F$8:$F$42)-MIN(ROW('03.Muestra'!$D$8:$D$42))+1,""),ROW()-740)),"")</f>
        <v/>
      </c>
      <c r="D775" s="130" t="str">
        <f t="shared" si="39"/>
        <v/>
      </c>
      <c r="E775" s="107" t="str">
        <f t="shared" si="38"/>
        <v/>
      </c>
      <c r="F775" s="19"/>
      <c r="G775" s="19"/>
      <c r="H775" s="19"/>
      <c r="I775" s="19"/>
      <c r="J775" s="19"/>
      <c r="K775" s="233"/>
      <c r="L775" s="19"/>
      <c r="M775" s="19"/>
      <c r="N775" s="19"/>
      <c r="O775" s="19"/>
      <c r="P775" s="19"/>
      <c r="Q775" s="19"/>
      <c r="R775" s="19"/>
      <c r="S775" s="19"/>
      <c r="T775" s="19"/>
      <c r="U775" s="19"/>
      <c r="V775" s="19"/>
      <c r="W775" s="19"/>
      <c r="X775" s="19"/>
      <c r="Y775" s="19"/>
    </row>
    <row r="776" spans="1:25" ht="12" customHeight="1">
      <c r="B776" s="19"/>
      <c r="C776" s="19"/>
      <c r="D776" s="107"/>
      <c r="E776" s="19"/>
      <c r="F776" s="19"/>
      <c r="G776" s="19"/>
      <c r="H776" s="19"/>
      <c r="I776" s="19"/>
      <c r="J776" s="19"/>
      <c r="K776" s="233"/>
      <c r="L776" s="19"/>
      <c r="M776" s="19"/>
      <c r="N776" s="19"/>
      <c r="O776" s="19"/>
      <c r="P776" s="19"/>
      <c r="Q776" s="19"/>
      <c r="R776" s="19"/>
      <c r="S776" s="19"/>
      <c r="T776" s="19"/>
      <c r="U776" s="19"/>
      <c r="V776" s="19"/>
      <c r="W776" s="19"/>
      <c r="X776" s="19"/>
      <c r="Y776" s="19"/>
    </row>
    <row r="777" spans="1:25" ht="12" customHeight="1">
      <c r="B777" s="126"/>
      <c r="C777" s="19"/>
      <c r="D777" s="107"/>
      <c r="E777" s="112"/>
      <c r="F777" s="19"/>
      <c r="G777" s="19"/>
      <c r="H777" s="19"/>
      <c r="I777" s="19"/>
      <c r="J777" s="19"/>
      <c r="K777" s="233"/>
      <c r="L777" s="19"/>
      <c r="M777" s="19"/>
      <c r="N777" s="19"/>
      <c r="O777" s="19"/>
      <c r="P777" s="19"/>
      <c r="Q777" s="19"/>
      <c r="R777" s="19"/>
      <c r="S777" s="19"/>
      <c r="T777" s="19"/>
      <c r="U777" s="19"/>
      <c r="V777" s="19"/>
      <c r="W777" s="19"/>
      <c r="X777" s="19"/>
      <c r="Y777" s="19"/>
    </row>
    <row r="778" spans="1:25" ht="29.25" customHeight="1">
      <c r="A778" s="218" t="s">
        <v>268</v>
      </c>
      <c r="B778" s="24" t="s">
        <v>90</v>
      </c>
      <c r="C778" s="25" t="s">
        <v>393</v>
      </c>
      <c r="D778" s="26" t="s">
        <v>32</v>
      </c>
      <c r="E778" s="123"/>
      <c r="K778" s="233"/>
      <c r="L778" s="19"/>
      <c r="M778" s="19"/>
      <c r="N778" s="19"/>
      <c r="O778" s="19"/>
      <c r="P778" s="19"/>
      <c r="Q778" s="19"/>
      <c r="R778" s="19"/>
      <c r="S778" s="19"/>
      <c r="T778" s="19"/>
      <c r="U778" s="19"/>
      <c r="V778" s="19"/>
      <c r="W778" s="19"/>
      <c r="X778" s="19"/>
      <c r="Y778" s="19"/>
    </row>
    <row r="779" spans="1:25" ht="12" customHeight="1">
      <c r="A779" s="219" t="n" cm="1">
        <f t="array" ref="A779">IFERROR(INDEX('03.Muestra'!$B$8:$B$42,SMALL(IF("Página Web"='03.Muestra'!$D$8:$D$42,ROW('03.Muestra'!$B$8:$B$42)-MIN(ROW('03.Muestra'!$D$8:$D$42))+1,""),ROW()-778)),"")</f>
        <v>1.0</v>
      </c>
      <c r="B779" s="114" t="str" cm="1">
        <f t="array" ref="B779">IFERROR(INDEX('03.Muestra'!$C$8:$C$42,SMALL(IF("Página Web"='03.Muestra'!$D$8:$D$42,ROW('03.Muestra'!$C$8:$C$42)-MIN(ROW('03.Muestra'!$D$8:$D$42))+1,""),ROW()-778)),"")</f>
        <v>Home - PortCastelló</v>
      </c>
      <c r="C779" s="114" t="str" cm="1">
        <f t="array" ref="C779">IFERROR(INDEX('03.Muestra'!$F$8:$F$42,SMALL(IF("Página Web"='03.Muestra'!$D$8:$D$42,ROW('03.Muestra'!$F$8:$F$42)-MIN(ROW('03.Muestra'!$D$8:$D$42))+1,""),ROW()-778)),"")</f>
        <v>https://www.portcastello.com/</v>
      </c>
      <c r="D779" s="130" t="str">
        <f>IF(AND(B779&lt;&gt;"",C779&lt;&gt;""),"N/T","")</f>
        <v>N/T</v>
      </c>
      <c r="E779" s="107" t="str">
        <f t="shared" ref="E779:E813" si="40">IF(D779&lt;&gt;"",IF(AND(B779&lt;&gt;"",C779&lt;&gt;""),"","ERR"),"")</f>
        <v/>
      </c>
      <c r="F779" s="115" t="s">
        <v>33</v>
      </c>
      <c r="G779" s="116" t="s">
        <v>37</v>
      </c>
      <c r="H779" s="117" t="s">
        <v>35</v>
      </c>
      <c r="I779" s="118" t="s">
        <v>28</v>
      </c>
      <c r="J779" s="119" t="s">
        <v>26</v>
      </c>
      <c r="K779" s="226" t="s">
        <v>474</v>
      </c>
      <c r="L779" s="19"/>
      <c r="M779" s="19"/>
      <c r="N779" s="19"/>
      <c r="O779" s="19"/>
      <c r="P779" s="19"/>
      <c r="Q779" s="19"/>
      <c r="R779" s="19"/>
      <c r="S779" s="19"/>
      <c r="T779" s="19"/>
      <c r="U779" s="19"/>
      <c r="V779" s="19"/>
      <c r="W779" s="19"/>
      <c r="X779" s="19"/>
      <c r="Y779" s="19"/>
    </row>
    <row r="780" spans="1:25" ht="12" customHeight="1">
      <c r="A780" s="219" t="n" cm="1">
        <f t="array" ref="A780">IFERROR(INDEX('03.Muestra'!$B$8:$B$42,SMALL(IF("Página Web"='03.Muestra'!$D$8:$D$42,ROW('03.Muestra'!$B$8:$B$42)-MIN(ROW('03.Muestra'!$D$8:$D$42))+1,""),ROW()-778)),"")</f>
        <v>1.0</v>
      </c>
      <c r="B780" s="114" t="str" cm="1">
        <f t="array" ref="B780">IFERROR(INDEX('03.Muestra'!$C$8:$C$42,SMALL(IF("Página Web"='03.Muestra'!$D$8:$D$42,ROW('03.Muestra'!$C$8:$C$42)-MIN(ROW('03.Muestra'!$D$8:$D$42))+1,""),ROW()-778)),"")</f>
        <v>Home - PortCastelló</v>
      </c>
      <c r="C780" s="114" t="str" cm="1">
        <f t="array" ref="C780">IFERROR(INDEX('03.Muestra'!$F$8:$F$42,SMALL(IF("Página Web"='03.Muestra'!$D$8:$D$42,ROW('03.Muestra'!$F$8:$F$42)-MIN(ROW('03.Muestra'!$D$8:$D$42))+1,""),ROW()-778)),"")</f>
        <v>https://www.portcastello.com/</v>
      </c>
      <c r="D780" s="130" t="str">
        <f t="shared" ref="D780:D813" si="41">IF(AND(B780&lt;&gt;"",C780&lt;&gt;""),"N/T","")</f>
        <v>N/T</v>
      </c>
      <c r="E780" s="107" t="str">
        <f t="shared" si="40"/>
        <v/>
      </c>
      <c r="F780" s="120" t="n">
        <f ca="1">COUNTIF($D779:INDIRECT("$D" &amp;  SUM(ROW()-1,'03.Muestra'!$D$45)-1),F779)</f>
        <v>33.0</v>
      </c>
      <c r="G780" s="120" t="n">
        <f ca="1">COUNTIF($D779:INDIRECT("$D" &amp;  SUM(ROW()-1,'03.Muestra'!$D$45)-1),G779)</f>
        <v>0.0</v>
      </c>
      <c r="H780" s="120" t="n">
        <f ca="1">COUNTIF($D779:INDIRECT("$D" &amp;  SUM(ROW()-1,'03.Muestra'!$D$45)-1),H779)</f>
        <v>0.0</v>
      </c>
      <c r="I780" s="120" t="n">
        <f ca="1">COUNTIF($D779:INDIRECT("$D" &amp;  SUM(ROW()-1,'03.Muestra'!$D$45)-1),I779)</f>
        <v>0.0</v>
      </c>
      <c r="J780" s="120" t="n">
        <f ca="1">COUNTIF($D779:INDIRECT("$D" &amp;  SUM(ROW()-1,'03.Muestra'!$D$45)-1),J779)</f>
        <v>0.0</v>
      </c>
      <c r="K780" s="227" t="n">
        <f ca="1">IF(COUNTIF('03.Muestra'!$D$8:$D$42,"Página Web")=0,0,COUNTBLANK($D779:INDIRECT("$D" &amp;  SUM(ROW()-1,COUNTIF('03.Muestra'!$D$8:$D$42,"Página Web"))-1)))</f>
        <v>0.0</v>
      </c>
      <c r="L780" s="19"/>
      <c r="M780" s="19"/>
      <c r="N780" s="19"/>
      <c r="O780" s="19"/>
      <c r="P780" s="19"/>
      <c r="Q780" s="19"/>
      <c r="R780" s="19"/>
      <c r="S780" s="19"/>
      <c r="T780" s="19"/>
      <c r="U780" s="19"/>
      <c r="V780" s="19"/>
      <c r="W780" s="19"/>
      <c r="X780" s="19"/>
      <c r="Y780" s="19"/>
    </row>
    <row r="781" spans="1:25" ht="12" customHeight="1">
      <c r="A781" s="219" t="n" cm="1">
        <f t="array" ref="A781">IFERROR(INDEX('03.Muestra'!$B$8:$B$42,SMALL(IF("Página Web"='03.Muestra'!$D$8:$D$42,ROW('03.Muestra'!$B$8:$B$42)-MIN(ROW('03.Muestra'!$D$8:$D$42))+1,""),ROW()-778)),"")</f>
        <v>1.0</v>
      </c>
      <c r="B781" s="114" t="str" cm="1">
        <f t="array" ref="B781">IFERROR(INDEX('03.Muestra'!$C$8:$C$42,SMALL(IF("Página Web"='03.Muestra'!$D$8:$D$42,ROW('03.Muestra'!$C$8:$C$42)-MIN(ROW('03.Muestra'!$D$8:$D$42))+1,""),ROW()-778)),"")</f>
        <v>Home - PortCastelló</v>
      </c>
      <c r="C781" s="114" t="str" cm="1">
        <f t="array" ref="C781">IFERROR(INDEX('03.Muestra'!$F$8:$F$42,SMALL(IF("Página Web"='03.Muestra'!$D$8:$D$42,ROW('03.Muestra'!$F$8:$F$42)-MIN(ROW('03.Muestra'!$D$8:$D$42))+1,""),ROW()-778)),"")</f>
        <v>https://www.portcastello.com/</v>
      </c>
      <c r="D781" s="130" t="str">
        <f t="shared" si="41"/>
        <v>N/T</v>
      </c>
      <c r="E781" s="107" t="str">
        <f t="shared" si="40"/>
        <v/>
      </c>
      <c r="G781" s="19"/>
      <c r="H781" s="19"/>
      <c r="I781" s="19"/>
      <c r="J781" s="19"/>
      <c r="K781" s="233"/>
      <c r="L781" s="19"/>
      <c r="M781" s="19"/>
      <c r="N781" s="19"/>
      <c r="O781" s="19"/>
      <c r="P781" s="19"/>
      <c r="Q781" s="19"/>
      <c r="R781" s="19"/>
      <c r="S781" s="19"/>
      <c r="T781" s="19"/>
      <c r="U781" s="19"/>
      <c r="V781" s="19"/>
      <c r="W781" s="19"/>
      <c r="X781" s="19"/>
      <c r="Y781" s="19"/>
    </row>
    <row r="782" spans="1:25" ht="12" customHeight="1">
      <c r="A782" s="219" t="n" cm="1">
        <f t="array" ref="A782">IFERROR(INDEX('03.Muestra'!$B$8:$B$42,SMALL(IF("Página Web"='03.Muestra'!$D$8:$D$42,ROW('03.Muestra'!$B$8:$B$42)-MIN(ROW('03.Muestra'!$D$8:$D$42))+1,""),ROW()-778)),"")</f>
        <v>1.0</v>
      </c>
      <c r="B782" s="114" t="str" cm="1">
        <f t="array" ref="B782">IFERROR(INDEX('03.Muestra'!$C$8:$C$42,SMALL(IF("Página Web"='03.Muestra'!$D$8:$D$42,ROW('03.Muestra'!$C$8:$C$42)-MIN(ROW('03.Muestra'!$D$8:$D$42))+1,""),ROW()-778)),"")</f>
        <v>Home - PortCastelló</v>
      </c>
      <c r="C782" s="114" t="str" cm="1">
        <f t="array" ref="C782">IFERROR(INDEX('03.Muestra'!$F$8:$F$42,SMALL(IF("Página Web"='03.Muestra'!$D$8:$D$42,ROW('03.Muestra'!$F$8:$F$42)-MIN(ROW('03.Muestra'!$D$8:$D$42))+1,""),ROW()-778)),"")</f>
        <v>https://www.portcastello.com/</v>
      </c>
      <c r="D782" s="130" t="str">
        <f t="shared" si="41"/>
        <v>N/T</v>
      </c>
      <c r="E782" s="107" t="str">
        <f t="shared" si="40"/>
        <v/>
      </c>
      <c r="G782" s="19"/>
      <c r="H782" s="19"/>
      <c r="I782" s="19"/>
      <c r="J782" s="19"/>
      <c r="K782" s="233"/>
      <c r="L782" s="19"/>
      <c r="M782" s="19"/>
      <c r="N782" s="19"/>
      <c r="O782" s="19"/>
      <c r="P782" s="19"/>
      <c r="Q782" s="19"/>
      <c r="R782" s="19"/>
      <c r="S782" s="19"/>
      <c r="T782" s="19"/>
      <c r="U782" s="19"/>
      <c r="V782" s="19"/>
      <c r="W782" s="19"/>
      <c r="X782" s="19"/>
      <c r="Y782" s="19"/>
    </row>
    <row r="783" spans="1:25" ht="12" customHeight="1">
      <c r="A783" s="219" t="n" cm="1">
        <f t="array" ref="A783">IFERROR(INDEX('03.Muestra'!$B$8:$B$42,SMALL(IF("Página Web"='03.Muestra'!$D$8:$D$42,ROW('03.Muestra'!$B$8:$B$42)-MIN(ROW('03.Muestra'!$D$8:$D$42))+1,""),ROW()-778)),"")</f>
        <v>1.0</v>
      </c>
      <c r="B783" s="114" t="str" cm="1">
        <f t="array" ref="B783">IFERROR(INDEX('03.Muestra'!$C$8:$C$42,SMALL(IF("Página Web"='03.Muestra'!$D$8:$D$42,ROW('03.Muestra'!$C$8:$C$42)-MIN(ROW('03.Muestra'!$D$8:$D$42))+1,""),ROW()-778)),"")</f>
        <v>Home - PortCastelló</v>
      </c>
      <c r="C783" s="114" t="str" cm="1">
        <f t="array" ref="C783">IFERROR(INDEX('03.Muestra'!$F$8:$F$42,SMALL(IF("Página Web"='03.Muestra'!$D$8:$D$42,ROW('03.Muestra'!$F$8:$F$42)-MIN(ROW('03.Muestra'!$D$8:$D$42))+1,""),ROW()-778)),"")</f>
        <v>https://www.portcastello.com/</v>
      </c>
      <c r="D783" s="130" t="str">
        <f t="shared" si="41"/>
        <v>N/T</v>
      </c>
      <c r="E783" s="107" t="str">
        <f t="shared" si="40"/>
        <v/>
      </c>
      <c r="G783" s="19"/>
      <c r="H783" s="19"/>
      <c r="I783" s="19"/>
      <c r="J783" s="19"/>
      <c r="K783" s="233"/>
      <c r="L783" s="19"/>
      <c r="M783" s="19"/>
      <c r="N783" s="19"/>
      <c r="O783" s="19"/>
      <c r="P783" s="19"/>
      <c r="Q783" s="19"/>
      <c r="R783" s="19"/>
      <c r="S783" s="19"/>
      <c r="T783" s="19"/>
      <c r="U783" s="19"/>
      <c r="V783" s="19"/>
      <c r="W783" s="19"/>
      <c r="X783" s="19"/>
      <c r="Y783" s="19"/>
    </row>
    <row r="784" spans="1:25" ht="12" customHeight="1">
      <c r="A784" s="219" t="n" cm="1">
        <f t="array" ref="A784">IFERROR(INDEX('03.Muestra'!$B$8:$B$42,SMALL(IF("Página Web"='03.Muestra'!$D$8:$D$42,ROW('03.Muestra'!$B$8:$B$42)-MIN(ROW('03.Muestra'!$D$8:$D$42))+1,""),ROW()-778)),"")</f>
        <v>1.0</v>
      </c>
      <c r="B784" s="114" t="str" cm="1">
        <f t="array" ref="B784">IFERROR(INDEX('03.Muestra'!$C$8:$C$42,SMALL(IF("Página Web"='03.Muestra'!$D$8:$D$42,ROW('03.Muestra'!$C$8:$C$42)-MIN(ROW('03.Muestra'!$D$8:$D$42))+1,""),ROW()-778)),"")</f>
        <v>Home - PortCastelló</v>
      </c>
      <c r="C784" s="114" t="str" cm="1">
        <f t="array" ref="C784">IFERROR(INDEX('03.Muestra'!$F$8:$F$42,SMALL(IF("Página Web"='03.Muestra'!$D$8:$D$42,ROW('03.Muestra'!$F$8:$F$42)-MIN(ROW('03.Muestra'!$D$8:$D$42))+1,""),ROW()-778)),"")</f>
        <v>https://www.portcastello.com/</v>
      </c>
      <c r="D784" s="130" t="str">
        <f t="shared" si="41"/>
        <v>N/T</v>
      </c>
      <c r="E784" s="107" t="str">
        <f t="shared" si="40"/>
        <v/>
      </c>
      <c r="G784" s="19"/>
      <c r="H784" s="19"/>
      <c r="I784" s="19"/>
      <c r="J784" s="19"/>
      <c r="K784" s="233"/>
      <c r="L784" s="19"/>
      <c r="M784" s="19"/>
      <c r="N784" s="19"/>
      <c r="O784" s="19"/>
      <c r="P784" s="19"/>
      <c r="Q784" s="19"/>
      <c r="R784" s="19"/>
      <c r="S784" s="19"/>
      <c r="T784" s="19"/>
      <c r="U784" s="19"/>
      <c r="V784" s="19"/>
      <c r="W784" s="19"/>
      <c r="X784" s="19"/>
      <c r="Y784" s="19"/>
    </row>
    <row r="785" spans="1:25" ht="12" customHeight="1">
      <c r="A785" s="219" t="n" cm="1">
        <f t="array" ref="A785">IFERROR(INDEX('03.Muestra'!$B$8:$B$42,SMALL(IF("Página Web"='03.Muestra'!$D$8:$D$42,ROW('03.Muestra'!$B$8:$B$42)-MIN(ROW('03.Muestra'!$D$8:$D$42))+1,""),ROW()-778)),"")</f>
        <v>1.0</v>
      </c>
      <c r="B785" s="114" t="str" cm="1">
        <f t="array" ref="B785">IFERROR(INDEX('03.Muestra'!$C$8:$C$42,SMALL(IF("Página Web"='03.Muestra'!$D$8:$D$42,ROW('03.Muestra'!$C$8:$C$42)-MIN(ROW('03.Muestra'!$D$8:$D$42))+1,""),ROW()-778)),"")</f>
        <v>Home - PortCastelló</v>
      </c>
      <c r="C785" s="114" t="str" cm="1">
        <f t="array" ref="C785">IFERROR(INDEX('03.Muestra'!$F$8:$F$42,SMALL(IF("Página Web"='03.Muestra'!$D$8:$D$42,ROW('03.Muestra'!$F$8:$F$42)-MIN(ROW('03.Muestra'!$D$8:$D$42))+1,""),ROW()-778)),"")</f>
        <v>https://www.portcastello.com/</v>
      </c>
      <c r="D785" s="130" t="str">
        <f t="shared" si="41"/>
        <v>N/T</v>
      </c>
      <c r="E785" s="107" t="str">
        <f t="shared" si="40"/>
        <v/>
      </c>
      <c r="F785" s="19"/>
      <c r="G785" s="19"/>
      <c r="H785" s="19"/>
      <c r="I785" s="19"/>
      <c r="J785" s="19"/>
      <c r="K785" s="233"/>
      <c r="L785" s="19"/>
      <c r="M785" s="19"/>
      <c r="N785" s="19"/>
      <c r="O785" s="19"/>
      <c r="P785" s="19"/>
      <c r="Q785" s="19"/>
      <c r="R785" s="19"/>
      <c r="S785" s="19"/>
      <c r="T785" s="19"/>
      <c r="U785" s="19"/>
      <c r="V785" s="19"/>
      <c r="W785" s="19"/>
      <c r="X785" s="19"/>
      <c r="Y785" s="19"/>
    </row>
    <row r="786" spans="1:25" ht="12" customHeight="1">
      <c r="A786" s="219" t="n" cm="1">
        <f t="array" ref="A786">IFERROR(INDEX('03.Muestra'!$B$8:$B$42,SMALL(IF("Página Web"='03.Muestra'!$D$8:$D$42,ROW('03.Muestra'!$B$8:$B$42)-MIN(ROW('03.Muestra'!$D$8:$D$42))+1,""),ROW()-778)),"")</f>
        <v>1.0</v>
      </c>
      <c r="B786" s="114" t="str" cm="1">
        <f t="array" ref="B786">IFERROR(INDEX('03.Muestra'!$C$8:$C$42,SMALL(IF("Página Web"='03.Muestra'!$D$8:$D$42,ROW('03.Muestra'!$C$8:$C$42)-MIN(ROW('03.Muestra'!$D$8:$D$42))+1,""),ROW()-778)),"")</f>
        <v>Home - PortCastelló</v>
      </c>
      <c r="C786" s="114" t="str" cm="1">
        <f t="array" ref="C786">IFERROR(INDEX('03.Muestra'!$F$8:$F$42,SMALL(IF("Página Web"='03.Muestra'!$D$8:$D$42,ROW('03.Muestra'!$F$8:$F$42)-MIN(ROW('03.Muestra'!$D$8:$D$42))+1,""),ROW()-778)),"")</f>
        <v>https://www.portcastello.com/</v>
      </c>
      <c r="D786" s="130" t="str">
        <f t="shared" si="41"/>
        <v>N/T</v>
      </c>
      <c r="E786" s="107" t="str">
        <f t="shared" si="40"/>
        <v/>
      </c>
      <c r="F786" s="19"/>
      <c r="G786" s="19"/>
      <c r="H786" s="19"/>
      <c r="I786" s="19"/>
      <c r="J786" s="19"/>
      <c r="K786" s="233"/>
      <c r="L786" s="19"/>
      <c r="M786" s="19"/>
      <c r="N786" s="19"/>
      <c r="O786" s="19"/>
      <c r="P786" s="19"/>
      <c r="Q786" s="19"/>
      <c r="R786" s="19"/>
      <c r="S786" s="19"/>
      <c r="T786" s="19"/>
      <c r="U786" s="19"/>
      <c r="V786" s="19"/>
      <c r="W786" s="19"/>
      <c r="X786" s="19"/>
      <c r="Y786" s="19"/>
    </row>
    <row r="787" spans="1:25" ht="12" customHeight="1">
      <c r="A787" s="219" t="n" cm="1">
        <f t="array" ref="A787">IFERROR(INDEX('03.Muestra'!$B$8:$B$42,SMALL(IF("Página Web"='03.Muestra'!$D$8:$D$42,ROW('03.Muestra'!$B$8:$B$42)-MIN(ROW('03.Muestra'!$D$8:$D$42))+1,""),ROW()-778)),"")</f>
        <v>1.0</v>
      </c>
      <c r="B787" s="114" t="str" cm="1">
        <f t="array" ref="B787">IFERROR(INDEX('03.Muestra'!$C$8:$C$42,SMALL(IF("Página Web"='03.Muestra'!$D$8:$D$42,ROW('03.Muestra'!$C$8:$C$42)-MIN(ROW('03.Muestra'!$D$8:$D$42))+1,""),ROW()-778)),"")</f>
        <v>Home - PortCastelló</v>
      </c>
      <c r="C787" s="114" t="str" cm="1">
        <f t="array" ref="C787">IFERROR(INDEX('03.Muestra'!$F$8:$F$42,SMALL(IF("Página Web"='03.Muestra'!$D$8:$D$42,ROW('03.Muestra'!$F$8:$F$42)-MIN(ROW('03.Muestra'!$D$8:$D$42))+1,""),ROW()-778)),"")</f>
        <v>https://www.portcastello.com/</v>
      </c>
      <c r="D787" s="130" t="str">
        <f t="shared" si="41"/>
        <v>N/T</v>
      </c>
      <c r="E787" s="107" t="str">
        <f t="shared" si="40"/>
        <v/>
      </c>
      <c r="F787" s="19"/>
      <c r="G787" s="19"/>
      <c r="H787" s="19"/>
      <c r="I787" s="19"/>
      <c r="J787" s="19"/>
      <c r="K787" s="233"/>
      <c r="L787" s="19"/>
      <c r="M787" s="19"/>
      <c r="N787" s="19"/>
      <c r="O787" s="19"/>
      <c r="P787" s="19"/>
      <c r="Q787" s="19"/>
      <c r="R787" s="19"/>
      <c r="S787" s="19"/>
      <c r="T787" s="19"/>
      <c r="U787" s="19"/>
      <c r="V787" s="19"/>
      <c r="W787" s="19"/>
      <c r="X787" s="19"/>
      <c r="Y787" s="19"/>
    </row>
    <row r="788" spans="1:25" ht="12" customHeight="1">
      <c r="A788" s="219" t="n" cm="1">
        <f t="array" ref="A788">IFERROR(INDEX('03.Muestra'!$B$8:$B$42,SMALL(IF("Página Web"='03.Muestra'!$D$8:$D$42,ROW('03.Muestra'!$B$8:$B$42)-MIN(ROW('03.Muestra'!$D$8:$D$42))+1,""),ROW()-778)),"")</f>
        <v>1.0</v>
      </c>
      <c r="B788" s="114" t="str" cm="1">
        <f t="array" ref="B788">IFERROR(INDEX('03.Muestra'!$C$8:$C$42,SMALL(IF("Página Web"='03.Muestra'!$D$8:$D$42,ROW('03.Muestra'!$C$8:$C$42)-MIN(ROW('03.Muestra'!$D$8:$D$42))+1,""),ROW()-778)),"")</f>
        <v>Home - PortCastelló</v>
      </c>
      <c r="C788" s="114" t="str" cm="1">
        <f t="array" ref="C788">IFERROR(INDEX('03.Muestra'!$F$8:$F$42,SMALL(IF("Página Web"='03.Muestra'!$D$8:$D$42,ROW('03.Muestra'!$F$8:$F$42)-MIN(ROW('03.Muestra'!$D$8:$D$42))+1,""),ROW()-778)),"")</f>
        <v>https://www.portcastello.com/</v>
      </c>
      <c r="D788" s="130" t="str">
        <f t="shared" si="41"/>
        <v>N/T</v>
      </c>
      <c r="E788" s="107" t="str">
        <f t="shared" si="40"/>
        <v/>
      </c>
      <c r="F788" s="19"/>
      <c r="G788" s="19"/>
      <c r="H788" s="19"/>
      <c r="I788" s="19"/>
      <c r="J788" s="19"/>
      <c r="K788" s="233"/>
      <c r="L788" s="19"/>
      <c r="M788" s="19"/>
      <c r="N788" s="19"/>
      <c r="O788" s="19"/>
      <c r="P788" s="19"/>
      <c r="Q788" s="19"/>
      <c r="R788" s="19"/>
      <c r="S788" s="19"/>
      <c r="T788" s="19"/>
      <c r="U788" s="19"/>
      <c r="V788" s="19"/>
      <c r="W788" s="19"/>
      <c r="X788" s="19"/>
      <c r="Y788" s="19"/>
    </row>
    <row r="789" spans="1:25" ht="12" customHeight="1">
      <c r="A789" s="219" t="n" cm="1">
        <f t="array" ref="A789">IFERROR(INDEX('03.Muestra'!$B$8:$B$42,SMALL(IF("Página Web"='03.Muestra'!$D$8:$D$42,ROW('03.Muestra'!$B$8:$B$42)-MIN(ROW('03.Muestra'!$D$8:$D$42))+1,""),ROW()-778)),"")</f>
        <v>1.0</v>
      </c>
      <c r="B789" s="114" t="str" cm="1">
        <f t="array" ref="B789">IFERROR(INDEX('03.Muestra'!$C$8:$C$42,SMALL(IF("Página Web"='03.Muestra'!$D$8:$D$42,ROW('03.Muestra'!$C$8:$C$42)-MIN(ROW('03.Muestra'!$D$8:$D$42))+1,""),ROW()-778)),"")</f>
        <v>Home - PortCastelló</v>
      </c>
      <c r="C789" s="114" t="str" cm="1">
        <f t="array" ref="C789">IFERROR(INDEX('03.Muestra'!$F$8:$F$42,SMALL(IF("Página Web"='03.Muestra'!$D$8:$D$42,ROW('03.Muestra'!$F$8:$F$42)-MIN(ROW('03.Muestra'!$D$8:$D$42))+1,""),ROW()-778)),"")</f>
        <v>https://www.portcastello.com/</v>
      </c>
      <c r="D789" s="130" t="str">
        <f t="shared" si="41"/>
        <v>N/T</v>
      </c>
      <c r="E789" s="107" t="str">
        <f t="shared" si="40"/>
        <v/>
      </c>
      <c r="F789" s="19"/>
      <c r="G789" s="19"/>
      <c r="H789" s="19"/>
      <c r="I789" s="19"/>
      <c r="J789" s="19"/>
      <c r="K789" s="233"/>
      <c r="L789" s="19"/>
      <c r="M789" s="19"/>
      <c r="N789" s="19"/>
      <c r="O789" s="19"/>
      <c r="P789" s="19"/>
      <c r="Q789" s="19"/>
      <c r="R789" s="19"/>
      <c r="S789" s="19"/>
      <c r="T789" s="19"/>
      <c r="U789" s="19"/>
      <c r="V789" s="19"/>
      <c r="W789" s="19"/>
      <c r="X789" s="19"/>
      <c r="Y789" s="19"/>
    </row>
    <row r="790" spans="1:25" ht="12" customHeight="1">
      <c r="A790" s="219" t="n" cm="1">
        <f t="array" ref="A790">IFERROR(INDEX('03.Muestra'!$B$8:$B$42,SMALL(IF("Página Web"='03.Muestra'!$D$8:$D$42,ROW('03.Muestra'!$B$8:$B$42)-MIN(ROW('03.Muestra'!$D$8:$D$42))+1,""),ROW()-778)),"")</f>
        <v>1.0</v>
      </c>
      <c r="B790" s="114" t="str" cm="1">
        <f t="array" ref="B790">IFERROR(INDEX('03.Muestra'!$C$8:$C$42,SMALL(IF("Página Web"='03.Muestra'!$D$8:$D$42,ROW('03.Muestra'!$C$8:$C$42)-MIN(ROW('03.Muestra'!$D$8:$D$42))+1,""),ROW()-778)),"")</f>
        <v>Home - PortCastelló</v>
      </c>
      <c r="C790" s="114" t="str" cm="1">
        <f t="array" ref="C790">IFERROR(INDEX('03.Muestra'!$F$8:$F$42,SMALL(IF("Página Web"='03.Muestra'!$D$8:$D$42,ROW('03.Muestra'!$F$8:$F$42)-MIN(ROW('03.Muestra'!$D$8:$D$42))+1,""),ROW()-778)),"")</f>
        <v>https://www.portcastello.com/</v>
      </c>
      <c r="D790" s="130" t="str">
        <f t="shared" si="41"/>
        <v>N/T</v>
      </c>
      <c r="E790" s="107" t="str">
        <f t="shared" si="40"/>
        <v/>
      </c>
      <c r="F790" s="19"/>
      <c r="G790" s="19"/>
      <c r="H790" s="19"/>
      <c r="I790" s="19"/>
      <c r="J790" s="19"/>
      <c r="K790" s="233"/>
      <c r="L790" s="19"/>
      <c r="M790" s="19"/>
      <c r="N790" s="19"/>
      <c r="O790" s="19"/>
      <c r="P790" s="19"/>
      <c r="Q790" s="19"/>
      <c r="R790" s="19"/>
      <c r="S790" s="19"/>
      <c r="T790" s="19"/>
      <c r="U790" s="19"/>
      <c r="V790" s="19"/>
      <c r="W790" s="19"/>
      <c r="X790" s="19"/>
      <c r="Y790" s="19"/>
    </row>
    <row r="791" spans="1:25" ht="12" customHeight="1">
      <c r="A791" s="219" t="n" cm="1">
        <f t="array" ref="A791">IFERROR(INDEX('03.Muestra'!$B$8:$B$42,SMALL(IF("Página Web"='03.Muestra'!$D$8:$D$42,ROW('03.Muestra'!$B$8:$B$42)-MIN(ROW('03.Muestra'!$D$8:$D$42))+1,""),ROW()-778)),"")</f>
        <v>1.0</v>
      </c>
      <c r="B791" s="114" t="str" cm="1">
        <f t="array" ref="B791">IFERROR(INDEX('03.Muestra'!$C$8:$C$42,SMALL(IF("Página Web"='03.Muestra'!$D$8:$D$42,ROW('03.Muestra'!$C$8:$C$42)-MIN(ROW('03.Muestra'!$D$8:$D$42))+1,""),ROW()-778)),"")</f>
        <v>Home - PortCastelló</v>
      </c>
      <c r="C791" s="114" t="str" cm="1">
        <f t="array" ref="C791">IFERROR(INDEX('03.Muestra'!$F$8:$F$42,SMALL(IF("Página Web"='03.Muestra'!$D$8:$D$42,ROW('03.Muestra'!$F$8:$F$42)-MIN(ROW('03.Muestra'!$D$8:$D$42))+1,""),ROW()-778)),"")</f>
        <v>https://www.portcastello.com/</v>
      </c>
      <c r="D791" s="130" t="str">
        <f t="shared" si="41"/>
        <v>N/T</v>
      </c>
      <c r="E791" s="107" t="str">
        <f t="shared" si="40"/>
        <v/>
      </c>
      <c r="F791" s="19"/>
      <c r="G791" s="19"/>
      <c r="H791" s="19"/>
      <c r="I791" s="19"/>
      <c r="J791" s="19"/>
      <c r="K791" s="233"/>
      <c r="L791" s="19"/>
      <c r="M791" s="19"/>
      <c r="N791" s="19"/>
      <c r="O791" s="19"/>
      <c r="P791" s="19"/>
      <c r="Q791" s="19"/>
      <c r="R791" s="19"/>
      <c r="S791" s="19"/>
      <c r="T791" s="19"/>
      <c r="U791" s="19"/>
      <c r="V791" s="19"/>
      <c r="W791" s="19"/>
      <c r="X791" s="19"/>
      <c r="Y791" s="19"/>
    </row>
    <row r="792" spans="1:25" ht="12" customHeight="1">
      <c r="A792" s="219" t="n" cm="1">
        <f t="array" ref="A792">IFERROR(INDEX('03.Muestra'!$B$8:$B$42,SMALL(IF("Página Web"='03.Muestra'!$D$8:$D$42,ROW('03.Muestra'!$B$8:$B$42)-MIN(ROW('03.Muestra'!$D$8:$D$42))+1,""),ROW()-778)),"")</f>
        <v>1.0</v>
      </c>
      <c r="B792" s="114" t="str" cm="1">
        <f t="array" ref="B792">IFERROR(INDEX('03.Muestra'!$C$8:$C$42,SMALL(IF("Página Web"='03.Muestra'!$D$8:$D$42,ROW('03.Muestra'!$C$8:$C$42)-MIN(ROW('03.Muestra'!$D$8:$D$42))+1,""),ROW()-778)),"")</f>
        <v>Home - PortCastelló</v>
      </c>
      <c r="C792" s="114" t="str" cm="1">
        <f t="array" ref="C792">IFERROR(INDEX('03.Muestra'!$F$8:$F$42,SMALL(IF("Página Web"='03.Muestra'!$D$8:$D$42,ROW('03.Muestra'!$F$8:$F$42)-MIN(ROW('03.Muestra'!$D$8:$D$42))+1,""),ROW()-778)),"")</f>
        <v>https://www.portcastello.com/</v>
      </c>
      <c r="D792" s="130" t="str">
        <f t="shared" si="41"/>
        <v>N/T</v>
      </c>
      <c r="E792" s="107" t="str">
        <f t="shared" si="40"/>
        <v/>
      </c>
      <c r="F792" s="19"/>
      <c r="G792" s="19"/>
      <c r="H792" s="19"/>
      <c r="I792" s="19"/>
      <c r="J792" s="19"/>
      <c r="K792" s="233"/>
      <c r="L792" s="19"/>
      <c r="M792" s="19"/>
      <c r="N792" s="19"/>
      <c r="O792" s="19"/>
      <c r="P792" s="19"/>
      <c r="Q792" s="19"/>
      <c r="R792" s="19"/>
      <c r="S792" s="19"/>
      <c r="T792" s="19"/>
      <c r="U792" s="19"/>
      <c r="V792" s="19"/>
      <c r="W792" s="19"/>
      <c r="X792" s="19"/>
      <c r="Y792" s="19"/>
    </row>
    <row r="793" spans="1:25" ht="12" customHeight="1">
      <c r="A793" s="219" t="n" cm="1">
        <f t="array" ref="A793">IFERROR(INDEX('03.Muestra'!$B$8:$B$42,SMALL(IF("Página Web"='03.Muestra'!$D$8:$D$42,ROW('03.Muestra'!$B$8:$B$42)-MIN(ROW('03.Muestra'!$D$8:$D$42))+1,""),ROW()-778)),"")</f>
        <v>1.0</v>
      </c>
      <c r="B793" s="114" t="str" cm="1">
        <f t="array" ref="B793">IFERROR(INDEX('03.Muestra'!$C$8:$C$42,SMALL(IF("Página Web"='03.Muestra'!$D$8:$D$42,ROW('03.Muestra'!$C$8:$C$42)-MIN(ROW('03.Muestra'!$D$8:$D$42))+1,""),ROW()-778)),"")</f>
        <v>Home - PortCastelló</v>
      </c>
      <c r="C793" s="114" t="str" cm="1">
        <f t="array" ref="C793">IFERROR(INDEX('03.Muestra'!$F$8:$F$42,SMALL(IF("Página Web"='03.Muestra'!$D$8:$D$42,ROW('03.Muestra'!$F$8:$F$42)-MIN(ROW('03.Muestra'!$D$8:$D$42))+1,""),ROW()-778)),"")</f>
        <v>https://www.portcastello.com/</v>
      </c>
      <c r="D793" s="130" t="str">
        <f t="shared" si="41"/>
        <v>N/T</v>
      </c>
      <c r="E793" s="107" t="str">
        <f t="shared" si="40"/>
        <v/>
      </c>
      <c r="F793" s="19"/>
      <c r="G793" s="19"/>
      <c r="H793" s="19"/>
      <c r="I793" s="19"/>
      <c r="J793" s="19"/>
      <c r="K793" s="233"/>
      <c r="L793" s="19"/>
      <c r="M793" s="19"/>
      <c r="N793" s="19"/>
      <c r="O793" s="19"/>
      <c r="P793" s="19"/>
      <c r="Q793" s="19"/>
      <c r="R793" s="19"/>
      <c r="S793" s="19"/>
      <c r="T793" s="19"/>
      <c r="U793" s="19"/>
      <c r="V793" s="19"/>
      <c r="W793" s="19"/>
      <c r="X793" s="19"/>
      <c r="Y793" s="19"/>
    </row>
    <row r="794" spans="1:25" ht="12" customHeight="1">
      <c r="A794" s="219" t="n" cm="1">
        <f t="array" ref="A794">IFERROR(INDEX('03.Muestra'!$B$8:$B$42,SMALL(IF("Página Web"='03.Muestra'!$D$8:$D$42,ROW('03.Muestra'!$B$8:$B$42)-MIN(ROW('03.Muestra'!$D$8:$D$42))+1,""),ROW()-778)),"")</f>
        <v>1.0</v>
      </c>
      <c r="B794" s="114" t="str" cm="1">
        <f t="array" ref="B794">IFERROR(INDEX('03.Muestra'!$C$8:$C$42,SMALL(IF("Página Web"='03.Muestra'!$D$8:$D$42,ROW('03.Muestra'!$C$8:$C$42)-MIN(ROW('03.Muestra'!$D$8:$D$42))+1,""),ROW()-778)),"")</f>
        <v>Home - PortCastelló</v>
      </c>
      <c r="C794" s="114" t="str" cm="1">
        <f t="array" ref="C794">IFERROR(INDEX('03.Muestra'!$F$8:$F$42,SMALL(IF("Página Web"='03.Muestra'!$D$8:$D$42,ROW('03.Muestra'!$F$8:$F$42)-MIN(ROW('03.Muestra'!$D$8:$D$42))+1,""),ROW()-778)),"")</f>
        <v>https://www.portcastello.com/</v>
      </c>
      <c r="D794" s="130" t="str">
        <f t="shared" si="41"/>
        <v>N/T</v>
      </c>
      <c r="E794" s="107" t="str">
        <f t="shared" si="40"/>
        <v/>
      </c>
      <c r="F794" s="19"/>
      <c r="G794" s="19"/>
      <c r="H794" s="19"/>
      <c r="I794" s="19"/>
      <c r="J794" s="19"/>
      <c r="K794" s="233"/>
      <c r="L794" s="19"/>
      <c r="M794" s="19"/>
      <c r="N794" s="19"/>
      <c r="O794" s="19"/>
      <c r="P794" s="19"/>
      <c r="Q794" s="19"/>
      <c r="R794" s="19"/>
      <c r="S794" s="19"/>
      <c r="T794" s="19"/>
      <c r="U794" s="19"/>
      <c r="V794" s="19"/>
      <c r="W794" s="19"/>
      <c r="X794" s="19"/>
      <c r="Y794" s="19"/>
    </row>
    <row r="795" spans="1:25" ht="12" customHeight="1">
      <c r="A795" s="219" t="n" cm="1">
        <f t="array" ref="A795">IFERROR(INDEX('03.Muestra'!$B$8:$B$42,SMALL(IF("Página Web"='03.Muestra'!$D$8:$D$42,ROW('03.Muestra'!$B$8:$B$42)-MIN(ROW('03.Muestra'!$D$8:$D$42))+1,""),ROW()-778)),"")</f>
        <v>1.0</v>
      </c>
      <c r="B795" s="114" t="str" cm="1">
        <f t="array" ref="B795">IFERROR(INDEX('03.Muestra'!$C$8:$C$42,SMALL(IF("Página Web"='03.Muestra'!$D$8:$D$42,ROW('03.Muestra'!$C$8:$C$42)-MIN(ROW('03.Muestra'!$D$8:$D$42))+1,""),ROW()-778)),"")</f>
        <v>Home - PortCastelló</v>
      </c>
      <c r="C795" s="114" t="str" cm="1">
        <f t="array" ref="C795">IFERROR(INDEX('03.Muestra'!$F$8:$F$42,SMALL(IF("Página Web"='03.Muestra'!$D$8:$D$42,ROW('03.Muestra'!$F$8:$F$42)-MIN(ROW('03.Muestra'!$D$8:$D$42))+1,""),ROW()-778)),"")</f>
        <v>https://www.portcastello.com/</v>
      </c>
      <c r="D795" s="130" t="str">
        <f t="shared" si="41"/>
        <v>N/T</v>
      </c>
      <c r="E795" s="107" t="str">
        <f t="shared" si="40"/>
        <v/>
      </c>
      <c r="F795" s="19"/>
      <c r="G795" s="19"/>
      <c r="H795" s="19"/>
      <c r="I795" s="19"/>
      <c r="J795" s="19"/>
      <c r="K795" s="233"/>
      <c r="L795" s="19"/>
      <c r="M795" s="19"/>
      <c r="N795" s="19"/>
      <c r="O795" s="19"/>
      <c r="P795" s="19"/>
      <c r="Q795" s="19"/>
      <c r="R795" s="19"/>
      <c r="S795" s="19"/>
      <c r="T795" s="19"/>
      <c r="U795" s="19"/>
      <c r="V795" s="19"/>
      <c r="W795" s="19"/>
      <c r="X795" s="19"/>
      <c r="Y795" s="19"/>
    </row>
    <row r="796" spans="1:25" ht="12" customHeight="1">
      <c r="A796" s="219" t="n" cm="1">
        <f t="array" ref="A796">IFERROR(INDEX('03.Muestra'!$B$8:$B$42,SMALL(IF("Página Web"='03.Muestra'!$D$8:$D$42,ROW('03.Muestra'!$B$8:$B$42)-MIN(ROW('03.Muestra'!$D$8:$D$42))+1,""),ROW()-778)),"")</f>
        <v>1.0</v>
      </c>
      <c r="B796" s="114" t="str" cm="1">
        <f t="array" ref="B796">IFERROR(INDEX('03.Muestra'!$C$8:$C$42,SMALL(IF("Página Web"='03.Muestra'!$D$8:$D$42,ROW('03.Muestra'!$C$8:$C$42)-MIN(ROW('03.Muestra'!$D$8:$D$42))+1,""),ROW()-778)),"")</f>
        <v>Home - PortCastelló</v>
      </c>
      <c r="C796" s="114" t="str" cm="1">
        <f t="array" ref="C796">IFERROR(INDEX('03.Muestra'!$F$8:$F$42,SMALL(IF("Página Web"='03.Muestra'!$D$8:$D$42,ROW('03.Muestra'!$F$8:$F$42)-MIN(ROW('03.Muestra'!$D$8:$D$42))+1,""),ROW()-778)),"")</f>
        <v>https://www.portcastello.com/</v>
      </c>
      <c r="D796" s="130" t="str">
        <f t="shared" si="41"/>
        <v>N/T</v>
      </c>
      <c r="E796" s="107" t="str">
        <f t="shared" si="40"/>
        <v/>
      </c>
      <c r="F796" s="19"/>
      <c r="G796" s="19"/>
      <c r="H796" s="19"/>
      <c r="I796" s="19"/>
      <c r="J796" s="19"/>
      <c r="K796" s="233"/>
      <c r="L796" s="19"/>
      <c r="M796" s="19"/>
      <c r="N796" s="19"/>
      <c r="O796" s="19"/>
      <c r="P796" s="19"/>
      <c r="Q796" s="19"/>
      <c r="R796" s="19"/>
      <c r="S796" s="19"/>
      <c r="T796" s="19"/>
      <c r="U796" s="19"/>
      <c r="V796" s="19"/>
      <c r="W796" s="19"/>
      <c r="X796" s="19"/>
      <c r="Y796" s="19"/>
    </row>
    <row r="797" spans="1:25" ht="12" customHeight="1">
      <c r="A797" s="219" t="n" cm="1">
        <f t="array" ref="A797">IFERROR(INDEX('03.Muestra'!$B$8:$B$42,SMALL(IF("Página Web"='03.Muestra'!$D$8:$D$42,ROW('03.Muestra'!$B$8:$B$42)-MIN(ROW('03.Muestra'!$D$8:$D$42))+1,""),ROW()-778)),"")</f>
        <v>1.0</v>
      </c>
      <c r="B797" s="114" t="str" cm="1">
        <f t="array" ref="B797">IFERROR(INDEX('03.Muestra'!$C$8:$C$42,SMALL(IF("Página Web"='03.Muestra'!$D$8:$D$42,ROW('03.Muestra'!$C$8:$C$42)-MIN(ROW('03.Muestra'!$D$8:$D$42))+1,""),ROW()-778)),"")</f>
        <v>Home - PortCastelló</v>
      </c>
      <c r="C797" s="114" t="str" cm="1">
        <f t="array" ref="C797">IFERROR(INDEX('03.Muestra'!$F$8:$F$42,SMALL(IF("Página Web"='03.Muestra'!$D$8:$D$42,ROW('03.Muestra'!$F$8:$F$42)-MIN(ROW('03.Muestra'!$D$8:$D$42))+1,""),ROW()-778)),"")</f>
        <v>https://www.portcastello.com/</v>
      </c>
      <c r="D797" s="130" t="str">
        <f t="shared" si="41"/>
        <v>N/T</v>
      </c>
      <c r="E797" s="107" t="str">
        <f t="shared" si="40"/>
        <v/>
      </c>
      <c r="F797" s="19"/>
      <c r="G797" s="19"/>
      <c r="H797" s="19"/>
      <c r="I797" s="19"/>
      <c r="J797" s="19"/>
      <c r="K797" s="233"/>
      <c r="L797" s="19"/>
      <c r="M797" s="19"/>
      <c r="N797" s="19"/>
      <c r="O797" s="19"/>
      <c r="P797" s="19"/>
      <c r="Q797" s="19"/>
      <c r="R797" s="19"/>
      <c r="S797" s="19"/>
      <c r="T797" s="19"/>
      <c r="U797" s="19"/>
      <c r="V797" s="19"/>
      <c r="W797" s="19"/>
      <c r="X797" s="19"/>
      <c r="Y797" s="19"/>
    </row>
    <row r="798" spans="1:25" ht="12" customHeight="1">
      <c r="A798" s="219" t="n" cm="1">
        <f t="array" ref="A798">IFERROR(INDEX('03.Muestra'!$B$8:$B$42,SMALL(IF("Página Web"='03.Muestra'!$D$8:$D$42,ROW('03.Muestra'!$B$8:$B$42)-MIN(ROW('03.Muestra'!$D$8:$D$42))+1,""),ROW()-778)),"")</f>
        <v>1.0</v>
      </c>
      <c r="B798" s="114" t="str" cm="1">
        <f t="array" ref="B798">IFERROR(INDEX('03.Muestra'!$C$8:$C$42,SMALL(IF("Página Web"='03.Muestra'!$D$8:$D$42,ROW('03.Muestra'!$C$8:$C$42)-MIN(ROW('03.Muestra'!$D$8:$D$42))+1,""),ROW()-778)),"")</f>
        <v>Home - PortCastelló</v>
      </c>
      <c r="C798" s="114" t="str" cm="1">
        <f t="array" ref="C798">IFERROR(INDEX('03.Muestra'!$F$8:$F$42,SMALL(IF("Página Web"='03.Muestra'!$D$8:$D$42,ROW('03.Muestra'!$F$8:$F$42)-MIN(ROW('03.Muestra'!$D$8:$D$42))+1,""),ROW()-778)),"")</f>
        <v>https://www.portcastello.com/</v>
      </c>
      <c r="D798" s="130" t="str">
        <f t="shared" si="41"/>
        <v>N/T</v>
      </c>
      <c r="E798" s="107" t="str">
        <f t="shared" si="40"/>
        <v/>
      </c>
      <c r="F798" s="19"/>
      <c r="G798" s="19"/>
      <c r="H798" s="19"/>
      <c r="I798" s="19"/>
      <c r="J798" s="19"/>
      <c r="K798" s="233"/>
      <c r="L798" s="19"/>
      <c r="M798" s="19"/>
      <c r="N798" s="19"/>
      <c r="O798" s="19"/>
      <c r="P798" s="19"/>
      <c r="Q798" s="19"/>
      <c r="R798" s="19"/>
      <c r="S798" s="19"/>
      <c r="T798" s="19"/>
      <c r="U798" s="19"/>
      <c r="V798" s="19"/>
      <c r="W798" s="19"/>
      <c r="X798" s="19"/>
      <c r="Y798" s="19"/>
    </row>
    <row r="799" spans="1:25" ht="12" customHeight="1">
      <c r="A799" s="219" t="n" cm="1">
        <f t="array" ref="A799">IFERROR(INDEX('03.Muestra'!$B$8:$B$42,SMALL(IF("Página Web"='03.Muestra'!$D$8:$D$42,ROW('03.Muestra'!$B$8:$B$42)-MIN(ROW('03.Muestra'!$D$8:$D$42))+1,""),ROW()-778)),"")</f>
        <v>1.0</v>
      </c>
      <c r="B799" s="114" t="str" cm="1">
        <f t="array" ref="B799">IFERROR(INDEX('03.Muestra'!$C$8:$C$42,SMALL(IF("Página Web"='03.Muestra'!$D$8:$D$42,ROW('03.Muestra'!$C$8:$C$42)-MIN(ROW('03.Muestra'!$D$8:$D$42))+1,""),ROW()-778)),"")</f>
        <v>Home - PortCastelló</v>
      </c>
      <c r="C799" s="114" t="str" cm="1">
        <f t="array" ref="C799">IFERROR(INDEX('03.Muestra'!$F$8:$F$42,SMALL(IF("Página Web"='03.Muestra'!$D$8:$D$42,ROW('03.Muestra'!$F$8:$F$42)-MIN(ROW('03.Muestra'!$D$8:$D$42))+1,""),ROW()-778)),"")</f>
        <v>https://www.portcastello.com/</v>
      </c>
      <c r="D799" s="130" t="str">
        <f t="shared" si="41"/>
        <v>N/T</v>
      </c>
      <c r="E799" s="107" t="str">
        <f t="shared" si="40"/>
        <v/>
      </c>
      <c r="F799" s="19"/>
      <c r="G799" s="19"/>
      <c r="H799" s="19"/>
      <c r="I799" s="19"/>
      <c r="J799" s="19"/>
      <c r="K799" s="233"/>
      <c r="L799" s="19"/>
      <c r="M799" s="19"/>
      <c r="N799" s="19"/>
      <c r="O799" s="19"/>
      <c r="P799" s="19"/>
      <c r="Q799" s="19"/>
      <c r="R799" s="19"/>
      <c r="S799" s="19"/>
      <c r="T799" s="19"/>
      <c r="U799" s="19"/>
      <c r="V799" s="19"/>
      <c r="W799" s="19"/>
      <c r="X799" s="19"/>
      <c r="Y799" s="19"/>
    </row>
    <row r="800" spans="1:25" ht="12" customHeight="1">
      <c r="A800" s="219" t="n" cm="1">
        <f t="array" ref="A800">IFERROR(INDEX('03.Muestra'!$B$8:$B$42,SMALL(IF("Página Web"='03.Muestra'!$D$8:$D$42,ROW('03.Muestra'!$B$8:$B$42)-MIN(ROW('03.Muestra'!$D$8:$D$42))+1,""),ROW()-778)),"")</f>
        <v>1.0</v>
      </c>
      <c r="B800" s="114" t="str" cm="1">
        <f t="array" ref="B800">IFERROR(INDEX('03.Muestra'!$C$8:$C$42,SMALL(IF("Página Web"='03.Muestra'!$D$8:$D$42,ROW('03.Muestra'!$C$8:$C$42)-MIN(ROW('03.Muestra'!$D$8:$D$42))+1,""),ROW()-778)),"")</f>
        <v>Home - PortCastelló</v>
      </c>
      <c r="C800" s="114" t="str" cm="1">
        <f t="array" ref="C800">IFERROR(INDEX('03.Muestra'!$F$8:$F$42,SMALL(IF("Página Web"='03.Muestra'!$D$8:$D$42,ROW('03.Muestra'!$F$8:$F$42)-MIN(ROW('03.Muestra'!$D$8:$D$42))+1,""),ROW()-778)),"")</f>
        <v>https://www.portcastello.com/</v>
      </c>
      <c r="D800" s="130" t="str">
        <f t="shared" si="41"/>
        <v>N/T</v>
      </c>
      <c r="E800" s="107" t="str">
        <f t="shared" si="40"/>
        <v/>
      </c>
      <c r="F800" s="19"/>
      <c r="G800" s="19"/>
      <c r="H800" s="19"/>
      <c r="I800" s="19"/>
      <c r="J800" s="19"/>
      <c r="K800" s="233"/>
      <c r="L800" s="19"/>
      <c r="M800" s="19"/>
      <c r="N800" s="19"/>
      <c r="O800" s="19"/>
      <c r="P800" s="19"/>
      <c r="Q800" s="19"/>
      <c r="R800" s="19"/>
      <c r="S800" s="19"/>
      <c r="T800" s="19"/>
      <c r="U800" s="19"/>
      <c r="V800" s="19"/>
      <c r="W800" s="19"/>
      <c r="X800" s="19"/>
      <c r="Y800" s="19"/>
    </row>
    <row r="801" spans="1:25" ht="12" customHeight="1">
      <c r="A801" s="219" t="n" cm="1">
        <f t="array" ref="A801">IFERROR(INDEX('03.Muestra'!$B$8:$B$42,SMALL(IF("Página Web"='03.Muestra'!$D$8:$D$42,ROW('03.Muestra'!$B$8:$B$42)-MIN(ROW('03.Muestra'!$D$8:$D$42))+1,""),ROW()-778)),"")</f>
        <v>1.0</v>
      </c>
      <c r="B801" s="114" t="str" cm="1">
        <f t="array" ref="B801">IFERROR(INDEX('03.Muestra'!$C$8:$C$42,SMALL(IF("Página Web"='03.Muestra'!$D$8:$D$42,ROW('03.Muestra'!$C$8:$C$42)-MIN(ROW('03.Muestra'!$D$8:$D$42))+1,""),ROW()-778)),"")</f>
        <v>Home - PortCastelló</v>
      </c>
      <c r="C801" s="114" t="str" cm="1">
        <f t="array" ref="C801">IFERROR(INDEX('03.Muestra'!$F$8:$F$42,SMALL(IF("Página Web"='03.Muestra'!$D$8:$D$42,ROW('03.Muestra'!$F$8:$F$42)-MIN(ROW('03.Muestra'!$D$8:$D$42))+1,""),ROW()-778)),"")</f>
        <v>https://www.portcastello.com/</v>
      </c>
      <c r="D801" s="130" t="str">
        <f t="shared" si="41"/>
        <v>N/T</v>
      </c>
      <c r="E801" s="107" t="str">
        <f t="shared" si="40"/>
        <v/>
      </c>
      <c r="F801" s="19"/>
      <c r="G801" s="19"/>
      <c r="H801" s="19"/>
      <c r="I801" s="19"/>
      <c r="J801" s="19"/>
      <c r="K801" s="233"/>
      <c r="L801" s="19"/>
      <c r="M801" s="19"/>
      <c r="N801" s="19"/>
      <c r="O801" s="19"/>
      <c r="P801" s="19"/>
      <c r="Q801" s="19"/>
      <c r="R801" s="19"/>
      <c r="S801" s="19"/>
      <c r="T801" s="19"/>
      <c r="U801" s="19"/>
      <c r="V801" s="19"/>
      <c r="W801" s="19"/>
      <c r="X801" s="19"/>
      <c r="Y801" s="19"/>
    </row>
    <row r="802" spans="1:25" ht="12" customHeight="1">
      <c r="A802" s="219" t="n" cm="1">
        <f t="array" ref="A802">IFERROR(INDEX('03.Muestra'!$B$8:$B$42,SMALL(IF("Página Web"='03.Muestra'!$D$8:$D$42,ROW('03.Muestra'!$B$8:$B$42)-MIN(ROW('03.Muestra'!$D$8:$D$42))+1,""),ROW()-778)),"")</f>
        <v>1.0</v>
      </c>
      <c r="B802" s="114" t="str" cm="1">
        <f t="array" ref="B802">IFERROR(INDEX('03.Muestra'!$C$8:$C$42,SMALL(IF("Página Web"='03.Muestra'!$D$8:$D$42,ROW('03.Muestra'!$C$8:$C$42)-MIN(ROW('03.Muestra'!$D$8:$D$42))+1,""),ROW()-778)),"")</f>
        <v>Home - PortCastelló</v>
      </c>
      <c r="C802" s="114" t="str" cm="1">
        <f t="array" ref="C802">IFERROR(INDEX('03.Muestra'!$F$8:$F$42,SMALL(IF("Página Web"='03.Muestra'!$D$8:$D$42,ROW('03.Muestra'!$F$8:$F$42)-MIN(ROW('03.Muestra'!$D$8:$D$42))+1,""),ROW()-778)),"")</f>
        <v>https://www.portcastello.com/</v>
      </c>
      <c r="D802" s="130" t="str">
        <f t="shared" si="41"/>
        <v>N/T</v>
      </c>
      <c r="E802" s="107" t="str">
        <f t="shared" si="40"/>
        <v/>
      </c>
      <c r="F802" s="19"/>
      <c r="G802" s="19"/>
      <c r="H802" s="19"/>
      <c r="I802" s="19"/>
      <c r="J802" s="19"/>
      <c r="K802" s="233"/>
      <c r="L802" s="19"/>
      <c r="M802" s="19"/>
      <c r="N802" s="19"/>
      <c r="O802" s="19"/>
      <c r="P802" s="19"/>
      <c r="Q802" s="19"/>
      <c r="R802" s="19"/>
      <c r="S802" s="19"/>
      <c r="T802" s="19"/>
      <c r="U802" s="19"/>
      <c r="V802" s="19"/>
      <c r="W802" s="19"/>
      <c r="X802" s="19"/>
      <c r="Y802" s="19"/>
    </row>
    <row r="803" spans="1:25" ht="12" customHeight="1">
      <c r="A803" s="219" t="n" cm="1">
        <f t="array" ref="A803">IFERROR(INDEX('03.Muestra'!$B$8:$B$42,SMALL(IF("Página Web"='03.Muestra'!$D$8:$D$42,ROW('03.Muestra'!$B$8:$B$42)-MIN(ROW('03.Muestra'!$D$8:$D$42))+1,""),ROW()-778)),"")</f>
        <v>1.0</v>
      </c>
      <c r="B803" s="114" t="str" cm="1">
        <f t="array" ref="B803">IFERROR(INDEX('03.Muestra'!$C$8:$C$42,SMALL(IF("Página Web"='03.Muestra'!$D$8:$D$42,ROW('03.Muestra'!$C$8:$C$42)-MIN(ROW('03.Muestra'!$D$8:$D$42))+1,""),ROW()-778)),"")</f>
        <v>Home - PortCastelló</v>
      </c>
      <c r="C803" s="114" t="str" cm="1">
        <f t="array" ref="C803">IFERROR(INDEX('03.Muestra'!$F$8:$F$42,SMALL(IF("Página Web"='03.Muestra'!$D$8:$D$42,ROW('03.Muestra'!$F$8:$F$42)-MIN(ROW('03.Muestra'!$D$8:$D$42))+1,""),ROW()-778)),"")</f>
        <v>https://www.portcastello.com/</v>
      </c>
      <c r="D803" s="130" t="str">
        <f t="shared" si="41"/>
        <v>N/T</v>
      </c>
      <c r="E803" s="107" t="str">
        <f t="shared" si="40"/>
        <v/>
      </c>
      <c r="F803" s="19"/>
      <c r="G803" s="19"/>
      <c r="H803" s="19"/>
      <c r="I803" s="19"/>
      <c r="J803" s="19"/>
      <c r="K803" s="233"/>
      <c r="L803" s="19"/>
      <c r="M803" s="19"/>
      <c r="N803" s="19"/>
      <c r="O803" s="19"/>
      <c r="P803" s="19"/>
      <c r="Q803" s="19"/>
      <c r="R803" s="19"/>
      <c r="S803" s="19"/>
      <c r="T803" s="19"/>
      <c r="U803" s="19"/>
      <c r="V803" s="19"/>
      <c r="W803" s="19"/>
      <c r="X803" s="19"/>
      <c r="Y803" s="19"/>
    </row>
    <row r="804" spans="1:25" ht="12" customHeight="1">
      <c r="A804" s="219" t="n" cm="1">
        <f t="array" ref="A804">IFERROR(INDEX('03.Muestra'!$B$8:$B$42,SMALL(IF("Página Web"='03.Muestra'!$D$8:$D$42,ROW('03.Muestra'!$B$8:$B$42)-MIN(ROW('03.Muestra'!$D$8:$D$42))+1,""),ROW()-778)),"")</f>
        <v>1.0</v>
      </c>
      <c r="B804" s="114" t="str" cm="1">
        <f t="array" ref="B804">IFERROR(INDEX('03.Muestra'!$C$8:$C$42,SMALL(IF("Página Web"='03.Muestra'!$D$8:$D$42,ROW('03.Muestra'!$C$8:$C$42)-MIN(ROW('03.Muestra'!$D$8:$D$42))+1,""),ROW()-778)),"")</f>
        <v>Home - PortCastelló</v>
      </c>
      <c r="C804" s="114" t="str" cm="1">
        <f t="array" ref="C804">IFERROR(INDEX('03.Muestra'!$F$8:$F$42,SMALL(IF("Página Web"='03.Muestra'!$D$8:$D$42,ROW('03.Muestra'!$F$8:$F$42)-MIN(ROW('03.Muestra'!$D$8:$D$42))+1,""),ROW()-778)),"")</f>
        <v>https://www.portcastello.com/</v>
      </c>
      <c r="D804" s="130" t="str">
        <f t="shared" si="41"/>
        <v>N/T</v>
      </c>
      <c r="E804" s="107" t="str">
        <f t="shared" si="40"/>
        <v/>
      </c>
      <c r="F804" s="19"/>
      <c r="G804" s="19"/>
      <c r="H804" s="19"/>
      <c r="I804" s="19"/>
      <c r="J804" s="19"/>
      <c r="K804" s="233"/>
      <c r="L804" s="19"/>
      <c r="M804" s="19"/>
      <c r="N804" s="19"/>
      <c r="O804" s="19"/>
      <c r="P804" s="19"/>
      <c r="Q804" s="19"/>
      <c r="R804" s="19"/>
      <c r="S804" s="19"/>
      <c r="T804" s="19"/>
      <c r="U804" s="19"/>
      <c r="V804" s="19"/>
      <c r="W804" s="19"/>
      <c r="X804" s="19"/>
      <c r="Y804" s="19"/>
    </row>
    <row r="805" spans="1:25" ht="12" customHeight="1">
      <c r="A805" s="219" t="n" cm="1">
        <f t="array" ref="A805">IFERROR(INDEX('03.Muestra'!$B$8:$B$42,SMALL(IF("Página Web"='03.Muestra'!$D$8:$D$42,ROW('03.Muestra'!$B$8:$B$42)-MIN(ROW('03.Muestra'!$D$8:$D$42))+1,""),ROW()-778)),"")</f>
        <v>1.0</v>
      </c>
      <c r="B805" s="114" t="str" cm="1">
        <f t="array" ref="B805">IFERROR(INDEX('03.Muestra'!$C$8:$C$42,SMALL(IF("Página Web"='03.Muestra'!$D$8:$D$42,ROW('03.Muestra'!$C$8:$C$42)-MIN(ROW('03.Muestra'!$D$8:$D$42))+1,""),ROW()-778)),"")</f>
        <v>Home - PortCastelló</v>
      </c>
      <c r="C805" s="114" t="str" cm="1">
        <f t="array" ref="C805">IFERROR(INDEX('03.Muestra'!$F$8:$F$42,SMALL(IF("Página Web"='03.Muestra'!$D$8:$D$42,ROW('03.Muestra'!$F$8:$F$42)-MIN(ROW('03.Muestra'!$D$8:$D$42))+1,""),ROW()-778)),"")</f>
        <v>https://www.portcastello.com/</v>
      </c>
      <c r="D805" s="130" t="str">
        <f t="shared" si="41"/>
        <v>N/T</v>
      </c>
      <c r="E805" s="107" t="str">
        <f t="shared" si="40"/>
        <v/>
      </c>
      <c r="F805" s="19"/>
      <c r="G805" s="19"/>
      <c r="H805" s="19"/>
      <c r="I805" s="19"/>
      <c r="J805" s="19"/>
      <c r="K805" s="233"/>
      <c r="L805" s="19"/>
      <c r="M805" s="19"/>
      <c r="N805" s="19"/>
      <c r="O805" s="19"/>
      <c r="P805" s="19"/>
      <c r="Q805" s="19"/>
      <c r="R805" s="19"/>
      <c r="S805" s="19"/>
      <c r="T805" s="19"/>
      <c r="U805" s="19"/>
      <c r="V805" s="19"/>
      <c r="W805" s="19"/>
      <c r="X805" s="19"/>
      <c r="Y805" s="19"/>
    </row>
    <row r="806" spans="1:25" ht="12" customHeight="1">
      <c r="A806" s="219" t="n" cm="1">
        <f t="array" ref="A806">IFERROR(INDEX('03.Muestra'!$B$8:$B$42,SMALL(IF("Página Web"='03.Muestra'!$D$8:$D$42,ROW('03.Muestra'!$B$8:$B$42)-MIN(ROW('03.Muestra'!$D$8:$D$42))+1,""),ROW()-778)),"")</f>
        <v>1.0</v>
      </c>
      <c r="B806" s="114" t="str" cm="1">
        <f t="array" ref="B806">IFERROR(INDEX('03.Muestra'!$C$8:$C$42,SMALL(IF("Página Web"='03.Muestra'!$D$8:$D$42,ROW('03.Muestra'!$C$8:$C$42)-MIN(ROW('03.Muestra'!$D$8:$D$42))+1,""),ROW()-778)),"")</f>
        <v>Home - PortCastelló</v>
      </c>
      <c r="C806" s="114" t="str" cm="1">
        <f t="array" ref="C806">IFERROR(INDEX('03.Muestra'!$F$8:$F$42,SMALL(IF("Página Web"='03.Muestra'!$D$8:$D$42,ROW('03.Muestra'!$F$8:$F$42)-MIN(ROW('03.Muestra'!$D$8:$D$42))+1,""),ROW()-778)),"")</f>
        <v>https://www.portcastello.com/</v>
      </c>
      <c r="D806" s="130" t="str">
        <f t="shared" si="41"/>
        <v>N/T</v>
      </c>
      <c r="E806" s="107" t="str">
        <f t="shared" si="40"/>
        <v/>
      </c>
      <c r="G806" s="19"/>
      <c r="H806" s="19"/>
      <c r="I806" s="19"/>
      <c r="J806" s="19"/>
      <c r="K806" s="233"/>
      <c r="L806" s="19"/>
      <c r="M806" s="19"/>
      <c r="N806" s="19"/>
      <c r="O806" s="19"/>
      <c r="P806" s="19"/>
      <c r="Q806" s="19"/>
      <c r="R806" s="19"/>
      <c r="S806" s="19"/>
      <c r="T806" s="19"/>
      <c r="U806" s="19"/>
      <c r="V806" s="19"/>
      <c r="W806" s="19"/>
      <c r="X806" s="19"/>
      <c r="Y806" s="19"/>
    </row>
    <row r="807" spans="1:25" ht="12" customHeight="1">
      <c r="A807" s="219" t="n" cm="1">
        <f t="array" ref="A807">IFERROR(INDEX('03.Muestra'!$B$8:$B$42,SMALL(IF("Página Web"='03.Muestra'!$D$8:$D$42,ROW('03.Muestra'!$B$8:$B$42)-MIN(ROW('03.Muestra'!$D$8:$D$42))+1,""),ROW()-778)),"")</f>
        <v>1.0</v>
      </c>
      <c r="B807" s="114" t="str" cm="1">
        <f t="array" ref="B807">IFERROR(INDEX('03.Muestra'!$C$8:$C$42,SMALL(IF("Página Web"='03.Muestra'!$D$8:$D$42,ROW('03.Muestra'!$C$8:$C$42)-MIN(ROW('03.Muestra'!$D$8:$D$42))+1,""),ROW()-778)),"")</f>
        <v>Home - PortCastelló</v>
      </c>
      <c r="C807" s="114" t="str" cm="1">
        <f t="array" ref="C807">IFERROR(INDEX('03.Muestra'!$F$8:$F$42,SMALL(IF("Página Web"='03.Muestra'!$D$8:$D$42,ROW('03.Muestra'!$F$8:$F$42)-MIN(ROW('03.Muestra'!$D$8:$D$42))+1,""),ROW()-778)),"")</f>
        <v>https://www.portcastello.com/</v>
      </c>
      <c r="D807" s="130" t="str">
        <f t="shared" si="41"/>
        <v>N/T</v>
      </c>
      <c r="E807" s="107" t="str">
        <f t="shared" si="40"/>
        <v/>
      </c>
      <c r="F807" s="124"/>
      <c r="G807" s="19"/>
      <c r="H807" s="19"/>
      <c r="I807" s="19"/>
      <c r="J807" s="19"/>
      <c r="K807" s="233"/>
      <c r="L807" s="19"/>
      <c r="M807" s="19"/>
      <c r="N807" s="19"/>
      <c r="O807" s="19"/>
      <c r="P807" s="19"/>
      <c r="Q807" s="19"/>
      <c r="R807" s="19"/>
      <c r="S807" s="19"/>
      <c r="T807" s="19"/>
      <c r="U807" s="19"/>
      <c r="V807" s="19"/>
      <c r="W807" s="19"/>
      <c r="X807" s="19"/>
      <c r="Y807" s="19"/>
    </row>
    <row r="808" spans="1:25" ht="12" customHeight="1">
      <c r="A808" s="219" t="n" cm="1">
        <f t="array" ref="A808">IFERROR(INDEX('03.Muestra'!$B$8:$B$42,SMALL(IF("Página Web"='03.Muestra'!$D$8:$D$42,ROW('03.Muestra'!$B$8:$B$42)-MIN(ROW('03.Muestra'!$D$8:$D$42))+1,""),ROW()-778)),"")</f>
        <v>1.0</v>
      </c>
      <c r="B808" s="114" t="str" cm="1">
        <f t="array" ref="B808">IFERROR(INDEX('03.Muestra'!$C$8:$C$42,SMALL(IF("Página Web"='03.Muestra'!$D$8:$D$42,ROW('03.Muestra'!$C$8:$C$42)-MIN(ROW('03.Muestra'!$D$8:$D$42))+1,""),ROW()-778)),"")</f>
        <v>Home - PortCastelló</v>
      </c>
      <c r="C808" s="114" t="str" cm="1">
        <f t="array" ref="C808">IFERROR(INDEX('03.Muestra'!$F$8:$F$42,SMALL(IF("Página Web"='03.Muestra'!$D$8:$D$42,ROW('03.Muestra'!$F$8:$F$42)-MIN(ROW('03.Muestra'!$D$8:$D$42))+1,""),ROW()-778)),"")</f>
        <v>https://www.portcastello.com/</v>
      </c>
      <c r="D808" s="130" t="str">
        <f t="shared" si="41"/>
        <v>N/T</v>
      </c>
      <c r="E808" s="107" t="str">
        <f t="shared" si="40"/>
        <v/>
      </c>
      <c r="F808" s="124"/>
      <c r="G808" s="19"/>
      <c r="H808" s="19"/>
      <c r="I808" s="19"/>
      <c r="J808" s="19"/>
      <c r="K808" s="233"/>
      <c r="L808" s="19"/>
      <c r="M808" s="19"/>
      <c r="N808" s="19"/>
      <c r="O808" s="19"/>
      <c r="P808" s="19"/>
      <c r="Q808" s="19"/>
      <c r="R808" s="19"/>
      <c r="S808" s="19"/>
      <c r="T808" s="19"/>
      <c r="U808" s="19"/>
      <c r="V808" s="19"/>
      <c r="W808" s="19"/>
      <c r="X808" s="19"/>
      <c r="Y808" s="19"/>
    </row>
    <row r="809" spans="1:25" ht="12" customHeight="1">
      <c r="A809" s="219" t="n" cm="1">
        <f t="array" ref="A809">IFERROR(INDEX('03.Muestra'!$B$8:$B$42,SMALL(IF("Página Web"='03.Muestra'!$D$8:$D$42,ROW('03.Muestra'!$B$8:$B$42)-MIN(ROW('03.Muestra'!$D$8:$D$42))+1,""),ROW()-778)),"")</f>
        <v>1.0</v>
      </c>
      <c r="B809" s="114" t="str" cm="1">
        <f t="array" ref="B809">IFERROR(INDEX('03.Muestra'!$C$8:$C$42,SMALL(IF("Página Web"='03.Muestra'!$D$8:$D$42,ROW('03.Muestra'!$C$8:$C$42)-MIN(ROW('03.Muestra'!$D$8:$D$42))+1,""),ROW()-778)),"")</f>
        <v>Home - PortCastelló</v>
      </c>
      <c r="C809" s="114" t="str" cm="1">
        <f t="array" ref="C809">IFERROR(INDEX('03.Muestra'!$F$8:$F$42,SMALL(IF("Página Web"='03.Muestra'!$D$8:$D$42,ROW('03.Muestra'!$F$8:$F$42)-MIN(ROW('03.Muestra'!$D$8:$D$42))+1,""),ROW()-778)),"")</f>
        <v>https://www.portcastello.com/</v>
      </c>
      <c r="D809" s="130" t="str">
        <f t="shared" si="41"/>
        <v>N/T</v>
      </c>
      <c r="E809" s="107" t="str">
        <f t="shared" si="40"/>
        <v/>
      </c>
      <c r="F809" s="124"/>
      <c r="G809" s="19"/>
      <c r="H809" s="19"/>
      <c r="I809" s="19"/>
      <c r="J809" s="19"/>
      <c r="K809" s="233"/>
      <c r="L809" s="19"/>
      <c r="M809" s="19"/>
      <c r="N809" s="19"/>
      <c r="O809" s="19"/>
      <c r="P809" s="19"/>
      <c r="Q809" s="19"/>
      <c r="R809" s="19"/>
      <c r="S809" s="19"/>
      <c r="T809" s="19"/>
      <c r="U809" s="19"/>
      <c r="V809" s="19"/>
      <c r="W809" s="19"/>
      <c r="X809" s="19"/>
      <c r="Y809" s="19"/>
    </row>
    <row r="810" spans="1:25" ht="12" customHeight="1">
      <c r="A810" s="219" t="n" cm="1">
        <f t="array" ref="A810">IFERROR(INDEX('03.Muestra'!$B$8:$B$42,SMALL(IF("Página Web"='03.Muestra'!$D$8:$D$42,ROW('03.Muestra'!$B$8:$B$42)-MIN(ROW('03.Muestra'!$D$8:$D$42))+1,""),ROW()-778)),"")</f>
        <v>1.0</v>
      </c>
      <c r="B810" s="114" t="str" cm="1">
        <f t="array" ref="B810">IFERROR(INDEX('03.Muestra'!$C$8:$C$42,SMALL(IF("Página Web"='03.Muestra'!$D$8:$D$42,ROW('03.Muestra'!$C$8:$C$42)-MIN(ROW('03.Muestra'!$D$8:$D$42))+1,""),ROW()-778)),"")</f>
        <v>Home - PortCastelló</v>
      </c>
      <c r="C810" s="114" t="str" cm="1">
        <f t="array" ref="C810">IFERROR(INDEX('03.Muestra'!$F$8:$F$42,SMALL(IF("Página Web"='03.Muestra'!$D$8:$D$42,ROW('03.Muestra'!$F$8:$F$42)-MIN(ROW('03.Muestra'!$D$8:$D$42))+1,""),ROW()-778)),"")</f>
        <v>https://www.portcastello.com/</v>
      </c>
      <c r="D810" s="130" t="str">
        <f t="shared" si="41"/>
        <v>N/T</v>
      </c>
      <c r="E810" s="107" t="str">
        <f t="shared" si="40"/>
        <v/>
      </c>
      <c r="F810" s="124"/>
      <c r="G810" s="19"/>
      <c r="H810" s="19"/>
      <c r="I810" s="19"/>
      <c r="J810" s="19"/>
      <c r="K810" s="233"/>
      <c r="L810" s="19"/>
      <c r="M810" s="19"/>
      <c r="N810" s="19"/>
      <c r="O810" s="19"/>
      <c r="P810" s="19"/>
      <c r="Q810" s="19"/>
      <c r="R810" s="19"/>
      <c r="S810" s="19"/>
      <c r="T810" s="19"/>
      <c r="U810" s="19"/>
      <c r="V810" s="19"/>
      <c r="W810" s="19"/>
      <c r="X810" s="19"/>
      <c r="Y810" s="19"/>
    </row>
    <row r="811" spans="1:25" ht="12" customHeight="1">
      <c r="A811" s="219" t="n" cm="1">
        <f t="array" ref="A811">IFERROR(INDEX('03.Muestra'!$B$8:$B$42,SMALL(IF("Página Web"='03.Muestra'!$D$8:$D$42,ROW('03.Muestra'!$B$8:$B$42)-MIN(ROW('03.Muestra'!$D$8:$D$42))+1,""),ROW()-778)),"")</f>
        <v>1.0</v>
      </c>
      <c r="B811" s="114" t="str" cm="1">
        <f t="array" ref="B811">IFERROR(INDEX('03.Muestra'!$C$8:$C$42,SMALL(IF("Página Web"='03.Muestra'!$D$8:$D$42,ROW('03.Muestra'!$C$8:$C$42)-MIN(ROW('03.Muestra'!$D$8:$D$42))+1,""),ROW()-778)),"")</f>
        <v>Home - PortCastelló</v>
      </c>
      <c r="C811" s="114" t="str" cm="1">
        <f t="array" ref="C811">IFERROR(INDEX('03.Muestra'!$F$8:$F$42,SMALL(IF("Página Web"='03.Muestra'!$D$8:$D$42,ROW('03.Muestra'!$F$8:$F$42)-MIN(ROW('03.Muestra'!$D$8:$D$42))+1,""),ROW()-778)),"")</f>
        <v>https://www.portcastello.com/</v>
      </c>
      <c r="D811" s="130" t="str">
        <f t="shared" si="41"/>
        <v>N/T</v>
      </c>
      <c r="E811" s="107" t="str">
        <f t="shared" si="40"/>
        <v/>
      </c>
      <c r="F811" s="124"/>
      <c r="G811" s="19"/>
      <c r="H811" s="19"/>
      <c r="I811" s="19"/>
      <c r="J811" s="19"/>
      <c r="K811" s="233"/>
      <c r="L811" s="19"/>
      <c r="M811" s="19"/>
      <c r="N811" s="19"/>
      <c r="O811" s="19"/>
      <c r="P811" s="19"/>
      <c r="Q811" s="19"/>
      <c r="R811" s="19"/>
      <c r="S811" s="19"/>
      <c r="T811" s="19"/>
      <c r="U811" s="19"/>
      <c r="V811" s="19"/>
      <c r="W811" s="19"/>
      <c r="X811" s="19"/>
      <c r="Y811" s="19"/>
    </row>
    <row r="812" spans="1:25" ht="12" customHeight="1">
      <c r="A812" s="219" t="str" cm="1">
        <f t="array" ref="A812">IFERROR(INDEX('03.Muestra'!$B$8:$B$42,SMALL(IF("Página Web"='03.Muestra'!$D$8:$D$42,ROW('03.Muestra'!$B$8:$B$42)-MIN(ROW('03.Muestra'!$D$8:$D$42))+1,""),ROW()-778)),"")</f>
        <v/>
      </c>
      <c r="B812" s="114" t="str" cm="1">
        <f t="array" ref="B812">IFERROR(INDEX('03.Muestra'!$C$8:$C$42,SMALL(IF("Página Web"='03.Muestra'!$D$8:$D$42,ROW('03.Muestra'!$C$8:$C$42)-MIN(ROW('03.Muestra'!$D$8:$D$42))+1,""),ROW()-778)),"")</f>
        <v/>
      </c>
      <c r="C812" s="114" t="str" cm="1">
        <f t="array" ref="C812">IFERROR(INDEX('03.Muestra'!$F$8:$F$42,SMALL(IF("Página Web"='03.Muestra'!$D$8:$D$42,ROW('03.Muestra'!$F$8:$F$42)-MIN(ROW('03.Muestra'!$D$8:$D$42))+1,""),ROW()-778)),"")</f>
        <v/>
      </c>
      <c r="D812" s="130" t="str">
        <f t="shared" si="41"/>
        <v/>
      </c>
      <c r="E812" s="107" t="str">
        <f t="shared" si="40"/>
        <v/>
      </c>
      <c r="F812" s="124"/>
      <c r="G812" s="19"/>
      <c r="H812" s="19"/>
      <c r="I812" s="19"/>
      <c r="J812" s="19"/>
      <c r="K812" s="233"/>
      <c r="L812" s="19"/>
      <c r="M812" s="19"/>
      <c r="N812" s="19"/>
      <c r="O812" s="19"/>
      <c r="P812" s="19"/>
      <c r="Q812" s="19"/>
      <c r="R812" s="19"/>
      <c r="S812" s="19"/>
      <c r="T812" s="19"/>
      <c r="U812" s="19"/>
      <c r="V812" s="19"/>
      <c r="W812" s="19"/>
      <c r="X812" s="19"/>
      <c r="Y812" s="19"/>
    </row>
    <row r="813" spans="1:25" ht="12" customHeight="1">
      <c r="A813" s="219" t="str" cm="1">
        <f t="array" ref="A813">IFERROR(INDEX('03.Muestra'!$B$8:$B$42,SMALL(IF("Página Web"='03.Muestra'!$D$8:$D$42,ROW('03.Muestra'!$B$8:$B$42)-MIN(ROW('03.Muestra'!$D$8:$D$42))+1,""),ROW()-778)),"")</f>
        <v/>
      </c>
      <c r="B813" s="114" t="str" cm="1">
        <f t="array" ref="B813">IFERROR(INDEX('03.Muestra'!$C$8:$C$42,SMALL(IF("Página Web"='03.Muestra'!$D$8:$D$42,ROW('03.Muestra'!$C$8:$C$42)-MIN(ROW('03.Muestra'!$D$8:$D$42))+1,""),ROW()-778)),"")</f>
        <v/>
      </c>
      <c r="C813" s="114" t="str" cm="1">
        <f t="array" ref="C813">IFERROR(INDEX('03.Muestra'!$F$8:$F$42,SMALL(IF("Página Web"='03.Muestra'!$D$8:$D$42,ROW('03.Muestra'!$F$8:$F$42)-MIN(ROW('03.Muestra'!$D$8:$D$42))+1,""),ROW()-778)),"")</f>
        <v/>
      </c>
      <c r="D813" s="130" t="str">
        <f t="shared" si="41"/>
        <v/>
      </c>
      <c r="E813" s="107" t="str">
        <f t="shared" si="40"/>
        <v/>
      </c>
      <c r="F813" s="19"/>
      <c r="G813" s="19"/>
      <c r="H813" s="19"/>
      <c r="I813" s="19"/>
      <c r="J813" s="19"/>
      <c r="K813" s="233"/>
      <c r="L813" s="19"/>
      <c r="M813" s="19"/>
      <c r="N813" s="19"/>
      <c r="O813" s="19"/>
      <c r="P813" s="19"/>
      <c r="Q813" s="19"/>
      <c r="R813" s="19"/>
      <c r="S813" s="19"/>
      <c r="T813" s="19"/>
      <c r="U813" s="19"/>
      <c r="V813" s="19"/>
      <c r="W813" s="19"/>
      <c r="X813" s="19"/>
      <c r="Y813" s="19"/>
    </row>
    <row r="814" spans="1:25" ht="12" customHeight="1">
      <c r="B814" s="19"/>
      <c r="C814" s="19"/>
      <c r="D814" s="19"/>
      <c r="E814" s="19"/>
      <c r="F814" s="19"/>
      <c r="G814" s="19"/>
      <c r="H814" s="19"/>
      <c r="I814" s="19"/>
      <c r="J814" s="19"/>
      <c r="K814" s="233"/>
      <c r="L814" s="19"/>
      <c r="M814" s="19"/>
      <c r="N814" s="19"/>
      <c r="O814" s="19"/>
      <c r="P814" s="19"/>
      <c r="Q814" s="19"/>
      <c r="R814" s="19"/>
      <c r="S814" s="19"/>
      <c r="T814" s="19"/>
      <c r="U814" s="19"/>
      <c r="V814" s="19"/>
      <c r="W814" s="19"/>
      <c r="X814" s="19"/>
      <c r="Y814" s="19"/>
    </row>
    <row r="815" spans="1:25" ht="12" customHeight="1">
      <c r="B815" s="126"/>
      <c r="C815" s="19"/>
      <c r="D815" s="19"/>
      <c r="E815" s="112"/>
      <c r="F815" s="19"/>
      <c r="G815" s="19"/>
      <c r="H815" s="19"/>
      <c r="I815" s="19"/>
      <c r="J815" s="19"/>
      <c r="K815" s="233"/>
      <c r="L815" s="19"/>
      <c r="M815" s="19"/>
      <c r="N815" s="19"/>
      <c r="O815" s="19"/>
      <c r="P815" s="19"/>
      <c r="Q815" s="19"/>
      <c r="R815" s="19"/>
      <c r="S815" s="19"/>
      <c r="T815" s="19"/>
      <c r="U815" s="19"/>
      <c r="V815" s="19"/>
      <c r="W815" s="19"/>
      <c r="X815" s="19"/>
      <c r="Y815" s="19"/>
    </row>
    <row r="816" spans="1:25" ht="29.25" customHeight="1">
      <c r="A816" s="218" t="s">
        <v>268</v>
      </c>
      <c r="B816" s="24" t="s">
        <v>90</v>
      </c>
      <c r="C816" s="25" t="s">
        <v>394</v>
      </c>
      <c r="D816" s="26" t="s">
        <v>32</v>
      </c>
      <c r="E816" s="123"/>
      <c r="K816" s="233"/>
      <c r="L816" s="19"/>
      <c r="M816" s="19"/>
      <c r="N816" s="19"/>
      <c r="O816" s="19"/>
      <c r="P816" s="19"/>
      <c r="Q816" s="19"/>
      <c r="R816" s="19"/>
      <c r="S816" s="19"/>
      <c r="T816" s="19"/>
      <c r="U816" s="19"/>
      <c r="V816" s="19"/>
      <c r="W816" s="19"/>
      <c r="X816" s="19"/>
      <c r="Y816" s="19"/>
    </row>
    <row r="817" spans="1:25" ht="12" customHeight="1">
      <c r="A817" s="219" t="n" cm="1">
        <f t="array" ref="A817">IFERROR(INDEX('03.Muestra'!$B$8:$B$42,SMALL(IF("Página Web"='03.Muestra'!$D$8:$D$42,ROW('03.Muestra'!$B$8:$B$42)-MIN(ROW('03.Muestra'!$D$8:$D$42))+1,""),ROW()-816)),"")</f>
        <v>1.0</v>
      </c>
      <c r="B817" s="114" t="str" cm="1">
        <f t="array" ref="B817">IFERROR(INDEX('03.Muestra'!$C$8:$C$42,SMALL(IF("Página Web"='03.Muestra'!$D$8:$D$42,ROW('03.Muestra'!$C$8:$C$42)-MIN(ROW('03.Muestra'!$D$8:$D$42))+1,""),ROW()-816)),"")</f>
        <v>Home - PortCastelló</v>
      </c>
      <c r="C817" s="114" t="str" cm="1">
        <f t="array" ref="C817">IFERROR(INDEX('03.Muestra'!$F$8:$F$42,SMALL(IF("Página Web"='03.Muestra'!$D$8:$D$42,ROW('03.Muestra'!$F$8:$F$42)-MIN(ROW('03.Muestra'!$D$8:$D$42))+1,""),ROW()-816)),"")</f>
        <v>https://www.portcastello.com/</v>
      </c>
      <c r="D817" s="130" t="str">
        <f>IF(AND(B817&lt;&gt;"",C817&lt;&gt;""),"N/T","")</f>
        <v>N/T</v>
      </c>
      <c r="E817" s="107" t="str">
        <f t="shared" ref="E817:E851" si="42">IF(D817&lt;&gt;"",IF(AND(B817&lt;&gt;"",C817&lt;&gt;""),"","ERR"),"")</f>
        <v/>
      </c>
      <c r="F817" s="115" t="s">
        <v>33</v>
      </c>
      <c r="G817" s="116" t="s">
        <v>37</v>
      </c>
      <c r="H817" s="117" t="s">
        <v>35</v>
      </c>
      <c r="I817" s="118" t="s">
        <v>28</v>
      </c>
      <c r="J817" s="119" t="s">
        <v>26</v>
      </c>
      <c r="K817" s="226" t="s">
        <v>474</v>
      </c>
      <c r="L817" s="19"/>
      <c r="M817" s="19"/>
      <c r="N817" s="19"/>
      <c r="O817" s="19"/>
      <c r="P817" s="19"/>
      <c r="Q817" s="19"/>
      <c r="R817" s="19"/>
      <c r="S817" s="19"/>
      <c r="T817" s="19"/>
      <c r="U817" s="19"/>
      <c r="V817" s="19"/>
      <c r="W817" s="19"/>
      <c r="X817" s="19"/>
      <c r="Y817" s="19"/>
    </row>
    <row r="818" spans="1:25" ht="12" customHeight="1">
      <c r="A818" s="219" t="n" cm="1">
        <f t="array" ref="A818">IFERROR(INDEX('03.Muestra'!$B$8:$B$42,SMALL(IF("Página Web"='03.Muestra'!$D$8:$D$42,ROW('03.Muestra'!$B$8:$B$42)-MIN(ROW('03.Muestra'!$D$8:$D$42))+1,""),ROW()-816)),"")</f>
        <v>1.0</v>
      </c>
      <c r="B818" s="114" t="str" cm="1">
        <f t="array" ref="B818">IFERROR(INDEX('03.Muestra'!$C$8:$C$42,SMALL(IF("Página Web"='03.Muestra'!$D$8:$D$42,ROW('03.Muestra'!$C$8:$C$42)-MIN(ROW('03.Muestra'!$D$8:$D$42))+1,""),ROW()-816)),"")</f>
        <v>Home - PortCastelló</v>
      </c>
      <c r="C818" s="114" t="str" cm="1">
        <f t="array" ref="C818">IFERROR(INDEX('03.Muestra'!$F$8:$F$42,SMALL(IF("Página Web"='03.Muestra'!$D$8:$D$42,ROW('03.Muestra'!$F$8:$F$42)-MIN(ROW('03.Muestra'!$D$8:$D$42))+1,""),ROW()-816)),"")</f>
        <v>https://www.portcastello.com/</v>
      </c>
      <c r="D818" s="130" t="str">
        <f t="shared" ref="D818:D851" si="43">IF(AND(B818&lt;&gt;"",C818&lt;&gt;""),"N/T","")</f>
        <v>N/T</v>
      </c>
      <c r="E818" s="107" t="str">
        <f t="shared" si="42"/>
        <v/>
      </c>
      <c r="F818" s="120" t="n">
        <f ca="1">COUNTIF($D817:INDIRECT("$D" &amp;  SUM(ROW()-1,'03.Muestra'!$D$45)-1),F817)</f>
        <v>33.0</v>
      </c>
      <c r="G818" s="120" t="n">
        <f ca="1">COUNTIF($D817:INDIRECT("$D" &amp;  SUM(ROW()-1,'03.Muestra'!$D$45)-1),G817)</f>
        <v>0.0</v>
      </c>
      <c r="H818" s="120" t="n">
        <f ca="1">COUNTIF($D817:INDIRECT("$D" &amp;  SUM(ROW()-1,'03.Muestra'!$D$45)-1),H817)</f>
        <v>0.0</v>
      </c>
      <c r="I818" s="120" t="n">
        <f ca="1">COUNTIF($D817:INDIRECT("$D" &amp;  SUM(ROW()-1,'03.Muestra'!$D$45)-1),I817)</f>
        <v>0.0</v>
      </c>
      <c r="J818" s="120" t="n">
        <f ca="1">COUNTIF($D817:INDIRECT("$D" &amp;  SUM(ROW()-1,'03.Muestra'!$D$45)-1),J817)</f>
        <v>0.0</v>
      </c>
      <c r="K818" s="227" t="n">
        <f ca="1">IF(COUNTIF('03.Muestra'!$D$8:$D$42,"Página Web")=0,0,COUNTBLANK($D817:INDIRECT("$D" &amp;  SUM(ROW()-1,COUNTIF('03.Muestra'!$D$8:$D$42,"Página Web"))-1)))</f>
        <v>0.0</v>
      </c>
      <c r="L818" s="19"/>
      <c r="M818" s="19"/>
      <c r="N818" s="19"/>
      <c r="O818" s="19"/>
      <c r="P818" s="19"/>
      <c r="Q818" s="19"/>
      <c r="R818" s="19"/>
      <c r="S818" s="19"/>
      <c r="T818" s="19"/>
      <c r="U818" s="19"/>
      <c r="V818" s="19"/>
      <c r="W818" s="19"/>
      <c r="X818" s="19"/>
      <c r="Y818" s="19"/>
    </row>
    <row r="819" spans="1:25" ht="12" customHeight="1">
      <c r="A819" s="219" t="n" cm="1">
        <f t="array" ref="A819">IFERROR(INDEX('03.Muestra'!$B$8:$B$42,SMALL(IF("Página Web"='03.Muestra'!$D$8:$D$42,ROW('03.Muestra'!$B$8:$B$42)-MIN(ROW('03.Muestra'!$D$8:$D$42))+1,""),ROW()-816)),"")</f>
        <v>1.0</v>
      </c>
      <c r="B819" s="114" t="str" cm="1">
        <f t="array" ref="B819">IFERROR(INDEX('03.Muestra'!$C$8:$C$42,SMALL(IF("Página Web"='03.Muestra'!$D$8:$D$42,ROW('03.Muestra'!$C$8:$C$42)-MIN(ROW('03.Muestra'!$D$8:$D$42))+1,""),ROW()-816)),"")</f>
        <v>Home - PortCastelló</v>
      </c>
      <c r="C819" s="114" t="str" cm="1">
        <f t="array" ref="C819">IFERROR(INDEX('03.Muestra'!$F$8:$F$42,SMALL(IF("Página Web"='03.Muestra'!$D$8:$D$42,ROW('03.Muestra'!$F$8:$F$42)-MIN(ROW('03.Muestra'!$D$8:$D$42))+1,""),ROW()-816)),"")</f>
        <v>https://www.portcastello.com/</v>
      </c>
      <c r="D819" s="130" t="str">
        <f t="shared" si="43"/>
        <v>N/T</v>
      </c>
      <c r="E819" s="107" t="str">
        <f t="shared" si="42"/>
        <v/>
      </c>
      <c r="G819" s="19"/>
      <c r="H819" s="19"/>
      <c r="I819" s="19"/>
      <c r="J819" s="19"/>
      <c r="K819" s="233"/>
      <c r="L819" s="19"/>
      <c r="M819" s="19"/>
      <c r="N819" s="19"/>
      <c r="O819" s="19"/>
      <c r="P819" s="19"/>
      <c r="Q819" s="19"/>
      <c r="R819" s="19"/>
      <c r="S819" s="19"/>
      <c r="T819" s="19"/>
      <c r="U819" s="19"/>
      <c r="V819" s="19"/>
      <c r="W819" s="19"/>
      <c r="X819" s="19"/>
      <c r="Y819" s="19"/>
    </row>
    <row r="820" spans="1:25" ht="12" customHeight="1">
      <c r="A820" s="219" t="n" cm="1">
        <f t="array" ref="A820">IFERROR(INDEX('03.Muestra'!$B$8:$B$42,SMALL(IF("Página Web"='03.Muestra'!$D$8:$D$42,ROW('03.Muestra'!$B$8:$B$42)-MIN(ROW('03.Muestra'!$D$8:$D$42))+1,""),ROW()-816)),"")</f>
        <v>1.0</v>
      </c>
      <c r="B820" s="114" t="str" cm="1">
        <f t="array" ref="B820">IFERROR(INDEX('03.Muestra'!$C$8:$C$42,SMALL(IF("Página Web"='03.Muestra'!$D$8:$D$42,ROW('03.Muestra'!$C$8:$C$42)-MIN(ROW('03.Muestra'!$D$8:$D$42))+1,""),ROW()-816)),"")</f>
        <v>Home - PortCastelló</v>
      </c>
      <c r="C820" s="114" t="str" cm="1">
        <f t="array" ref="C820">IFERROR(INDEX('03.Muestra'!$F$8:$F$42,SMALL(IF("Página Web"='03.Muestra'!$D$8:$D$42,ROW('03.Muestra'!$F$8:$F$42)-MIN(ROW('03.Muestra'!$D$8:$D$42))+1,""),ROW()-816)),"")</f>
        <v>https://www.portcastello.com/</v>
      </c>
      <c r="D820" s="130" t="str">
        <f t="shared" si="43"/>
        <v>N/T</v>
      </c>
      <c r="E820" s="107" t="str">
        <f t="shared" si="42"/>
        <v/>
      </c>
      <c r="G820" s="19"/>
      <c r="H820" s="19"/>
      <c r="I820" s="19"/>
      <c r="J820" s="19"/>
      <c r="K820" s="233"/>
      <c r="L820" s="19"/>
      <c r="M820" s="19"/>
      <c r="N820" s="19"/>
      <c r="O820" s="19"/>
      <c r="P820" s="19"/>
      <c r="Q820" s="19"/>
      <c r="R820" s="19"/>
      <c r="S820" s="19"/>
      <c r="T820" s="19"/>
      <c r="U820" s="19"/>
      <c r="V820" s="19"/>
      <c r="W820" s="19"/>
      <c r="X820" s="19"/>
      <c r="Y820" s="19"/>
    </row>
    <row r="821" spans="1:25" ht="12" customHeight="1">
      <c r="A821" s="219" t="n" cm="1">
        <f t="array" ref="A821">IFERROR(INDEX('03.Muestra'!$B$8:$B$42,SMALL(IF("Página Web"='03.Muestra'!$D$8:$D$42,ROW('03.Muestra'!$B$8:$B$42)-MIN(ROW('03.Muestra'!$D$8:$D$42))+1,""),ROW()-816)),"")</f>
        <v>1.0</v>
      </c>
      <c r="B821" s="114" t="str" cm="1">
        <f t="array" ref="B821">IFERROR(INDEX('03.Muestra'!$C$8:$C$42,SMALL(IF("Página Web"='03.Muestra'!$D$8:$D$42,ROW('03.Muestra'!$C$8:$C$42)-MIN(ROW('03.Muestra'!$D$8:$D$42))+1,""),ROW()-816)),"")</f>
        <v>Home - PortCastelló</v>
      </c>
      <c r="C821" s="114" t="str" cm="1">
        <f t="array" ref="C821">IFERROR(INDEX('03.Muestra'!$F$8:$F$42,SMALL(IF("Página Web"='03.Muestra'!$D$8:$D$42,ROW('03.Muestra'!$F$8:$F$42)-MIN(ROW('03.Muestra'!$D$8:$D$42))+1,""),ROW()-816)),"")</f>
        <v>https://www.portcastello.com/</v>
      </c>
      <c r="D821" s="130" t="str">
        <f t="shared" si="43"/>
        <v>N/T</v>
      </c>
      <c r="E821" s="107" t="str">
        <f t="shared" si="42"/>
        <v/>
      </c>
      <c r="G821" s="19"/>
      <c r="H821" s="19"/>
      <c r="I821" s="19"/>
      <c r="J821" s="19"/>
      <c r="K821" s="233"/>
      <c r="L821" s="19"/>
      <c r="M821" s="19"/>
      <c r="N821" s="19"/>
      <c r="O821" s="19"/>
      <c r="P821" s="19"/>
      <c r="Q821" s="19"/>
      <c r="R821" s="19"/>
      <c r="S821" s="19"/>
      <c r="T821" s="19"/>
      <c r="U821" s="19"/>
      <c r="V821" s="19"/>
      <c r="W821" s="19"/>
      <c r="X821" s="19"/>
      <c r="Y821" s="19"/>
    </row>
    <row r="822" spans="1:25" ht="12" customHeight="1">
      <c r="A822" s="219" t="n" cm="1">
        <f t="array" ref="A822">IFERROR(INDEX('03.Muestra'!$B$8:$B$42,SMALL(IF("Página Web"='03.Muestra'!$D$8:$D$42,ROW('03.Muestra'!$B$8:$B$42)-MIN(ROW('03.Muestra'!$D$8:$D$42))+1,""),ROW()-816)),"")</f>
        <v>1.0</v>
      </c>
      <c r="B822" s="114" t="str" cm="1">
        <f t="array" ref="B822">IFERROR(INDEX('03.Muestra'!$C$8:$C$42,SMALL(IF("Página Web"='03.Muestra'!$D$8:$D$42,ROW('03.Muestra'!$C$8:$C$42)-MIN(ROW('03.Muestra'!$D$8:$D$42))+1,""),ROW()-816)),"")</f>
        <v>Home - PortCastelló</v>
      </c>
      <c r="C822" s="114" t="str" cm="1">
        <f t="array" ref="C822">IFERROR(INDEX('03.Muestra'!$F$8:$F$42,SMALL(IF("Página Web"='03.Muestra'!$D$8:$D$42,ROW('03.Muestra'!$F$8:$F$42)-MIN(ROW('03.Muestra'!$D$8:$D$42))+1,""),ROW()-816)),"")</f>
        <v>https://www.portcastello.com/</v>
      </c>
      <c r="D822" s="130" t="str">
        <f t="shared" si="43"/>
        <v>N/T</v>
      </c>
      <c r="E822" s="107" t="str">
        <f t="shared" si="42"/>
        <v/>
      </c>
      <c r="G822" s="19"/>
      <c r="H822" s="19"/>
      <c r="I822" s="19"/>
      <c r="J822" s="19"/>
      <c r="K822" s="233"/>
      <c r="L822" s="19"/>
      <c r="M822" s="19"/>
      <c r="N822" s="19"/>
      <c r="O822" s="19"/>
      <c r="P822" s="19"/>
      <c r="Q822" s="19"/>
      <c r="R822" s="19"/>
      <c r="S822" s="19"/>
      <c r="T822" s="19"/>
      <c r="U822" s="19"/>
      <c r="V822" s="19"/>
      <c r="W822" s="19"/>
      <c r="X822" s="19"/>
      <c r="Y822" s="19"/>
    </row>
    <row r="823" spans="1:25" ht="12" customHeight="1">
      <c r="A823" s="219" t="n" cm="1">
        <f t="array" ref="A823">IFERROR(INDEX('03.Muestra'!$B$8:$B$42,SMALL(IF("Página Web"='03.Muestra'!$D$8:$D$42,ROW('03.Muestra'!$B$8:$B$42)-MIN(ROW('03.Muestra'!$D$8:$D$42))+1,""),ROW()-816)),"")</f>
        <v>1.0</v>
      </c>
      <c r="B823" s="114" t="str" cm="1">
        <f t="array" ref="B823">IFERROR(INDEX('03.Muestra'!$C$8:$C$42,SMALL(IF("Página Web"='03.Muestra'!$D$8:$D$42,ROW('03.Muestra'!$C$8:$C$42)-MIN(ROW('03.Muestra'!$D$8:$D$42))+1,""),ROW()-816)),"")</f>
        <v>Home - PortCastelló</v>
      </c>
      <c r="C823" s="114" t="str" cm="1">
        <f t="array" ref="C823">IFERROR(INDEX('03.Muestra'!$F$8:$F$42,SMALL(IF("Página Web"='03.Muestra'!$D$8:$D$42,ROW('03.Muestra'!$F$8:$F$42)-MIN(ROW('03.Muestra'!$D$8:$D$42))+1,""),ROW()-816)),"")</f>
        <v>https://www.portcastello.com/</v>
      </c>
      <c r="D823" s="130" t="str">
        <f t="shared" si="43"/>
        <v>N/T</v>
      </c>
      <c r="E823" s="107" t="str">
        <f t="shared" si="42"/>
        <v/>
      </c>
      <c r="F823" s="19"/>
      <c r="G823" s="19"/>
      <c r="H823" s="19"/>
      <c r="I823" s="19"/>
      <c r="J823" s="19"/>
      <c r="K823" s="233"/>
      <c r="L823" s="19"/>
      <c r="M823" s="19"/>
      <c r="N823" s="19"/>
      <c r="O823" s="19"/>
      <c r="P823" s="19"/>
      <c r="Q823" s="19"/>
      <c r="R823" s="19"/>
      <c r="S823" s="19"/>
      <c r="T823" s="19"/>
      <c r="U823" s="19"/>
      <c r="V823" s="19"/>
      <c r="W823" s="19"/>
      <c r="X823" s="19"/>
      <c r="Y823" s="19"/>
    </row>
    <row r="824" spans="1:25" ht="12" customHeight="1">
      <c r="A824" s="219" t="n" cm="1">
        <f t="array" ref="A824">IFERROR(INDEX('03.Muestra'!$B$8:$B$42,SMALL(IF("Página Web"='03.Muestra'!$D$8:$D$42,ROW('03.Muestra'!$B$8:$B$42)-MIN(ROW('03.Muestra'!$D$8:$D$42))+1,""),ROW()-816)),"")</f>
        <v>1.0</v>
      </c>
      <c r="B824" s="114" t="str" cm="1">
        <f t="array" ref="B824">IFERROR(INDEX('03.Muestra'!$C$8:$C$42,SMALL(IF("Página Web"='03.Muestra'!$D$8:$D$42,ROW('03.Muestra'!$C$8:$C$42)-MIN(ROW('03.Muestra'!$D$8:$D$42))+1,""),ROW()-816)),"")</f>
        <v>Home - PortCastelló</v>
      </c>
      <c r="C824" s="114" t="str" cm="1">
        <f t="array" ref="C824">IFERROR(INDEX('03.Muestra'!$F$8:$F$42,SMALL(IF("Página Web"='03.Muestra'!$D$8:$D$42,ROW('03.Muestra'!$F$8:$F$42)-MIN(ROW('03.Muestra'!$D$8:$D$42))+1,""),ROW()-816)),"")</f>
        <v>https://www.portcastello.com/</v>
      </c>
      <c r="D824" s="130" t="str">
        <f t="shared" si="43"/>
        <v>N/T</v>
      </c>
      <c r="E824" s="107" t="str">
        <f t="shared" si="42"/>
        <v/>
      </c>
      <c r="F824" s="19"/>
      <c r="G824" s="19"/>
      <c r="H824" s="19"/>
      <c r="I824" s="19"/>
      <c r="J824" s="19"/>
      <c r="K824" s="233"/>
      <c r="L824" s="19"/>
      <c r="M824" s="19"/>
      <c r="N824" s="19"/>
      <c r="O824" s="19"/>
      <c r="P824" s="19"/>
      <c r="Q824" s="19"/>
      <c r="R824" s="19"/>
      <c r="S824" s="19"/>
      <c r="T824" s="19"/>
      <c r="U824" s="19"/>
      <c r="V824" s="19"/>
      <c r="W824" s="19"/>
      <c r="X824" s="19"/>
      <c r="Y824" s="19"/>
    </row>
    <row r="825" spans="1:25" ht="12" customHeight="1">
      <c r="A825" s="219" t="n" cm="1">
        <f t="array" ref="A825">IFERROR(INDEX('03.Muestra'!$B$8:$B$42,SMALL(IF("Página Web"='03.Muestra'!$D$8:$D$42,ROW('03.Muestra'!$B$8:$B$42)-MIN(ROW('03.Muestra'!$D$8:$D$42))+1,""),ROW()-816)),"")</f>
        <v>1.0</v>
      </c>
      <c r="B825" s="114" t="str" cm="1">
        <f t="array" ref="B825">IFERROR(INDEX('03.Muestra'!$C$8:$C$42,SMALL(IF("Página Web"='03.Muestra'!$D$8:$D$42,ROW('03.Muestra'!$C$8:$C$42)-MIN(ROW('03.Muestra'!$D$8:$D$42))+1,""),ROW()-816)),"")</f>
        <v>Home - PortCastelló</v>
      </c>
      <c r="C825" s="114" t="str" cm="1">
        <f t="array" ref="C825">IFERROR(INDEX('03.Muestra'!$F$8:$F$42,SMALL(IF("Página Web"='03.Muestra'!$D$8:$D$42,ROW('03.Muestra'!$F$8:$F$42)-MIN(ROW('03.Muestra'!$D$8:$D$42))+1,""),ROW()-816)),"")</f>
        <v>https://www.portcastello.com/</v>
      </c>
      <c r="D825" s="130" t="str">
        <f t="shared" si="43"/>
        <v>N/T</v>
      </c>
      <c r="E825" s="107" t="str">
        <f t="shared" si="42"/>
        <v/>
      </c>
      <c r="F825" s="19"/>
      <c r="G825" s="19"/>
      <c r="H825" s="19"/>
      <c r="I825" s="19"/>
      <c r="J825" s="19"/>
      <c r="K825" s="233"/>
      <c r="L825" s="19"/>
      <c r="M825" s="19"/>
      <c r="N825" s="19"/>
      <c r="O825" s="19"/>
      <c r="P825" s="19"/>
      <c r="Q825" s="19"/>
      <c r="R825" s="19"/>
      <c r="S825" s="19"/>
      <c r="T825" s="19"/>
      <c r="U825" s="19"/>
      <c r="V825" s="19"/>
      <c r="W825" s="19"/>
      <c r="X825" s="19"/>
      <c r="Y825" s="19"/>
    </row>
    <row r="826" spans="1:25" ht="12" customHeight="1">
      <c r="A826" s="219" t="n" cm="1">
        <f t="array" ref="A826">IFERROR(INDEX('03.Muestra'!$B$8:$B$42,SMALL(IF("Página Web"='03.Muestra'!$D$8:$D$42,ROW('03.Muestra'!$B$8:$B$42)-MIN(ROW('03.Muestra'!$D$8:$D$42))+1,""),ROW()-816)),"")</f>
        <v>1.0</v>
      </c>
      <c r="B826" s="114" t="str" cm="1">
        <f t="array" ref="B826">IFERROR(INDEX('03.Muestra'!$C$8:$C$42,SMALL(IF("Página Web"='03.Muestra'!$D$8:$D$42,ROW('03.Muestra'!$C$8:$C$42)-MIN(ROW('03.Muestra'!$D$8:$D$42))+1,""),ROW()-816)),"")</f>
        <v>Home - PortCastelló</v>
      </c>
      <c r="C826" s="114" t="str" cm="1">
        <f t="array" ref="C826">IFERROR(INDEX('03.Muestra'!$F$8:$F$42,SMALL(IF("Página Web"='03.Muestra'!$D$8:$D$42,ROW('03.Muestra'!$F$8:$F$42)-MIN(ROW('03.Muestra'!$D$8:$D$42))+1,""),ROW()-816)),"")</f>
        <v>https://www.portcastello.com/</v>
      </c>
      <c r="D826" s="130" t="str">
        <f t="shared" si="43"/>
        <v>N/T</v>
      </c>
      <c r="E826" s="107" t="str">
        <f t="shared" si="42"/>
        <v/>
      </c>
      <c r="F826" s="19"/>
      <c r="G826" s="19"/>
      <c r="H826" s="19"/>
      <c r="I826" s="19"/>
      <c r="J826" s="19"/>
      <c r="K826" s="233"/>
      <c r="L826" s="19"/>
      <c r="M826" s="19"/>
      <c r="N826" s="19"/>
      <c r="O826" s="19"/>
      <c r="P826" s="19"/>
      <c r="Q826" s="19"/>
      <c r="R826" s="19"/>
      <c r="S826" s="19"/>
      <c r="T826" s="19"/>
      <c r="U826" s="19"/>
      <c r="V826" s="19"/>
      <c r="W826" s="19"/>
      <c r="X826" s="19"/>
      <c r="Y826" s="19"/>
    </row>
    <row r="827" spans="1:25" ht="12" customHeight="1">
      <c r="A827" s="219" t="n" cm="1">
        <f t="array" ref="A827">IFERROR(INDEX('03.Muestra'!$B$8:$B$42,SMALL(IF("Página Web"='03.Muestra'!$D$8:$D$42,ROW('03.Muestra'!$B$8:$B$42)-MIN(ROW('03.Muestra'!$D$8:$D$42))+1,""),ROW()-816)),"")</f>
        <v>1.0</v>
      </c>
      <c r="B827" s="114" t="str" cm="1">
        <f t="array" ref="B827">IFERROR(INDEX('03.Muestra'!$C$8:$C$42,SMALL(IF("Página Web"='03.Muestra'!$D$8:$D$42,ROW('03.Muestra'!$C$8:$C$42)-MIN(ROW('03.Muestra'!$D$8:$D$42))+1,""),ROW()-816)),"")</f>
        <v>Home - PortCastelló</v>
      </c>
      <c r="C827" s="114" t="str" cm="1">
        <f t="array" ref="C827">IFERROR(INDEX('03.Muestra'!$F$8:$F$42,SMALL(IF("Página Web"='03.Muestra'!$D$8:$D$42,ROW('03.Muestra'!$F$8:$F$42)-MIN(ROW('03.Muestra'!$D$8:$D$42))+1,""),ROW()-816)),"")</f>
        <v>https://www.portcastello.com/</v>
      </c>
      <c r="D827" s="130" t="str">
        <f t="shared" si="43"/>
        <v>N/T</v>
      </c>
      <c r="E827" s="107" t="str">
        <f t="shared" si="42"/>
        <v/>
      </c>
      <c r="F827" s="19"/>
      <c r="G827" s="19"/>
      <c r="H827" s="19"/>
      <c r="I827" s="19"/>
      <c r="J827" s="19"/>
      <c r="K827" s="233"/>
      <c r="L827" s="19"/>
      <c r="M827" s="19"/>
      <c r="N827" s="19"/>
      <c r="O827" s="19"/>
      <c r="P827" s="19"/>
      <c r="Q827" s="19"/>
      <c r="R827" s="19"/>
      <c r="S827" s="19"/>
      <c r="T827" s="19"/>
      <c r="U827" s="19"/>
      <c r="V827" s="19"/>
      <c r="W827" s="19"/>
      <c r="X827" s="19"/>
      <c r="Y827" s="19"/>
    </row>
    <row r="828" spans="1:25" ht="12" customHeight="1">
      <c r="A828" s="219" t="n" cm="1">
        <f t="array" ref="A828">IFERROR(INDEX('03.Muestra'!$B$8:$B$42,SMALL(IF("Página Web"='03.Muestra'!$D$8:$D$42,ROW('03.Muestra'!$B$8:$B$42)-MIN(ROW('03.Muestra'!$D$8:$D$42))+1,""),ROW()-816)),"")</f>
        <v>1.0</v>
      </c>
      <c r="B828" s="114" t="str" cm="1">
        <f t="array" ref="B828">IFERROR(INDEX('03.Muestra'!$C$8:$C$42,SMALL(IF("Página Web"='03.Muestra'!$D$8:$D$42,ROW('03.Muestra'!$C$8:$C$42)-MIN(ROW('03.Muestra'!$D$8:$D$42))+1,""),ROW()-816)),"")</f>
        <v>Home - PortCastelló</v>
      </c>
      <c r="C828" s="114" t="str" cm="1">
        <f t="array" ref="C828">IFERROR(INDEX('03.Muestra'!$F$8:$F$42,SMALL(IF("Página Web"='03.Muestra'!$D$8:$D$42,ROW('03.Muestra'!$F$8:$F$42)-MIN(ROW('03.Muestra'!$D$8:$D$42))+1,""),ROW()-816)),"")</f>
        <v>https://www.portcastello.com/</v>
      </c>
      <c r="D828" s="130" t="str">
        <f t="shared" si="43"/>
        <v>N/T</v>
      </c>
      <c r="E828" s="107" t="str">
        <f t="shared" si="42"/>
        <v/>
      </c>
      <c r="F828" s="19"/>
      <c r="G828" s="19"/>
      <c r="H828" s="19"/>
      <c r="I828" s="19"/>
      <c r="J828" s="19"/>
      <c r="K828" s="233"/>
      <c r="L828" s="19"/>
      <c r="M828" s="19"/>
      <c r="N828" s="19"/>
      <c r="O828" s="19"/>
      <c r="P828" s="19"/>
      <c r="Q828" s="19"/>
      <c r="R828" s="19"/>
      <c r="S828" s="19"/>
      <c r="T828" s="19"/>
      <c r="U828" s="19"/>
      <c r="V828" s="19"/>
      <c r="W828" s="19"/>
      <c r="X828" s="19"/>
      <c r="Y828" s="19"/>
    </row>
    <row r="829" spans="1:25" ht="12" customHeight="1">
      <c r="A829" s="219" t="n" cm="1">
        <f t="array" ref="A829">IFERROR(INDEX('03.Muestra'!$B$8:$B$42,SMALL(IF("Página Web"='03.Muestra'!$D$8:$D$42,ROW('03.Muestra'!$B$8:$B$42)-MIN(ROW('03.Muestra'!$D$8:$D$42))+1,""),ROW()-816)),"")</f>
        <v>1.0</v>
      </c>
      <c r="B829" s="114" t="str" cm="1">
        <f t="array" ref="B829">IFERROR(INDEX('03.Muestra'!$C$8:$C$42,SMALL(IF("Página Web"='03.Muestra'!$D$8:$D$42,ROW('03.Muestra'!$C$8:$C$42)-MIN(ROW('03.Muestra'!$D$8:$D$42))+1,""),ROW()-816)),"")</f>
        <v>Home - PortCastelló</v>
      </c>
      <c r="C829" s="114" t="str" cm="1">
        <f t="array" ref="C829">IFERROR(INDEX('03.Muestra'!$F$8:$F$42,SMALL(IF("Página Web"='03.Muestra'!$D$8:$D$42,ROW('03.Muestra'!$F$8:$F$42)-MIN(ROW('03.Muestra'!$D$8:$D$42))+1,""),ROW()-816)),"")</f>
        <v>https://www.portcastello.com/</v>
      </c>
      <c r="D829" s="130" t="str">
        <f t="shared" si="43"/>
        <v>N/T</v>
      </c>
      <c r="E829" s="107" t="str">
        <f t="shared" si="42"/>
        <v/>
      </c>
      <c r="F829" s="19"/>
      <c r="G829" s="19"/>
      <c r="H829" s="19"/>
      <c r="I829" s="19"/>
      <c r="J829" s="19"/>
      <c r="K829" s="233"/>
      <c r="L829" s="19"/>
      <c r="M829" s="19"/>
      <c r="N829" s="19"/>
      <c r="O829" s="19"/>
      <c r="P829" s="19"/>
      <c r="Q829" s="19"/>
      <c r="R829" s="19"/>
      <c r="S829" s="19"/>
      <c r="T829" s="19"/>
      <c r="U829" s="19"/>
      <c r="V829" s="19"/>
      <c r="W829" s="19"/>
      <c r="X829" s="19"/>
      <c r="Y829" s="19"/>
    </row>
    <row r="830" spans="1:25" ht="12" customHeight="1">
      <c r="A830" s="219" t="n" cm="1">
        <f t="array" ref="A830">IFERROR(INDEX('03.Muestra'!$B$8:$B$42,SMALL(IF("Página Web"='03.Muestra'!$D$8:$D$42,ROW('03.Muestra'!$B$8:$B$42)-MIN(ROW('03.Muestra'!$D$8:$D$42))+1,""),ROW()-816)),"")</f>
        <v>1.0</v>
      </c>
      <c r="B830" s="114" t="str" cm="1">
        <f t="array" ref="B830">IFERROR(INDEX('03.Muestra'!$C$8:$C$42,SMALL(IF("Página Web"='03.Muestra'!$D$8:$D$42,ROW('03.Muestra'!$C$8:$C$42)-MIN(ROW('03.Muestra'!$D$8:$D$42))+1,""),ROW()-816)),"")</f>
        <v>Home - PortCastelló</v>
      </c>
      <c r="C830" s="114" t="str" cm="1">
        <f t="array" ref="C830">IFERROR(INDEX('03.Muestra'!$F$8:$F$42,SMALL(IF("Página Web"='03.Muestra'!$D$8:$D$42,ROW('03.Muestra'!$F$8:$F$42)-MIN(ROW('03.Muestra'!$D$8:$D$42))+1,""),ROW()-816)),"")</f>
        <v>https://www.portcastello.com/</v>
      </c>
      <c r="D830" s="130" t="str">
        <f t="shared" si="43"/>
        <v>N/T</v>
      </c>
      <c r="E830" s="107" t="str">
        <f t="shared" si="42"/>
        <v/>
      </c>
      <c r="F830" s="19"/>
      <c r="G830" s="19"/>
      <c r="H830" s="19"/>
      <c r="I830" s="19"/>
      <c r="J830" s="19"/>
      <c r="K830" s="233"/>
      <c r="L830" s="19"/>
      <c r="M830" s="19"/>
      <c r="N830" s="19"/>
      <c r="O830" s="19"/>
      <c r="P830" s="19"/>
      <c r="Q830" s="19"/>
      <c r="R830" s="19"/>
      <c r="S830" s="19"/>
      <c r="T830" s="19"/>
      <c r="U830" s="19"/>
      <c r="V830" s="19"/>
      <c r="W830" s="19"/>
      <c r="X830" s="19"/>
      <c r="Y830" s="19"/>
    </row>
    <row r="831" spans="1:25" ht="12" customHeight="1">
      <c r="A831" s="219" t="n" cm="1">
        <f t="array" ref="A831">IFERROR(INDEX('03.Muestra'!$B$8:$B$42,SMALL(IF("Página Web"='03.Muestra'!$D$8:$D$42,ROW('03.Muestra'!$B$8:$B$42)-MIN(ROW('03.Muestra'!$D$8:$D$42))+1,""),ROW()-816)),"")</f>
        <v>1.0</v>
      </c>
      <c r="B831" s="114" t="str" cm="1">
        <f t="array" ref="B831">IFERROR(INDEX('03.Muestra'!$C$8:$C$42,SMALL(IF("Página Web"='03.Muestra'!$D$8:$D$42,ROW('03.Muestra'!$C$8:$C$42)-MIN(ROW('03.Muestra'!$D$8:$D$42))+1,""),ROW()-816)),"")</f>
        <v>Home - PortCastelló</v>
      </c>
      <c r="C831" s="114" t="str" cm="1">
        <f t="array" ref="C831">IFERROR(INDEX('03.Muestra'!$F$8:$F$42,SMALL(IF("Página Web"='03.Muestra'!$D$8:$D$42,ROW('03.Muestra'!$F$8:$F$42)-MIN(ROW('03.Muestra'!$D$8:$D$42))+1,""),ROW()-816)),"")</f>
        <v>https://www.portcastello.com/</v>
      </c>
      <c r="D831" s="130" t="str">
        <f t="shared" si="43"/>
        <v>N/T</v>
      </c>
      <c r="E831" s="107" t="str">
        <f t="shared" si="42"/>
        <v/>
      </c>
      <c r="F831" s="19"/>
      <c r="G831" s="19"/>
      <c r="H831" s="19"/>
      <c r="I831" s="19"/>
      <c r="J831" s="19"/>
      <c r="K831" s="233"/>
      <c r="L831" s="19"/>
      <c r="M831" s="19"/>
      <c r="N831" s="19"/>
      <c r="O831" s="19"/>
      <c r="P831" s="19"/>
      <c r="Q831" s="19"/>
      <c r="R831" s="19"/>
      <c r="S831" s="19"/>
      <c r="T831" s="19"/>
      <c r="U831" s="19"/>
      <c r="V831" s="19"/>
      <c r="W831" s="19"/>
      <c r="X831" s="19"/>
      <c r="Y831" s="19"/>
    </row>
    <row r="832" spans="1:25" ht="12" customHeight="1">
      <c r="A832" s="219" t="n" cm="1">
        <f t="array" ref="A832">IFERROR(INDEX('03.Muestra'!$B$8:$B$42,SMALL(IF("Página Web"='03.Muestra'!$D$8:$D$42,ROW('03.Muestra'!$B$8:$B$42)-MIN(ROW('03.Muestra'!$D$8:$D$42))+1,""),ROW()-816)),"")</f>
        <v>1.0</v>
      </c>
      <c r="B832" s="114" t="str" cm="1">
        <f t="array" ref="B832">IFERROR(INDEX('03.Muestra'!$C$8:$C$42,SMALL(IF("Página Web"='03.Muestra'!$D$8:$D$42,ROW('03.Muestra'!$C$8:$C$42)-MIN(ROW('03.Muestra'!$D$8:$D$42))+1,""),ROW()-816)),"")</f>
        <v>Home - PortCastelló</v>
      </c>
      <c r="C832" s="114" t="str" cm="1">
        <f t="array" ref="C832">IFERROR(INDEX('03.Muestra'!$F$8:$F$42,SMALL(IF("Página Web"='03.Muestra'!$D$8:$D$42,ROW('03.Muestra'!$F$8:$F$42)-MIN(ROW('03.Muestra'!$D$8:$D$42))+1,""),ROW()-816)),"")</f>
        <v>https://www.portcastello.com/</v>
      </c>
      <c r="D832" s="130" t="str">
        <f t="shared" si="43"/>
        <v>N/T</v>
      </c>
      <c r="E832" s="107" t="str">
        <f t="shared" si="42"/>
        <v/>
      </c>
      <c r="F832" s="19"/>
      <c r="G832" s="19"/>
      <c r="H832" s="19"/>
      <c r="I832" s="19"/>
      <c r="J832" s="19"/>
      <c r="K832" s="233"/>
      <c r="L832" s="19"/>
      <c r="M832" s="19"/>
      <c r="N832" s="19"/>
      <c r="O832" s="19"/>
      <c r="P832" s="19"/>
      <c r="Q832" s="19"/>
      <c r="R832" s="19"/>
      <c r="S832" s="19"/>
      <c r="T832" s="19"/>
      <c r="U832" s="19"/>
      <c r="V832" s="19"/>
      <c r="W832" s="19"/>
      <c r="X832" s="19"/>
      <c r="Y832" s="19"/>
    </row>
    <row r="833" spans="1:25" ht="12" customHeight="1">
      <c r="A833" s="219" t="n" cm="1">
        <f t="array" ref="A833">IFERROR(INDEX('03.Muestra'!$B$8:$B$42,SMALL(IF("Página Web"='03.Muestra'!$D$8:$D$42,ROW('03.Muestra'!$B$8:$B$42)-MIN(ROW('03.Muestra'!$D$8:$D$42))+1,""),ROW()-816)),"")</f>
        <v>1.0</v>
      </c>
      <c r="B833" s="114" t="str" cm="1">
        <f t="array" ref="B833">IFERROR(INDEX('03.Muestra'!$C$8:$C$42,SMALL(IF("Página Web"='03.Muestra'!$D$8:$D$42,ROW('03.Muestra'!$C$8:$C$42)-MIN(ROW('03.Muestra'!$D$8:$D$42))+1,""),ROW()-816)),"")</f>
        <v>Home - PortCastelló</v>
      </c>
      <c r="C833" s="114" t="str" cm="1">
        <f t="array" ref="C833">IFERROR(INDEX('03.Muestra'!$F$8:$F$42,SMALL(IF("Página Web"='03.Muestra'!$D$8:$D$42,ROW('03.Muestra'!$F$8:$F$42)-MIN(ROW('03.Muestra'!$D$8:$D$42))+1,""),ROW()-816)),"")</f>
        <v>https://www.portcastello.com/</v>
      </c>
      <c r="D833" s="130" t="str">
        <f t="shared" si="43"/>
        <v>N/T</v>
      </c>
      <c r="E833" s="107" t="str">
        <f t="shared" si="42"/>
        <v/>
      </c>
      <c r="F833" s="19"/>
      <c r="G833" s="19"/>
      <c r="H833" s="19"/>
      <c r="I833" s="19"/>
      <c r="J833" s="19"/>
      <c r="K833" s="233"/>
      <c r="L833" s="19"/>
      <c r="M833" s="19"/>
      <c r="N833" s="19"/>
      <c r="O833" s="19"/>
      <c r="P833" s="19"/>
      <c r="Q833" s="19"/>
      <c r="R833" s="19"/>
      <c r="S833" s="19"/>
      <c r="T833" s="19"/>
      <c r="U833" s="19"/>
      <c r="V833" s="19"/>
      <c r="W833" s="19"/>
      <c r="X833" s="19"/>
      <c r="Y833" s="19"/>
    </row>
    <row r="834" spans="1:25" ht="12" customHeight="1">
      <c r="A834" s="219" t="n" cm="1">
        <f t="array" ref="A834">IFERROR(INDEX('03.Muestra'!$B$8:$B$42,SMALL(IF("Página Web"='03.Muestra'!$D$8:$D$42,ROW('03.Muestra'!$B$8:$B$42)-MIN(ROW('03.Muestra'!$D$8:$D$42))+1,""),ROW()-816)),"")</f>
        <v>1.0</v>
      </c>
      <c r="B834" s="114" t="str" cm="1">
        <f t="array" ref="B834">IFERROR(INDEX('03.Muestra'!$C$8:$C$42,SMALL(IF("Página Web"='03.Muestra'!$D$8:$D$42,ROW('03.Muestra'!$C$8:$C$42)-MIN(ROW('03.Muestra'!$D$8:$D$42))+1,""),ROW()-816)),"")</f>
        <v>Home - PortCastelló</v>
      </c>
      <c r="C834" s="114" t="str" cm="1">
        <f t="array" ref="C834">IFERROR(INDEX('03.Muestra'!$F$8:$F$42,SMALL(IF("Página Web"='03.Muestra'!$D$8:$D$42,ROW('03.Muestra'!$F$8:$F$42)-MIN(ROW('03.Muestra'!$D$8:$D$42))+1,""),ROW()-816)),"")</f>
        <v>https://www.portcastello.com/</v>
      </c>
      <c r="D834" s="130" t="str">
        <f t="shared" si="43"/>
        <v>N/T</v>
      </c>
      <c r="E834" s="107" t="str">
        <f t="shared" si="42"/>
        <v/>
      </c>
      <c r="F834" s="19"/>
      <c r="G834" s="19"/>
      <c r="H834" s="19"/>
      <c r="I834" s="19"/>
      <c r="J834" s="19"/>
      <c r="K834" s="233"/>
      <c r="L834" s="19"/>
      <c r="M834" s="19"/>
      <c r="N834" s="19"/>
      <c r="O834" s="19"/>
      <c r="P834" s="19"/>
      <c r="Q834" s="19"/>
      <c r="R834" s="19"/>
      <c r="S834" s="19"/>
      <c r="T834" s="19"/>
      <c r="U834" s="19"/>
      <c r="V834" s="19"/>
      <c r="W834" s="19"/>
      <c r="X834" s="19"/>
      <c r="Y834" s="19"/>
    </row>
    <row r="835" spans="1:25" ht="12" customHeight="1">
      <c r="A835" s="219" t="n" cm="1">
        <f t="array" ref="A835">IFERROR(INDEX('03.Muestra'!$B$8:$B$42,SMALL(IF("Página Web"='03.Muestra'!$D$8:$D$42,ROW('03.Muestra'!$B$8:$B$42)-MIN(ROW('03.Muestra'!$D$8:$D$42))+1,""),ROW()-816)),"")</f>
        <v>1.0</v>
      </c>
      <c r="B835" s="114" t="str" cm="1">
        <f t="array" ref="B835">IFERROR(INDEX('03.Muestra'!$C$8:$C$42,SMALL(IF("Página Web"='03.Muestra'!$D$8:$D$42,ROW('03.Muestra'!$C$8:$C$42)-MIN(ROW('03.Muestra'!$D$8:$D$42))+1,""),ROW()-816)),"")</f>
        <v>Home - PortCastelló</v>
      </c>
      <c r="C835" s="114" t="str" cm="1">
        <f t="array" ref="C835">IFERROR(INDEX('03.Muestra'!$F$8:$F$42,SMALL(IF("Página Web"='03.Muestra'!$D$8:$D$42,ROW('03.Muestra'!$F$8:$F$42)-MIN(ROW('03.Muestra'!$D$8:$D$42))+1,""),ROW()-816)),"")</f>
        <v>https://www.portcastello.com/</v>
      </c>
      <c r="D835" s="130" t="str">
        <f t="shared" si="43"/>
        <v>N/T</v>
      </c>
      <c r="E835" s="107" t="str">
        <f t="shared" si="42"/>
        <v/>
      </c>
      <c r="F835" s="19"/>
      <c r="G835" s="19"/>
      <c r="H835" s="19"/>
      <c r="I835" s="19"/>
      <c r="J835" s="19"/>
      <c r="K835" s="233"/>
      <c r="L835" s="19"/>
      <c r="M835" s="19"/>
      <c r="N835" s="19"/>
      <c r="O835" s="19"/>
      <c r="P835" s="19"/>
      <c r="Q835" s="19"/>
      <c r="R835" s="19"/>
      <c r="S835" s="19"/>
      <c r="T835" s="19"/>
      <c r="U835" s="19"/>
      <c r="V835" s="19"/>
      <c r="W835" s="19"/>
      <c r="X835" s="19"/>
      <c r="Y835" s="19"/>
    </row>
    <row r="836" spans="1:25" ht="12" customHeight="1">
      <c r="A836" s="219" t="n" cm="1">
        <f t="array" ref="A836">IFERROR(INDEX('03.Muestra'!$B$8:$B$42,SMALL(IF("Página Web"='03.Muestra'!$D$8:$D$42,ROW('03.Muestra'!$B$8:$B$42)-MIN(ROW('03.Muestra'!$D$8:$D$42))+1,""),ROW()-816)),"")</f>
        <v>1.0</v>
      </c>
      <c r="B836" s="114" t="str" cm="1">
        <f t="array" ref="B836">IFERROR(INDEX('03.Muestra'!$C$8:$C$42,SMALL(IF("Página Web"='03.Muestra'!$D$8:$D$42,ROW('03.Muestra'!$C$8:$C$42)-MIN(ROW('03.Muestra'!$D$8:$D$42))+1,""),ROW()-816)),"")</f>
        <v>Home - PortCastelló</v>
      </c>
      <c r="C836" s="114" t="str" cm="1">
        <f t="array" ref="C836">IFERROR(INDEX('03.Muestra'!$F$8:$F$42,SMALL(IF("Página Web"='03.Muestra'!$D$8:$D$42,ROW('03.Muestra'!$F$8:$F$42)-MIN(ROW('03.Muestra'!$D$8:$D$42))+1,""),ROW()-816)),"")</f>
        <v>https://www.portcastello.com/</v>
      </c>
      <c r="D836" s="130" t="str">
        <f t="shared" si="43"/>
        <v>N/T</v>
      </c>
      <c r="E836" s="107" t="str">
        <f t="shared" si="42"/>
        <v/>
      </c>
      <c r="F836" s="19"/>
      <c r="G836" s="19"/>
      <c r="H836" s="19"/>
      <c r="I836" s="19"/>
      <c r="J836" s="19"/>
      <c r="K836" s="233"/>
      <c r="L836" s="19"/>
      <c r="M836" s="19"/>
      <c r="N836" s="19"/>
      <c r="O836" s="19"/>
      <c r="P836" s="19"/>
      <c r="Q836" s="19"/>
      <c r="R836" s="19"/>
      <c r="S836" s="19"/>
      <c r="T836" s="19"/>
      <c r="U836" s="19"/>
      <c r="V836" s="19"/>
      <c r="W836" s="19"/>
      <c r="X836" s="19"/>
      <c r="Y836" s="19"/>
    </row>
    <row r="837" spans="1:25" ht="12" customHeight="1">
      <c r="A837" s="219" t="n" cm="1">
        <f t="array" ref="A837">IFERROR(INDEX('03.Muestra'!$B$8:$B$42,SMALL(IF("Página Web"='03.Muestra'!$D$8:$D$42,ROW('03.Muestra'!$B$8:$B$42)-MIN(ROW('03.Muestra'!$D$8:$D$42))+1,""),ROW()-816)),"")</f>
        <v>1.0</v>
      </c>
      <c r="B837" s="114" t="str" cm="1">
        <f t="array" ref="B837">IFERROR(INDEX('03.Muestra'!$C$8:$C$42,SMALL(IF("Página Web"='03.Muestra'!$D$8:$D$42,ROW('03.Muestra'!$C$8:$C$42)-MIN(ROW('03.Muestra'!$D$8:$D$42))+1,""),ROW()-816)),"")</f>
        <v>Home - PortCastelló</v>
      </c>
      <c r="C837" s="114" t="str" cm="1">
        <f t="array" ref="C837">IFERROR(INDEX('03.Muestra'!$F$8:$F$42,SMALL(IF("Página Web"='03.Muestra'!$D$8:$D$42,ROW('03.Muestra'!$F$8:$F$42)-MIN(ROW('03.Muestra'!$D$8:$D$42))+1,""),ROW()-816)),"")</f>
        <v>https://www.portcastello.com/</v>
      </c>
      <c r="D837" s="130" t="str">
        <f t="shared" si="43"/>
        <v>N/T</v>
      </c>
      <c r="E837" s="107" t="str">
        <f t="shared" si="42"/>
        <v/>
      </c>
      <c r="F837" s="19"/>
      <c r="G837" s="19"/>
      <c r="H837" s="19"/>
      <c r="I837" s="19"/>
      <c r="J837" s="19"/>
      <c r="K837" s="233"/>
      <c r="L837" s="19"/>
      <c r="M837" s="19"/>
      <c r="N837" s="19"/>
      <c r="O837" s="19"/>
      <c r="P837" s="19"/>
      <c r="Q837" s="19"/>
      <c r="R837" s="19"/>
      <c r="S837" s="19"/>
      <c r="T837" s="19"/>
      <c r="U837" s="19"/>
      <c r="V837" s="19"/>
      <c r="W837" s="19"/>
      <c r="X837" s="19"/>
      <c r="Y837" s="19"/>
    </row>
    <row r="838" spans="1:25" ht="12" customHeight="1">
      <c r="A838" s="219" t="n" cm="1">
        <f t="array" ref="A838">IFERROR(INDEX('03.Muestra'!$B$8:$B$42,SMALL(IF("Página Web"='03.Muestra'!$D$8:$D$42,ROW('03.Muestra'!$B$8:$B$42)-MIN(ROW('03.Muestra'!$D$8:$D$42))+1,""),ROW()-816)),"")</f>
        <v>1.0</v>
      </c>
      <c r="B838" s="114" t="str" cm="1">
        <f t="array" ref="B838">IFERROR(INDEX('03.Muestra'!$C$8:$C$42,SMALL(IF("Página Web"='03.Muestra'!$D$8:$D$42,ROW('03.Muestra'!$C$8:$C$42)-MIN(ROW('03.Muestra'!$D$8:$D$42))+1,""),ROW()-816)),"")</f>
        <v>Home - PortCastelló</v>
      </c>
      <c r="C838" s="114" t="str" cm="1">
        <f t="array" ref="C838">IFERROR(INDEX('03.Muestra'!$F$8:$F$42,SMALL(IF("Página Web"='03.Muestra'!$D$8:$D$42,ROW('03.Muestra'!$F$8:$F$42)-MIN(ROW('03.Muestra'!$D$8:$D$42))+1,""),ROW()-816)),"")</f>
        <v>https://www.portcastello.com/</v>
      </c>
      <c r="D838" s="130" t="str">
        <f t="shared" si="43"/>
        <v>N/T</v>
      </c>
      <c r="E838" s="107" t="str">
        <f t="shared" si="42"/>
        <v/>
      </c>
      <c r="F838" s="19"/>
      <c r="G838" s="19"/>
      <c r="H838" s="19"/>
      <c r="I838" s="19"/>
      <c r="J838" s="19"/>
      <c r="K838" s="233"/>
      <c r="L838" s="19"/>
      <c r="M838" s="19"/>
      <c r="N838" s="19"/>
      <c r="O838" s="19"/>
      <c r="P838" s="19"/>
      <c r="Q838" s="19"/>
      <c r="R838" s="19"/>
      <c r="S838" s="19"/>
      <c r="T838" s="19"/>
      <c r="U838" s="19"/>
      <c r="V838" s="19"/>
      <c r="W838" s="19"/>
      <c r="X838" s="19"/>
      <c r="Y838" s="19"/>
    </row>
    <row r="839" spans="1:25" ht="12" customHeight="1">
      <c r="A839" s="219" t="n" cm="1">
        <f t="array" ref="A839">IFERROR(INDEX('03.Muestra'!$B$8:$B$42,SMALL(IF("Página Web"='03.Muestra'!$D$8:$D$42,ROW('03.Muestra'!$B$8:$B$42)-MIN(ROW('03.Muestra'!$D$8:$D$42))+1,""),ROW()-816)),"")</f>
        <v>1.0</v>
      </c>
      <c r="B839" s="114" t="str" cm="1">
        <f t="array" ref="B839">IFERROR(INDEX('03.Muestra'!$C$8:$C$42,SMALL(IF("Página Web"='03.Muestra'!$D$8:$D$42,ROW('03.Muestra'!$C$8:$C$42)-MIN(ROW('03.Muestra'!$D$8:$D$42))+1,""),ROW()-816)),"")</f>
        <v>Home - PortCastelló</v>
      </c>
      <c r="C839" s="114" t="str" cm="1">
        <f t="array" ref="C839">IFERROR(INDEX('03.Muestra'!$F$8:$F$42,SMALL(IF("Página Web"='03.Muestra'!$D$8:$D$42,ROW('03.Muestra'!$F$8:$F$42)-MIN(ROW('03.Muestra'!$D$8:$D$42))+1,""),ROW()-816)),"")</f>
        <v>https://www.portcastello.com/</v>
      </c>
      <c r="D839" s="130" t="str">
        <f t="shared" si="43"/>
        <v>N/T</v>
      </c>
      <c r="E839" s="107" t="str">
        <f t="shared" si="42"/>
        <v/>
      </c>
      <c r="F839" s="19"/>
      <c r="G839" s="19"/>
      <c r="H839" s="19"/>
      <c r="I839" s="19"/>
      <c r="J839" s="19"/>
      <c r="K839" s="233"/>
      <c r="L839" s="19"/>
      <c r="M839" s="19"/>
      <c r="N839" s="19"/>
      <c r="O839" s="19"/>
      <c r="P839" s="19"/>
      <c r="Q839" s="19"/>
      <c r="R839" s="19"/>
      <c r="S839" s="19"/>
      <c r="T839" s="19"/>
      <c r="U839" s="19"/>
      <c r="V839" s="19"/>
      <c r="W839" s="19"/>
      <c r="X839" s="19"/>
      <c r="Y839" s="19"/>
    </row>
    <row r="840" spans="1:25" ht="12" customHeight="1">
      <c r="A840" s="219" t="n" cm="1">
        <f t="array" ref="A840">IFERROR(INDEX('03.Muestra'!$B$8:$B$42,SMALL(IF("Página Web"='03.Muestra'!$D$8:$D$42,ROW('03.Muestra'!$B$8:$B$42)-MIN(ROW('03.Muestra'!$D$8:$D$42))+1,""),ROW()-816)),"")</f>
        <v>1.0</v>
      </c>
      <c r="B840" s="114" t="str" cm="1">
        <f t="array" ref="B840">IFERROR(INDEX('03.Muestra'!$C$8:$C$42,SMALL(IF("Página Web"='03.Muestra'!$D$8:$D$42,ROW('03.Muestra'!$C$8:$C$42)-MIN(ROW('03.Muestra'!$D$8:$D$42))+1,""),ROW()-816)),"")</f>
        <v>Home - PortCastelló</v>
      </c>
      <c r="C840" s="114" t="str" cm="1">
        <f t="array" ref="C840">IFERROR(INDEX('03.Muestra'!$F$8:$F$42,SMALL(IF("Página Web"='03.Muestra'!$D$8:$D$42,ROW('03.Muestra'!$F$8:$F$42)-MIN(ROW('03.Muestra'!$D$8:$D$42))+1,""),ROW()-816)),"")</f>
        <v>https://www.portcastello.com/</v>
      </c>
      <c r="D840" s="130" t="str">
        <f t="shared" si="43"/>
        <v>N/T</v>
      </c>
      <c r="E840" s="107" t="str">
        <f t="shared" si="42"/>
        <v/>
      </c>
      <c r="F840" s="19"/>
      <c r="G840" s="19"/>
      <c r="H840" s="19"/>
      <c r="I840" s="19"/>
      <c r="J840" s="19"/>
      <c r="K840" s="233"/>
      <c r="L840" s="19"/>
      <c r="M840" s="19"/>
      <c r="N840" s="19"/>
      <c r="O840" s="19"/>
      <c r="P840" s="19"/>
      <c r="Q840" s="19"/>
      <c r="R840" s="19"/>
      <c r="S840" s="19"/>
      <c r="T840" s="19"/>
      <c r="U840" s="19"/>
      <c r="V840" s="19"/>
      <c r="W840" s="19"/>
      <c r="X840" s="19"/>
      <c r="Y840" s="19"/>
    </row>
    <row r="841" spans="1:25" ht="12" customHeight="1">
      <c r="A841" s="219" t="n" cm="1">
        <f t="array" ref="A841">IFERROR(INDEX('03.Muestra'!$B$8:$B$42,SMALL(IF("Página Web"='03.Muestra'!$D$8:$D$42,ROW('03.Muestra'!$B$8:$B$42)-MIN(ROW('03.Muestra'!$D$8:$D$42))+1,""),ROW()-816)),"")</f>
        <v>1.0</v>
      </c>
      <c r="B841" s="114" t="str" cm="1">
        <f t="array" ref="B841">IFERROR(INDEX('03.Muestra'!$C$8:$C$42,SMALL(IF("Página Web"='03.Muestra'!$D$8:$D$42,ROW('03.Muestra'!$C$8:$C$42)-MIN(ROW('03.Muestra'!$D$8:$D$42))+1,""),ROW()-816)),"")</f>
        <v>Home - PortCastelló</v>
      </c>
      <c r="C841" s="114" t="str" cm="1">
        <f t="array" ref="C841">IFERROR(INDEX('03.Muestra'!$F$8:$F$42,SMALL(IF("Página Web"='03.Muestra'!$D$8:$D$42,ROW('03.Muestra'!$F$8:$F$42)-MIN(ROW('03.Muestra'!$D$8:$D$42))+1,""),ROW()-816)),"")</f>
        <v>https://www.portcastello.com/</v>
      </c>
      <c r="D841" s="130" t="str">
        <f t="shared" si="43"/>
        <v>N/T</v>
      </c>
      <c r="E841" s="107" t="str">
        <f t="shared" si="42"/>
        <v/>
      </c>
      <c r="F841" s="19"/>
      <c r="G841" s="19"/>
      <c r="H841" s="19"/>
      <c r="I841" s="19"/>
      <c r="J841" s="19"/>
      <c r="K841" s="233"/>
      <c r="L841" s="19"/>
      <c r="M841" s="19"/>
      <c r="N841" s="19"/>
      <c r="O841" s="19"/>
      <c r="P841" s="19"/>
      <c r="Q841" s="19"/>
      <c r="R841" s="19"/>
      <c r="S841" s="19"/>
      <c r="T841" s="19"/>
      <c r="U841" s="19"/>
      <c r="V841" s="19"/>
      <c r="W841" s="19"/>
      <c r="X841" s="19"/>
      <c r="Y841" s="19"/>
    </row>
    <row r="842" spans="1:25" ht="12" customHeight="1">
      <c r="A842" s="219" t="n" cm="1">
        <f t="array" ref="A842">IFERROR(INDEX('03.Muestra'!$B$8:$B$42,SMALL(IF("Página Web"='03.Muestra'!$D$8:$D$42,ROW('03.Muestra'!$B$8:$B$42)-MIN(ROW('03.Muestra'!$D$8:$D$42))+1,""),ROW()-816)),"")</f>
        <v>1.0</v>
      </c>
      <c r="B842" s="114" t="str" cm="1">
        <f t="array" ref="B842">IFERROR(INDEX('03.Muestra'!$C$8:$C$42,SMALL(IF("Página Web"='03.Muestra'!$D$8:$D$42,ROW('03.Muestra'!$C$8:$C$42)-MIN(ROW('03.Muestra'!$D$8:$D$42))+1,""),ROW()-816)),"")</f>
        <v>Home - PortCastelló</v>
      </c>
      <c r="C842" s="114" t="str" cm="1">
        <f t="array" ref="C842">IFERROR(INDEX('03.Muestra'!$F$8:$F$42,SMALL(IF("Página Web"='03.Muestra'!$D$8:$D$42,ROW('03.Muestra'!$F$8:$F$42)-MIN(ROW('03.Muestra'!$D$8:$D$42))+1,""),ROW()-816)),"")</f>
        <v>https://www.portcastello.com/</v>
      </c>
      <c r="D842" s="130" t="str">
        <f t="shared" si="43"/>
        <v>N/T</v>
      </c>
      <c r="E842" s="107" t="str">
        <f t="shared" si="42"/>
        <v/>
      </c>
      <c r="F842" s="19"/>
      <c r="G842" s="19"/>
      <c r="H842" s="19"/>
      <c r="I842" s="19"/>
      <c r="J842" s="19"/>
      <c r="K842" s="233"/>
      <c r="L842" s="19"/>
      <c r="M842" s="19"/>
      <c r="N842" s="19"/>
      <c r="O842" s="19"/>
      <c r="P842" s="19"/>
      <c r="Q842" s="19"/>
      <c r="R842" s="19"/>
      <c r="S842" s="19"/>
      <c r="T842" s="19"/>
      <c r="U842" s="19"/>
      <c r="V842" s="19"/>
      <c r="W842" s="19"/>
      <c r="X842" s="19"/>
      <c r="Y842" s="19"/>
    </row>
    <row r="843" spans="1:25" ht="12" customHeight="1">
      <c r="A843" s="219" t="n" cm="1">
        <f t="array" ref="A843">IFERROR(INDEX('03.Muestra'!$B$8:$B$42,SMALL(IF("Página Web"='03.Muestra'!$D$8:$D$42,ROW('03.Muestra'!$B$8:$B$42)-MIN(ROW('03.Muestra'!$D$8:$D$42))+1,""),ROW()-816)),"")</f>
        <v>1.0</v>
      </c>
      <c r="B843" s="114" t="str" cm="1">
        <f t="array" ref="B843">IFERROR(INDEX('03.Muestra'!$C$8:$C$42,SMALL(IF("Página Web"='03.Muestra'!$D$8:$D$42,ROW('03.Muestra'!$C$8:$C$42)-MIN(ROW('03.Muestra'!$D$8:$D$42))+1,""),ROW()-816)),"")</f>
        <v>Home - PortCastelló</v>
      </c>
      <c r="C843" s="114" t="str" cm="1">
        <f t="array" ref="C843">IFERROR(INDEX('03.Muestra'!$F$8:$F$42,SMALL(IF("Página Web"='03.Muestra'!$D$8:$D$42,ROW('03.Muestra'!$F$8:$F$42)-MIN(ROW('03.Muestra'!$D$8:$D$42))+1,""),ROW()-816)),"")</f>
        <v>https://www.portcastello.com/</v>
      </c>
      <c r="D843" s="130" t="str">
        <f t="shared" si="43"/>
        <v>N/T</v>
      </c>
      <c r="E843" s="107" t="str">
        <f t="shared" si="42"/>
        <v/>
      </c>
      <c r="F843" s="19"/>
      <c r="G843" s="19"/>
      <c r="H843" s="19"/>
      <c r="I843" s="19"/>
      <c r="J843" s="19"/>
      <c r="K843" s="233"/>
      <c r="L843" s="19"/>
      <c r="M843" s="19"/>
      <c r="N843" s="19"/>
      <c r="O843" s="19"/>
      <c r="P843" s="19"/>
      <c r="Q843" s="19"/>
      <c r="R843" s="19"/>
      <c r="S843" s="19"/>
      <c r="T843" s="19"/>
      <c r="U843" s="19"/>
      <c r="V843" s="19"/>
      <c r="W843" s="19"/>
      <c r="X843" s="19"/>
      <c r="Y843" s="19"/>
    </row>
    <row r="844" spans="1:25" ht="12" customHeight="1">
      <c r="A844" s="219" t="n" cm="1">
        <f t="array" ref="A844">IFERROR(INDEX('03.Muestra'!$B$8:$B$42,SMALL(IF("Página Web"='03.Muestra'!$D$8:$D$42,ROW('03.Muestra'!$B$8:$B$42)-MIN(ROW('03.Muestra'!$D$8:$D$42))+1,""),ROW()-816)),"")</f>
        <v>1.0</v>
      </c>
      <c r="B844" s="114" t="str" cm="1">
        <f t="array" ref="B844">IFERROR(INDEX('03.Muestra'!$C$8:$C$42,SMALL(IF("Página Web"='03.Muestra'!$D$8:$D$42,ROW('03.Muestra'!$C$8:$C$42)-MIN(ROW('03.Muestra'!$D$8:$D$42))+1,""),ROW()-816)),"")</f>
        <v>Home - PortCastelló</v>
      </c>
      <c r="C844" s="114" t="str" cm="1">
        <f t="array" ref="C844">IFERROR(INDEX('03.Muestra'!$F$8:$F$42,SMALL(IF("Página Web"='03.Muestra'!$D$8:$D$42,ROW('03.Muestra'!$F$8:$F$42)-MIN(ROW('03.Muestra'!$D$8:$D$42))+1,""),ROW()-816)),"")</f>
        <v>https://www.portcastello.com/</v>
      </c>
      <c r="D844" s="130" t="str">
        <f t="shared" si="43"/>
        <v>N/T</v>
      </c>
      <c r="E844" s="107" t="str">
        <f t="shared" si="42"/>
        <v/>
      </c>
      <c r="G844" s="19"/>
      <c r="H844" s="19"/>
      <c r="I844" s="19"/>
      <c r="J844" s="19"/>
      <c r="K844" s="233"/>
      <c r="L844" s="19"/>
      <c r="M844" s="19"/>
      <c r="N844" s="19"/>
      <c r="O844" s="19"/>
      <c r="P844" s="19"/>
      <c r="Q844" s="19"/>
      <c r="R844" s="19"/>
      <c r="S844" s="19"/>
      <c r="T844" s="19"/>
      <c r="U844" s="19"/>
      <c r="V844" s="19"/>
      <c r="W844" s="19"/>
      <c r="X844" s="19"/>
      <c r="Y844" s="19"/>
    </row>
    <row r="845" spans="1:25" ht="12" customHeight="1">
      <c r="A845" s="219" t="n" cm="1">
        <f t="array" ref="A845">IFERROR(INDEX('03.Muestra'!$B$8:$B$42,SMALL(IF("Página Web"='03.Muestra'!$D$8:$D$42,ROW('03.Muestra'!$B$8:$B$42)-MIN(ROW('03.Muestra'!$D$8:$D$42))+1,""),ROW()-816)),"")</f>
        <v>1.0</v>
      </c>
      <c r="B845" s="114" t="str" cm="1">
        <f t="array" ref="B845">IFERROR(INDEX('03.Muestra'!$C$8:$C$42,SMALL(IF("Página Web"='03.Muestra'!$D$8:$D$42,ROW('03.Muestra'!$C$8:$C$42)-MIN(ROW('03.Muestra'!$D$8:$D$42))+1,""),ROW()-816)),"")</f>
        <v>Home - PortCastelló</v>
      </c>
      <c r="C845" s="114" t="str" cm="1">
        <f t="array" ref="C845">IFERROR(INDEX('03.Muestra'!$F$8:$F$42,SMALL(IF("Página Web"='03.Muestra'!$D$8:$D$42,ROW('03.Muestra'!$F$8:$F$42)-MIN(ROW('03.Muestra'!$D$8:$D$42))+1,""),ROW()-816)),"")</f>
        <v>https://www.portcastello.com/</v>
      </c>
      <c r="D845" s="130" t="str">
        <f t="shared" si="43"/>
        <v>N/T</v>
      </c>
      <c r="E845" s="107" t="str">
        <f t="shared" si="42"/>
        <v/>
      </c>
      <c r="F845" s="124"/>
      <c r="G845" s="19"/>
      <c r="H845" s="19"/>
      <c r="I845" s="19"/>
      <c r="J845" s="19"/>
      <c r="K845" s="233"/>
      <c r="L845" s="19"/>
      <c r="M845" s="19"/>
      <c r="N845" s="19"/>
      <c r="O845" s="19"/>
      <c r="P845" s="19"/>
      <c r="Q845" s="19"/>
      <c r="R845" s="19"/>
      <c r="S845" s="19"/>
      <c r="T845" s="19"/>
      <c r="U845" s="19"/>
      <c r="V845" s="19"/>
      <c r="W845" s="19"/>
      <c r="X845" s="19"/>
      <c r="Y845" s="19"/>
    </row>
    <row r="846" spans="1:25" ht="12" customHeight="1">
      <c r="A846" s="219" t="n" cm="1">
        <f t="array" ref="A846">IFERROR(INDEX('03.Muestra'!$B$8:$B$42,SMALL(IF("Página Web"='03.Muestra'!$D$8:$D$42,ROW('03.Muestra'!$B$8:$B$42)-MIN(ROW('03.Muestra'!$D$8:$D$42))+1,""),ROW()-816)),"")</f>
        <v>1.0</v>
      </c>
      <c r="B846" s="114" t="str" cm="1">
        <f t="array" ref="B846">IFERROR(INDEX('03.Muestra'!$C$8:$C$42,SMALL(IF("Página Web"='03.Muestra'!$D$8:$D$42,ROW('03.Muestra'!$C$8:$C$42)-MIN(ROW('03.Muestra'!$D$8:$D$42))+1,""),ROW()-816)),"")</f>
        <v>Home - PortCastelló</v>
      </c>
      <c r="C846" s="114" t="str" cm="1">
        <f t="array" ref="C846">IFERROR(INDEX('03.Muestra'!$F$8:$F$42,SMALL(IF("Página Web"='03.Muestra'!$D$8:$D$42,ROW('03.Muestra'!$F$8:$F$42)-MIN(ROW('03.Muestra'!$D$8:$D$42))+1,""),ROW()-816)),"")</f>
        <v>https://www.portcastello.com/</v>
      </c>
      <c r="D846" s="130" t="str">
        <f t="shared" si="43"/>
        <v>N/T</v>
      </c>
      <c r="E846" s="107" t="str">
        <f t="shared" si="42"/>
        <v/>
      </c>
      <c r="F846" s="124"/>
      <c r="G846" s="19"/>
      <c r="H846" s="19"/>
      <c r="I846" s="19"/>
      <c r="J846" s="19"/>
      <c r="K846" s="233"/>
      <c r="L846" s="19"/>
      <c r="M846" s="19"/>
      <c r="N846" s="19"/>
      <c r="O846" s="19"/>
      <c r="P846" s="19"/>
      <c r="Q846" s="19"/>
      <c r="R846" s="19"/>
      <c r="S846" s="19"/>
      <c r="T846" s="19"/>
      <c r="U846" s="19"/>
      <c r="V846" s="19"/>
      <c r="W846" s="19"/>
      <c r="X846" s="19"/>
      <c r="Y846" s="19"/>
    </row>
    <row r="847" spans="1:25" ht="12" customHeight="1">
      <c r="A847" s="219" t="n" cm="1">
        <f t="array" ref="A847">IFERROR(INDEX('03.Muestra'!$B$8:$B$42,SMALL(IF("Página Web"='03.Muestra'!$D$8:$D$42,ROW('03.Muestra'!$B$8:$B$42)-MIN(ROW('03.Muestra'!$D$8:$D$42))+1,""),ROW()-816)),"")</f>
        <v>1.0</v>
      </c>
      <c r="B847" s="114" t="str" cm="1">
        <f t="array" ref="B847">IFERROR(INDEX('03.Muestra'!$C$8:$C$42,SMALL(IF("Página Web"='03.Muestra'!$D$8:$D$42,ROW('03.Muestra'!$C$8:$C$42)-MIN(ROW('03.Muestra'!$D$8:$D$42))+1,""),ROW()-816)),"")</f>
        <v>Home - PortCastelló</v>
      </c>
      <c r="C847" s="114" t="str" cm="1">
        <f t="array" ref="C847">IFERROR(INDEX('03.Muestra'!$F$8:$F$42,SMALL(IF("Página Web"='03.Muestra'!$D$8:$D$42,ROW('03.Muestra'!$F$8:$F$42)-MIN(ROW('03.Muestra'!$D$8:$D$42))+1,""),ROW()-816)),"")</f>
        <v>https://www.portcastello.com/</v>
      </c>
      <c r="D847" s="130" t="str">
        <f t="shared" si="43"/>
        <v>N/T</v>
      </c>
      <c r="E847" s="107" t="str">
        <f t="shared" si="42"/>
        <v/>
      </c>
      <c r="F847" s="124"/>
      <c r="G847" s="19"/>
      <c r="H847" s="19"/>
      <c r="I847" s="19"/>
      <c r="J847" s="19"/>
      <c r="K847" s="233"/>
      <c r="L847" s="19"/>
      <c r="M847" s="19"/>
      <c r="N847" s="19"/>
      <c r="O847" s="19"/>
      <c r="P847" s="19"/>
      <c r="Q847" s="19"/>
      <c r="R847" s="19"/>
      <c r="S847" s="19"/>
      <c r="T847" s="19"/>
      <c r="U847" s="19"/>
      <c r="V847" s="19"/>
      <c r="W847" s="19"/>
      <c r="X847" s="19"/>
      <c r="Y847" s="19"/>
    </row>
    <row r="848" spans="1:25" ht="12" customHeight="1">
      <c r="A848" s="219" t="n" cm="1">
        <f t="array" ref="A848">IFERROR(INDEX('03.Muestra'!$B$8:$B$42,SMALL(IF("Página Web"='03.Muestra'!$D$8:$D$42,ROW('03.Muestra'!$B$8:$B$42)-MIN(ROW('03.Muestra'!$D$8:$D$42))+1,""),ROW()-816)),"")</f>
        <v>1.0</v>
      </c>
      <c r="B848" s="114" t="str" cm="1">
        <f t="array" ref="B848">IFERROR(INDEX('03.Muestra'!$C$8:$C$42,SMALL(IF("Página Web"='03.Muestra'!$D$8:$D$42,ROW('03.Muestra'!$C$8:$C$42)-MIN(ROW('03.Muestra'!$D$8:$D$42))+1,""),ROW()-816)),"")</f>
        <v>Home - PortCastelló</v>
      </c>
      <c r="C848" s="114" t="str" cm="1">
        <f t="array" ref="C848">IFERROR(INDEX('03.Muestra'!$F$8:$F$42,SMALL(IF("Página Web"='03.Muestra'!$D$8:$D$42,ROW('03.Muestra'!$F$8:$F$42)-MIN(ROW('03.Muestra'!$D$8:$D$42))+1,""),ROW()-816)),"")</f>
        <v>https://www.portcastello.com/</v>
      </c>
      <c r="D848" s="130" t="str">
        <f t="shared" si="43"/>
        <v>N/T</v>
      </c>
      <c r="E848" s="107" t="str">
        <f t="shared" si="42"/>
        <v/>
      </c>
      <c r="F848" s="124"/>
      <c r="G848" s="19"/>
      <c r="H848" s="19"/>
      <c r="I848" s="19"/>
      <c r="J848" s="19"/>
      <c r="K848" s="233"/>
      <c r="L848" s="19"/>
      <c r="M848" s="19"/>
      <c r="N848" s="19"/>
      <c r="O848" s="19"/>
      <c r="P848" s="19"/>
      <c r="Q848" s="19"/>
      <c r="R848" s="19"/>
      <c r="S848" s="19"/>
      <c r="T848" s="19"/>
      <c r="U848" s="19"/>
      <c r="V848" s="19"/>
      <c r="W848" s="19"/>
      <c r="X848" s="19"/>
      <c r="Y848" s="19"/>
    </row>
    <row r="849" spans="1:25" ht="12" customHeight="1">
      <c r="A849" s="219" t="n" cm="1">
        <f t="array" ref="A849">IFERROR(INDEX('03.Muestra'!$B$8:$B$42,SMALL(IF("Página Web"='03.Muestra'!$D$8:$D$42,ROW('03.Muestra'!$B$8:$B$42)-MIN(ROW('03.Muestra'!$D$8:$D$42))+1,""),ROW()-816)),"")</f>
        <v>1.0</v>
      </c>
      <c r="B849" s="114" t="str" cm="1">
        <f t="array" ref="B849">IFERROR(INDEX('03.Muestra'!$C$8:$C$42,SMALL(IF("Página Web"='03.Muestra'!$D$8:$D$42,ROW('03.Muestra'!$C$8:$C$42)-MIN(ROW('03.Muestra'!$D$8:$D$42))+1,""),ROW()-816)),"")</f>
        <v>Home - PortCastelló</v>
      </c>
      <c r="C849" s="114" t="str" cm="1">
        <f t="array" ref="C849">IFERROR(INDEX('03.Muestra'!$F$8:$F$42,SMALL(IF("Página Web"='03.Muestra'!$D$8:$D$42,ROW('03.Muestra'!$F$8:$F$42)-MIN(ROW('03.Muestra'!$D$8:$D$42))+1,""),ROW()-816)),"")</f>
        <v>https://www.portcastello.com/</v>
      </c>
      <c r="D849" s="130" t="str">
        <f t="shared" si="43"/>
        <v>N/T</v>
      </c>
      <c r="E849" s="107" t="str">
        <f t="shared" si="42"/>
        <v/>
      </c>
      <c r="F849" s="124"/>
      <c r="G849" s="19"/>
      <c r="H849" s="19"/>
      <c r="I849" s="19"/>
      <c r="J849" s="19"/>
      <c r="K849" s="233"/>
      <c r="L849" s="19"/>
      <c r="M849" s="19"/>
      <c r="N849" s="19"/>
      <c r="O849" s="19"/>
      <c r="P849" s="19"/>
      <c r="Q849" s="19"/>
      <c r="R849" s="19"/>
      <c r="S849" s="19"/>
      <c r="T849" s="19"/>
      <c r="U849" s="19"/>
      <c r="V849" s="19"/>
      <c r="W849" s="19"/>
      <c r="X849" s="19"/>
      <c r="Y849" s="19"/>
    </row>
    <row r="850" spans="1:25" ht="12" customHeight="1">
      <c r="A850" s="219" t="str" cm="1">
        <f t="array" ref="A850">IFERROR(INDEX('03.Muestra'!$B$8:$B$42,SMALL(IF("Página Web"='03.Muestra'!$D$8:$D$42,ROW('03.Muestra'!$B$8:$B$42)-MIN(ROW('03.Muestra'!$D$8:$D$42))+1,""),ROW()-816)),"")</f>
        <v/>
      </c>
      <c r="B850" s="114" t="str" cm="1">
        <f t="array" ref="B850">IFERROR(INDEX('03.Muestra'!$C$8:$C$42,SMALL(IF("Página Web"='03.Muestra'!$D$8:$D$42,ROW('03.Muestra'!$C$8:$C$42)-MIN(ROW('03.Muestra'!$D$8:$D$42))+1,""),ROW()-816)),"")</f>
        <v/>
      </c>
      <c r="C850" s="114" t="str" cm="1">
        <f t="array" ref="C850">IFERROR(INDEX('03.Muestra'!$F$8:$F$42,SMALL(IF("Página Web"='03.Muestra'!$D$8:$D$42,ROW('03.Muestra'!$F$8:$F$42)-MIN(ROW('03.Muestra'!$D$8:$D$42))+1,""),ROW()-816)),"")</f>
        <v/>
      </c>
      <c r="D850" s="130" t="str">
        <f t="shared" si="43"/>
        <v/>
      </c>
      <c r="E850" s="107" t="str">
        <f t="shared" si="42"/>
        <v/>
      </c>
      <c r="F850" s="124"/>
      <c r="G850" s="19"/>
      <c r="H850" s="19"/>
      <c r="I850" s="19"/>
      <c r="J850" s="19"/>
      <c r="K850" s="233"/>
      <c r="L850" s="19"/>
      <c r="M850" s="19"/>
      <c r="N850" s="19"/>
      <c r="O850" s="19"/>
      <c r="P850" s="19"/>
      <c r="Q850" s="19"/>
      <c r="R850" s="19"/>
      <c r="S850" s="19"/>
      <c r="T850" s="19"/>
      <c r="U850" s="19"/>
      <c r="V850" s="19"/>
      <c r="W850" s="19"/>
      <c r="X850" s="19"/>
      <c r="Y850" s="19"/>
    </row>
    <row r="851" spans="1:25" ht="12" customHeight="1">
      <c r="A851" s="219" t="str" cm="1">
        <f t="array" ref="A851">IFERROR(INDEX('03.Muestra'!$B$8:$B$42,SMALL(IF("Página Web"='03.Muestra'!$D$8:$D$42,ROW('03.Muestra'!$B$8:$B$42)-MIN(ROW('03.Muestra'!$D$8:$D$42))+1,""),ROW()-816)),"")</f>
        <v/>
      </c>
      <c r="B851" s="114" t="str" cm="1">
        <f t="array" ref="B851">IFERROR(INDEX('03.Muestra'!$C$8:$C$42,SMALL(IF("Página Web"='03.Muestra'!$D$8:$D$42,ROW('03.Muestra'!$C$8:$C$42)-MIN(ROW('03.Muestra'!$D$8:$D$42))+1,""),ROW()-816)),"")</f>
        <v/>
      </c>
      <c r="C851" s="114" t="str" cm="1">
        <f t="array" ref="C851">IFERROR(INDEX('03.Muestra'!$F$8:$F$42,SMALL(IF("Página Web"='03.Muestra'!$D$8:$D$42,ROW('03.Muestra'!$F$8:$F$42)-MIN(ROW('03.Muestra'!$D$8:$D$42))+1,""),ROW()-816)),"")</f>
        <v/>
      </c>
      <c r="D851" s="130" t="str">
        <f t="shared" si="43"/>
        <v/>
      </c>
      <c r="E851" s="107" t="str">
        <f t="shared" si="42"/>
        <v/>
      </c>
      <c r="F851" s="19"/>
      <c r="G851" s="19"/>
      <c r="H851" s="19"/>
      <c r="I851" s="19"/>
      <c r="J851" s="19"/>
      <c r="K851" s="233"/>
      <c r="L851" s="19"/>
      <c r="M851" s="19"/>
      <c r="N851" s="19"/>
      <c r="O851" s="19"/>
      <c r="P851" s="19"/>
      <c r="Q851" s="19"/>
      <c r="R851" s="19"/>
      <c r="S851" s="19"/>
      <c r="T851" s="19"/>
      <c r="U851" s="19"/>
      <c r="V851" s="19"/>
      <c r="W851" s="19"/>
      <c r="X851" s="19"/>
      <c r="Y851" s="19"/>
    </row>
    <row r="852" spans="1:25" ht="12" customHeight="1">
      <c r="B852" s="19"/>
      <c r="C852" s="19"/>
      <c r="D852" s="107"/>
      <c r="E852" s="19"/>
      <c r="F852" s="19"/>
      <c r="G852" s="19"/>
      <c r="H852" s="19"/>
      <c r="I852" s="19"/>
      <c r="J852" s="19"/>
      <c r="K852" s="233"/>
      <c r="L852" s="19"/>
      <c r="M852" s="19"/>
      <c r="N852" s="19"/>
      <c r="O852" s="19"/>
      <c r="P852" s="19"/>
      <c r="Q852" s="19"/>
      <c r="R852" s="19"/>
      <c r="S852" s="19"/>
      <c r="T852" s="19"/>
      <c r="U852" s="19"/>
      <c r="V852" s="19"/>
      <c r="W852" s="19"/>
      <c r="X852" s="19"/>
      <c r="Y852" s="19"/>
    </row>
    <row r="853" spans="1:25" ht="12" customHeight="1">
      <c r="B853" s="126"/>
      <c r="C853" s="19"/>
      <c r="D853" s="107"/>
      <c r="E853" s="112"/>
      <c r="F853" s="19"/>
      <c r="G853" s="19"/>
      <c r="H853" s="19"/>
      <c r="I853" s="19"/>
      <c r="J853" s="19"/>
      <c r="K853" s="233"/>
      <c r="L853" s="19"/>
      <c r="M853" s="19"/>
      <c r="N853" s="19"/>
      <c r="O853" s="19"/>
      <c r="P853" s="19"/>
      <c r="Q853" s="19"/>
      <c r="R853" s="19"/>
      <c r="S853" s="19"/>
      <c r="T853" s="19"/>
      <c r="U853" s="19"/>
      <c r="V853" s="19"/>
      <c r="W853" s="19"/>
      <c r="X853" s="19"/>
      <c r="Y853" s="19"/>
    </row>
    <row r="854" spans="1:25" ht="29.25" customHeight="1">
      <c r="A854" s="218" t="s">
        <v>268</v>
      </c>
      <c r="B854" s="24" t="s">
        <v>90</v>
      </c>
      <c r="C854" s="25" t="s">
        <v>395</v>
      </c>
      <c r="D854" s="26" t="s">
        <v>32</v>
      </c>
      <c r="E854" s="123"/>
      <c r="K854" s="233"/>
      <c r="L854" s="19"/>
      <c r="M854" s="19"/>
      <c r="N854" s="19"/>
      <c r="O854" s="19"/>
      <c r="P854" s="19"/>
      <c r="Q854" s="19"/>
      <c r="R854" s="19"/>
      <c r="S854" s="19"/>
      <c r="T854" s="19"/>
      <c r="U854" s="19"/>
      <c r="V854" s="19"/>
      <c r="W854" s="19"/>
      <c r="X854" s="19"/>
      <c r="Y854" s="19"/>
    </row>
    <row r="855" spans="1:25" ht="12" customHeight="1">
      <c r="A855" s="219" t="n" cm="1">
        <f t="array" ref="A855">IFERROR(INDEX('03.Muestra'!$B$8:$B$42,SMALL(IF("Página Web"='03.Muestra'!$D$8:$D$42,ROW('03.Muestra'!$B$8:$B$42)-MIN(ROW('03.Muestra'!$D$8:$D$42))+1,""),ROW()-854)),"")</f>
        <v>1.0</v>
      </c>
      <c r="B855" s="114" t="str" cm="1">
        <f t="array" ref="B855">IFERROR(INDEX('03.Muestra'!$C$8:$C$42,SMALL(IF("Página Web"='03.Muestra'!$D$8:$D$42,ROW('03.Muestra'!$C$8:$C$42)-MIN(ROW('03.Muestra'!$D$8:$D$42))+1,""),ROW()-854)),"")</f>
        <v>Home - PortCastelló</v>
      </c>
      <c r="C855" s="114" t="str" cm="1">
        <f t="array" ref="C855">IFERROR(INDEX('03.Muestra'!$F$8:$F$42,SMALL(IF("Página Web"='03.Muestra'!$D$8:$D$42,ROW('03.Muestra'!$F$8:$F$42)-MIN(ROW('03.Muestra'!$D$8:$D$42))+1,""),ROW()-854)),"")</f>
        <v>https://www.portcastello.com/</v>
      </c>
      <c r="D855" s="130" t="s">
        <v>37</v>
      </c>
      <c r="E855" s="107" t="str">
        <f t="shared" ref="E855:E889" si="44">IF(D855&lt;&gt;"",IF(AND(B855&lt;&gt;"",C855&lt;&gt;""),"","ERR"),"")</f>
        <v/>
      </c>
      <c r="F855" s="115" t="s">
        <v>33</v>
      </c>
      <c r="G855" s="116" t="s">
        <v>37</v>
      </c>
      <c r="H855" s="117" t="s">
        <v>35</v>
      </c>
      <c r="I855" s="118" t="s">
        <v>28</v>
      </c>
      <c r="J855" s="119" t="s">
        <v>26</v>
      </c>
      <c r="K855" s="226" t="s">
        <v>474</v>
      </c>
      <c r="L855" s="19"/>
      <c r="M855" s="19"/>
      <c r="N855" s="19"/>
      <c r="O855" s="19"/>
      <c r="P855" s="19"/>
      <c r="Q855" s="19"/>
      <c r="R855" s="19"/>
      <c r="S855" s="19"/>
      <c r="T855" s="19"/>
      <c r="U855" s="19"/>
      <c r="V855" s="19"/>
      <c r="W855" s="19"/>
      <c r="X855" s="19"/>
      <c r="Y855" s="19"/>
    </row>
    <row r="856" spans="1:25" ht="12" customHeight="1">
      <c r="A856" s="219" t="n" cm="1">
        <f t="array" ref="A856">IFERROR(INDEX('03.Muestra'!$B$8:$B$42,SMALL(IF("Página Web"='03.Muestra'!$D$8:$D$42,ROW('03.Muestra'!$B$8:$B$42)-MIN(ROW('03.Muestra'!$D$8:$D$42))+1,""),ROW()-854)),"")</f>
        <v>1.0</v>
      </c>
      <c r="B856" s="114" t="str" cm="1">
        <f t="array" ref="B856">IFERROR(INDEX('03.Muestra'!$C$8:$C$42,SMALL(IF("Página Web"='03.Muestra'!$D$8:$D$42,ROW('03.Muestra'!$C$8:$C$42)-MIN(ROW('03.Muestra'!$D$8:$D$42))+1,""),ROW()-854)),"")</f>
        <v>Home - PortCastelló</v>
      </c>
      <c r="C856" s="114" t="str" cm="1">
        <f t="array" ref="C856">IFERROR(INDEX('03.Muestra'!$F$8:$F$42,SMALL(IF("Página Web"='03.Muestra'!$D$8:$D$42,ROW('03.Muestra'!$F$8:$F$42)-MIN(ROW('03.Muestra'!$D$8:$D$42))+1,""),ROW()-854)),"")</f>
        <v>https://www.portcastello.com/</v>
      </c>
      <c r="D856" s="130" t="s">
        <v>37</v>
      </c>
      <c r="E856" s="107" t="str">
        <f t="shared" si="44"/>
        <v/>
      </c>
      <c r="F856" s="120" t="n">
        <f ca="1">COUNTIF($D855:INDIRECT("$D" &amp;  SUM(ROW()-1,'03.Muestra'!$D$45)-1),F855)</f>
        <v>0.0</v>
      </c>
      <c r="G856" s="120" t="n">
        <f ca="1">COUNTIF($D855:INDIRECT("$D" &amp;  SUM(ROW()-1,'03.Muestra'!$D$45)-1),G855)</f>
        <v>33.0</v>
      </c>
      <c r="H856" s="120" t="n">
        <f ca="1">COUNTIF($D855:INDIRECT("$D" &amp;  SUM(ROW()-1,'03.Muestra'!$D$45)-1),H855)</f>
        <v>0.0</v>
      </c>
      <c r="I856" s="120" t="n">
        <f ca="1">COUNTIF($D855:INDIRECT("$D" &amp;  SUM(ROW()-1,'03.Muestra'!$D$45)-1),I855)</f>
        <v>0.0</v>
      </c>
      <c r="J856" s="120" t="n">
        <f ca="1">COUNTIF($D855:INDIRECT("$D" &amp;  SUM(ROW()-1,'03.Muestra'!$D$45)-1),J855)</f>
        <v>0.0</v>
      </c>
      <c r="K856" s="227" t="n">
        <f ca="1">IF(COUNTIF('03.Muestra'!$D$8:$D$42,"Página Web")=0,0,COUNTBLANK($D855:INDIRECT("$D" &amp;  SUM(ROW()-1,COUNTIF('03.Muestra'!$D$8:$D$42,"Página Web"))-1)))</f>
        <v>0.0</v>
      </c>
      <c r="L856" s="19"/>
      <c r="M856" s="19"/>
      <c r="N856" s="19"/>
      <c r="O856" s="19"/>
      <c r="P856" s="19"/>
      <c r="Q856" s="19"/>
      <c r="R856" s="19"/>
      <c r="S856" s="19"/>
      <c r="T856" s="19"/>
      <c r="U856" s="19"/>
      <c r="V856" s="19"/>
      <c r="W856" s="19"/>
      <c r="X856" s="19"/>
      <c r="Y856" s="19"/>
    </row>
    <row r="857" spans="1:25" ht="12" customHeight="1">
      <c r="A857" s="219" t="n" cm="1">
        <f t="array" ref="A857">IFERROR(INDEX('03.Muestra'!$B$8:$B$42,SMALL(IF("Página Web"='03.Muestra'!$D$8:$D$42,ROW('03.Muestra'!$B$8:$B$42)-MIN(ROW('03.Muestra'!$D$8:$D$42))+1,""),ROW()-854)),"")</f>
        <v>1.0</v>
      </c>
      <c r="B857" s="114" t="str" cm="1">
        <f t="array" ref="B857">IFERROR(INDEX('03.Muestra'!$C$8:$C$42,SMALL(IF("Página Web"='03.Muestra'!$D$8:$D$42,ROW('03.Muestra'!$C$8:$C$42)-MIN(ROW('03.Muestra'!$D$8:$D$42))+1,""),ROW()-854)),"")</f>
        <v>Home - PortCastelló</v>
      </c>
      <c r="C857" s="114" t="str" cm="1">
        <f t="array" ref="C857">IFERROR(INDEX('03.Muestra'!$F$8:$F$42,SMALL(IF("Página Web"='03.Muestra'!$D$8:$D$42,ROW('03.Muestra'!$F$8:$F$42)-MIN(ROW('03.Muestra'!$D$8:$D$42))+1,""),ROW()-854)),"")</f>
        <v>https://www.portcastello.com/</v>
      </c>
      <c r="D857" s="130" t="s">
        <v>37</v>
      </c>
      <c r="E857" s="107" t="str">
        <f t="shared" si="44"/>
        <v/>
      </c>
      <c r="G857" s="19"/>
      <c r="H857" s="19"/>
      <c r="I857" s="19"/>
      <c r="J857" s="19"/>
      <c r="K857" s="233"/>
      <c r="L857" s="19"/>
      <c r="M857" s="19"/>
      <c r="N857" s="19"/>
      <c r="O857" s="19"/>
      <c r="P857" s="19"/>
      <c r="Q857" s="19"/>
      <c r="R857" s="19"/>
      <c r="S857" s="19"/>
      <c r="T857" s="19"/>
      <c r="U857" s="19"/>
      <c r="V857" s="19"/>
      <c r="W857" s="19"/>
      <c r="X857" s="19"/>
      <c r="Y857" s="19"/>
    </row>
    <row r="858" spans="1:25" ht="12" customHeight="1">
      <c r="A858" s="219" t="n" cm="1">
        <f t="array" ref="A858">IFERROR(INDEX('03.Muestra'!$B$8:$B$42,SMALL(IF("Página Web"='03.Muestra'!$D$8:$D$42,ROW('03.Muestra'!$B$8:$B$42)-MIN(ROW('03.Muestra'!$D$8:$D$42))+1,""),ROW()-854)),"")</f>
        <v>1.0</v>
      </c>
      <c r="B858" s="114" t="str" cm="1">
        <f t="array" ref="B858">IFERROR(INDEX('03.Muestra'!$C$8:$C$42,SMALL(IF("Página Web"='03.Muestra'!$D$8:$D$42,ROW('03.Muestra'!$C$8:$C$42)-MIN(ROW('03.Muestra'!$D$8:$D$42))+1,""),ROW()-854)),"")</f>
        <v>Home - PortCastelló</v>
      </c>
      <c r="C858" s="114" t="str" cm="1">
        <f t="array" ref="C858">IFERROR(INDEX('03.Muestra'!$F$8:$F$42,SMALL(IF("Página Web"='03.Muestra'!$D$8:$D$42,ROW('03.Muestra'!$F$8:$F$42)-MIN(ROW('03.Muestra'!$D$8:$D$42))+1,""),ROW()-854)),"")</f>
        <v>https://www.portcastello.com/</v>
      </c>
      <c r="D858" s="130" t="s">
        <v>37</v>
      </c>
      <c r="E858" s="107" t="str">
        <f t="shared" si="44"/>
        <v/>
      </c>
      <c r="G858" s="19"/>
      <c r="H858" s="19"/>
      <c r="I858" s="19"/>
      <c r="J858" s="19"/>
      <c r="K858" s="233"/>
      <c r="L858" s="19"/>
      <c r="M858" s="19"/>
      <c r="N858" s="19"/>
      <c r="O858" s="19"/>
      <c r="P858" s="19"/>
      <c r="Q858" s="19"/>
      <c r="R858" s="19"/>
      <c r="S858" s="19"/>
      <c r="T858" s="19"/>
      <c r="U858" s="19"/>
      <c r="V858" s="19"/>
      <c r="W858" s="19"/>
      <c r="X858" s="19"/>
      <c r="Y858" s="19"/>
    </row>
    <row r="859" spans="1:25" ht="12" customHeight="1">
      <c r="A859" s="219" t="n" cm="1">
        <f t="array" ref="A859">IFERROR(INDEX('03.Muestra'!$B$8:$B$42,SMALL(IF("Página Web"='03.Muestra'!$D$8:$D$42,ROW('03.Muestra'!$B$8:$B$42)-MIN(ROW('03.Muestra'!$D$8:$D$42))+1,""),ROW()-854)),"")</f>
        <v>1.0</v>
      </c>
      <c r="B859" s="114" t="str" cm="1">
        <f t="array" ref="B859">IFERROR(INDEX('03.Muestra'!$C$8:$C$42,SMALL(IF("Página Web"='03.Muestra'!$D$8:$D$42,ROW('03.Muestra'!$C$8:$C$42)-MIN(ROW('03.Muestra'!$D$8:$D$42))+1,""),ROW()-854)),"")</f>
        <v>Home - PortCastelló</v>
      </c>
      <c r="C859" s="114" t="str" cm="1">
        <f t="array" ref="C859">IFERROR(INDEX('03.Muestra'!$F$8:$F$42,SMALL(IF("Página Web"='03.Muestra'!$D$8:$D$42,ROW('03.Muestra'!$F$8:$F$42)-MIN(ROW('03.Muestra'!$D$8:$D$42))+1,""),ROW()-854)),"")</f>
        <v>https://www.portcastello.com/</v>
      </c>
      <c r="D859" s="130" t="s">
        <v>37</v>
      </c>
      <c r="E859" s="107" t="str">
        <f t="shared" si="44"/>
        <v/>
      </c>
      <c r="G859" s="19"/>
      <c r="H859" s="19"/>
      <c r="I859" s="19"/>
      <c r="J859" s="19"/>
      <c r="K859" s="233"/>
      <c r="L859" s="19"/>
      <c r="M859" s="19"/>
      <c r="N859" s="19"/>
      <c r="O859" s="19"/>
      <c r="P859" s="19"/>
      <c r="Q859" s="19"/>
      <c r="R859" s="19"/>
      <c r="S859" s="19"/>
      <c r="T859" s="19"/>
      <c r="U859" s="19"/>
      <c r="V859" s="19"/>
      <c r="W859" s="19"/>
      <c r="X859" s="19"/>
      <c r="Y859" s="19"/>
    </row>
    <row r="860" spans="1:25" ht="12" customHeight="1">
      <c r="A860" s="219" t="n" cm="1">
        <f t="array" ref="A860">IFERROR(INDEX('03.Muestra'!$B$8:$B$42,SMALL(IF("Página Web"='03.Muestra'!$D$8:$D$42,ROW('03.Muestra'!$B$8:$B$42)-MIN(ROW('03.Muestra'!$D$8:$D$42))+1,""),ROW()-854)),"")</f>
        <v>1.0</v>
      </c>
      <c r="B860" s="114" t="str" cm="1">
        <f t="array" ref="B860">IFERROR(INDEX('03.Muestra'!$C$8:$C$42,SMALL(IF("Página Web"='03.Muestra'!$D$8:$D$42,ROW('03.Muestra'!$C$8:$C$42)-MIN(ROW('03.Muestra'!$D$8:$D$42))+1,""),ROW()-854)),"")</f>
        <v>Home - PortCastelló</v>
      </c>
      <c r="C860" s="114" t="str" cm="1">
        <f t="array" ref="C860">IFERROR(INDEX('03.Muestra'!$F$8:$F$42,SMALL(IF("Página Web"='03.Muestra'!$D$8:$D$42,ROW('03.Muestra'!$F$8:$F$42)-MIN(ROW('03.Muestra'!$D$8:$D$42))+1,""),ROW()-854)),"")</f>
        <v>https://www.portcastello.com/</v>
      </c>
      <c r="D860" s="130" t="s">
        <v>37</v>
      </c>
      <c r="E860" s="107" t="str">
        <f t="shared" si="44"/>
        <v/>
      </c>
      <c r="G860" s="19"/>
      <c r="H860" s="19"/>
      <c r="I860" s="19"/>
      <c r="J860" s="19"/>
      <c r="K860" s="233"/>
      <c r="L860" s="19"/>
      <c r="M860" s="19"/>
      <c r="N860" s="19"/>
      <c r="O860" s="19"/>
      <c r="P860" s="19"/>
      <c r="Q860" s="19"/>
      <c r="R860" s="19"/>
      <c r="S860" s="19"/>
      <c r="T860" s="19"/>
      <c r="U860" s="19"/>
      <c r="V860" s="19"/>
      <c r="W860" s="19"/>
      <c r="X860" s="19"/>
      <c r="Y860" s="19"/>
    </row>
    <row r="861" spans="1:25" ht="12" customHeight="1">
      <c r="A861" s="219" t="n" cm="1">
        <f t="array" ref="A861">IFERROR(INDEX('03.Muestra'!$B$8:$B$42,SMALL(IF("Página Web"='03.Muestra'!$D$8:$D$42,ROW('03.Muestra'!$B$8:$B$42)-MIN(ROW('03.Muestra'!$D$8:$D$42))+1,""),ROW()-854)),"")</f>
        <v>1.0</v>
      </c>
      <c r="B861" s="114" t="str" cm="1">
        <f t="array" ref="B861">IFERROR(INDEX('03.Muestra'!$C$8:$C$42,SMALL(IF("Página Web"='03.Muestra'!$D$8:$D$42,ROW('03.Muestra'!$C$8:$C$42)-MIN(ROW('03.Muestra'!$D$8:$D$42))+1,""),ROW()-854)),"")</f>
        <v>Home - PortCastelló</v>
      </c>
      <c r="C861" s="114" t="str" cm="1">
        <f t="array" ref="C861">IFERROR(INDEX('03.Muestra'!$F$8:$F$42,SMALL(IF("Página Web"='03.Muestra'!$D$8:$D$42,ROW('03.Muestra'!$F$8:$F$42)-MIN(ROW('03.Muestra'!$D$8:$D$42))+1,""),ROW()-854)),"")</f>
        <v>https://www.portcastello.com/</v>
      </c>
      <c r="D861" s="130" t="s">
        <v>37</v>
      </c>
      <c r="E861" s="107" t="str">
        <f t="shared" si="44"/>
        <v/>
      </c>
      <c r="F861" s="19"/>
      <c r="G861" s="19"/>
      <c r="H861" s="19"/>
      <c r="I861" s="19"/>
      <c r="J861" s="19"/>
      <c r="K861" s="233"/>
      <c r="L861" s="19"/>
      <c r="M861" s="19"/>
      <c r="N861" s="19"/>
      <c r="O861" s="19"/>
      <c r="P861" s="19"/>
      <c r="Q861" s="19"/>
      <c r="R861" s="19"/>
      <c r="S861" s="19"/>
      <c r="T861" s="19"/>
      <c r="U861" s="19"/>
      <c r="V861" s="19"/>
      <c r="W861" s="19"/>
      <c r="X861" s="19"/>
      <c r="Y861" s="19"/>
    </row>
    <row r="862" spans="1:25" ht="12" customHeight="1">
      <c r="A862" s="219" t="n" cm="1">
        <f t="array" ref="A862">IFERROR(INDEX('03.Muestra'!$B$8:$B$42,SMALL(IF("Página Web"='03.Muestra'!$D$8:$D$42,ROW('03.Muestra'!$B$8:$B$42)-MIN(ROW('03.Muestra'!$D$8:$D$42))+1,""),ROW()-854)),"")</f>
        <v>1.0</v>
      </c>
      <c r="B862" s="114" t="str" cm="1">
        <f t="array" ref="B862">IFERROR(INDEX('03.Muestra'!$C$8:$C$42,SMALL(IF("Página Web"='03.Muestra'!$D$8:$D$42,ROW('03.Muestra'!$C$8:$C$42)-MIN(ROW('03.Muestra'!$D$8:$D$42))+1,""),ROW()-854)),"")</f>
        <v>Home - PortCastelló</v>
      </c>
      <c r="C862" s="114" t="str" cm="1">
        <f t="array" ref="C862">IFERROR(INDEX('03.Muestra'!$F$8:$F$42,SMALL(IF("Página Web"='03.Muestra'!$D$8:$D$42,ROW('03.Muestra'!$F$8:$F$42)-MIN(ROW('03.Muestra'!$D$8:$D$42))+1,""),ROW()-854)),"")</f>
        <v>https://www.portcastello.com/</v>
      </c>
      <c r="D862" s="130" t="s">
        <v>37</v>
      </c>
      <c r="E862" s="107" t="str">
        <f t="shared" si="44"/>
        <v/>
      </c>
      <c r="F862" s="19"/>
      <c r="G862" s="19"/>
      <c r="H862" s="19"/>
      <c r="I862" s="19"/>
      <c r="J862" s="19"/>
      <c r="K862" s="233"/>
      <c r="L862" s="19"/>
      <c r="M862" s="19"/>
      <c r="N862" s="19"/>
      <c r="O862" s="19"/>
      <c r="P862" s="19"/>
      <c r="Q862" s="19"/>
      <c r="R862" s="19"/>
      <c r="S862" s="19"/>
      <c r="T862" s="19"/>
      <c r="U862" s="19"/>
      <c r="V862" s="19"/>
      <c r="W862" s="19"/>
      <c r="X862" s="19"/>
      <c r="Y862" s="19"/>
    </row>
    <row r="863" spans="1:25" ht="12" customHeight="1">
      <c r="A863" s="219" t="n" cm="1">
        <f t="array" ref="A863">IFERROR(INDEX('03.Muestra'!$B$8:$B$42,SMALL(IF("Página Web"='03.Muestra'!$D$8:$D$42,ROW('03.Muestra'!$B$8:$B$42)-MIN(ROW('03.Muestra'!$D$8:$D$42))+1,""),ROW()-854)),"")</f>
        <v>1.0</v>
      </c>
      <c r="B863" s="114" t="str" cm="1">
        <f t="array" ref="B863">IFERROR(INDEX('03.Muestra'!$C$8:$C$42,SMALL(IF("Página Web"='03.Muestra'!$D$8:$D$42,ROW('03.Muestra'!$C$8:$C$42)-MIN(ROW('03.Muestra'!$D$8:$D$42))+1,""),ROW()-854)),"")</f>
        <v>Home - PortCastelló</v>
      </c>
      <c r="C863" s="114" t="str" cm="1">
        <f t="array" ref="C863">IFERROR(INDEX('03.Muestra'!$F$8:$F$42,SMALL(IF("Página Web"='03.Muestra'!$D$8:$D$42,ROW('03.Muestra'!$F$8:$F$42)-MIN(ROW('03.Muestra'!$D$8:$D$42))+1,""),ROW()-854)),"")</f>
        <v>https://www.portcastello.com/</v>
      </c>
      <c r="D863" s="130" t="s">
        <v>37</v>
      </c>
      <c r="E863" s="107" t="str">
        <f t="shared" si="44"/>
        <v/>
      </c>
      <c r="F863" s="19"/>
      <c r="G863" s="19"/>
      <c r="H863" s="19"/>
      <c r="I863" s="19"/>
      <c r="J863" s="19"/>
      <c r="K863" s="233"/>
      <c r="L863" s="19"/>
      <c r="M863" s="19"/>
      <c r="N863" s="19"/>
      <c r="O863" s="19"/>
      <c r="P863" s="19"/>
      <c r="Q863" s="19"/>
      <c r="R863" s="19"/>
      <c r="S863" s="19"/>
      <c r="T863" s="19"/>
      <c r="U863" s="19"/>
      <c r="V863" s="19"/>
      <c r="W863" s="19"/>
      <c r="X863" s="19"/>
      <c r="Y863" s="19"/>
    </row>
    <row r="864" spans="1:25" ht="12" customHeight="1">
      <c r="A864" s="219" t="n" cm="1">
        <f t="array" ref="A864">IFERROR(INDEX('03.Muestra'!$B$8:$B$42,SMALL(IF("Página Web"='03.Muestra'!$D$8:$D$42,ROW('03.Muestra'!$B$8:$B$42)-MIN(ROW('03.Muestra'!$D$8:$D$42))+1,""),ROW()-854)),"")</f>
        <v>1.0</v>
      </c>
      <c r="B864" s="114" t="str" cm="1">
        <f t="array" ref="B864">IFERROR(INDEX('03.Muestra'!$C$8:$C$42,SMALL(IF("Página Web"='03.Muestra'!$D$8:$D$42,ROW('03.Muestra'!$C$8:$C$42)-MIN(ROW('03.Muestra'!$D$8:$D$42))+1,""),ROW()-854)),"")</f>
        <v>Home - PortCastelló</v>
      </c>
      <c r="C864" s="114" t="str" cm="1">
        <f t="array" ref="C864">IFERROR(INDEX('03.Muestra'!$F$8:$F$42,SMALL(IF("Página Web"='03.Muestra'!$D$8:$D$42,ROW('03.Muestra'!$F$8:$F$42)-MIN(ROW('03.Muestra'!$D$8:$D$42))+1,""),ROW()-854)),"")</f>
        <v>https://www.portcastello.com/</v>
      </c>
      <c r="D864" s="130" t="s">
        <v>37</v>
      </c>
      <c r="E864" s="107" t="str">
        <f t="shared" si="44"/>
        <v/>
      </c>
      <c r="F864" s="19"/>
      <c r="G864" s="19"/>
      <c r="H864" s="19"/>
      <c r="I864" s="19"/>
      <c r="J864" s="19"/>
      <c r="K864" s="233"/>
      <c r="L864" s="19"/>
      <c r="M864" s="19"/>
      <c r="N864" s="19"/>
      <c r="O864" s="19"/>
      <c r="P864" s="19"/>
      <c r="Q864" s="19"/>
      <c r="R864" s="19"/>
      <c r="S864" s="19"/>
      <c r="T864" s="19"/>
      <c r="U864" s="19"/>
      <c r="V864" s="19"/>
      <c r="W864" s="19"/>
      <c r="X864" s="19"/>
      <c r="Y864" s="19"/>
    </row>
    <row r="865" spans="1:25" ht="12" customHeight="1">
      <c r="A865" s="219" t="n" cm="1">
        <f t="array" ref="A865">IFERROR(INDEX('03.Muestra'!$B$8:$B$42,SMALL(IF("Página Web"='03.Muestra'!$D$8:$D$42,ROW('03.Muestra'!$B$8:$B$42)-MIN(ROW('03.Muestra'!$D$8:$D$42))+1,""),ROW()-854)),"")</f>
        <v>1.0</v>
      </c>
      <c r="B865" s="114" t="str" cm="1">
        <f t="array" ref="B865">IFERROR(INDEX('03.Muestra'!$C$8:$C$42,SMALL(IF("Página Web"='03.Muestra'!$D$8:$D$42,ROW('03.Muestra'!$C$8:$C$42)-MIN(ROW('03.Muestra'!$D$8:$D$42))+1,""),ROW()-854)),"")</f>
        <v>Home - PortCastelló</v>
      </c>
      <c r="C865" s="114" t="str" cm="1">
        <f t="array" ref="C865">IFERROR(INDEX('03.Muestra'!$F$8:$F$42,SMALL(IF("Página Web"='03.Muestra'!$D$8:$D$42,ROW('03.Muestra'!$F$8:$F$42)-MIN(ROW('03.Muestra'!$D$8:$D$42))+1,""),ROW()-854)),"")</f>
        <v>https://www.portcastello.com/</v>
      </c>
      <c r="D865" s="130" t="s">
        <v>37</v>
      </c>
      <c r="E865" s="107" t="str">
        <f t="shared" si="44"/>
        <v/>
      </c>
      <c r="F865" s="19"/>
      <c r="G865" s="19"/>
      <c r="H865" s="19"/>
      <c r="I865" s="19"/>
      <c r="J865" s="19"/>
      <c r="K865" s="233"/>
      <c r="L865" s="19"/>
      <c r="M865" s="19"/>
      <c r="N865" s="19"/>
      <c r="O865" s="19"/>
      <c r="P865" s="19"/>
      <c r="Q865" s="19"/>
      <c r="R865" s="19"/>
      <c r="S865" s="19"/>
      <c r="T865" s="19"/>
      <c r="U865" s="19"/>
      <c r="V865" s="19"/>
      <c r="W865" s="19"/>
      <c r="X865" s="19"/>
      <c r="Y865" s="19"/>
    </row>
    <row r="866" spans="1:25" ht="12" customHeight="1">
      <c r="A866" s="219" t="n" cm="1">
        <f t="array" ref="A866">IFERROR(INDEX('03.Muestra'!$B$8:$B$42,SMALL(IF("Página Web"='03.Muestra'!$D$8:$D$42,ROW('03.Muestra'!$B$8:$B$42)-MIN(ROW('03.Muestra'!$D$8:$D$42))+1,""),ROW()-854)),"")</f>
        <v>1.0</v>
      </c>
      <c r="B866" s="114" t="str" cm="1">
        <f t="array" ref="B866">IFERROR(INDEX('03.Muestra'!$C$8:$C$42,SMALL(IF("Página Web"='03.Muestra'!$D$8:$D$42,ROW('03.Muestra'!$C$8:$C$42)-MIN(ROW('03.Muestra'!$D$8:$D$42))+1,""),ROW()-854)),"")</f>
        <v>Home - PortCastelló</v>
      </c>
      <c r="C866" s="114" t="str" cm="1">
        <f t="array" ref="C866">IFERROR(INDEX('03.Muestra'!$F$8:$F$42,SMALL(IF("Página Web"='03.Muestra'!$D$8:$D$42,ROW('03.Muestra'!$F$8:$F$42)-MIN(ROW('03.Muestra'!$D$8:$D$42))+1,""),ROW()-854)),"")</f>
        <v>https://www.portcastello.com/</v>
      </c>
      <c r="D866" s="130" t="s">
        <v>37</v>
      </c>
      <c r="E866" s="107" t="str">
        <f t="shared" si="44"/>
        <v/>
      </c>
      <c r="F866" s="19"/>
      <c r="G866" s="19"/>
      <c r="H866" s="19"/>
      <c r="I866" s="19"/>
      <c r="J866" s="19"/>
      <c r="K866" s="233"/>
      <c r="L866" s="19"/>
      <c r="M866" s="19"/>
      <c r="N866" s="19"/>
      <c r="O866" s="19"/>
      <c r="P866" s="19"/>
      <c r="Q866" s="19"/>
      <c r="R866" s="19"/>
      <c r="S866" s="19"/>
      <c r="T866" s="19"/>
      <c r="U866" s="19"/>
      <c r="V866" s="19"/>
      <c r="W866" s="19"/>
      <c r="X866" s="19"/>
      <c r="Y866" s="19"/>
    </row>
    <row r="867" spans="1:25" ht="12" customHeight="1">
      <c r="A867" s="219" t="n" cm="1">
        <f t="array" ref="A867">IFERROR(INDEX('03.Muestra'!$B$8:$B$42,SMALL(IF("Página Web"='03.Muestra'!$D$8:$D$42,ROW('03.Muestra'!$B$8:$B$42)-MIN(ROW('03.Muestra'!$D$8:$D$42))+1,""),ROW()-854)),"")</f>
        <v>1.0</v>
      </c>
      <c r="B867" s="114" t="str" cm="1">
        <f t="array" ref="B867">IFERROR(INDEX('03.Muestra'!$C$8:$C$42,SMALL(IF("Página Web"='03.Muestra'!$D$8:$D$42,ROW('03.Muestra'!$C$8:$C$42)-MIN(ROW('03.Muestra'!$D$8:$D$42))+1,""),ROW()-854)),"")</f>
        <v>Home - PortCastelló</v>
      </c>
      <c r="C867" s="114" t="str" cm="1">
        <f t="array" ref="C867">IFERROR(INDEX('03.Muestra'!$F$8:$F$42,SMALL(IF("Página Web"='03.Muestra'!$D$8:$D$42,ROW('03.Muestra'!$F$8:$F$42)-MIN(ROW('03.Muestra'!$D$8:$D$42))+1,""),ROW()-854)),"")</f>
        <v>https://www.portcastello.com/</v>
      </c>
      <c r="D867" s="130" t="s">
        <v>37</v>
      </c>
      <c r="E867" s="107" t="str">
        <f t="shared" si="44"/>
        <v/>
      </c>
      <c r="F867" s="19"/>
      <c r="G867" s="19"/>
      <c r="H867" s="19"/>
      <c r="I867" s="19"/>
      <c r="J867" s="19"/>
      <c r="K867" s="233"/>
      <c r="L867" s="19"/>
      <c r="M867" s="19"/>
      <c r="N867" s="19"/>
      <c r="O867" s="19"/>
      <c r="P867" s="19"/>
      <c r="Q867" s="19"/>
      <c r="R867" s="19"/>
      <c r="S867" s="19"/>
      <c r="T867" s="19"/>
      <c r="U867" s="19"/>
      <c r="V867" s="19"/>
      <c r="W867" s="19"/>
      <c r="X867" s="19"/>
      <c r="Y867" s="19"/>
    </row>
    <row r="868" spans="1:25" ht="12" customHeight="1">
      <c r="A868" s="219" t="n" cm="1">
        <f t="array" ref="A868">IFERROR(INDEX('03.Muestra'!$B$8:$B$42,SMALL(IF("Página Web"='03.Muestra'!$D$8:$D$42,ROW('03.Muestra'!$B$8:$B$42)-MIN(ROW('03.Muestra'!$D$8:$D$42))+1,""),ROW()-854)),"")</f>
        <v>1.0</v>
      </c>
      <c r="B868" s="114" t="str" cm="1">
        <f t="array" ref="B868">IFERROR(INDEX('03.Muestra'!$C$8:$C$42,SMALL(IF("Página Web"='03.Muestra'!$D$8:$D$42,ROW('03.Muestra'!$C$8:$C$42)-MIN(ROW('03.Muestra'!$D$8:$D$42))+1,""),ROW()-854)),"")</f>
        <v>Home - PortCastelló</v>
      </c>
      <c r="C868" s="114" t="str" cm="1">
        <f t="array" ref="C868">IFERROR(INDEX('03.Muestra'!$F$8:$F$42,SMALL(IF("Página Web"='03.Muestra'!$D$8:$D$42,ROW('03.Muestra'!$F$8:$F$42)-MIN(ROW('03.Muestra'!$D$8:$D$42))+1,""),ROW()-854)),"")</f>
        <v>https://www.portcastello.com/</v>
      </c>
      <c r="D868" s="130" t="s">
        <v>37</v>
      </c>
      <c r="E868" s="107" t="str">
        <f t="shared" si="44"/>
        <v/>
      </c>
      <c r="F868" s="19"/>
      <c r="G868" s="19"/>
      <c r="H868" s="19"/>
      <c r="I868" s="19"/>
      <c r="J868" s="19"/>
      <c r="K868" s="233"/>
      <c r="L868" s="19"/>
      <c r="M868" s="19"/>
      <c r="N868" s="19"/>
      <c r="O868" s="19"/>
      <c r="P868" s="19"/>
      <c r="Q868" s="19"/>
      <c r="R868" s="19"/>
      <c r="S868" s="19"/>
      <c r="T868" s="19"/>
      <c r="U868" s="19"/>
      <c r="V868" s="19"/>
      <c r="W868" s="19"/>
      <c r="X868" s="19"/>
      <c r="Y868" s="19"/>
    </row>
    <row r="869" spans="1:25" ht="12" customHeight="1">
      <c r="A869" s="219" t="n" cm="1">
        <f t="array" ref="A869">IFERROR(INDEX('03.Muestra'!$B$8:$B$42,SMALL(IF("Página Web"='03.Muestra'!$D$8:$D$42,ROW('03.Muestra'!$B$8:$B$42)-MIN(ROW('03.Muestra'!$D$8:$D$42))+1,""),ROW()-854)),"")</f>
        <v>1.0</v>
      </c>
      <c r="B869" s="114" t="str" cm="1">
        <f t="array" ref="B869">IFERROR(INDEX('03.Muestra'!$C$8:$C$42,SMALL(IF("Página Web"='03.Muestra'!$D$8:$D$42,ROW('03.Muestra'!$C$8:$C$42)-MIN(ROW('03.Muestra'!$D$8:$D$42))+1,""),ROW()-854)),"")</f>
        <v>Home - PortCastelló</v>
      </c>
      <c r="C869" s="114" t="str" cm="1">
        <f t="array" ref="C869">IFERROR(INDEX('03.Muestra'!$F$8:$F$42,SMALL(IF("Página Web"='03.Muestra'!$D$8:$D$42,ROW('03.Muestra'!$F$8:$F$42)-MIN(ROW('03.Muestra'!$D$8:$D$42))+1,""),ROW()-854)),"")</f>
        <v>https://www.portcastello.com/</v>
      </c>
      <c r="D869" s="130" t="s">
        <v>37</v>
      </c>
      <c r="E869" s="107" t="str">
        <f t="shared" si="44"/>
        <v/>
      </c>
      <c r="F869" s="19"/>
      <c r="G869" s="19"/>
      <c r="H869" s="19"/>
      <c r="I869" s="19"/>
      <c r="J869" s="19"/>
      <c r="K869" s="233"/>
      <c r="L869" s="19"/>
      <c r="M869" s="19"/>
      <c r="N869" s="19"/>
      <c r="O869" s="19"/>
      <c r="P869" s="19"/>
      <c r="Q869" s="19"/>
      <c r="R869" s="19"/>
      <c r="S869" s="19"/>
      <c r="T869" s="19"/>
      <c r="U869" s="19"/>
      <c r="V869" s="19"/>
      <c r="W869" s="19"/>
      <c r="X869" s="19"/>
      <c r="Y869" s="19"/>
    </row>
    <row r="870" spans="1:25" ht="12" customHeight="1">
      <c r="A870" s="219" t="n" cm="1">
        <f t="array" ref="A870">IFERROR(INDEX('03.Muestra'!$B$8:$B$42,SMALL(IF("Página Web"='03.Muestra'!$D$8:$D$42,ROW('03.Muestra'!$B$8:$B$42)-MIN(ROW('03.Muestra'!$D$8:$D$42))+1,""),ROW()-854)),"")</f>
        <v>1.0</v>
      </c>
      <c r="B870" s="114" t="str" cm="1">
        <f t="array" ref="B870">IFERROR(INDEX('03.Muestra'!$C$8:$C$42,SMALL(IF("Página Web"='03.Muestra'!$D$8:$D$42,ROW('03.Muestra'!$C$8:$C$42)-MIN(ROW('03.Muestra'!$D$8:$D$42))+1,""),ROW()-854)),"")</f>
        <v>Home - PortCastelló</v>
      </c>
      <c r="C870" s="114" t="str" cm="1">
        <f t="array" ref="C870">IFERROR(INDEX('03.Muestra'!$F$8:$F$42,SMALL(IF("Página Web"='03.Muestra'!$D$8:$D$42,ROW('03.Muestra'!$F$8:$F$42)-MIN(ROW('03.Muestra'!$D$8:$D$42))+1,""),ROW()-854)),"")</f>
        <v>https://www.portcastello.com/</v>
      </c>
      <c r="D870" s="130" t="s">
        <v>37</v>
      </c>
      <c r="E870" s="107" t="str">
        <f t="shared" si="44"/>
        <v/>
      </c>
      <c r="F870" s="19"/>
      <c r="G870" s="19"/>
      <c r="H870" s="19"/>
      <c r="I870" s="19"/>
      <c r="J870" s="19"/>
      <c r="K870" s="233"/>
      <c r="L870" s="19"/>
      <c r="M870" s="19"/>
      <c r="N870" s="19"/>
      <c r="O870" s="19"/>
      <c r="P870" s="19"/>
      <c r="Q870" s="19"/>
      <c r="R870" s="19"/>
      <c r="S870" s="19"/>
      <c r="T870" s="19"/>
      <c r="U870" s="19"/>
      <c r="V870" s="19"/>
      <c r="W870" s="19"/>
      <c r="X870" s="19"/>
      <c r="Y870" s="19"/>
    </row>
    <row r="871" spans="1:25" ht="12" customHeight="1">
      <c r="A871" s="219" t="n" cm="1">
        <f t="array" ref="A871">IFERROR(INDEX('03.Muestra'!$B$8:$B$42,SMALL(IF("Página Web"='03.Muestra'!$D$8:$D$42,ROW('03.Muestra'!$B$8:$B$42)-MIN(ROW('03.Muestra'!$D$8:$D$42))+1,""),ROW()-854)),"")</f>
        <v>1.0</v>
      </c>
      <c r="B871" s="114" t="str" cm="1">
        <f t="array" ref="B871">IFERROR(INDEX('03.Muestra'!$C$8:$C$42,SMALL(IF("Página Web"='03.Muestra'!$D$8:$D$42,ROW('03.Muestra'!$C$8:$C$42)-MIN(ROW('03.Muestra'!$D$8:$D$42))+1,""),ROW()-854)),"")</f>
        <v>Home - PortCastelló</v>
      </c>
      <c r="C871" s="114" t="str" cm="1">
        <f t="array" ref="C871">IFERROR(INDEX('03.Muestra'!$F$8:$F$42,SMALL(IF("Página Web"='03.Muestra'!$D$8:$D$42,ROW('03.Muestra'!$F$8:$F$42)-MIN(ROW('03.Muestra'!$D$8:$D$42))+1,""),ROW()-854)),"")</f>
        <v>https://www.portcastello.com/</v>
      </c>
      <c r="D871" s="130" t="s">
        <v>37</v>
      </c>
      <c r="E871" s="107" t="str">
        <f t="shared" si="44"/>
        <v/>
      </c>
      <c r="F871" s="19"/>
      <c r="G871" s="19"/>
      <c r="H871" s="19"/>
      <c r="I871" s="19"/>
      <c r="J871" s="19"/>
      <c r="K871" s="233"/>
      <c r="L871" s="19"/>
      <c r="M871" s="19"/>
      <c r="N871" s="19"/>
      <c r="O871" s="19"/>
      <c r="P871" s="19"/>
      <c r="Q871" s="19"/>
      <c r="R871" s="19"/>
      <c r="S871" s="19"/>
      <c r="T871" s="19"/>
      <c r="U871" s="19"/>
      <c r="V871" s="19"/>
      <c r="W871" s="19"/>
      <c r="X871" s="19"/>
      <c r="Y871" s="19"/>
    </row>
    <row r="872" spans="1:25" ht="12" customHeight="1">
      <c r="A872" s="219" t="n" cm="1">
        <f t="array" ref="A872">IFERROR(INDEX('03.Muestra'!$B$8:$B$42,SMALL(IF("Página Web"='03.Muestra'!$D$8:$D$42,ROW('03.Muestra'!$B$8:$B$42)-MIN(ROW('03.Muestra'!$D$8:$D$42))+1,""),ROW()-854)),"")</f>
        <v>1.0</v>
      </c>
      <c r="B872" s="114" t="str" cm="1">
        <f t="array" ref="B872">IFERROR(INDEX('03.Muestra'!$C$8:$C$42,SMALL(IF("Página Web"='03.Muestra'!$D$8:$D$42,ROW('03.Muestra'!$C$8:$C$42)-MIN(ROW('03.Muestra'!$D$8:$D$42))+1,""),ROW()-854)),"")</f>
        <v>Home - PortCastelló</v>
      </c>
      <c r="C872" s="114" t="str" cm="1">
        <f t="array" ref="C872">IFERROR(INDEX('03.Muestra'!$F$8:$F$42,SMALL(IF("Página Web"='03.Muestra'!$D$8:$D$42,ROW('03.Muestra'!$F$8:$F$42)-MIN(ROW('03.Muestra'!$D$8:$D$42))+1,""),ROW()-854)),"")</f>
        <v>https://www.portcastello.com/</v>
      </c>
      <c r="D872" s="130" t="s">
        <v>37</v>
      </c>
      <c r="E872" s="107" t="str">
        <f t="shared" si="44"/>
        <v/>
      </c>
      <c r="F872" s="19"/>
      <c r="G872" s="19"/>
      <c r="H872" s="19"/>
      <c r="I872" s="19"/>
      <c r="J872" s="19"/>
      <c r="K872" s="233"/>
      <c r="L872" s="19"/>
      <c r="M872" s="19"/>
      <c r="N872" s="19"/>
      <c r="O872" s="19"/>
      <c r="P872" s="19"/>
      <c r="Q872" s="19"/>
      <c r="R872" s="19"/>
      <c r="S872" s="19"/>
      <c r="T872" s="19"/>
      <c r="U872" s="19"/>
      <c r="V872" s="19"/>
      <c r="W872" s="19"/>
      <c r="X872" s="19"/>
      <c r="Y872" s="19"/>
    </row>
    <row r="873" spans="1:25" ht="12" customHeight="1">
      <c r="A873" s="219" t="n" cm="1">
        <f t="array" ref="A873">IFERROR(INDEX('03.Muestra'!$B$8:$B$42,SMALL(IF("Página Web"='03.Muestra'!$D$8:$D$42,ROW('03.Muestra'!$B$8:$B$42)-MIN(ROW('03.Muestra'!$D$8:$D$42))+1,""),ROW()-854)),"")</f>
        <v>1.0</v>
      </c>
      <c r="B873" s="114" t="str" cm="1">
        <f t="array" ref="B873">IFERROR(INDEX('03.Muestra'!$C$8:$C$42,SMALL(IF("Página Web"='03.Muestra'!$D$8:$D$42,ROW('03.Muestra'!$C$8:$C$42)-MIN(ROW('03.Muestra'!$D$8:$D$42))+1,""),ROW()-854)),"")</f>
        <v>Home - PortCastelló</v>
      </c>
      <c r="C873" s="114" t="str" cm="1">
        <f t="array" ref="C873">IFERROR(INDEX('03.Muestra'!$F$8:$F$42,SMALL(IF("Página Web"='03.Muestra'!$D$8:$D$42,ROW('03.Muestra'!$F$8:$F$42)-MIN(ROW('03.Muestra'!$D$8:$D$42))+1,""),ROW()-854)),"")</f>
        <v>https://www.portcastello.com/</v>
      </c>
      <c r="D873" s="130" t="s">
        <v>37</v>
      </c>
      <c r="E873" s="107" t="str">
        <f t="shared" si="44"/>
        <v/>
      </c>
      <c r="F873" s="19"/>
      <c r="G873" s="19"/>
      <c r="H873" s="19"/>
      <c r="I873" s="19"/>
      <c r="J873" s="19"/>
      <c r="K873" s="233"/>
      <c r="L873" s="19"/>
      <c r="M873" s="19"/>
      <c r="N873" s="19"/>
      <c r="O873" s="19"/>
      <c r="P873" s="19"/>
      <c r="Q873" s="19"/>
      <c r="R873" s="19"/>
      <c r="S873" s="19"/>
      <c r="T873" s="19"/>
      <c r="U873" s="19"/>
      <c r="V873" s="19"/>
      <c r="W873" s="19"/>
      <c r="X873" s="19"/>
      <c r="Y873" s="19"/>
    </row>
    <row r="874" spans="1:25" ht="12" customHeight="1">
      <c r="A874" s="219" t="n" cm="1">
        <f t="array" ref="A874">IFERROR(INDEX('03.Muestra'!$B$8:$B$42,SMALL(IF("Página Web"='03.Muestra'!$D$8:$D$42,ROW('03.Muestra'!$B$8:$B$42)-MIN(ROW('03.Muestra'!$D$8:$D$42))+1,""),ROW()-854)),"")</f>
        <v>1.0</v>
      </c>
      <c r="B874" s="114" t="str" cm="1">
        <f t="array" ref="B874">IFERROR(INDEX('03.Muestra'!$C$8:$C$42,SMALL(IF("Página Web"='03.Muestra'!$D$8:$D$42,ROW('03.Muestra'!$C$8:$C$42)-MIN(ROW('03.Muestra'!$D$8:$D$42))+1,""),ROW()-854)),"")</f>
        <v>Home - PortCastelló</v>
      </c>
      <c r="C874" s="114" t="str" cm="1">
        <f t="array" ref="C874">IFERROR(INDEX('03.Muestra'!$F$8:$F$42,SMALL(IF("Página Web"='03.Muestra'!$D$8:$D$42,ROW('03.Muestra'!$F$8:$F$42)-MIN(ROW('03.Muestra'!$D$8:$D$42))+1,""),ROW()-854)),"")</f>
        <v>https://www.portcastello.com/</v>
      </c>
      <c r="D874" s="130" t="s">
        <v>37</v>
      </c>
      <c r="E874" s="107" t="str">
        <f t="shared" si="44"/>
        <v/>
      </c>
      <c r="F874" s="19"/>
      <c r="G874" s="19"/>
      <c r="H874" s="19"/>
      <c r="I874" s="19"/>
      <c r="J874" s="19"/>
      <c r="K874" s="233"/>
      <c r="L874" s="19"/>
      <c r="M874" s="19"/>
      <c r="N874" s="19"/>
      <c r="O874" s="19"/>
      <c r="P874" s="19"/>
      <c r="Q874" s="19"/>
      <c r="R874" s="19"/>
      <c r="S874" s="19"/>
      <c r="T874" s="19"/>
      <c r="U874" s="19"/>
      <c r="V874" s="19"/>
      <c r="W874" s="19"/>
      <c r="X874" s="19"/>
      <c r="Y874" s="19"/>
    </row>
    <row r="875" spans="1:25" ht="12" customHeight="1">
      <c r="A875" s="219" t="n" cm="1">
        <f t="array" ref="A875">IFERROR(INDEX('03.Muestra'!$B$8:$B$42,SMALL(IF("Página Web"='03.Muestra'!$D$8:$D$42,ROW('03.Muestra'!$B$8:$B$42)-MIN(ROW('03.Muestra'!$D$8:$D$42))+1,""),ROW()-854)),"")</f>
        <v>1.0</v>
      </c>
      <c r="B875" s="114" t="str" cm="1">
        <f t="array" ref="B875">IFERROR(INDEX('03.Muestra'!$C$8:$C$42,SMALL(IF("Página Web"='03.Muestra'!$D$8:$D$42,ROW('03.Muestra'!$C$8:$C$42)-MIN(ROW('03.Muestra'!$D$8:$D$42))+1,""),ROW()-854)),"")</f>
        <v>Home - PortCastelló</v>
      </c>
      <c r="C875" s="114" t="str" cm="1">
        <f t="array" ref="C875">IFERROR(INDEX('03.Muestra'!$F$8:$F$42,SMALL(IF("Página Web"='03.Muestra'!$D$8:$D$42,ROW('03.Muestra'!$F$8:$F$42)-MIN(ROW('03.Muestra'!$D$8:$D$42))+1,""),ROW()-854)),"")</f>
        <v>https://www.portcastello.com/</v>
      </c>
      <c r="D875" s="130" t="s">
        <v>37</v>
      </c>
      <c r="E875" s="107" t="str">
        <f t="shared" si="44"/>
        <v/>
      </c>
      <c r="F875" s="19"/>
      <c r="G875" s="19"/>
      <c r="H875" s="19"/>
      <c r="I875" s="19"/>
      <c r="J875" s="19"/>
      <c r="K875" s="233"/>
      <c r="L875" s="19"/>
      <c r="M875" s="19"/>
      <c r="N875" s="19"/>
      <c r="O875" s="19"/>
      <c r="P875" s="19"/>
      <c r="Q875" s="19"/>
      <c r="R875" s="19"/>
      <c r="S875" s="19"/>
      <c r="T875" s="19"/>
      <c r="U875" s="19"/>
      <c r="V875" s="19"/>
      <c r="W875" s="19"/>
      <c r="X875" s="19"/>
      <c r="Y875" s="19"/>
    </row>
    <row r="876" spans="1:25" ht="12" customHeight="1">
      <c r="A876" s="219" t="n" cm="1">
        <f t="array" ref="A876">IFERROR(INDEX('03.Muestra'!$B$8:$B$42,SMALL(IF("Página Web"='03.Muestra'!$D$8:$D$42,ROW('03.Muestra'!$B$8:$B$42)-MIN(ROW('03.Muestra'!$D$8:$D$42))+1,""),ROW()-854)),"")</f>
        <v>1.0</v>
      </c>
      <c r="B876" s="114" t="str" cm="1">
        <f t="array" ref="B876">IFERROR(INDEX('03.Muestra'!$C$8:$C$42,SMALL(IF("Página Web"='03.Muestra'!$D$8:$D$42,ROW('03.Muestra'!$C$8:$C$42)-MIN(ROW('03.Muestra'!$D$8:$D$42))+1,""),ROW()-854)),"")</f>
        <v>Home - PortCastelló</v>
      </c>
      <c r="C876" s="114" t="str" cm="1">
        <f t="array" ref="C876">IFERROR(INDEX('03.Muestra'!$F$8:$F$42,SMALL(IF("Página Web"='03.Muestra'!$D$8:$D$42,ROW('03.Muestra'!$F$8:$F$42)-MIN(ROW('03.Muestra'!$D$8:$D$42))+1,""),ROW()-854)),"")</f>
        <v>https://www.portcastello.com/</v>
      </c>
      <c r="D876" s="130" t="s">
        <v>37</v>
      </c>
      <c r="E876" s="107" t="str">
        <f t="shared" si="44"/>
        <v/>
      </c>
      <c r="F876" s="19"/>
      <c r="G876" s="19"/>
      <c r="H876" s="19"/>
      <c r="I876" s="19"/>
      <c r="J876" s="19"/>
      <c r="K876" s="233"/>
      <c r="L876" s="19"/>
      <c r="M876" s="19"/>
      <c r="N876" s="19"/>
      <c r="O876" s="19"/>
      <c r="P876" s="19"/>
      <c r="Q876" s="19"/>
      <c r="R876" s="19"/>
      <c r="S876" s="19"/>
      <c r="T876" s="19"/>
      <c r="U876" s="19"/>
      <c r="V876" s="19"/>
      <c r="W876" s="19"/>
      <c r="X876" s="19"/>
      <c r="Y876" s="19"/>
    </row>
    <row r="877" spans="1:25" ht="12" customHeight="1">
      <c r="A877" s="219" t="n" cm="1">
        <f t="array" ref="A877">IFERROR(INDEX('03.Muestra'!$B$8:$B$42,SMALL(IF("Página Web"='03.Muestra'!$D$8:$D$42,ROW('03.Muestra'!$B$8:$B$42)-MIN(ROW('03.Muestra'!$D$8:$D$42))+1,""),ROW()-854)),"")</f>
        <v>1.0</v>
      </c>
      <c r="B877" s="114" t="str" cm="1">
        <f t="array" ref="B877">IFERROR(INDEX('03.Muestra'!$C$8:$C$42,SMALL(IF("Página Web"='03.Muestra'!$D$8:$D$42,ROW('03.Muestra'!$C$8:$C$42)-MIN(ROW('03.Muestra'!$D$8:$D$42))+1,""),ROW()-854)),"")</f>
        <v>Home - PortCastelló</v>
      </c>
      <c r="C877" s="114" t="str" cm="1">
        <f t="array" ref="C877">IFERROR(INDEX('03.Muestra'!$F$8:$F$42,SMALL(IF("Página Web"='03.Muestra'!$D$8:$D$42,ROW('03.Muestra'!$F$8:$F$42)-MIN(ROW('03.Muestra'!$D$8:$D$42))+1,""),ROW()-854)),"")</f>
        <v>https://www.portcastello.com/</v>
      </c>
      <c r="D877" s="130" t="s">
        <v>37</v>
      </c>
      <c r="E877" s="107" t="str">
        <f t="shared" si="44"/>
        <v/>
      </c>
      <c r="F877" s="19"/>
      <c r="G877" s="19"/>
      <c r="H877" s="19"/>
      <c r="I877" s="19"/>
      <c r="J877" s="19"/>
      <c r="K877" s="233"/>
      <c r="L877" s="19"/>
      <c r="M877" s="19"/>
      <c r="N877" s="19"/>
      <c r="O877" s="19"/>
      <c r="P877" s="19"/>
      <c r="Q877" s="19"/>
      <c r="R877" s="19"/>
      <c r="S877" s="19"/>
      <c r="T877" s="19"/>
      <c r="U877" s="19"/>
      <c r="V877" s="19"/>
      <c r="W877" s="19"/>
      <c r="X877" s="19"/>
      <c r="Y877" s="19"/>
    </row>
    <row r="878" spans="1:25" ht="12" customHeight="1">
      <c r="A878" s="219" t="n" cm="1">
        <f t="array" ref="A878">IFERROR(INDEX('03.Muestra'!$B$8:$B$42,SMALL(IF("Página Web"='03.Muestra'!$D$8:$D$42,ROW('03.Muestra'!$B$8:$B$42)-MIN(ROW('03.Muestra'!$D$8:$D$42))+1,""),ROW()-854)),"")</f>
        <v>1.0</v>
      </c>
      <c r="B878" s="114" t="str" cm="1">
        <f t="array" ref="B878">IFERROR(INDEX('03.Muestra'!$C$8:$C$42,SMALL(IF("Página Web"='03.Muestra'!$D$8:$D$42,ROW('03.Muestra'!$C$8:$C$42)-MIN(ROW('03.Muestra'!$D$8:$D$42))+1,""),ROW()-854)),"")</f>
        <v>Home - PortCastelló</v>
      </c>
      <c r="C878" s="114" t="str" cm="1">
        <f t="array" ref="C878">IFERROR(INDEX('03.Muestra'!$F$8:$F$42,SMALL(IF("Página Web"='03.Muestra'!$D$8:$D$42,ROW('03.Muestra'!$F$8:$F$42)-MIN(ROW('03.Muestra'!$D$8:$D$42))+1,""),ROW()-854)),"")</f>
        <v>https://www.portcastello.com/</v>
      </c>
      <c r="D878" s="130" t="s">
        <v>37</v>
      </c>
      <c r="E878" s="107" t="str">
        <f t="shared" si="44"/>
        <v/>
      </c>
      <c r="F878" s="19"/>
      <c r="G878" s="19"/>
      <c r="H878" s="19"/>
      <c r="I878" s="19"/>
      <c r="J878" s="19"/>
      <c r="K878" s="233"/>
      <c r="L878" s="19"/>
      <c r="M878" s="19"/>
      <c r="N878" s="19"/>
      <c r="O878" s="19"/>
      <c r="P878" s="19"/>
      <c r="Q878" s="19"/>
      <c r="R878" s="19"/>
      <c r="S878" s="19"/>
      <c r="T878" s="19"/>
      <c r="U878" s="19"/>
      <c r="V878" s="19"/>
      <c r="W878" s="19"/>
      <c r="X878" s="19"/>
      <c r="Y878" s="19"/>
    </row>
    <row r="879" spans="1:25" ht="12" customHeight="1">
      <c r="A879" s="219" t="n" cm="1">
        <f t="array" ref="A879">IFERROR(INDEX('03.Muestra'!$B$8:$B$42,SMALL(IF("Página Web"='03.Muestra'!$D$8:$D$42,ROW('03.Muestra'!$B$8:$B$42)-MIN(ROW('03.Muestra'!$D$8:$D$42))+1,""),ROW()-854)),"")</f>
        <v>1.0</v>
      </c>
      <c r="B879" s="114" t="str" cm="1">
        <f t="array" ref="B879">IFERROR(INDEX('03.Muestra'!$C$8:$C$42,SMALL(IF("Página Web"='03.Muestra'!$D$8:$D$42,ROW('03.Muestra'!$C$8:$C$42)-MIN(ROW('03.Muestra'!$D$8:$D$42))+1,""),ROW()-854)),"")</f>
        <v>Home - PortCastelló</v>
      </c>
      <c r="C879" s="114" t="str" cm="1">
        <f t="array" ref="C879">IFERROR(INDEX('03.Muestra'!$F$8:$F$42,SMALL(IF("Página Web"='03.Muestra'!$D$8:$D$42,ROW('03.Muestra'!$F$8:$F$42)-MIN(ROW('03.Muestra'!$D$8:$D$42))+1,""),ROW()-854)),"")</f>
        <v>https://www.portcastello.com/</v>
      </c>
      <c r="D879" s="130" t="s">
        <v>37</v>
      </c>
      <c r="E879" s="107" t="str">
        <f t="shared" si="44"/>
        <v/>
      </c>
      <c r="F879" s="19"/>
      <c r="G879" s="19"/>
      <c r="H879" s="19"/>
      <c r="I879" s="19"/>
      <c r="J879" s="19"/>
      <c r="K879" s="233"/>
      <c r="L879" s="19"/>
      <c r="M879" s="19"/>
      <c r="N879" s="19"/>
      <c r="O879" s="19"/>
      <c r="P879" s="19"/>
      <c r="Q879" s="19"/>
      <c r="R879" s="19"/>
      <c r="S879" s="19"/>
      <c r="T879" s="19"/>
      <c r="U879" s="19"/>
      <c r="V879" s="19"/>
      <c r="W879" s="19"/>
      <c r="X879" s="19"/>
      <c r="Y879" s="19"/>
    </row>
    <row r="880" spans="1:25" ht="12" customHeight="1">
      <c r="A880" s="219" t="n" cm="1">
        <f t="array" ref="A880">IFERROR(INDEX('03.Muestra'!$B$8:$B$42,SMALL(IF("Página Web"='03.Muestra'!$D$8:$D$42,ROW('03.Muestra'!$B$8:$B$42)-MIN(ROW('03.Muestra'!$D$8:$D$42))+1,""),ROW()-854)),"")</f>
        <v>1.0</v>
      </c>
      <c r="B880" s="114" t="str" cm="1">
        <f t="array" ref="B880">IFERROR(INDEX('03.Muestra'!$C$8:$C$42,SMALL(IF("Página Web"='03.Muestra'!$D$8:$D$42,ROW('03.Muestra'!$C$8:$C$42)-MIN(ROW('03.Muestra'!$D$8:$D$42))+1,""),ROW()-854)),"")</f>
        <v>Home - PortCastelló</v>
      </c>
      <c r="C880" s="114" t="str" cm="1">
        <f t="array" ref="C880">IFERROR(INDEX('03.Muestra'!$F$8:$F$42,SMALL(IF("Página Web"='03.Muestra'!$D$8:$D$42,ROW('03.Muestra'!$F$8:$F$42)-MIN(ROW('03.Muestra'!$D$8:$D$42))+1,""),ROW()-854)),"")</f>
        <v>https://www.portcastello.com/</v>
      </c>
      <c r="D880" s="130" t="s">
        <v>37</v>
      </c>
      <c r="E880" s="107" t="str">
        <f t="shared" si="44"/>
        <v/>
      </c>
      <c r="F880" s="19"/>
      <c r="G880" s="19"/>
      <c r="H880" s="19"/>
      <c r="I880" s="19"/>
      <c r="J880" s="19"/>
      <c r="K880" s="233"/>
      <c r="L880" s="19"/>
      <c r="M880" s="19"/>
      <c r="N880" s="19"/>
      <c r="O880" s="19"/>
      <c r="P880" s="19"/>
      <c r="Q880" s="19"/>
      <c r="R880" s="19"/>
      <c r="S880" s="19"/>
      <c r="T880" s="19"/>
      <c r="U880" s="19"/>
      <c r="V880" s="19"/>
      <c r="W880" s="19"/>
      <c r="X880" s="19"/>
      <c r="Y880" s="19"/>
    </row>
    <row r="881" spans="1:25" ht="12" customHeight="1">
      <c r="A881" s="219" t="n" cm="1">
        <f t="array" ref="A881">IFERROR(INDEX('03.Muestra'!$B$8:$B$42,SMALL(IF("Página Web"='03.Muestra'!$D$8:$D$42,ROW('03.Muestra'!$B$8:$B$42)-MIN(ROW('03.Muestra'!$D$8:$D$42))+1,""),ROW()-854)),"")</f>
        <v>1.0</v>
      </c>
      <c r="B881" s="114" t="str" cm="1">
        <f t="array" ref="B881">IFERROR(INDEX('03.Muestra'!$C$8:$C$42,SMALL(IF("Página Web"='03.Muestra'!$D$8:$D$42,ROW('03.Muestra'!$C$8:$C$42)-MIN(ROW('03.Muestra'!$D$8:$D$42))+1,""),ROW()-854)),"")</f>
        <v>Home - PortCastelló</v>
      </c>
      <c r="C881" s="114" t="str" cm="1">
        <f t="array" ref="C881">IFERROR(INDEX('03.Muestra'!$F$8:$F$42,SMALL(IF("Página Web"='03.Muestra'!$D$8:$D$42,ROW('03.Muestra'!$F$8:$F$42)-MIN(ROW('03.Muestra'!$D$8:$D$42))+1,""),ROW()-854)),"")</f>
        <v>https://www.portcastello.com/</v>
      </c>
      <c r="D881" s="130" t="s">
        <v>37</v>
      </c>
      <c r="E881" s="107" t="str">
        <f t="shared" si="44"/>
        <v/>
      </c>
      <c r="F881" s="19"/>
      <c r="G881" s="19"/>
      <c r="H881" s="19"/>
      <c r="I881" s="19"/>
      <c r="J881" s="19"/>
      <c r="K881" s="233"/>
      <c r="L881" s="19"/>
      <c r="M881" s="19"/>
      <c r="N881" s="19"/>
      <c r="O881" s="19"/>
      <c r="P881" s="19"/>
      <c r="Q881" s="19"/>
      <c r="R881" s="19"/>
      <c r="S881" s="19"/>
      <c r="T881" s="19"/>
      <c r="U881" s="19"/>
      <c r="V881" s="19"/>
      <c r="W881" s="19"/>
      <c r="X881" s="19"/>
      <c r="Y881" s="19"/>
    </row>
    <row r="882" spans="1:25" ht="12" customHeight="1">
      <c r="A882" s="219" t="n" cm="1">
        <f t="array" ref="A882">IFERROR(INDEX('03.Muestra'!$B$8:$B$42,SMALL(IF("Página Web"='03.Muestra'!$D$8:$D$42,ROW('03.Muestra'!$B$8:$B$42)-MIN(ROW('03.Muestra'!$D$8:$D$42))+1,""),ROW()-854)),"")</f>
        <v>1.0</v>
      </c>
      <c r="B882" s="114" t="str" cm="1">
        <f t="array" ref="B882">IFERROR(INDEX('03.Muestra'!$C$8:$C$42,SMALL(IF("Página Web"='03.Muestra'!$D$8:$D$42,ROW('03.Muestra'!$C$8:$C$42)-MIN(ROW('03.Muestra'!$D$8:$D$42))+1,""),ROW()-854)),"")</f>
        <v>Home - PortCastelló</v>
      </c>
      <c r="C882" s="114" t="str" cm="1">
        <f t="array" ref="C882">IFERROR(INDEX('03.Muestra'!$F$8:$F$42,SMALL(IF("Página Web"='03.Muestra'!$D$8:$D$42,ROW('03.Muestra'!$F$8:$F$42)-MIN(ROW('03.Muestra'!$D$8:$D$42))+1,""),ROW()-854)),"")</f>
        <v>https://www.portcastello.com/</v>
      </c>
      <c r="D882" s="130" t="s">
        <v>37</v>
      </c>
      <c r="E882" s="107" t="str">
        <f t="shared" si="44"/>
        <v/>
      </c>
      <c r="G882" s="19"/>
      <c r="H882" s="19"/>
      <c r="I882" s="19"/>
      <c r="J882" s="19"/>
      <c r="K882" s="233"/>
      <c r="L882" s="19"/>
      <c r="M882" s="19"/>
      <c r="N882" s="19"/>
      <c r="O882" s="19"/>
      <c r="P882" s="19"/>
      <c r="Q882" s="19"/>
      <c r="R882" s="19"/>
      <c r="S882" s="19"/>
      <c r="T882" s="19"/>
      <c r="U882" s="19"/>
      <c r="V882" s="19"/>
      <c r="W882" s="19"/>
      <c r="X882" s="19"/>
      <c r="Y882" s="19"/>
    </row>
    <row r="883" spans="1:25" ht="12" customHeight="1">
      <c r="A883" s="219" t="n" cm="1">
        <f t="array" ref="A883">IFERROR(INDEX('03.Muestra'!$B$8:$B$42,SMALL(IF("Página Web"='03.Muestra'!$D$8:$D$42,ROW('03.Muestra'!$B$8:$B$42)-MIN(ROW('03.Muestra'!$D$8:$D$42))+1,""),ROW()-854)),"")</f>
        <v>1.0</v>
      </c>
      <c r="B883" s="114" t="str" cm="1">
        <f t="array" ref="B883">IFERROR(INDEX('03.Muestra'!$C$8:$C$42,SMALL(IF("Página Web"='03.Muestra'!$D$8:$D$42,ROW('03.Muestra'!$C$8:$C$42)-MIN(ROW('03.Muestra'!$D$8:$D$42))+1,""),ROW()-854)),"")</f>
        <v>Home - PortCastelló</v>
      </c>
      <c r="C883" s="114" t="str" cm="1">
        <f t="array" ref="C883">IFERROR(INDEX('03.Muestra'!$F$8:$F$42,SMALL(IF("Página Web"='03.Muestra'!$D$8:$D$42,ROW('03.Muestra'!$F$8:$F$42)-MIN(ROW('03.Muestra'!$D$8:$D$42))+1,""),ROW()-854)),"")</f>
        <v>https://www.portcastello.com/</v>
      </c>
      <c r="D883" s="130" t="s">
        <v>37</v>
      </c>
      <c r="E883" s="107" t="str">
        <f t="shared" si="44"/>
        <v/>
      </c>
      <c r="F883" s="124"/>
      <c r="G883" s="19"/>
      <c r="H883" s="19"/>
      <c r="I883" s="19"/>
      <c r="J883" s="19"/>
      <c r="K883" s="233"/>
      <c r="L883" s="19"/>
      <c r="M883" s="19"/>
      <c r="N883" s="19"/>
      <c r="O883" s="19"/>
      <c r="P883" s="19"/>
      <c r="Q883" s="19"/>
      <c r="R883" s="19"/>
      <c r="S883" s="19"/>
      <c r="T883" s="19"/>
      <c r="U883" s="19"/>
      <c r="V883" s="19"/>
      <c r="W883" s="19"/>
      <c r="X883" s="19"/>
      <c r="Y883" s="19"/>
    </row>
    <row r="884" spans="1:25" ht="12" customHeight="1">
      <c r="A884" s="219" t="n" cm="1">
        <f t="array" ref="A884">IFERROR(INDEX('03.Muestra'!$B$8:$B$42,SMALL(IF("Página Web"='03.Muestra'!$D$8:$D$42,ROW('03.Muestra'!$B$8:$B$42)-MIN(ROW('03.Muestra'!$D$8:$D$42))+1,""),ROW()-854)),"")</f>
        <v>1.0</v>
      </c>
      <c r="B884" s="114" t="str" cm="1">
        <f t="array" ref="B884">IFERROR(INDEX('03.Muestra'!$C$8:$C$42,SMALL(IF("Página Web"='03.Muestra'!$D$8:$D$42,ROW('03.Muestra'!$C$8:$C$42)-MIN(ROW('03.Muestra'!$D$8:$D$42))+1,""),ROW()-854)),"")</f>
        <v>Home - PortCastelló</v>
      </c>
      <c r="C884" s="114" t="str" cm="1">
        <f t="array" ref="C884">IFERROR(INDEX('03.Muestra'!$F$8:$F$42,SMALL(IF("Página Web"='03.Muestra'!$D$8:$D$42,ROW('03.Muestra'!$F$8:$F$42)-MIN(ROW('03.Muestra'!$D$8:$D$42))+1,""),ROW()-854)),"")</f>
        <v>https://www.portcastello.com/</v>
      </c>
      <c r="D884" s="130" t="s">
        <v>37</v>
      </c>
      <c r="E884" s="107" t="str">
        <f t="shared" si="44"/>
        <v/>
      </c>
      <c r="F884" s="124"/>
      <c r="G884" s="19"/>
      <c r="H884" s="19"/>
      <c r="I884" s="19"/>
      <c r="J884" s="19"/>
      <c r="K884" s="233"/>
      <c r="L884" s="19"/>
      <c r="M884" s="19"/>
      <c r="N884" s="19"/>
      <c r="O884" s="19"/>
      <c r="P884" s="19"/>
      <c r="Q884" s="19"/>
      <c r="R884" s="19"/>
      <c r="S884" s="19"/>
      <c r="T884" s="19"/>
      <c r="U884" s="19"/>
      <c r="V884" s="19"/>
      <c r="W884" s="19"/>
      <c r="X884" s="19"/>
      <c r="Y884" s="19"/>
    </row>
    <row r="885" spans="1:25" ht="12" customHeight="1">
      <c r="A885" s="219" t="n" cm="1">
        <f t="array" ref="A885">IFERROR(INDEX('03.Muestra'!$B$8:$B$42,SMALL(IF("Página Web"='03.Muestra'!$D$8:$D$42,ROW('03.Muestra'!$B$8:$B$42)-MIN(ROW('03.Muestra'!$D$8:$D$42))+1,""),ROW()-854)),"")</f>
        <v>1.0</v>
      </c>
      <c r="B885" s="114" t="str" cm="1">
        <f t="array" ref="B885">IFERROR(INDEX('03.Muestra'!$C$8:$C$42,SMALL(IF("Página Web"='03.Muestra'!$D$8:$D$42,ROW('03.Muestra'!$C$8:$C$42)-MIN(ROW('03.Muestra'!$D$8:$D$42))+1,""),ROW()-854)),"")</f>
        <v>Home - PortCastelló</v>
      </c>
      <c r="C885" s="114" t="str" cm="1">
        <f t="array" ref="C885">IFERROR(INDEX('03.Muestra'!$F$8:$F$42,SMALL(IF("Página Web"='03.Muestra'!$D$8:$D$42,ROW('03.Muestra'!$F$8:$F$42)-MIN(ROW('03.Muestra'!$D$8:$D$42))+1,""),ROW()-854)),"")</f>
        <v>https://www.portcastello.com/</v>
      </c>
      <c r="D885" s="130" t="s">
        <v>37</v>
      </c>
      <c r="E885" s="107" t="str">
        <f t="shared" si="44"/>
        <v/>
      </c>
      <c r="F885" s="124"/>
      <c r="G885" s="19"/>
      <c r="H885" s="19"/>
      <c r="I885" s="19"/>
      <c r="J885" s="19"/>
      <c r="K885" s="233"/>
      <c r="L885" s="19"/>
      <c r="M885" s="19"/>
      <c r="N885" s="19"/>
      <c r="O885" s="19"/>
      <c r="P885" s="19"/>
      <c r="Q885" s="19"/>
      <c r="R885" s="19"/>
      <c r="S885" s="19"/>
      <c r="T885" s="19"/>
      <c r="U885" s="19"/>
      <c r="V885" s="19"/>
      <c r="W885" s="19"/>
      <c r="X885" s="19"/>
      <c r="Y885" s="19"/>
    </row>
    <row r="886" spans="1:25" ht="12" customHeight="1">
      <c r="A886" s="219" t="n" cm="1">
        <f t="array" ref="A886">IFERROR(INDEX('03.Muestra'!$B$8:$B$42,SMALL(IF("Página Web"='03.Muestra'!$D$8:$D$42,ROW('03.Muestra'!$B$8:$B$42)-MIN(ROW('03.Muestra'!$D$8:$D$42))+1,""),ROW()-854)),"")</f>
        <v>1.0</v>
      </c>
      <c r="B886" s="114" t="str" cm="1">
        <f t="array" ref="B886">IFERROR(INDEX('03.Muestra'!$C$8:$C$42,SMALL(IF("Página Web"='03.Muestra'!$D$8:$D$42,ROW('03.Muestra'!$C$8:$C$42)-MIN(ROW('03.Muestra'!$D$8:$D$42))+1,""),ROW()-854)),"")</f>
        <v>Home - PortCastelló</v>
      </c>
      <c r="C886" s="114" t="str" cm="1">
        <f t="array" ref="C886">IFERROR(INDEX('03.Muestra'!$F$8:$F$42,SMALL(IF("Página Web"='03.Muestra'!$D$8:$D$42,ROW('03.Muestra'!$F$8:$F$42)-MIN(ROW('03.Muestra'!$D$8:$D$42))+1,""),ROW()-854)),"")</f>
        <v>https://www.portcastello.com/</v>
      </c>
      <c r="D886" s="130" t="s">
        <v>37</v>
      </c>
      <c r="E886" s="107" t="str">
        <f t="shared" si="44"/>
        <v/>
      </c>
      <c r="F886" s="124"/>
      <c r="G886" s="19"/>
      <c r="H886" s="19"/>
      <c r="I886" s="19"/>
      <c r="J886" s="19"/>
      <c r="K886" s="233"/>
      <c r="L886" s="19"/>
      <c r="M886" s="19"/>
      <c r="N886" s="19"/>
      <c r="O886" s="19"/>
      <c r="P886" s="19"/>
      <c r="Q886" s="19"/>
      <c r="R886" s="19"/>
      <c r="S886" s="19"/>
      <c r="T886" s="19"/>
      <c r="U886" s="19"/>
      <c r="V886" s="19"/>
      <c r="W886" s="19"/>
      <c r="X886" s="19"/>
      <c r="Y886" s="19"/>
    </row>
    <row r="887" spans="1:25" ht="12" customHeight="1">
      <c r="A887" s="219" t="n" cm="1">
        <f t="array" ref="A887">IFERROR(INDEX('03.Muestra'!$B$8:$B$42,SMALL(IF("Página Web"='03.Muestra'!$D$8:$D$42,ROW('03.Muestra'!$B$8:$B$42)-MIN(ROW('03.Muestra'!$D$8:$D$42))+1,""),ROW()-854)),"")</f>
        <v>1.0</v>
      </c>
      <c r="B887" s="114" t="str" cm="1">
        <f t="array" ref="B887">IFERROR(INDEX('03.Muestra'!$C$8:$C$42,SMALL(IF("Página Web"='03.Muestra'!$D$8:$D$42,ROW('03.Muestra'!$C$8:$C$42)-MIN(ROW('03.Muestra'!$D$8:$D$42))+1,""),ROW()-854)),"")</f>
        <v>Home - PortCastelló</v>
      </c>
      <c r="C887" s="114" t="str" cm="1">
        <f t="array" ref="C887">IFERROR(INDEX('03.Muestra'!$F$8:$F$42,SMALL(IF("Página Web"='03.Muestra'!$D$8:$D$42,ROW('03.Muestra'!$F$8:$F$42)-MIN(ROW('03.Muestra'!$D$8:$D$42))+1,""),ROW()-854)),"")</f>
        <v>https://www.portcastello.com/</v>
      </c>
      <c r="D887" s="130" t="s">
        <v>37</v>
      </c>
      <c r="E887" s="107" t="str">
        <f t="shared" si="44"/>
        <v/>
      </c>
      <c r="F887" s="124"/>
      <c r="G887" s="19"/>
      <c r="H887" s="19"/>
      <c r="I887" s="19"/>
      <c r="J887" s="19"/>
      <c r="K887" s="233"/>
      <c r="L887" s="19"/>
      <c r="M887" s="19"/>
      <c r="N887" s="19"/>
      <c r="O887" s="19"/>
      <c r="P887" s="19"/>
      <c r="Q887" s="19"/>
      <c r="R887" s="19"/>
      <c r="S887" s="19"/>
      <c r="T887" s="19"/>
      <c r="U887" s="19"/>
      <c r="V887" s="19"/>
      <c r="W887" s="19"/>
      <c r="X887" s="19"/>
      <c r="Y887" s="19"/>
    </row>
    <row r="888" spans="1:25" ht="12" customHeight="1">
      <c r="A888" s="219" t="str" cm="1">
        <f t="array" ref="A888">IFERROR(INDEX('03.Muestra'!$B$8:$B$42,SMALL(IF("Página Web"='03.Muestra'!$D$8:$D$42,ROW('03.Muestra'!$B$8:$B$42)-MIN(ROW('03.Muestra'!$D$8:$D$42))+1,""),ROW()-854)),"")</f>
        <v/>
      </c>
      <c r="B888" s="114" t="str" cm="1">
        <f t="array" ref="B888">IFERROR(INDEX('03.Muestra'!$C$8:$C$42,SMALL(IF("Página Web"='03.Muestra'!$D$8:$D$42,ROW('03.Muestra'!$C$8:$C$42)-MIN(ROW('03.Muestra'!$D$8:$D$42))+1,""),ROW()-854)),"")</f>
        <v/>
      </c>
      <c r="C888" s="114" t="str" cm="1">
        <f t="array" ref="C888">IFERROR(INDEX('03.Muestra'!$F$8:$F$42,SMALL(IF("Página Web"='03.Muestra'!$D$8:$D$42,ROW('03.Muestra'!$F$8:$F$42)-MIN(ROW('03.Muestra'!$D$8:$D$42))+1,""),ROW()-854)),"")</f>
        <v/>
      </c>
      <c r="D888" s="130" t="str">
        <f t="shared" si="45" ref="D888:D889">IF(AND(B888&lt;&gt;"",C888&lt;&gt;""),"N/T","")</f>
        <v/>
      </c>
      <c r="E888" s="107" t="str">
        <f t="shared" si="44"/>
        <v/>
      </c>
      <c r="F888" s="124"/>
      <c r="G888" s="19"/>
      <c r="H888" s="19"/>
      <c r="I888" s="19"/>
      <c r="J888" s="19"/>
      <c r="K888" s="233"/>
      <c r="L888" s="19"/>
      <c r="M888" s="19"/>
      <c r="N888" s="19"/>
      <c r="O888" s="19"/>
      <c r="P888" s="19"/>
      <c r="Q888" s="19"/>
      <c r="R888" s="19"/>
      <c r="S888" s="19"/>
      <c r="T888" s="19"/>
      <c r="U888" s="19"/>
      <c r="V888" s="19"/>
      <c r="W888" s="19"/>
      <c r="X888" s="19"/>
      <c r="Y888" s="19"/>
    </row>
    <row r="889" spans="1:25" ht="12" customHeight="1">
      <c r="A889" s="219" t="str" cm="1">
        <f t="array" ref="A889">IFERROR(INDEX('03.Muestra'!$B$8:$B$42,SMALL(IF("Página Web"='03.Muestra'!$D$8:$D$42,ROW('03.Muestra'!$B$8:$B$42)-MIN(ROW('03.Muestra'!$D$8:$D$42))+1,""),ROW()-854)),"")</f>
        <v/>
      </c>
      <c r="B889" s="114" t="str" cm="1">
        <f t="array" ref="B889">IFERROR(INDEX('03.Muestra'!$C$8:$C$42,SMALL(IF("Página Web"='03.Muestra'!$D$8:$D$42,ROW('03.Muestra'!$C$8:$C$42)-MIN(ROW('03.Muestra'!$D$8:$D$42))+1,""),ROW()-854)),"")</f>
        <v/>
      </c>
      <c r="C889" s="114" t="str" cm="1">
        <f t="array" ref="C889">IFERROR(INDEX('03.Muestra'!$F$8:$F$42,SMALL(IF("Página Web"='03.Muestra'!$D$8:$D$42,ROW('03.Muestra'!$F$8:$F$42)-MIN(ROW('03.Muestra'!$D$8:$D$42))+1,""),ROW()-854)),"")</f>
        <v/>
      </c>
      <c r="D889" s="130" t="str">
        <f t="shared" si="45"/>
        <v/>
      </c>
      <c r="E889" s="107" t="str">
        <f t="shared" si="44"/>
        <v/>
      </c>
      <c r="F889" s="19"/>
      <c r="G889" s="19"/>
      <c r="H889" s="19"/>
      <c r="I889" s="19"/>
      <c r="J889" s="19"/>
      <c r="K889" s="233"/>
      <c r="L889" s="19"/>
      <c r="M889" s="19"/>
      <c r="N889" s="19"/>
      <c r="O889" s="19"/>
      <c r="P889" s="19"/>
      <c r="Q889" s="19"/>
      <c r="R889" s="19"/>
      <c r="S889" s="19"/>
      <c r="T889" s="19"/>
      <c r="U889" s="19"/>
      <c r="V889" s="19"/>
      <c r="W889" s="19"/>
      <c r="X889" s="19"/>
      <c r="Y889" s="19"/>
    </row>
    <row r="890" spans="1:25" ht="12" customHeight="1">
      <c r="B890" s="19"/>
      <c r="C890" s="19"/>
      <c r="D890" s="19"/>
      <c r="E890" s="19"/>
      <c r="F890" s="19"/>
      <c r="G890" s="19"/>
      <c r="H890" s="19"/>
      <c r="I890" s="19"/>
      <c r="J890" s="19"/>
      <c r="K890" s="233"/>
      <c r="L890" s="19"/>
      <c r="M890" s="19"/>
      <c r="N890" s="19"/>
      <c r="O890" s="19"/>
      <c r="P890" s="19"/>
      <c r="Q890" s="19"/>
      <c r="R890" s="19"/>
      <c r="S890" s="19"/>
      <c r="T890" s="19"/>
      <c r="U890" s="19"/>
      <c r="V890" s="19"/>
      <c r="W890" s="19"/>
      <c r="X890" s="19"/>
      <c r="Y890" s="19"/>
    </row>
    <row r="891" spans="1:25" ht="12" customHeight="1">
      <c r="B891" s="126"/>
      <c r="C891" s="19"/>
      <c r="D891" s="107"/>
      <c r="E891" s="112"/>
      <c r="F891" s="19"/>
      <c r="G891" s="19"/>
      <c r="H891" s="19"/>
      <c r="I891" s="19"/>
      <c r="J891" s="19"/>
      <c r="K891" s="233"/>
      <c r="L891" s="19"/>
      <c r="M891" s="19"/>
      <c r="N891" s="19"/>
      <c r="O891" s="19"/>
      <c r="P891" s="19"/>
      <c r="Q891" s="19"/>
      <c r="R891" s="19"/>
      <c r="S891" s="19"/>
      <c r="T891" s="19"/>
      <c r="U891" s="19"/>
      <c r="V891" s="19"/>
      <c r="W891" s="19"/>
      <c r="X891" s="19"/>
      <c r="Y891" s="19"/>
    </row>
    <row r="892" spans="1:25" ht="29.25" customHeight="1">
      <c r="A892" s="218" t="s">
        <v>268</v>
      </c>
      <c r="B892" s="24" t="s">
        <v>90</v>
      </c>
      <c r="C892" s="25" t="s">
        <v>396</v>
      </c>
      <c r="D892" s="26" t="s">
        <v>32</v>
      </c>
      <c r="E892" s="123"/>
      <c r="K892" s="233"/>
      <c r="L892" s="19"/>
      <c r="M892" s="19"/>
      <c r="N892" s="19"/>
      <c r="O892" s="19"/>
      <c r="P892" s="19"/>
      <c r="Q892" s="19"/>
      <c r="R892" s="19"/>
      <c r="S892" s="19"/>
      <c r="T892" s="19"/>
      <c r="U892" s="19"/>
      <c r="V892" s="19"/>
      <c r="W892" s="19"/>
      <c r="X892" s="19"/>
      <c r="Y892" s="19"/>
    </row>
    <row r="893" spans="1:25" ht="12" customHeight="1">
      <c r="A893" s="219" t="n" cm="1">
        <f t="array" ref="A893">IFERROR(INDEX('03.Muestra'!$B$8:$B$42,SMALL(IF("Página Web"='03.Muestra'!$D$8:$D$42,ROW('03.Muestra'!$B$8:$B$42)-MIN(ROW('03.Muestra'!$D$8:$D$42))+1,""),ROW()-892)),"")</f>
        <v>1.0</v>
      </c>
      <c r="B893" s="114" t="str" cm="1">
        <f t="array" ref="B893">IFERROR(INDEX('03.Muestra'!$C$8:$C$42,SMALL(IF("Página Web"='03.Muestra'!$D$8:$D$42,ROW('03.Muestra'!$C$8:$C$42)-MIN(ROW('03.Muestra'!$D$8:$D$42))+1,""),ROW()-892)),"")</f>
        <v>Home - PortCastelló</v>
      </c>
      <c r="C893" s="114" t="str" cm="1">
        <f t="array" ref="C893">IFERROR(INDEX('03.Muestra'!$F$8:$F$42,SMALL(IF("Página Web"='03.Muestra'!$D$8:$D$42,ROW('03.Muestra'!$F$8:$F$42)-MIN(ROW('03.Muestra'!$D$8:$D$42))+1,""),ROW()-892)),"")</f>
        <v>https://www.portcastello.com/</v>
      </c>
      <c r="D893" s="130" t="s">
        <v>37</v>
      </c>
      <c r="E893" s="107" t="str">
        <f t="shared" ref="E893:E927" si="46">IF(D893&lt;&gt;"",IF(AND(B893&lt;&gt;"",C893&lt;&gt;""),"","ERR"),"")</f>
        <v/>
      </c>
      <c r="F893" s="115" t="s">
        <v>33</v>
      </c>
      <c r="G893" s="116" t="s">
        <v>37</v>
      </c>
      <c r="H893" s="117" t="s">
        <v>35</v>
      </c>
      <c r="I893" s="118" t="s">
        <v>28</v>
      </c>
      <c r="J893" s="119" t="s">
        <v>26</v>
      </c>
      <c r="K893" s="226" t="s">
        <v>474</v>
      </c>
      <c r="L893" s="19"/>
      <c r="M893" s="19"/>
      <c r="N893" s="19"/>
      <c r="O893" s="19"/>
      <c r="P893" s="19"/>
      <c r="Q893" s="19"/>
      <c r="R893" s="19"/>
      <c r="S893" s="19"/>
      <c r="T893" s="19"/>
      <c r="U893" s="19"/>
      <c r="V893" s="19"/>
      <c r="W893" s="19"/>
      <c r="X893" s="19"/>
      <c r="Y893" s="19"/>
    </row>
    <row r="894" spans="1:25" ht="12" customHeight="1">
      <c r="A894" s="219" t="n" cm="1">
        <f t="array" ref="A894">IFERROR(INDEX('03.Muestra'!$B$8:$B$42,SMALL(IF("Página Web"='03.Muestra'!$D$8:$D$42,ROW('03.Muestra'!$B$8:$B$42)-MIN(ROW('03.Muestra'!$D$8:$D$42))+1,""),ROW()-892)),"")</f>
        <v>1.0</v>
      </c>
      <c r="B894" s="114" t="str" cm="1">
        <f t="array" ref="B894">IFERROR(INDEX('03.Muestra'!$C$8:$C$42,SMALL(IF("Página Web"='03.Muestra'!$D$8:$D$42,ROW('03.Muestra'!$C$8:$C$42)-MIN(ROW('03.Muestra'!$D$8:$D$42))+1,""),ROW()-892)),"")</f>
        <v>Home - PortCastelló</v>
      </c>
      <c r="C894" s="114" t="str" cm="1">
        <f t="array" ref="C894">IFERROR(INDEX('03.Muestra'!$F$8:$F$42,SMALL(IF("Página Web"='03.Muestra'!$D$8:$D$42,ROW('03.Muestra'!$F$8:$F$42)-MIN(ROW('03.Muestra'!$D$8:$D$42))+1,""),ROW()-892)),"")</f>
        <v>https://www.portcastello.com/</v>
      </c>
      <c r="D894" s="130" t="s">
        <v>37</v>
      </c>
      <c r="E894" s="107" t="str">
        <f t="shared" si="46"/>
        <v/>
      </c>
      <c r="F894" s="120" t="n">
        <f ca="1">COUNTIF($D893:INDIRECT("$D" &amp;  SUM(ROW()-1,'03.Muestra'!$D$45)-1),F893)</f>
        <v>0.0</v>
      </c>
      <c r="G894" s="120" t="n">
        <f ca="1">COUNTIF($D893:INDIRECT("$D" &amp;  SUM(ROW()-1,'03.Muestra'!$D$45)-1),G893)</f>
        <v>33.0</v>
      </c>
      <c r="H894" s="120" t="n">
        <f ca="1">COUNTIF($D893:INDIRECT("$D" &amp;  SUM(ROW()-1,'03.Muestra'!$D$45)-1),H893)</f>
        <v>0.0</v>
      </c>
      <c r="I894" s="120" t="n">
        <f ca="1">COUNTIF($D893:INDIRECT("$D" &amp;  SUM(ROW()-1,'03.Muestra'!$D$45)-1),I893)</f>
        <v>0.0</v>
      </c>
      <c r="J894" s="120" t="n">
        <f ca="1">COUNTIF($D893:INDIRECT("$D" &amp;  SUM(ROW()-1,'03.Muestra'!$D$45)-1),J893)</f>
        <v>0.0</v>
      </c>
      <c r="K894" s="227" t="n">
        <f ca="1">IF(COUNTIF('03.Muestra'!$D$8:$D$42,"Página Web")=0,0,COUNTBLANK($D893:INDIRECT("$D" &amp;  SUM(ROW()-1,COUNTIF('03.Muestra'!$D$8:$D$42,"Página Web"))-1)))</f>
        <v>0.0</v>
      </c>
      <c r="L894" s="19"/>
      <c r="M894" s="19"/>
      <c r="N894" s="19"/>
      <c r="O894" s="19"/>
      <c r="P894" s="19"/>
      <c r="Q894" s="19"/>
      <c r="R894" s="19"/>
      <c r="S894" s="19"/>
      <c r="T894" s="19"/>
      <c r="U894" s="19"/>
      <c r="V894" s="19"/>
      <c r="W894" s="19"/>
      <c r="X894" s="19"/>
      <c r="Y894" s="19"/>
    </row>
    <row r="895" spans="1:25" ht="12" customHeight="1">
      <c r="A895" s="219" t="n" cm="1">
        <f t="array" ref="A895">IFERROR(INDEX('03.Muestra'!$B$8:$B$42,SMALL(IF("Página Web"='03.Muestra'!$D$8:$D$42,ROW('03.Muestra'!$B$8:$B$42)-MIN(ROW('03.Muestra'!$D$8:$D$42))+1,""),ROW()-892)),"")</f>
        <v>1.0</v>
      </c>
      <c r="B895" s="114" t="str" cm="1">
        <f t="array" ref="B895">IFERROR(INDEX('03.Muestra'!$C$8:$C$42,SMALL(IF("Página Web"='03.Muestra'!$D$8:$D$42,ROW('03.Muestra'!$C$8:$C$42)-MIN(ROW('03.Muestra'!$D$8:$D$42))+1,""),ROW()-892)),"")</f>
        <v>Home - PortCastelló</v>
      </c>
      <c r="C895" s="114" t="str" cm="1">
        <f t="array" ref="C895">IFERROR(INDEX('03.Muestra'!$F$8:$F$42,SMALL(IF("Página Web"='03.Muestra'!$D$8:$D$42,ROW('03.Muestra'!$F$8:$F$42)-MIN(ROW('03.Muestra'!$D$8:$D$42))+1,""),ROW()-892)),"")</f>
        <v>https://www.portcastello.com/</v>
      </c>
      <c r="D895" s="130" t="s">
        <v>37</v>
      </c>
      <c r="E895" s="107" t="str">
        <f t="shared" si="46"/>
        <v/>
      </c>
      <c r="G895" s="19"/>
      <c r="H895" s="19"/>
      <c r="I895" s="19"/>
      <c r="J895" s="19"/>
      <c r="K895" s="233"/>
      <c r="L895" s="19"/>
      <c r="M895" s="19"/>
      <c r="N895" s="19"/>
      <c r="O895" s="19"/>
      <c r="P895" s="19"/>
      <c r="Q895" s="19"/>
      <c r="R895" s="19"/>
      <c r="S895" s="19"/>
      <c r="T895" s="19"/>
      <c r="U895" s="19"/>
      <c r="V895" s="19"/>
      <c r="W895" s="19"/>
      <c r="X895" s="19"/>
      <c r="Y895" s="19"/>
    </row>
    <row r="896" spans="1:25" ht="12" customHeight="1">
      <c r="A896" s="219" t="n" cm="1">
        <f t="array" ref="A896">IFERROR(INDEX('03.Muestra'!$B$8:$B$42,SMALL(IF("Página Web"='03.Muestra'!$D$8:$D$42,ROW('03.Muestra'!$B$8:$B$42)-MIN(ROW('03.Muestra'!$D$8:$D$42))+1,""),ROW()-892)),"")</f>
        <v>1.0</v>
      </c>
      <c r="B896" s="114" t="str" cm="1">
        <f t="array" ref="B896">IFERROR(INDEX('03.Muestra'!$C$8:$C$42,SMALL(IF("Página Web"='03.Muestra'!$D$8:$D$42,ROW('03.Muestra'!$C$8:$C$42)-MIN(ROW('03.Muestra'!$D$8:$D$42))+1,""),ROW()-892)),"")</f>
        <v>Home - PortCastelló</v>
      </c>
      <c r="C896" s="114" t="str" cm="1">
        <f t="array" ref="C896">IFERROR(INDEX('03.Muestra'!$F$8:$F$42,SMALL(IF("Página Web"='03.Muestra'!$D$8:$D$42,ROW('03.Muestra'!$F$8:$F$42)-MIN(ROW('03.Muestra'!$D$8:$D$42))+1,""),ROW()-892)),"")</f>
        <v>https://www.portcastello.com/</v>
      </c>
      <c r="D896" s="130" t="s">
        <v>37</v>
      </c>
      <c r="E896" s="107" t="str">
        <f t="shared" si="46"/>
        <v/>
      </c>
      <c r="G896" s="19"/>
      <c r="H896" s="19"/>
      <c r="I896" s="19"/>
      <c r="J896" s="19"/>
      <c r="K896" s="233"/>
      <c r="L896" s="19"/>
      <c r="M896" s="19"/>
      <c r="N896" s="19"/>
      <c r="O896" s="19"/>
      <c r="P896" s="19"/>
      <c r="Q896" s="19"/>
      <c r="R896" s="19"/>
      <c r="S896" s="19"/>
      <c r="T896" s="19"/>
      <c r="U896" s="19"/>
      <c r="V896" s="19"/>
      <c r="W896" s="19"/>
      <c r="X896" s="19"/>
      <c r="Y896" s="19"/>
    </row>
    <row r="897" spans="1:25" ht="12" customHeight="1">
      <c r="A897" s="219" t="n" cm="1">
        <f t="array" ref="A897">IFERROR(INDEX('03.Muestra'!$B$8:$B$42,SMALL(IF("Página Web"='03.Muestra'!$D$8:$D$42,ROW('03.Muestra'!$B$8:$B$42)-MIN(ROW('03.Muestra'!$D$8:$D$42))+1,""),ROW()-892)),"")</f>
        <v>1.0</v>
      </c>
      <c r="B897" s="114" t="str" cm="1">
        <f t="array" ref="B897">IFERROR(INDEX('03.Muestra'!$C$8:$C$42,SMALL(IF("Página Web"='03.Muestra'!$D$8:$D$42,ROW('03.Muestra'!$C$8:$C$42)-MIN(ROW('03.Muestra'!$D$8:$D$42))+1,""),ROW()-892)),"")</f>
        <v>Home - PortCastelló</v>
      </c>
      <c r="C897" s="114" t="str" cm="1">
        <f t="array" ref="C897">IFERROR(INDEX('03.Muestra'!$F$8:$F$42,SMALL(IF("Página Web"='03.Muestra'!$D$8:$D$42,ROW('03.Muestra'!$F$8:$F$42)-MIN(ROW('03.Muestra'!$D$8:$D$42))+1,""),ROW()-892)),"")</f>
        <v>https://www.portcastello.com/</v>
      </c>
      <c r="D897" s="130" t="s">
        <v>37</v>
      </c>
      <c r="E897" s="107" t="str">
        <f t="shared" si="46"/>
        <v/>
      </c>
      <c r="G897" s="19"/>
      <c r="H897" s="19"/>
      <c r="I897" s="19"/>
      <c r="J897" s="19"/>
      <c r="K897" s="233"/>
      <c r="L897" s="19"/>
      <c r="M897" s="19"/>
      <c r="N897" s="19"/>
      <c r="O897" s="19"/>
      <c r="P897" s="19"/>
      <c r="Q897" s="19"/>
      <c r="R897" s="19"/>
      <c r="S897" s="19"/>
      <c r="T897" s="19"/>
      <c r="U897" s="19"/>
      <c r="V897" s="19"/>
      <c r="W897" s="19"/>
      <c r="X897" s="19"/>
      <c r="Y897" s="19"/>
    </row>
    <row r="898" spans="1:25" ht="12" customHeight="1">
      <c r="A898" s="219" t="n" cm="1">
        <f t="array" ref="A898">IFERROR(INDEX('03.Muestra'!$B$8:$B$42,SMALL(IF("Página Web"='03.Muestra'!$D$8:$D$42,ROW('03.Muestra'!$B$8:$B$42)-MIN(ROW('03.Muestra'!$D$8:$D$42))+1,""),ROW()-892)),"")</f>
        <v>1.0</v>
      </c>
      <c r="B898" s="114" t="str" cm="1">
        <f t="array" ref="B898">IFERROR(INDEX('03.Muestra'!$C$8:$C$42,SMALL(IF("Página Web"='03.Muestra'!$D$8:$D$42,ROW('03.Muestra'!$C$8:$C$42)-MIN(ROW('03.Muestra'!$D$8:$D$42))+1,""),ROW()-892)),"")</f>
        <v>Home - PortCastelló</v>
      </c>
      <c r="C898" s="114" t="str" cm="1">
        <f t="array" ref="C898">IFERROR(INDEX('03.Muestra'!$F$8:$F$42,SMALL(IF("Página Web"='03.Muestra'!$D$8:$D$42,ROW('03.Muestra'!$F$8:$F$42)-MIN(ROW('03.Muestra'!$D$8:$D$42))+1,""),ROW()-892)),"")</f>
        <v>https://www.portcastello.com/</v>
      </c>
      <c r="D898" s="130" t="s">
        <v>37</v>
      </c>
      <c r="E898" s="107" t="str">
        <f t="shared" si="46"/>
        <v/>
      </c>
      <c r="G898" s="19"/>
      <c r="H898" s="19"/>
      <c r="I898" s="19"/>
      <c r="J898" s="19"/>
      <c r="K898" s="233"/>
      <c r="L898" s="19"/>
      <c r="M898" s="19"/>
      <c r="N898" s="19"/>
      <c r="O898" s="19"/>
      <c r="P898" s="19"/>
      <c r="Q898" s="19"/>
      <c r="R898" s="19"/>
      <c r="S898" s="19"/>
      <c r="T898" s="19"/>
      <c r="U898" s="19"/>
      <c r="V898" s="19"/>
      <c r="W898" s="19"/>
      <c r="X898" s="19"/>
      <c r="Y898" s="19"/>
    </row>
    <row r="899" spans="1:25" ht="12" customHeight="1">
      <c r="A899" s="219" t="n" cm="1">
        <f t="array" ref="A899">IFERROR(INDEX('03.Muestra'!$B$8:$B$42,SMALL(IF("Página Web"='03.Muestra'!$D$8:$D$42,ROW('03.Muestra'!$B$8:$B$42)-MIN(ROW('03.Muestra'!$D$8:$D$42))+1,""),ROW()-892)),"")</f>
        <v>1.0</v>
      </c>
      <c r="B899" s="114" t="str" cm="1">
        <f t="array" ref="B899">IFERROR(INDEX('03.Muestra'!$C$8:$C$42,SMALL(IF("Página Web"='03.Muestra'!$D$8:$D$42,ROW('03.Muestra'!$C$8:$C$42)-MIN(ROW('03.Muestra'!$D$8:$D$42))+1,""),ROW()-892)),"")</f>
        <v>Home - PortCastelló</v>
      </c>
      <c r="C899" s="114" t="str" cm="1">
        <f t="array" ref="C899">IFERROR(INDEX('03.Muestra'!$F$8:$F$42,SMALL(IF("Página Web"='03.Muestra'!$D$8:$D$42,ROW('03.Muestra'!$F$8:$F$42)-MIN(ROW('03.Muestra'!$D$8:$D$42))+1,""),ROW()-892)),"")</f>
        <v>https://www.portcastello.com/</v>
      </c>
      <c r="D899" s="130" t="s">
        <v>37</v>
      </c>
      <c r="E899" s="107" t="str">
        <f t="shared" si="46"/>
        <v/>
      </c>
      <c r="F899" s="19"/>
      <c r="G899" s="19"/>
      <c r="H899" s="19"/>
      <c r="I899" s="19"/>
      <c r="J899" s="19"/>
      <c r="K899" s="233"/>
      <c r="L899" s="19"/>
      <c r="M899" s="19"/>
      <c r="N899" s="19"/>
      <c r="O899" s="19"/>
      <c r="P899" s="19"/>
      <c r="Q899" s="19"/>
      <c r="R899" s="19"/>
      <c r="S899" s="19"/>
      <c r="T899" s="19"/>
      <c r="U899" s="19"/>
      <c r="V899" s="19"/>
      <c r="W899" s="19"/>
      <c r="X899" s="19"/>
      <c r="Y899" s="19"/>
    </row>
    <row r="900" spans="1:25" ht="12" customHeight="1">
      <c r="A900" s="219" t="n" cm="1">
        <f t="array" ref="A900">IFERROR(INDEX('03.Muestra'!$B$8:$B$42,SMALL(IF("Página Web"='03.Muestra'!$D$8:$D$42,ROW('03.Muestra'!$B$8:$B$42)-MIN(ROW('03.Muestra'!$D$8:$D$42))+1,""),ROW()-892)),"")</f>
        <v>1.0</v>
      </c>
      <c r="B900" s="114" t="str" cm="1">
        <f t="array" ref="B900">IFERROR(INDEX('03.Muestra'!$C$8:$C$42,SMALL(IF("Página Web"='03.Muestra'!$D$8:$D$42,ROW('03.Muestra'!$C$8:$C$42)-MIN(ROW('03.Muestra'!$D$8:$D$42))+1,""),ROW()-892)),"")</f>
        <v>Home - PortCastelló</v>
      </c>
      <c r="C900" s="114" t="str" cm="1">
        <f t="array" ref="C900">IFERROR(INDEX('03.Muestra'!$F$8:$F$42,SMALL(IF("Página Web"='03.Muestra'!$D$8:$D$42,ROW('03.Muestra'!$F$8:$F$42)-MIN(ROW('03.Muestra'!$D$8:$D$42))+1,""),ROW()-892)),"")</f>
        <v>https://www.portcastello.com/</v>
      </c>
      <c r="D900" s="130" t="s">
        <v>37</v>
      </c>
      <c r="E900" s="107" t="str">
        <f t="shared" si="46"/>
        <v/>
      </c>
      <c r="F900" s="19"/>
      <c r="G900" s="19"/>
      <c r="H900" s="19"/>
      <c r="I900" s="19"/>
      <c r="J900" s="19"/>
      <c r="K900" s="233"/>
      <c r="L900" s="19"/>
      <c r="M900" s="19"/>
      <c r="N900" s="19"/>
      <c r="O900" s="19"/>
      <c r="P900" s="19"/>
      <c r="Q900" s="19"/>
      <c r="R900" s="19"/>
      <c r="S900" s="19"/>
      <c r="T900" s="19"/>
      <c r="U900" s="19"/>
      <c r="V900" s="19"/>
      <c r="W900" s="19"/>
      <c r="X900" s="19"/>
      <c r="Y900" s="19"/>
    </row>
    <row r="901" spans="1:25" ht="12" customHeight="1">
      <c r="A901" s="219" t="n" cm="1">
        <f t="array" ref="A901">IFERROR(INDEX('03.Muestra'!$B$8:$B$42,SMALL(IF("Página Web"='03.Muestra'!$D$8:$D$42,ROW('03.Muestra'!$B$8:$B$42)-MIN(ROW('03.Muestra'!$D$8:$D$42))+1,""),ROW()-892)),"")</f>
        <v>1.0</v>
      </c>
      <c r="B901" s="114" t="str" cm="1">
        <f t="array" ref="B901">IFERROR(INDEX('03.Muestra'!$C$8:$C$42,SMALL(IF("Página Web"='03.Muestra'!$D$8:$D$42,ROW('03.Muestra'!$C$8:$C$42)-MIN(ROW('03.Muestra'!$D$8:$D$42))+1,""),ROW()-892)),"")</f>
        <v>Home - PortCastelló</v>
      </c>
      <c r="C901" s="114" t="str" cm="1">
        <f t="array" ref="C901">IFERROR(INDEX('03.Muestra'!$F$8:$F$42,SMALL(IF("Página Web"='03.Muestra'!$D$8:$D$42,ROW('03.Muestra'!$F$8:$F$42)-MIN(ROW('03.Muestra'!$D$8:$D$42))+1,""),ROW()-892)),"")</f>
        <v>https://www.portcastello.com/</v>
      </c>
      <c r="D901" s="130" t="s">
        <v>37</v>
      </c>
      <c r="E901" s="107" t="str">
        <f t="shared" si="46"/>
        <v/>
      </c>
      <c r="F901" s="19"/>
      <c r="G901" s="19"/>
      <c r="H901" s="19"/>
      <c r="I901" s="19"/>
      <c r="J901" s="19"/>
      <c r="K901" s="233"/>
      <c r="L901" s="19"/>
      <c r="M901" s="19"/>
      <c r="N901" s="19"/>
      <c r="O901" s="19"/>
      <c r="P901" s="19"/>
      <c r="Q901" s="19"/>
      <c r="R901" s="19"/>
      <c r="S901" s="19"/>
      <c r="T901" s="19"/>
      <c r="U901" s="19"/>
      <c r="V901" s="19"/>
      <c r="W901" s="19"/>
      <c r="X901" s="19"/>
      <c r="Y901" s="19"/>
    </row>
    <row r="902" spans="1:25" ht="12" customHeight="1">
      <c r="A902" s="219" t="n" cm="1">
        <f t="array" ref="A902">IFERROR(INDEX('03.Muestra'!$B$8:$B$42,SMALL(IF("Página Web"='03.Muestra'!$D$8:$D$42,ROW('03.Muestra'!$B$8:$B$42)-MIN(ROW('03.Muestra'!$D$8:$D$42))+1,""),ROW()-892)),"")</f>
        <v>1.0</v>
      </c>
      <c r="B902" s="114" t="str" cm="1">
        <f t="array" ref="B902">IFERROR(INDEX('03.Muestra'!$C$8:$C$42,SMALL(IF("Página Web"='03.Muestra'!$D$8:$D$42,ROW('03.Muestra'!$C$8:$C$42)-MIN(ROW('03.Muestra'!$D$8:$D$42))+1,""),ROW()-892)),"")</f>
        <v>Home - PortCastelló</v>
      </c>
      <c r="C902" s="114" t="str" cm="1">
        <f t="array" ref="C902">IFERROR(INDEX('03.Muestra'!$F$8:$F$42,SMALL(IF("Página Web"='03.Muestra'!$D$8:$D$42,ROW('03.Muestra'!$F$8:$F$42)-MIN(ROW('03.Muestra'!$D$8:$D$42))+1,""),ROW()-892)),"")</f>
        <v>https://www.portcastello.com/</v>
      </c>
      <c r="D902" s="130" t="s">
        <v>37</v>
      </c>
      <c r="E902" s="107" t="str">
        <f t="shared" si="46"/>
        <v/>
      </c>
      <c r="F902" s="19"/>
      <c r="G902" s="19"/>
      <c r="H902" s="19"/>
      <c r="I902" s="19"/>
      <c r="J902" s="19"/>
      <c r="K902" s="233"/>
      <c r="L902" s="19"/>
      <c r="M902" s="19"/>
      <c r="N902" s="19"/>
      <c r="O902" s="19"/>
      <c r="P902" s="19"/>
      <c r="Q902" s="19"/>
      <c r="R902" s="19"/>
      <c r="S902" s="19"/>
      <c r="T902" s="19"/>
      <c r="U902" s="19"/>
      <c r="V902" s="19"/>
      <c r="W902" s="19"/>
      <c r="X902" s="19"/>
      <c r="Y902" s="19"/>
    </row>
    <row r="903" spans="1:25" ht="12" customHeight="1">
      <c r="A903" s="219" t="n" cm="1">
        <f t="array" ref="A903">IFERROR(INDEX('03.Muestra'!$B$8:$B$42,SMALL(IF("Página Web"='03.Muestra'!$D$8:$D$42,ROW('03.Muestra'!$B$8:$B$42)-MIN(ROW('03.Muestra'!$D$8:$D$42))+1,""),ROW()-892)),"")</f>
        <v>1.0</v>
      </c>
      <c r="B903" s="114" t="str" cm="1">
        <f t="array" ref="B903">IFERROR(INDEX('03.Muestra'!$C$8:$C$42,SMALL(IF("Página Web"='03.Muestra'!$D$8:$D$42,ROW('03.Muestra'!$C$8:$C$42)-MIN(ROW('03.Muestra'!$D$8:$D$42))+1,""),ROW()-892)),"")</f>
        <v>Home - PortCastelló</v>
      </c>
      <c r="C903" s="114" t="str" cm="1">
        <f t="array" ref="C903">IFERROR(INDEX('03.Muestra'!$F$8:$F$42,SMALL(IF("Página Web"='03.Muestra'!$D$8:$D$42,ROW('03.Muestra'!$F$8:$F$42)-MIN(ROW('03.Muestra'!$D$8:$D$42))+1,""),ROW()-892)),"")</f>
        <v>https://www.portcastello.com/</v>
      </c>
      <c r="D903" s="130" t="s">
        <v>37</v>
      </c>
      <c r="E903" s="107" t="str">
        <f t="shared" si="46"/>
        <v/>
      </c>
      <c r="F903" s="19"/>
      <c r="G903" s="19"/>
      <c r="H903" s="19"/>
      <c r="I903" s="19"/>
      <c r="J903" s="19"/>
      <c r="K903" s="233"/>
      <c r="L903" s="19"/>
      <c r="M903" s="19"/>
      <c r="N903" s="19"/>
      <c r="O903" s="19"/>
      <c r="P903" s="19"/>
      <c r="Q903" s="19"/>
      <c r="R903" s="19"/>
      <c r="S903" s="19"/>
      <c r="T903" s="19"/>
      <c r="U903" s="19"/>
      <c r="V903" s="19"/>
      <c r="W903" s="19"/>
      <c r="X903" s="19"/>
      <c r="Y903" s="19"/>
    </row>
    <row r="904" spans="1:25" ht="12" customHeight="1">
      <c r="A904" s="219" t="n" cm="1">
        <f t="array" ref="A904">IFERROR(INDEX('03.Muestra'!$B$8:$B$42,SMALL(IF("Página Web"='03.Muestra'!$D$8:$D$42,ROW('03.Muestra'!$B$8:$B$42)-MIN(ROW('03.Muestra'!$D$8:$D$42))+1,""),ROW()-892)),"")</f>
        <v>1.0</v>
      </c>
      <c r="B904" s="114" t="str" cm="1">
        <f t="array" ref="B904">IFERROR(INDEX('03.Muestra'!$C$8:$C$42,SMALL(IF("Página Web"='03.Muestra'!$D$8:$D$42,ROW('03.Muestra'!$C$8:$C$42)-MIN(ROW('03.Muestra'!$D$8:$D$42))+1,""),ROW()-892)),"")</f>
        <v>Home - PortCastelló</v>
      </c>
      <c r="C904" s="114" t="str" cm="1">
        <f t="array" ref="C904">IFERROR(INDEX('03.Muestra'!$F$8:$F$42,SMALL(IF("Página Web"='03.Muestra'!$D$8:$D$42,ROW('03.Muestra'!$F$8:$F$42)-MIN(ROW('03.Muestra'!$D$8:$D$42))+1,""),ROW()-892)),"")</f>
        <v>https://www.portcastello.com/</v>
      </c>
      <c r="D904" s="130" t="s">
        <v>37</v>
      </c>
      <c r="E904" s="107" t="str">
        <f t="shared" si="46"/>
        <v/>
      </c>
      <c r="F904" s="19"/>
      <c r="G904" s="19"/>
      <c r="H904" s="19"/>
      <c r="I904" s="19"/>
      <c r="J904" s="19"/>
      <c r="K904" s="233"/>
      <c r="L904" s="19"/>
      <c r="M904" s="19"/>
      <c r="N904" s="19"/>
      <c r="O904" s="19"/>
      <c r="P904" s="19"/>
      <c r="Q904" s="19"/>
      <c r="R904" s="19"/>
      <c r="S904" s="19"/>
      <c r="T904" s="19"/>
      <c r="U904" s="19"/>
      <c r="V904" s="19"/>
      <c r="W904" s="19"/>
      <c r="X904" s="19"/>
      <c r="Y904" s="19"/>
    </row>
    <row r="905" spans="1:25" ht="12" customHeight="1">
      <c r="A905" s="219" t="n" cm="1">
        <f t="array" ref="A905">IFERROR(INDEX('03.Muestra'!$B$8:$B$42,SMALL(IF("Página Web"='03.Muestra'!$D$8:$D$42,ROW('03.Muestra'!$B$8:$B$42)-MIN(ROW('03.Muestra'!$D$8:$D$42))+1,""),ROW()-892)),"")</f>
        <v>1.0</v>
      </c>
      <c r="B905" s="114" t="str" cm="1">
        <f t="array" ref="B905">IFERROR(INDEX('03.Muestra'!$C$8:$C$42,SMALL(IF("Página Web"='03.Muestra'!$D$8:$D$42,ROW('03.Muestra'!$C$8:$C$42)-MIN(ROW('03.Muestra'!$D$8:$D$42))+1,""),ROW()-892)),"")</f>
        <v>Home - PortCastelló</v>
      </c>
      <c r="C905" s="114" t="str" cm="1">
        <f t="array" ref="C905">IFERROR(INDEX('03.Muestra'!$F$8:$F$42,SMALL(IF("Página Web"='03.Muestra'!$D$8:$D$42,ROW('03.Muestra'!$F$8:$F$42)-MIN(ROW('03.Muestra'!$D$8:$D$42))+1,""),ROW()-892)),"")</f>
        <v>https://www.portcastello.com/</v>
      </c>
      <c r="D905" s="130" t="s">
        <v>37</v>
      </c>
      <c r="E905" s="107" t="str">
        <f t="shared" si="46"/>
        <v/>
      </c>
      <c r="F905" s="19"/>
      <c r="G905" s="19"/>
      <c r="H905" s="19"/>
      <c r="I905" s="19"/>
      <c r="J905" s="19"/>
      <c r="K905" s="233"/>
      <c r="L905" s="19"/>
      <c r="M905" s="19"/>
      <c r="N905" s="19"/>
      <c r="O905" s="19"/>
      <c r="P905" s="19"/>
      <c r="Q905" s="19"/>
      <c r="R905" s="19"/>
      <c r="S905" s="19"/>
      <c r="T905" s="19"/>
      <c r="U905" s="19"/>
      <c r="V905" s="19"/>
      <c r="W905" s="19"/>
      <c r="X905" s="19"/>
      <c r="Y905" s="19"/>
    </row>
    <row r="906" spans="1:25" ht="12" customHeight="1">
      <c r="A906" s="219" t="n" cm="1">
        <f t="array" ref="A906">IFERROR(INDEX('03.Muestra'!$B$8:$B$42,SMALL(IF("Página Web"='03.Muestra'!$D$8:$D$42,ROW('03.Muestra'!$B$8:$B$42)-MIN(ROW('03.Muestra'!$D$8:$D$42))+1,""),ROW()-892)),"")</f>
        <v>1.0</v>
      </c>
      <c r="B906" s="114" t="str" cm="1">
        <f t="array" ref="B906">IFERROR(INDEX('03.Muestra'!$C$8:$C$42,SMALL(IF("Página Web"='03.Muestra'!$D$8:$D$42,ROW('03.Muestra'!$C$8:$C$42)-MIN(ROW('03.Muestra'!$D$8:$D$42))+1,""),ROW()-892)),"")</f>
        <v>Home - PortCastelló</v>
      </c>
      <c r="C906" s="114" t="str" cm="1">
        <f t="array" ref="C906">IFERROR(INDEX('03.Muestra'!$F$8:$F$42,SMALL(IF("Página Web"='03.Muestra'!$D$8:$D$42,ROW('03.Muestra'!$F$8:$F$42)-MIN(ROW('03.Muestra'!$D$8:$D$42))+1,""),ROW()-892)),"")</f>
        <v>https://www.portcastello.com/</v>
      </c>
      <c r="D906" s="130" t="s">
        <v>37</v>
      </c>
      <c r="E906" s="107" t="str">
        <f t="shared" si="46"/>
        <v/>
      </c>
      <c r="F906" s="19"/>
      <c r="G906" s="19"/>
      <c r="H906" s="19"/>
      <c r="I906" s="19"/>
      <c r="J906" s="19"/>
      <c r="K906" s="233"/>
      <c r="L906" s="19"/>
      <c r="M906" s="19"/>
      <c r="N906" s="19"/>
      <c r="O906" s="19"/>
      <c r="P906" s="19"/>
      <c r="Q906" s="19"/>
      <c r="R906" s="19"/>
      <c r="S906" s="19"/>
      <c r="T906" s="19"/>
      <c r="U906" s="19"/>
      <c r="V906" s="19"/>
      <c r="W906" s="19"/>
      <c r="X906" s="19"/>
      <c r="Y906" s="19"/>
    </row>
    <row r="907" spans="1:25" ht="12" customHeight="1">
      <c r="A907" s="219" t="n" cm="1">
        <f t="array" ref="A907">IFERROR(INDEX('03.Muestra'!$B$8:$B$42,SMALL(IF("Página Web"='03.Muestra'!$D$8:$D$42,ROW('03.Muestra'!$B$8:$B$42)-MIN(ROW('03.Muestra'!$D$8:$D$42))+1,""),ROW()-892)),"")</f>
        <v>1.0</v>
      </c>
      <c r="B907" s="114" t="str" cm="1">
        <f t="array" ref="B907">IFERROR(INDEX('03.Muestra'!$C$8:$C$42,SMALL(IF("Página Web"='03.Muestra'!$D$8:$D$42,ROW('03.Muestra'!$C$8:$C$42)-MIN(ROW('03.Muestra'!$D$8:$D$42))+1,""),ROW()-892)),"")</f>
        <v>Home - PortCastelló</v>
      </c>
      <c r="C907" s="114" t="str" cm="1">
        <f t="array" ref="C907">IFERROR(INDEX('03.Muestra'!$F$8:$F$42,SMALL(IF("Página Web"='03.Muestra'!$D$8:$D$42,ROW('03.Muestra'!$F$8:$F$42)-MIN(ROW('03.Muestra'!$D$8:$D$42))+1,""),ROW()-892)),"")</f>
        <v>https://www.portcastello.com/</v>
      </c>
      <c r="D907" s="130" t="s">
        <v>37</v>
      </c>
      <c r="E907" s="107" t="str">
        <f t="shared" si="46"/>
        <v/>
      </c>
      <c r="F907" s="19"/>
      <c r="G907" s="19"/>
      <c r="H907" s="19"/>
      <c r="I907" s="19"/>
      <c r="J907" s="19"/>
      <c r="K907" s="233"/>
      <c r="L907" s="19"/>
      <c r="M907" s="19"/>
      <c r="N907" s="19"/>
      <c r="O907" s="19"/>
      <c r="P907" s="19"/>
      <c r="Q907" s="19"/>
      <c r="R907" s="19"/>
      <c r="S907" s="19"/>
      <c r="T907" s="19"/>
      <c r="U907" s="19"/>
      <c r="V907" s="19"/>
      <c r="W907" s="19"/>
      <c r="X907" s="19"/>
      <c r="Y907" s="19"/>
    </row>
    <row r="908" spans="1:25" ht="12" customHeight="1">
      <c r="A908" s="219" t="n" cm="1">
        <f t="array" ref="A908">IFERROR(INDEX('03.Muestra'!$B$8:$B$42,SMALL(IF("Página Web"='03.Muestra'!$D$8:$D$42,ROW('03.Muestra'!$B$8:$B$42)-MIN(ROW('03.Muestra'!$D$8:$D$42))+1,""),ROW()-892)),"")</f>
        <v>1.0</v>
      </c>
      <c r="B908" s="114" t="str" cm="1">
        <f t="array" ref="B908">IFERROR(INDEX('03.Muestra'!$C$8:$C$42,SMALL(IF("Página Web"='03.Muestra'!$D$8:$D$42,ROW('03.Muestra'!$C$8:$C$42)-MIN(ROW('03.Muestra'!$D$8:$D$42))+1,""),ROW()-892)),"")</f>
        <v>Home - PortCastelló</v>
      </c>
      <c r="C908" s="114" t="str" cm="1">
        <f t="array" ref="C908">IFERROR(INDEX('03.Muestra'!$F$8:$F$42,SMALL(IF("Página Web"='03.Muestra'!$D$8:$D$42,ROW('03.Muestra'!$F$8:$F$42)-MIN(ROW('03.Muestra'!$D$8:$D$42))+1,""),ROW()-892)),"")</f>
        <v>https://www.portcastello.com/</v>
      </c>
      <c r="D908" s="130" t="s">
        <v>37</v>
      </c>
      <c r="E908" s="107" t="str">
        <f t="shared" si="46"/>
        <v/>
      </c>
      <c r="F908" s="19"/>
      <c r="G908" s="19"/>
      <c r="H908" s="19"/>
      <c r="I908" s="19"/>
      <c r="J908" s="19"/>
      <c r="K908" s="233"/>
      <c r="L908" s="19"/>
      <c r="M908" s="19"/>
      <c r="N908" s="19"/>
      <c r="O908" s="19"/>
      <c r="P908" s="19"/>
      <c r="Q908" s="19"/>
      <c r="R908" s="19"/>
      <c r="S908" s="19"/>
      <c r="T908" s="19"/>
      <c r="U908" s="19"/>
      <c r="V908" s="19"/>
      <c r="W908" s="19"/>
      <c r="X908" s="19"/>
      <c r="Y908" s="19"/>
    </row>
    <row r="909" spans="1:25" ht="12" customHeight="1">
      <c r="A909" s="219" t="n" cm="1">
        <f t="array" ref="A909">IFERROR(INDEX('03.Muestra'!$B$8:$B$42,SMALL(IF("Página Web"='03.Muestra'!$D$8:$D$42,ROW('03.Muestra'!$B$8:$B$42)-MIN(ROW('03.Muestra'!$D$8:$D$42))+1,""),ROW()-892)),"")</f>
        <v>1.0</v>
      </c>
      <c r="B909" s="114" t="str" cm="1">
        <f t="array" ref="B909">IFERROR(INDEX('03.Muestra'!$C$8:$C$42,SMALL(IF("Página Web"='03.Muestra'!$D$8:$D$42,ROW('03.Muestra'!$C$8:$C$42)-MIN(ROW('03.Muestra'!$D$8:$D$42))+1,""),ROW()-892)),"")</f>
        <v>Home - PortCastelló</v>
      </c>
      <c r="C909" s="114" t="str" cm="1">
        <f t="array" ref="C909">IFERROR(INDEX('03.Muestra'!$F$8:$F$42,SMALL(IF("Página Web"='03.Muestra'!$D$8:$D$42,ROW('03.Muestra'!$F$8:$F$42)-MIN(ROW('03.Muestra'!$D$8:$D$42))+1,""),ROW()-892)),"")</f>
        <v>https://www.portcastello.com/</v>
      </c>
      <c r="D909" s="130" t="s">
        <v>37</v>
      </c>
      <c r="E909" s="107" t="str">
        <f t="shared" si="46"/>
        <v/>
      </c>
      <c r="F909" s="19"/>
      <c r="G909" s="19"/>
      <c r="H909" s="19"/>
      <c r="I909" s="19"/>
      <c r="J909" s="19"/>
      <c r="K909" s="233"/>
      <c r="L909" s="19"/>
      <c r="M909" s="19"/>
      <c r="N909" s="19"/>
      <c r="O909" s="19"/>
      <c r="P909" s="19"/>
      <c r="Q909" s="19"/>
      <c r="R909" s="19"/>
      <c r="S909" s="19"/>
      <c r="T909" s="19"/>
      <c r="U909" s="19"/>
      <c r="V909" s="19"/>
      <c r="W909" s="19"/>
      <c r="X909" s="19"/>
      <c r="Y909" s="19"/>
    </row>
    <row r="910" spans="1:25" ht="12" customHeight="1">
      <c r="A910" s="219" t="n" cm="1">
        <f t="array" ref="A910">IFERROR(INDEX('03.Muestra'!$B$8:$B$42,SMALL(IF("Página Web"='03.Muestra'!$D$8:$D$42,ROW('03.Muestra'!$B$8:$B$42)-MIN(ROW('03.Muestra'!$D$8:$D$42))+1,""),ROW()-892)),"")</f>
        <v>1.0</v>
      </c>
      <c r="B910" s="114" t="str" cm="1">
        <f t="array" ref="B910">IFERROR(INDEX('03.Muestra'!$C$8:$C$42,SMALL(IF("Página Web"='03.Muestra'!$D$8:$D$42,ROW('03.Muestra'!$C$8:$C$42)-MIN(ROW('03.Muestra'!$D$8:$D$42))+1,""),ROW()-892)),"")</f>
        <v>Home - PortCastelló</v>
      </c>
      <c r="C910" s="114" t="str" cm="1">
        <f t="array" ref="C910">IFERROR(INDEX('03.Muestra'!$F$8:$F$42,SMALL(IF("Página Web"='03.Muestra'!$D$8:$D$42,ROW('03.Muestra'!$F$8:$F$42)-MIN(ROW('03.Muestra'!$D$8:$D$42))+1,""),ROW()-892)),"")</f>
        <v>https://www.portcastello.com/</v>
      </c>
      <c r="D910" s="130" t="s">
        <v>37</v>
      </c>
      <c r="E910" s="107" t="str">
        <f t="shared" si="46"/>
        <v/>
      </c>
      <c r="F910" s="19"/>
      <c r="G910" s="19"/>
      <c r="H910" s="19"/>
      <c r="I910" s="19"/>
      <c r="J910" s="19"/>
      <c r="K910" s="233"/>
      <c r="L910" s="19"/>
      <c r="M910" s="19"/>
      <c r="N910" s="19"/>
      <c r="O910" s="19"/>
      <c r="P910" s="19"/>
      <c r="Q910" s="19"/>
      <c r="R910" s="19"/>
      <c r="S910" s="19"/>
      <c r="T910" s="19"/>
      <c r="U910" s="19"/>
      <c r="V910" s="19"/>
      <c r="W910" s="19"/>
      <c r="X910" s="19"/>
      <c r="Y910" s="19"/>
    </row>
    <row r="911" spans="1:25" ht="12" customHeight="1">
      <c r="A911" s="219" t="n" cm="1">
        <f t="array" ref="A911">IFERROR(INDEX('03.Muestra'!$B$8:$B$42,SMALL(IF("Página Web"='03.Muestra'!$D$8:$D$42,ROW('03.Muestra'!$B$8:$B$42)-MIN(ROW('03.Muestra'!$D$8:$D$42))+1,""),ROW()-892)),"")</f>
        <v>1.0</v>
      </c>
      <c r="B911" s="114" t="str" cm="1">
        <f t="array" ref="B911">IFERROR(INDEX('03.Muestra'!$C$8:$C$42,SMALL(IF("Página Web"='03.Muestra'!$D$8:$D$42,ROW('03.Muestra'!$C$8:$C$42)-MIN(ROW('03.Muestra'!$D$8:$D$42))+1,""),ROW()-892)),"")</f>
        <v>Home - PortCastelló</v>
      </c>
      <c r="C911" s="114" t="str" cm="1">
        <f t="array" ref="C911">IFERROR(INDEX('03.Muestra'!$F$8:$F$42,SMALL(IF("Página Web"='03.Muestra'!$D$8:$D$42,ROW('03.Muestra'!$F$8:$F$42)-MIN(ROW('03.Muestra'!$D$8:$D$42))+1,""),ROW()-892)),"")</f>
        <v>https://www.portcastello.com/</v>
      </c>
      <c r="D911" s="130" t="s">
        <v>37</v>
      </c>
      <c r="E911" s="107" t="str">
        <f t="shared" si="46"/>
        <v/>
      </c>
      <c r="F911" s="19"/>
      <c r="G911" s="19"/>
      <c r="H911" s="19"/>
      <c r="I911" s="19"/>
      <c r="J911" s="19"/>
      <c r="K911" s="233"/>
      <c r="L911" s="19"/>
      <c r="M911" s="19"/>
      <c r="N911" s="19"/>
      <c r="O911" s="19"/>
      <c r="P911" s="19"/>
      <c r="Q911" s="19"/>
      <c r="R911" s="19"/>
      <c r="S911" s="19"/>
      <c r="T911" s="19"/>
      <c r="U911" s="19"/>
      <c r="V911" s="19"/>
      <c r="W911" s="19"/>
      <c r="X911" s="19"/>
      <c r="Y911" s="19"/>
    </row>
    <row r="912" spans="1:25" ht="12" customHeight="1">
      <c r="A912" s="219" t="n" cm="1">
        <f t="array" ref="A912">IFERROR(INDEX('03.Muestra'!$B$8:$B$42,SMALL(IF("Página Web"='03.Muestra'!$D$8:$D$42,ROW('03.Muestra'!$B$8:$B$42)-MIN(ROW('03.Muestra'!$D$8:$D$42))+1,""),ROW()-892)),"")</f>
        <v>1.0</v>
      </c>
      <c r="B912" s="114" t="str" cm="1">
        <f t="array" ref="B912">IFERROR(INDEX('03.Muestra'!$C$8:$C$42,SMALL(IF("Página Web"='03.Muestra'!$D$8:$D$42,ROW('03.Muestra'!$C$8:$C$42)-MIN(ROW('03.Muestra'!$D$8:$D$42))+1,""),ROW()-892)),"")</f>
        <v>Home - PortCastelló</v>
      </c>
      <c r="C912" s="114" t="str" cm="1">
        <f t="array" ref="C912">IFERROR(INDEX('03.Muestra'!$F$8:$F$42,SMALL(IF("Página Web"='03.Muestra'!$D$8:$D$42,ROW('03.Muestra'!$F$8:$F$42)-MIN(ROW('03.Muestra'!$D$8:$D$42))+1,""),ROW()-892)),"")</f>
        <v>https://www.portcastello.com/</v>
      </c>
      <c r="D912" s="130" t="s">
        <v>37</v>
      </c>
      <c r="E912" s="107" t="str">
        <f t="shared" si="46"/>
        <v/>
      </c>
      <c r="F912" s="19"/>
      <c r="G912" s="19"/>
      <c r="H912" s="19"/>
      <c r="I912" s="19"/>
      <c r="J912" s="19"/>
      <c r="K912" s="233"/>
      <c r="L912" s="19"/>
      <c r="M912" s="19"/>
      <c r="N912" s="19"/>
      <c r="O912" s="19"/>
      <c r="P912" s="19"/>
      <c r="Q912" s="19"/>
      <c r="R912" s="19"/>
      <c r="S912" s="19"/>
      <c r="T912" s="19"/>
      <c r="U912" s="19"/>
      <c r="V912" s="19"/>
      <c r="W912" s="19"/>
      <c r="X912" s="19"/>
      <c r="Y912" s="19"/>
    </row>
    <row r="913" spans="1:25" ht="12" customHeight="1">
      <c r="A913" s="219" t="n" cm="1">
        <f t="array" ref="A913">IFERROR(INDEX('03.Muestra'!$B$8:$B$42,SMALL(IF("Página Web"='03.Muestra'!$D$8:$D$42,ROW('03.Muestra'!$B$8:$B$42)-MIN(ROW('03.Muestra'!$D$8:$D$42))+1,""),ROW()-892)),"")</f>
        <v>1.0</v>
      </c>
      <c r="B913" s="114" t="str" cm="1">
        <f t="array" ref="B913">IFERROR(INDEX('03.Muestra'!$C$8:$C$42,SMALL(IF("Página Web"='03.Muestra'!$D$8:$D$42,ROW('03.Muestra'!$C$8:$C$42)-MIN(ROW('03.Muestra'!$D$8:$D$42))+1,""),ROW()-892)),"")</f>
        <v>Home - PortCastelló</v>
      </c>
      <c r="C913" s="114" t="str" cm="1">
        <f t="array" ref="C913">IFERROR(INDEX('03.Muestra'!$F$8:$F$42,SMALL(IF("Página Web"='03.Muestra'!$D$8:$D$42,ROW('03.Muestra'!$F$8:$F$42)-MIN(ROW('03.Muestra'!$D$8:$D$42))+1,""),ROW()-892)),"")</f>
        <v>https://www.portcastello.com/</v>
      </c>
      <c r="D913" s="130" t="s">
        <v>37</v>
      </c>
      <c r="E913" s="107" t="str">
        <f t="shared" si="46"/>
        <v/>
      </c>
      <c r="F913" s="19"/>
      <c r="G913" s="19"/>
      <c r="H913" s="19"/>
      <c r="I913" s="19"/>
      <c r="J913" s="19"/>
      <c r="K913" s="233"/>
      <c r="L913" s="19"/>
      <c r="M913" s="19"/>
      <c r="N913" s="19"/>
      <c r="O913" s="19"/>
      <c r="P913" s="19"/>
      <c r="Q913" s="19"/>
      <c r="R913" s="19"/>
      <c r="S913" s="19"/>
      <c r="T913" s="19"/>
      <c r="U913" s="19"/>
      <c r="V913" s="19"/>
      <c r="W913" s="19"/>
      <c r="X913" s="19"/>
      <c r="Y913" s="19"/>
    </row>
    <row r="914" spans="1:25" ht="12" customHeight="1">
      <c r="A914" s="219" t="n" cm="1">
        <f t="array" ref="A914">IFERROR(INDEX('03.Muestra'!$B$8:$B$42,SMALL(IF("Página Web"='03.Muestra'!$D$8:$D$42,ROW('03.Muestra'!$B$8:$B$42)-MIN(ROW('03.Muestra'!$D$8:$D$42))+1,""),ROW()-892)),"")</f>
        <v>1.0</v>
      </c>
      <c r="B914" s="114" t="str" cm="1">
        <f t="array" ref="B914">IFERROR(INDEX('03.Muestra'!$C$8:$C$42,SMALL(IF("Página Web"='03.Muestra'!$D$8:$D$42,ROW('03.Muestra'!$C$8:$C$42)-MIN(ROW('03.Muestra'!$D$8:$D$42))+1,""),ROW()-892)),"")</f>
        <v>Home - PortCastelló</v>
      </c>
      <c r="C914" s="114" t="str" cm="1">
        <f t="array" ref="C914">IFERROR(INDEX('03.Muestra'!$F$8:$F$42,SMALL(IF("Página Web"='03.Muestra'!$D$8:$D$42,ROW('03.Muestra'!$F$8:$F$42)-MIN(ROW('03.Muestra'!$D$8:$D$42))+1,""),ROW()-892)),"")</f>
        <v>https://www.portcastello.com/</v>
      </c>
      <c r="D914" s="130" t="s">
        <v>37</v>
      </c>
      <c r="E914" s="107" t="str">
        <f t="shared" si="46"/>
        <v/>
      </c>
      <c r="F914" s="19"/>
      <c r="G914" s="19"/>
      <c r="H914" s="19"/>
      <c r="I914" s="19"/>
      <c r="J914" s="19"/>
      <c r="K914" s="233"/>
      <c r="L914" s="19"/>
      <c r="M914" s="19"/>
      <c r="N914" s="19"/>
      <c r="O914" s="19"/>
      <c r="P914" s="19"/>
      <c r="Q914" s="19"/>
      <c r="R914" s="19"/>
      <c r="S914" s="19"/>
      <c r="T914" s="19"/>
      <c r="U914" s="19"/>
      <c r="V914" s="19"/>
      <c r="W914" s="19"/>
      <c r="X914" s="19"/>
      <c r="Y914" s="19"/>
    </row>
    <row r="915" spans="1:25" ht="12" customHeight="1">
      <c r="A915" s="219" t="n" cm="1">
        <f t="array" ref="A915">IFERROR(INDEX('03.Muestra'!$B$8:$B$42,SMALL(IF("Página Web"='03.Muestra'!$D$8:$D$42,ROW('03.Muestra'!$B$8:$B$42)-MIN(ROW('03.Muestra'!$D$8:$D$42))+1,""),ROW()-892)),"")</f>
        <v>1.0</v>
      </c>
      <c r="B915" s="114" t="str" cm="1">
        <f t="array" ref="B915">IFERROR(INDEX('03.Muestra'!$C$8:$C$42,SMALL(IF("Página Web"='03.Muestra'!$D$8:$D$42,ROW('03.Muestra'!$C$8:$C$42)-MIN(ROW('03.Muestra'!$D$8:$D$42))+1,""),ROW()-892)),"")</f>
        <v>Home - PortCastelló</v>
      </c>
      <c r="C915" s="114" t="str" cm="1">
        <f t="array" ref="C915">IFERROR(INDEX('03.Muestra'!$F$8:$F$42,SMALL(IF("Página Web"='03.Muestra'!$D$8:$D$42,ROW('03.Muestra'!$F$8:$F$42)-MIN(ROW('03.Muestra'!$D$8:$D$42))+1,""),ROW()-892)),"")</f>
        <v>https://www.portcastello.com/</v>
      </c>
      <c r="D915" s="130" t="s">
        <v>37</v>
      </c>
      <c r="E915" s="107" t="str">
        <f t="shared" si="46"/>
        <v/>
      </c>
      <c r="F915" s="19"/>
      <c r="G915" s="19"/>
      <c r="H915" s="19"/>
      <c r="I915" s="19"/>
      <c r="J915" s="19"/>
      <c r="K915" s="233"/>
      <c r="L915" s="19"/>
      <c r="M915" s="19"/>
      <c r="N915" s="19"/>
      <c r="O915" s="19"/>
      <c r="P915" s="19"/>
      <c r="Q915" s="19"/>
      <c r="R915" s="19"/>
      <c r="S915" s="19"/>
      <c r="T915" s="19"/>
      <c r="U915" s="19"/>
      <c r="V915" s="19"/>
      <c r="W915" s="19"/>
      <c r="X915" s="19"/>
      <c r="Y915" s="19"/>
    </row>
    <row r="916" spans="1:25" ht="12" customHeight="1">
      <c r="A916" s="219" t="n" cm="1">
        <f t="array" ref="A916">IFERROR(INDEX('03.Muestra'!$B$8:$B$42,SMALL(IF("Página Web"='03.Muestra'!$D$8:$D$42,ROW('03.Muestra'!$B$8:$B$42)-MIN(ROW('03.Muestra'!$D$8:$D$42))+1,""),ROW()-892)),"")</f>
        <v>1.0</v>
      </c>
      <c r="B916" s="114" t="str" cm="1">
        <f t="array" ref="B916">IFERROR(INDEX('03.Muestra'!$C$8:$C$42,SMALL(IF("Página Web"='03.Muestra'!$D$8:$D$42,ROW('03.Muestra'!$C$8:$C$42)-MIN(ROW('03.Muestra'!$D$8:$D$42))+1,""),ROW()-892)),"")</f>
        <v>Home - PortCastelló</v>
      </c>
      <c r="C916" s="114" t="str" cm="1">
        <f t="array" ref="C916">IFERROR(INDEX('03.Muestra'!$F$8:$F$42,SMALL(IF("Página Web"='03.Muestra'!$D$8:$D$42,ROW('03.Muestra'!$F$8:$F$42)-MIN(ROW('03.Muestra'!$D$8:$D$42))+1,""),ROW()-892)),"")</f>
        <v>https://www.portcastello.com/</v>
      </c>
      <c r="D916" s="130" t="s">
        <v>37</v>
      </c>
      <c r="E916" s="107" t="str">
        <f t="shared" si="46"/>
        <v/>
      </c>
      <c r="F916" s="19"/>
      <c r="G916" s="19"/>
      <c r="H916" s="19"/>
      <c r="I916" s="19"/>
      <c r="J916" s="19"/>
      <c r="K916" s="233"/>
      <c r="L916" s="19"/>
      <c r="M916" s="19"/>
      <c r="N916" s="19"/>
      <c r="O916" s="19"/>
      <c r="P916" s="19"/>
      <c r="Q916" s="19"/>
      <c r="R916" s="19"/>
      <c r="S916" s="19"/>
      <c r="T916" s="19"/>
      <c r="U916" s="19"/>
      <c r="V916" s="19"/>
      <c r="W916" s="19"/>
      <c r="X916" s="19"/>
      <c r="Y916" s="19"/>
    </row>
    <row r="917" spans="1:25" ht="12" customHeight="1">
      <c r="A917" s="219" t="n" cm="1">
        <f t="array" ref="A917">IFERROR(INDEX('03.Muestra'!$B$8:$B$42,SMALL(IF("Página Web"='03.Muestra'!$D$8:$D$42,ROW('03.Muestra'!$B$8:$B$42)-MIN(ROW('03.Muestra'!$D$8:$D$42))+1,""),ROW()-892)),"")</f>
        <v>1.0</v>
      </c>
      <c r="B917" s="114" t="str" cm="1">
        <f t="array" ref="B917">IFERROR(INDEX('03.Muestra'!$C$8:$C$42,SMALL(IF("Página Web"='03.Muestra'!$D$8:$D$42,ROW('03.Muestra'!$C$8:$C$42)-MIN(ROW('03.Muestra'!$D$8:$D$42))+1,""),ROW()-892)),"")</f>
        <v>Home - PortCastelló</v>
      </c>
      <c r="C917" s="114" t="str" cm="1">
        <f t="array" ref="C917">IFERROR(INDEX('03.Muestra'!$F$8:$F$42,SMALL(IF("Página Web"='03.Muestra'!$D$8:$D$42,ROW('03.Muestra'!$F$8:$F$42)-MIN(ROW('03.Muestra'!$D$8:$D$42))+1,""),ROW()-892)),"")</f>
        <v>https://www.portcastello.com/</v>
      </c>
      <c r="D917" s="130" t="s">
        <v>37</v>
      </c>
      <c r="E917" s="107" t="str">
        <f t="shared" si="46"/>
        <v/>
      </c>
      <c r="F917" s="19"/>
      <c r="G917" s="19"/>
      <c r="H917" s="19"/>
      <c r="I917" s="19"/>
      <c r="J917" s="19"/>
      <c r="K917" s="233"/>
      <c r="L917" s="19"/>
      <c r="M917" s="19"/>
      <c r="N917" s="19"/>
      <c r="O917" s="19"/>
      <c r="P917" s="19"/>
      <c r="Q917" s="19"/>
      <c r="R917" s="19"/>
      <c r="S917" s="19"/>
      <c r="T917" s="19"/>
      <c r="U917" s="19"/>
      <c r="V917" s="19"/>
      <c r="W917" s="19"/>
      <c r="X917" s="19"/>
      <c r="Y917" s="19"/>
    </row>
    <row r="918" spans="1:25" ht="12" customHeight="1">
      <c r="A918" s="219" t="n" cm="1">
        <f t="array" ref="A918">IFERROR(INDEX('03.Muestra'!$B$8:$B$42,SMALL(IF("Página Web"='03.Muestra'!$D$8:$D$42,ROW('03.Muestra'!$B$8:$B$42)-MIN(ROW('03.Muestra'!$D$8:$D$42))+1,""),ROW()-892)),"")</f>
        <v>1.0</v>
      </c>
      <c r="B918" s="114" t="str" cm="1">
        <f t="array" ref="B918">IFERROR(INDEX('03.Muestra'!$C$8:$C$42,SMALL(IF("Página Web"='03.Muestra'!$D$8:$D$42,ROW('03.Muestra'!$C$8:$C$42)-MIN(ROW('03.Muestra'!$D$8:$D$42))+1,""),ROW()-892)),"")</f>
        <v>Home - PortCastelló</v>
      </c>
      <c r="C918" s="114" t="str" cm="1">
        <f t="array" ref="C918">IFERROR(INDEX('03.Muestra'!$F$8:$F$42,SMALL(IF("Página Web"='03.Muestra'!$D$8:$D$42,ROW('03.Muestra'!$F$8:$F$42)-MIN(ROW('03.Muestra'!$D$8:$D$42))+1,""),ROW()-892)),"")</f>
        <v>https://www.portcastello.com/</v>
      </c>
      <c r="D918" s="130" t="s">
        <v>37</v>
      </c>
      <c r="E918" s="107" t="str">
        <f t="shared" si="46"/>
        <v/>
      </c>
      <c r="F918" s="19"/>
      <c r="G918" s="19"/>
      <c r="H918" s="19"/>
      <c r="I918" s="19"/>
      <c r="J918" s="19"/>
      <c r="K918" s="233"/>
      <c r="L918" s="19"/>
      <c r="M918" s="19"/>
      <c r="N918" s="19"/>
      <c r="O918" s="19"/>
      <c r="P918" s="19"/>
      <c r="Q918" s="19"/>
      <c r="R918" s="19"/>
      <c r="S918" s="19"/>
      <c r="T918" s="19"/>
      <c r="U918" s="19"/>
      <c r="V918" s="19"/>
      <c r="W918" s="19"/>
      <c r="X918" s="19"/>
      <c r="Y918" s="19"/>
    </row>
    <row r="919" spans="1:25" ht="12" customHeight="1">
      <c r="A919" s="219" t="n" cm="1">
        <f t="array" ref="A919">IFERROR(INDEX('03.Muestra'!$B$8:$B$42,SMALL(IF("Página Web"='03.Muestra'!$D$8:$D$42,ROW('03.Muestra'!$B$8:$B$42)-MIN(ROW('03.Muestra'!$D$8:$D$42))+1,""),ROW()-892)),"")</f>
        <v>1.0</v>
      </c>
      <c r="B919" s="114" t="str" cm="1">
        <f t="array" ref="B919">IFERROR(INDEX('03.Muestra'!$C$8:$C$42,SMALL(IF("Página Web"='03.Muestra'!$D$8:$D$42,ROW('03.Muestra'!$C$8:$C$42)-MIN(ROW('03.Muestra'!$D$8:$D$42))+1,""),ROW()-892)),"")</f>
        <v>Home - PortCastelló</v>
      </c>
      <c r="C919" s="114" t="str" cm="1">
        <f t="array" ref="C919">IFERROR(INDEX('03.Muestra'!$F$8:$F$42,SMALL(IF("Página Web"='03.Muestra'!$D$8:$D$42,ROW('03.Muestra'!$F$8:$F$42)-MIN(ROW('03.Muestra'!$D$8:$D$42))+1,""),ROW()-892)),"")</f>
        <v>https://www.portcastello.com/</v>
      </c>
      <c r="D919" s="130" t="s">
        <v>37</v>
      </c>
      <c r="E919" s="107" t="str">
        <f t="shared" si="46"/>
        <v/>
      </c>
      <c r="F919" s="19"/>
      <c r="G919" s="19"/>
      <c r="H919" s="19"/>
      <c r="I919" s="19"/>
      <c r="J919" s="19"/>
      <c r="K919" s="233"/>
      <c r="L919" s="19"/>
      <c r="M919" s="19"/>
      <c r="N919" s="19"/>
      <c r="O919" s="19"/>
      <c r="P919" s="19"/>
      <c r="Q919" s="19"/>
      <c r="R919" s="19"/>
      <c r="S919" s="19"/>
      <c r="T919" s="19"/>
      <c r="U919" s="19"/>
      <c r="V919" s="19"/>
      <c r="W919" s="19"/>
      <c r="X919" s="19"/>
      <c r="Y919" s="19"/>
    </row>
    <row r="920" spans="1:25" ht="12" customHeight="1">
      <c r="A920" s="219" t="n" cm="1">
        <f t="array" ref="A920">IFERROR(INDEX('03.Muestra'!$B$8:$B$42,SMALL(IF("Página Web"='03.Muestra'!$D$8:$D$42,ROW('03.Muestra'!$B$8:$B$42)-MIN(ROW('03.Muestra'!$D$8:$D$42))+1,""),ROW()-892)),"")</f>
        <v>1.0</v>
      </c>
      <c r="B920" s="114" t="str" cm="1">
        <f t="array" ref="B920">IFERROR(INDEX('03.Muestra'!$C$8:$C$42,SMALL(IF("Página Web"='03.Muestra'!$D$8:$D$42,ROW('03.Muestra'!$C$8:$C$42)-MIN(ROW('03.Muestra'!$D$8:$D$42))+1,""),ROW()-892)),"")</f>
        <v>Home - PortCastelló</v>
      </c>
      <c r="C920" s="114" t="str" cm="1">
        <f t="array" ref="C920">IFERROR(INDEX('03.Muestra'!$F$8:$F$42,SMALL(IF("Página Web"='03.Muestra'!$D$8:$D$42,ROW('03.Muestra'!$F$8:$F$42)-MIN(ROW('03.Muestra'!$D$8:$D$42))+1,""),ROW()-892)),"")</f>
        <v>https://www.portcastello.com/</v>
      </c>
      <c r="D920" s="130" t="s">
        <v>37</v>
      </c>
      <c r="E920" s="107" t="str">
        <f t="shared" si="46"/>
        <v/>
      </c>
      <c r="G920" s="19"/>
      <c r="H920" s="19"/>
      <c r="I920" s="19"/>
      <c r="J920" s="19"/>
      <c r="K920" s="233"/>
      <c r="L920" s="19"/>
      <c r="M920" s="19"/>
      <c r="N920" s="19"/>
      <c r="O920" s="19"/>
      <c r="P920" s="19"/>
      <c r="Q920" s="19"/>
      <c r="R920" s="19"/>
      <c r="S920" s="19"/>
      <c r="T920" s="19"/>
      <c r="U920" s="19"/>
      <c r="V920" s="19"/>
      <c r="W920" s="19"/>
      <c r="X920" s="19"/>
      <c r="Y920" s="19"/>
    </row>
    <row r="921" spans="1:25" ht="12" customHeight="1">
      <c r="A921" s="219" t="n" cm="1">
        <f t="array" ref="A921">IFERROR(INDEX('03.Muestra'!$B$8:$B$42,SMALL(IF("Página Web"='03.Muestra'!$D$8:$D$42,ROW('03.Muestra'!$B$8:$B$42)-MIN(ROW('03.Muestra'!$D$8:$D$42))+1,""),ROW()-892)),"")</f>
        <v>1.0</v>
      </c>
      <c r="B921" s="114" t="str" cm="1">
        <f t="array" ref="B921">IFERROR(INDEX('03.Muestra'!$C$8:$C$42,SMALL(IF("Página Web"='03.Muestra'!$D$8:$D$42,ROW('03.Muestra'!$C$8:$C$42)-MIN(ROW('03.Muestra'!$D$8:$D$42))+1,""),ROW()-892)),"")</f>
        <v>Home - PortCastelló</v>
      </c>
      <c r="C921" s="114" t="str" cm="1">
        <f t="array" ref="C921">IFERROR(INDEX('03.Muestra'!$F$8:$F$42,SMALL(IF("Página Web"='03.Muestra'!$D$8:$D$42,ROW('03.Muestra'!$F$8:$F$42)-MIN(ROW('03.Muestra'!$D$8:$D$42))+1,""),ROW()-892)),"")</f>
        <v>https://www.portcastello.com/</v>
      </c>
      <c r="D921" s="130" t="s">
        <v>37</v>
      </c>
      <c r="E921" s="107" t="str">
        <f t="shared" si="46"/>
        <v/>
      </c>
      <c r="F921" s="124"/>
      <c r="G921" s="19"/>
      <c r="H921" s="19"/>
      <c r="I921" s="19"/>
      <c r="J921" s="19"/>
      <c r="K921" s="233"/>
      <c r="L921" s="19"/>
      <c r="M921" s="19"/>
      <c r="N921" s="19"/>
      <c r="O921" s="19"/>
      <c r="P921" s="19"/>
      <c r="Q921" s="19"/>
      <c r="R921" s="19"/>
      <c r="S921" s="19"/>
      <c r="T921" s="19"/>
      <c r="U921" s="19"/>
      <c r="V921" s="19"/>
      <c r="W921" s="19"/>
      <c r="X921" s="19"/>
      <c r="Y921" s="19"/>
    </row>
    <row r="922" spans="1:25" ht="12" customHeight="1">
      <c r="A922" s="219" t="n" cm="1">
        <f t="array" ref="A922">IFERROR(INDEX('03.Muestra'!$B$8:$B$42,SMALL(IF("Página Web"='03.Muestra'!$D$8:$D$42,ROW('03.Muestra'!$B$8:$B$42)-MIN(ROW('03.Muestra'!$D$8:$D$42))+1,""),ROW()-892)),"")</f>
        <v>1.0</v>
      </c>
      <c r="B922" s="114" t="str" cm="1">
        <f t="array" ref="B922">IFERROR(INDEX('03.Muestra'!$C$8:$C$42,SMALL(IF("Página Web"='03.Muestra'!$D$8:$D$42,ROW('03.Muestra'!$C$8:$C$42)-MIN(ROW('03.Muestra'!$D$8:$D$42))+1,""),ROW()-892)),"")</f>
        <v>Home - PortCastelló</v>
      </c>
      <c r="C922" s="114" t="str" cm="1">
        <f t="array" ref="C922">IFERROR(INDEX('03.Muestra'!$F$8:$F$42,SMALL(IF("Página Web"='03.Muestra'!$D$8:$D$42,ROW('03.Muestra'!$F$8:$F$42)-MIN(ROW('03.Muestra'!$D$8:$D$42))+1,""),ROW()-892)),"")</f>
        <v>https://www.portcastello.com/</v>
      </c>
      <c r="D922" s="130" t="s">
        <v>37</v>
      </c>
      <c r="E922" s="107" t="str">
        <f t="shared" si="46"/>
        <v/>
      </c>
      <c r="F922" s="124"/>
      <c r="G922" s="19"/>
      <c r="H922" s="19"/>
      <c r="I922" s="19"/>
      <c r="J922" s="19"/>
      <c r="K922" s="233"/>
      <c r="L922" s="19"/>
      <c r="M922" s="19"/>
      <c r="N922" s="19"/>
      <c r="O922" s="19"/>
      <c r="P922" s="19"/>
      <c r="Q922" s="19"/>
      <c r="R922" s="19"/>
      <c r="S922" s="19"/>
      <c r="T922" s="19"/>
      <c r="U922" s="19"/>
      <c r="V922" s="19"/>
      <c r="W922" s="19"/>
      <c r="X922" s="19"/>
      <c r="Y922" s="19"/>
    </row>
    <row r="923" spans="1:25" ht="12" customHeight="1">
      <c r="A923" s="219" t="n" cm="1">
        <f t="array" ref="A923">IFERROR(INDEX('03.Muestra'!$B$8:$B$42,SMALL(IF("Página Web"='03.Muestra'!$D$8:$D$42,ROW('03.Muestra'!$B$8:$B$42)-MIN(ROW('03.Muestra'!$D$8:$D$42))+1,""),ROW()-892)),"")</f>
        <v>1.0</v>
      </c>
      <c r="B923" s="114" t="str" cm="1">
        <f t="array" ref="B923">IFERROR(INDEX('03.Muestra'!$C$8:$C$42,SMALL(IF("Página Web"='03.Muestra'!$D$8:$D$42,ROW('03.Muestra'!$C$8:$C$42)-MIN(ROW('03.Muestra'!$D$8:$D$42))+1,""),ROW()-892)),"")</f>
        <v>Home - PortCastelló</v>
      </c>
      <c r="C923" s="114" t="str" cm="1">
        <f t="array" ref="C923">IFERROR(INDEX('03.Muestra'!$F$8:$F$42,SMALL(IF("Página Web"='03.Muestra'!$D$8:$D$42,ROW('03.Muestra'!$F$8:$F$42)-MIN(ROW('03.Muestra'!$D$8:$D$42))+1,""),ROW()-892)),"")</f>
        <v>https://www.portcastello.com/</v>
      </c>
      <c r="D923" s="130" t="s">
        <v>37</v>
      </c>
      <c r="E923" s="107" t="str">
        <f t="shared" si="46"/>
        <v/>
      </c>
      <c r="F923" s="124"/>
      <c r="G923" s="19"/>
      <c r="H923" s="19"/>
      <c r="I923" s="19"/>
      <c r="J923" s="19"/>
      <c r="K923" s="233"/>
      <c r="L923" s="19"/>
      <c r="M923" s="19"/>
      <c r="N923" s="19"/>
      <c r="O923" s="19"/>
      <c r="P923" s="19"/>
      <c r="Q923" s="19"/>
      <c r="R923" s="19"/>
      <c r="S923" s="19"/>
      <c r="T923" s="19"/>
      <c r="U923" s="19"/>
      <c r="V923" s="19"/>
      <c r="W923" s="19"/>
      <c r="X923" s="19"/>
      <c r="Y923" s="19"/>
    </row>
    <row r="924" spans="1:25" ht="12" customHeight="1">
      <c r="A924" s="219" t="n" cm="1">
        <f t="array" ref="A924">IFERROR(INDEX('03.Muestra'!$B$8:$B$42,SMALL(IF("Página Web"='03.Muestra'!$D$8:$D$42,ROW('03.Muestra'!$B$8:$B$42)-MIN(ROW('03.Muestra'!$D$8:$D$42))+1,""),ROW()-892)),"")</f>
        <v>1.0</v>
      </c>
      <c r="B924" s="114" t="str" cm="1">
        <f t="array" ref="B924">IFERROR(INDEX('03.Muestra'!$C$8:$C$42,SMALL(IF("Página Web"='03.Muestra'!$D$8:$D$42,ROW('03.Muestra'!$C$8:$C$42)-MIN(ROW('03.Muestra'!$D$8:$D$42))+1,""),ROW()-892)),"")</f>
        <v>Home - PortCastelló</v>
      </c>
      <c r="C924" s="114" t="str" cm="1">
        <f t="array" ref="C924">IFERROR(INDEX('03.Muestra'!$F$8:$F$42,SMALL(IF("Página Web"='03.Muestra'!$D$8:$D$42,ROW('03.Muestra'!$F$8:$F$42)-MIN(ROW('03.Muestra'!$D$8:$D$42))+1,""),ROW()-892)),"")</f>
        <v>https://www.portcastello.com/</v>
      </c>
      <c r="D924" s="130" t="s">
        <v>37</v>
      </c>
      <c r="E924" s="107" t="str">
        <f t="shared" si="46"/>
        <v/>
      </c>
      <c r="F924" s="124"/>
      <c r="G924" s="19"/>
      <c r="H924" s="19"/>
      <c r="I924" s="19"/>
      <c r="J924" s="19"/>
      <c r="K924" s="233"/>
      <c r="L924" s="19"/>
      <c r="M924" s="19"/>
      <c r="N924" s="19"/>
      <c r="O924" s="19"/>
      <c r="P924" s="19"/>
      <c r="Q924" s="19"/>
      <c r="R924" s="19"/>
      <c r="S924" s="19"/>
      <c r="T924" s="19"/>
      <c r="U924" s="19"/>
      <c r="V924" s="19"/>
      <c r="W924" s="19"/>
      <c r="X924" s="19"/>
      <c r="Y924" s="19"/>
    </row>
    <row r="925" spans="1:25" ht="12" customHeight="1">
      <c r="A925" s="219" t="n" cm="1">
        <f t="array" ref="A925">IFERROR(INDEX('03.Muestra'!$B$8:$B$42,SMALL(IF("Página Web"='03.Muestra'!$D$8:$D$42,ROW('03.Muestra'!$B$8:$B$42)-MIN(ROW('03.Muestra'!$D$8:$D$42))+1,""),ROW()-892)),"")</f>
        <v>1.0</v>
      </c>
      <c r="B925" s="114" t="str" cm="1">
        <f t="array" ref="B925">IFERROR(INDEX('03.Muestra'!$C$8:$C$42,SMALL(IF("Página Web"='03.Muestra'!$D$8:$D$42,ROW('03.Muestra'!$C$8:$C$42)-MIN(ROW('03.Muestra'!$D$8:$D$42))+1,""),ROW()-892)),"")</f>
        <v>Home - PortCastelló</v>
      </c>
      <c r="C925" s="114" t="str" cm="1">
        <f t="array" ref="C925">IFERROR(INDEX('03.Muestra'!$F$8:$F$42,SMALL(IF("Página Web"='03.Muestra'!$D$8:$D$42,ROW('03.Muestra'!$F$8:$F$42)-MIN(ROW('03.Muestra'!$D$8:$D$42))+1,""),ROW()-892)),"")</f>
        <v>https://www.portcastello.com/</v>
      </c>
      <c r="D925" s="130" t="s">
        <v>37</v>
      </c>
      <c r="E925" s="107" t="str">
        <f t="shared" si="46"/>
        <v/>
      </c>
      <c r="F925" s="124"/>
      <c r="G925" s="19"/>
      <c r="H925" s="19"/>
      <c r="I925" s="19"/>
      <c r="J925" s="19"/>
      <c r="K925" s="233"/>
      <c r="L925" s="19"/>
      <c r="M925" s="19"/>
      <c r="N925" s="19"/>
      <c r="O925" s="19"/>
      <c r="P925" s="19"/>
      <c r="Q925" s="19"/>
      <c r="R925" s="19"/>
      <c r="S925" s="19"/>
      <c r="T925" s="19"/>
      <c r="U925" s="19"/>
      <c r="V925" s="19"/>
      <c r="W925" s="19"/>
      <c r="X925" s="19"/>
      <c r="Y925" s="19"/>
    </row>
    <row r="926" spans="1:25" ht="12" customHeight="1">
      <c r="A926" s="219" t="str" cm="1">
        <f t="array" ref="A926">IFERROR(INDEX('03.Muestra'!$B$8:$B$42,SMALL(IF("Página Web"='03.Muestra'!$D$8:$D$42,ROW('03.Muestra'!$B$8:$B$42)-MIN(ROW('03.Muestra'!$D$8:$D$42))+1,""),ROW()-892)),"")</f>
        <v/>
      </c>
      <c r="B926" s="114" t="str" cm="1">
        <f t="array" ref="B926">IFERROR(INDEX('03.Muestra'!$C$8:$C$42,SMALL(IF("Página Web"='03.Muestra'!$D$8:$D$42,ROW('03.Muestra'!$C$8:$C$42)-MIN(ROW('03.Muestra'!$D$8:$D$42))+1,""),ROW()-892)),"")</f>
        <v/>
      </c>
      <c r="C926" s="114" t="str" cm="1">
        <f t="array" ref="C926">IFERROR(INDEX('03.Muestra'!$F$8:$F$42,SMALL(IF("Página Web"='03.Muestra'!$D$8:$D$42,ROW('03.Muestra'!$F$8:$F$42)-MIN(ROW('03.Muestra'!$D$8:$D$42))+1,""),ROW()-892)),"")</f>
        <v/>
      </c>
      <c r="D926" s="130" t="str">
        <f t="shared" si="47" ref="D926:D927">IF(AND(B926&lt;&gt;"",C926&lt;&gt;""),"N/T","")</f>
        <v/>
      </c>
      <c r="E926" s="107" t="str">
        <f t="shared" si="46"/>
        <v/>
      </c>
      <c r="F926" s="124"/>
      <c r="G926" s="19"/>
      <c r="H926" s="19"/>
      <c r="I926" s="19"/>
      <c r="J926" s="19"/>
      <c r="K926" s="233"/>
      <c r="L926" s="19"/>
      <c r="M926" s="19"/>
      <c r="N926" s="19"/>
      <c r="O926" s="19"/>
      <c r="P926" s="19"/>
      <c r="Q926" s="19"/>
      <c r="R926" s="19"/>
      <c r="S926" s="19"/>
      <c r="T926" s="19"/>
      <c r="U926" s="19"/>
      <c r="V926" s="19"/>
      <c r="W926" s="19"/>
      <c r="X926" s="19"/>
      <c r="Y926" s="19"/>
    </row>
    <row r="927" spans="1:25" ht="12" customHeight="1">
      <c r="A927" s="219" t="str" cm="1">
        <f t="array" ref="A927">IFERROR(INDEX('03.Muestra'!$B$8:$B$42,SMALL(IF("Página Web"='03.Muestra'!$D$8:$D$42,ROW('03.Muestra'!$B$8:$B$42)-MIN(ROW('03.Muestra'!$D$8:$D$42))+1,""),ROW()-892)),"")</f>
        <v/>
      </c>
      <c r="B927" s="114" t="str" cm="1">
        <f t="array" ref="B927">IFERROR(INDEX('03.Muestra'!$C$8:$C$42,SMALL(IF("Página Web"='03.Muestra'!$D$8:$D$42,ROW('03.Muestra'!$C$8:$C$42)-MIN(ROW('03.Muestra'!$D$8:$D$42))+1,""),ROW()-892)),"")</f>
        <v/>
      </c>
      <c r="C927" s="114" t="str" cm="1">
        <f t="array" ref="C927">IFERROR(INDEX('03.Muestra'!$F$8:$F$42,SMALL(IF("Página Web"='03.Muestra'!$D$8:$D$42,ROW('03.Muestra'!$F$8:$F$42)-MIN(ROW('03.Muestra'!$D$8:$D$42))+1,""),ROW()-892)),"")</f>
        <v/>
      </c>
      <c r="D927" s="130" t="str">
        <f t="shared" si="47"/>
        <v/>
      </c>
      <c r="E927" s="107" t="str">
        <f t="shared" si="46"/>
        <v/>
      </c>
      <c r="F927" s="19"/>
      <c r="G927" s="19"/>
      <c r="H927" s="19"/>
      <c r="I927" s="19"/>
      <c r="J927" s="19"/>
      <c r="K927" s="233"/>
      <c r="L927" s="19"/>
      <c r="M927" s="19"/>
      <c r="N927" s="19"/>
      <c r="O927" s="19"/>
      <c r="P927" s="19"/>
      <c r="Q927" s="19"/>
      <c r="R927" s="19"/>
      <c r="S927" s="19"/>
      <c r="T927" s="19"/>
      <c r="U927" s="19"/>
      <c r="V927" s="19"/>
      <c r="W927" s="19"/>
      <c r="X927" s="19"/>
      <c r="Y927" s="19"/>
    </row>
    <row r="928" spans="1:25" ht="12" customHeight="1">
      <c r="B928" s="19"/>
      <c r="C928" s="19"/>
      <c r="D928" s="107"/>
      <c r="E928" s="19"/>
      <c r="F928" s="19"/>
      <c r="G928" s="19"/>
      <c r="H928" s="19"/>
      <c r="I928" s="19"/>
      <c r="J928" s="19"/>
      <c r="K928" s="233"/>
      <c r="L928" s="19"/>
      <c r="M928" s="19"/>
      <c r="N928" s="19"/>
      <c r="O928" s="19"/>
      <c r="P928" s="19"/>
      <c r="Q928" s="19"/>
      <c r="R928" s="19"/>
      <c r="S928" s="19"/>
      <c r="T928" s="19"/>
      <c r="U928" s="19"/>
      <c r="V928" s="19"/>
      <c r="W928" s="19"/>
      <c r="X928" s="19"/>
      <c r="Y928" s="19"/>
    </row>
    <row r="929" spans="1:25" ht="12" customHeight="1">
      <c r="B929" s="126"/>
      <c r="C929" s="19"/>
      <c r="D929" s="107"/>
      <c r="E929" s="112"/>
      <c r="F929" s="19"/>
      <c r="G929" s="19"/>
      <c r="H929" s="19"/>
      <c r="I929" s="19"/>
      <c r="J929" s="19"/>
      <c r="K929" s="233"/>
      <c r="L929" s="19"/>
      <c r="M929" s="19"/>
      <c r="N929" s="19"/>
      <c r="O929" s="19"/>
      <c r="P929" s="19"/>
      <c r="Q929" s="19"/>
      <c r="R929" s="19"/>
      <c r="S929" s="19"/>
      <c r="T929" s="19"/>
      <c r="U929" s="19"/>
      <c r="V929" s="19"/>
      <c r="W929" s="19"/>
      <c r="X929" s="19"/>
      <c r="Y929" s="19"/>
    </row>
    <row r="930" spans="1:25" ht="29.25" customHeight="1">
      <c r="A930" s="218" t="s">
        <v>268</v>
      </c>
      <c r="B930" s="24" t="s">
        <v>90</v>
      </c>
      <c r="C930" s="25" t="s">
        <v>397</v>
      </c>
      <c r="D930" s="26" t="s">
        <v>32</v>
      </c>
      <c r="E930" s="123"/>
      <c r="K930" s="233"/>
      <c r="L930" s="19"/>
      <c r="M930" s="19"/>
      <c r="N930" s="19"/>
      <c r="O930" s="19"/>
      <c r="P930" s="19"/>
      <c r="Q930" s="19"/>
      <c r="R930" s="19"/>
      <c r="S930" s="19"/>
      <c r="T930" s="19"/>
      <c r="U930" s="19"/>
      <c r="V930" s="19"/>
      <c r="W930" s="19"/>
      <c r="X930" s="19"/>
      <c r="Y930" s="19"/>
    </row>
    <row r="931" spans="1:25" ht="12" customHeight="1">
      <c r="A931" s="219" t="n" cm="1">
        <f t="array" ref="A931">IFERROR(INDEX('03.Muestra'!$B$8:$B$42,SMALL(IF("Página Web"='03.Muestra'!$D$8:$D$42,ROW('03.Muestra'!$B$8:$B$42)-MIN(ROW('03.Muestra'!$D$8:$D$42))+1,""),ROW()-930)),"")</f>
        <v>1.0</v>
      </c>
      <c r="B931" s="114" t="str" cm="1">
        <f t="array" ref="B931">IFERROR(INDEX('03.Muestra'!$C$8:$C$42,SMALL(IF("Página Web"='03.Muestra'!$D$8:$D$42,ROW('03.Muestra'!$C$8:$C$42)-MIN(ROW('03.Muestra'!$D$8:$D$42))+1,""),ROW()-930)),"")</f>
        <v>Home - PortCastelló</v>
      </c>
      <c r="C931" s="114" t="str" cm="1">
        <f t="array" ref="C931">IFERROR(INDEX('03.Muestra'!$F$8:$F$42,SMALL(IF("Página Web"='03.Muestra'!$D$8:$D$42,ROW('03.Muestra'!$F$8:$F$42)-MIN(ROW('03.Muestra'!$D$8:$D$42))+1,""),ROW()-930)),"")</f>
        <v>https://www.portcastello.com/</v>
      </c>
      <c r="D931" s="130" t="str">
        <f>IF(AND(B931&lt;&gt;"",C931&lt;&gt;""),"N/T","")</f>
        <v>N/T</v>
      </c>
      <c r="E931" s="107" t="str">
        <f t="shared" ref="E931:E965" si="48">IF(D931&lt;&gt;"",IF(AND(B931&lt;&gt;"",C931&lt;&gt;""),"","ERR"),"")</f>
        <v/>
      </c>
      <c r="F931" s="115" t="s">
        <v>33</v>
      </c>
      <c r="G931" s="116" t="s">
        <v>37</v>
      </c>
      <c r="H931" s="117" t="s">
        <v>35</v>
      </c>
      <c r="I931" s="118" t="s">
        <v>28</v>
      </c>
      <c r="J931" s="119" t="s">
        <v>26</v>
      </c>
      <c r="K931" s="226" t="s">
        <v>474</v>
      </c>
      <c r="L931" s="19"/>
      <c r="M931" s="19"/>
      <c r="N931" s="19"/>
      <c r="O931" s="19"/>
      <c r="P931" s="19"/>
      <c r="Q931" s="19"/>
      <c r="R931" s="19"/>
      <c r="S931" s="19"/>
      <c r="T931" s="19"/>
      <c r="U931" s="19"/>
      <c r="V931" s="19"/>
      <c r="W931" s="19"/>
      <c r="X931" s="19"/>
      <c r="Y931" s="19"/>
    </row>
    <row r="932" spans="1:25" ht="12" customHeight="1">
      <c r="A932" s="219" t="n" cm="1">
        <f t="array" ref="A932">IFERROR(INDEX('03.Muestra'!$B$8:$B$42,SMALL(IF("Página Web"='03.Muestra'!$D$8:$D$42,ROW('03.Muestra'!$B$8:$B$42)-MIN(ROW('03.Muestra'!$D$8:$D$42))+1,""),ROW()-930)),"")</f>
        <v>1.0</v>
      </c>
      <c r="B932" s="114" t="str" cm="1">
        <f t="array" ref="B932">IFERROR(INDEX('03.Muestra'!$C$8:$C$42,SMALL(IF("Página Web"='03.Muestra'!$D$8:$D$42,ROW('03.Muestra'!$C$8:$C$42)-MIN(ROW('03.Muestra'!$D$8:$D$42))+1,""),ROW()-930)),"")</f>
        <v>Home - PortCastelló</v>
      </c>
      <c r="C932" s="114" t="str" cm="1">
        <f t="array" ref="C932">IFERROR(INDEX('03.Muestra'!$F$8:$F$42,SMALL(IF("Página Web"='03.Muestra'!$D$8:$D$42,ROW('03.Muestra'!$F$8:$F$42)-MIN(ROW('03.Muestra'!$D$8:$D$42))+1,""),ROW()-930)),"")</f>
        <v>https://www.portcastello.com/</v>
      </c>
      <c r="D932" s="130" t="str">
        <f t="shared" ref="D932:D965" si="49">IF(AND(B932&lt;&gt;"",C932&lt;&gt;""),"N/T","")</f>
        <v>N/T</v>
      </c>
      <c r="E932" s="107" t="str">
        <f t="shared" si="48"/>
        <v/>
      </c>
      <c r="F932" s="120" t="n">
        <f ca="1">COUNTIF($D931:INDIRECT("$D" &amp;  SUM(ROW()-1,'03.Muestra'!$D$45)-1),F931)</f>
        <v>33.0</v>
      </c>
      <c r="G932" s="120" t="n">
        <f ca="1">COUNTIF($D931:INDIRECT("$D" &amp;  SUM(ROW()-1,'03.Muestra'!$D$45)-1),G931)</f>
        <v>0.0</v>
      </c>
      <c r="H932" s="120" t="n">
        <f ca="1">COUNTIF($D931:INDIRECT("$D" &amp;  SUM(ROW()-1,'03.Muestra'!$D$45)-1),H931)</f>
        <v>0.0</v>
      </c>
      <c r="I932" s="120" t="n">
        <f ca="1">COUNTIF($D931:INDIRECT("$D" &amp;  SUM(ROW()-1,'03.Muestra'!$D$45)-1),I931)</f>
        <v>0.0</v>
      </c>
      <c r="J932" s="120" t="n">
        <f ca="1">COUNTIF($D931:INDIRECT("$D" &amp;  SUM(ROW()-1,'03.Muestra'!$D$45)-1),J931)</f>
        <v>0.0</v>
      </c>
      <c r="K932" s="227" t="n">
        <f ca="1">IF(COUNTIF('03.Muestra'!$D$8:$D$42,"Página Web")=0,0,COUNTBLANK($D931:INDIRECT("$D" &amp;  SUM(ROW()-1,COUNTIF('03.Muestra'!$D$8:$D$42,"Página Web"))-1)))</f>
        <v>0.0</v>
      </c>
      <c r="L932" s="19"/>
      <c r="M932" s="19"/>
      <c r="N932" s="19"/>
      <c r="O932" s="19"/>
      <c r="P932" s="19"/>
      <c r="Q932" s="19"/>
      <c r="R932" s="19"/>
      <c r="S932" s="19"/>
      <c r="T932" s="19"/>
      <c r="U932" s="19"/>
      <c r="V932" s="19"/>
      <c r="W932" s="19"/>
      <c r="X932" s="19"/>
      <c r="Y932" s="19"/>
    </row>
    <row r="933" spans="1:25" ht="12" customHeight="1">
      <c r="A933" s="219" t="n" cm="1">
        <f t="array" ref="A933">IFERROR(INDEX('03.Muestra'!$B$8:$B$42,SMALL(IF("Página Web"='03.Muestra'!$D$8:$D$42,ROW('03.Muestra'!$B$8:$B$42)-MIN(ROW('03.Muestra'!$D$8:$D$42))+1,""),ROW()-930)),"")</f>
        <v>1.0</v>
      </c>
      <c r="B933" s="114" t="str" cm="1">
        <f t="array" ref="B933">IFERROR(INDEX('03.Muestra'!$C$8:$C$42,SMALL(IF("Página Web"='03.Muestra'!$D$8:$D$42,ROW('03.Muestra'!$C$8:$C$42)-MIN(ROW('03.Muestra'!$D$8:$D$42))+1,""),ROW()-930)),"")</f>
        <v>Home - PortCastelló</v>
      </c>
      <c r="C933" s="114" t="str" cm="1">
        <f t="array" ref="C933">IFERROR(INDEX('03.Muestra'!$F$8:$F$42,SMALL(IF("Página Web"='03.Muestra'!$D$8:$D$42,ROW('03.Muestra'!$F$8:$F$42)-MIN(ROW('03.Muestra'!$D$8:$D$42))+1,""),ROW()-930)),"")</f>
        <v>https://www.portcastello.com/</v>
      </c>
      <c r="D933" s="130" t="str">
        <f t="shared" si="49"/>
        <v>N/T</v>
      </c>
      <c r="E933" s="107" t="str">
        <f t="shared" si="48"/>
        <v/>
      </c>
      <c r="G933" s="19"/>
      <c r="H933" s="19"/>
      <c r="I933" s="19"/>
      <c r="J933" s="19"/>
      <c r="K933" s="233"/>
      <c r="L933" s="19"/>
      <c r="M933" s="19"/>
      <c r="N933" s="19"/>
      <c r="O933" s="19"/>
      <c r="P933" s="19"/>
      <c r="Q933" s="19"/>
      <c r="R933" s="19"/>
      <c r="S933" s="19"/>
      <c r="T933" s="19"/>
      <c r="U933" s="19"/>
      <c r="V933" s="19"/>
      <c r="W933" s="19"/>
      <c r="X933" s="19"/>
      <c r="Y933" s="19"/>
    </row>
    <row r="934" spans="1:25" ht="12" customHeight="1">
      <c r="A934" s="219" t="n" cm="1">
        <f t="array" ref="A934">IFERROR(INDEX('03.Muestra'!$B$8:$B$42,SMALL(IF("Página Web"='03.Muestra'!$D$8:$D$42,ROW('03.Muestra'!$B$8:$B$42)-MIN(ROW('03.Muestra'!$D$8:$D$42))+1,""),ROW()-930)),"")</f>
        <v>1.0</v>
      </c>
      <c r="B934" s="114" t="str" cm="1">
        <f t="array" ref="B934">IFERROR(INDEX('03.Muestra'!$C$8:$C$42,SMALL(IF("Página Web"='03.Muestra'!$D$8:$D$42,ROW('03.Muestra'!$C$8:$C$42)-MIN(ROW('03.Muestra'!$D$8:$D$42))+1,""),ROW()-930)),"")</f>
        <v>Home - PortCastelló</v>
      </c>
      <c r="C934" s="114" t="str" cm="1">
        <f t="array" ref="C934">IFERROR(INDEX('03.Muestra'!$F$8:$F$42,SMALL(IF("Página Web"='03.Muestra'!$D$8:$D$42,ROW('03.Muestra'!$F$8:$F$42)-MIN(ROW('03.Muestra'!$D$8:$D$42))+1,""),ROW()-930)),"")</f>
        <v>https://www.portcastello.com/</v>
      </c>
      <c r="D934" s="130" t="str">
        <f t="shared" si="49"/>
        <v>N/T</v>
      </c>
      <c r="E934" s="107" t="str">
        <f t="shared" si="48"/>
        <v/>
      </c>
      <c r="G934" s="19"/>
      <c r="H934" s="19"/>
      <c r="I934" s="19"/>
      <c r="J934" s="19"/>
      <c r="K934" s="233"/>
      <c r="L934" s="19"/>
      <c r="M934" s="19"/>
      <c r="N934" s="19"/>
      <c r="O934" s="19"/>
      <c r="P934" s="19"/>
      <c r="Q934" s="19"/>
      <c r="R934" s="19"/>
      <c r="S934" s="19"/>
      <c r="T934" s="19"/>
      <c r="U934" s="19"/>
      <c r="V934" s="19"/>
      <c r="W934" s="19"/>
      <c r="X934" s="19"/>
      <c r="Y934" s="19"/>
    </row>
    <row r="935" spans="1:25" ht="12" customHeight="1">
      <c r="A935" s="219" t="n" cm="1">
        <f t="array" ref="A935">IFERROR(INDEX('03.Muestra'!$B$8:$B$42,SMALL(IF("Página Web"='03.Muestra'!$D$8:$D$42,ROW('03.Muestra'!$B$8:$B$42)-MIN(ROW('03.Muestra'!$D$8:$D$42))+1,""),ROW()-930)),"")</f>
        <v>1.0</v>
      </c>
      <c r="B935" s="114" t="str" cm="1">
        <f t="array" ref="B935">IFERROR(INDEX('03.Muestra'!$C$8:$C$42,SMALL(IF("Página Web"='03.Muestra'!$D$8:$D$42,ROW('03.Muestra'!$C$8:$C$42)-MIN(ROW('03.Muestra'!$D$8:$D$42))+1,""),ROW()-930)),"")</f>
        <v>Home - PortCastelló</v>
      </c>
      <c r="C935" s="114" t="str" cm="1">
        <f t="array" ref="C935">IFERROR(INDEX('03.Muestra'!$F$8:$F$42,SMALL(IF("Página Web"='03.Muestra'!$D$8:$D$42,ROW('03.Muestra'!$F$8:$F$42)-MIN(ROW('03.Muestra'!$D$8:$D$42))+1,""),ROW()-930)),"")</f>
        <v>https://www.portcastello.com/</v>
      </c>
      <c r="D935" s="130" t="str">
        <f t="shared" si="49"/>
        <v>N/T</v>
      </c>
      <c r="E935" s="107" t="str">
        <f t="shared" si="48"/>
        <v/>
      </c>
      <c r="G935" s="19"/>
      <c r="H935" s="19"/>
      <c r="I935" s="19"/>
      <c r="J935" s="19"/>
      <c r="K935" s="233"/>
      <c r="L935" s="19"/>
      <c r="M935" s="19"/>
      <c r="N935" s="19"/>
      <c r="O935" s="19"/>
      <c r="P935" s="19"/>
      <c r="Q935" s="19"/>
      <c r="R935" s="19"/>
      <c r="S935" s="19"/>
      <c r="T935" s="19"/>
      <c r="U935" s="19"/>
      <c r="V935" s="19"/>
      <c r="W935" s="19"/>
      <c r="X935" s="19"/>
      <c r="Y935" s="19"/>
    </row>
    <row r="936" spans="1:25" ht="12" customHeight="1">
      <c r="A936" s="219" t="n" cm="1">
        <f t="array" ref="A936">IFERROR(INDEX('03.Muestra'!$B$8:$B$42,SMALL(IF("Página Web"='03.Muestra'!$D$8:$D$42,ROW('03.Muestra'!$B$8:$B$42)-MIN(ROW('03.Muestra'!$D$8:$D$42))+1,""),ROW()-930)),"")</f>
        <v>1.0</v>
      </c>
      <c r="B936" s="114" t="str" cm="1">
        <f t="array" ref="B936">IFERROR(INDEX('03.Muestra'!$C$8:$C$42,SMALL(IF("Página Web"='03.Muestra'!$D$8:$D$42,ROW('03.Muestra'!$C$8:$C$42)-MIN(ROW('03.Muestra'!$D$8:$D$42))+1,""),ROW()-930)),"")</f>
        <v>Home - PortCastelló</v>
      </c>
      <c r="C936" s="114" t="str" cm="1">
        <f t="array" ref="C936">IFERROR(INDEX('03.Muestra'!$F$8:$F$42,SMALL(IF("Página Web"='03.Muestra'!$D$8:$D$42,ROW('03.Muestra'!$F$8:$F$42)-MIN(ROW('03.Muestra'!$D$8:$D$42))+1,""),ROW()-930)),"")</f>
        <v>https://www.portcastello.com/</v>
      </c>
      <c r="D936" s="130" t="str">
        <f t="shared" si="49"/>
        <v>N/T</v>
      </c>
      <c r="E936" s="107" t="str">
        <f t="shared" si="48"/>
        <v/>
      </c>
      <c r="G936" s="19"/>
      <c r="H936" s="19"/>
      <c r="I936" s="19"/>
      <c r="J936" s="19"/>
      <c r="K936" s="233"/>
      <c r="L936" s="19"/>
      <c r="M936" s="19"/>
      <c r="N936" s="19"/>
      <c r="O936" s="19"/>
      <c r="P936" s="19"/>
      <c r="Q936" s="19"/>
      <c r="R936" s="19"/>
      <c r="S936" s="19"/>
      <c r="T936" s="19"/>
      <c r="U936" s="19"/>
      <c r="V936" s="19"/>
      <c r="W936" s="19"/>
      <c r="X936" s="19"/>
      <c r="Y936" s="19"/>
    </row>
    <row r="937" spans="1:25" ht="12" customHeight="1">
      <c r="A937" s="219" t="n" cm="1">
        <f t="array" ref="A937">IFERROR(INDEX('03.Muestra'!$B$8:$B$42,SMALL(IF("Página Web"='03.Muestra'!$D$8:$D$42,ROW('03.Muestra'!$B$8:$B$42)-MIN(ROW('03.Muestra'!$D$8:$D$42))+1,""),ROW()-930)),"")</f>
        <v>1.0</v>
      </c>
      <c r="B937" s="114" t="str" cm="1">
        <f t="array" ref="B937">IFERROR(INDEX('03.Muestra'!$C$8:$C$42,SMALL(IF("Página Web"='03.Muestra'!$D$8:$D$42,ROW('03.Muestra'!$C$8:$C$42)-MIN(ROW('03.Muestra'!$D$8:$D$42))+1,""),ROW()-930)),"")</f>
        <v>Home - PortCastelló</v>
      </c>
      <c r="C937" s="114" t="str" cm="1">
        <f t="array" ref="C937">IFERROR(INDEX('03.Muestra'!$F$8:$F$42,SMALL(IF("Página Web"='03.Muestra'!$D$8:$D$42,ROW('03.Muestra'!$F$8:$F$42)-MIN(ROW('03.Muestra'!$D$8:$D$42))+1,""),ROW()-930)),"")</f>
        <v>https://www.portcastello.com/</v>
      </c>
      <c r="D937" s="130" t="str">
        <f t="shared" si="49"/>
        <v>N/T</v>
      </c>
      <c r="E937" s="107" t="str">
        <f t="shared" si="48"/>
        <v/>
      </c>
      <c r="F937" s="19"/>
      <c r="G937" s="19"/>
      <c r="H937" s="19"/>
      <c r="I937" s="19"/>
      <c r="J937" s="19"/>
      <c r="K937" s="233"/>
      <c r="L937" s="19"/>
      <c r="M937" s="19"/>
      <c r="N937" s="19"/>
      <c r="O937" s="19"/>
      <c r="P937" s="19"/>
      <c r="Q937" s="19"/>
      <c r="R937" s="19"/>
      <c r="S937" s="19"/>
      <c r="T937" s="19"/>
      <c r="U937" s="19"/>
      <c r="V937" s="19"/>
      <c r="W937" s="19"/>
      <c r="X937" s="19"/>
      <c r="Y937" s="19"/>
    </row>
    <row r="938" spans="1:25" ht="12" customHeight="1">
      <c r="A938" s="219" t="n" cm="1">
        <f t="array" ref="A938">IFERROR(INDEX('03.Muestra'!$B$8:$B$42,SMALL(IF("Página Web"='03.Muestra'!$D$8:$D$42,ROW('03.Muestra'!$B$8:$B$42)-MIN(ROW('03.Muestra'!$D$8:$D$42))+1,""),ROW()-930)),"")</f>
        <v>1.0</v>
      </c>
      <c r="B938" s="114" t="str" cm="1">
        <f t="array" ref="B938">IFERROR(INDEX('03.Muestra'!$C$8:$C$42,SMALL(IF("Página Web"='03.Muestra'!$D$8:$D$42,ROW('03.Muestra'!$C$8:$C$42)-MIN(ROW('03.Muestra'!$D$8:$D$42))+1,""),ROW()-930)),"")</f>
        <v>Home - PortCastelló</v>
      </c>
      <c r="C938" s="114" t="str" cm="1">
        <f t="array" ref="C938">IFERROR(INDEX('03.Muestra'!$F$8:$F$42,SMALL(IF("Página Web"='03.Muestra'!$D$8:$D$42,ROW('03.Muestra'!$F$8:$F$42)-MIN(ROW('03.Muestra'!$D$8:$D$42))+1,""),ROW()-930)),"")</f>
        <v>https://www.portcastello.com/</v>
      </c>
      <c r="D938" s="130" t="str">
        <f t="shared" si="49"/>
        <v>N/T</v>
      </c>
      <c r="E938" s="107" t="str">
        <f t="shared" si="48"/>
        <v/>
      </c>
      <c r="F938" s="19"/>
      <c r="G938" s="19"/>
      <c r="H938" s="19"/>
      <c r="I938" s="19"/>
      <c r="J938" s="19"/>
      <c r="K938" s="233"/>
      <c r="L938" s="19"/>
      <c r="M938" s="19"/>
      <c r="N938" s="19"/>
      <c r="O938" s="19"/>
      <c r="P938" s="19"/>
      <c r="Q938" s="19"/>
      <c r="R938" s="19"/>
      <c r="S938" s="19"/>
      <c r="T938" s="19"/>
      <c r="U938" s="19"/>
      <c r="V938" s="19"/>
      <c r="W938" s="19"/>
      <c r="X938" s="19"/>
      <c r="Y938" s="19"/>
    </row>
    <row r="939" spans="1:25" ht="12" customHeight="1">
      <c r="A939" s="219" t="n" cm="1">
        <f t="array" ref="A939">IFERROR(INDEX('03.Muestra'!$B$8:$B$42,SMALL(IF("Página Web"='03.Muestra'!$D$8:$D$42,ROW('03.Muestra'!$B$8:$B$42)-MIN(ROW('03.Muestra'!$D$8:$D$42))+1,""),ROW()-930)),"")</f>
        <v>1.0</v>
      </c>
      <c r="B939" s="114" t="str" cm="1">
        <f t="array" ref="B939">IFERROR(INDEX('03.Muestra'!$C$8:$C$42,SMALL(IF("Página Web"='03.Muestra'!$D$8:$D$42,ROW('03.Muestra'!$C$8:$C$42)-MIN(ROW('03.Muestra'!$D$8:$D$42))+1,""),ROW()-930)),"")</f>
        <v>Home - PortCastelló</v>
      </c>
      <c r="C939" s="114" t="str" cm="1">
        <f t="array" ref="C939">IFERROR(INDEX('03.Muestra'!$F$8:$F$42,SMALL(IF("Página Web"='03.Muestra'!$D$8:$D$42,ROW('03.Muestra'!$F$8:$F$42)-MIN(ROW('03.Muestra'!$D$8:$D$42))+1,""),ROW()-930)),"")</f>
        <v>https://www.portcastello.com/</v>
      </c>
      <c r="D939" s="130" t="str">
        <f t="shared" si="49"/>
        <v>N/T</v>
      </c>
      <c r="E939" s="107" t="str">
        <f t="shared" si="48"/>
        <v/>
      </c>
      <c r="F939" s="19"/>
      <c r="G939" s="19"/>
      <c r="H939" s="19"/>
      <c r="I939" s="19"/>
      <c r="J939" s="19"/>
      <c r="K939" s="233"/>
      <c r="L939" s="19"/>
      <c r="M939" s="19"/>
      <c r="N939" s="19"/>
      <c r="O939" s="19"/>
      <c r="P939" s="19"/>
      <c r="Q939" s="19"/>
      <c r="R939" s="19"/>
      <c r="S939" s="19"/>
      <c r="T939" s="19"/>
      <c r="U939" s="19"/>
      <c r="V939" s="19"/>
      <c r="W939" s="19"/>
      <c r="X939" s="19"/>
      <c r="Y939" s="19"/>
    </row>
    <row r="940" spans="1:25" ht="12" customHeight="1">
      <c r="A940" s="219" t="n" cm="1">
        <f t="array" ref="A940">IFERROR(INDEX('03.Muestra'!$B$8:$B$42,SMALL(IF("Página Web"='03.Muestra'!$D$8:$D$42,ROW('03.Muestra'!$B$8:$B$42)-MIN(ROW('03.Muestra'!$D$8:$D$42))+1,""),ROW()-930)),"")</f>
        <v>1.0</v>
      </c>
      <c r="B940" s="114" t="str" cm="1">
        <f t="array" ref="B940">IFERROR(INDEX('03.Muestra'!$C$8:$C$42,SMALL(IF("Página Web"='03.Muestra'!$D$8:$D$42,ROW('03.Muestra'!$C$8:$C$42)-MIN(ROW('03.Muestra'!$D$8:$D$42))+1,""),ROW()-930)),"")</f>
        <v>Home - PortCastelló</v>
      </c>
      <c r="C940" s="114" t="str" cm="1">
        <f t="array" ref="C940">IFERROR(INDEX('03.Muestra'!$F$8:$F$42,SMALL(IF("Página Web"='03.Muestra'!$D$8:$D$42,ROW('03.Muestra'!$F$8:$F$42)-MIN(ROW('03.Muestra'!$D$8:$D$42))+1,""),ROW()-930)),"")</f>
        <v>https://www.portcastello.com/</v>
      </c>
      <c r="D940" s="130" t="str">
        <f t="shared" si="49"/>
        <v>N/T</v>
      </c>
      <c r="E940" s="107" t="str">
        <f t="shared" si="48"/>
        <v/>
      </c>
      <c r="F940" s="19"/>
      <c r="G940" s="19"/>
      <c r="H940" s="19"/>
      <c r="I940" s="19"/>
      <c r="J940" s="19"/>
      <c r="K940" s="233"/>
      <c r="L940" s="19"/>
      <c r="M940" s="19"/>
      <c r="N940" s="19"/>
      <c r="O940" s="19"/>
      <c r="P940" s="19"/>
      <c r="Q940" s="19"/>
      <c r="R940" s="19"/>
      <c r="S940" s="19"/>
      <c r="T940" s="19"/>
      <c r="U940" s="19"/>
      <c r="V940" s="19"/>
      <c r="W940" s="19"/>
      <c r="X940" s="19"/>
      <c r="Y940" s="19"/>
    </row>
    <row r="941" spans="1:25" ht="12" customHeight="1">
      <c r="A941" s="219" t="n" cm="1">
        <f t="array" ref="A941">IFERROR(INDEX('03.Muestra'!$B$8:$B$42,SMALL(IF("Página Web"='03.Muestra'!$D$8:$D$42,ROW('03.Muestra'!$B$8:$B$42)-MIN(ROW('03.Muestra'!$D$8:$D$42))+1,""),ROW()-930)),"")</f>
        <v>1.0</v>
      </c>
      <c r="B941" s="114" t="str" cm="1">
        <f t="array" ref="B941">IFERROR(INDEX('03.Muestra'!$C$8:$C$42,SMALL(IF("Página Web"='03.Muestra'!$D$8:$D$42,ROW('03.Muestra'!$C$8:$C$42)-MIN(ROW('03.Muestra'!$D$8:$D$42))+1,""),ROW()-930)),"")</f>
        <v>Home - PortCastelló</v>
      </c>
      <c r="C941" s="114" t="str" cm="1">
        <f t="array" ref="C941">IFERROR(INDEX('03.Muestra'!$F$8:$F$42,SMALL(IF("Página Web"='03.Muestra'!$D$8:$D$42,ROW('03.Muestra'!$F$8:$F$42)-MIN(ROW('03.Muestra'!$D$8:$D$42))+1,""),ROW()-930)),"")</f>
        <v>https://www.portcastello.com/</v>
      </c>
      <c r="D941" s="130" t="str">
        <f t="shared" si="49"/>
        <v>N/T</v>
      </c>
      <c r="E941" s="107" t="str">
        <f t="shared" si="48"/>
        <v/>
      </c>
      <c r="F941" s="19"/>
      <c r="G941" s="19"/>
      <c r="H941" s="19"/>
      <c r="I941" s="19"/>
      <c r="J941" s="19"/>
      <c r="K941" s="233"/>
      <c r="L941" s="19"/>
      <c r="M941" s="19"/>
      <c r="N941" s="19"/>
      <c r="O941" s="19"/>
      <c r="P941" s="19"/>
      <c r="Q941" s="19"/>
      <c r="R941" s="19"/>
      <c r="S941" s="19"/>
      <c r="T941" s="19"/>
      <c r="U941" s="19"/>
      <c r="V941" s="19"/>
      <c r="W941" s="19"/>
      <c r="X941" s="19"/>
      <c r="Y941" s="19"/>
    </row>
    <row r="942" spans="1:25" ht="12" customHeight="1">
      <c r="A942" s="219" t="n" cm="1">
        <f t="array" ref="A942">IFERROR(INDEX('03.Muestra'!$B$8:$B$42,SMALL(IF("Página Web"='03.Muestra'!$D$8:$D$42,ROW('03.Muestra'!$B$8:$B$42)-MIN(ROW('03.Muestra'!$D$8:$D$42))+1,""),ROW()-930)),"")</f>
        <v>1.0</v>
      </c>
      <c r="B942" s="114" t="str" cm="1">
        <f t="array" ref="B942">IFERROR(INDEX('03.Muestra'!$C$8:$C$42,SMALL(IF("Página Web"='03.Muestra'!$D$8:$D$42,ROW('03.Muestra'!$C$8:$C$42)-MIN(ROW('03.Muestra'!$D$8:$D$42))+1,""),ROW()-930)),"")</f>
        <v>Home - PortCastelló</v>
      </c>
      <c r="C942" s="114" t="str" cm="1">
        <f t="array" ref="C942">IFERROR(INDEX('03.Muestra'!$F$8:$F$42,SMALL(IF("Página Web"='03.Muestra'!$D$8:$D$42,ROW('03.Muestra'!$F$8:$F$42)-MIN(ROW('03.Muestra'!$D$8:$D$42))+1,""),ROW()-930)),"")</f>
        <v>https://www.portcastello.com/</v>
      </c>
      <c r="D942" s="130" t="str">
        <f t="shared" si="49"/>
        <v>N/T</v>
      </c>
      <c r="E942" s="107" t="str">
        <f t="shared" si="48"/>
        <v/>
      </c>
      <c r="F942" s="19"/>
      <c r="G942" s="19"/>
      <c r="H942" s="19"/>
      <c r="I942" s="19"/>
      <c r="J942" s="19"/>
      <c r="K942" s="233"/>
      <c r="L942" s="19"/>
      <c r="M942" s="19"/>
      <c r="N942" s="19"/>
      <c r="O942" s="19"/>
      <c r="P942" s="19"/>
      <c r="Q942" s="19"/>
      <c r="R942" s="19"/>
      <c r="S942" s="19"/>
      <c r="T942" s="19"/>
      <c r="U942" s="19"/>
      <c r="V942" s="19"/>
      <c r="W942" s="19"/>
      <c r="X942" s="19"/>
      <c r="Y942" s="19"/>
    </row>
    <row r="943" spans="1:25" ht="12" customHeight="1">
      <c r="A943" s="219" t="n" cm="1">
        <f t="array" ref="A943">IFERROR(INDEX('03.Muestra'!$B$8:$B$42,SMALL(IF("Página Web"='03.Muestra'!$D$8:$D$42,ROW('03.Muestra'!$B$8:$B$42)-MIN(ROW('03.Muestra'!$D$8:$D$42))+1,""),ROW()-930)),"")</f>
        <v>1.0</v>
      </c>
      <c r="B943" s="114" t="str" cm="1">
        <f t="array" ref="B943">IFERROR(INDEX('03.Muestra'!$C$8:$C$42,SMALL(IF("Página Web"='03.Muestra'!$D$8:$D$42,ROW('03.Muestra'!$C$8:$C$42)-MIN(ROW('03.Muestra'!$D$8:$D$42))+1,""),ROW()-930)),"")</f>
        <v>Home - PortCastelló</v>
      </c>
      <c r="C943" s="114" t="str" cm="1">
        <f t="array" ref="C943">IFERROR(INDEX('03.Muestra'!$F$8:$F$42,SMALL(IF("Página Web"='03.Muestra'!$D$8:$D$42,ROW('03.Muestra'!$F$8:$F$42)-MIN(ROW('03.Muestra'!$D$8:$D$42))+1,""),ROW()-930)),"")</f>
        <v>https://www.portcastello.com/</v>
      </c>
      <c r="D943" s="130" t="str">
        <f t="shared" si="49"/>
        <v>N/T</v>
      </c>
      <c r="E943" s="107" t="str">
        <f t="shared" si="48"/>
        <v/>
      </c>
      <c r="F943" s="19"/>
      <c r="G943" s="19"/>
      <c r="H943" s="19"/>
      <c r="I943" s="19"/>
      <c r="J943" s="19"/>
      <c r="K943" s="233"/>
      <c r="L943" s="19"/>
      <c r="M943" s="19"/>
      <c r="N943" s="19"/>
      <c r="O943" s="19"/>
      <c r="P943" s="19"/>
      <c r="Q943" s="19"/>
      <c r="R943" s="19"/>
      <c r="S943" s="19"/>
      <c r="T943" s="19"/>
      <c r="U943" s="19"/>
      <c r="V943" s="19"/>
      <c r="W943" s="19"/>
      <c r="X943" s="19"/>
      <c r="Y943" s="19"/>
    </row>
    <row r="944" spans="1:25" ht="12" customHeight="1">
      <c r="A944" s="219" t="n" cm="1">
        <f t="array" ref="A944">IFERROR(INDEX('03.Muestra'!$B$8:$B$42,SMALL(IF("Página Web"='03.Muestra'!$D$8:$D$42,ROW('03.Muestra'!$B$8:$B$42)-MIN(ROW('03.Muestra'!$D$8:$D$42))+1,""),ROW()-930)),"")</f>
        <v>1.0</v>
      </c>
      <c r="B944" s="114" t="str" cm="1">
        <f t="array" ref="B944">IFERROR(INDEX('03.Muestra'!$C$8:$C$42,SMALL(IF("Página Web"='03.Muestra'!$D$8:$D$42,ROW('03.Muestra'!$C$8:$C$42)-MIN(ROW('03.Muestra'!$D$8:$D$42))+1,""),ROW()-930)),"")</f>
        <v>Home - PortCastelló</v>
      </c>
      <c r="C944" s="114" t="str" cm="1">
        <f t="array" ref="C944">IFERROR(INDEX('03.Muestra'!$F$8:$F$42,SMALL(IF("Página Web"='03.Muestra'!$D$8:$D$42,ROW('03.Muestra'!$F$8:$F$42)-MIN(ROW('03.Muestra'!$D$8:$D$42))+1,""),ROW()-930)),"")</f>
        <v>https://www.portcastello.com/</v>
      </c>
      <c r="D944" s="130" t="str">
        <f t="shared" si="49"/>
        <v>N/T</v>
      </c>
      <c r="E944" s="107" t="str">
        <f t="shared" si="48"/>
        <v/>
      </c>
      <c r="F944" s="19"/>
      <c r="G944" s="19"/>
      <c r="H944" s="19"/>
      <c r="I944" s="19"/>
      <c r="J944" s="19"/>
      <c r="K944" s="233"/>
      <c r="L944" s="19"/>
      <c r="M944" s="19"/>
      <c r="N944" s="19"/>
      <c r="O944" s="19"/>
      <c r="P944" s="19"/>
      <c r="Q944" s="19"/>
      <c r="R944" s="19"/>
      <c r="S944" s="19"/>
      <c r="T944" s="19"/>
      <c r="U944" s="19"/>
      <c r="V944" s="19"/>
      <c r="W944" s="19"/>
      <c r="X944" s="19"/>
      <c r="Y944" s="19"/>
    </row>
    <row r="945" spans="1:25" ht="12" customHeight="1">
      <c r="A945" s="219" t="n" cm="1">
        <f t="array" ref="A945">IFERROR(INDEX('03.Muestra'!$B$8:$B$42,SMALL(IF("Página Web"='03.Muestra'!$D$8:$D$42,ROW('03.Muestra'!$B$8:$B$42)-MIN(ROW('03.Muestra'!$D$8:$D$42))+1,""),ROW()-930)),"")</f>
        <v>1.0</v>
      </c>
      <c r="B945" s="114" t="str" cm="1">
        <f t="array" ref="B945">IFERROR(INDEX('03.Muestra'!$C$8:$C$42,SMALL(IF("Página Web"='03.Muestra'!$D$8:$D$42,ROW('03.Muestra'!$C$8:$C$42)-MIN(ROW('03.Muestra'!$D$8:$D$42))+1,""),ROW()-930)),"")</f>
        <v>Home - PortCastelló</v>
      </c>
      <c r="C945" s="114" t="str" cm="1">
        <f t="array" ref="C945">IFERROR(INDEX('03.Muestra'!$F$8:$F$42,SMALL(IF("Página Web"='03.Muestra'!$D$8:$D$42,ROW('03.Muestra'!$F$8:$F$42)-MIN(ROW('03.Muestra'!$D$8:$D$42))+1,""),ROW()-930)),"")</f>
        <v>https://www.portcastello.com/</v>
      </c>
      <c r="D945" s="130" t="str">
        <f t="shared" si="49"/>
        <v>N/T</v>
      </c>
      <c r="E945" s="107" t="str">
        <f t="shared" si="48"/>
        <v/>
      </c>
      <c r="F945" s="19"/>
      <c r="G945" s="19"/>
      <c r="H945" s="19"/>
      <c r="I945" s="19"/>
      <c r="J945" s="19"/>
      <c r="K945" s="233"/>
      <c r="L945" s="19"/>
      <c r="M945" s="19"/>
      <c r="N945" s="19"/>
      <c r="O945" s="19"/>
      <c r="P945" s="19"/>
      <c r="Q945" s="19"/>
      <c r="R945" s="19"/>
      <c r="S945" s="19"/>
      <c r="T945" s="19"/>
      <c r="U945" s="19"/>
      <c r="V945" s="19"/>
      <c r="W945" s="19"/>
      <c r="X945" s="19"/>
      <c r="Y945" s="19"/>
    </row>
    <row r="946" spans="1:25" ht="12" customHeight="1">
      <c r="A946" s="219" t="n" cm="1">
        <f t="array" ref="A946">IFERROR(INDEX('03.Muestra'!$B$8:$B$42,SMALL(IF("Página Web"='03.Muestra'!$D$8:$D$42,ROW('03.Muestra'!$B$8:$B$42)-MIN(ROW('03.Muestra'!$D$8:$D$42))+1,""),ROW()-930)),"")</f>
        <v>1.0</v>
      </c>
      <c r="B946" s="114" t="str" cm="1">
        <f t="array" ref="B946">IFERROR(INDEX('03.Muestra'!$C$8:$C$42,SMALL(IF("Página Web"='03.Muestra'!$D$8:$D$42,ROW('03.Muestra'!$C$8:$C$42)-MIN(ROW('03.Muestra'!$D$8:$D$42))+1,""),ROW()-930)),"")</f>
        <v>Home - PortCastelló</v>
      </c>
      <c r="C946" s="114" t="str" cm="1">
        <f t="array" ref="C946">IFERROR(INDEX('03.Muestra'!$F$8:$F$42,SMALL(IF("Página Web"='03.Muestra'!$D$8:$D$42,ROW('03.Muestra'!$F$8:$F$42)-MIN(ROW('03.Muestra'!$D$8:$D$42))+1,""),ROW()-930)),"")</f>
        <v>https://www.portcastello.com/</v>
      </c>
      <c r="D946" s="130" t="str">
        <f t="shared" si="49"/>
        <v>N/T</v>
      </c>
      <c r="E946" s="107" t="str">
        <f t="shared" si="48"/>
        <v/>
      </c>
      <c r="F946" s="19"/>
      <c r="G946" s="19"/>
      <c r="H946" s="19"/>
      <c r="I946" s="19"/>
      <c r="J946" s="19"/>
      <c r="K946" s="233"/>
      <c r="L946" s="19"/>
      <c r="M946" s="19"/>
      <c r="N946" s="19"/>
      <c r="O946" s="19"/>
      <c r="P946" s="19"/>
      <c r="Q946" s="19"/>
      <c r="R946" s="19"/>
      <c r="S946" s="19"/>
      <c r="T946" s="19"/>
      <c r="U946" s="19"/>
      <c r="V946" s="19"/>
      <c r="W946" s="19"/>
      <c r="X946" s="19"/>
      <c r="Y946" s="19"/>
    </row>
    <row r="947" spans="1:25" ht="12" customHeight="1">
      <c r="A947" s="219" t="n" cm="1">
        <f t="array" ref="A947">IFERROR(INDEX('03.Muestra'!$B$8:$B$42,SMALL(IF("Página Web"='03.Muestra'!$D$8:$D$42,ROW('03.Muestra'!$B$8:$B$42)-MIN(ROW('03.Muestra'!$D$8:$D$42))+1,""),ROW()-930)),"")</f>
        <v>1.0</v>
      </c>
      <c r="B947" s="114" t="str" cm="1">
        <f t="array" ref="B947">IFERROR(INDEX('03.Muestra'!$C$8:$C$42,SMALL(IF("Página Web"='03.Muestra'!$D$8:$D$42,ROW('03.Muestra'!$C$8:$C$42)-MIN(ROW('03.Muestra'!$D$8:$D$42))+1,""),ROW()-930)),"")</f>
        <v>Home - PortCastelló</v>
      </c>
      <c r="C947" s="114" t="str" cm="1">
        <f t="array" ref="C947">IFERROR(INDEX('03.Muestra'!$F$8:$F$42,SMALL(IF("Página Web"='03.Muestra'!$D$8:$D$42,ROW('03.Muestra'!$F$8:$F$42)-MIN(ROW('03.Muestra'!$D$8:$D$42))+1,""),ROW()-930)),"")</f>
        <v>https://www.portcastello.com/</v>
      </c>
      <c r="D947" s="130" t="str">
        <f t="shared" si="49"/>
        <v>N/T</v>
      </c>
      <c r="E947" s="107" t="str">
        <f t="shared" si="48"/>
        <v/>
      </c>
      <c r="F947" s="19"/>
      <c r="G947" s="19"/>
      <c r="H947" s="19"/>
      <c r="I947" s="19"/>
      <c r="J947" s="19"/>
      <c r="K947" s="233"/>
      <c r="L947" s="19"/>
      <c r="M947" s="19"/>
      <c r="N947" s="19"/>
      <c r="O947" s="19"/>
      <c r="P947" s="19"/>
      <c r="Q947" s="19"/>
      <c r="R947" s="19"/>
      <c r="S947" s="19"/>
      <c r="T947" s="19"/>
      <c r="U947" s="19"/>
      <c r="V947" s="19"/>
      <c r="W947" s="19"/>
      <c r="X947" s="19"/>
      <c r="Y947" s="19"/>
    </row>
    <row r="948" spans="1:25" ht="12" customHeight="1">
      <c r="A948" s="219" t="n" cm="1">
        <f t="array" ref="A948">IFERROR(INDEX('03.Muestra'!$B$8:$B$42,SMALL(IF("Página Web"='03.Muestra'!$D$8:$D$42,ROW('03.Muestra'!$B$8:$B$42)-MIN(ROW('03.Muestra'!$D$8:$D$42))+1,""),ROW()-930)),"")</f>
        <v>1.0</v>
      </c>
      <c r="B948" s="114" t="str" cm="1">
        <f t="array" ref="B948">IFERROR(INDEX('03.Muestra'!$C$8:$C$42,SMALL(IF("Página Web"='03.Muestra'!$D$8:$D$42,ROW('03.Muestra'!$C$8:$C$42)-MIN(ROW('03.Muestra'!$D$8:$D$42))+1,""),ROW()-930)),"")</f>
        <v>Home - PortCastelló</v>
      </c>
      <c r="C948" s="114" t="str" cm="1">
        <f t="array" ref="C948">IFERROR(INDEX('03.Muestra'!$F$8:$F$42,SMALL(IF("Página Web"='03.Muestra'!$D$8:$D$42,ROW('03.Muestra'!$F$8:$F$42)-MIN(ROW('03.Muestra'!$D$8:$D$42))+1,""),ROW()-930)),"")</f>
        <v>https://www.portcastello.com/</v>
      </c>
      <c r="D948" s="130" t="str">
        <f t="shared" si="49"/>
        <v>N/T</v>
      </c>
      <c r="E948" s="107" t="str">
        <f t="shared" si="48"/>
        <v/>
      </c>
      <c r="F948" s="19"/>
      <c r="G948" s="19"/>
      <c r="H948" s="19"/>
      <c r="I948" s="19"/>
      <c r="J948" s="19"/>
      <c r="K948" s="233"/>
      <c r="L948" s="19"/>
      <c r="M948" s="19"/>
      <c r="N948" s="19"/>
      <c r="O948" s="19"/>
      <c r="P948" s="19"/>
      <c r="Q948" s="19"/>
      <c r="R948" s="19"/>
      <c r="S948" s="19"/>
      <c r="T948" s="19"/>
      <c r="U948" s="19"/>
      <c r="V948" s="19"/>
      <c r="W948" s="19"/>
      <c r="X948" s="19"/>
      <c r="Y948" s="19"/>
    </row>
    <row r="949" spans="1:25" ht="12" customHeight="1">
      <c r="A949" s="219" t="n" cm="1">
        <f t="array" ref="A949">IFERROR(INDEX('03.Muestra'!$B$8:$B$42,SMALL(IF("Página Web"='03.Muestra'!$D$8:$D$42,ROW('03.Muestra'!$B$8:$B$42)-MIN(ROW('03.Muestra'!$D$8:$D$42))+1,""),ROW()-930)),"")</f>
        <v>1.0</v>
      </c>
      <c r="B949" s="114" t="str" cm="1">
        <f t="array" ref="B949">IFERROR(INDEX('03.Muestra'!$C$8:$C$42,SMALL(IF("Página Web"='03.Muestra'!$D$8:$D$42,ROW('03.Muestra'!$C$8:$C$42)-MIN(ROW('03.Muestra'!$D$8:$D$42))+1,""),ROW()-930)),"")</f>
        <v>Home - PortCastelló</v>
      </c>
      <c r="C949" s="114" t="str" cm="1">
        <f t="array" ref="C949">IFERROR(INDEX('03.Muestra'!$F$8:$F$42,SMALL(IF("Página Web"='03.Muestra'!$D$8:$D$42,ROW('03.Muestra'!$F$8:$F$42)-MIN(ROW('03.Muestra'!$D$8:$D$42))+1,""),ROW()-930)),"")</f>
        <v>https://www.portcastello.com/</v>
      </c>
      <c r="D949" s="130" t="str">
        <f t="shared" si="49"/>
        <v>N/T</v>
      </c>
      <c r="E949" s="107" t="str">
        <f t="shared" si="48"/>
        <v/>
      </c>
      <c r="F949" s="19"/>
      <c r="G949" s="19"/>
      <c r="H949" s="19"/>
      <c r="I949" s="19"/>
      <c r="J949" s="19"/>
      <c r="K949" s="233"/>
      <c r="L949" s="19"/>
      <c r="M949" s="19"/>
      <c r="N949" s="19"/>
      <c r="O949" s="19"/>
      <c r="P949" s="19"/>
      <c r="Q949" s="19"/>
      <c r="R949" s="19"/>
      <c r="S949" s="19"/>
      <c r="T949" s="19"/>
      <c r="U949" s="19"/>
      <c r="V949" s="19"/>
      <c r="W949" s="19"/>
      <c r="X949" s="19"/>
      <c r="Y949" s="19"/>
    </row>
    <row r="950" spans="1:25" ht="12" customHeight="1">
      <c r="A950" s="219" t="n" cm="1">
        <f t="array" ref="A950">IFERROR(INDEX('03.Muestra'!$B$8:$B$42,SMALL(IF("Página Web"='03.Muestra'!$D$8:$D$42,ROW('03.Muestra'!$B$8:$B$42)-MIN(ROW('03.Muestra'!$D$8:$D$42))+1,""),ROW()-930)),"")</f>
        <v>1.0</v>
      </c>
      <c r="B950" s="114" t="str" cm="1">
        <f t="array" ref="B950">IFERROR(INDEX('03.Muestra'!$C$8:$C$42,SMALL(IF("Página Web"='03.Muestra'!$D$8:$D$42,ROW('03.Muestra'!$C$8:$C$42)-MIN(ROW('03.Muestra'!$D$8:$D$42))+1,""),ROW()-930)),"")</f>
        <v>Home - PortCastelló</v>
      </c>
      <c r="C950" s="114" t="str" cm="1">
        <f t="array" ref="C950">IFERROR(INDEX('03.Muestra'!$F$8:$F$42,SMALL(IF("Página Web"='03.Muestra'!$D$8:$D$42,ROW('03.Muestra'!$F$8:$F$42)-MIN(ROW('03.Muestra'!$D$8:$D$42))+1,""),ROW()-930)),"")</f>
        <v>https://www.portcastello.com/</v>
      </c>
      <c r="D950" s="130" t="str">
        <f t="shared" si="49"/>
        <v>N/T</v>
      </c>
      <c r="E950" s="107" t="str">
        <f t="shared" si="48"/>
        <v/>
      </c>
      <c r="F950" s="19"/>
      <c r="G950" s="19"/>
      <c r="H950" s="19"/>
      <c r="I950" s="19"/>
      <c r="J950" s="19"/>
      <c r="K950" s="233"/>
      <c r="L950" s="19"/>
      <c r="M950" s="19"/>
      <c r="N950" s="19"/>
      <c r="O950" s="19"/>
      <c r="P950" s="19"/>
      <c r="Q950" s="19"/>
      <c r="R950" s="19"/>
      <c r="S950" s="19"/>
      <c r="T950" s="19"/>
      <c r="U950" s="19"/>
      <c r="V950" s="19"/>
      <c r="W950" s="19"/>
      <c r="X950" s="19"/>
      <c r="Y950" s="19"/>
    </row>
    <row r="951" spans="1:25" ht="12" customHeight="1">
      <c r="A951" s="219" t="n" cm="1">
        <f t="array" ref="A951">IFERROR(INDEX('03.Muestra'!$B$8:$B$42,SMALL(IF("Página Web"='03.Muestra'!$D$8:$D$42,ROW('03.Muestra'!$B$8:$B$42)-MIN(ROW('03.Muestra'!$D$8:$D$42))+1,""),ROW()-930)),"")</f>
        <v>1.0</v>
      </c>
      <c r="B951" s="114" t="str" cm="1">
        <f t="array" ref="B951">IFERROR(INDEX('03.Muestra'!$C$8:$C$42,SMALL(IF("Página Web"='03.Muestra'!$D$8:$D$42,ROW('03.Muestra'!$C$8:$C$42)-MIN(ROW('03.Muestra'!$D$8:$D$42))+1,""),ROW()-930)),"")</f>
        <v>Home - PortCastelló</v>
      </c>
      <c r="C951" s="114" t="str" cm="1">
        <f t="array" ref="C951">IFERROR(INDEX('03.Muestra'!$F$8:$F$42,SMALL(IF("Página Web"='03.Muestra'!$D$8:$D$42,ROW('03.Muestra'!$F$8:$F$42)-MIN(ROW('03.Muestra'!$D$8:$D$42))+1,""),ROW()-930)),"")</f>
        <v>https://www.portcastello.com/</v>
      </c>
      <c r="D951" s="130" t="str">
        <f t="shared" si="49"/>
        <v>N/T</v>
      </c>
      <c r="E951" s="107" t="str">
        <f t="shared" si="48"/>
        <v/>
      </c>
      <c r="F951" s="19"/>
      <c r="G951" s="19"/>
      <c r="H951" s="19"/>
      <c r="I951" s="19"/>
      <c r="J951" s="19"/>
      <c r="K951" s="233"/>
      <c r="L951" s="19"/>
      <c r="M951" s="19"/>
      <c r="N951" s="19"/>
      <c r="O951" s="19"/>
      <c r="P951" s="19"/>
      <c r="Q951" s="19"/>
      <c r="R951" s="19"/>
      <c r="S951" s="19"/>
      <c r="T951" s="19"/>
      <c r="U951" s="19"/>
      <c r="V951" s="19"/>
      <c r="W951" s="19"/>
      <c r="X951" s="19"/>
      <c r="Y951" s="19"/>
    </row>
    <row r="952" spans="1:25" ht="12" customHeight="1">
      <c r="A952" s="219" t="n" cm="1">
        <f t="array" ref="A952">IFERROR(INDEX('03.Muestra'!$B$8:$B$42,SMALL(IF("Página Web"='03.Muestra'!$D$8:$D$42,ROW('03.Muestra'!$B$8:$B$42)-MIN(ROW('03.Muestra'!$D$8:$D$42))+1,""),ROW()-930)),"")</f>
        <v>1.0</v>
      </c>
      <c r="B952" s="114" t="str" cm="1">
        <f t="array" ref="B952">IFERROR(INDEX('03.Muestra'!$C$8:$C$42,SMALL(IF("Página Web"='03.Muestra'!$D$8:$D$42,ROW('03.Muestra'!$C$8:$C$42)-MIN(ROW('03.Muestra'!$D$8:$D$42))+1,""),ROW()-930)),"")</f>
        <v>Home - PortCastelló</v>
      </c>
      <c r="C952" s="114" t="str" cm="1">
        <f t="array" ref="C952">IFERROR(INDEX('03.Muestra'!$F$8:$F$42,SMALL(IF("Página Web"='03.Muestra'!$D$8:$D$42,ROW('03.Muestra'!$F$8:$F$42)-MIN(ROW('03.Muestra'!$D$8:$D$42))+1,""),ROW()-930)),"")</f>
        <v>https://www.portcastello.com/</v>
      </c>
      <c r="D952" s="130" t="str">
        <f t="shared" si="49"/>
        <v>N/T</v>
      </c>
      <c r="E952" s="107" t="str">
        <f t="shared" si="48"/>
        <v/>
      </c>
      <c r="F952" s="19"/>
      <c r="G952" s="19"/>
      <c r="H952" s="19"/>
      <c r="I952" s="19"/>
      <c r="J952" s="19"/>
      <c r="K952" s="233"/>
      <c r="L952" s="19"/>
      <c r="M952" s="19"/>
      <c r="N952" s="19"/>
      <c r="O952" s="19"/>
      <c r="P952" s="19"/>
      <c r="Q952" s="19"/>
      <c r="R952" s="19"/>
      <c r="S952" s="19"/>
      <c r="T952" s="19"/>
      <c r="U952" s="19"/>
      <c r="V952" s="19"/>
      <c r="W952" s="19"/>
      <c r="X952" s="19"/>
      <c r="Y952" s="19"/>
    </row>
    <row r="953" spans="1:25" ht="12" customHeight="1">
      <c r="A953" s="219" t="n" cm="1">
        <f t="array" ref="A953">IFERROR(INDEX('03.Muestra'!$B$8:$B$42,SMALL(IF("Página Web"='03.Muestra'!$D$8:$D$42,ROW('03.Muestra'!$B$8:$B$42)-MIN(ROW('03.Muestra'!$D$8:$D$42))+1,""),ROW()-930)),"")</f>
        <v>1.0</v>
      </c>
      <c r="B953" s="114" t="str" cm="1">
        <f t="array" ref="B953">IFERROR(INDEX('03.Muestra'!$C$8:$C$42,SMALL(IF("Página Web"='03.Muestra'!$D$8:$D$42,ROW('03.Muestra'!$C$8:$C$42)-MIN(ROW('03.Muestra'!$D$8:$D$42))+1,""),ROW()-930)),"")</f>
        <v>Home - PortCastelló</v>
      </c>
      <c r="C953" s="114" t="str" cm="1">
        <f t="array" ref="C953">IFERROR(INDEX('03.Muestra'!$F$8:$F$42,SMALL(IF("Página Web"='03.Muestra'!$D$8:$D$42,ROW('03.Muestra'!$F$8:$F$42)-MIN(ROW('03.Muestra'!$D$8:$D$42))+1,""),ROW()-930)),"")</f>
        <v>https://www.portcastello.com/</v>
      </c>
      <c r="D953" s="130" t="str">
        <f t="shared" si="49"/>
        <v>N/T</v>
      </c>
      <c r="E953" s="107" t="str">
        <f t="shared" si="48"/>
        <v/>
      </c>
      <c r="F953" s="19"/>
      <c r="G953" s="19"/>
      <c r="H953" s="19"/>
      <c r="I953" s="19"/>
      <c r="J953" s="19"/>
      <c r="K953" s="233"/>
      <c r="L953" s="19"/>
      <c r="M953" s="19"/>
      <c r="N953" s="19"/>
      <c r="O953" s="19"/>
      <c r="P953" s="19"/>
      <c r="Q953" s="19"/>
      <c r="R953" s="19"/>
      <c r="S953" s="19"/>
      <c r="T953" s="19"/>
      <c r="U953" s="19"/>
      <c r="V953" s="19"/>
      <c r="W953" s="19"/>
      <c r="X953" s="19"/>
      <c r="Y953" s="19"/>
    </row>
    <row r="954" spans="1:25" ht="12" customHeight="1">
      <c r="A954" s="219" t="n" cm="1">
        <f t="array" ref="A954">IFERROR(INDEX('03.Muestra'!$B$8:$B$42,SMALL(IF("Página Web"='03.Muestra'!$D$8:$D$42,ROW('03.Muestra'!$B$8:$B$42)-MIN(ROW('03.Muestra'!$D$8:$D$42))+1,""),ROW()-930)),"")</f>
        <v>1.0</v>
      </c>
      <c r="B954" s="114" t="str" cm="1">
        <f t="array" ref="B954">IFERROR(INDEX('03.Muestra'!$C$8:$C$42,SMALL(IF("Página Web"='03.Muestra'!$D$8:$D$42,ROW('03.Muestra'!$C$8:$C$42)-MIN(ROW('03.Muestra'!$D$8:$D$42))+1,""),ROW()-930)),"")</f>
        <v>Home - PortCastelló</v>
      </c>
      <c r="C954" s="114" t="str" cm="1">
        <f t="array" ref="C954">IFERROR(INDEX('03.Muestra'!$F$8:$F$42,SMALL(IF("Página Web"='03.Muestra'!$D$8:$D$42,ROW('03.Muestra'!$F$8:$F$42)-MIN(ROW('03.Muestra'!$D$8:$D$42))+1,""),ROW()-930)),"")</f>
        <v>https://www.portcastello.com/</v>
      </c>
      <c r="D954" s="130" t="str">
        <f t="shared" si="49"/>
        <v>N/T</v>
      </c>
      <c r="E954" s="107" t="str">
        <f t="shared" si="48"/>
        <v/>
      </c>
      <c r="F954" s="19"/>
      <c r="G954" s="19"/>
      <c r="H954" s="19"/>
      <c r="I954" s="19"/>
      <c r="J954" s="19"/>
      <c r="K954" s="233"/>
      <c r="L954" s="19"/>
      <c r="M954" s="19"/>
      <c r="N954" s="19"/>
      <c r="O954" s="19"/>
      <c r="P954" s="19"/>
      <c r="Q954" s="19"/>
      <c r="R954" s="19"/>
      <c r="S954" s="19"/>
      <c r="T954" s="19"/>
      <c r="U954" s="19"/>
      <c r="V954" s="19"/>
      <c r="W954" s="19"/>
      <c r="X954" s="19"/>
      <c r="Y954" s="19"/>
    </row>
    <row r="955" spans="1:25" ht="12" customHeight="1">
      <c r="A955" s="219" t="n" cm="1">
        <f t="array" ref="A955">IFERROR(INDEX('03.Muestra'!$B$8:$B$42,SMALL(IF("Página Web"='03.Muestra'!$D$8:$D$42,ROW('03.Muestra'!$B$8:$B$42)-MIN(ROW('03.Muestra'!$D$8:$D$42))+1,""),ROW()-930)),"")</f>
        <v>1.0</v>
      </c>
      <c r="B955" s="114" t="str" cm="1">
        <f t="array" ref="B955">IFERROR(INDEX('03.Muestra'!$C$8:$C$42,SMALL(IF("Página Web"='03.Muestra'!$D$8:$D$42,ROW('03.Muestra'!$C$8:$C$42)-MIN(ROW('03.Muestra'!$D$8:$D$42))+1,""),ROW()-930)),"")</f>
        <v>Home - PortCastelló</v>
      </c>
      <c r="C955" s="114" t="str" cm="1">
        <f t="array" ref="C955">IFERROR(INDEX('03.Muestra'!$F$8:$F$42,SMALL(IF("Página Web"='03.Muestra'!$D$8:$D$42,ROW('03.Muestra'!$F$8:$F$42)-MIN(ROW('03.Muestra'!$D$8:$D$42))+1,""),ROW()-930)),"")</f>
        <v>https://www.portcastello.com/</v>
      </c>
      <c r="D955" s="130" t="str">
        <f t="shared" si="49"/>
        <v>N/T</v>
      </c>
      <c r="E955" s="107" t="str">
        <f t="shared" si="48"/>
        <v/>
      </c>
      <c r="F955" s="19"/>
      <c r="G955" s="19"/>
      <c r="H955" s="19"/>
      <c r="I955" s="19"/>
      <c r="J955" s="19"/>
      <c r="K955" s="233"/>
      <c r="L955" s="19"/>
      <c r="M955" s="19"/>
      <c r="N955" s="19"/>
      <c r="O955" s="19"/>
      <c r="P955" s="19"/>
      <c r="Q955" s="19"/>
      <c r="R955" s="19"/>
      <c r="S955" s="19"/>
      <c r="T955" s="19"/>
      <c r="U955" s="19"/>
      <c r="V955" s="19"/>
      <c r="W955" s="19"/>
      <c r="X955" s="19"/>
      <c r="Y955" s="19"/>
    </row>
    <row r="956" spans="1:25" ht="12" customHeight="1">
      <c r="A956" s="219" t="n" cm="1">
        <f t="array" ref="A956">IFERROR(INDEX('03.Muestra'!$B$8:$B$42,SMALL(IF("Página Web"='03.Muestra'!$D$8:$D$42,ROW('03.Muestra'!$B$8:$B$42)-MIN(ROW('03.Muestra'!$D$8:$D$42))+1,""),ROW()-930)),"")</f>
        <v>1.0</v>
      </c>
      <c r="B956" s="114" t="str" cm="1">
        <f t="array" ref="B956">IFERROR(INDEX('03.Muestra'!$C$8:$C$42,SMALL(IF("Página Web"='03.Muestra'!$D$8:$D$42,ROW('03.Muestra'!$C$8:$C$42)-MIN(ROW('03.Muestra'!$D$8:$D$42))+1,""),ROW()-930)),"")</f>
        <v>Home - PortCastelló</v>
      </c>
      <c r="C956" s="114" t="str" cm="1">
        <f t="array" ref="C956">IFERROR(INDEX('03.Muestra'!$F$8:$F$42,SMALL(IF("Página Web"='03.Muestra'!$D$8:$D$42,ROW('03.Muestra'!$F$8:$F$42)-MIN(ROW('03.Muestra'!$D$8:$D$42))+1,""),ROW()-930)),"")</f>
        <v>https://www.portcastello.com/</v>
      </c>
      <c r="D956" s="130" t="str">
        <f t="shared" si="49"/>
        <v>N/T</v>
      </c>
      <c r="E956" s="107" t="str">
        <f t="shared" si="48"/>
        <v/>
      </c>
      <c r="F956" s="19"/>
      <c r="G956" s="19"/>
      <c r="H956" s="19"/>
      <c r="I956" s="19"/>
      <c r="J956" s="19"/>
      <c r="K956" s="233"/>
      <c r="L956" s="19"/>
      <c r="M956" s="19"/>
      <c r="N956" s="19"/>
      <c r="O956" s="19"/>
      <c r="P956" s="19"/>
      <c r="Q956" s="19"/>
      <c r="R956" s="19"/>
      <c r="S956" s="19"/>
      <c r="T956" s="19"/>
      <c r="U956" s="19"/>
      <c r="V956" s="19"/>
      <c r="W956" s="19"/>
      <c r="X956" s="19"/>
      <c r="Y956" s="19"/>
    </row>
    <row r="957" spans="1:25" ht="12" customHeight="1">
      <c r="A957" s="219" t="n" cm="1">
        <f t="array" ref="A957">IFERROR(INDEX('03.Muestra'!$B$8:$B$42,SMALL(IF("Página Web"='03.Muestra'!$D$8:$D$42,ROW('03.Muestra'!$B$8:$B$42)-MIN(ROW('03.Muestra'!$D$8:$D$42))+1,""),ROW()-930)),"")</f>
        <v>1.0</v>
      </c>
      <c r="B957" s="114" t="str" cm="1">
        <f t="array" ref="B957">IFERROR(INDEX('03.Muestra'!$C$8:$C$42,SMALL(IF("Página Web"='03.Muestra'!$D$8:$D$42,ROW('03.Muestra'!$C$8:$C$42)-MIN(ROW('03.Muestra'!$D$8:$D$42))+1,""),ROW()-930)),"")</f>
        <v>Home - PortCastelló</v>
      </c>
      <c r="C957" s="114" t="str" cm="1">
        <f t="array" ref="C957">IFERROR(INDEX('03.Muestra'!$F$8:$F$42,SMALL(IF("Página Web"='03.Muestra'!$D$8:$D$42,ROW('03.Muestra'!$F$8:$F$42)-MIN(ROW('03.Muestra'!$D$8:$D$42))+1,""),ROW()-930)),"")</f>
        <v>https://www.portcastello.com/</v>
      </c>
      <c r="D957" s="130" t="str">
        <f t="shared" si="49"/>
        <v>N/T</v>
      </c>
      <c r="E957" s="107" t="str">
        <f t="shared" si="48"/>
        <v/>
      </c>
      <c r="F957" s="19"/>
      <c r="G957" s="19"/>
      <c r="H957" s="19"/>
      <c r="I957" s="19"/>
      <c r="J957" s="19"/>
      <c r="K957" s="233"/>
      <c r="L957" s="19"/>
      <c r="M957" s="19"/>
      <c r="N957" s="19"/>
      <c r="O957" s="19"/>
      <c r="P957" s="19"/>
      <c r="Q957" s="19"/>
      <c r="R957" s="19"/>
      <c r="S957" s="19"/>
      <c r="T957" s="19"/>
      <c r="U957" s="19"/>
      <c r="V957" s="19"/>
      <c r="W957" s="19"/>
      <c r="X957" s="19"/>
      <c r="Y957" s="19"/>
    </row>
    <row r="958" spans="1:25" ht="12" customHeight="1">
      <c r="A958" s="219" t="n" cm="1">
        <f t="array" ref="A958">IFERROR(INDEX('03.Muestra'!$B$8:$B$42,SMALL(IF("Página Web"='03.Muestra'!$D$8:$D$42,ROW('03.Muestra'!$B$8:$B$42)-MIN(ROW('03.Muestra'!$D$8:$D$42))+1,""),ROW()-930)),"")</f>
        <v>1.0</v>
      </c>
      <c r="B958" s="114" t="str" cm="1">
        <f t="array" ref="B958">IFERROR(INDEX('03.Muestra'!$C$8:$C$42,SMALL(IF("Página Web"='03.Muestra'!$D$8:$D$42,ROW('03.Muestra'!$C$8:$C$42)-MIN(ROW('03.Muestra'!$D$8:$D$42))+1,""),ROW()-930)),"")</f>
        <v>Home - PortCastelló</v>
      </c>
      <c r="C958" s="114" t="str" cm="1">
        <f t="array" ref="C958">IFERROR(INDEX('03.Muestra'!$F$8:$F$42,SMALL(IF("Página Web"='03.Muestra'!$D$8:$D$42,ROW('03.Muestra'!$F$8:$F$42)-MIN(ROW('03.Muestra'!$D$8:$D$42))+1,""),ROW()-930)),"")</f>
        <v>https://www.portcastello.com/</v>
      </c>
      <c r="D958" s="130" t="str">
        <f t="shared" si="49"/>
        <v>N/T</v>
      </c>
      <c r="E958" s="107" t="str">
        <f t="shared" si="48"/>
        <v/>
      </c>
      <c r="G958" s="19"/>
      <c r="H958" s="19"/>
      <c r="I958" s="19"/>
      <c r="J958" s="19"/>
      <c r="K958" s="233"/>
      <c r="L958" s="19"/>
      <c r="M958" s="19"/>
      <c r="N958" s="19"/>
      <c r="O958" s="19"/>
      <c r="P958" s="19"/>
      <c r="Q958" s="19"/>
      <c r="R958" s="19"/>
      <c r="S958" s="19"/>
      <c r="T958" s="19"/>
      <c r="U958" s="19"/>
      <c r="V958" s="19"/>
      <c r="W958" s="19"/>
      <c r="X958" s="19"/>
      <c r="Y958" s="19"/>
    </row>
    <row r="959" spans="1:25" ht="12" customHeight="1">
      <c r="A959" s="219" t="n" cm="1">
        <f t="array" ref="A959">IFERROR(INDEX('03.Muestra'!$B$8:$B$42,SMALL(IF("Página Web"='03.Muestra'!$D$8:$D$42,ROW('03.Muestra'!$B$8:$B$42)-MIN(ROW('03.Muestra'!$D$8:$D$42))+1,""),ROW()-930)),"")</f>
        <v>1.0</v>
      </c>
      <c r="B959" s="114" t="str" cm="1">
        <f t="array" ref="B959">IFERROR(INDEX('03.Muestra'!$C$8:$C$42,SMALL(IF("Página Web"='03.Muestra'!$D$8:$D$42,ROW('03.Muestra'!$C$8:$C$42)-MIN(ROW('03.Muestra'!$D$8:$D$42))+1,""),ROW()-930)),"")</f>
        <v>Home - PortCastelló</v>
      </c>
      <c r="C959" s="114" t="str" cm="1">
        <f t="array" ref="C959">IFERROR(INDEX('03.Muestra'!$F$8:$F$42,SMALL(IF("Página Web"='03.Muestra'!$D$8:$D$42,ROW('03.Muestra'!$F$8:$F$42)-MIN(ROW('03.Muestra'!$D$8:$D$42))+1,""),ROW()-930)),"")</f>
        <v>https://www.portcastello.com/</v>
      </c>
      <c r="D959" s="130" t="str">
        <f t="shared" si="49"/>
        <v>N/T</v>
      </c>
      <c r="E959" s="107" t="str">
        <f t="shared" si="48"/>
        <v/>
      </c>
      <c r="F959" s="124"/>
      <c r="G959" s="19"/>
      <c r="H959" s="19"/>
      <c r="I959" s="19"/>
      <c r="J959" s="19"/>
      <c r="K959" s="233"/>
      <c r="L959" s="19"/>
      <c r="M959" s="19"/>
      <c r="N959" s="19"/>
      <c r="O959" s="19"/>
      <c r="P959" s="19"/>
      <c r="Q959" s="19"/>
      <c r="R959" s="19"/>
      <c r="S959" s="19"/>
      <c r="T959" s="19"/>
      <c r="U959" s="19"/>
      <c r="V959" s="19"/>
      <c r="W959" s="19"/>
      <c r="X959" s="19"/>
      <c r="Y959" s="19"/>
    </row>
    <row r="960" spans="1:25" ht="12" customHeight="1">
      <c r="A960" s="219" t="n" cm="1">
        <f t="array" ref="A960">IFERROR(INDEX('03.Muestra'!$B$8:$B$42,SMALL(IF("Página Web"='03.Muestra'!$D$8:$D$42,ROW('03.Muestra'!$B$8:$B$42)-MIN(ROW('03.Muestra'!$D$8:$D$42))+1,""),ROW()-930)),"")</f>
        <v>1.0</v>
      </c>
      <c r="B960" s="114" t="str" cm="1">
        <f t="array" ref="B960">IFERROR(INDEX('03.Muestra'!$C$8:$C$42,SMALL(IF("Página Web"='03.Muestra'!$D$8:$D$42,ROW('03.Muestra'!$C$8:$C$42)-MIN(ROW('03.Muestra'!$D$8:$D$42))+1,""),ROW()-930)),"")</f>
        <v>Home - PortCastelló</v>
      </c>
      <c r="C960" s="114" t="str" cm="1">
        <f t="array" ref="C960">IFERROR(INDEX('03.Muestra'!$F$8:$F$42,SMALL(IF("Página Web"='03.Muestra'!$D$8:$D$42,ROW('03.Muestra'!$F$8:$F$42)-MIN(ROW('03.Muestra'!$D$8:$D$42))+1,""),ROW()-930)),"")</f>
        <v>https://www.portcastello.com/</v>
      </c>
      <c r="D960" s="130" t="str">
        <f t="shared" si="49"/>
        <v>N/T</v>
      </c>
      <c r="E960" s="107" t="str">
        <f t="shared" si="48"/>
        <v/>
      </c>
      <c r="F960" s="124"/>
      <c r="G960" s="19"/>
      <c r="H960" s="19"/>
      <c r="I960" s="19"/>
      <c r="J960" s="19"/>
      <c r="K960" s="233"/>
      <c r="L960" s="19"/>
      <c r="M960" s="19"/>
      <c r="N960" s="19"/>
      <c r="O960" s="19"/>
      <c r="P960" s="19"/>
      <c r="Q960" s="19"/>
      <c r="R960" s="19"/>
      <c r="S960" s="19"/>
      <c r="T960" s="19"/>
      <c r="U960" s="19"/>
      <c r="V960" s="19"/>
      <c r="W960" s="19"/>
      <c r="X960" s="19"/>
      <c r="Y960" s="19"/>
    </row>
    <row r="961" spans="1:25" ht="12" customHeight="1">
      <c r="A961" s="219" t="n" cm="1">
        <f t="array" ref="A961">IFERROR(INDEX('03.Muestra'!$B$8:$B$42,SMALL(IF("Página Web"='03.Muestra'!$D$8:$D$42,ROW('03.Muestra'!$B$8:$B$42)-MIN(ROW('03.Muestra'!$D$8:$D$42))+1,""),ROW()-930)),"")</f>
        <v>1.0</v>
      </c>
      <c r="B961" s="114" t="str" cm="1">
        <f t="array" ref="B961">IFERROR(INDEX('03.Muestra'!$C$8:$C$42,SMALL(IF("Página Web"='03.Muestra'!$D$8:$D$42,ROW('03.Muestra'!$C$8:$C$42)-MIN(ROW('03.Muestra'!$D$8:$D$42))+1,""),ROW()-930)),"")</f>
        <v>Home - PortCastelló</v>
      </c>
      <c r="C961" s="114" t="str" cm="1">
        <f t="array" ref="C961">IFERROR(INDEX('03.Muestra'!$F$8:$F$42,SMALL(IF("Página Web"='03.Muestra'!$D$8:$D$42,ROW('03.Muestra'!$F$8:$F$42)-MIN(ROW('03.Muestra'!$D$8:$D$42))+1,""),ROW()-930)),"")</f>
        <v>https://www.portcastello.com/</v>
      </c>
      <c r="D961" s="130" t="str">
        <f t="shared" si="49"/>
        <v>N/T</v>
      </c>
      <c r="E961" s="107" t="str">
        <f t="shared" si="48"/>
        <v/>
      </c>
      <c r="F961" s="124"/>
      <c r="G961" s="19"/>
      <c r="H961" s="19"/>
      <c r="I961" s="19"/>
      <c r="J961" s="19"/>
      <c r="K961" s="233"/>
      <c r="L961" s="19"/>
      <c r="M961" s="19"/>
      <c r="N961" s="19"/>
      <c r="O961" s="19"/>
      <c r="P961" s="19"/>
      <c r="Q961" s="19"/>
      <c r="R961" s="19"/>
      <c r="S961" s="19"/>
      <c r="T961" s="19"/>
      <c r="U961" s="19"/>
      <c r="V961" s="19"/>
      <c r="W961" s="19"/>
      <c r="X961" s="19"/>
      <c r="Y961" s="19"/>
    </row>
    <row r="962" spans="1:25" ht="12" customHeight="1">
      <c r="A962" s="219" t="n" cm="1">
        <f t="array" ref="A962">IFERROR(INDEX('03.Muestra'!$B$8:$B$42,SMALL(IF("Página Web"='03.Muestra'!$D$8:$D$42,ROW('03.Muestra'!$B$8:$B$42)-MIN(ROW('03.Muestra'!$D$8:$D$42))+1,""),ROW()-930)),"")</f>
        <v>1.0</v>
      </c>
      <c r="B962" s="114" t="str" cm="1">
        <f t="array" ref="B962">IFERROR(INDEX('03.Muestra'!$C$8:$C$42,SMALL(IF("Página Web"='03.Muestra'!$D$8:$D$42,ROW('03.Muestra'!$C$8:$C$42)-MIN(ROW('03.Muestra'!$D$8:$D$42))+1,""),ROW()-930)),"")</f>
        <v>Home - PortCastelló</v>
      </c>
      <c r="C962" s="114" t="str" cm="1">
        <f t="array" ref="C962">IFERROR(INDEX('03.Muestra'!$F$8:$F$42,SMALL(IF("Página Web"='03.Muestra'!$D$8:$D$42,ROW('03.Muestra'!$F$8:$F$42)-MIN(ROW('03.Muestra'!$D$8:$D$42))+1,""),ROW()-930)),"")</f>
        <v>https://www.portcastello.com/</v>
      </c>
      <c r="D962" s="130" t="str">
        <f t="shared" si="49"/>
        <v>N/T</v>
      </c>
      <c r="E962" s="107" t="str">
        <f t="shared" si="48"/>
        <v/>
      </c>
      <c r="F962" s="124"/>
      <c r="G962" s="19"/>
      <c r="H962" s="19"/>
      <c r="I962" s="19"/>
      <c r="J962" s="19"/>
      <c r="K962" s="233"/>
      <c r="L962" s="19"/>
      <c r="M962" s="19"/>
      <c r="N962" s="19"/>
      <c r="O962" s="19"/>
      <c r="P962" s="19"/>
      <c r="Q962" s="19"/>
      <c r="R962" s="19"/>
      <c r="S962" s="19"/>
      <c r="T962" s="19"/>
      <c r="U962" s="19"/>
      <c r="V962" s="19"/>
      <c r="W962" s="19"/>
      <c r="X962" s="19"/>
      <c r="Y962" s="19"/>
    </row>
    <row r="963" spans="1:25" ht="12" customHeight="1">
      <c r="A963" s="219" t="n" cm="1">
        <f t="array" ref="A963">IFERROR(INDEX('03.Muestra'!$B$8:$B$42,SMALL(IF("Página Web"='03.Muestra'!$D$8:$D$42,ROW('03.Muestra'!$B$8:$B$42)-MIN(ROW('03.Muestra'!$D$8:$D$42))+1,""),ROW()-930)),"")</f>
        <v>1.0</v>
      </c>
      <c r="B963" s="114" t="str" cm="1">
        <f t="array" ref="B963">IFERROR(INDEX('03.Muestra'!$C$8:$C$42,SMALL(IF("Página Web"='03.Muestra'!$D$8:$D$42,ROW('03.Muestra'!$C$8:$C$42)-MIN(ROW('03.Muestra'!$D$8:$D$42))+1,""),ROW()-930)),"")</f>
        <v>Home - PortCastelló</v>
      </c>
      <c r="C963" s="114" t="str" cm="1">
        <f t="array" ref="C963">IFERROR(INDEX('03.Muestra'!$F$8:$F$42,SMALL(IF("Página Web"='03.Muestra'!$D$8:$D$42,ROW('03.Muestra'!$F$8:$F$42)-MIN(ROW('03.Muestra'!$D$8:$D$42))+1,""),ROW()-930)),"")</f>
        <v>https://www.portcastello.com/</v>
      </c>
      <c r="D963" s="130" t="str">
        <f t="shared" si="49"/>
        <v>N/T</v>
      </c>
      <c r="E963" s="107" t="str">
        <f t="shared" si="48"/>
        <v/>
      </c>
      <c r="F963" s="124"/>
      <c r="G963" s="19"/>
      <c r="H963" s="19"/>
      <c r="I963" s="19"/>
      <c r="J963" s="19"/>
      <c r="K963" s="233"/>
      <c r="L963" s="19"/>
      <c r="M963" s="19"/>
      <c r="N963" s="19"/>
      <c r="O963" s="19"/>
      <c r="P963" s="19"/>
      <c r="Q963" s="19"/>
      <c r="R963" s="19"/>
      <c r="S963" s="19"/>
      <c r="T963" s="19"/>
      <c r="U963" s="19"/>
      <c r="V963" s="19"/>
      <c r="W963" s="19"/>
      <c r="X963" s="19"/>
      <c r="Y963" s="19"/>
    </row>
    <row r="964" spans="1:25" ht="12" customHeight="1">
      <c r="A964" s="219" t="str" cm="1">
        <f t="array" ref="A964">IFERROR(INDEX('03.Muestra'!$B$8:$B$42,SMALL(IF("Página Web"='03.Muestra'!$D$8:$D$42,ROW('03.Muestra'!$B$8:$B$42)-MIN(ROW('03.Muestra'!$D$8:$D$42))+1,""),ROW()-930)),"")</f>
        <v/>
      </c>
      <c r="B964" s="114" t="str" cm="1">
        <f t="array" ref="B964">IFERROR(INDEX('03.Muestra'!$C$8:$C$42,SMALL(IF("Página Web"='03.Muestra'!$D$8:$D$42,ROW('03.Muestra'!$C$8:$C$42)-MIN(ROW('03.Muestra'!$D$8:$D$42))+1,""),ROW()-930)),"")</f>
        <v/>
      </c>
      <c r="C964" s="114" t="str" cm="1">
        <f t="array" ref="C964">IFERROR(INDEX('03.Muestra'!$F$8:$F$42,SMALL(IF("Página Web"='03.Muestra'!$D$8:$D$42,ROW('03.Muestra'!$F$8:$F$42)-MIN(ROW('03.Muestra'!$D$8:$D$42))+1,""),ROW()-930)),"")</f>
        <v/>
      </c>
      <c r="D964" s="130" t="str">
        <f t="shared" si="49"/>
        <v/>
      </c>
      <c r="E964" s="107" t="str">
        <f t="shared" si="48"/>
        <v/>
      </c>
      <c r="F964" s="124"/>
      <c r="G964" s="19"/>
      <c r="H964" s="19"/>
      <c r="I964" s="19"/>
      <c r="J964" s="19"/>
      <c r="K964" s="233"/>
      <c r="L964" s="19"/>
      <c r="M964" s="19"/>
      <c r="N964" s="19"/>
      <c r="O964" s="19"/>
      <c r="P964" s="19"/>
      <c r="Q964" s="19"/>
      <c r="R964" s="19"/>
      <c r="S964" s="19"/>
      <c r="T964" s="19"/>
      <c r="U964" s="19"/>
      <c r="V964" s="19"/>
      <c r="W964" s="19"/>
      <c r="X964" s="19"/>
      <c r="Y964" s="19"/>
    </row>
    <row r="965" spans="1:25" ht="12" customHeight="1">
      <c r="A965" s="219" t="str" cm="1">
        <f t="array" ref="A965">IFERROR(INDEX('03.Muestra'!$B$8:$B$42,SMALL(IF("Página Web"='03.Muestra'!$D$8:$D$42,ROW('03.Muestra'!$B$8:$B$42)-MIN(ROW('03.Muestra'!$D$8:$D$42))+1,""),ROW()-930)),"")</f>
        <v/>
      </c>
      <c r="B965" s="114" t="str" cm="1">
        <f t="array" ref="B965">IFERROR(INDEX('03.Muestra'!$C$8:$C$42,SMALL(IF("Página Web"='03.Muestra'!$D$8:$D$42,ROW('03.Muestra'!$C$8:$C$42)-MIN(ROW('03.Muestra'!$D$8:$D$42))+1,""),ROW()-930)),"")</f>
        <v/>
      </c>
      <c r="C965" s="114" t="str" cm="1">
        <f t="array" ref="C965">IFERROR(INDEX('03.Muestra'!$F$8:$F$42,SMALL(IF("Página Web"='03.Muestra'!$D$8:$D$42,ROW('03.Muestra'!$F$8:$F$42)-MIN(ROW('03.Muestra'!$D$8:$D$42))+1,""),ROW()-930)),"")</f>
        <v/>
      </c>
      <c r="D965" s="130" t="str">
        <f t="shared" si="49"/>
        <v/>
      </c>
      <c r="E965" s="107" t="str">
        <f t="shared" si="48"/>
        <v/>
      </c>
      <c r="F965" s="19"/>
      <c r="G965" s="19"/>
      <c r="H965" s="19"/>
      <c r="I965" s="19"/>
      <c r="J965" s="19"/>
      <c r="K965" s="233"/>
      <c r="L965" s="19"/>
      <c r="M965" s="19"/>
      <c r="N965" s="19"/>
      <c r="O965" s="19"/>
      <c r="P965" s="19"/>
      <c r="Q965" s="19"/>
      <c r="R965" s="19"/>
      <c r="S965" s="19"/>
      <c r="T965" s="19"/>
      <c r="U965" s="19"/>
      <c r="V965" s="19"/>
      <c r="W965" s="19"/>
      <c r="X965" s="19"/>
      <c r="Y965" s="19"/>
    </row>
    <row r="966" spans="1:25" ht="12" customHeight="1">
      <c r="B966" s="19"/>
      <c r="C966" s="19"/>
      <c r="D966" s="107"/>
      <c r="E966" s="19"/>
      <c r="F966" s="19"/>
      <c r="G966" s="19"/>
      <c r="H966" s="19"/>
      <c r="I966" s="19"/>
      <c r="J966" s="19"/>
      <c r="K966" s="233"/>
      <c r="L966" s="19"/>
      <c r="M966" s="19"/>
      <c r="N966" s="19"/>
      <c r="O966" s="19"/>
      <c r="P966" s="19"/>
      <c r="Q966" s="19"/>
      <c r="R966" s="19"/>
      <c r="S966" s="19"/>
      <c r="T966" s="19"/>
      <c r="U966" s="19"/>
      <c r="V966" s="19"/>
      <c r="W966" s="19"/>
      <c r="X966" s="19"/>
      <c r="Y966" s="19"/>
    </row>
    <row r="967" spans="1:25" ht="12" customHeight="1">
      <c r="B967" s="126"/>
      <c r="C967" s="19"/>
      <c r="D967" s="107"/>
      <c r="E967" s="112"/>
      <c r="F967" s="19"/>
      <c r="G967" s="19"/>
      <c r="H967" s="19"/>
      <c r="I967" s="19"/>
      <c r="J967" s="19"/>
      <c r="K967" s="233"/>
      <c r="L967" s="19"/>
      <c r="M967" s="19"/>
      <c r="N967" s="19"/>
      <c r="O967" s="19"/>
      <c r="P967" s="19"/>
      <c r="Q967" s="19"/>
      <c r="R967" s="19"/>
      <c r="S967" s="19"/>
      <c r="T967" s="19"/>
      <c r="U967" s="19"/>
      <c r="V967" s="19"/>
      <c r="W967" s="19"/>
      <c r="X967" s="19"/>
      <c r="Y967" s="19"/>
    </row>
    <row r="968" spans="1:25" ht="29.25" customHeight="1">
      <c r="A968" s="218" t="s">
        <v>268</v>
      </c>
      <c r="B968" s="24" t="s">
        <v>90</v>
      </c>
      <c r="C968" s="25" t="s">
        <v>398</v>
      </c>
      <c r="D968" s="26" t="s">
        <v>32</v>
      </c>
      <c r="E968" s="123"/>
      <c r="K968" s="233"/>
      <c r="L968" s="19"/>
      <c r="M968" s="19"/>
      <c r="N968" s="19"/>
      <c r="O968" s="19"/>
      <c r="P968" s="19"/>
      <c r="Q968" s="19"/>
      <c r="R968" s="19"/>
      <c r="S968" s="19"/>
      <c r="T968" s="19"/>
      <c r="U968" s="19"/>
      <c r="V968" s="19"/>
      <c r="W968" s="19"/>
      <c r="X968" s="19"/>
      <c r="Y968" s="19"/>
    </row>
    <row r="969" spans="1:25" ht="12" customHeight="1">
      <c r="A969" s="219" t="n" cm="1">
        <f t="array" ref="A969">IFERROR(INDEX('03.Muestra'!$B$8:$B$42,SMALL(IF("Página Web"='03.Muestra'!$D$8:$D$42,ROW('03.Muestra'!$B$8:$B$42)-MIN(ROW('03.Muestra'!$D$8:$D$42))+1,""),ROW()-968)),"")</f>
        <v>1.0</v>
      </c>
      <c r="B969" s="114" t="str" cm="1">
        <f t="array" ref="B969">IFERROR(INDEX('03.Muestra'!$C$8:$C$42,SMALL(IF("Página Web"='03.Muestra'!$D$8:$D$42,ROW('03.Muestra'!$C$8:$C$42)-MIN(ROW('03.Muestra'!$D$8:$D$42))+1,""),ROW()-968)),"")</f>
        <v>Home - PortCastelló</v>
      </c>
      <c r="C969" s="114" t="str" cm="1">
        <f t="array" ref="C969">IFERROR(INDEX('03.Muestra'!$F$8:$F$42,SMALL(IF("Página Web"='03.Muestra'!$D$8:$D$42,ROW('03.Muestra'!$F$8:$F$42)-MIN(ROW('03.Muestra'!$D$8:$D$42))+1,""),ROW()-968)),"")</f>
        <v>https://www.portcastello.com/</v>
      </c>
      <c r="D969" s="130" t="s">
        <v>37</v>
      </c>
      <c r="E969" s="107" t="str">
        <f t="shared" ref="E969:E1003" si="50">IF(D969&lt;&gt;"",IF(AND(B969&lt;&gt;"",C969&lt;&gt;""),"","ERR"),"")</f>
        <v/>
      </c>
      <c r="F969" s="115" t="s">
        <v>33</v>
      </c>
      <c r="G969" s="116" t="s">
        <v>37</v>
      </c>
      <c r="H969" s="117" t="s">
        <v>35</v>
      </c>
      <c r="I969" s="118" t="s">
        <v>28</v>
      </c>
      <c r="J969" s="119" t="s">
        <v>26</v>
      </c>
      <c r="K969" s="226" t="s">
        <v>474</v>
      </c>
      <c r="L969" s="19"/>
      <c r="M969" s="19"/>
      <c r="N969" s="19"/>
      <c r="O969" s="19"/>
      <c r="P969" s="19"/>
      <c r="Q969" s="19"/>
      <c r="R969" s="19"/>
      <c r="S969" s="19"/>
      <c r="T969" s="19"/>
      <c r="U969" s="19"/>
      <c r="V969" s="19"/>
      <c r="W969" s="19"/>
      <c r="X969" s="19"/>
      <c r="Y969" s="19"/>
    </row>
    <row r="970" spans="1:25" ht="12" customHeight="1">
      <c r="A970" s="219" t="n" cm="1">
        <f t="array" ref="A970">IFERROR(INDEX('03.Muestra'!$B$8:$B$42,SMALL(IF("Página Web"='03.Muestra'!$D$8:$D$42,ROW('03.Muestra'!$B$8:$B$42)-MIN(ROW('03.Muestra'!$D$8:$D$42))+1,""),ROW()-968)),"")</f>
        <v>1.0</v>
      </c>
      <c r="B970" s="114" t="str" cm="1">
        <f t="array" ref="B970">IFERROR(INDEX('03.Muestra'!$C$8:$C$42,SMALL(IF("Página Web"='03.Muestra'!$D$8:$D$42,ROW('03.Muestra'!$C$8:$C$42)-MIN(ROW('03.Muestra'!$D$8:$D$42))+1,""),ROW()-968)),"")</f>
        <v>Home - PortCastelló</v>
      </c>
      <c r="C970" s="114" t="str" cm="1">
        <f t="array" ref="C970">IFERROR(INDEX('03.Muestra'!$F$8:$F$42,SMALL(IF("Página Web"='03.Muestra'!$D$8:$D$42,ROW('03.Muestra'!$F$8:$F$42)-MIN(ROW('03.Muestra'!$D$8:$D$42))+1,""),ROW()-968)),"")</f>
        <v>https://www.portcastello.com/</v>
      </c>
      <c r="D970" s="130" t="s">
        <v>37</v>
      </c>
      <c r="E970" s="107" t="str">
        <f t="shared" si="50"/>
        <v/>
      </c>
      <c r="F970" s="120" t="n">
        <f ca="1">COUNTIF($D969:INDIRECT("$D" &amp;  SUM(ROW()-1,'03.Muestra'!$D$45)-1),F969)</f>
        <v>0.0</v>
      </c>
      <c r="G970" s="120" t="n">
        <f ca="1">COUNTIF($D969:INDIRECT("$D" &amp;  SUM(ROW()-1,'03.Muestra'!$D$45)-1),G969)</f>
        <v>33.0</v>
      </c>
      <c r="H970" s="120" t="n">
        <f ca="1">COUNTIF($D969:INDIRECT("$D" &amp;  SUM(ROW()-1,'03.Muestra'!$D$45)-1),H969)</f>
        <v>0.0</v>
      </c>
      <c r="I970" s="120" t="n">
        <f ca="1">COUNTIF($D969:INDIRECT("$D" &amp;  SUM(ROW()-1,'03.Muestra'!$D$45)-1),I969)</f>
        <v>0.0</v>
      </c>
      <c r="J970" s="120" t="n">
        <f ca="1">COUNTIF($D969:INDIRECT("$D" &amp;  SUM(ROW()-1,'03.Muestra'!$D$45)-1),J969)</f>
        <v>0.0</v>
      </c>
      <c r="K970" s="227" t="n">
        <f ca="1">IF(COUNTIF('03.Muestra'!$D$8:$D$42,"Página Web")=0,0,COUNTBLANK($D969:INDIRECT("$D" &amp;  SUM(ROW()-1,COUNTIF('03.Muestra'!$D$8:$D$42,"Página Web"))-1)))</f>
        <v>0.0</v>
      </c>
      <c r="L970" s="19"/>
      <c r="M970" s="19"/>
      <c r="N970" s="19"/>
      <c r="O970" s="19"/>
      <c r="P970" s="19"/>
      <c r="Q970" s="19"/>
      <c r="R970" s="19"/>
      <c r="S970" s="19"/>
      <c r="T970" s="19"/>
      <c r="U970" s="19"/>
      <c r="V970" s="19"/>
      <c r="W970" s="19"/>
      <c r="X970" s="19"/>
      <c r="Y970" s="19"/>
    </row>
    <row r="971" spans="1:25" ht="12" customHeight="1">
      <c r="A971" s="219" t="n" cm="1">
        <f t="array" ref="A971">IFERROR(INDEX('03.Muestra'!$B$8:$B$42,SMALL(IF("Página Web"='03.Muestra'!$D$8:$D$42,ROW('03.Muestra'!$B$8:$B$42)-MIN(ROW('03.Muestra'!$D$8:$D$42))+1,""),ROW()-968)),"")</f>
        <v>1.0</v>
      </c>
      <c r="B971" s="114" t="str" cm="1">
        <f t="array" ref="B971">IFERROR(INDEX('03.Muestra'!$C$8:$C$42,SMALL(IF("Página Web"='03.Muestra'!$D$8:$D$42,ROW('03.Muestra'!$C$8:$C$42)-MIN(ROW('03.Muestra'!$D$8:$D$42))+1,""),ROW()-968)),"")</f>
        <v>Home - PortCastelló</v>
      </c>
      <c r="C971" s="114" t="str" cm="1">
        <f t="array" ref="C971">IFERROR(INDEX('03.Muestra'!$F$8:$F$42,SMALL(IF("Página Web"='03.Muestra'!$D$8:$D$42,ROW('03.Muestra'!$F$8:$F$42)-MIN(ROW('03.Muestra'!$D$8:$D$42))+1,""),ROW()-968)),"")</f>
        <v>https://www.portcastello.com/</v>
      </c>
      <c r="D971" s="130" t="s">
        <v>37</v>
      </c>
      <c r="E971" s="107" t="str">
        <f t="shared" si="50"/>
        <v/>
      </c>
      <c r="K971" s="233"/>
      <c r="L971" s="19"/>
      <c r="M971" s="19"/>
      <c r="N971" s="19"/>
      <c r="O971" s="19"/>
      <c r="P971" s="19"/>
      <c r="Q971" s="19"/>
      <c r="R971" s="19"/>
      <c r="S971" s="19"/>
      <c r="T971" s="19"/>
      <c r="U971" s="19"/>
      <c r="V971" s="19"/>
      <c r="W971" s="19"/>
      <c r="X971" s="19"/>
      <c r="Y971" s="19"/>
    </row>
    <row r="972" spans="1:25" ht="12" customHeight="1">
      <c r="A972" s="219" t="n" cm="1">
        <f t="array" ref="A972">IFERROR(INDEX('03.Muestra'!$B$8:$B$42,SMALL(IF("Página Web"='03.Muestra'!$D$8:$D$42,ROW('03.Muestra'!$B$8:$B$42)-MIN(ROW('03.Muestra'!$D$8:$D$42))+1,""),ROW()-968)),"")</f>
        <v>1.0</v>
      </c>
      <c r="B972" s="114" t="str" cm="1">
        <f t="array" ref="B972">IFERROR(INDEX('03.Muestra'!$C$8:$C$42,SMALL(IF("Página Web"='03.Muestra'!$D$8:$D$42,ROW('03.Muestra'!$C$8:$C$42)-MIN(ROW('03.Muestra'!$D$8:$D$42))+1,""),ROW()-968)),"")</f>
        <v>Home - PortCastelló</v>
      </c>
      <c r="C972" s="114" t="str" cm="1">
        <f t="array" ref="C972">IFERROR(INDEX('03.Muestra'!$F$8:$F$42,SMALL(IF("Página Web"='03.Muestra'!$D$8:$D$42,ROW('03.Muestra'!$F$8:$F$42)-MIN(ROW('03.Muestra'!$D$8:$D$42))+1,""),ROW()-968)),"")</f>
        <v>https://www.portcastello.com/</v>
      </c>
      <c r="D972" s="130" t="s">
        <v>37</v>
      </c>
      <c r="E972" s="107" t="str">
        <f t="shared" si="50"/>
        <v/>
      </c>
      <c r="G972" s="19"/>
      <c r="H972" s="19"/>
      <c r="I972" s="19"/>
      <c r="J972" s="19"/>
      <c r="K972" s="233"/>
      <c r="L972" s="19"/>
      <c r="M972" s="19"/>
      <c r="N972" s="19"/>
      <c r="O972" s="19"/>
      <c r="P972" s="19"/>
      <c r="Q972" s="19"/>
      <c r="R972" s="19"/>
      <c r="S972" s="19"/>
      <c r="T972" s="19"/>
      <c r="U972" s="19"/>
      <c r="V972" s="19"/>
      <c r="W972" s="19"/>
      <c r="X972" s="19"/>
      <c r="Y972" s="19"/>
    </row>
    <row r="973" spans="1:25" ht="12" customHeight="1">
      <c r="A973" s="219" t="n" cm="1">
        <f t="array" ref="A973">IFERROR(INDEX('03.Muestra'!$B$8:$B$42,SMALL(IF("Página Web"='03.Muestra'!$D$8:$D$42,ROW('03.Muestra'!$B$8:$B$42)-MIN(ROW('03.Muestra'!$D$8:$D$42))+1,""),ROW()-968)),"")</f>
        <v>1.0</v>
      </c>
      <c r="B973" s="114" t="str" cm="1">
        <f t="array" ref="B973">IFERROR(INDEX('03.Muestra'!$C$8:$C$42,SMALL(IF("Página Web"='03.Muestra'!$D$8:$D$42,ROW('03.Muestra'!$C$8:$C$42)-MIN(ROW('03.Muestra'!$D$8:$D$42))+1,""),ROW()-968)),"")</f>
        <v>Home - PortCastelló</v>
      </c>
      <c r="C973" s="114" t="str" cm="1">
        <f t="array" ref="C973">IFERROR(INDEX('03.Muestra'!$F$8:$F$42,SMALL(IF("Página Web"='03.Muestra'!$D$8:$D$42,ROW('03.Muestra'!$F$8:$F$42)-MIN(ROW('03.Muestra'!$D$8:$D$42))+1,""),ROW()-968)),"")</f>
        <v>https://www.portcastello.com/</v>
      </c>
      <c r="D973" s="130" t="s">
        <v>37</v>
      </c>
      <c r="E973" s="107" t="str">
        <f t="shared" si="50"/>
        <v/>
      </c>
      <c r="G973" s="19"/>
      <c r="H973" s="19"/>
      <c r="I973" s="19"/>
      <c r="J973" s="19"/>
      <c r="K973" s="233"/>
      <c r="L973" s="19"/>
      <c r="M973" s="19"/>
      <c r="N973" s="19"/>
      <c r="O973" s="19"/>
      <c r="P973" s="19"/>
      <c r="Q973" s="19"/>
      <c r="R973" s="19"/>
      <c r="S973" s="19"/>
      <c r="T973" s="19"/>
      <c r="U973" s="19"/>
      <c r="V973" s="19"/>
      <c r="W973" s="19"/>
      <c r="X973" s="19"/>
      <c r="Y973" s="19"/>
    </row>
    <row r="974" spans="1:25" ht="12" customHeight="1">
      <c r="A974" s="219" t="n" cm="1">
        <f t="array" ref="A974">IFERROR(INDEX('03.Muestra'!$B$8:$B$42,SMALL(IF("Página Web"='03.Muestra'!$D$8:$D$42,ROW('03.Muestra'!$B$8:$B$42)-MIN(ROW('03.Muestra'!$D$8:$D$42))+1,""),ROW()-968)),"")</f>
        <v>1.0</v>
      </c>
      <c r="B974" s="114" t="str" cm="1">
        <f t="array" ref="B974">IFERROR(INDEX('03.Muestra'!$C$8:$C$42,SMALL(IF("Página Web"='03.Muestra'!$D$8:$D$42,ROW('03.Muestra'!$C$8:$C$42)-MIN(ROW('03.Muestra'!$D$8:$D$42))+1,""),ROW()-968)),"")</f>
        <v>Home - PortCastelló</v>
      </c>
      <c r="C974" s="114" t="str" cm="1">
        <f t="array" ref="C974">IFERROR(INDEX('03.Muestra'!$F$8:$F$42,SMALL(IF("Página Web"='03.Muestra'!$D$8:$D$42,ROW('03.Muestra'!$F$8:$F$42)-MIN(ROW('03.Muestra'!$D$8:$D$42))+1,""),ROW()-968)),"")</f>
        <v>https://www.portcastello.com/</v>
      </c>
      <c r="D974" s="130" t="s">
        <v>37</v>
      </c>
      <c r="E974" s="107" t="str">
        <f t="shared" si="50"/>
        <v/>
      </c>
      <c r="G974" s="19"/>
      <c r="H974" s="19"/>
      <c r="I974" s="19"/>
      <c r="J974" s="19"/>
      <c r="K974" s="233"/>
      <c r="L974" s="19"/>
      <c r="M974" s="19"/>
      <c r="N974" s="19"/>
      <c r="O974" s="19"/>
      <c r="P974" s="19"/>
      <c r="Q974" s="19"/>
      <c r="R974" s="19"/>
      <c r="S974" s="19"/>
      <c r="T974" s="19"/>
      <c r="U974" s="19"/>
      <c r="V974" s="19"/>
      <c r="W974" s="19"/>
      <c r="X974" s="19"/>
      <c r="Y974" s="19"/>
    </row>
    <row r="975" spans="1:25" ht="12" customHeight="1">
      <c r="A975" s="219" t="n" cm="1">
        <f t="array" ref="A975">IFERROR(INDEX('03.Muestra'!$B$8:$B$42,SMALL(IF("Página Web"='03.Muestra'!$D$8:$D$42,ROW('03.Muestra'!$B$8:$B$42)-MIN(ROW('03.Muestra'!$D$8:$D$42))+1,""),ROW()-968)),"")</f>
        <v>1.0</v>
      </c>
      <c r="B975" s="114" t="str" cm="1">
        <f t="array" ref="B975">IFERROR(INDEX('03.Muestra'!$C$8:$C$42,SMALL(IF("Página Web"='03.Muestra'!$D$8:$D$42,ROW('03.Muestra'!$C$8:$C$42)-MIN(ROW('03.Muestra'!$D$8:$D$42))+1,""),ROW()-968)),"")</f>
        <v>Home - PortCastelló</v>
      </c>
      <c r="C975" s="114" t="str" cm="1">
        <f t="array" ref="C975">IFERROR(INDEX('03.Muestra'!$F$8:$F$42,SMALL(IF("Página Web"='03.Muestra'!$D$8:$D$42,ROW('03.Muestra'!$F$8:$F$42)-MIN(ROW('03.Muestra'!$D$8:$D$42))+1,""),ROW()-968)),"")</f>
        <v>https://www.portcastello.com/</v>
      </c>
      <c r="D975" s="130" t="s">
        <v>37</v>
      </c>
      <c r="E975" s="107" t="str">
        <f t="shared" si="50"/>
        <v/>
      </c>
      <c r="F975" s="19"/>
      <c r="G975" s="19"/>
      <c r="H975" s="19"/>
      <c r="I975" s="19"/>
      <c r="J975" s="19"/>
      <c r="K975" s="233"/>
      <c r="L975" s="19"/>
      <c r="M975" s="19"/>
      <c r="N975" s="19"/>
      <c r="O975" s="19"/>
      <c r="P975" s="19"/>
      <c r="Q975" s="19"/>
      <c r="R975" s="19"/>
      <c r="S975" s="19"/>
      <c r="T975" s="19"/>
      <c r="U975" s="19"/>
      <c r="V975" s="19"/>
      <c r="W975" s="19"/>
      <c r="X975" s="19"/>
      <c r="Y975" s="19"/>
    </row>
    <row r="976" spans="1:25" ht="12" customHeight="1">
      <c r="A976" s="219" t="n" cm="1">
        <f t="array" ref="A976">IFERROR(INDEX('03.Muestra'!$B$8:$B$42,SMALL(IF("Página Web"='03.Muestra'!$D$8:$D$42,ROW('03.Muestra'!$B$8:$B$42)-MIN(ROW('03.Muestra'!$D$8:$D$42))+1,""),ROW()-968)),"")</f>
        <v>1.0</v>
      </c>
      <c r="B976" s="114" t="str" cm="1">
        <f t="array" ref="B976">IFERROR(INDEX('03.Muestra'!$C$8:$C$42,SMALL(IF("Página Web"='03.Muestra'!$D$8:$D$42,ROW('03.Muestra'!$C$8:$C$42)-MIN(ROW('03.Muestra'!$D$8:$D$42))+1,""),ROW()-968)),"")</f>
        <v>Home - PortCastelló</v>
      </c>
      <c r="C976" s="114" t="str" cm="1">
        <f t="array" ref="C976">IFERROR(INDEX('03.Muestra'!$F$8:$F$42,SMALL(IF("Página Web"='03.Muestra'!$D$8:$D$42,ROW('03.Muestra'!$F$8:$F$42)-MIN(ROW('03.Muestra'!$D$8:$D$42))+1,""),ROW()-968)),"")</f>
        <v>https://www.portcastello.com/</v>
      </c>
      <c r="D976" s="130" t="s">
        <v>37</v>
      </c>
      <c r="E976" s="107" t="str">
        <f t="shared" si="50"/>
        <v/>
      </c>
      <c r="F976" s="19"/>
      <c r="G976" s="19"/>
      <c r="H976" s="19"/>
      <c r="I976" s="19"/>
      <c r="J976" s="19"/>
      <c r="K976" s="233"/>
      <c r="L976" s="19"/>
      <c r="M976" s="19"/>
      <c r="N976" s="19"/>
      <c r="O976" s="19"/>
      <c r="P976" s="19"/>
      <c r="Q976" s="19"/>
      <c r="R976" s="19"/>
      <c r="S976" s="19"/>
      <c r="T976" s="19"/>
      <c r="U976" s="19"/>
      <c r="V976" s="19"/>
      <c r="W976" s="19"/>
      <c r="X976" s="19"/>
      <c r="Y976" s="19"/>
    </row>
    <row r="977" spans="1:25" ht="12" customHeight="1">
      <c r="A977" s="219" t="n" cm="1">
        <f t="array" ref="A977">IFERROR(INDEX('03.Muestra'!$B$8:$B$42,SMALL(IF("Página Web"='03.Muestra'!$D$8:$D$42,ROW('03.Muestra'!$B$8:$B$42)-MIN(ROW('03.Muestra'!$D$8:$D$42))+1,""),ROW()-968)),"")</f>
        <v>1.0</v>
      </c>
      <c r="B977" s="114" t="str" cm="1">
        <f t="array" ref="B977">IFERROR(INDEX('03.Muestra'!$C$8:$C$42,SMALL(IF("Página Web"='03.Muestra'!$D$8:$D$42,ROW('03.Muestra'!$C$8:$C$42)-MIN(ROW('03.Muestra'!$D$8:$D$42))+1,""),ROW()-968)),"")</f>
        <v>Home - PortCastelló</v>
      </c>
      <c r="C977" s="114" t="str" cm="1">
        <f t="array" ref="C977">IFERROR(INDEX('03.Muestra'!$F$8:$F$42,SMALL(IF("Página Web"='03.Muestra'!$D$8:$D$42,ROW('03.Muestra'!$F$8:$F$42)-MIN(ROW('03.Muestra'!$D$8:$D$42))+1,""),ROW()-968)),"")</f>
        <v>https://www.portcastello.com/</v>
      </c>
      <c r="D977" s="130" t="s">
        <v>37</v>
      </c>
      <c r="E977" s="107" t="str">
        <f t="shared" si="50"/>
        <v/>
      </c>
      <c r="F977" s="19"/>
      <c r="G977" s="19"/>
      <c r="H977" s="19"/>
      <c r="I977" s="19"/>
      <c r="J977" s="19"/>
      <c r="K977" s="233"/>
      <c r="L977" s="19"/>
      <c r="M977" s="19"/>
      <c r="N977" s="19"/>
      <c r="O977" s="19"/>
      <c r="P977" s="19"/>
      <c r="Q977" s="19"/>
      <c r="R977" s="19"/>
      <c r="S977" s="19"/>
      <c r="T977" s="19"/>
      <c r="U977" s="19"/>
      <c r="V977" s="19"/>
      <c r="W977" s="19"/>
      <c r="X977" s="19"/>
      <c r="Y977" s="19"/>
    </row>
    <row r="978" spans="1:25" ht="12" customHeight="1">
      <c r="A978" s="219" t="n" cm="1">
        <f t="array" ref="A978">IFERROR(INDEX('03.Muestra'!$B$8:$B$42,SMALL(IF("Página Web"='03.Muestra'!$D$8:$D$42,ROW('03.Muestra'!$B$8:$B$42)-MIN(ROW('03.Muestra'!$D$8:$D$42))+1,""),ROW()-968)),"")</f>
        <v>1.0</v>
      </c>
      <c r="B978" s="114" t="str" cm="1">
        <f t="array" ref="B978">IFERROR(INDEX('03.Muestra'!$C$8:$C$42,SMALL(IF("Página Web"='03.Muestra'!$D$8:$D$42,ROW('03.Muestra'!$C$8:$C$42)-MIN(ROW('03.Muestra'!$D$8:$D$42))+1,""),ROW()-968)),"")</f>
        <v>Home - PortCastelló</v>
      </c>
      <c r="C978" s="114" t="str" cm="1">
        <f t="array" ref="C978">IFERROR(INDEX('03.Muestra'!$F$8:$F$42,SMALL(IF("Página Web"='03.Muestra'!$D$8:$D$42,ROW('03.Muestra'!$F$8:$F$42)-MIN(ROW('03.Muestra'!$D$8:$D$42))+1,""),ROW()-968)),"")</f>
        <v>https://www.portcastello.com/</v>
      </c>
      <c r="D978" s="130" t="s">
        <v>37</v>
      </c>
      <c r="E978" s="107" t="str">
        <f t="shared" si="50"/>
        <v/>
      </c>
      <c r="F978" s="19"/>
      <c r="G978" s="19"/>
      <c r="H978" s="19"/>
      <c r="I978" s="19"/>
      <c r="J978" s="19"/>
      <c r="K978" s="233"/>
      <c r="L978" s="19"/>
      <c r="M978" s="19"/>
      <c r="N978" s="19"/>
      <c r="O978" s="19"/>
      <c r="P978" s="19"/>
      <c r="Q978" s="19"/>
      <c r="R978" s="19"/>
      <c r="S978" s="19"/>
      <c r="T978" s="19"/>
      <c r="U978" s="19"/>
      <c r="V978" s="19"/>
      <c r="W978" s="19"/>
      <c r="X978" s="19"/>
      <c r="Y978" s="19"/>
    </row>
    <row r="979" spans="1:25" ht="12" customHeight="1">
      <c r="A979" s="219" t="n" cm="1">
        <f t="array" ref="A979">IFERROR(INDEX('03.Muestra'!$B$8:$B$42,SMALL(IF("Página Web"='03.Muestra'!$D$8:$D$42,ROW('03.Muestra'!$B$8:$B$42)-MIN(ROW('03.Muestra'!$D$8:$D$42))+1,""),ROW()-968)),"")</f>
        <v>1.0</v>
      </c>
      <c r="B979" s="114" t="str" cm="1">
        <f t="array" ref="B979">IFERROR(INDEX('03.Muestra'!$C$8:$C$42,SMALL(IF("Página Web"='03.Muestra'!$D$8:$D$42,ROW('03.Muestra'!$C$8:$C$42)-MIN(ROW('03.Muestra'!$D$8:$D$42))+1,""),ROW()-968)),"")</f>
        <v>Home - PortCastelló</v>
      </c>
      <c r="C979" s="114" t="str" cm="1">
        <f t="array" ref="C979">IFERROR(INDEX('03.Muestra'!$F$8:$F$42,SMALL(IF("Página Web"='03.Muestra'!$D$8:$D$42,ROW('03.Muestra'!$F$8:$F$42)-MIN(ROW('03.Muestra'!$D$8:$D$42))+1,""),ROW()-968)),"")</f>
        <v>https://www.portcastello.com/</v>
      </c>
      <c r="D979" s="130" t="s">
        <v>37</v>
      </c>
      <c r="E979" s="107" t="str">
        <f t="shared" si="50"/>
        <v/>
      </c>
      <c r="F979" s="19"/>
      <c r="G979" s="19"/>
      <c r="H979" s="19"/>
      <c r="I979" s="19"/>
      <c r="J979" s="19"/>
      <c r="K979" s="233"/>
      <c r="L979" s="19"/>
      <c r="M979" s="19"/>
      <c r="N979" s="19"/>
      <c r="O979" s="19"/>
      <c r="P979" s="19"/>
      <c r="Q979" s="19"/>
      <c r="R979" s="19"/>
      <c r="S979" s="19"/>
      <c r="T979" s="19"/>
      <c r="U979" s="19"/>
      <c r="V979" s="19"/>
      <c r="W979" s="19"/>
      <c r="X979" s="19"/>
      <c r="Y979" s="19"/>
    </row>
    <row r="980" spans="1:25" ht="12" customHeight="1">
      <c r="A980" s="219" t="n" cm="1">
        <f t="array" ref="A980">IFERROR(INDEX('03.Muestra'!$B$8:$B$42,SMALL(IF("Página Web"='03.Muestra'!$D$8:$D$42,ROW('03.Muestra'!$B$8:$B$42)-MIN(ROW('03.Muestra'!$D$8:$D$42))+1,""),ROW()-968)),"")</f>
        <v>1.0</v>
      </c>
      <c r="B980" s="114" t="str" cm="1">
        <f t="array" ref="B980">IFERROR(INDEX('03.Muestra'!$C$8:$C$42,SMALL(IF("Página Web"='03.Muestra'!$D$8:$D$42,ROW('03.Muestra'!$C$8:$C$42)-MIN(ROW('03.Muestra'!$D$8:$D$42))+1,""),ROW()-968)),"")</f>
        <v>Home - PortCastelló</v>
      </c>
      <c r="C980" s="114" t="str" cm="1">
        <f t="array" ref="C980">IFERROR(INDEX('03.Muestra'!$F$8:$F$42,SMALL(IF("Página Web"='03.Muestra'!$D$8:$D$42,ROW('03.Muestra'!$F$8:$F$42)-MIN(ROW('03.Muestra'!$D$8:$D$42))+1,""),ROW()-968)),"")</f>
        <v>https://www.portcastello.com/</v>
      </c>
      <c r="D980" s="130" t="s">
        <v>37</v>
      </c>
      <c r="E980" s="107" t="str">
        <f t="shared" si="50"/>
        <v/>
      </c>
      <c r="F980" s="19"/>
      <c r="G980" s="19"/>
      <c r="H980" s="19"/>
      <c r="I980" s="19"/>
      <c r="J980" s="19"/>
      <c r="K980" s="233"/>
      <c r="L980" s="19"/>
      <c r="M980" s="19"/>
      <c r="N980" s="19"/>
      <c r="O980" s="19"/>
      <c r="P980" s="19"/>
      <c r="Q980" s="19"/>
      <c r="R980" s="19"/>
      <c r="S980" s="19"/>
      <c r="T980" s="19"/>
      <c r="U980" s="19"/>
      <c r="V980" s="19"/>
      <c r="W980" s="19"/>
      <c r="X980" s="19"/>
      <c r="Y980" s="19"/>
    </row>
    <row r="981" spans="1:25" ht="12" customHeight="1">
      <c r="A981" s="219" t="n" cm="1">
        <f t="array" ref="A981">IFERROR(INDEX('03.Muestra'!$B$8:$B$42,SMALL(IF("Página Web"='03.Muestra'!$D$8:$D$42,ROW('03.Muestra'!$B$8:$B$42)-MIN(ROW('03.Muestra'!$D$8:$D$42))+1,""),ROW()-968)),"")</f>
        <v>1.0</v>
      </c>
      <c r="B981" s="114" t="str" cm="1">
        <f t="array" ref="B981">IFERROR(INDEX('03.Muestra'!$C$8:$C$42,SMALL(IF("Página Web"='03.Muestra'!$D$8:$D$42,ROW('03.Muestra'!$C$8:$C$42)-MIN(ROW('03.Muestra'!$D$8:$D$42))+1,""),ROW()-968)),"")</f>
        <v>Home - PortCastelló</v>
      </c>
      <c r="C981" s="114" t="str" cm="1">
        <f t="array" ref="C981">IFERROR(INDEX('03.Muestra'!$F$8:$F$42,SMALL(IF("Página Web"='03.Muestra'!$D$8:$D$42,ROW('03.Muestra'!$F$8:$F$42)-MIN(ROW('03.Muestra'!$D$8:$D$42))+1,""),ROW()-968)),"")</f>
        <v>https://www.portcastello.com/</v>
      </c>
      <c r="D981" s="130" t="s">
        <v>37</v>
      </c>
      <c r="E981" s="107" t="str">
        <f t="shared" si="50"/>
        <v/>
      </c>
      <c r="F981" s="19"/>
      <c r="G981" s="19"/>
      <c r="H981" s="19"/>
      <c r="I981" s="19"/>
      <c r="J981" s="19"/>
      <c r="K981" s="233"/>
      <c r="L981" s="19"/>
      <c r="M981" s="19"/>
      <c r="N981" s="19"/>
      <c r="O981" s="19"/>
      <c r="P981" s="19"/>
      <c r="Q981" s="19"/>
      <c r="R981" s="19"/>
      <c r="S981" s="19"/>
      <c r="T981" s="19"/>
      <c r="U981" s="19"/>
      <c r="V981" s="19"/>
      <c r="W981" s="19"/>
      <c r="X981" s="19"/>
      <c r="Y981" s="19"/>
    </row>
    <row r="982" spans="1:25" ht="12" customHeight="1">
      <c r="A982" s="219" t="n" cm="1">
        <f t="array" ref="A982">IFERROR(INDEX('03.Muestra'!$B$8:$B$42,SMALL(IF("Página Web"='03.Muestra'!$D$8:$D$42,ROW('03.Muestra'!$B$8:$B$42)-MIN(ROW('03.Muestra'!$D$8:$D$42))+1,""),ROW()-968)),"")</f>
        <v>1.0</v>
      </c>
      <c r="B982" s="114" t="str" cm="1">
        <f t="array" ref="B982">IFERROR(INDEX('03.Muestra'!$C$8:$C$42,SMALL(IF("Página Web"='03.Muestra'!$D$8:$D$42,ROW('03.Muestra'!$C$8:$C$42)-MIN(ROW('03.Muestra'!$D$8:$D$42))+1,""),ROW()-968)),"")</f>
        <v>Home - PortCastelló</v>
      </c>
      <c r="C982" s="114" t="str" cm="1">
        <f t="array" ref="C982">IFERROR(INDEX('03.Muestra'!$F$8:$F$42,SMALL(IF("Página Web"='03.Muestra'!$D$8:$D$42,ROW('03.Muestra'!$F$8:$F$42)-MIN(ROW('03.Muestra'!$D$8:$D$42))+1,""),ROW()-968)),"")</f>
        <v>https://www.portcastello.com/</v>
      </c>
      <c r="D982" s="130" t="s">
        <v>37</v>
      </c>
      <c r="E982" s="107" t="str">
        <f t="shared" si="50"/>
        <v/>
      </c>
      <c r="F982" s="19"/>
      <c r="G982" s="19"/>
      <c r="H982" s="19"/>
      <c r="I982" s="19"/>
      <c r="J982" s="19"/>
      <c r="K982" s="233"/>
      <c r="L982" s="19"/>
      <c r="M982" s="19"/>
      <c r="N982" s="19"/>
      <c r="O982" s="19"/>
      <c r="P982" s="19"/>
      <c r="Q982" s="19"/>
      <c r="R982" s="19"/>
      <c r="S982" s="19"/>
      <c r="T982" s="19"/>
      <c r="U982" s="19"/>
      <c r="V982" s="19"/>
      <c r="W982" s="19"/>
      <c r="X982" s="19"/>
      <c r="Y982" s="19"/>
    </row>
    <row r="983" spans="1:25" ht="12" customHeight="1">
      <c r="A983" s="219" t="n" cm="1">
        <f t="array" ref="A983">IFERROR(INDEX('03.Muestra'!$B$8:$B$42,SMALL(IF("Página Web"='03.Muestra'!$D$8:$D$42,ROW('03.Muestra'!$B$8:$B$42)-MIN(ROW('03.Muestra'!$D$8:$D$42))+1,""),ROW()-968)),"")</f>
        <v>1.0</v>
      </c>
      <c r="B983" s="114" t="str" cm="1">
        <f t="array" ref="B983">IFERROR(INDEX('03.Muestra'!$C$8:$C$42,SMALL(IF("Página Web"='03.Muestra'!$D$8:$D$42,ROW('03.Muestra'!$C$8:$C$42)-MIN(ROW('03.Muestra'!$D$8:$D$42))+1,""),ROW()-968)),"")</f>
        <v>Home - PortCastelló</v>
      </c>
      <c r="C983" s="114" t="str" cm="1">
        <f t="array" ref="C983">IFERROR(INDEX('03.Muestra'!$F$8:$F$42,SMALL(IF("Página Web"='03.Muestra'!$D$8:$D$42,ROW('03.Muestra'!$F$8:$F$42)-MIN(ROW('03.Muestra'!$D$8:$D$42))+1,""),ROW()-968)),"")</f>
        <v>https://www.portcastello.com/</v>
      </c>
      <c r="D983" s="130" t="s">
        <v>37</v>
      </c>
      <c r="E983" s="107" t="str">
        <f t="shared" si="50"/>
        <v/>
      </c>
      <c r="F983" s="19"/>
      <c r="G983" s="19"/>
      <c r="H983" s="19"/>
      <c r="I983" s="19"/>
      <c r="J983" s="19"/>
      <c r="K983" s="233"/>
      <c r="L983" s="19"/>
      <c r="M983" s="19"/>
      <c r="N983" s="19"/>
      <c r="O983" s="19"/>
      <c r="P983" s="19"/>
      <c r="Q983" s="19"/>
      <c r="R983" s="19"/>
      <c r="S983" s="19"/>
      <c r="T983" s="19"/>
      <c r="U983" s="19"/>
      <c r="V983" s="19"/>
      <c r="W983" s="19"/>
      <c r="X983" s="19"/>
      <c r="Y983" s="19"/>
    </row>
    <row r="984" spans="1:25" ht="12" customHeight="1">
      <c r="A984" s="219" t="n" cm="1">
        <f t="array" ref="A984">IFERROR(INDEX('03.Muestra'!$B$8:$B$42,SMALL(IF("Página Web"='03.Muestra'!$D$8:$D$42,ROW('03.Muestra'!$B$8:$B$42)-MIN(ROW('03.Muestra'!$D$8:$D$42))+1,""),ROW()-968)),"")</f>
        <v>1.0</v>
      </c>
      <c r="B984" s="114" t="str" cm="1">
        <f t="array" ref="B984">IFERROR(INDEX('03.Muestra'!$C$8:$C$42,SMALL(IF("Página Web"='03.Muestra'!$D$8:$D$42,ROW('03.Muestra'!$C$8:$C$42)-MIN(ROW('03.Muestra'!$D$8:$D$42))+1,""),ROW()-968)),"")</f>
        <v>Home - PortCastelló</v>
      </c>
      <c r="C984" s="114" t="str" cm="1">
        <f t="array" ref="C984">IFERROR(INDEX('03.Muestra'!$F$8:$F$42,SMALL(IF("Página Web"='03.Muestra'!$D$8:$D$42,ROW('03.Muestra'!$F$8:$F$42)-MIN(ROW('03.Muestra'!$D$8:$D$42))+1,""),ROW()-968)),"")</f>
        <v>https://www.portcastello.com/</v>
      </c>
      <c r="D984" s="130" t="s">
        <v>37</v>
      </c>
      <c r="E984" s="107" t="str">
        <f t="shared" si="50"/>
        <v/>
      </c>
      <c r="F984" s="19"/>
      <c r="G984" s="19"/>
      <c r="H984" s="19"/>
      <c r="I984" s="19"/>
      <c r="J984" s="19"/>
      <c r="K984" s="233"/>
      <c r="L984" s="19"/>
      <c r="M984" s="19"/>
      <c r="N984" s="19"/>
      <c r="O984" s="19"/>
      <c r="P984" s="19"/>
      <c r="Q984" s="19"/>
      <c r="R984" s="19"/>
      <c r="S984" s="19"/>
      <c r="T984" s="19"/>
      <c r="U984" s="19"/>
      <c r="V984" s="19"/>
      <c r="W984" s="19"/>
      <c r="X984" s="19"/>
      <c r="Y984" s="19"/>
    </row>
    <row r="985" spans="1:25" ht="12" customHeight="1">
      <c r="A985" s="219" t="n" cm="1">
        <f t="array" ref="A985">IFERROR(INDEX('03.Muestra'!$B$8:$B$42,SMALL(IF("Página Web"='03.Muestra'!$D$8:$D$42,ROW('03.Muestra'!$B$8:$B$42)-MIN(ROW('03.Muestra'!$D$8:$D$42))+1,""),ROW()-968)),"")</f>
        <v>1.0</v>
      </c>
      <c r="B985" s="114" t="str" cm="1">
        <f t="array" ref="B985">IFERROR(INDEX('03.Muestra'!$C$8:$C$42,SMALL(IF("Página Web"='03.Muestra'!$D$8:$D$42,ROW('03.Muestra'!$C$8:$C$42)-MIN(ROW('03.Muestra'!$D$8:$D$42))+1,""),ROW()-968)),"")</f>
        <v>Home - PortCastelló</v>
      </c>
      <c r="C985" s="114" t="str" cm="1">
        <f t="array" ref="C985">IFERROR(INDEX('03.Muestra'!$F$8:$F$42,SMALL(IF("Página Web"='03.Muestra'!$D$8:$D$42,ROW('03.Muestra'!$F$8:$F$42)-MIN(ROW('03.Muestra'!$D$8:$D$42))+1,""),ROW()-968)),"")</f>
        <v>https://www.portcastello.com/</v>
      </c>
      <c r="D985" s="130" t="s">
        <v>37</v>
      </c>
      <c r="E985" s="107" t="str">
        <f t="shared" si="50"/>
        <v/>
      </c>
      <c r="F985" s="19"/>
      <c r="G985" s="19"/>
      <c r="H985" s="19"/>
      <c r="I985" s="19"/>
      <c r="J985" s="19"/>
      <c r="K985" s="233"/>
      <c r="L985" s="19"/>
      <c r="M985" s="19"/>
      <c r="N985" s="19"/>
      <c r="O985" s="19"/>
      <c r="P985" s="19"/>
      <c r="Q985" s="19"/>
      <c r="R985" s="19"/>
      <c r="S985" s="19"/>
      <c r="T985" s="19"/>
      <c r="U985" s="19"/>
      <c r="V985" s="19"/>
      <c r="W985" s="19"/>
      <c r="X985" s="19"/>
      <c r="Y985" s="19"/>
    </row>
    <row r="986" spans="1:25" ht="12" customHeight="1">
      <c r="A986" s="219" t="n" cm="1">
        <f t="array" ref="A986">IFERROR(INDEX('03.Muestra'!$B$8:$B$42,SMALL(IF("Página Web"='03.Muestra'!$D$8:$D$42,ROW('03.Muestra'!$B$8:$B$42)-MIN(ROW('03.Muestra'!$D$8:$D$42))+1,""),ROW()-968)),"")</f>
        <v>1.0</v>
      </c>
      <c r="B986" s="114" t="str" cm="1">
        <f t="array" ref="B986">IFERROR(INDEX('03.Muestra'!$C$8:$C$42,SMALL(IF("Página Web"='03.Muestra'!$D$8:$D$42,ROW('03.Muestra'!$C$8:$C$42)-MIN(ROW('03.Muestra'!$D$8:$D$42))+1,""),ROW()-968)),"")</f>
        <v>Home - PortCastelló</v>
      </c>
      <c r="C986" s="114" t="str" cm="1">
        <f t="array" ref="C986">IFERROR(INDEX('03.Muestra'!$F$8:$F$42,SMALL(IF("Página Web"='03.Muestra'!$D$8:$D$42,ROW('03.Muestra'!$F$8:$F$42)-MIN(ROW('03.Muestra'!$D$8:$D$42))+1,""),ROW()-968)),"")</f>
        <v>https://www.portcastello.com/</v>
      </c>
      <c r="D986" s="130" t="s">
        <v>37</v>
      </c>
      <c r="E986" s="107" t="str">
        <f t="shared" si="50"/>
        <v/>
      </c>
      <c r="F986" s="19"/>
      <c r="G986" s="19"/>
      <c r="H986" s="19"/>
      <c r="I986" s="19"/>
      <c r="J986" s="19"/>
      <c r="K986" s="233"/>
      <c r="L986" s="19"/>
      <c r="M986" s="19"/>
      <c r="N986" s="19"/>
      <c r="O986" s="19"/>
      <c r="P986" s="19"/>
      <c r="Q986" s="19"/>
      <c r="R986" s="19"/>
      <c r="S986" s="19"/>
      <c r="T986" s="19"/>
      <c r="U986" s="19"/>
      <c r="V986" s="19"/>
      <c r="W986" s="19"/>
      <c r="X986" s="19"/>
      <c r="Y986" s="19"/>
    </row>
    <row r="987" spans="1:25" ht="12" customHeight="1">
      <c r="A987" s="219" t="n" cm="1">
        <f t="array" ref="A987">IFERROR(INDEX('03.Muestra'!$B$8:$B$42,SMALL(IF("Página Web"='03.Muestra'!$D$8:$D$42,ROW('03.Muestra'!$B$8:$B$42)-MIN(ROW('03.Muestra'!$D$8:$D$42))+1,""),ROW()-968)),"")</f>
        <v>1.0</v>
      </c>
      <c r="B987" s="114" t="str" cm="1">
        <f t="array" ref="B987">IFERROR(INDEX('03.Muestra'!$C$8:$C$42,SMALL(IF("Página Web"='03.Muestra'!$D$8:$D$42,ROW('03.Muestra'!$C$8:$C$42)-MIN(ROW('03.Muestra'!$D$8:$D$42))+1,""),ROW()-968)),"")</f>
        <v>Home - PortCastelló</v>
      </c>
      <c r="C987" s="114" t="str" cm="1">
        <f t="array" ref="C987">IFERROR(INDEX('03.Muestra'!$F$8:$F$42,SMALL(IF("Página Web"='03.Muestra'!$D$8:$D$42,ROW('03.Muestra'!$F$8:$F$42)-MIN(ROW('03.Muestra'!$D$8:$D$42))+1,""),ROW()-968)),"")</f>
        <v>https://www.portcastello.com/</v>
      </c>
      <c r="D987" s="130" t="s">
        <v>37</v>
      </c>
      <c r="E987" s="107" t="str">
        <f t="shared" si="50"/>
        <v/>
      </c>
      <c r="F987" s="19"/>
      <c r="G987" s="19"/>
      <c r="H987" s="19"/>
      <c r="I987" s="19"/>
      <c r="J987" s="19"/>
      <c r="K987" s="233"/>
      <c r="L987" s="19"/>
      <c r="M987" s="19"/>
      <c r="N987" s="19"/>
      <c r="O987" s="19"/>
      <c r="P987" s="19"/>
      <c r="Q987" s="19"/>
      <c r="R987" s="19"/>
      <c r="S987" s="19"/>
      <c r="T987" s="19"/>
      <c r="U987" s="19"/>
      <c r="V987" s="19"/>
      <c r="W987" s="19"/>
      <c r="X987" s="19"/>
      <c r="Y987" s="19"/>
    </row>
    <row r="988" spans="1:25" ht="12" customHeight="1">
      <c r="A988" s="219" t="n" cm="1">
        <f t="array" ref="A988">IFERROR(INDEX('03.Muestra'!$B$8:$B$42,SMALL(IF("Página Web"='03.Muestra'!$D$8:$D$42,ROW('03.Muestra'!$B$8:$B$42)-MIN(ROW('03.Muestra'!$D$8:$D$42))+1,""),ROW()-968)),"")</f>
        <v>1.0</v>
      </c>
      <c r="B988" s="114" t="str" cm="1">
        <f t="array" ref="B988">IFERROR(INDEX('03.Muestra'!$C$8:$C$42,SMALL(IF("Página Web"='03.Muestra'!$D$8:$D$42,ROW('03.Muestra'!$C$8:$C$42)-MIN(ROW('03.Muestra'!$D$8:$D$42))+1,""),ROW()-968)),"")</f>
        <v>Home - PortCastelló</v>
      </c>
      <c r="C988" s="114" t="str" cm="1">
        <f t="array" ref="C988">IFERROR(INDEX('03.Muestra'!$F$8:$F$42,SMALL(IF("Página Web"='03.Muestra'!$D$8:$D$42,ROW('03.Muestra'!$F$8:$F$42)-MIN(ROW('03.Muestra'!$D$8:$D$42))+1,""),ROW()-968)),"")</f>
        <v>https://www.portcastello.com/</v>
      </c>
      <c r="D988" s="130" t="s">
        <v>37</v>
      </c>
      <c r="E988" s="107" t="str">
        <f t="shared" si="50"/>
        <v/>
      </c>
      <c r="F988" s="19"/>
      <c r="G988" s="19"/>
      <c r="H988" s="19"/>
      <c r="I988" s="19"/>
      <c r="J988" s="19"/>
      <c r="K988" s="233"/>
      <c r="L988" s="19"/>
      <c r="M988" s="19"/>
      <c r="N988" s="19"/>
      <c r="O988" s="19"/>
      <c r="P988" s="19"/>
      <c r="Q988" s="19"/>
      <c r="R988" s="19"/>
      <c r="S988" s="19"/>
      <c r="T988" s="19"/>
      <c r="U988" s="19"/>
      <c r="V988" s="19"/>
      <c r="W988" s="19"/>
      <c r="X988" s="19"/>
      <c r="Y988" s="19"/>
    </row>
    <row r="989" spans="1:25" ht="12" customHeight="1">
      <c r="A989" s="219" t="n" cm="1">
        <f t="array" ref="A989">IFERROR(INDEX('03.Muestra'!$B$8:$B$42,SMALL(IF("Página Web"='03.Muestra'!$D$8:$D$42,ROW('03.Muestra'!$B$8:$B$42)-MIN(ROW('03.Muestra'!$D$8:$D$42))+1,""),ROW()-968)),"")</f>
        <v>1.0</v>
      </c>
      <c r="B989" s="114" t="str" cm="1">
        <f t="array" ref="B989">IFERROR(INDEX('03.Muestra'!$C$8:$C$42,SMALL(IF("Página Web"='03.Muestra'!$D$8:$D$42,ROW('03.Muestra'!$C$8:$C$42)-MIN(ROW('03.Muestra'!$D$8:$D$42))+1,""),ROW()-968)),"")</f>
        <v>Home - PortCastelló</v>
      </c>
      <c r="C989" s="114" t="str" cm="1">
        <f t="array" ref="C989">IFERROR(INDEX('03.Muestra'!$F$8:$F$42,SMALL(IF("Página Web"='03.Muestra'!$D$8:$D$42,ROW('03.Muestra'!$F$8:$F$42)-MIN(ROW('03.Muestra'!$D$8:$D$42))+1,""),ROW()-968)),"")</f>
        <v>https://www.portcastello.com/</v>
      </c>
      <c r="D989" s="130" t="s">
        <v>37</v>
      </c>
      <c r="E989" s="107" t="str">
        <f t="shared" si="50"/>
        <v/>
      </c>
      <c r="F989" s="19"/>
      <c r="G989" s="19"/>
      <c r="H989" s="19"/>
      <c r="I989" s="19"/>
      <c r="J989" s="19"/>
      <c r="K989" s="233"/>
      <c r="L989" s="19"/>
      <c r="M989" s="19"/>
      <c r="N989" s="19"/>
      <c r="O989" s="19"/>
      <c r="P989" s="19"/>
      <c r="Q989" s="19"/>
      <c r="R989" s="19"/>
      <c r="S989" s="19"/>
      <c r="T989" s="19"/>
      <c r="U989" s="19"/>
      <c r="V989" s="19"/>
      <c r="W989" s="19"/>
      <c r="X989" s="19"/>
      <c r="Y989" s="19"/>
    </row>
    <row r="990" spans="1:25" ht="12" customHeight="1">
      <c r="A990" s="219" t="n" cm="1">
        <f t="array" ref="A990">IFERROR(INDEX('03.Muestra'!$B$8:$B$42,SMALL(IF("Página Web"='03.Muestra'!$D$8:$D$42,ROW('03.Muestra'!$B$8:$B$42)-MIN(ROW('03.Muestra'!$D$8:$D$42))+1,""),ROW()-968)),"")</f>
        <v>1.0</v>
      </c>
      <c r="B990" s="114" t="str" cm="1">
        <f t="array" ref="B990">IFERROR(INDEX('03.Muestra'!$C$8:$C$42,SMALL(IF("Página Web"='03.Muestra'!$D$8:$D$42,ROW('03.Muestra'!$C$8:$C$42)-MIN(ROW('03.Muestra'!$D$8:$D$42))+1,""),ROW()-968)),"")</f>
        <v>Home - PortCastelló</v>
      </c>
      <c r="C990" s="114" t="str" cm="1">
        <f t="array" ref="C990">IFERROR(INDEX('03.Muestra'!$F$8:$F$42,SMALL(IF("Página Web"='03.Muestra'!$D$8:$D$42,ROW('03.Muestra'!$F$8:$F$42)-MIN(ROW('03.Muestra'!$D$8:$D$42))+1,""),ROW()-968)),"")</f>
        <v>https://www.portcastello.com/</v>
      </c>
      <c r="D990" s="130" t="s">
        <v>37</v>
      </c>
      <c r="E990" s="107" t="str">
        <f t="shared" si="50"/>
        <v/>
      </c>
      <c r="F990" s="19"/>
      <c r="G990" s="19"/>
      <c r="H990" s="19"/>
      <c r="I990" s="19"/>
      <c r="J990" s="19"/>
      <c r="K990" s="233"/>
      <c r="L990" s="19"/>
      <c r="M990" s="19"/>
      <c r="N990" s="19"/>
      <c r="O990" s="19"/>
      <c r="P990" s="19"/>
      <c r="Q990" s="19"/>
      <c r="R990" s="19"/>
      <c r="S990" s="19"/>
      <c r="T990" s="19"/>
      <c r="U990" s="19"/>
      <c r="V990" s="19"/>
      <c r="W990" s="19"/>
      <c r="X990" s="19"/>
      <c r="Y990" s="19"/>
    </row>
    <row r="991" spans="1:25" ht="12" customHeight="1">
      <c r="A991" s="219" t="n" cm="1">
        <f t="array" ref="A991">IFERROR(INDEX('03.Muestra'!$B$8:$B$42,SMALL(IF("Página Web"='03.Muestra'!$D$8:$D$42,ROW('03.Muestra'!$B$8:$B$42)-MIN(ROW('03.Muestra'!$D$8:$D$42))+1,""),ROW()-968)),"")</f>
        <v>1.0</v>
      </c>
      <c r="B991" s="114" t="str" cm="1">
        <f t="array" ref="B991">IFERROR(INDEX('03.Muestra'!$C$8:$C$42,SMALL(IF("Página Web"='03.Muestra'!$D$8:$D$42,ROW('03.Muestra'!$C$8:$C$42)-MIN(ROW('03.Muestra'!$D$8:$D$42))+1,""),ROW()-968)),"")</f>
        <v>Home - PortCastelló</v>
      </c>
      <c r="C991" s="114" t="str" cm="1">
        <f t="array" ref="C991">IFERROR(INDEX('03.Muestra'!$F$8:$F$42,SMALL(IF("Página Web"='03.Muestra'!$D$8:$D$42,ROW('03.Muestra'!$F$8:$F$42)-MIN(ROW('03.Muestra'!$D$8:$D$42))+1,""),ROW()-968)),"")</f>
        <v>https://www.portcastello.com/</v>
      </c>
      <c r="D991" s="130" t="s">
        <v>37</v>
      </c>
      <c r="E991" s="107" t="str">
        <f t="shared" si="50"/>
        <v/>
      </c>
      <c r="F991" s="19"/>
      <c r="G991" s="19"/>
      <c r="H991" s="19"/>
      <c r="I991" s="19"/>
      <c r="J991" s="19"/>
      <c r="K991" s="233"/>
      <c r="L991" s="19"/>
      <c r="M991" s="19"/>
      <c r="N991" s="19"/>
      <c r="O991" s="19"/>
      <c r="P991" s="19"/>
      <c r="Q991" s="19"/>
      <c r="R991" s="19"/>
      <c r="S991" s="19"/>
      <c r="T991" s="19"/>
      <c r="U991" s="19"/>
      <c r="V991" s="19"/>
      <c r="W991" s="19"/>
      <c r="X991" s="19"/>
      <c r="Y991" s="19"/>
    </row>
    <row r="992" spans="1:25" ht="12" customHeight="1">
      <c r="A992" s="219" t="n" cm="1">
        <f t="array" ref="A992">IFERROR(INDEX('03.Muestra'!$B$8:$B$42,SMALL(IF("Página Web"='03.Muestra'!$D$8:$D$42,ROW('03.Muestra'!$B$8:$B$42)-MIN(ROW('03.Muestra'!$D$8:$D$42))+1,""),ROW()-968)),"")</f>
        <v>1.0</v>
      </c>
      <c r="B992" s="114" t="str" cm="1">
        <f t="array" ref="B992">IFERROR(INDEX('03.Muestra'!$C$8:$C$42,SMALL(IF("Página Web"='03.Muestra'!$D$8:$D$42,ROW('03.Muestra'!$C$8:$C$42)-MIN(ROW('03.Muestra'!$D$8:$D$42))+1,""),ROW()-968)),"")</f>
        <v>Home - PortCastelló</v>
      </c>
      <c r="C992" s="114" t="str" cm="1">
        <f t="array" ref="C992">IFERROR(INDEX('03.Muestra'!$F$8:$F$42,SMALL(IF("Página Web"='03.Muestra'!$D$8:$D$42,ROW('03.Muestra'!$F$8:$F$42)-MIN(ROW('03.Muestra'!$D$8:$D$42))+1,""),ROW()-968)),"")</f>
        <v>https://www.portcastello.com/</v>
      </c>
      <c r="D992" s="130" t="s">
        <v>37</v>
      </c>
      <c r="E992" s="107" t="str">
        <f t="shared" si="50"/>
        <v/>
      </c>
      <c r="F992" s="19"/>
      <c r="G992" s="19"/>
      <c r="H992" s="19"/>
      <c r="I992" s="19"/>
      <c r="J992" s="19"/>
      <c r="K992" s="233"/>
      <c r="L992" s="19"/>
      <c r="M992" s="19"/>
      <c r="N992" s="19"/>
      <c r="O992" s="19"/>
      <c r="P992" s="19"/>
      <c r="Q992" s="19"/>
      <c r="R992" s="19"/>
      <c r="S992" s="19"/>
      <c r="T992" s="19"/>
      <c r="U992" s="19"/>
      <c r="V992" s="19"/>
      <c r="W992" s="19"/>
      <c r="X992" s="19"/>
      <c r="Y992" s="19"/>
    </row>
    <row r="993" spans="1:25" ht="12" customHeight="1">
      <c r="A993" s="219" t="n" cm="1">
        <f t="array" ref="A993">IFERROR(INDEX('03.Muestra'!$B$8:$B$42,SMALL(IF("Página Web"='03.Muestra'!$D$8:$D$42,ROW('03.Muestra'!$B$8:$B$42)-MIN(ROW('03.Muestra'!$D$8:$D$42))+1,""),ROW()-968)),"")</f>
        <v>1.0</v>
      </c>
      <c r="B993" s="114" t="str" cm="1">
        <f t="array" ref="B993">IFERROR(INDEX('03.Muestra'!$C$8:$C$42,SMALL(IF("Página Web"='03.Muestra'!$D$8:$D$42,ROW('03.Muestra'!$C$8:$C$42)-MIN(ROW('03.Muestra'!$D$8:$D$42))+1,""),ROW()-968)),"")</f>
        <v>Home - PortCastelló</v>
      </c>
      <c r="C993" s="114" t="str" cm="1">
        <f t="array" ref="C993">IFERROR(INDEX('03.Muestra'!$F$8:$F$42,SMALL(IF("Página Web"='03.Muestra'!$D$8:$D$42,ROW('03.Muestra'!$F$8:$F$42)-MIN(ROW('03.Muestra'!$D$8:$D$42))+1,""),ROW()-968)),"")</f>
        <v>https://www.portcastello.com/</v>
      </c>
      <c r="D993" s="130" t="s">
        <v>37</v>
      </c>
      <c r="E993" s="107" t="str">
        <f t="shared" si="50"/>
        <v/>
      </c>
      <c r="F993" s="19"/>
      <c r="G993" s="19"/>
      <c r="H993" s="19"/>
      <c r="I993" s="19"/>
      <c r="J993" s="19"/>
      <c r="K993" s="233"/>
      <c r="L993" s="19"/>
      <c r="M993" s="19"/>
      <c r="N993" s="19"/>
      <c r="O993" s="19"/>
      <c r="P993" s="19"/>
      <c r="Q993" s="19"/>
      <c r="R993" s="19"/>
      <c r="S993" s="19"/>
      <c r="T993" s="19"/>
      <c r="U993" s="19"/>
      <c r="V993" s="19"/>
      <c r="W993" s="19"/>
      <c r="X993" s="19"/>
      <c r="Y993" s="19"/>
    </row>
    <row r="994" spans="1:25" ht="12" customHeight="1">
      <c r="A994" s="219" t="n" cm="1">
        <f t="array" ref="A994">IFERROR(INDEX('03.Muestra'!$B$8:$B$42,SMALL(IF("Página Web"='03.Muestra'!$D$8:$D$42,ROW('03.Muestra'!$B$8:$B$42)-MIN(ROW('03.Muestra'!$D$8:$D$42))+1,""),ROW()-968)),"")</f>
        <v>1.0</v>
      </c>
      <c r="B994" s="114" t="str" cm="1">
        <f t="array" ref="B994">IFERROR(INDEX('03.Muestra'!$C$8:$C$42,SMALL(IF("Página Web"='03.Muestra'!$D$8:$D$42,ROW('03.Muestra'!$C$8:$C$42)-MIN(ROW('03.Muestra'!$D$8:$D$42))+1,""),ROW()-968)),"")</f>
        <v>Home - PortCastelló</v>
      </c>
      <c r="C994" s="114" t="str" cm="1">
        <f t="array" ref="C994">IFERROR(INDEX('03.Muestra'!$F$8:$F$42,SMALL(IF("Página Web"='03.Muestra'!$D$8:$D$42,ROW('03.Muestra'!$F$8:$F$42)-MIN(ROW('03.Muestra'!$D$8:$D$42))+1,""),ROW()-968)),"")</f>
        <v>https://www.portcastello.com/</v>
      </c>
      <c r="D994" s="130" t="s">
        <v>37</v>
      </c>
      <c r="E994" s="107" t="str">
        <f t="shared" si="50"/>
        <v/>
      </c>
      <c r="F994" s="19"/>
      <c r="G994" s="19"/>
      <c r="H994" s="19"/>
      <c r="I994" s="19"/>
      <c r="J994" s="19"/>
      <c r="K994" s="233"/>
      <c r="L994" s="19"/>
      <c r="M994" s="19"/>
      <c r="N994" s="19"/>
      <c r="O994" s="19"/>
      <c r="P994" s="19"/>
      <c r="Q994" s="19"/>
      <c r="R994" s="19"/>
      <c r="S994" s="19"/>
      <c r="T994" s="19"/>
      <c r="U994" s="19"/>
      <c r="V994" s="19"/>
      <c r="W994" s="19"/>
      <c r="X994" s="19"/>
      <c r="Y994" s="19"/>
    </row>
    <row r="995" spans="1:25" ht="12" customHeight="1">
      <c r="A995" s="219" t="n" cm="1">
        <f t="array" ref="A995">IFERROR(INDEX('03.Muestra'!$B$8:$B$42,SMALL(IF("Página Web"='03.Muestra'!$D$8:$D$42,ROW('03.Muestra'!$B$8:$B$42)-MIN(ROW('03.Muestra'!$D$8:$D$42))+1,""),ROW()-968)),"")</f>
        <v>1.0</v>
      </c>
      <c r="B995" s="114" t="str" cm="1">
        <f t="array" ref="B995">IFERROR(INDEX('03.Muestra'!$C$8:$C$42,SMALL(IF("Página Web"='03.Muestra'!$D$8:$D$42,ROW('03.Muestra'!$C$8:$C$42)-MIN(ROW('03.Muestra'!$D$8:$D$42))+1,""),ROW()-968)),"")</f>
        <v>Home - PortCastelló</v>
      </c>
      <c r="C995" s="114" t="str" cm="1">
        <f t="array" ref="C995">IFERROR(INDEX('03.Muestra'!$F$8:$F$42,SMALL(IF("Página Web"='03.Muestra'!$D$8:$D$42,ROW('03.Muestra'!$F$8:$F$42)-MIN(ROW('03.Muestra'!$D$8:$D$42))+1,""),ROW()-968)),"")</f>
        <v>https://www.portcastello.com/</v>
      </c>
      <c r="D995" s="130" t="s">
        <v>37</v>
      </c>
      <c r="E995" s="107" t="str">
        <f t="shared" si="50"/>
        <v/>
      </c>
      <c r="F995" s="19"/>
      <c r="G995" s="19"/>
      <c r="H995" s="19"/>
      <c r="I995" s="19"/>
      <c r="J995" s="19"/>
      <c r="K995" s="233"/>
      <c r="L995" s="19"/>
      <c r="M995" s="19"/>
      <c r="N995" s="19"/>
      <c r="O995" s="19"/>
      <c r="P995" s="19"/>
      <c r="Q995" s="19"/>
      <c r="R995" s="19"/>
      <c r="S995" s="19"/>
      <c r="T995" s="19"/>
      <c r="U995" s="19"/>
      <c r="V995" s="19"/>
      <c r="W995" s="19"/>
      <c r="X995" s="19"/>
      <c r="Y995" s="19"/>
    </row>
    <row r="996" spans="1:25" ht="12" customHeight="1">
      <c r="A996" s="219" t="n" cm="1">
        <f t="array" ref="A996">IFERROR(INDEX('03.Muestra'!$B$8:$B$42,SMALL(IF("Página Web"='03.Muestra'!$D$8:$D$42,ROW('03.Muestra'!$B$8:$B$42)-MIN(ROW('03.Muestra'!$D$8:$D$42))+1,""),ROW()-968)),"")</f>
        <v>1.0</v>
      </c>
      <c r="B996" s="114" t="str" cm="1">
        <f t="array" ref="B996">IFERROR(INDEX('03.Muestra'!$C$8:$C$42,SMALL(IF("Página Web"='03.Muestra'!$D$8:$D$42,ROW('03.Muestra'!$C$8:$C$42)-MIN(ROW('03.Muestra'!$D$8:$D$42))+1,""),ROW()-968)),"")</f>
        <v>Home - PortCastelló</v>
      </c>
      <c r="C996" s="114" t="str" cm="1">
        <f t="array" ref="C996">IFERROR(INDEX('03.Muestra'!$F$8:$F$42,SMALL(IF("Página Web"='03.Muestra'!$D$8:$D$42,ROW('03.Muestra'!$F$8:$F$42)-MIN(ROW('03.Muestra'!$D$8:$D$42))+1,""),ROW()-968)),"")</f>
        <v>https://www.portcastello.com/</v>
      </c>
      <c r="D996" s="130" t="s">
        <v>37</v>
      </c>
      <c r="E996" s="107" t="str">
        <f t="shared" si="50"/>
        <v/>
      </c>
      <c r="G996" s="19"/>
      <c r="H996" s="19"/>
      <c r="I996" s="19"/>
      <c r="J996" s="19"/>
      <c r="K996" s="233"/>
      <c r="L996" s="19"/>
      <c r="M996" s="19"/>
      <c r="N996" s="19"/>
      <c r="O996" s="19"/>
      <c r="P996" s="19"/>
      <c r="Q996" s="19"/>
      <c r="R996" s="19"/>
      <c r="S996" s="19"/>
      <c r="T996" s="19"/>
      <c r="U996" s="19"/>
      <c r="V996" s="19"/>
      <c r="W996" s="19"/>
      <c r="X996" s="19"/>
      <c r="Y996" s="19"/>
    </row>
    <row r="997" spans="1:25" ht="12" customHeight="1">
      <c r="A997" s="219" t="n" cm="1">
        <f t="array" ref="A997">IFERROR(INDEX('03.Muestra'!$B$8:$B$42,SMALL(IF("Página Web"='03.Muestra'!$D$8:$D$42,ROW('03.Muestra'!$B$8:$B$42)-MIN(ROW('03.Muestra'!$D$8:$D$42))+1,""),ROW()-968)),"")</f>
        <v>1.0</v>
      </c>
      <c r="B997" s="114" t="str" cm="1">
        <f t="array" ref="B997">IFERROR(INDEX('03.Muestra'!$C$8:$C$42,SMALL(IF("Página Web"='03.Muestra'!$D$8:$D$42,ROW('03.Muestra'!$C$8:$C$42)-MIN(ROW('03.Muestra'!$D$8:$D$42))+1,""),ROW()-968)),"")</f>
        <v>Home - PortCastelló</v>
      </c>
      <c r="C997" s="114" t="str" cm="1">
        <f t="array" ref="C997">IFERROR(INDEX('03.Muestra'!$F$8:$F$42,SMALL(IF("Página Web"='03.Muestra'!$D$8:$D$42,ROW('03.Muestra'!$F$8:$F$42)-MIN(ROW('03.Muestra'!$D$8:$D$42))+1,""),ROW()-968)),"")</f>
        <v>https://www.portcastello.com/</v>
      </c>
      <c r="D997" s="130" t="s">
        <v>37</v>
      </c>
      <c r="E997" s="107" t="str">
        <f t="shared" si="50"/>
        <v/>
      </c>
      <c r="F997" s="124"/>
      <c r="G997" s="19"/>
      <c r="H997" s="19"/>
      <c r="I997" s="19"/>
      <c r="J997" s="19"/>
      <c r="K997" s="233"/>
      <c r="L997" s="19"/>
      <c r="M997" s="19"/>
      <c r="N997" s="19"/>
      <c r="O997" s="19"/>
      <c r="P997" s="19"/>
      <c r="Q997" s="19"/>
      <c r="R997" s="19"/>
      <c r="S997" s="19"/>
      <c r="T997" s="19"/>
      <c r="U997" s="19"/>
      <c r="V997" s="19"/>
      <c r="W997" s="19"/>
      <c r="X997" s="19"/>
      <c r="Y997" s="19"/>
    </row>
    <row r="998" spans="1:25" ht="12" customHeight="1">
      <c r="A998" s="219" t="n" cm="1">
        <f t="array" ref="A998">IFERROR(INDEX('03.Muestra'!$B$8:$B$42,SMALL(IF("Página Web"='03.Muestra'!$D$8:$D$42,ROW('03.Muestra'!$B$8:$B$42)-MIN(ROW('03.Muestra'!$D$8:$D$42))+1,""),ROW()-968)),"")</f>
        <v>1.0</v>
      </c>
      <c r="B998" s="114" t="str" cm="1">
        <f t="array" ref="B998">IFERROR(INDEX('03.Muestra'!$C$8:$C$42,SMALL(IF("Página Web"='03.Muestra'!$D$8:$D$42,ROW('03.Muestra'!$C$8:$C$42)-MIN(ROW('03.Muestra'!$D$8:$D$42))+1,""),ROW()-968)),"")</f>
        <v>Home - PortCastelló</v>
      </c>
      <c r="C998" s="114" t="str" cm="1">
        <f t="array" ref="C998">IFERROR(INDEX('03.Muestra'!$F$8:$F$42,SMALL(IF("Página Web"='03.Muestra'!$D$8:$D$42,ROW('03.Muestra'!$F$8:$F$42)-MIN(ROW('03.Muestra'!$D$8:$D$42))+1,""),ROW()-968)),"")</f>
        <v>https://www.portcastello.com/</v>
      </c>
      <c r="D998" s="130" t="s">
        <v>37</v>
      </c>
      <c r="E998" s="107" t="str">
        <f t="shared" si="50"/>
        <v/>
      </c>
      <c r="F998" s="124"/>
      <c r="G998" s="19"/>
      <c r="H998" s="19"/>
      <c r="I998" s="19"/>
      <c r="J998" s="19"/>
      <c r="K998" s="233"/>
      <c r="L998" s="19"/>
      <c r="M998" s="19"/>
      <c r="N998" s="19"/>
      <c r="O998" s="19"/>
      <c r="P998" s="19"/>
      <c r="Q998" s="19"/>
      <c r="R998" s="19"/>
      <c r="S998" s="19"/>
      <c r="T998" s="19"/>
      <c r="U998" s="19"/>
      <c r="V998" s="19"/>
      <c r="W998" s="19"/>
      <c r="X998" s="19"/>
      <c r="Y998" s="19"/>
    </row>
    <row r="999" spans="1:25" ht="12" customHeight="1">
      <c r="A999" s="219" t="n" cm="1">
        <f t="array" ref="A999">IFERROR(INDEX('03.Muestra'!$B$8:$B$42,SMALL(IF("Página Web"='03.Muestra'!$D$8:$D$42,ROW('03.Muestra'!$B$8:$B$42)-MIN(ROW('03.Muestra'!$D$8:$D$42))+1,""),ROW()-968)),"")</f>
        <v>1.0</v>
      </c>
      <c r="B999" s="114" t="str" cm="1">
        <f t="array" ref="B999">IFERROR(INDEX('03.Muestra'!$C$8:$C$42,SMALL(IF("Página Web"='03.Muestra'!$D$8:$D$42,ROW('03.Muestra'!$C$8:$C$42)-MIN(ROW('03.Muestra'!$D$8:$D$42))+1,""),ROW()-968)),"")</f>
        <v>Home - PortCastelló</v>
      </c>
      <c r="C999" s="114" t="str" cm="1">
        <f t="array" ref="C999">IFERROR(INDEX('03.Muestra'!$F$8:$F$42,SMALL(IF("Página Web"='03.Muestra'!$D$8:$D$42,ROW('03.Muestra'!$F$8:$F$42)-MIN(ROW('03.Muestra'!$D$8:$D$42))+1,""),ROW()-968)),"")</f>
        <v>https://www.portcastello.com/</v>
      </c>
      <c r="D999" s="130" t="s">
        <v>37</v>
      </c>
      <c r="E999" s="107" t="str">
        <f t="shared" si="50"/>
        <v/>
      </c>
      <c r="F999" s="124"/>
      <c r="G999" s="19"/>
      <c r="H999" s="19"/>
      <c r="I999" s="19"/>
      <c r="J999" s="19"/>
      <c r="K999" s="233"/>
      <c r="L999" s="19"/>
      <c r="M999" s="19"/>
      <c r="N999" s="19"/>
      <c r="O999" s="19"/>
      <c r="P999" s="19"/>
      <c r="Q999" s="19"/>
      <c r="R999" s="19"/>
      <c r="S999" s="19"/>
      <c r="T999" s="19"/>
      <c r="U999" s="19"/>
      <c r="V999" s="19"/>
      <c r="W999" s="19"/>
      <c r="X999" s="19"/>
      <c r="Y999" s="19"/>
    </row>
    <row r="1000" spans="1:25" ht="12" customHeight="1">
      <c r="A1000" s="219" t="n" cm="1">
        <f t="array" ref="A1000">IFERROR(INDEX('03.Muestra'!$B$8:$B$42,SMALL(IF("Página Web"='03.Muestra'!$D$8:$D$42,ROW('03.Muestra'!$B$8:$B$42)-MIN(ROW('03.Muestra'!$D$8:$D$42))+1,""),ROW()-968)),"")</f>
        <v>1.0</v>
      </c>
      <c r="B1000" s="114" t="str" cm="1">
        <f t="array" ref="B1000">IFERROR(INDEX('03.Muestra'!$C$8:$C$42,SMALL(IF("Página Web"='03.Muestra'!$D$8:$D$42,ROW('03.Muestra'!$C$8:$C$42)-MIN(ROW('03.Muestra'!$D$8:$D$42))+1,""),ROW()-968)),"")</f>
        <v>Home - PortCastelló</v>
      </c>
      <c r="C1000" s="114" t="str" cm="1">
        <f t="array" ref="C1000">IFERROR(INDEX('03.Muestra'!$F$8:$F$42,SMALL(IF("Página Web"='03.Muestra'!$D$8:$D$42,ROW('03.Muestra'!$F$8:$F$42)-MIN(ROW('03.Muestra'!$D$8:$D$42))+1,""),ROW()-968)),"")</f>
        <v>https://www.portcastello.com/</v>
      </c>
      <c r="D1000" s="130" t="s">
        <v>37</v>
      </c>
      <c r="E1000" s="107" t="str">
        <f t="shared" si="50"/>
        <v/>
      </c>
      <c r="F1000" s="124"/>
      <c r="G1000" s="19"/>
      <c r="H1000" s="19"/>
      <c r="I1000" s="19"/>
      <c r="J1000" s="19"/>
      <c r="K1000" s="233"/>
      <c r="L1000" s="19"/>
      <c r="M1000" s="19"/>
      <c r="N1000" s="19"/>
      <c r="O1000" s="19"/>
      <c r="P1000" s="19"/>
      <c r="Q1000" s="19"/>
      <c r="R1000" s="19"/>
      <c r="S1000" s="19"/>
      <c r="T1000" s="19"/>
      <c r="U1000" s="19"/>
      <c r="V1000" s="19"/>
      <c r="W1000" s="19"/>
      <c r="X1000" s="19"/>
      <c r="Y1000" s="19"/>
    </row>
    <row r="1001" spans="1:25" ht="12" customHeight="1">
      <c r="A1001" s="219" t="n" cm="1">
        <f t="array" ref="A1001">IFERROR(INDEX('03.Muestra'!$B$8:$B$42,SMALL(IF("Página Web"='03.Muestra'!$D$8:$D$42,ROW('03.Muestra'!$B$8:$B$42)-MIN(ROW('03.Muestra'!$D$8:$D$42))+1,""),ROW()-968)),"")</f>
        <v>1.0</v>
      </c>
      <c r="B1001" s="114" t="str" cm="1">
        <f t="array" ref="B1001">IFERROR(INDEX('03.Muestra'!$C$8:$C$42,SMALL(IF("Página Web"='03.Muestra'!$D$8:$D$42,ROW('03.Muestra'!$C$8:$C$42)-MIN(ROW('03.Muestra'!$D$8:$D$42))+1,""),ROW()-968)),"")</f>
        <v>Home - PortCastelló</v>
      </c>
      <c r="C1001" s="114" t="str" cm="1">
        <f t="array" ref="C1001">IFERROR(INDEX('03.Muestra'!$F$8:$F$42,SMALL(IF("Página Web"='03.Muestra'!$D$8:$D$42,ROW('03.Muestra'!$F$8:$F$42)-MIN(ROW('03.Muestra'!$D$8:$D$42))+1,""),ROW()-968)),"")</f>
        <v>https://www.portcastello.com/</v>
      </c>
      <c r="D1001" s="130" t="s">
        <v>37</v>
      </c>
      <c r="E1001" s="107" t="str">
        <f t="shared" si="50"/>
        <v/>
      </c>
      <c r="F1001" s="124"/>
      <c r="G1001" s="19"/>
      <c r="H1001" s="19"/>
      <c r="I1001" s="19"/>
      <c r="J1001" s="19"/>
      <c r="K1001" s="233"/>
      <c r="L1001" s="19"/>
      <c r="M1001" s="19"/>
      <c r="N1001" s="19"/>
      <c r="O1001" s="19"/>
      <c r="P1001" s="19"/>
      <c r="Q1001" s="19"/>
      <c r="R1001" s="19"/>
      <c r="S1001" s="19"/>
      <c r="T1001" s="19"/>
      <c r="U1001" s="19"/>
      <c r="V1001" s="19"/>
      <c r="W1001" s="19"/>
      <c r="X1001" s="19"/>
      <c r="Y1001" s="19"/>
    </row>
    <row r="1002" spans="1:25" ht="12" customHeight="1">
      <c r="A1002" s="219" t="str" cm="1">
        <f t="array" ref="A1002">IFERROR(INDEX('03.Muestra'!$B$8:$B$42,SMALL(IF("Página Web"='03.Muestra'!$D$8:$D$42,ROW('03.Muestra'!$B$8:$B$42)-MIN(ROW('03.Muestra'!$D$8:$D$42))+1,""),ROW()-968)),"")</f>
        <v/>
      </c>
      <c r="B1002" s="114" t="str" cm="1">
        <f t="array" ref="B1002">IFERROR(INDEX('03.Muestra'!$C$8:$C$42,SMALL(IF("Página Web"='03.Muestra'!$D$8:$D$42,ROW('03.Muestra'!$C$8:$C$42)-MIN(ROW('03.Muestra'!$D$8:$D$42))+1,""),ROW()-968)),"")</f>
        <v/>
      </c>
      <c r="C1002" s="114" t="str" cm="1">
        <f t="array" ref="C1002">IFERROR(INDEX('03.Muestra'!$F$8:$F$42,SMALL(IF("Página Web"='03.Muestra'!$D$8:$D$42,ROW('03.Muestra'!$F$8:$F$42)-MIN(ROW('03.Muestra'!$D$8:$D$42))+1,""),ROW()-968)),"")</f>
        <v/>
      </c>
      <c r="D1002" s="130" t="str">
        <f t="shared" si="51" ref="D1002:D1003">IF(AND(B1002&lt;&gt;"",C1002&lt;&gt;""),"N/T","")</f>
        <v/>
      </c>
      <c r="E1002" s="107" t="str">
        <f t="shared" si="50"/>
        <v/>
      </c>
      <c r="F1002" s="124"/>
      <c r="G1002" s="19"/>
      <c r="H1002" s="19"/>
      <c r="I1002" s="19"/>
      <c r="J1002" s="19"/>
      <c r="K1002" s="233"/>
      <c r="L1002" s="19"/>
      <c r="M1002" s="19"/>
      <c r="N1002" s="19"/>
      <c r="O1002" s="19"/>
      <c r="P1002" s="19"/>
      <c r="Q1002" s="19"/>
      <c r="R1002" s="19"/>
      <c r="S1002" s="19"/>
      <c r="T1002" s="19"/>
      <c r="U1002" s="19"/>
      <c r="V1002" s="19"/>
      <c r="W1002" s="19"/>
      <c r="X1002" s="19"/>
      <c r="Y1002" s="19"/>
    </row>
    <row r="1003" spans="1:25" ht="12" customHeight="1">
      <c r="A1003" s="219" t="str" cm="1">
        <f t="array" ref="A1003">IFERROR(INDEX('03.Muestra'!$B$8:$B$42,SMALL(IF("Página Web"='03.Muestra'!$D$8:$D$42,ROW('03.Muestra'!$B$8:$B$42)-MIN(ROW('03.Muestra'!$D$8:$D$42))+1,""),ROW()-968)),"")</f>
        <v/>
      </c>
      <c r="B1003" s="114" t="str" cm="1">
        <f t="array" ref="B1003">IFERROR(INDEX('03.Muestra'!$C$8:$C$42,SMALL(IF("Página Web"='03.Muestra'!$D$8:$D$42,ROW('03.Muestra'!$C$8:$C$42)-MIN(ROW('03.Muestra'!$D$8:$D$42))+1,""),ROW()-968)),"")</f>
        <v/>
      </c>
      <c r="C1003" s="114" t="str" cm="1">
        <f t="array" ref="C1003">IFERROR(INDEX('03.Muestra'!$F$8:$F$42,SMALL(IF("Página Web"='03.Muestra'!$D$8:$D$42,ROW('03.Muestra'!$F$8:$F$42)-MIN(ROW('03.Muestra'!$D$8:$D$42))+1,""),ROW()-968)),"")</f>
        <v/>
      </c>
      <c r="D1003" s="130" t="str">
        <f t="shared" si="51"/>
        <v/>
      </c>
      <c r="E1003" s="107" t="str">
        <f t="shared" si="50"/>
        <v/>
      </c>
      <c r="F1003" s="19"/>
      <c r="G1003" s="19"/>
      <c r="H1003" s="19"/>
      <c r="I1003" s="19"/>
      <c r="J1003" s="19"/>
      <c r="K1003" s="233"/>
      <c r="L1003" s="19"/>
      <c r="M1003" s="19"/>
      <c r="N1003" s="19"/>
      <c r="O1003" s="19"/>
      <c r="P1003" s="19"/>
      <c r="Q1003" s="19"/>
      <c r="R1003" s="19"/>
      <c r="S1003" s="19"/>
      <c r="T1003" s="19"/>
      <c r="U1003" s="19"/>
      <c r="V1003" s="19"/>
      <c r="W1003" s="19"/>
      <c r="X1003" s="19"/>
      <c r="Y1003" s="19"/>
    </row>
    <row r="1004" spans="1:25" ht="12" customHeight="1">
      <c r="B1004" s="19"/>
      <c r="C1004" s="19"/>
      <c r="D1004" s="107"/>
      <c r="E1004" s="19"/>
      <c r="F1004" s="19"/>
      <c r="G1004" s="19"/>
      <c r="H1004" s="19"/>
      <c r="I1004" s="19"/>
      <c r="J1004" s="19"/>
      <c r="K1004" s="233"/>
      <c r="L1004" s="19"/>
      <c r="M1004" s="19"/>
      <c r="N1004" s="19"/>
      <c r="O1004" s="19"/>
      <c r="P1004" s="19"/>
      <c r="Q1004" s="19"/>
      <c r="R1004" s="19"/>
      <c r="S1004" s="19"/>
      <c r="T1004" s="19"/>
      <c r="U1004" s="19"/>
      <c r="V1004" s="19"/>
      <c r="W1004" s="19"/>
      <c r="X1004" s="19"/>
      <c r="Y1004" s="19"/>
    </row>
    <row r="1005" spans="1:25" ht="12" customHeight="1">
      <c r="B1005" s="126"/>
      <c r="C1005" s="19"/>
      <c r="D1005" s="107"/>
      <c r="E1005" s="112"/>
      <c r="F1005" s="19"/>
      <c r="G1005" s="19"/>
      <c r="H1005" s="19"/>
      <c r="I1005" s="19"/>
      <c r="J1005" s="19"/>
      <c r="K1005" s="233"/>
      <c r="L1005" s="19"/>
      <c r="M1005" s="19"/>
      <c r="N1005" s="19"/>
      <c r="O1005" s="19"/>
      <c r="P1005" s="19"/>
      <c r="Q1005" s="19"/>
      <c r="R1005" s="19"/>
      <c r="S1005" s="19"/>
      <c r="T1005" s="19"/>
      <c r="U1005" s="19"/>
      <c r="V1005" s="19"/>
      <c r="W1005" s="19"/>
      <c r="X1005" s="19"/>
      <c r="Y1005" s="19"/>
    </row>
    <row r="1006" spans="1:25" ht="29.25" customHeight="1">
      <c r="A1006" s="218" t="s">
        <v>268</v>
      </c>
      <c r="B1006" s="24" t="s">
        <v>90</v>
      </c>
      <c r="C1006" s="25" t="s">
        <v>399</v>
      </c>
      <c r="D1006" s="26" t="s">
        <v>32</v>
      </c>
      <c r="E1006" s="123"/>
      <c r="K1006" s="233"/>
      <c r="L1006" s="19"/>
      <c r="M1006" s="19"/>
      <c r="N1006" s="19"/>
      <c r="O1006" s="19"/>
      <c r="P1006" s="19"/>
      <c r="Q1006" s="19"/>
      <c r="R1006" s="19"/>
      <c r="S1006" s="19"/>
      <c r="T1006" s="19"/>
      <c r="U1006" s="19"/>
      <c r="V1006" s="19"/>
      <c r="W1006" s="19"/>
      <c r="X1006" s="19"/>
      <c r="Y1006" s="19"/>
    </row>
    <row r="1007" spans="1:25" ht="12" customHeight="1">
      <c r="A1007" s="219" t="n" cm="1">
        <f t="array" ref="A1007">IFERROR(INDEX('03.Muestra'!$B$8:$B$42,SMALL(IF("Página Web"='03.Muestra'!$D$8:$D$42,ROW('03.Muestra'!$B$8:$B$42)-MIN(ROW('03.Muestra'!$D$8:$D$42))+1,""),ROW()-1006)),"")</f>
        <v>1.0</v>
      </c>
      <c r="B1007" s="114" t="str" cm="1">
        <f t="array" ref="B1007">IFERROR(INDEX('03.Muestra'!$C$8:$C$42,SMALL(IF("Página Web"='03.Muestra'!$D$8:$D$42,ROW('03.Muestra'!$C$8:$C$42)-MIN(ROW('03.Muestra'!$D$8:$D$42))+1,""),ROW()-1006)),"")</f>
        <v>Home - PortCastelló</v>
      </c>
      <c r="C1007" s="114" t="str" cm="1">
        <f t="array" ref="C1007">IFERROR(INDEX('03.Muestra'!$F$8:$F$42,SMALL(IF("Página Web"='03.Muestra'!$D$8:$D$42,ROW('03.Muestra'!$F$8:$F$42)-MIN(ROW('03.Muestra'!$D$8:$D$42))+1,""),ROW()-1006)),"")</f>
        <v>https://www.portcastello.com/</v>
      </c>
      <c r="D1007" s="130" t="s">
        <v>37</v>
      </c>
      <c r="E1007" s="107" t="str">
        <f t="shared" ref="E1007:E1041" si="52">IF(D1007&lt;&gt;"",IF(AND(B1007&lt;&gt;"",C1007&lt;&gt;""),"","ERR"),"")</f>
        <v/>
      </c>
      <c r="F1007" s="115" t="s">
        <v>33</v>
      </c>
      <c r="G1007" s="116" t="s">
        <v>37</v>
      </c>
      <c r="H1007" s="117" t="s">
        <v>35</v>
      </c>
      <c r="I1007" s="118" t="s">
        <v>28</v>
      </c>
      <c r="J1007" s="119" t="s">
        <v>26</v>
      </c>
      <c r="K1007" s="226" t="s">
        <v>474</v>
      </c>
      <c r="L1007" s="19"/>
      <c r="M1007" s="19"/>
      <c r="N1007" s="19"/>
      <c r="O1007" s="19"/>
      <c r="P1007" s="19"/>
      <c r="Q1007" s="19"/>
      <c r="R1007" s="19"/>
      <c r="S1007" s="19"/>
      <c r="T1007" s="19"/>
      <c r="U1007" s="19"/>
      <c r="V1007" s="19"/>
      <c r="W1007" s="19"/>
      <c r="X1007" s="19"/>
      <c r="Y1007" s="19"/>
    </row>
    <row r="1008" spans="1:25" ht="12" customHeight="1">
      <c r="A1008" s="219" t="n" cm="1">
        <f t="array" ref="A1008">IFERROR(INDEX('03.Muestra'!$B$8:$B$42,SMALL(IF("Página Web"='03.Muestra'!$D$8:$D$42,ROW('03.Muestra'!$B$8:$B$42)-MIN(ROW('03.Muestra'!$D$8:$D$42))+1,""),ROW()-1006)),"")</f>
        <v>1.0</v>
      </c>
      <c r="B1008" s="114" t="str" cm="1">
        <f t="array" ref="B1008">IFERROR(INDEX('03.Muestra'!$C$8:$C$42,SMALL(IF("Página Web"='03.Muestra'!$D$8:$D$42,ROW('03.Muestra'!$C$8:$C$42)-MIN(ROW('03.Muestra'!$D$8:$D$42))+1,""),ROW()-1006)),"")</f>
        <v>Home - PortCastelló</v>
      </c>
      <c r="C1008" s="114" t="str" cm="1">
        <f t="array" ref="C1008">IFERROR(INDEX('03.Muestra'!$F$8:$F$42,SMALL(IF("Página Web"='03.Muestra'!$D$8:$D$42,ROW('03.Muestra'!$F$8:$F$42)-MIN(ROW('03.Muestra'!$D$8:$D$42))+1,""),ROW()-1006)),"")</f>
        <v>https://www.portcastello.com/</v>
      </c>
      <c r="D1008" s="130" t="s">
        <v>37</v>
      </c>
      <c r="E1008" s="107" t="str">
        <f t="shared" si="52"/>
        <v/>
      </c>
      <c r="F1008" s="120" t="n">
        <f ca="1">COUNTIF($D1007:INDIRECT("$D" &amp;  SUM(ROW()-1,'03.Muestra'!$D$45)-1),F1007)</f>
        <v>0.0</v>
      </c>
      <c r="G1008" s="120" t="n">
        <f ca="1">COUNTIF($D1007:INDIRECT("$D" &amp;  SUM(ROW()-1,'03.Muestra'!$D$45)-1),G1007)</f>
        <v>33.0</v>
      </c>
      <c r="H1008" s="120" t="n">
        <f ca="1">COUNTIF($D1007:INDIRECT("$D" &amp;  SUM(ROW()-1,'03.Muestra'!$D$45)-1),H1007)</f>
        <v>0.0</v>
      </c>
      <c r="I1008" s="120" t="n">
        <f ca="1">COUNTIF($D1007:INDIRECT("$D" &amp;  SUM(ROW()-1,'03.Muestra'!$D$45)-1),I1007)</f>
        <v>0.0</v>
      </c>
      <c r="J1008" s="120" t="n">
        <f ca="1">COUNTIF($D1007:INDIRECT("$D" &amp;  SUM(ROW()-1,'03.Muestra'!$D$45)-1),J1007)</f>
        <v>0.0</v>
      </c>
      <c r="K1008" s="227" t="n">
        <f ca="1">IF(COUNTIF('03.Muestra'!$D$8:$D$42,"Página Web")=0,0,COUNTBLANK($D1007:INDIRECT("$D" &amp;  SUM(ROW()-1,COUNTIF('03.Muestra'!$D$8:$D$42,"Página Web"))-1)))</f>
        <v>0.0</v>
      </c>
      <c r="L1008" s="19"/>
      <c r="M1008" s="19"/>
      <c r="N1008" s="19"/>
      <c r="O1008" s="19"/>
      <c r="P1008" s="19"/>
      <c r="Q1008" s="19"/>
      <c r="R1008" s="19"/>
      <c r="S1008" s="19"/>
      <c r="T1008" s="19"/>
      <c r="U1008" s="19"/>
      <c r="V1008" s="19"/>
      <c r="W1008" s="19"/>
      <c r="X1008" s="19"/>
      <c r="Y1008" s="19"/>
    </row>
    <row r="1009" spans="1:25" ht="12" customHeight="1">
      <c r="A1009" s="219" t="n" cm="1">
        <f t="array" ref="A1009">IFERROR(INDEX('03.Muestra'!$B$8:$B$42,SMALL(IF("Página Web"='03.Muestra'!$D$8:$D$42,ROW('03.Muestra'!$B$8:$B$42)-MIN(ROW('03.Muestra'!$D$8:$D$42))+1,""),ROW()-1006)),"")</f>
        <v>1.0</v>
      </c>
      <c r="B1009" s="114" t="str" cm="1">
        <f t="array" ref="B1009">IFERROR(INDEX('03.Muestra'!$C$8:$C$42,SMALL(IF("Página Web"='03.Muestra'!$D$8:$D$42,ROW('03.Muestra'!$C$8:$C$42)-MIN(ROW('03.Muestra'!$D$8:$D$42))+1,""),ROW()-1006)),"")</f>
        <v>Home - PortCastelló</v>
      </c>
      <c r="C1009" s="114" t="str" cm="1">
        <f t="array" ref="C1009">IFERROR(INDEX('03.Muestra'!$F$8:$F$42,SMALL(IF("Página Web"='03.Muestra'!$D$8:$D$42,ROW('03.Muestra'!$F$8:$F$42)-MIN(ROW('03.Muestra'!$D$8:$D$42))+1,""),ROW()-1006)),"")</f>
        <v>https://www.portcastello.com/</v>
      </c>
      <c r="D1009" s="130" t="s">
        <v>37</v>
      </c>
      <c r="E1009" s="107" t="str">
        <f t="shared" si="52"/>
        <v/>
      </c>
      <c r="G1009" s="19"/>
      <c r="H1009" s="19"/>
      <c r="I1009" s="19"/>
      <c r="J1009" s="19"/>
      <c r="K1009" s="233"/>
      <c r="L1009" s="19"/>
      <c r="M1009" s="19"/>
      <c r="N1009" s="19"/>
      <c r="O1009" s="19"/>
      <c r="P1009" s="19"/>
      <c r="Q1009" s="19"/>
      <c r="R1009" s="19"/>
      <c r="S1009" s="19"/>
      <c r="T1009" s="19"/>
      <c r="U1009" s="19"/>
      <c r="V1009" s="19"/>
      <c r="W1009" s="19"/>
      <c r="X1009" s="19"/>
      <c r="Y1009" s="19"/>
    </row>
    <row r="1010" spans="1:25" ht="12" customHeight="1">
      <c r="A1010" s="219" t="n" cm="1">
        <f t="array" ref="A1010">IFERROR(INDEX('03.Muestra'!$B$8:$B$42,SMALL(IF("Página Web"='03.Muestra'!$D$8:$D$42,ROW('03.Muestra'!$B$8:$B$42)-MIN(ROW('03.Muestra'!$D$8:$D$42))+1,""),ROW()-1006)),"")</f>
        <v>1.0</v>
      </c>
      <c r="B1010" s="114" t="str" cm="1">
        <f t="array" ref="B1010">IFERROR(INDEX('03.Muestra'!$C$8:$C$42,SMALL(IF("Página Web"='03.Muestra'!$D$8:$D$42,ROW('03.Muestra'!$C$8:$C$42)-MIN(ROW('03.Muestra'!$D$8:$D$42))+1,""),ROW()-1006)),"")</f>
        <v>Home - PortCastelló</v>
      </c>
      <c r="C1010" s="114" t="str" cm="1">
        <f t="array" ref="C1010">IFERROR(INDEX('03.Muestra'!$F$8:$F$42,SMALL(IF("Página Web"='03.Muestra'!$D$8:$D$42,ROW('03.Muestra'!$F$8:$F$42)-MIN(ROW('03.Muestra'!$D$8:$D$42))+1,""),ROW()-1006)),"")</f>
        <v>https://www.portcastello.com/</v>
      </c>
      <c r="D1010" s="130" t="s">
        <v>37</v>
      </c>
      <c r="E1010" s="107" t="str">
        <f t="shared" si="52"/>
        <v/>
      </c>
      <c r="G1010" s="19"/>
      <c r="H1010" s="19"/>
      <c r="I1010" s="19"/>
      <c r="J1010" s="19"/>
      <c r="K1010" s="233"/>
      <c r="L1010" s="19"/>
      <c r="M1010" s="19"/>
      <c r="N1010" s="19"/>
      <c r="O1010" s="19"/>
      <c r="P1010" s="19"/>
      <c r="Q1010" s="19"/>
      <c r="R1010" s="19"/>
      <c r="S1010" s="19"/>
      <c r="T1010" s="19"/>
      <c r="U1010" s="19"/>
      <c r="V1010" s="19"/>
      <c r="W1010" s="19"/>
      <c r="X1010" s="19"/>
      <c r="Y1010" s="19"/>
    </row>
    <row r="1011" spans="1:25" ht="12" customHeight="1">
      <c r="A1011" s="219" t="n" cm="1">
        <f t="array" ref="A1011">IFERROR(INDEX('03.Muestra'!$B$8:$B$42,SMALL(IF("Página Web"='03.Muestra'!$D$8:$D$42,ROW('03.Muestra'!$B$8:$B$42)-MIN(ROW('03.Muestra'!$D$8:$D$42))+1,""),ROW()-1006)),"")</f>
        <v>1.0</v>
      </c>
      <c r="B1011" s="114" t="str" cm="1">
        <f t="array" ref="B1011">IFERROR(INDEX('03.Muestra'!$C$8:$C$42,SMALL(IF("Página Web"='03.Muestra'!$D$8:$D$42,ROW('03.Muestra'!$C$8:$C$42)-MIN(ROW('03.Muestra'!$D$8:$D$42))+1,""),ROW()-1006)),"")</f>
        <v>Home - PortCastelló</v>
      </c>
      <c r="C1011" s="114" t="str" cm="1">
        <f t="array" ref="C1011">IFERROR(INDEX('03.Muestra'!$F$8:$F$42,SMALL(IF("Página Web"='03.Muestra'!$D$8:$D$42,ROW('03.Muestra'!$F$8:$F$42)-MIN(ROW('03.Muestra'!$D$8:$D$42))+1,""),ROW()-1006)),"")</f>
        <v>https://www.portcastello.com/</v>
      </c>
      <c r="D1011" s="130" t="s">
        <v>37</v>
      </c>
      <c r="E1011" s="107" t="str">
        <f t="shared" si="52"/>
        <v/>
      </c>
      <c r="G1011" s="19"/>
      <c r="H1011" s="19"/>
      <c r="I1011" s="19"/>
      <c r="J1011" s="19"/>
      <c r="K1011" s="233"/>
      <c r="L1011" s="19"/>
      <c r="M1011" s="19"/>
      <c r="N1011" s="19"/>
      <c r="O1011" s="19"/>
      <c r="P1011" s="19"/>
      <c r="Q1011" s="19"/>
      <c r="R1011" s="19"/>
      <c r="S1011" s="19"/>
      <c r="T1011" s="19"/>
      <c r="U1011" s="19"/>
      <c r="V1011" s="19"/>
      <c r="W1011" s="19"/>
      <c r="X1011" s="19"/>
      <c r="Y1011" s="19"/>
    </row>
    <row r="1012" spans="1:25" ht="12" customHeight="1">
      <c r="A1012" s="219" t="n" cm="1">
        <f t="array" ref="A1012">IFERROR(INDEX('03.Muestra'!$B$8:$B$42,SMALL(IF("Página Web"='03.Muestra'!$D$8:$D$42,ROW('03.Muestra'!$B$8:$B$42)-MIN(ROW('03.Muestra'!$D$8:$D$42))+1,""),ROW()-1006)),"")</f>
        <v>1.0</v>
      </c>
      <c r="B1012" s="114" t="str" cm="1">
        <f t="array" ref="B1012">IFERROR(INDEX('03.Muestra'!$C$8:$C$42,SMALL(IF("Página Web"='03.Muestra'!$D$8:$D$42,ROW('03.Muestra'!$C$8:$C$42)-MIN(ROW('03.Muestra'!$D$8:$D$42))+1,""),ROW()-1006)),"")</f>
        <v>Home - PortCastelló</v>
      </c>
      <c r="C1012" s="114" t="str" cm="1">
        <f t="array" ref="C1012">IFERROR(INDEX('03.Muestra'!$F$8:$F$42,SMALL(IF("Página Web"='03.Muestra'!$D$8:$D$42,ROW('03.Muestra'!$F$8:$F$42)-MIN(ROW('03.Muestra'!$D$8:$D$42))+1,""),ROW()-1006)),"")</f>
        <v>https://www.portcastello.com/</v>
      </c>
      <c r="D1012" s="130" t="s">
        <v>37</v>
      </c>
      <c r="E1012" s="107" t="str">
        <f t="shared" si="52"/>
        <v/>
      </c>
      <c r="G1012" s="19"/>
      <c r="H1012" s="19"/>
      <c r="I1012" s="19"/>
      <c r="J1012" s="19"/>
      <c r="K1012" s="233"/>
      <c r="L1012" s="19"/>
      <c r="M1012" s="19"/>
      <c r="N1012" s="19"/>
      <c r="O1012" s="19"/>
      <c r="P1012" s="19"/>
      <c r="Q1012" s="19"/>
      <c r="R1012" s="19"/>
      <c r="S1012" s="19"/>
      <c r="T1012" s="19"/>
      <c r="U1012" s="19"/>
      <c r="V1012" s="19"/>
      <c r="W1012" s="19"/>
      <c r="X1012" s="19"/>
      <c r="Y1012" s="19"/>
    </row>
    <row r="1013" spans="1:25" ht="12" customHeight="1">
      <c r="A1013" s="219" t="n" cm="1">
        <f t="array" ref="A1013">IFERROR(INDEX('03.Muestra'!$B$8:$B$42,SMALL(IF("Página Web"='03.Muestra'!$D$8:$D$42,ROW('03.Muestra'!$B$8:$B$42)-MIN(ROW('03.Muestra'!$D$8:$D$42))+1,""),ROW()-1006)),"")</f>
        <v>1.0</v>
      </c>
      <c r="B1013" s="114" t="str" cm="1">
        <f t="array" ref="B1013">IFERROR(INDEX('03.Muestra'!$C$8:$C$42,SMALL(IF("Página Web"='03.Muestra'!$D$8:$D$42,ROW('03.Muestra'!$C$8:$C$42)-MIN(ROW('03.Muestra'!$D$8:$D$42))+1,""),ROW()-1006)),"")</f>
        <v>Home - PortCastelló</v>
      </c>
      <c r="C1013" s="114" t="str" cm="1">
        <f t="array" ref="C1013">IFERROR(INDEX('03.Muestra'!$F$8:$F$42,SMALL(IF("Página Web"='03.Muestra'!$D$8:$D$42,ROW('03.Muestra'!$F$8:$F$42)-MIN(ROW('03.Muestra'!$D$8:$D$42))+1,""),ROW()-1006)),"")</f>
        <v>https://www.portcastello.com/</v>
      </c>
      <c r="D1013" s="130" t="s">
        <v>37</v>
      </c>
      <c r="E1013" s="107" t="str">
        <f t="shared" si="52"/>
        <v/>
      </c>
      <c r="F1013" s="19"/>
      <c r="G1013" s="19"/>
      <c r="H1013" s="19"/>
      <c r="I1013" s="19"/>
      <c r="J1013" s="19"/>
      <c r="K1013" s="233"/>
      <c r="L1013" s="19"/>
      <c r="M1013" s="19"/>
      <c r="N1013" s="19"/>
      <c r="O1013" s="19"/>
      <c r="P1013" s="19"/>
      <c r="Q1013" s="19"/>
      <c r="R1013" s="19"/>
      <c r="S1013" s="19"/>
      <c r="T1013" s="19"/>
      <c r="U1013" s="19"/>
      <c r="V1013" s="19"/>
      <c r="W1013" s="19"/>
      <c r="X1013" s="19"/>
      <c r="Y1013" s="19"/>
    </row>
    <row r="1014" spans="1:25" ht="12" customHeight="1">
      <c r="A1014" s="219" t="n" cm="1">
        <f t="array" ref="A1014">IFERROR(INDEX('03.Muestra'!$B$8:$B$42,SMALL(IF("Página Web"='03.Muestra'!$D$8:$D$42,ROW('03.Muestra'!$B$8:$B$42)-MIN(ROW('03.Muestra'!$D$8:$D$42))+1,""),ROW()-1006)),"")</f>
        <v>1.0</v>
      </c>
      <c r="B1014" s="114" t="str" cm="1">
        <f t="array" ref="B1014">IFERROR(INDEX('03.Muestra'!$C$8:$C$42,SMALL(IF("Página Web"='03.Muestra'!$D$8:$D$42,ROW('03.Muestra'!$C$8:$C$42)-MIN(ROW('03.Muestra'!$D$8:$D$42))+1,""),ROW()-1006)),"")</f>
        <v>Home - PortCastelló</v>
      </c>
      <c r="C1014" s="114" t="str" cm="1">
        <f t="array" ref="C1014">IFERROR(INDEX('03.Muestra'!$F$8:$F$42,SMALL(IF("Página Web"='03.Muestra'!$D$8:$D$42,ROW('03.Muestra'!$F$8:$F$42)-MIN(ROW('03.Muestra'!$D$8:$D$42))+1,""),ROW()-1006)),"")</f>
        <v>https://www.portcastello.com/</v>
      </c>
      <c r="D1014" s="130" t="s">
        <v>37</v>
      </c>
      <c r="E1014" s="107" t="str">
        <f t="shared" si="52"/>
        <v/>
      </c>
      <c r="F1014" s="19"/>
      <c r="G1014" s="19"/>
      <c r="H1014" s="19"/>
      <c r="I1014" s="19"/>
      <c r="J1014" s="19"/>
      <c r="K1014" s="233"/>
      <c r="L1014" s="19"/>
      <c r="M1014" s="19"/>
      <c r="N1014" s="19"/>
      <c r="O1014" s="19"/>
      <c r="P1014" s="19"/>
      <c r="Q1014" s="19"/>
      <c r="R1014" s="19"/>
      <c r="S1014" s="19"/>
      <c r="T1014" s="19"/>
      <c r="U1014" s="19"/>
      <c r="V1014" s="19"/>
      <c r="W1014" s="19"/>
      <c r="X1014" s="19"/>
      <c r="Y1014" s="19"/>
    </row>
    <row r="1015" spans="1:25" ht="12" customHeight="1">
      <c r="A1015" s="219" t="n" cm="1">
        <f t="array" ref="A1015">IFERROR(INDEX('03.Muestra'!$B$8:$B$42,SMALL(IF("Página Web"='03.Muestra'!$D$8:$D$42,ROW('03.Muestra'!$B$8:$B$42)-MIN(ROW('03.Muestra'!$D$8:$D$42))+1,""),ROW()-1006)),"")</f>
        <v>1.0</v>
      </c>
      <c r="B1015" s="114" t="str" cm="1">
        <f t="array" ref="B1015">IFERROR(INDEX('03.Muestra'!$C$8:$C$42,SMALL(IF("Página Web"='03.Muestra'!$D$8:$D$42,ROW('03.Muestra'!$C$8:$C$42)-MIN(ROW('03.Muestra'!$D$8:$D$42))+1,""),ROW()-1006)),"")</f>
        <v>Home - PortCastelló</v>
      </c>
      <c r="C1015" s="114" t="str" cm="1">
        <f t="array" ref="C1015">IFERROR(INDEX('03.Muestra'!$F$8:$F$42,SMALL(IF("Página Web"='03.Muestra'!$D$8:$D$42,ROW('03.Muestra'!$F$8:$F$42)-MIN(ROW('03.Muestra'!$D$8:$D$42))+1,""),ROW()-1006)),"")</f>
        <v>https://www.portcastello.com/</v>
      </c>
      <c r="D1015" s="130" t="s">
        <v>37</v>
      </c>
      <c r="E1015" s="107" t="str">
        <f t="shared" si="52"/>
        <v/>
      </c>
      <c r="F1015" s="19"/>
      <c r="G1015" s="19"/>
      <c r="H1015" s="19"/>
      <c r="I1015" s="19"/>
      <c r="J1015" s="19"/>
      <c r="K1015" s="233"/>
      <c r="L1015" s="19"/>
      <c r="M1015" s="19"/>
      <c r="N1015" s="19"/>
      <c r="O1015" s="19"/>
      <c r="P1015" s="19"/>
      <c r="Q1015" s="19"/>
      <c r="R1015" s="19"/>
      <c r="S1015" s="19"/>
      <c r="T1015" s="19"/>
      <c r="U1015" s="19"/>
      <c r="V1015" s="19"/>
      <c r="W1015" s="19"/>
      <c r="X1015" s="19"/>
      <c r="Y1015" s="19"/>
    </row>
    <row r="1016" spans="1:25" ht="12" customHeight="1">
      <c r="A1016" s="219" t="n" cm="1">
        <f t="array" ref="A1016">IFERROR(INDEX('03.Muestra'!$B$8:$B$42,SMALL(IF("Página Web"='03.Muestra'!$D$8:$D$42,ROW('03.Muestra'!$B$8:$B$42)-MIN(ROW('03.Muestra'!$D$8:$D$42))+1,""),ROW()-1006)),"")</f>
        <v>1.0</v>
      </c>
      <c r="B1016" s="114" t="str" cm="1">
        <f t="array" ref="B1016">IFERROR(INDEX('03.Muestra'!$C$8:$C$42,SMALL(IF("Página Web"='03.Muestra'!$D$8:$D$42,ROW('03.Muestra'!$C$8:$C$42)-MIN(ROW('03.Muestra'!$D$8:$D$42))+1,""),ROW()-1006)),"")</f>
        <v>Home - PortCastelló</v>
      </c>
      <c r="C1016" s="114" t="str" cm="1">
        <f t="array" ref="C1016">IFERROR(INDEX('03.Muestra'!$F$8:$F$42,SMALL(IF("Página Web"='03.Muestra'!$D$8:$D$42,ROW('03.Muestra'!$F$8:$F$42)-MIN(ROW('03.Muestra'!$D$8:$D$42))+1,""),ROW()-1006)),"")</f>
        <v>https://www.portcastello.com/</v>
      </c>
      <c r="D1016" s="130" t="s">
        <v>37</v>
      </c>
      <c r="E1016" s="107" t="str">
        <f t="shared" si="52"/>
        <v/>
      </c>
      <c r="F1016" s="19"/>
      <c r="G1016" s="19"/>
      <c r="H1016" s="19"/>
      <c r="I1016" s="19"/>
      <c r="J1016" s="19"/>
      <c r="K1016" s="233"/>
      <c r="L1016" s="19"/>
      <c r="M1016" s="19"/>
      <c r="N1016" s="19"/>
      <c r="O1016" s="19"/>
      <c r="P1016" s="19"/>
      <c r="Q1016" s="19"/>
      <c r="R1016" s="19"/>
      <c r="S1016" s="19"/>
      <c r="T1016" s="19"/>
      <c r="U1016" s="19"/>
      <c r="V1016" s="19"/>
      <c r="W1016" s="19"/>
      <c r="X1016" s="19"/>
      <c r="Y1016" s="19"/>
    </row>
    <row r="1017" spans="1:25" ht="12" customHeight="1">
      <c r="A1017" s="219" t="n" cm="1">
        <f t="array" ref="A1017">IFERROR(INDEX('03.Muestra'!$B$8:$B$42,SMALL(IF("Página Web"='03.Muestra'!$D$8:$D$42,ROW('03.Muestra'!$B$8:$B$42)-MIN(ROW('03.Muestra'!$D$8:$D$42))+1,""),ROW()-1006)),"")</f>
        <v>1.0</v>
      </c>
      <c r="B1017" s="114" t="str" cm="1">
        <f t="array" ref="B1017">IFERROR(INDEX('03.Muestra'!$C$8:$C$42,SMALL(IF("Página Web"='03.Muestra'!$D$8:$D$42,ROW('03.Muestra'!$C$8:$C$42)-MIN(ROW('03.Muestra'!$D$8:$D$42))+1,""),ROW()-1006)),"")</f>
        <v>Home - PortCastelló</v>
      </c>
      <c r="C1017" s="114" t="str" cm="1">
        <f t="array" ref="C1017">IFERROR(INDEX('03.Muestra'!$F$8:$F$42,SMALL(IF("Página Web"='03.Muestra'!$D$8:$D$42,ROW('03.Muestra'!$F$8:$F$42)-MIN(ROW('03.Muestra'!$D$8:$D$42))+1,""),ROW()-1006)),"")</f>
        <v>https://www.portcastello.com/</v>
      </c>
      <c r="D1017" s="130" t="s">
        <v>37</v>
      </c>
      <c r="E1017" s="107" t="str">
        <f t="shared" si="52"/>
        <v/>
      </c>
      <c r="F1017" s="19"/>
      <c r="G1017" s="19"/>
      <c r="H1017" s="19"/>
      <c r="I1017" s="19"/>
      <c r="J1017" s="19"/>
      <c r="K1017" s="233"/>
      <c r="L1017" s="19"/>
      <c r="M1017" s="19"/>
      <c r="N1017" s="19"/>
      <c r="O1017" s="19"/>
      <c r="P1017" s="19"/>
      <c r="Q1017" s="19"/>
      <c r="R1017" s="19"/>
      <c r="S1017" s="19"/>
      <c r="T1017" s="19"/>
      <c r="U1017" s="19"/>
      <c r="V1017" s="19"/>
      <c r="W1017" s="19"/>
      <c r="X1017" s="19"/>
      <c r="Y1017" s="19"/>
    </row>
    <row r="1018" spans="1:25" ht="12" customHeight="1">
      <c r="A1018" s="219" t="n" cm="1">
        <f t="array" ref="A1018">IFERROR(INDEX('03.Muestra'!$B$8:$B$42,SMALL(IF("Página Web"='03.Muestra'!$D$8:$D$42,ROW('03.Muestra'!$B$8:$B$42)-MIN(ROW('03.Muestra'!$D$8:$D$42))+1,""),ROW()-1006)),"")</f>
        <v>1.0</v>
      </c>
      <c r="B1018" s="114" t="str" cm="1">
        <f t="array" ref="B1018">IFERROR(INDEX('03.Muestra'!$C$8:$C$42,SMALL(IF("Página Web"='03.Muestra'!$D$8:$D$42,ROW('03.Muestra'!$C$8:$C$42)-MIN(ROW('03.Muestra'!$D$8:$D$42))+1,""),ROW()-1006)),"")</f>
        <v>Home - PortCastelló</v>
      </c>
      <c r="C1018" s="114" t="str" cm="1">
        <f t="array" ref="C1018">IFERROR(INDEX('03.Muestra'!$F$8:$F$42,SMALL(IF("Página Web"='03.Muestra'!$D$8:$D$42,ROW('03.Muestra'!$F$8:$F$42)-MIN(ROW('03.Muestra'!$D$8:$D$42))+1,""),ROW()-1006)),"")</f>
        <v>https://www.portcastello.com/</v>
      </c>
      <c r="D1018" s="130" t="s">
        <v>37</v>
      </c>
      <c r="E1018" s="107" t="str">
        <f t="shared" si="52"/>
        <v/>
      </c>
      <c r="F1018" s="19"/>
      <c r="G1018" s="19"/>
      <c r="H1018" s="19"/>
      <c r="I1018" s="19"/>
      <c r="J1018" s="19"/>
      <c r="K1018" s="233"/>
      <c r="L1018" s="19"/>
      <c r="M1018" s="19"/>
      <c r="N1018" s="19"/>
      <c r="O1018" s="19"/>
      <c r="P1018" s="19"/>
      <c r="Q1018" s="19"/>
      <c r="R1018" s="19"/>
      <c r="S1018" s="19"/>
      <c r="T1018" s="19"/>
      <c r="U1018" s="19"/>
      <c r="V1018" s="19"/>
      <c r="W1018" s="19"/>
      <c r="X1018" s="19"/>
      <c r="Y1018" s="19"/>
    </row>
    <row r="1019" spans="1:25" ht="12" customHeight="1">
      <c r="A1019" s="219" t="n" cm="1">
        <f t="array" ref="A1019">IFERROR(INDEX('03.Muestra'!$B$8:$B$42,SMALL(IF("Página Web"='03.Muestra'!$D$8:$D$42,ROW('03.Muestra'!$B$8:$B$42)-MIN(ROW('03.Muestra'!$D$8:$D$42))+1,""),ROW()-1006)),"")</f>
        <v>1.0</v>
      </c>
      <c r="B1019" s="114" t="str" cm="1">
        <f t="array" ref="B1019">IFERROR(INDEX('03.Muestra'!$C$8:$C$42,SMALL(IF("Página Web"='03.Muestra'!$D$8:$D$42,ROW('03.Muestra'!$C$8:$C$42)-MIN(ROW('03.Muestra'!$D$8:$D$42))+1,""),ROW()-1006)),"")</f>
        <v>Home - PortCastelló</v>
      </c>
      <c r="C1019" s="114" t="str" cm="1">
        <f t="array" ref="C1019">IFERROR(INDEX('03.Muestra'!$F$8:$F$42,SMALL(IF("Página Web"='03.Muestra'!$D$8:$D$42,ROW('03.Muestra'!$F$8:$F$42)-MIN(ROW('03.Muestra'!$D$8:$D$42))+1,""),ROW()-1006)),"")</f>
        <v>https://www.portcastello.com/</v>
      </c>
      <c r="D1019" s="130" t="s">
        <v>37</v>
      </c>
      <c r="E1019" s="107" t="str">
        <f t="shared" si="52"/>
        <v/>
      </c>
      <c r="F1019" s="19"/>
      <c r="G1019" s="19"/>
      <c r="H1019" s="19"/>
      <c r="I1019" s="19"/>
      <c r="J1019" s="19"/>
      <c r="K1019" s="233"/>
      <c r="L1019" s="19"/>
      <c r="M1019" s="19"/>
      <c r="N1019" s="19"/>
      <c r="O1019" s="19"/>
      <c r="P1019" s="19"/>
      <c r="Q1019" s="19"/>
      <c r="R1019" s="19"/>
      <c r="S1019" s="19"/>
      <c r="T1019" s="19"/>
      <c r="U1019" s="19"/>
      <c r="V1019" s="19"/>
      <c r="W1019" s="19"/>
      <c r="X1019" s="19"/>
      <c r="Y1019" s="19"/>
    </row>
    <row r="1020" spans="1:25" ht="12" customHeight="1">
      <c r="A1020" s="219" t="n" cm="1">
        <f t="array" ref="A1020">IFERROR(INDEX('03.Muestra'!$B$8:$B$42,SMALL(IF("Página Web"='03.Muestra'!$D$8:$D$42,ROW('03.Muestra'!$B$8:$B$42)-MIN(ROW('03.Muestra'!$D$8:$D$42))+1,""),ROW()-1006)),"")</f>
        <v>1.0</v>
      </c>
      <c r="B1020" s="114" t="str" cm="1">
        <f t="array" ref="B1020">IFERROR(INDEX('03.Muestra'!$C$8:$C$42,SMALL(IF("Página Web"='03.Muestra'!$D$8:$D$42,ROW('03.Muestra'!$C$8:$C$42)-MIN(ROW('03.Muestra'!$D$8:$D$42))+1,""),ROW()-1006)),"")</f>
        <v>Home - PortCastelló</v>
      </c>
      <c r="C1020" s="114" t="str" cm="1">
        <f t="array" ref="C1020">IFERROR(INDEX('03.Muestra'!$F$8:$F$42,SMALL(IF("Página Web"='03.Muestra'!$D$8:$D$42,ROW('03.Muestra'!$F$8:$F$42)-MIN(ROW('03.Muestra'!$D$8:$D$42))+1,""),ROW()-1006)),"")</f>
        <v>https://www.portcastello.com/</v>
      </c>
      <c r="D1020" s="130" t="s">
        <v>37</v>
      </c>
      <c r="E1020" s="107" t="str">
        <f t="shared" si="52"/>
        <v/>
      </c>
      <c r="F1020" s="19"/>
      <c r="G1020" s="19"/>
      <c r="H1020" s="19"/>
      <c r="I1020" s="19"/>
      <c r="J1020" s="19"/>
      <c r="K1020" s="233"/>
      <c r="L1020" s="19"/>
      <c r="M1020" s="19"/>
      <c r="N1020" s="19"/>
      <c r="O1020" s="19"/>
      <c r="P1020" s="19"/>
      <c r="Q1020" s="19"/>
      <c r="R1020" s="19"/>
      <c r="S1020" s="19"/>
      <c r="T1020" s="19"/>
      <c r="U1020" s="19"/>
      <c r="V1020" s="19"/>
      <c r="W1020" s="19"/>
      <c r="X1020" s="19"/>
      <c r="Y1020" s="19"/>
    </row>
    <row r="1021" spans="1:25" ht="12" customHeight="1">
      <c r="A1021" s="219" t="n" cm="1">
        <f t="array" ref="A1021">IFERROR(INDEX('03.Muestra'!$B$8:$B$42,SMALL(IF("Página Web"='03.Muestra'!$D$8:$D$42,ROW('03.Muestra'!$B$8:$B$42)-MIN(ROW('03.Muestra'!$D$8:$D$42))+1,""),ROW()-1006)),"")</f>
        <v>1.0</v>
      </c>
      <c r="B1021" s="114" t="str" cm="1">
        <f t="array" ref="B1021">IFERROR(INDEX('03.Muestra'!$C$8:$C$42,SMALL(IF("Página Web"='03.Muestra'!$D$8:$D$42,ROW('03.Muestra'!$C$8:$C$42)-MIN(ROW('03.Muestra'!$D$8:$D$42))+1,""),ROW()-1006)),"")</f>
        <v>Home - PortCastelló</v>
      </c>
      <c r="C1021" s="114" t="str" cm="1">
        <f t="array" ref="C1021">IFERROR(INDEX('03.Muestra'!$F$8:$F$42,SMALL(IF("Página Web"='03.Muestra'!$D$8:$D$42,ROW('03.Muestra'!$F$8:$F$42)-MIN(ROW('03.Muestra'!$D$8:$D$42))+1,""),ROW()-1006)),"")</f>
        <v>https://www.portcastello.com/</v>
      </c>
      <c r="D1021" s="130" t="s">
        <v>37</v>
      </c>
      <c r="E1021" s="107" t="str">
        <f t="shared" si="52"/>
        <v/>
      </c>
      <c r="F1021" s="19"/>
      <c r="G1021" s="19"/>
      <c r="H1021" s="19"/>
      <c r="I1021" s="19"/>
      <c r="J1021" s="19"/>
      <c r="K1021" s="233"/>
      <c r="L1021" s="19"/>
      <c r="M1021" s="19"/>
      <c r="N1021" s="19"/>
      <c r="O1021" s="19"/>
      <c r="P1021" s="19"/>
      <c r="Q1021" s="19"/>
      <c r="R1021" s="19"/>
      <c r="S1021" s="19"/>
      <c r="T1021" s="19"/>
      <c r="U1021" s="19"/>
      <c r="V1021" s="19"/>
      <c r="W1021" s="19"/>
      <c r="X1021" s="19"/>
      <c r="Y1021" s="19"/>
    </row>
    <row r="1022" spans="1:25" ht="12" customHeight="1">
      <c r="A1022" s="219" t="n" cm="1">
        <f t="array" ref="A1022">IFERROR(INDEX('03.Muestra'!$B$8:$B$42,SMALL(IF("Página Web"='03.Muestra'!$D$8:$D$42,ROW('03.Muestra'!$B$8:$B$42)-MIN(ROW('03.Muestra'!$D$8:$D$42))+1,""),ROW()-1006)),"")</f>
        <v>1.0</v>
      </c>
      <c r="B1022" s="114" t="str" cm="1">
        <f t="array" ref="B1022">IFERROR(INDEX('03.Muestra'!$C$8:$C$42,SMALL(IF("Página Web"='03.Muestra'!$D$8:$D$42,ROW('03.Muestra'!$C$8:$C$42)-MIN(ROW('03.Muestra'!$D$8:$D$42))+1,""),ROW()-1006)),"")</f>
        <v>Home - PortCastelló</v>
      </c>
      <c r="C1022" s="114" t="str" cm="1">
        <f t="array" ref="C1022">IFERROR(INDEX('03.Muestra'!$F$8:$F$42,SMALL(IF("Página Web"='03.Muestra'!$D$8:$D$42,ROW('03.Muestra'!$F$8:$F$42)-MIN(ROW('03.Muestra'!$D$8:$D$42))+1,""),ROW()-1006)),"")</f>
        <v>https://www.portcastello.com/</v>
      </c>
      <c r="D1022" s="130" t="s">
        <v>37</v>
      </c>
      <c r="E1022" s="107" t="str">
        <f t="shared" si="52"/>
        <v/>
      </c>
      <c r="F1022" s="19"/>
      <c r="G1022" s="19"/>
      <c r="H1022" s="19"/>
      <c r="I1022" s="19"/>
      <c r="J1022" s="19"/>
      <c r="K1022" s="233"/>
      <c r="L1022" s="19"/>
      <c r="M1022" s="19"/>
      <c r="N1022" s="19"/>
      <c r="O1022" s="19"/>
      <c r="P1022" s="19"/>
      <c r="Q1022" s="19"/>
      <c r="R1022" s="19"/>
      <c r="S1022" s="19"/>
      <c r="T1022" s="19"/>
      <c r="U1022" s="19"/>
      <c r="V1022" s="19"/>
      <c r="W1022" s="19"/>
      <c r="X1022" s="19"/>
      <c r="Y1022" s="19"/>
    </row>
    <row r="1023" spans="1:25" ht="12" customHeight="1">
      <c r="A1023" s="219" t="n" cm="1">
        <f t="array" ref="A1023">IFERROR(INDEX('03.Muestra'!$B$8:$B$42,SMALL(IF("Página Web"='03.Muestra'!$D$8:$D$42,ROW('03.Muestra'!$B$8:$B$42)-MIN(ROW('03.Muestra'!$D$8:$D$42))+1,""),ROW()-1006)),"")</f>
        <v>1.0</v>
      </c>
      <c r="B1023" s="114" t="str" cm="1">
        <f t="array" ref="B1023">IFERROR(INDEX('03.Muestra'!$C$8:$C$42,SMALL(IF("Página Web"='03.Muestra'!$D$8:$D$42,ROW('03.Muestra'!$C$8:$C$42)-MIN(ROW('03.Muestra'!$D$8:$D$42))+1,""),ROW()-1006)),"")</f>
        <v>Home - PortCastelló</v>
      </c>
      <c r="C1023" s="114" t="str" cm="1">
        <f t="array" ref="C1023">IFERROR(INDEX('03.Muestra'!$F$8:$F$42,SMALL(IF("Página Web"='03.Muestra'!$D$8:$D$42,ROW('03.Muestra'!$F$8:$F$42)-MIN(ROW('03.Muestra'!$D$8:$D$42))+1,""),ROW()-1006)),"")</f>
        <v>https://www.portcastello.com/</v>
      </c>
      <c r="D1023" s="130" t="s">
        <v>37</v>
      </c>
      <c r="E1023" s="107" t="str">
        <f t="shared" si="52"/>
        <v/>
      </c>
      <c r="F1023" s="19"/>
      <c r="G1023" s="19"/>
      <c r="H1023" s="19"/>
      <c r="I1023" s="19"/>
      <c r="J1023" s="19"/>
      <c r="K1023" s="233"/>
      <c r="L1023" s="19"/>
      <c r="M1023" s="19"/>
      <c r="N1023" s="19"/>
      <c r="O1023" s="19"/>
      <c r="P1023" s="19"/>
      <c r="Q1023" s="19"/>
      <c r="R1023" s="19"/>
      <c r="S1023" s="19"/>
      <c r="T1023" s="19"/>
      <c r="U1023" s="19"/>
      <c r="V1023" s="19"/>
      <c r="W1023" s="19"/>
      <c r="X1023" s="19"/>
      <c r="Y1023" s="19"/>
    </row>
    <row r="1024" spans="1:25" ht="12" customHeight="1">
      <c r="A1024" s="219" t="n" cm="1">
        <f t="array" ref="A1024">IFERROR(INDEX('03.Muestra'!$B$8:$B$42,SMALL(IF("Página Web"='03.Muestra'!$D$8:$D$42,ROW('03.Muestra'!$B$8:$B$42)-MIN(ROW('03.Muestra'!$D$8:$D$42))+1,""),ROW()-1006)),"")</f>
        <v>1.0</v>
      </c>
      <c r="B1024" s="114" t="str" cm="1">
        <f t="array" ref="B1024">IFERROR(INDEX('03.Muestra'!$C$8:$C$42,SMALL(IF("Página Web"='03.Muestra'!$D$8:$D$42,ROW('03.Muestra'!$C$8:$C$42)-MIN(ROW('03.Muestra'!$D$8:$D$42))+1,""),ROW()-1006)),"")</f>
        <v>Home - PortCastelló</v>
      </c>
      <c r="C1024" s="114" t="str" cm="1">
        <f t="array" ref="C1024">IFERROR(INDEX('03.Muestra'!$F$8:$F$42,SMALL(IF("Página Web"='03.Muestra'!$D$8:$D$42,ROW('03.Muestra'!$F$8:$F$42)-MIN(ROW('03.Muestra'!$D$8:$D$42))+1,""),ROW()-1006)),"")</f>
        <v>https://www.portcastello.com/</v>
      </c>
      <c r="D1024" s="130" t="s">
        <v>37</v>
      </c>
      <c r="E1024" s="107" t="str">
        <f t="shared" si="52"/>
        <v/>
      </c>
      <c r="F1024" s="19"/>
      <c r="G1024" s="19"/>
      <c r="H1024" s="19"/>
      <c r="I1024" s="19"/>
      <c r="J1024" s="19"/>
      <c r="K1024" s="233"/>
      <c r="L1024" s="19"/>
      <c r="M1024" s="19"/>
      <c r="N1024" s="19"/>
      <c r="O1024" s="19"/>
      <c r="P1024" s="19"/>
      <c r="Q1024" s="19"/>
      <c r="R1024" s="19"/>
      <c r="S1024" s="19"/>
      <c r="T1024" s="19"/>
      <c r="U1024" s="19"/>
      <c r="V1024" s="19"/>
      <c r="W1024" s="19"/>
      <c r="X1024" s="19"/>
      <c r="Y1024" s="19"/>
    </row>
    <row r="1025" spans="1:25" ht="12" customHeight="1">
      <c r="A1025" s="219" t="n" cm="1">
        <f t="array" ref="A1025">IFERROR(INDEX('03.Muestra'!$B$8:$B$42,SMALL(IF("Página Web"='03.Muestra'!$D$8:$D$42,ROW('03.Muestra'!$B$8:$B$42)-MIN(ROW('03.Muestra'!$D$8:$D$42))+1,""),ROW()-1006)),"")</f>
        <v>1.0</v>
      </c>
      <c r="B1025" s="114" t="str" cm="1">
        <f t="array" ref="B1025">IFERROR(INDEX('03.Muestra'!$C$8:$C$42,SMALL(IF("Página Web"='03.Muestra'!$D$8:$D$42,ROW('03.Muestra'!$C$8:$C$42)-MIN(ROW('03.Muestra'!$D$8:$D$42))+1,""),ROW()-1006)),"")</f>
        <v>Home - PortCastelló</v>
      </c>
      <c r="C1025" s="114" t="str" cm="1">
        <f t="array" ref="C1025">IFERROR(INDEX('03.Muestra'!$F$8:$F$42,SMALL(IF("Página Web"='03.Muestra'!$D$8:$D$42,ROW('03.Muestra'!$F$8:$F$42)-MIN(ROW('03.Muestra'!$D$8:$D$42))+1,""),ROW()-1006)),"")</f>
        <v>https://www.portcastello.com/</v>
      </c>
      <c r="D1025" s="130" t="s">
        <v>37</v>
      </c>
      <c r="E1025" s="107" t="str">
        <f t="shared" si="52"/>
        <v/>
      </c>
      <c r="F1025" s="19"/>
      <c r="G1025" s="19"/>
      <c r="H1025" s="19"/>
      <c r="I1025" s="19"/>
      <c r="J1025" s="19"/>
      <c r="K1025" s="233"/>
      <c r="L1025" s="19"/>
      <c r="M1025" s="19"/>
      <c r="N1025" s="19"/>
      <c r="O1025" s="19"/>
      <c r="P1025" s="19"/>
      <c r="Q1025" s="19"/>
      <c r="R1025" s="19"/>
      <c r="S1025" s="19"/>
      <c r="T1025" s="19"/>
      <c r="U1025" s="19"/>
      <c r="V1025" s="19"/>
      <c r="W1025" s="19"/>
      <c r="X1025" s="19"/>
      <c r="Y1025" s="19"/>
    </row>
    <row r="1026" spans="1:25" ht="12" customHeight="1">
      <c r="A1026" s="219" t="n" cm="1">
        <f t="array" ref="A1026">IFERROR(INDEX('03.Muestra'!$B$8:$B$42,SMALL(IF("Página Web"='03.Muestra'!$D$8:$D$42,ROW('03.Muestra'!$B$8:$B$42)-MIN(ROW('03.Muestra'!$D$8:$D$42))+1,""),ROW()-1006)),"")</f>
        <v>1.0</v>
      </c>
      <c r="B1026" s="114" t="str" cm="1">
        <f t="array" ref="B1026">IFERROR(INDEX('03.Muestra'!$C$8:$C$42,SMALL(IF("Página Web"='03.Muestra'!$D$8:$D$42,ROW('03.Muestra'!$C$8:$C$42)-MIN(ROW('03.Muestra'!$D$8:$D$42))+1,""),ROW()-1006)),"")</f>
        <v>Home - PortCastelló</v>
      </c>
      <c r="C1026" s="114" t="str" cm="1">
        <f t="array" ref="C1026">IFERROR(INDEX('03.Muestra'!$F$8:$F$42,SMALL(IF("Página Web"='03.Muestra'!$D$8:$D$42,ROW('03.Muestra'!$F$8:$F$42)-MIN(ROW('03.Muestra'!$D$8:$D$42))+1,""),ROW()-1006)),"")</f>
        <v>https://www.portcastello.com/</v>
      </c>
      <c r="D1026" s="130" t="s">
        <v>37</v>
      </c>
      <c r="E1026" s="107" t="str">
        <f t="shared" si="52"/>
        <v/>
      </c>
      <c r="F1026" s="19"/>
      <c r="G1026" s="19"/>
      <c r="H1026" s="19"/>
      <c r="I1026" s="19"/>
      <c r="J1026" s="19"/>
      <c r="K1026" s="233"/>
      <c r="L1026" s="19"/>
      <c r="M1026" s="19"/>
      <c r="N1026" s="19"/>
      <c r="O1026" s="19"/>
      <c r="P1026" s="19"/>
      <c r="Q1026" s="19"/>
      <c r="R1026" s="19"/>
      <c r="S1026" s="19"/>
      <c r="T1026" s="19"/>
      <c r="U1026" s="19"/>
      <c r="V1026" s="19"/>
      <c r="W1026" s="19"/>
      <c r="X1026" s="19"/>
      <c r="Y1026" s="19"/>
    </row>
    <row r="1027" spans="1:25" ht="12" customHeight="1">
      <c r="A1027" s="219" t="n" cm="1">
        <f t="array" ref="A1027">IFERROR(INDEX('03.Muestra'!$B$8:$B$42,SMALL(IF("Página Web"='03.Muestra'!$D$8:$D$42,ROW('03.Muestra'!$B$8:$B$42)-MIN(ROW('03.Muestra'!$D$8:$D$42))+1,""),ROW()-1006)),"")</f>
        <v>1.0</v>
      </c>
      <c r="B1027" s="114" t="str" cm="1">
        <f t="array" ref="B1027">IFERROR(INDEX('03.Muestra'!$C$8:$C$42,SMALL(IF("Página Web"='03.Muestra'!$D$8:$D$42,ROW('03.Muestra'!$C$8:$C$42)-MIN(ROW('03.Muestra'!$D$8:$D$42))+1,""),ROW()-1006)),"")</f>
        <v>Home - PortCastelló</v>
      </c>
      <c r="C1027" s="114" t="str" cm="1">
        <f t="array" ref="C1027">IFERROR(INDEX('03.Muestra'!$F$8:$F$42,SMALL(IF("Página Web"='03.Muestra'!$D$8:$D$42,ROW('03.Muestra'!$F$8:$F$42)-MIN(ROW('03.Muestra'!$D$8:$D$42))+1,""),ROW()-1006)),"")</f>
        <v>https://www.portcastello.com/</v>
      </c>
      <c r="D1027" s="130" t="s">
        <v>37</v>
      </c>
      <c r="E1027" s="107" t="str">
        <f t="shared" si="52"/>
        <v/>
      </c>
      <c r="F1027" s="19"/>
      <c r="G1027" s="19"/>
      <c r="H1027" s="19"/>
      <c r="I1027" s="19"/>
      <c r="J1027" s="19"/>
      <c r="K1027" s="233"/>
      <c r="L1027" s="19"/>
      <c r="M1027" s="19"/>
      <c r="N1027" s="19"/>
      <c r="O1027" s="19"/>
      <c r="P1027" s="19"/>
      <c r="Q1027" s="19"/>
      <c r="R1027" s="19"/>
      <c r="S1027" s="19"/>
      <c r="T1027" s="19"/>
      <c r="U1027" s="19"/>
      <c r="V1027" s="19"/>
      <c r="W1027" s="19"/>
      <c r="X1027" s="19"/>
      <c r="Y1027" s="19"/>
    </row>
    <row r="1028" spans="1:25" ht="12" customHeight="1">
      <c r="A1028" s="219" t="n" cm="1">
        <f t="array" ref="A1028">IFERROR(INDEX('03.Muestra'!$B$8:$B$42,SMALL(IF("Página Web"='03.Muestra'!$D$8:$D$42,ROW('03.Muestra'!$B$8:$B$42)-MIN(ROW('03.Muestra'!$D$8:$D$42))+1,""),ROW()-1006)),"")</f>
        <v>1.0</v>
      </c>
      <c r="B1028" s="114" t="str" cm="1">
        <f t="array" ref="B1028">IFERROR(INDEX('03.Muestra'!$C$8:$C$42,SMALL(IF("Página Web"='03.Muestra'!$D$8:$D$42,ROW('03.Muestra'!$C$8:$C$42)-MIN(ROW('03.Muestra'!$D$8:$D$42))+1,""),ROW()-1006)),"")</f>
        <v>Home - PortCastelló</v>
      </c>
      <c r="C1028" s="114" t="str" cm="1">
        <f t="array" ref="C1028">IFERROR(INDEX('03.Muestra'!$F$8:$F$42,SMALL(IF("Página Web"='03.Muestra'!$D$8:$D$42,ROW('03.Muestra'!$F$8:$F$42)-MIN(ROW('03.Muestra'!$D$8:$D$42))+1,""),ROW()-1006)),"")</f>
        <v>https://www.portcastello.com/</v>
      </c>
      <c r="D1028" s="130" t="s">
        <v>37</v>
      </c>
      <c r="E1028" s="107" t="str">
        <f t="shared" si="52"/>
        <v/>
      </c>
      <c r="F1028" s="19"/>
      <c r="G1028" s="19"/>
      <c r="H1028" s="19"/>
      <c r="I1028" s="19"/>
      <c r="J1028" s="19"/>
      <c r="K1028" s="233"/>
      <c r="L1028" s="19"/>
      <c r="M1028" s="19"/>
      <c r="N1028" s="19"/>
      <c r="O1028" s="19"/>
      <c r="P1028" s="19"/>
      <c r="Q1028" s="19"/>
      <c r="R1028" s="19"/>
      <c r="S1028" s="19"/>
      <c r="T1028" s="19"/>
      <c r="U1028" s="19"/>
      <c r="V1028" s="19"/>
      <c r="W1028" s="19"/>
      <c r="X1028" s="19"/>
      <c r="Y1028" s="19"/>
    </row>
    <row r="1029" spans="1:25" ht="12" customHeight="1">
      <c r="A1029" s="219" t="n" cm="1">
        <f t="array" ref="A1029">IFERROR(INDEX('03.Muestra'!$B$8:$B$42,SMALL(IF("Página Web"='03.Muestra'!$D$8:$D$42,ROW('03.Muestra'!$B$8:$B$42)-MIN(ROW('03.Muestra'!$D$8:$D$42))+1,""),ROW()-1006)),"")</f>
        <v>1.0</v>
      </c>
      <c r="B1029" s="114" t="str" cm="1">
        <f t="array" ref="B1029">IFERROR(INDEX('03.Muestra'!$C$8:$C$42,SMALL(IF("Página Web"='03.Muestra'!$D$8:$D$42,ROW('03.Muestra'!$C$8:$C$42)-MIN(ROW('03.Muestra'!$D$8:$D$42))+1,""),ROW()-1006)),"")</f>
        <v>Home - PortCastelló</v>
      </c>
      <c r="C1029" s="114" t="str" cm="1">
        <f t="array" ref="C1029">IFERROR(INDEX('03.Muestra'!$F$8:$F$42,SMALL(IF("Página Web"='03.Muestra'!$D$8:$D$42,ROW('03.Muestra'!$F$8:$F$42)-MIN(ROW('03.Muestra'!$D$8:$D$42))+1,""),ROW()-1006)),"")</f>
        <v>https://www.portcastello.com/</v>
      </c>
      <c r="D1029" s="130" t="s">
        <v>37</v>
      </c>
      <c r="E1029" s="107" t="str">
        <f t="shared" si="52"/>
        <v/>
      </c>
      <c r="F1029" s="19"/>
      <c r="G1029" s="19"/>
      <c r="H1029" s="19"/>
      <c r="I1029" s="19"/>
      <c r="J1029" s="19"/>
      <c r="K1029" s="233"/>
      <c r="L1029" s="19"/>
      <c r="M1029" s="19"/>
      <c r="N1029" s="19"/>
      <c r="O1029" s="19"/>
      <c r="P1029" s="19"/>
      <c r="Q1029" s="19"/>
      <c r="R1029" s="19"/>
      <c r="S1029" s="19"/>
      <c r="T1029" s="19"/>
      <c r="U1029" s="19"/>
      <c r="V1029" s="19"/>
      <c r="W1029" s="19"/>
      <c r="X1029" s="19"/>
      <c r="Y1029" s="19"/>
    </row>
    <row r="1030" spans="1:25" ht="12" customHeight="1">
      <c r="A1030" s="219" t="n" cm="1">
        <f t="array" ref="A1030">IFERROR(INDEX('03.Muestra'!$B$8:$B$42,SMALL(IF("Página Web"='03.Muestra'!$D$8:$D$42,ROW('03.Muestra'!$B$8:$B$42)-MIN(ROW('03.Muestra'!$D$8:$D$42))+1,""),ROW()-1006)),"")</f>
        <v>1.0</v>
      </c>
      <c r="B1030" s="114" t="str" cm="1">
        <f t="array" ref="B1030">IFERROR(INDEX('03.Muestra'!$C$8:$C$42,SMALL(IF("Página Web"='03.Muestra'!$D$8:$D$42,ROW('03.Muestra'!$C$8:$C$42)-MIN(ROW('03.Muestra'!$D$8:$D$42))+1,""),ROW()-1006)),"")</f>
        <v>Home - PortCastelló</v>
      </c>
      <c r="C1030" s="114" t="str" cm="1">
        <f t="array" ref="C1030">IFERROR(INDEX('03.Muestra'!$F$8:$F$42,SMALL(IF("Página Web"='03.Muestra'!$D$8:$D$42,ROW('03.Muestra'!$F$8:$F$42)-MIN(ROW('03.Muestra'!$D$8:$D$42))+1,""),ROW()-1006)),"")</f>
        <v>https://www.portcastello.com/</v>
      </c>
      <c r="D1030" s="130" t="s">
        <v>37</v>
      </c>
      <c r="E1030" s="107" t="str">
        <f t="shared" si="52"/>
        <v/>
      </c>
      <c r="F1030" s="19"/>
      <c r="G1030" s="19"/>
      <c r="H1030" s="19"/>
      <c r="I1030" s="19"/>
      <c r="J1030" s="19"/>
      <c r="K1030" s="233"/>
      <c r="L1030" s="19"/>
      <c r="M1030" s="19"/>
      <c r="N1030" s="19"/>
      <c r="O1030" s="19"/>
      <c r="P1030" s="19"/>
      <c r="Q1030" s="19"/>
      <c r="R1030" s="19"/>
      <c r="S1030" s="19"/>
      <c r="T1030" s="19"/>
      <c r="U1030" s="19"/>
      <c r="V1030" s="19"/>
      <c r="W1030" s="19"/>
      <c r="X1030" s="19"/>
      <c r="Y1030" s="19"/>
    </row>
    <row r="1031" spans="1:25" ht="12" customHeight="1">
      <c r="A1031" s="219" t="n" cm="1">
        <f t="array" ref="A1031">IFERROR(INDEX('03.Muestra'!$B$8:$B$42,SMALL(IF("Página Web"='03.Muestra'!$D$8:$D$42,ROW('03.Muestra'!$B$8:$B$42)-MIN(ROW('03.Muestra'!$D$8:$D$42))+1,""),ROW()-1006)),"")</f>
        <v>1.0</v>
      </c>
      <c r="B1031" s="114" t="str" cm="1">
        <f t="array" ref="B1031">IFERROR(INDEX('03.Muestra'!$C$8:$C$42,SMALL(IF("Página Web"='03.Muestra'!$D$8:$D$42,ROW('03.Muestra'!$C$8:$C$42)-MIN(ROW('03.Muestra'!$D$8:$D$42))+1,""),ROW()-1006)),"")</f>
        <v>Home - PortCastelló</v>
      </c>
      <c r="C1031" s="114" t="str" cm="1">
        <f t="array" ref="C1031">IFERROR(INDEX('03.Muestra'!$F$8:$F$42,SMALL(IF("Página Web"='03.Muestra'!$D$8:$D$42,ROW('03.Muestra'!$F$8:$F$42)-MIN(ROW('03.Muestra'!$D$8:$D$42))+1,""),ROW()-1006)),"")</f>
        <v>https://www.portcastello.com/</v>
      </c>
      <c r="D1031" s="130" t="s">
        <v>37</v>
      </c>
      <c r="E1031" s="107" t="str">
        <f t="shared" si="52"/>
        <v/>
      </c>
      <c r="F1031" s="19"/>
      <c r="G1031" s="19"/>
      <c r="H1031" s="19"/>
      <c r="I1031" s="19"/>
      <c r="J1031" s="19"/>
      <c r="K1031" s="233"/>
      <c r="L1031" s="19"/>
      <c r="M1031" s="19"/>
      <c r="N1031" s="19"/>
      <c r="O1031" s="19"/>
      <c r="P1031" s="19"/>
      <c r="Q1031" s="19"/>
      <c r="R1031" s="19"/>
      <c r="S1031" s="19"/>
      <c r="T1031" s="19"/>
      <c r="U1031" s="19"/>
      <c r="V1031" s="19"/>
      <c r="W1031" s="19"/>
      <c r="X1031" s="19"/>
      <c r="Y1031" s="19"/>
    </row>
    <row r="1032" spans="1:25" ht="12" customHeight="1">
      <c r="A1032" s="219" t="n" cm="1">
        <f t="array" ref="A1032">IFERROR(INDEX('03.Muestra'!$B$8:$B$42,SMALL(IF("Página Web"='03.Muestra'!$D$8:$D$42,ROW('03.Muestra'!$B$8:$B$42)-MIN(ROW('03.Muestra'!$D$8:$D$42))+1,""),ROW()-1006)),"")</f>
        <v>1.0</v>
      </c>
      <c r="B1032" s="114" t="str" cm="1">
        <f t="array" ref="B1032">IFERROR(INDEX('03.Muestra'!$C$8:$C$42,SMALL(IF("Página Web"='03.Muestra'!$D$8:$D$42,ROW('03.Muestra'!$C$8:$C$42)-MIN(ROW('03.Muestra'!$D$8:$D$42))+1,""),ROW()-1006)),"")</f>
        <v>Home - PortCastelló</v>
      </c>
      <c r="C1032" s="114" t="str" cm="1">
        <f t="array" ref="C1032">IFERROR(INDEX('03.Muestra'!$F$8:$F$42,SMALL(IF("Página Web"='03.Muestra'!$D$8:$D$42,ROW('03.Muestra'!$F$8:$F$42)-MIN(ROW('03.Muestra'!$D$8:$D$42))+1,""),ROW()-1006)),"")</f>
        <v>https://www.portcastello.com/</v>
      </c>
      <c r="D1032" s="130" t="s">
        <v>37</v>
      </c>
      <c r="E1032" s="107" t="str">
        <f t="shared" si="52"/>
        <v/>
      </c>
      <c r="F1032" s="19"/>
      <c r="G1032" s="19"/>
      <c r="H1032" s="19"/>
      <c r="I1032" s="19"/>
      <c r="J1032" s="19"/>
      <c r="K1032" s="233"/>
      <c r="L1032" s="19"/>
      <c r="M1032" s="19"/>
      <c r="N1032" s="19"/>
      <c r="O1032" s="19"/>
      <c r="P1032" s="19"/>
      <c r="Q1032" s="19"/>
      <c r="R1032" s="19"/>
      <c r="S1032" s="19"/>
      <c r="T1032" s="19"/>
      <c r="U1032" s="19"/>
      <c r="V1032" s="19"/>
      <c r="W1032" s="19"/>
      <c r="X1032" s="19"/>
      <c r="Y1032" s="19"/>
    </row>
    <row r="1033" spans="1:25" ht="12" customHeight="1">
      <c r="A1033" s="219" t="n" cm="1">
        <f t="array" ref="A1033">IFERROR(INDEX('03.Muestra'!$B$8:$B$42,SMALL(IF("Página Web"='03.Muestra'!$D$8:$D$42,ROW('03.Muestra'!$B$8:$B$42)-MIN(ROW('03.Muestra'!$D$8:$D$42))+1,""),ROW()-1006)),"")</f>
        <v>1.0</v>
      </c>
      <c r="B1033" s="114" t="str" cm="1">
        <f t="array" ref="B1033">IFERROR(INDEX('03.Muestra'!$C$8:$C$42,SMALL(IF("Página Web"='03.Muestra'!$D$8:$D$42,ROW('03.Muestra'!$C$8:$C$42)-MIN(ROW('03.Muestra'!$D$8:$D$42))+1,""),ROW()-1006)),"")</f>
        <v>Home - PortCastelló</v>
      </c>
      <c r="C1033" s="114" t="str" cm="1">
        <f t="array" ref="C1033">IFERROR(INDEX('03.Muestra'!$F$8:$F$42,SMALL(IF("Página Web"='03.Muestra'!$D$8:$D$42,ROW('03.Muestra'!$F$8:$F$42)-MIN(ROW('03.Muestra'!$D$8:$D$42))+1,""),ROW()-1006)),"")</f>
        <v>https://www.portcastello.com/</v>
      </c>
      <c r="D1033" s="130" t="s">
        <v>37</v>
      </c>
      <c r="E1033" s="107" t="str">
        <f t="shared" si="52"/>
        <v/>
      </c>
      <c r="F1033" s="19"/>
      <c r="G1033" s="19"/>
      <c r="H1033" s="19"/>
      <c r="I1033" s="19"/>
      <c r="J1033" s="19"/>
      <c r="K1033" s="233"/>
      <c r="L1033" s="19"/>
      <c r="M1033" s="19"/>
      <c r="N1033" s="19"/>
      <c r="O1033" s="19"/>
      <c r="P1033" s="19"/>
      <c r="Q1033" s="19"/>
      <c r="R1033" s="19"/>
      <c r="S1033" s="19"/>
      <c r="T1033" s="19"/>
      <c r="U1033" s="19"/>
      <c r="V1033" s="19"/>
      <c r="W1033" s="19"/>
      <c r="X1033" s="19"/>
      <c r="Y1033" s="19"/>
    </row>
    <row r="1034" spans="1:25" ht="12" customHeight="1">
      <c r="A1034" s="219" t="n" cm="1">
        <f t="array" ref="A1034">IFERROR(INDEX('03.Muestra'!$B$8:$B$42,SMALL(IF("Página Web"='03.Muestra'!$D$8:$D$42,ROW('03.Muestra'!$B$8:$B$42)-MIN(ROW('03.Muestra'!$D$8:$D$42))+1,""),ROW()-1006)),"")</f>
        <v>1.0</v>
      </c>
      <c r="B1034" s="114" t="str" cm="1">
        <f t="array" ref="B1034">IFERROR(INDEX('03.Muestra'!$C$8:$C$42,SMALL(IF("Página Web"='03.Muestra'!$D$8:$D$42,ROW('03.Muestra'!$C$8:$C$42)-MIN(ROW('03.Muestra'!$D$8:$D$42))+1,""),ROW()-1006)),"")</f>
        <v>Home - PortCastelló</v>
      </c>
      <c r="C1034" s="114" t="str" cm="1">
        <f t="array" ref="C1034">IFERROR(INDEX('03.Muestra'!$F$8:$F$42,SMALL(IF("Página Web"='03.Muestra'!$D$8:$D$42,ROW('03.Muestra'!$F$8:$F$42)-MIN(ROW('03.Muestra'!$D$8:$D$42))+1,""),ROW()-1006)),"")</f>
        <v>https://www.portcastello.com/</v>
      </c>
      <c r="D1034" s="130" t="s">
        <v>37</v>
      </c>
      <c r="E1034" s="107" t="str">
        <f t="shared" si="52"/>
        <v/>
      </c>
      <c r="G1034" s="19"/>
      <c r="H1034" s="19"/>
      <c r="I1034" s="19"/>
      <c r="J1034" s="19"/>
      <c r="K1034" s="233"/>
      <c r="L1034" s="19"/>
      <c r="M1034" s="19"/>
      <c r="N1034" s="19"/>
      <c r="O1034" s="19"/>
      <c r="P1034" s="19"/>
      <c r="Q1034" s="19"/>
      <c r="R1034" s="19"/>
      <c r="S1034" s="19"/>
      <c r="T1034" s="19"/>
      <c r="U1034" s="19"/>
      <c r="V1034" s="19"/>
      <c r="W1034" s="19"/>
      <c r="X1034" s="19"/>
      <c r="Y1034" s="19"/>
    </row>
    <row r="1035" spans="1:25" ht="12" customHeight="1">
      <c r="A1035" s="219" t="n" cm="1">
        <f t="array" ref="A1035">IFERROR(INDEX('03.Muestra'!$B$8:$B$42,SMALL(IF("Página Web"='03.Muestra'!$D$8:$D$42,ROW('03.Muestra'!$B$8:$B$42)-MIN(ROW('03.Muestra'!$D$8:$D$42))+1,""),ROW()-1006)),"")</f>
        <v>1.0</v>
      </c>
      <c r="B1035" s="114" t="str" cm="1">
        <f t="array" ref="B1035">IFERROR(INDEX('03.Muestra'!$C$8:$C$42,SMALL(IF("Página Web"='03.Muestra'!$D$8:$D$42,ROW('03.Muestra'!$C$8:$C$42)-MIN(ROW('03.Muestra'!$D$8:$D$42))+1,""),ROW()-1006)),"")</f>
        <v>Home - PortCastelló</v>
      </c>
      <c r="C1035" s="114" t="str" cm="1">
        <f t="array" ref="C1035">IFERROR(INDEX('03.Muestra'!$F$8:$F$42,SMALL(IF("Página Web"='03.Muestra'!$D$8:$D$42,ROW('03.Muestra'!$F$8:$F$42)-MIN(ROW('03.Muestra'!$D$8:$D$42))+1,""),ROW()-1006)),"")</f>
        <v>https://www.portcastello.com/</v>
      </c>
      <c r="D1035" s="130" t="s">
        <v>37</v>
      </c>
      <c r="E1035" s="107" t="str">
        <f t="shared" si="52"/>
        <v/>
      </c>
      <c r="F1035" s="124"/>
      <c r="G1035" s="19"/>
      <c r="H1035" s="19"/>
      <c r="I1035" s="19"/>
      <c r="J1035" s="19"/>
      <c r="K1035" s="233"/>
      <c r="L1035" s="19"/>
      <c r="M1035" s="19"/>
      <c r="N1035" s="19"/>
      <c r="O1035" s="19"/>
      <c r="P1035" s="19"/>
      <c r="Q1035" s="19"/>
      <c r="R1035" s="19"/>
      <c r="S1035" s="19"/>
      <c r="T1035" s="19"/>
      <c r="U1035" s="19"/>
      <c r="V1035" s="19"/>
      <c r="W1035" s="19"/>
      <c r="X1035" s="19"/>
      <c r="Y1035" s="19"/>
    </row>
    <row r="1036" spans="1:25" ht="12" customHeight="1">
      <c r="A1036" s="219" t="n" cm="1">
        <f t="array" ref="A1036">IFERROR(INDEX('03.Muestra'!$B$8:$B$42,SMALL(IF("Página Web"='03.Muestra'!$D$8:$D$42,ROW('03.Muestra'!$B$8:$B$42)-MIN(ROW('03.Muestra'!$D$8:$D$42))+1,""),ROW()-1006)),"")</f>
        <v>1.0</v>
      </c>
      <c r="B1036" s="114" t="str" cm="1">
        <f t="array" ref="B1036">IFERROR(INDEX('03.Muestra'!$C$8:$C$42,SMALL(IF("Página Web"='03.Muestra'!$D$8:$D$42,ROW('03.Muestra'!$C$8:$C$42)-MIN(ROW('03.Muestra'!$D$8:$D$42))+1,""),ROW()-1006)),"")</f>
        <v>Home - PortCastelló</v>
      </c>
      <c r="C1036" s="114" t="str" cm="1">
        <f t="array" ref="C1036">IFERROR(INDEX('03.Muestra'!$F$8:$F$42,SMALL(IF("Página Web"='03.Muestra'!$D$8:$D$42,ROW('03.Muestra'!$F$8:$F$42)-MIN(ROW('03.Muestra'!$D$8:$D$42))+1,""),ROW()-1006)),"")</f>
        <v>https://www.portcastello.com/</v>
      </c>
      <c r="D1036" s="130" t="s">
        <v>37</v>
      </c>
      <c r="E1036" s="107" t="str">
        <f t="shared" si="52"/>
        <v/>
      </c>
      <c r="F1036" s="124"/>
      <c r="G1036" s="19"/>
      <c r="H1036" s="19"/>
      <c r="I1036" s="19"/>
      <c r="J1036" s="19"/>
      <c r="K1036" s="233"/>
      <c r="L1036" s="19"/>
      <c r="M1036" s="19"/>
      <c r="N1036" s="19"/>
      <c r="O1036" s="19"/>
      <c r="P1036" s="19"/>
      <c r="Q1036" s="19"/>
      <c r="R1036" s="19"/>
      <c r="S1036" s="19"/>
      <c r="T1036" s="19"/>
      <c r="U1036" s="19"/>
      <c r="V1036" s="19"/>
      <c r="W1036" s="19"/>
      <c r="X1036" s="19"/>
      <c r="Y1036" s="19"/>
    </row>
    <row r="1037" spans="1:25" ht="12" customHeight="1">
      <c r="A1037" s="219" t="n" cm="1">
        <f t="array" ref="A1037">IFERROR(INDEX('03.Muestra'!$B$8:$B$42,SMALL(IF("Página Web"='03.Muestra'!$D$8:$D$42,ROW('03.Muestra'!$B$8:$B$42)-MIN(ROW('03.Muestra'!$D$8:$D$42))+1,""),ROW()-1006)),"")</f>
        <v>1.0</v>
      </c>
      <c r="B1037" s="114" t="str" cm="1">
        <f t="array" ref="B1037">IFERROR(INDEX('03.Muestra'!$C$8:$C$42,SMALL(IF("Página Web"='03.Muestra'!$D$8:$D$42,ROW('03.Muestra'!$C$8:$C$42)-MIN(ROW('03.Muestra'!$D$8:$D$42))+1,""),ROW()-1006)),"")</f>
        <v>Home - PortCastelló</v>
      </c>
      <c r="C1037" s="114" t="str" cm="1">
        <f t="array" ref="C1037">IFERROR(INDEX('03.Muestra'!$F$8:$F$42,SMALL(IF("Página Web"='03.Muestra'!$D$8:$D$42,ROW('03.Muestra'!$F$8:$F$42)-MIN(ROW('03.Muestra'!$D$8:$D$42))+1,""),ROW()-1006)),"")</f>
        <v>https://www.portcastello.com/</v>
      </c>
      <c r="D1037" s="130" t="s">
        <v>37</v>
      </c>
      <c r="E1037" s="107" t="str">
        <f t="shared" si="52"/>
        <v/>
      </c>
      <c r="F1037" s="124"/>
      <c r="G1037" s="19"/>
      <c r="H1037" s="19"/>
      <c r="I1037" s="19"/>
      <c r="J1037" s="19"/>
      <c r="K1037" s="233"/>
      <c r="L1037" s="19"/>
      <c r="M1037" s="19"/>
      <c r="N1037" s="19"/>
      <c r="O1037" s="19"/>
      <c r="P1037" s="19"/>
      <c r="Q1037" s="19"/>
      <c r="R1037" s="19"/>
      <c r="S1037" s="19"/>
      <c r="T1037" s="19"/>
      <c r="U1037" s="19"/>
      <c r="V1037" s="19"/>
      <c r="W1037" s="19"/>
      <c r="X1037" s="19"/>
      <c r="Y1037" s="19"/>
    </row>
    <row r="1038" spans="1:25" ht="12" customHeight="1">
      <c r="A1038" s="219" t="n" cm="1">
        <f t="array" ref="A1038">IFERROR(INDEX('03.Muestra'!$B$8:$B$42,SMALL(IF("Página Web"='03.Muestra'!$D$8:$D$42,ROW('03.Muestra'!$B$8:$B$42)-MIN(ROW('03.Muestra'!$D$8:$D$42))+1,""),ROW()-1006)),"")</f>
        <v>1.0</v>
      </c>
      <c r="B1038" s="114" t="str" cm="1">
        <f t="array" ref="B1038">IFERROR(INDEX('03.Muestra'!$C$8:$C$42,SMALL(IF("Página Web"='03.Muestra'!$D$8:$D$42,ROW('03.Muestra'!$C$8:$C$42)-MIN(ROW('03.Muestra'!$D$8:$D$42))+1,""),ROW()-1006)),"")</f>
        <v>Home - PortCastelló</v>
      </c>
      <c r="C1038" s="114" t="str" cm="1">
        <f t="array" ref="C1038">IFERROR(INDEX('03.Muestra'!$F$8:$F$42,SMALL(IF("Página Web"='03.Muestra'!$D$8:$D$42,ROW('03.Muestra'!$F$8:$F$42)-MIN(ROW('03.Muestra'!$D$8:$D$42))+1,""),ROW()-1006)),"")</f>
        <v>https://www.portcastello.com/</v>
      </c>
      <c r="D1038" s="130" t="s">
        <v>37</v>
      </c>
      <c r="E1038" s="107" t="str">
        <f t="shared" si="52"/>
        <v/>
      </c>
      <c r="F1038" s="124"/>
      <c r="G1038" s="19"/>
      <c r="H1038" s="19"/>
      <c r="I1038" s="19"/>
      <c r="J1038" s="19"/>
      <c r="K1038" s="233"/>
      <c r="L1038" s="19"/>
      <c r="M1038" s="19"/>
      <c r="N1038" s="19"/>
      <c r="O1038" s="19"/>
      <c r="P1038" s="19"/>
      <c r="Q1038" s="19"/>
      <c r="R1038" s="19"/>
      <c r="S1038" s="19"/>
      <c r="T1038" s="19"/>
      <c r="U1038" s="19"/>
      <c r="V1038" s="19"/>
      <c r="W1038" s="19"/>
      <c r="X1038" s="19"/>
      <c r="Y1038" s="19"/>
    </row>
    <row r="1039" spans="1:25" ht="12" customHeight="1">
      <c r="A1039" s="219" t="n" cm="1">
        <f t="array" ref="A1039">IFERROR(INDEX('03.Muestra'!$B$8:$B$42,SMALL(IF("Página Web"='03.Muestra'!$D$8:$D$42,ROW('03.Muestra'!$B$8:$B$42)-MIN(ROW('03.Muestra'!$D$8:$D$42))+1,""),ROW()-1006)),"")</f>
        <v>1.0</v>
      </c>
      <c r="B1039" s="114" t="str" cm="1">
        <f t="array" ref="B1039">IFERROR(INDEX('03.Muestra'!$C$8:$C$42,SMALL(IF("Página Web"='03.Muestra'!$D$8:$D$42,ROW('03.Muestra'!$C$8:$C$42)-MIN(ROW('03.Muestra'!$D$8:$D$42))+1,""),ROW()-1006)),"")</f>
        <v>Home - PortCastelló</v>
      </c>
      <c r="C1039" s="114" t="str" cm="1">
        <f t="array" ref="C1039">IFERROR(INDEX('03.Muestra'!$F$8:$F$42,SMALL(IF("Página Web"='03.Muestra'!$D$8:$D$42,ROW('03.Muestra'!$F$8:$F$42)-MIN(ROW('03.Muestra'!$D$8:$D$42))+1,""),ROW()-1006)),"")</f>
        <v>https://www.portcastello.com/</v>
      </c>
      <c r="D1039" s="130" t="s">
        <v>37</v>
      </c>
      <c r="E1039" s="107" t="str">
        <f t="shared" si="52"/>
        <v/>
      </c>
      <c r="F1039" s="124"/>
      <c r="G1039" s="19"/>
      <c r="H1039" s="19"/>
      <c r="I1039" s="19"/>
      <c r="J1039" s="19"/>
      <c r="K1039" s="233"/>
      <c r="L1039" s="19"/>
      <c r="M1039" s="19"/>
      <c r="N1039" s="19"/>
      <c r="O1039" s="19"/>
      <c r="P1039" s="19"/>
      <c r="Q1039" s="19"/>
      <c r="R1039" s="19"/>
      <c r="S1039" s="19"/>
      <c r="T1039" s="19"/>
      <c r="U1039" s="19"/>
      <c r="V1039" s="19"/>
      <c r="W1039" s="19"/>
      <c r="X1039" s="19"/>
      <c r="Y1039" s="19"/>
    </row>
    <row r="1040" spans="1:25" ht="12" customHeight="1">
      <c r="A1040" s="219" t="str" cm="1">
        <f t="array" ref="A1040">IFERROR(INDEX('03.Muestra'!$B$8:$B$42,SMALL(IF("Página Web"='03.Muestra'!$D$8:$D$42,ROW('03.Muestra'!$B$8:$B$42)-MIN(ROW('03.Muestra'!$D$8:$D$42))+1,""),ROW()-1006)),"")</f>
        <v/>
      </c>
      <c r="B1040" s="114" t="str" cm="1">
        <f t="array" ref="B1040">IFERROR(INDEX('03.Muestra'!$C$8:$C$42,SMALL(IF("Página Web"='03.Muestra'!$D$8:$D$42,ROW('03.Muestra'!$C$8:$C$42)-MIN(ROW('03.Muestra'!$D$8:$D$42))+1,""),ROW()-1006)),"")</f>
        <v/>
      </c>
      <c r="C1040" s="114" t="str" cm="1">
        <f t="array" ref="C1040">IFERROR(INDEX('03.Muestra'!$F$8:$F$42,SMALL(IF("Página Web"='03.Muestra'!$D$8:$D$42,ROW('03.Muestra'!$F$8:$F$42)-MIN(ROW('03.Muestra'!$D$8:$D$42))+1,""),ROW()-1006)),"")</f>
        <v/>
      </c>
      <c r="D1040" s="130" t="str">
        <f t="shared" si="53" ref="D1040:D1041">IF(AND(B1040&lt;&gt;"",C1040&lt;&gt;""),"N/T","")</f>
        <v/>
      </c>
      <c r="E1040" s="107" t="str">
        <f t="shared" si="52"/>
        <v/>
      </c>
      <c r="F1040" s="124"/>
      <c r="G1040" s="19"/>
      <c r="H1040" s="19"/>
      <c r="I1040" s="19"/>
      <c r="J1040" s="19"/>
      <c r="K1040" s="233"/>
      <c r="L1040" s="19"/>
      <c r="M1040" s="19"/>
      <c r="N1040" s="19"/>
      <c r="O1040" s="19"/>
      <c r="P1040" s="19"/>
      <c r="Q1040" s="19"/>
      <c r="R1040" s="19"/>
      <c r="S1040" s="19"/>
      <c r="T1040" s="19"/>
      <c r="U1040" s="19"/>
      <c r="V1040" s="19"/>
      <c r="W1040" s="19"/>
      <c r="X1040" s="19"/>
      <c r="Y1040" s="19"/>
    </row>
    <row r="1041" spans="1:25" ht="12" customHeight="1">
      <c r="A1041" s="219" t="str" cm="1">
        <f t="array" ref="A1041">IFERROR(INDEX('03.Muestra'!$B$8:$B$42,SMALL(IF("Página Web"='03.Muestra'!$D$8:$D$42,ROW('03.Muestra'!$B$8:$B$42)-MIN(ROW('03.Muestra'!$D$8:$D$42))+1,""),ROW()-1006)),"")</f>
        <v/>
      </c>
      <c r="B1041" s="114" t="str" cm="1">
        <f t="array" ref="B1041">IFERROR(INDEX('03.Muestra'!$C$8:$C$42,SMALL(IF("Página Web"='03.Muestra'!$D$8:$D$42,ROW('03.Muestra'!$C$8:$C$42)-MIN(ROW('03.Muestra'!$D$8:$D$42))+1,""),ROW()-1006)),"")</f>
        <v/>
      </c>
      <c r="C1041" s="114" t="str" cm="1">
        <f t="array" ref="C1041">IFERROR(INDEX('03.Muestra'!$F$8:$F$42,SMALL(IF("Página Web"='03.Muestra'!$D$8:$D$42,ROW('03.Muestra'!$F$8:$F$42)-MIN(ROW('03.Muestra'!$D$8:$D$42))+1,""),ROW()-1006)),"")</f>
        <v/>
      </c>
      <c r="D1041" s="130" t="str">
        <f t="shared" si="53"/>
        <v/>
      </c>
      <c r="E1041" s="107" t="str">
        <f t="shared" si="52"/>
        <v/>
      </c>
      <c r="F1041" s="19"/>
      <c r="G1041" s="19"/>
      <c r="H1041" s="19"/>
      <c r="I1041" s="19"/>
      <c r="J1041" s="19"/>
      <c r="K1041" s="233"/>
      <c r="L1041" s="19"/>
      <c r="M1041" s="19"/>
      <c r="N1041" s="19"/>
      <c r="O1041" s="19"/>
      <c r="P1041" s="19"/>
      <c r="Q1041" s="19"/>
      <c r="R1041" s="19"/>
      <c r="S1041" s="19"/>
      <c r="T1041" s="19"/>
      <c r="U1041" s="19"/>
      <c r="V1041" s="19"/>
      <c r="W1041" s="19"/>
      <c r="X1041" s="19"/>
      <c r="Y1041" s="19"/>
    </row>
    <row r="1042" spans="1:25" ht="12" customHeight="1">
      <c r="B1042" s="162"/>
      <c r="C1042" s="162"/>
      <c r="D1042" s="163"/>
      <c r="E1042" s="107"/>
      <c r="F1042" s="19"/>
      <c r="G1042" s="19"/>
      <c r="H1042" s="19"/>
      <c r="I1042" s="19"/>
      <c r="J1042" s="19"/>
      <c r="K1042" s="233"/>
      <c r="L1042" s="19"/>
      <c r="M1042" s="19"/>
      <c r="N1042" s="19"/>
      <c r="O1042" s="19"/>
      <c r="P1042" s="19"/>
      <c r="Q1042" s="19"/>
      <c r="R1042" s="19"/>
      <c r="S1042" s="19"/>
      <c r="T1042" s="19"/>
      <c r="U1042" s="19"/>
      <c r="V1042" s="19"/>
      <c r="W1042" s="19"/>
      <c r="X1042" s="19"/>
      <c r="Y1042" s="19"/>
    </row>
    <row r="1043" spans="1:25" ht="12" customHeight="1">
      <c r="B1043" s="126"/>
      <c r="C1043" s="19"/>
      <c r="D1043" s="107"/>
      <c r="E1043" s="112"/>
      <c r="F1043" s="19"/>
      <c r="G1043" s="19"/>
      <c r="H1043" s="19"/>
      <c r="I1043" s="19"/>
      <c r="J1043" s="19"/>
      <c r="K1043" s="233"/>
      <c r="L1043" s="19"/>
      <c r="M1043" s="19"/>
      <c r="N1043" s="19"/>
      <c r="O1043" s="19"/>
      <c r="P1043" s="19"/>
      <c r="Q1043" s="19"/>
      <c r="R1043" s="19"/>
      <c r="S1043" s="19"/>
      <c r="T1043" s="19"/>
      <c r="U1043" s="19"/>
      <c r="V1043" s="19"/>
      <c r="W1043" s="19"/>
      <c r="X1043" s="19"/>
      <c r="Y1043" s="19"/>
    </row>
    <row r="1044" spans="1:25" ht="29.25" customHeight="1">
      <c r="A1044" s="218" t="s">
        <v>268</v>
      </c>
      <c r="B1044" s="24" t="s">
        <v>90</v>
      </c>
      <c r="C1044" s="25" t="s">
        <v>400</v>
      </c>
      <c r="D1044" s="26" t="s">
        <v>32</v>
      </c>
      <c r="E1044" s="123"/>
      <c r="K1044" s="233"/>
      <c r="L1044" s="19"/>
      <c r="M1044" s="19"/>
      <c r="N1044" s="19"/>
      <c r="O1044" s="19"/>
      <c r="P1044" s="19"/>
      <c r="Q1044" s="19"/>
      <c r="R1044" s="19"/>
      <c r="S1044" s="19"/>
      <c r="T1044" s="19"/>
      <c r="U1044" s="19"/>
      <c r="V1044" s="19"/>
      <c r="W1044" s="19"/>
      <c r="X1044" s="19"/>
      <c r="Y1044" s="19"/>
    </row>
    <row r="1045" spans="1:25" ht="12" customHeight="1">
      <c r="A1045" s="219" t="n" cm="1">
        <f t="array" ref="A1045">IFERROR(INDEX('03.Muestra'!$B$8:$B$42,SMALL(IF("Página Web"='03.Muestra'!$D$8:$D$42,ROW('03.Muestra'!$B$8:$B$42)-MIN(ROW('03.Muestra'!$D$8:$D$42))+1,""),ROW()-1044)),"")</f>
        <v>1.0</v>
      </c>
      <c r="B1045" s="114" t="str" cm="1">
        <f t="array" ref="B1045">IFERROR(INDEX('03.Muestra'!$C$8:$C$42,SMALL(IF("Página Web"='03.Muestra'!$D$8:$D$42,ROW('03.Muestra'!$C$8:$C$42)-MIN(ROW('03.Muestra'!$D$8:$D$42))+1,""),ROW()-1044)),"")</f>
        <v>Home - PortCastelló</v>
      </c>
      <c r="C1045" s="114" t="str" cm="1">
        <f t="array" ref="C1045">IFERROR(INDEX('03.Muestra'!$F$8:$F$42,SMALL(IF("Página Web"='03.Muestra'!$D$8:$D$42,ROW('03.Muestra'!$F$8:$F$42)-MIN(ROW('03.Muestra'!$D$8:$D$42))+1,""),ROW()-1044)),"")</f>
        <v>https://www.portcastello.com/</v>
      </c>
      <c r="D1045" s="130" t="s">
        <v>37</v>
      </c>
      <c r="E1045" s="107" t="str">
        <f t="shared" ref="E1045:E1079" si="54">IF(D1045&lt;&gt;"",IF(AND(B1045&lt;&gt;"",C1045&lt;&gt;""),"","ERR"),"")</f>
        <v/>
      </c>
      <c r="F1045" s="115" t="s">
        <v>33</v>
      </c>
      <c r="G1045" s="116" t="s">
        <v>37</v>
      </c>
      <c r="H1045" s="117" t="s">
        <v>35</v>
      </c>
      <c r="I1045" s="118" t="s">
        <v>28</v>
      </c>
      <c r="J1045" s="119" t="s">
        <v>26</v>
      </c>
      <c r="K1045" s="226" t="s">
        <v>474</v>
      </c>
      <c r="L1045" s="19"/>
      <c r="M1045" s="19"/>
      <c r="N1045" s="19"/>
      <c r="O1045" s="19"/>
      <c r="P1045" s="19"/>
      <c r="Q1045" s="19"/>
      <c r="R1045" s="19"/>
      <c r="S1045" s="19"/>
      <c r="T1045" s="19"/>
      <c r="U1045" s="19"/>
      <c r="V1045" s="19"/>
      <c r="W1045" s="19"/>
      <c r="X1045" s="19"/>
      <c r="Y1045" s="19"/>
    </row>
    <row r="1046" spans="1:25" ht="12" customHeight="1">
      <c r="A1046" s="219" t="n" cm="1">
        <f t="array" ref="A1046">IFERROR(INDEX('03.Muestra'!$B$8:$B$42,SMALL(IF("Página Web"='03.Muestra'!$D$8:$D$42,ROW('03.Muestra'!$B$8:$B$42)-MIN(ROW('03.Muestra'!$D$8:$D$42))+1,""),ROW()-1044)),"")</f>
        <v>1.0</v>
      </c>
      <c r="B1046" s="114" t="str" cm="1">
        <f t="array" ref="B1046">IFERROR(INDEX('03.Muestra'!$C$8:$C$42,SMALL(IF("Página Web"='03.Muestra'!$D$8:$D$42,ROW('03.Muestra'!$C$8:$C$42)-MIN(ROW('03.Muestra'!$D$8:$D$42))+1,""),ROW()-1044)),"")</f>
        <v>Home - PortCastelló</v>
      </c>
      <c r="C1046" s="114" t="str" cm="1">
        <f t="array" ref="C1046">IFERROR(INDEX('03.Muestra'!$F$8:$F$42,SMALL(IF("Página Web"='03.Muestra'!$D$8:$D$42,ROW('03.Muestra'!$F$8:$F$42)-MIN(ROW('03.Muestra'!$D$8:$D$42))+1,""),ROW()-1044)),"")</f>
        <v>https://www.portcastello.com/</v>
      </c>
      <c r="D1046" s="130" t="s">
        <v>37</v>
      </c>
      <c r="E1046" s="107" t="str">
        <f t="shared" si="54"/>
        <v/>
      </c>
      <c r="F1046" s="120" t="n">
        <f ca="1">COUNTIF($D1045:INDIRECT("$D" &amp;  SUM(ROW()-1,'03.Muestra'!$D$45)-1),F1045)</f>
        <v>0.0</v>
      </c>
      <c r="G1046" s="120" t="n">
        <f ca="1">COUNTIF($D1045:INDIRECT("$D" &amp;  SUM(ROW()-1,'03.Muestra'!$D$45)-1),G1045)</f>
        <v>33.0</v>
      </c>
      <c r="H1046" s="120" t="n">
        <f ca="1">COUNTIF($D1045:INDIRECT("$D" &amp;  SUM(ROW()-1,'03.Muestra'!$D$45)-1),H1045)</f>
        <v>0.0</v>
      </c>
      <c r="I1046" s="120" t="n">
        <f ca="1">COUNTIF($D1045:INDIRECT("$D" &amp;  SUM(ROW()-1,'03.Muestra'!$D$45)-1),I1045)</f>
        <v>0.0</v>
      </c>
      <c r="J1046" s="120" t="n">
        <f ca="1">COUNTIF($D1045:INDIRECT("$D" &amp;  SUM(ROW()-1,'03.Muestra'!$D$45)-1),J1045)</f>
        <v>0.0</v>
      </c>
      <c r="K1046" s="227" t="n">
        <f ca="1">IF(COUNTIF('03.Muestra'!$D$8:$D$42,"Página Web")=0,0,COUNTBLANK($D1045:INDIRECT("$D" &amp;  SUM(ROW()-1,COUNTIF('03.Muestra'!$D$8:$D$42,"Página Web"))-1)))</f>
        <v>0.0</v>
      </c>
      <c r="L1046" s="19"/>
      <c r="M1046" s="19"/>
      <c r="N1046" s="19"/>
      <c r="O1046" s="19"/>
      <c r="P1046" s="19"/>
      <c r="Q1046" s="19"/>
      <c r="R1046" s="19"/>
      <c r="S1046" s="19"/>
      <c r="T1046" s="19"/>
      <c r="U1046" s="19"/>
      <c r="V1046" s="19"/>
      <c r="W1046" s="19"/>
      <c r="X1046" s="19"/>
      <c r="Y1046" s="19"/>
    </row>
    <row r="1047" spans="1:25" ht="12" customHeight="1">
      <c r="A1047" s="219" t="n" cm="1">
        <f t="array" ref="A1047">IFERROR(INDEX('03.Muestra'!$B$8:$B$42,SMALL(IF("Página Web"='03.Muestra'!$D$8:$D$42,ROW('03.Muestra'!$B$8:$B$42)-MIN(ROW('03.Muestra'!$D$8:$D$42))+1,""),ROW()-1044)),"")</f>
        <v>1.0</v>
      </c>
      <c r="B1047" s="114" t="str" cm="1">
        <f t="array" ref="B1047">IFERROR(INDEX('03.Muestra'!$C$8:$C$42,SMALL(IF("Página Web"='03.Muestra'!$D$8:$D$42,ROW('03.Muestra'!$C$8:$C$42)-MIN(ROW('03.Muestra'!$D$8:$D$42))+1,""),ROW()-1044)),"")</f>
        <v>Home - PortCastelló</v>
      </c>
      <c r="C1047" s="114" t="str" cm="1">
        <f t="array" ref="C1047">IFERROR(INDEX('03.Muestra'!$F$8:$F$42,SMALL(IF("Página Web"='03.Muestra'!$D$8:$D$42,ROW('03.Muestra'!$F$8:$F$42)-MIN(ROW('03.Muestra'!$D$8:$D$42))+1,""),ROW()-1044)),"")</f>
        <v>https://www.portcastello.com/</v>
      </c>
      <c r="D1047" s="130" t="s">
        <v>37</v>
      </c>
      <c r="E1047" s="107" t="str">
        <f t="shared" si="54"/>
        <v/>
      </c>
      <c r="G1047" s="19"/>
      <c r="H1047" s="19"/>
      <c r="I1047" s="19"/>
      <c r="J1047" s="19"/>
      <c r="K1047" s="233"/>
      <c r="L1047" s="19"/>
      <c r="M1047" s="19"/>
      <c r="N1047" s="19"/>
      <c r="O1047" s="19"/>
      <c r="P1047" s="19"/>
      <c r="Q1047" s="19"/>
      <c r="R1047" s="19"/>
      <c r="S1047" s="19"/>
      <c r="T1047" s="19"/>
      <c r="U1047" s="19"/>
      <c r="V1047" s="19"/>
      <c r="W1047" s="19"/>
      <c r="X1047" s="19"/>
      <c r="Y1047" s="19"/>
    </row>
    <row r="1048" spans="1:25" ht="12" customHeight="1">
      <c r="A1048" s="219" t="n" cm="1">
        <f t="array" ref="A1048">IFERROR(INDEX('03.Muestra'!$B$8:$B$42,SMALL(IF("Página Web"='03.Muestra'!$D$8:$D$42,ROW('03.Muestra'!$B$8:$B$42)-MIN(ROW('03.Muestra'!$D$8:$D$42))+1,""),ROW()-1044)),"")</f>
        <v>1.0</v>
      </c>
      <c r="B1048" s="114" t="str" cm="1">
        <f t="array" ref="B1048">IFERROR(INDEX('03.Muestra'!$C$8:$C$42,SMALL(IF("Página Web"='03.Muestra'!$D$8:$D$42,ROW('03.Muestra'!$C$8:$C$42)-MIN(ROW('03.Muestra'!$D$8:$D$42))+1,""),ROW()-1044)),"")</f>
        <v>Home - PortCastelló</v>
      </c>
      <c r="C1048" s="114" t="str" cm="1">
        <f t="array" ref="C1048">IFERROR(INDEX('03.Muestra'!$F$8:$F$42,SMALL(IF("Página Web"='03.Muestra'!$D$8:$D$42,ROW('03.Muestra'!$F$8:$F$42)-MIN(ROW('03.Muestra'!$D$8:$D$42))+1,""),ROW()-1044)),"")</f>
        <v>https://www.portcastello.com/</v>
      </c>
      <c r="D1048" s="130" t="s">
        <v>37</v>
      </c>
      <c r="E1048" s="107" t="str">
        <f t="shared" si="54"/>
        <v/>
      </c>
      <c r="G1048" s="19"/>
      <c r="H1048" s="19"/>
      <c r="I1048" s="19"/>
      <c r="J1048" s="19"/>
      <c r="K1048" s="233"/>
      <c r="L1048" s="19"/>
      <c r="M1048" s="19"/>
      <c r="N1048" s="19"/>
      <c r="O1048" s="19"/>
      <c r="P1048" s="19"/>
      <c r="Q1048" s="19"/>
      <c r="R1048" s="19"/>
      <c r="S1048" s="19"/>
      <c r="T1048" s="19"/>
      <c r="U1048" s="19"/>
      <c r="V1048" s="19"/>
      <c r="W1048" s="19"/>
      <c r="X1048" s="19"/>
      <c r="Y1048" s="19"/>
    </row>
    <row r="1049" spans="1:25" ht="12" customHeight="1">
      <c r="A1049" s="219" t="n" cm="1">
        <f t="array" ref="A1049">IFERROR(INDEX('03.Muestra'!$B$8:$B$42,SMALL(IF("Página Web"='03.Muestra'!$D$8:$D$42,ROW('03.Muestra'!$B$8:$B$42)-MIN(ROW('03.Muestra'!$D$8:$D$42))+1,""),ROW()-1044)),"")</f>
        <v>1.0</v>
      </c>
      <c r="B1049" s="114" t="str" cm="1">
        <f t="array" ref="B1049">IFERROR(INDEX('03.Muestra'!$C$8:$C$42,SMALL(IF("Página Web"='03.Muestra'!$D$8:$D$42,ROW('03.Muestra'!$C$8:$C$42)-MIN(ROW('03.Muestra'!$D$8:$D$42))+1,""),ROW()-1044)),"")</f>
        <v>Home - PortCastelló</v>
      </c>
      <c r="C1049" s="114" t="str" cm="1">
        <f t="array" ref="C1049">IFERROR(INDEX('03.Muestra'!$F$8:$F$42,SMALL(IF("Página Web"='03.Muestra'!$D$8:$D$42,ROW('03.Muestra'!$F$8:$F$42)-MIN(ROW('03.Muestra'!$D$8:$D$42))+1,""),ROW()-1044)),"")</f>
        <v>https://www.portcastello.com/</v>
      </c>
      <c r="D1049" s="130" t="s">
        <v>37</v>
      </c>
      <c r="E1049" s="107" t="str">
        <f t="shared" si="54"/>
        <v/>
      </c>
      <c r="G1049" s="19"/>
      <c r="H1049" s="19"/>
      <c r="I1049" s="19"/>
      <c r="J1049" s="19"/>
      <c r="K1049" s="233"/>
      <c r="L1049" s="19"/>
      <c r="M1049" s="19"/>
      <c r="N1049" s="19"/>
      <c r="O1049" s="19"/>
      <c r="P1049" s="19"/>
      <c r="Q1049" s="19"/>
      <c r="R1049" s="19"/>
      <c r="S1049" s="19"/>
      <c r="T1049" s="19"/>
      <c r="U1049" s="19"/>
      <c r="V1049" s="19"/>
      <c r="W1049" s="19"/>
      <c r="X1049" s="19"/>
      <c r="Y1049" s="19"/>
    </row>
    <row r="1050" spans="1:25" ht="12" customHeight="1">
      <c r="A1050" s="219" t="n" cm="1">
        <f t="array" ref="A1050">IFERROR(INDEX('03.Muestra'!$B$8:$B$42,SMALL(IF("Página Web"='03.Muestra'!$D$8:$D$42,ROW('03.Muestra'!$B$8:$B$42)-MIN(ROW('03.Muestra'!$D$8:$D$42))+1,""),ROW()-1044)),"")</f>
        <v>1.0</v>
      </c>
      <c r="B1050" s="114" t="str" cm="1">
        <f t="array" ref="B1050">IFERROR(INDEX('03.Muestra'!$C$8:$C$42,SMALL(IF("Página Web"='03.Muestra'!$D$8:$D$42,ROW('03.Muestra'!$C$8:$C$42)-MIN(ROW('03.Muestra'!$D$8:$D$42))+1,""),ROW()-1044)),"")</f>
        <v>Home - PortCastelló</v>
      </c>
      <c r="C1050" s="114" t="str" cm="1">
        <f t="array" ref="C1050">IFERROR(INDEX('03.Muestra'!$F$8:$F$42,SMALL(IF("Página Web"='03.Muestra'!$D$8:$D$42,ROW('03.Muestra'!$F$8:$F$42)-MIN(ROW('03.Muestra'!$D$8:$D$42))+1,""),ROW()-1044)),"")</f>
        <v>https://www.portcastello.com/</v>
      </c>
      <c r="D1050" s="130" t="s">
        <v>37</v>
      </c>
      <c r="E1050" s="107" t="str">
        <f t="shared" si="54"/>
        <v/>
      </c>
      <c r="G1050" s="19"/>
      <c r="H1050" s="19"/>
      <c r="I1050" s="19"/>
      <c r="J1050" s="19"/>
      <c r="K1050" s="233"/>
      <c r="L1050" s="19"/>
      <c r="M1050" s="19"/>
      <c r="N1050" s="19"/>
      <c r="O1050" s="19"/>
      <c r="P1050" s="19"/>
      <c r="Q1050" s="19"/>
      <c r="R1050" s="19"/>
      <c r="S1050" s="19"/>
      <c r="T1050" s="19"/>
      <c r="U1050" s="19"/>
      <c r="V1050" s="19"/>
      <c r="W1050" s="19"/>
      <c r="X1050" s="19"/>
      <c r="Y1050" s="19"/>
    </row>
    <row r="1051" spans="1:25" ht="12" customHeight="1">
      <c r="A1051" s="219" t="n" cm="1">
        <f t="array" ref="A1051">IFERROR(INDEX('03.Muestra'!$B$8:$B$42,SMALL(IF("Página Web"='03.Muestra'!$D$8:$D$42,ROW('03.Muestra'!$B$8:$B$42)-MIN(ROW('03.Muestra'!$D$8:$D$42))+1,""),ROW()-1044)),"")</f>
        <v>1.0</v>
      </c>
      <c r="B1051" s="114" t="str" cm="1">
        <f t="array" ref="B1051">IFERROR(INDEX('03.Muestra'!$C$8:$C$42,SMALL(IF("Página Web"='03.Muestra'!$D$8:$D$42,ROW('03.Muestra'!$C$8:$C$42)-MIN(ROW('03.Muestra'!$D$8:$D$42))+1,""),ROW()-1044)),"")</f>
        <v>Home - PortCastelló</v>
      </c>
      <c r="C1051" s="114" t="str" cm="1">
        <f t="array" ref="C1051">IFERROR(INDEX('03.Muestra'!$F$8:$F$42,SMALL(IF("Página Web"='03.Muestra'!$D$8:$D$42,ROW('03.Muestra'!$F$8:$F$42)-MIN(ROW('03.Muestra'!$D$8:$D$42))+1,""),ROW()-1044)),"")</f>
        <v>https://www.portcastello.com/</v>
      </c>
      <c r="D1051" s="130" t="s">
        <v>37</v>
      </c>
      <c r="E1051" s="107" t="str">
        <f t="shared" si="54"/>
        <v/>
      </c>
      <c r="F1051" s="19"/>
      <c r="G1051" s="19"/>
      <c r="H1051" s="19"/>
      <c r="I1051" s="19"/>
      <c r="J1051" s="19"/>
      <c r="K1051" s="233"/>
      <c r="L1051" s="19"/>
      <c r="M1051" s="19"/>
      <c r="N1051" s="19"/>
      <c r="O1051" s="19"/>
      <c r="P1051" s="19"/>
      <c r="Q1051" s="19"/>
      <c r="R1051" s="19"/>
      <c r="S1051" s="19"/>
      <c r="T1051" s="19"/>
      <c r="U1051" s="19"/>
      <c r="V1051" s="19"/>
      <c r="W1051" s="19"/>
      <c r="X1051" s="19"/>
      <c r="Y1051" s="19"/>
    </row>
    <row r="1052" spans="1:25" ht="12" customHeight="1">
      <c r="A1052" s="219" t="n" cm="1">
        <f t="array" ref="A1052">IFERROR(INDEX('03.Muestra'!$B$8:$B$42,SMALL(IF("Página Web"='03.Muestra'!$D$8:$D$42,ROW('03.Muestra'!$B$8:$B$42)-MIN(ROW('03.Muestra'!$D$8:$D$42))+1,""),ROW()-1044)),"")</f>
        <v>1.0</v>
      </c>
      <c r="B1052" s="114" t="str" cm="1">
        <f t="array" ref="B1052">IFERROR(INDEX('03.Muestra'!$C$8:$C$42,SMALL(IF("Página Web"='03.Muestra'!$D$8:$D$42,ROW('03.Muestra'!$C$8:$C$42)-MIN(ROW('03.Muestra'!$D$8:$D$42))+1,""),ROW()-1044)),"")</f>
        <v>Home - PortCastelló</v>
      </c>
      <c r="C1052" s="114" t="str" cm="1">
        <f t="array" ref="C1052">IFERROR(INDEX('03.Muestra'!$F$8:$F$42,SMALL(IF("Página Web"='03.Muestra'!$D$8:$D$42,ROW('03.Muestra'!$F$8:$F$42)-MIN(ROW('03.Muestra'!$D$8:$D$42))+1,""),ROW()-1044)),"")</f>
        <v>https://www.portcastello.com/</v>
      </c>
      <c r="D1052" s="130" t="s">
        <v>37</v>
      </c>
      <c r="E1052" s="107" t="str">
        <f t="shared" si="54"/>
        <v/>
      </c>
      <c r="F1052" s="19"/>
      <c r="G1052" s="19"/>
      <c r="H1052" s="19"/>
      <c r="I1052" s="19"/>
      <c r="J1052" s="19"/>
      <c r="K1052" s="233"/>
      <c r="L1052" s="19"/>
      <c r="M1052" s="19"/>
      <c r="N1052" s="19"/>
      <c r="O1052" s="19"/>
      <c r="P1052" s="19"/>
      <c r="Q1052" s="19"/>
      <c r="R1052" s="19"/>
      <c r="S1052" s="19"/>
      <c r="T1052" s="19"/>
      <c r="U1052" s="19"/>
      <c r="V1052" s="19"/>
      <c r="W1052" s="19"/>
      <c r="X1052" s="19"/>
      <c r="Y1052" s="19"/>
    </row>
    <row r="1053" spans="1:25" ht="12" customHeight="1">
      <c r="A1053" s="219" t="n" cm="1">
        <f t="array" ref="A1053">IFERROR(INDEX('03.Muestra'!$B$8:$B$42,SMALL(IF("Página Web"='03.Muestra'!$D$8:$D$42,ROW('03.Muestra'!$B$8:$B$42)-MIN(ROW('03.Muestra'!$D$8:$D$42))+1,""),ROW()-1044)),"")</f>
        <v>1.0</v>
      </c>
      <c r="B1053" s="114" t="str" cm="1">
        <f t="array" ref="B1053">IFERROR(INDEX('03.Muestra'!$C$8:$C$42,SMALL(IF("Página Web"='03.Muestra'!$D$8:$D$42,ROW('03.Muestra'!$C$8:$C$42)-MIN(ROW('03.Muestra'!$D$8:$D$42))+1,""),ROW()-1044)),"")</f>
        <v>Home - PortCastelló</v>
      </c>
      <c r="C1053" s="114" t="str" cm="1">
        <f t="array" ref="C1053">IFERROR(INDEX('03.Muestra'!$F$8:$F$42,SMALL(IF("Página Web"='03.Muestra'!$D$8:$D$42,ROW('03.Muestra'!$F$8:$F$42)-MIN(ROW('03.Muestra'!$D$8:$D$42))+1,""),ROW()-1044)),"")</f>
        <v>https://www.portcastello.com/</v>
      </c>
      <c r="D1053" s="130" t="s">
        <v>37</v>
      </c>
      <c r="E1053" s="107" t="str">
        <f t="shared" si="54"/>
        <v/>
      </c>
      <c r="F1053" s="19"/>
      <c r="G1053" s="19"/>
      <c r="H1053" s="19"/>
      <c r="I1053" s="19"/>
      <c r="J1053" s="19"/>
      <c r="K1053" s="233"/>
      <c r="L1053" s="19"/>
      <c r="M1053" s="19"/>
      <c r="N1053" s="19"/>
      <c r="O1053" s="19"/>
      <c r="P1053" s="19"/>
      <c r="Q1053" s="19"/>
      <c r="R1053" s="19"/>
      <c r="S1053" s="19"/>
      <c r="T1053" s="19"/>
      <c r="U1053" s="19"/>
      <c r="V1053" s="19"/>
      <c r="W1053" s="19"/>
      <c r="X1053" s="19"/>
      <c r="Y1053" s="19"/>
    </row>
    <row r="1054" spans="1:25" ht="12" customHeight="1">
      <c r="A1054" s="219" t="n" cm="1">
        <f t="array" ref="A1054">IFERROR(INDEX('03.Muestra'!$B$8:$B$42,SMALL(IF("Página Web"='03.Muestra'!$D$8:$D$42,ROW('03.Muestra'!$B$8:$B$42)-MIN(ROW('03.Muestra'!$D$8:$D$42))+1,""),ROW()-1044)),"")</f>
        <v>1.0</v>
      </c>
      <c r="B1054" s="114" t="str" cm="1">
        <f t="array" ref="B1054">IFERROR(INDEX('03.Muestra'!$C$8:$C$42,SMALL(IF("Página Web"='03.Muestra'!$D$8:$D$42,ROW('03.Muestra'!$C$8:$C$42)-MIN(ROW('03.Muestra'!$D$8:$D$42))+1,""),ROW()-1044)),"")</f>
        <v>Home - PortCastelló</v>
      </c>
      <c r="C1054" s="114" t="str" cm="1">
        <f t="array" ref="C1054">IFERROR(INDEX('03.Muestra'!$F$8:$F$42,SMALL(IF("Página Web"='03.Muestra'!$D$8:$D$42,ROW('03.Muestra'!$F$8:$F$42)-MIN(ROW('03.Muestra'!$D$8:$D$42))+1,""),ROW()-1044)),"")</f>
        <v>https://www.portcastello.com/</v>
      </c>
      <c r="D1054" s="130" t="s">
        <v>37</v>
      </c>
      <c r="E1054" s="107" t="str">
        <f t="shared" si="54"/>
        <v/>
      </c>
      <c r="F1054" s="19"/>
      <c r="G1054" s="19"/>
      <c r="H1054" s="19"/>
      <c r="I1054" s="19"/>
      <c r="J1054" s="19"/>
      <c r="K1054" s="233"/>
      <c r="L1054" s="19"/>
      <c r="M1054" s="19"/>
      <c r="N1054" s="19"/>
      <c r="O1054" s="19"/>
      <c r="P1054" s="19"/>
      <c r="Q1054" s="19"/>
      <c r="R1054" s="19"/>
      <c r="S1054" s="19"/>
      <c r="T1054" s="19"/>
      <c r="U1054" s="19"/>
      <c r="V1054" s="19"/>
      <c r="W1054" s="19"/>
      <c r="X1054" s="19"/>
      <c r="Y1054" s="19"/>
    </row>
    <row r="1055" spans="1:25" ht="12" customHeight="1">
      <c r="A1055" s="219" t="n" cm="1">
        <f t="array" ref="A1055">IFERROR(INDEX('03.Muestra'!$B$8:$B$42,SMALL(IF("Página Web"='03.Muestra'!$D$8:$D$42,ROW('03.Muestra'!$B$8:$B$42)-MIN(ROW('03.Muestra'!$D$8:$D$42))+1,""),ROW()-1044)),"")</f>
        <v>1.0</v>
      </c>
      <c r="B1055" s="114" t="str" cm="1">
        <f t="array" ref="B1055">IFERROR(INDEX('03.Muestra'!$C$8:$C$42,SMALL(IF("Página Web"='03.Muestra'!$D$8:$D$42,ROW('03.Muestra'!$C$8:$C$42)-MIN(ROW('03.Muestra'!$D$8:$D$42))+1,""),ROW()-1044)),"")</f>
        <v>Home - PortCastelló</v>
      </c>
      <c r="C1055" s="114" t="str" cm="1">
        <f t="array" ref="C1055">IFERROR(INDEX('03.Muestra'!$F$8:$F$42,SMALL(IF("Página Web"='03.Muestra'!$D$8:$D$42,ROW('03.Muestra'!$F$8:$F$42)-MIN(ROW('03.Muestra'!$D$8:$D$42))+1,""),ROW()-1044)),"")</f>
        <v>https://www.portcastello.com/</v>
      </c>
      <c r="D1055" s="130" t="s">
        <v>37</v>
      </c>
      <c r="E1055" s="107" t="str">
        <f t="shared" si="54"/>
        <v/>
      </c>
      <c r="F1055" s="19"/>
      <c r="G1055" s="19"/>
      <c r="H1055" s="19"/>
      <c r="I1055" s="19"/>
      <c r="J1055" s="19"/>
      <c r="K1055" s="233"/>
      <c r="L1055" s="19"/>
      <c r="M1055" s="19"/>
      <c r="N1055" s="19"/>
      <c r="O1055" s="19"/>
      <c r="P1055" s="19"/>
      <c r="Q1055" s="19"/>
      <c r="R1055" s="19"/>
      <c r="S1055" s="19"/>
      <c r="T1055" s="19"/>
      <c r="U1055" s="19"/>
      <c r="V1055" s="19"/>
      <c r="W1055" s="19"/>
      <c r="X1055" s="19"/>
      <c r="Y1055" s="19"/>
    </row>
    <row r="1056" spans="1:25" ht="12" customHeight="1">
      <c r="A1056" s="219" t="n" cm="1">
        <f t="array" ref="A1056">IFERROR(INDEX('03.Muestra'!$B$8:$B$42,SMALL(IF("Página Web"='03.Muestra'!$D$8:$D$42,ROW('03.Muestra'!$B$8:$B$42)-MIN(ROW('03.Muestra'!$D$8:$D$42))+1,""),ROW()-1044)),"")</f>
        <v>1.0</v>
      </c>
      <c r="B1056" s="114" t="str" cm="1">
        <f t="array" ref="B1056">IFERROR(INDEX('03.Muestra'!$C$8:$C$42,SMALL(IF("Página Web"='03.Muestra'!$D$8:$D$42,ROW('03.Muestra'!$C$8:$C$42)-MIN(ROW('03.Muestra'!$D$8:$D$42))+1,""),ROW()-1044)),"")</f>
        <v>Home - PortCastelló</v>
      </c>
      <c r="C1056" s="114" t="str" cm="1">
        <f t="array" ref="C1056">IFERROR(INDEX('03.Muestra'!$F$8:$F$42,SMALL(IF("Página Web"='03.Muestra'!$D$8:$D$42,ROW('03.Muestra'!$F$8:$F$42)-MIN(ROW('03.Muestra'!$D$8:$D$42))+1,""),ROW()-1044)),"")</f>
        <v>https://www.portcastello.com/</v>
      </c>
      <c r="D1056" s="130" t="s">
        <v>37</v>
      </c>
      <c r="E1056" s="107" t="str">
        <f t="shared" si="54"/>
        <v/>
      </c>
      <c r="F1056" s="19"/>
      <c r="G1056" s="19"/>
      <c r="H1056" s="19"/>
      <c r="I1056" s="19"/>
      <c r="J1056" s="19"/>
      <c r="K1056" s="233"/>
      <c r="L1056" s="19"/>
      <c r="M1056" s="19"/>
      <c r="N1056" s="19"/>
      <c r="O1056" s="19"/>
      <c r="P1056" s="19"/>
      <c r="Q1056" s="19"/>
      <c r="R1056" s="19"/>
      <c r="S1056" s="19"/>
      <c r="T1056" s="19"/>
      <c r="U1056" s="19"/>
      <c r="V1056" s="19"/>
      <c r="W1056" s="19"/>
      <c r="X1056" s="19"/>
      <c r="Y1056" s="19"/>
    </row>
    <row r="1057" spans="1:25" ht="12" customHeight="1">
      <c r="A1057" s="219" t="n" cm="1">
        <f t="array" ref="A1057">IFERROR(INDEX('03.Muestra'!$B$8:$B$42,SMALL(IF("Página Web"='03.Muestra'!$D$8:$D$42,ROW('03.Muestra'!$B$8:$B$42)-MIN(ROW('03.Muestra'!$D$8:$D$42))+1,""),ROW()-1044)),"")</f>
        <v>1.0</v>
      </c>
      <c r="B1057" s="114" t="str" cm="1">
        <f t="array" ref="B1057">IFERROR(INDEX('03.Muestra'!$C$8:$C$42,SMALL(IF("Página Web"='03.Muestra'!$D$8:$D$42,ROW('03.Muestra'!$C$8:$C$42)-MIN(ROW('03.Muestra'!$D$8:$D$42))+1,""),ROW()-1044)),"")</f>
        <v>Home - PortCastelló</v>
      </c>
      <c r="C1057" s="114" t="str" cm="1">
        <f t="array" ref="C1057">IFERROR(INDEX('03.Muestra'!$F$8:$F$42,SMALL(IF("Página Web"='03.Muestra'!$D$8:$D$42,ROW('03.Muestra'!$F$8:$F$42)-MIN(ROW('03.Muestra'!$D$8:$D$42))+1,""),ROW()-1044)),"")</f>
        <v>https://www.portcastello.com/</v>
      </c>
      <c r="D1057" s="130" t="s">
        <v>37</v>
      </c>
      <c r="E1057" s="107" t="str">
        <f t="shared" si="54"/>
        <v/>
      </c>
      <c r="F1057" s="19"/>
      <c r="G1057" s="19"/>
      <c r="H1057" s="19"/>
      <c r="I1057" s="19"/>
      <c r="J1057" s="19"/>
      <c r="K1057" s="233"/>
      <c r="L1057" s="19"/>
      <c r="M1057" s="19"/>
      <c r="N1057" s="19"/>
      <c r="O1057" s="19"/>
      <c r="P1057" s="19"/>
      <c r="Q1057" s="19"/>
      <c r="R1057" s="19"/>
      <c r="S1057" s="19"/>
      <c r="T1057" s="19"/>
      <c r="U1057" s="19"/>
      <c r="V1057" s="19"/>
      <c r="W1057" s="19"/>
      <c r="X1057" s="19"/>
      <c r="Y1057" s="19"/>
    </row>
    <row r="1058" spans="1:25" ht="12" customHeight="1">
      <c r="A1058" s="219" t="n" cm="1">
        <f t="array" ref="A1058">IFERROR(INDEX('03.Muestra'!$B$8:$B$42,SMALL(IF("Página Web"='03.Muestra'!$D$8:$D$42,ROW('03.Muestra'!$B$8:$B$42)-MIN(ROW('03.Muestra'!$D$8:$D$42))+1,""),ROW()-1044)),"")</f>
        <v>1.0</v>
      </c>
      <c r="B1058" s="114" t="str" cm="1">
        <f t="array" ref="B1058">IFERROR(INDEX('03.Muestra'!$C$8:$C$42,SMALL(IF("Página Web"='03.Muestra'!$D$8:$D$42,ROW('03.Muestra'!$C$8:$C$42)-MIN(ROW('03.Muestra'!$D$8:$D$42))+1,""),ROW()-1044)),"")</f>
        <v>Home - PortCastelló</v>
      </c>
      <c r="C1058" s="114" t="str" cm="1">
        <f t="array" ref="C1058">IFERROR(INDEX('03.Muestra'!$F$8:$F$42,SMALL(IF("Página Web"='03.Muestra'!$D$8:$D$42,ROW('03.Muestra'!$F$8:$F$42)-MIN(ROW('03.Muestra'!$D$8:$D$42))+1,""),ROW()-1044)),"")</f>
        <v>https://www.portcastello.com/</v>
      </c>
      <c r="D1058" s="130" t="s">
        <v>37</v>
      </c>
      <c r="E1058" s="107" t="str">
        <f t="shared" si="54"/>
        <v/>
      </c>
      <c r="F1058" s="19"/>
      <c r="G1058" s="19"/>
      <c r="H1058" s="19"/>
      <c r="I1058" s="19"/>
      <c r="J1058" s="19"/>
      <c r="K1058" s="233"/>
      <c r="L1058" s="19"/>
      <c r="M1058" s="19"/>
      <c r="N1058" s="19"/>
      <c r="O1058" s="19"/>
      <c r="P1058" s="19"/>
      <c r="Q1058" s="19"/>
      <c r="R1058" s="19"/>
      <c r="S1058" s="19"/>
      <c r="T1058" s="19"/>
      <c r="U1058" s="19"/>
      <c r="V1058" s="19"/>
      <c r="W1058" s="19"/>
      <c r="X1058" s="19"/>
      <c r="Y1058" s="19"/>
    </row>
    <row r="1059" spans="1:25" ht="12" customHeight="1">
      <c r="A1059" s="219" t="n" cm="1">
        <f t="array" ref="A1059">IFERROR(INDEX('03.Muestra'!$B$8:$B$42,SMALL(IF("Página Web"='03.Muestra'!$D$8:$D$42,ROW('03.Muestra'!$B$8:$B$42)-MIN(ROW('03.Muestra'!$D$8:$D$42))+1,""),ROW()-1044)),"")</f>
        <v>1.0</v>
      </c>
      <c r="B1059" s="114" t="str" cm="1">
        <f t="array" ref="B1059">IFERROR(INDEX('03.Muestra'!$C$8:$C$42,SMALL(IF("Página Web"='03.Muestra'!$D$8:$D$42,ROW('03.Muestra'!$C$8:$C$42)-MIN(ROW('03.Muestra'!$D$8:$D$42))+1,""),ROW()-1044)),"")</f>
        <v>Home - PortCastelló</v>
      </c>
      <c r="C1059" s="114" t="str" cm="1">
        <f t="array" ref="C1059">IFERROR(INDEX('03.Muestra'!$F$8:$F$42,SMALL(IF("Página Web"='03.Muestra'!$D$8:$D$42,ROW('03.Muestra'!$F$8:$F$42)-MIN(ROW('03.Muestra'!$D$8:$D$42))+1,""),ROW()-1044)),"")</f>
        <v>https://www.portcastello.com/</v>
      </c>
      <c r="D1059" s="130" t="s">
        <v>37</v>
      </c>
      <c r="E1059" s="107" t="str">
        <f t="shared" si="54"/>
        <v/>
      </c>
      <c r="F1059" s="19"/>
      <c r="G1059" s="19"/>
      <c r="H1059" s="19"/>
      <c r="I1059" s="19"/>
      <c r="J1059" s="19"/>
      <c r="K1059" s="233"/>
      <c r="L1059" s="19"/>
      <c r="M1059" s="19"/>
      <c r="N1059" s="19"/>
      <c r="O1059" s="19"/>
      <c r="P1059" s="19"/>
      <c r="Q1059" s="19"/>
      <c r="R1059" s="19"/>
      <c r="S1059" s="19"/>
      <c r="T1059" s="19"/>
      <c r="U1059" s="19"/>
      <c r="V1059" s="19"/>
      <c r="W1059" s="19"/>
      <c r="X1059" s="19"/>
      <c r="Y1059" s="19"/>
    </row>
    <row r="1060" spans="1:25" ht="12" customHeight="1">
      <c r="A1060" s="219" t="n" cm="1">
        <f t="array" ref="A1060">IFERROR(INDEX('03.Muestra'!$B$8:$B$42,SMALL(IF("Página Web"='03.Muestra'!$D$8:$D$42,ROW('03.Muestra'!$B$8:$B$42)-MIN(ROW('03.Muestra'!$D$8:$D$42))+1,""),ROW()-1044)),"")</f>
        <v>1.0</v>
      </c>
      <c r="B1060" s="114" t="str" cm="1">
        <f t="array" ref="B1060">IFERROR(INDEX('03.Muestra'!$C$8:$C$42,SMALL(IF("Página Web"='03.Muestra'!$D$8:$D$42,ROW('03.Muestra'!$C$8:$C$42)-MIN(ROW('03.Muestra'!$D$8:$D$42))+1,""),ROW()-1044)),"")</f>
        <v>Home - PortCastelló</v>
      </c>
      <c r="C1060" s="114" t="str" cm="1">
        <f t="array" ref="C1060">IFERROR(INDEX('03.Muestra'!$F$8:$F$42,SMALL(IF("Página Web"='03.Muestra'!$D$8:$D$42,ROW('03.Muestra'!$F$8:$F$42)-MIN(ROW('03.Muestra'!$D$8:$D$42))+1,""),ROW()-1044)),"")</f>
        <v>https://www.portcastello.com/</v>
      </c>
      <c r="D1060" s="130" t="s">
        <v>37</v>
      </c>
      <c r="E1060" s="107" t="str">
        <f t="shared" si="54"/>
        <v/>
      </c>
      <c r="F1060" s="19"/>
      <c r="G1060" s="19"/>
      <c r="H1060" s="19"/>
      <c r="I1060" s="19"/>
      <c r="J1060" s="19"/>
      <c r="K1060" s="233"/>
      <c r="L1060" s="19"/>
      <c r="M1060" s="19"/>
      <c r="N1060" s="19"/>
      <c r="O1060" s="19"/>
      <c r="P1060" s="19"/>
      <c r="Q1060" s="19"/>
      <c r="R1060" s="19"/>
      <c r="S1060" s="19"/>
      <c r="T1060" s="19"/>
      <c r="U1060" s="19"/>
      <c r="V1060" s="19"/>
      <c r="W1060" s="19"/>
      <c r="X1060" s="19"/>
      <c r="Y1060" s="19"/>
    </row>
    <row r="1061" spans="1:25" ht="12" customHeight="1">
      <c r="A1061" s="219" t="n" cm="1">
        <f t="array" ref="A1061">IFERROR(INDEX('03.Muestra'!$B$8:$B$42,SMALL(IF("Página Web"='03.Muestra'!$D$8:$D$42,ROW('03.Muestra'!$B$8:$B$42)-MIN(ROW('03.Muestra'!$D$8:$D$42))+1,""),ROW()-1044)),"")</f>
        <v>1.0</v>
      </c>
      <c r="B1061" s="114" t="str" cm="1">
        <f t="array" ref="B1061">IFERROR(INDEX('03.Muestra'!$C$8:$C$42,SMALL(IF("Página Web"='03.Muestra'!$D$8:$D$42,ROW('03.Muestra'!$C$8:$C$42)-MIN(ROW('03.Muestra'!$D$8:$D$42))+1,""),ROW()-1044)),"")</f>
        <v>Home - PortCastelló</v>
      </c>
      <c r="C1061" s="114" t="str" cm="1">
        <f t="array" ref="C1061">IFERROR(INDEX('03.Muestra'!$F$8:$F$42,SMALL(IF("Página Web"='03.Muestra'!$D$8:$D$42,ROW('03.Muestra'!$F$8:$F$42)-MIN(ROW('03.Muestra'!$D$8:$D$42))+1,""),ROW()-1044)),"")</f>
        <v>https://www.portcastello.com/</v>
      </c>
      <c r="D1061" s="130" t="s">
        <v>37</v>
      </c>
      <c r="E1061" s="107" t="str">
        <f t="shared" si="54"/>
        <v/>
      </c>
      <c r="F1061" s="19"/>
      <c r="G1061" s="19"/>
      <c r="H1061" s="19"/>
      <c r="I1061" s="19"/>
      <c r="J1061" s="19"/>
      <c r="K1061" s="233"/>
      <c r="L1061" s="19"/>
      <c r="M1061" s="19"/>
      <c r="N1061" s="19"/>
      <c r="O1061" s="19"/>
      <c r="P1061" s="19"/>
      <c r="Q1061" s="19"/>
      <c r="R1061" s="19"/>
      <c r="S1061" s="19"/>
      <c r="T1061" s="19"/>
      <c r="U1061" s="19"/>
      <c r="V1061" s="19"/>
      <c r="W1061" s="19"/>
      <c r="X1061" s="19"/>
      <c r="Y1061" s="19"/>
    </row>
    <row r="1062" spans="1:25" ht="12" customHeight="1">
      <c r="A1062" s="219" t="n" cm="1">
        <f t="array" ref="A1062">IFERROR(INDEX('03.Muestra'!$B$8:$B$42,SMALL(IF("Página Web"='03.Muestra'!$D$8:$D$42,ROW('03.Muestra'!$B$8:$B$42)-MIN(ROW('03.Muestra'!$D$8:$D$42))+1,""),ROW()-1044)),"")</f>
        <v>1.0</v>
      </c>
      <c r="B1062" s="114" t="str" cm="1">
        <f t="array" ref="B1062">IFERROR(INDEX('03.Muestra'!$C$8:$C$42,SMALL(IF("Página Web"='03.Muestra'!$D$8:$D$42,ROW('03.Muestra'!$C$8:$C$42)-MIN(ROW('03.Muestra'!$D$8:$D$42))+1,""),ROW()-1044)),"")</f>
        <v>Home - PortCastelló</v>
      </c>
      <c r="C1062" s="114" t="str" cm="1">
        <f t="array" ref="C1062">IFERROR(INDEX('03.Muestra'!$F$8:$F$42,SMALL(IF("Página Web"='03.Muestra'!$D$8:$D$42,ROW('03.Muestra'!$F$8:$F$42)-MIN(ROW('03.Muestra'!$D$8:$D$42))+1,""),ROW()-1044)),"")</f>
        <v>https://www.portcastello.com/</v>
      </c>
      <c r="D1062" s="130" t="s">
        <v>37</v>
      </c>
      <c r="E1062" s="107" t="str">
        <f t="shared" si="54"/>
        <v/>
      </c>
      <c r="F1062" s="19"/>
      <c r="G1062" s="19"/>
      <c r="H1062" s="19"/>
      <c r="I1062" s="19"/>
      <c r="J1062" s="19"/>
      <c r="K1062" s="233"/>
      <c r="L1062" s="19"/>
      <c r="M1062" s="19"/>
      <c r="N1062" s="19"/>
      <c r="O1062" s="19"/>
      <c r="P1062" s="19"/>
      <c r="Q1062" s="19"/>
      <c r="R1062" s="19"/>
      <c r="S1062" s="19"/>
      <c r="T1062" s="19"/>
      <c r="U1062" s="19"/>
      <c r="V1062" s="19"/>
      <c r="W1062" s="19"/>
      <c r="X1062" s="19"/>
      <c r="Y1062" s="19"/>
    </row>
    <row r="1063" spans="1:25" ht="12" customHeight="1">
      <c r="A1063" s="219" t="n" cm="1">
        <f t="array" ref="A1063">IFERROR(INDEX('03.Muestra'!$B$8:$B$42,SMALL(IF("Página Web"='03.Muestra'!$D$8:$D$42,ROW('03.Muestra'!$B$8:$B$42)-MIN(ROW('03.Muestra'!$D$8:$D$42))+1,""),ROW()-1044)),"")</f>
        <v>1.0</v>
      </c>
      <c r="B1063" s="114" t="str" cm="1">
        <f t="array" ref="B1063">IFERROR(INDEX('03.Muestra'!$C$8:$C$42,SMALL(IF("Página Web"='03.Muestra'!$D$8:$D$42,ROW('03.Muestra'!$C$8:$C$42)-MIN(ROW('03.Muestra'!$D$8:$D$42))+1,""),ROW()-1044)),"")</f>
        <v>Home - PortCastelló</v>
      </c>
      <c r="C1063" s="114" t="str" cm="1">
        <f t="array" ref="C1063">IFERROR(INDEX('03.Muestra'!$F$8:$F$42,SMALL(IF("Página Web"='03.Muestra'!$D$8:$D$42,ROW('03.Muestra'!$F$8:$F$42)-MIN(ROW('03.Muestra'!$D$8:$D$42))+1,""),ROW()-1044)),"")</f>
        <v>https://www.portcastello.com/</v>
      </c>
      <c r="D1063" s="130" t="s">
        <v>37</v>
      </c>
      <c r="E1063" s="107" t="str">
        <f t="shared" si="54"/>
        <v/>
      </c>
      <c r="F1063" s="19"/>
      <c r="G1063" s="19"/>
      <c r="H1063" s="19"/>
      <c r="I1063" s="19"/>
      <c r="J1063" s="19"/>
      <c r="K1063" s="233"/>
      <c r="L1063" s="19"/>
      <c r="M1063" s="19"/>
      <c r="N1063" s="19"/>
      <c r="O1063" s="19"/>
      <c r="P1063" s="19"/>
      <c r="Q1063" s="19"/>
      <c r="R1063" s="19"/>
      <c r="S1063" s="19"/>
      <c r="T1063" s="19"/>
      <c r="U1063" s="19"/>
      <c r="V1063" s="19"/>
      <c r="W1063" s="19"/>
      <c r="X1063" s="19"/>
      <c r="Y1063" s="19"/>
    </row>
    <row r="1064" spans="1:25" ht="12" customHeight="1">
      <c r="A1064" s="219" t="n" cm="1">
        <f t="array" ref="A1064">IFERROR(INDEX('03.Muestra'!$B$8:$B$42,SMALL(IF("Página Web"='03.Muestra'!$D$8:$D$42,ROW('03.Muestra'!$B$8:$B$42)-MIN(ROW('03.Muestra'!$D$8:$D$42))+1,""),ROW()-1044)),"")</f>
        <v>1.0</v>
      </c>
      <c r="B1064" s="114" t="str" cm="1">
        <f t="array" ref="B1064">IFERROR(INDEX('03.Muestra'!$C$8:$C$42,SMALL(IF("Página Web"='03.Muestra'!$D$8:$D$42,ROW('03.Muestra'!$C$8:$C$42)-MIN(ROW('03.Muestra'!$D$8:$D$42))+1,""),ROW()-1044)),"")</f>
        <v>Home - PortCastelló</v>
      </c>
      <c r="C1064" s="114" t="str" cm="1">
        <f t="array" ref="C1064">IFERROR(INDEX('03.Muestra'!$F$8:$F$42,SMALL(IF("Página Web"='03.Muestra'!$D$8:$D$42,ROW('03.Muestra'!$F$8:$F$42)-MIN(ROW('03.Muestra'!$D$8:$D$42))+1,""),ROW()-1044)),"")</f>
        <v>https://www.portcastello.com/</v>
      </c>
      <c r="D1064" s="130" t="s">
        <v>37</v>
      </c>
      <c r="E1064" s="107" t="str">
        <f t="shared" si="54"/>
        <v/>
      </c>
      <c r="F1064" s="19"/>
      <c r="G1064" s="19"/>
      <c r="H1064" s="19"/>
      <c r="I1064" s="19"/>
      <c r="J1064" s="19"/>
      <c r="K1064" s="233"/>
      <c r="L1064" s="19"/>
      <c r="M1064" s="19"/>
      <c r="N1064" s="19"/>
      <c r="O1064" s="19"/>
      <c r="P1064" s="19"/>
      <c r="Q1064" s="19"/>
      <c r="R1064" s="19"/>
      <c r="S1064" s="19"/>
      <c r="T1064" s="19"/>
      <c r="U1064" s="19"/>
      <c r="V1064" s="19"/>
      <c r="W1064" s="19"/>
      <c r="X1064" s="19"/>
      <c r="Y1064" s="19"/>
    </row>
    <row r="1065" spans="1:25" ht="12" customHeight="1">
      <c r="A1065" s="219" t="n" cm="1">
        <f t="array" ref="A1065">IFERROR(INDEX('03.Muestra'!$B$8:$B$42,SMALL(IF("Página Web"='03.Muestra'!$D$8:$D$42,ROW('03.Muestra'!$B$8:$B$42)-MIN(ROW('03.Muestra'!$D$8:$D$42))+1,""),ROW()-1044)),"")</f>
        <v>1.0</v>
      </c>
      <c r="B1065" s="114" t="str" cm="1">
        <f t="array" ref="B1065">IFERROR(INDEX('03.Muestra'!$C$8:$C$42,SMALL(IF("Página Web"='03.Muestra'!$D$8:$D$42,ROW('03.Muestra'!$C$8:$C$42)-MIN(ROW('03.Muestra'!$D$8:$D$42))+1,""),ROW()-1044)),"")</f>
        <v>Home - PortCastelló</v>
      </c>
      <c r="C1065" s="114" t="str" cm="1">
        <f t="array" ref="C1065">IFERROR(INDEX('03.Muestra'!$F$8:$F$42,SMALL(IF("Página Web"='03.Muestra'!$D$8:$D$42,ROW('03.Muestra'!$F$8:$F$42)-MIN(ROW('03.Muestra'!$D$8:$D$42))+1,""),ROW()-1044)),"")</f>
        <v>https://www.portcastello.com/</v>
      </c>
      <c r="D1065" s="130" t="s">
        <v>37</v>
      </c>
      <c r="E1065" s="107" t="str">
        <f t="shared" si="54"/>
        <v/>
      </c>
      <c r="F1065" s="19"/>
      <c r="G1065" s="19"/>
      <c r="H1065" s="19"/>
      <c r="I1065" s="19"/>
      <c r="J1065" s="19"/>
      <c r="K1065" s="233"/>
      <c r="L1065" s="19"/>
      <c r="M1065" s="19"/>
      <c r="N1065" s="19"/>
      <c r="O1065" s="19"/>
      <c r="P1065" s="19"/>
      <c r="Q1065" s="19"/>
      <c r="R1065" s="19"/>
      <c r="S1065" s="19"/>
      <c r="T1065" s="19"/>
      <c r="U1065" s="19"/>
      <c r="V1065" s="19"/>
      <c r="W1065" s="19"/>
      <c r="X1065" s="19"/>
      <c r="Y1065" s="19"/>
    </row>
    <row r="1066" spans="1:25" ht="12" customHeight="1">
      <c r="A1066" s="219" t="n" cm="1">
        <f t="array" ref="A1066">IFERROR(INDEX('03.Muestra'!$B$8:$B$42,SMALL(IF("Página Web"='03.Muestra'!$D$8:$D$42,ROW('03.Muestra'!$B$8:$B$42)-MIN(ROW('03.Muestra'!$D$8:$D$42))+1,""),ROW()-1044)),"")</f>
        <v>1.0</v>
      </c>
      <c r="B1066" s="114" t="str" cm="1">
        <f t="array" ref="B1066">IFERROR(INDEX('03.Muestra'!$C$8:$C$42,SMALL(IF("Página Web"='03.Muestra'!$D$8:$D$42,ROW('03.Muestra'!$C$8:$C$42)-MIN(ROW('03.Muestra'!$D$8:$D$42))+1,""),ROW()-1044)),"")</f>
        <v>Home - PortCastelló</v>
      </c>
      <c r="C1066" s="114" t="str" cm="1">
        <f t="array" ref="C1066">IFERROR(INDEX('03.Muestra'!$F$8:$F$42,SMALL(IF("Página Web"='03.Muestra'!$D$8:$D$42,ROW('03.Muestra'!$F$8:$F$42)-MIN(ROW('03.Muestra'!$D$8:$D$42))+1,""),ROW()-1044)),"")</f>
        <v>https://www.portcastello.com/</v>
      </c>
      <c r="D1066" s="130" t="s">
        <v>37</v>
      </c>
      <c r="E1066" s="107" t="str">
        <f t="shared" si="54"/>
        <v/>
      </c>
      <c r="F1066" s="19"/>
      <c r="G1066" s="19"/>
      <c r="H1066" s="19"/>
      <c r="I1066" s="19"/>
      <c r="J1066" s="19"/>
      <c r="K1066" s="233"/>
      <c r="L1066" s="19"/>
      <c r="M1066" s="19"/>
      <c r="N1066" s="19"/>
      <c r="O1066" s="19"/>
      <c r="P1066" s="19"/>
      <c r="Q1066" s="19"/>
      <c r="R1066" s="19"/>
      <c r="S1066" s="19"/>
      <c r="T1066" s="19"/>
      <c r="U1066" s="19"/>
      <c r="V1066" s="19"/>
      <c r="W1066" s="19"/>
      <c r="X1066" s="19"/>
      <c r="Y1066" s="19"/>
    </row>
    <row r="1067" spans="1:25" ht="12" customHeight="1">
      <c r="A1067" s="219" t="n" cm="1">
        <f t="array" ref="A1067">IFERROR(INDEX('03.Muestra'!$B$8:$B$42,SMALL(IF("Página Web"='03.Muestra'!$D$8:$D$42,ROW('03.Muestra'!$B$8:$B$42)-MIN(ROW('03.Muestra'!$D$8:$D$42))+1,""),ROW()-1044)),"")</f>
        <v>1.0</v>
      </c>
      <c r="B1067" s="114" t="str" cm="1">
        <f t="array" ref="B1067">IFERROR(INDEX('03.Muestra'!$C$8:$C$42,SMALL(IF("Página Web"='03.Muestra'!$D$8:$D$42,ROW('03.Muestra'!$C$8:$C$42)-MIN(ROW('03.Muestra'!$D$8:$D$42))+1,""),ROW()-1044)),"")</f>
        <v>Home - PortCastelló</v>
      </c>
      <c r="C1067" s="114" t="str" cm="1">
        <f t="array" ref="C1067">IFERROR(INDEX('03.Muestra'!$F$8:$F$42,SMALL(IF("Página Web"='03.Muestra'!$D$8:$D$42,ROW('03.Muestra'!$F$8:$F$42)-MIN(ROW('03.Muestra'!$D$8:$D$42))+1,""),ROW()-1044)),"")</f>
        <v>https://www.portcastello.com/</v>
      </c>
      <c r="D1067" s="130" t="s">
        <v>37</v>
      </c>
      <c r="E1067" s="107" t="str">
        <f t="shared" si="54"/>
        <v/>
      </c>
      <c r="F1067" s="19"/>
      <c r="G1067" s="19"/>
      <c r="H1067" s="19"/>
      <c r="I1067" s="19"/>
      <c r="J1067" s="19"/>
      <c r="K1067" s="233"/>
      <c r="L1067" s="19"/>
      <c r="M1067" s="19"/>
      <c r="N1067" s="19"/>
      <c r="O1067" s="19"/>
      <c r="P1067" s="19"/>
      <c r="Q1067" s="19"/>
      <c r="R1067" s="19"/>
      <c r="S1067" s="19"/>
      <c r="T1067" s="19"/>
      <c r="U1067" s="19"/>
      <c r="V1067" s="19"/>
      <c r="W1067" s="19"/>
      <c r="X1067" s="19"/>
      <c r="Y1067" s="19"/>
    </row>
    <row r="1068" spans="1:25" ht="12" customHeight="1">
      <c r="A1068" s="219" t="n" cm="1">
        <f t="array" ref="A1068">IFERROR(INDEX('03.Muestra'!$B$8:$B$42,SMALL(IF("Página Web"='03.Muestra'!$D$8:$D$42,ROW('03.Muestra'!$B$8:$B$42)-MIN(ROW('03.Muestra'!$D$8:$D$42))+1,""),ROW()-1044)),"")</f>
        <v>1.0</v>
      </c>
      <c r="B1068" s="114" t="str" cm="1">
        <f t="array" ref="B1068">IFERROR(INDEX('03.Muestra'!$C$8:$C$42,SMALL(IF("Página Web"='03.Muestra'!$D$8:$D$42,ROW('03.Muestra'!$C$8:$C$42)-MIN(ROW('03.Muestra'!$D$8:$D$42))+1,""),ROW()-1044)),"")</f>
        <v>Home - PortCastelló</v>
      </c>
      <c r="C1068" s="114" t="str" cm="1">
        <f t="array" ref="C1068">IFERROR(INDEX('03.Muestra'!$F$8:$F$42,SMALL(IF("Página Web"='03.Muestra'!$D$8:$D$42,ROW('03.Muestra'!$F$8:$F$42)-MIN(ROW('03.Muestra'!$D$8:$D$42))+1,""),ROW()-1044)),"")</f>
        <v>https://www.portcastello.com/</v>
      </c>
      <c r="D1068" s="130" t="s">
        <v>37</v>
      </c>
      <c r="E1068" s="107" t="str">
        <f t="shared" si="54"/>
        <v/>
      </c>
      <c r="F1068" s="19"/>
      <c r="G1068" s="19"/>
      <c r="H1068" s="19"/>
      <c r="I1068" s="19"/>
      <c r="J1068" s="19"/>
      <c r="K1068" s="233"/>
      <c r="L1068" s="19"/>
      <c r="M1068" s="19"/>
      <c r="N1068" s="19"/>
      <c r="O1068" s="19"/>
      <c r="P1068" s="19"/>
      <c r="Q1068" s="19"/>
      <c r="R1068" s="19"/>
      <c r="S1068" s="19"/>
      <c r="T1068" s="19"/>
      <c r="U1068" s="19"/>
      <c r="V1068" s="19"/>
      <c r="W1068" s="19"/>
      <c r="X1068" s="19"/>
      <c r="Y1068" s="19"/>
    </row>
    <row r="1069" spans="1:25" ht="12" customHeight="1">
      <c r="A1069" s="219" t="n" cm="1">
        <f t="array" ref="A1069">IFERROR(INDEX('03.Muestra'!$B$8:$B$42,SMALL(IF("Página Web"='03.Muestra'!$D$8:$D$42,ROW('03.Muestra'!$B$8:$B$42)-MIN(ROW('03.Muestra'!$D$8:$D$42))+1,""),ROW()-1044)),"")</f>
        <v>1.0</v>
      </c>
      <c r="B1069" s="114" t="str" cm="1">
        <f t="array" ref="B1069">IFERROR(INDEX('03.Muestra'!$C$8:$C$42,SMALL(IF("Página Web"='03.Muestra'!$D$8:$D$42,ROW('03.Muestra'!$C$8:$C$42)-MIN(ROW('03.Muestra'!$D$8:$D$42))+1,""),ROW()-1044)),"")</f>
        <v>Home - PortCastelló</v>
      </c>
      <c r="C1069" s="114" t="str" cm="1">
        <f t="array" ref="C1069">IFERROR(INDEX('03.Muestra'!$F$8:$F$42,SMALL(IF("Página Web"='03.Muestra'!$D$8:$D$42,ROW('03.Muestra'!$F$8:$F$42)-MIN(ROW('03.Muestra'!$D$8:$D$42))+1,""),ROW()-1044)),"")</f>
        <v>https://www.portcastello.com/</v>
      </c>
      <c r="D1069" s="130" t="s">
        <v>37</v>
      </c>
      <c r="E1069" s="107" t="str">
        <f t="shared" si="54"/>
        <v/>
      </c>
      <c r="F1069" s="19"/>
      <c r="G1069" s="19"/>
      <c r="H1069" s="19"/>
      <c r="I1069" s="19"/>
      <c r="J1069" s="19"/>
      <c r="K1069" s="233"/>
      <c r="L1069" s="19"/>
      <c r="M1069" s="19"/>
      <c r="N1069" s="19"/>
      <c r="O1069" s="19"/>
      <c r="P1069" s="19"/>
      <c r="Q1069" s="19"/>
      <c r="R1069" s="19"/>
      <c r="S1069" s="19"/>
      <c r="T1069" s="19"/>
      <c r="U1069" s="19"/>
      <c r="V1069" s="19"/>
      <c r="W1069" s="19"/>
      <c r="X1069" s="19"/>
      <c r="Y1069" s="19"/>
    </row>
    <row r="1070" spans="1:25" ht="12" customHeight="1">
      <c r="A1070" s="219" t="n" cm="1">
        <f t="array" ref="A1070">IFERROR(INDEX('03.Muestra'!$B$8:$B$42,SMALL(IF("Página Web"='03.Muestra'!$D$8:$D$42,ROW('03.Muestra'!$B$8:$B$42)-MIN(ROW('03.Muestra'!$D$8:$D$42))+1,""),ROW()-1044)),"")</f>
        <v>1.0</v>
      </c>
      <c r="B1070" s="114" t="str" cm="1">
        <f t="array" ref="B1070">IFERROR(INDEX('03.Muestra'!$C$8:$C$42,SMALL(IF("Página Web"='03.Muestra'!$D$8:$D$42,ROW('03.Muestra'!$C$8:$C$42)-MIN(ROW('03.Muestra'!$D$8:$D$42))+1,""),ROW()-1044)),"")</f>
        <v>Home - PortCastelló</v>
      </c>
      <c r="C1070" s="114" t="str" cm="1">
        <f t="array" ref="C1070">IFERROR(INDEX('03.Muestra'!$F$8:$F$42,SMALL(IF("Página Web"='03.Muestra'!$D$8:$D$42,ROW('03.Muestra'!$F$8:$F$42)-MIN(ROW('03.Muestra'!$D$8:$D$42))+1,""),ROW()-1044)),"")</f>
        <v>https://www.portcastello.com/</v>
      </c>
      <c r="D1070" s="130" t="s">
        <v>37</v>
      </c>
      <c r="E1070" s="107" t="str">
        <f t="shared" si="54"/>
        <v/>
      </c>
      <c r="F1070" s="19"/>
      <c r="G1070" s="19"/>
      <c r="H1070" s="19"/>
      <c r="I1070" s="19"/>
      <c r="J1070" s="19"/>
      <c r="K1070" s="233"/>
      <c r="L1070" s="19"/>
      <c r="M1070" s="19"/>
      <c r="N1070" s="19"/>
      <c r="O1070" s="19"/>
      <c r="P1070" s="19"/>
      <c r="Q1070" s="19"/>
      <c r="R1070" s="19"/>
      <c r="S1070" s="19"/>
      <c r="T1070" s="19"/>
      <c r="U1070" s="19"/>
      <c r="V1070" s="19"/>
      <c r="W1070" s="19"/>
      <c r="X1070" s="19"/>
      <c r="Y1070" s="19"/>
    </row>
    <row r="1071" spans="1:25" ht="12" customHeight="1">
      <c r="A1071" s="219" t="n" cm="1">
        <f t="array" ref="A1071">IFERROR(INDEX('03.Muestra'!$B$8:$B$42,SMALL(IF("Página Web"='03.Muestra'!$D$8:$D$42,ROW('03.Muestra'!$B$8:$B$42)-MIN(ROW('03.Muestra'!$D$8:$D$42))+1,""),ROW()-1044)),"")</f>
        <v>1.0</v>
      </c>
      <c r="B1071" s="114" t="str" cm="1">
        <f t="array" ref="B1071">IFERROR(INDEX('03.Muestra'!$C$8:$C$42,SMALL(IF("Página Web"='03.Muestra'!$D$8:$D$42,ROW('03.Muestra'!$C$8:$C$42)-MIN(ROW('03.Muestra'!$D$8:$D$42))+1,""),ROW()-1044)),"")</f>
        <v>Home - PortCastelló</v>
      </c>
      <c r="C1071" s="114" t="str" cm="1">
        <f t="array" ref="C1071">IFERROR(INDEX('03.Muestra'!$F$8:$F$42,SMALL(IF("Página Web"='03.Muestra'!$D$8:$D$42,ROW('03.Muestra'!$F$8:$F$42)-MIN(ROW('03.Muestra'!$D$8:$D$42))+1,""),ROW()-1044)),"")</f>
        <v>https://www.portcastello.com/</v>
      </c>
      <c r="D1071" s="130" t="s">
        <v>37</v>
      </c>
      <c r="E1071" s="107" t="str">
        <f t="shared" si="54"/>
        <v/>
      </c>
      <c r="F1071" s="19"/>
      <c r="G1071" s="19"/>
      <c r="H1071" s="19"/>
      <c r="I1071" s="19"/>
      <c r="J1071" s="19"/>
      <c r="K1071" s="233"/>
      <c r="L1071" s="19"/>
      <c r="M1071" s="19"/>
      <c r="N1071" s="19"/>
      <c r="O1071" s="19"/>
      <c r="P1071" s="19"/>
      <c r="Q1071" s="19"/>
      <c r="R1071" s="19"/>
      <c r="S1071" s="19"/>
      <c r="T1071" s="19"/>
      <c r="U1071" s="19"/>
      <c r="V1071" s="19"/>
      <c r="W1071" s="19"/>
      <c r="X1071" s="19"/>
      <c r="Y1071" s="19"/>
    </row>
    <row r="1072" spans="1:25" ht="12" customHeight="1">
      <c r="A1072" s="219" t="n" cm="1">
        <f t="array" ref="A1072">IFERROR(INDEX('03.Muestra'!$B$8:$B$42,SMALL(IF("Página Web"='03.Muestra'!$D$8:$D$42,ROW('03.Muestra'!$B$8:$B$42)-MIN(ROW('03.Muestra'!$D$8:$D$42))+1,""),ROW()-1044)),"")</f>
        <v>1.0</v>
      </c>
      <c r="B1072" s="114" t="str" cm="1">
        <f t="array" ref="B1072">IFERROR(INDEX('03.Muestra'!$C$8:$C$42,SMALL(IF("Página Web"='03.Muestra'!$D$8:$D$42,ROW('03.Muestra'!$C$8:$C$42)-MIN(ROW('03.Muestra'!$D$8:$D$42))+1,""),ROW()-1044)),"")</f>
        <v>Home - PortCastelló</v>
      </c>
      <c r="C1072" s="114" t="str" cm="1">
        <f t="array" ref="C1072">IFERROR(INDEX('03.Muestra'!$F$8:$F$42,SMALL(IF("Página Web"='03.Muestra'!$D$8:$D$42,ROW('03.Muestra'!$F$8:$F$42)-MIN(ROW('03.Muestra'!$D$8:$D$42))+1,""),ROW()-1044)),"")</f>
        <v>https://www.portcastello.com/</v>
      </c>
      <c r="D1072" s="130" t="s">
        <v>37</v>
      </c>
      <c r="E1072" s="107" t="str">
        <f t="shared" si="54"/>
        <v/>
      </c>
      <c r="G1072" s="19"/>
      <c r="H1072" s="19"/>
      <c r="I1072" s="19"/>
      <c r="J1072" s="19"/>
      <c r="K1072" s="233"/>
      <c r="L1072" s="19"/>
      <c r="M1072" s="19"/>
      <c r="N1072" s="19"/>
      <c r="O1072" s="19"/>
      <c r="P1072" s="19"/>
      <c r="Q1072" s="19"/>
      <c r="R1072" s="19"/>
      <c r="S1072" s="19"/>
      <c r="T1072" s="19"/>
      <c r="U1072" s="19"/>
      <c r="V1072" s="19"/>
      <c r="W1072" s="19"/>
      <c r="X1072" s="19"/>
      <c r="Y1072" s="19"/>
    </row>
    <row r="1073" spans="1:25" ht="12" customHeight="1">
      <c r="A1073" s="219" t="n" cm="1">
        <f t="array" ref="A1073">IFERROR(INDEX('03.Muestra'!$B$8:$B$42,SMALL(IF("Página Web"='03.Muestra'!$D$8:$D$42,ROW('03.Muestra'!$B$8:$B$42)-MIN(ROW('03.Muestra'!$D$8:$D$42))+1,""),ROW()-1044)),"")</f>
        <v>1.0</v>
      </c>
      <c r="B1073" s="114" t="str" cm="1">
        <f t="array" ref="B1073">IFERROR(INDEX('03.Muestra'!$C$8:$C$42,SMALL(IF("Página Web"='03.Muestra'!$D$8:$D$42,ROW('03.Muestra'!$C$8:$C$42)-MIN(ROW('03.Muestra'!$D$8:$D$42))+1,""),ROW()-1044)),"")</f>
        <v>Home - PortCastelló</v>
      </c>
      <c r="C1073" s="114" t="str" cm="1">
        <f t="array" ref="C1073">IFERROR(INDEX('03.Muestra'!$F$8:$F$42,SMALL(IF("Página Web"='03.Muestra'!$D$8:$D$42,ROW('03.Muestra'!$F$8:$F$42)-MIN(ROW('03.Muestra'!$D$8:$D$42))+1,""),ROW()-1044)),"")</f>
        <v>https://www.portcastello.com/</v>
      </c>
      <c r="D1073" s="130" t="s">
        <v>37</v>
      </c>
      <c r="E1073" s="107" t="str">
        <f t="shared" si="54"/>
        <v/>
      </c>
      <c r="F1073" s="124"/>
      <c r="G1073" s="19"/>
      <c r="H1073" s="19"/>
      <c r="I1073" s="19"/>
      <c r="J1073" s="19"/>
      <c r="K1073" s="233"/>
      <c r="L1073" s="19"/>
      <c r="M1073" s="19"/>
      <c r="N1073" s="19"/>
      <c r="O1073" s="19"/>
      <c r="P1073" s="19"/>
      <c r="Q1073" s="19"/>
      <c r="R1073" s="19"/>
      <c r="S1073" s="19"/>
      <c r="T1073" s="19"/>
      <c r="U1073" s="19"/>
      <c r="V1073" s="19"/>
      <c r="W1073" s="19"/>
      <c r="X1073" s="19"/>
      <c r="Y1073" s="19"/>
    </row>
    <row r="1074" spans="1:25" ht="12" customHeight="1">
      <c r="A1074" s="219" t="n" cm="1">
        <f t="array" ref="A1074">IFERROR(INDEX('03.Muestra'!$B$8:$B$42,SMALL(IF("Página Web"='03.Muestra'!$D$8:$D$42,ROW('03.Muestra'!$B$8:$B$42)-MIN(ROW('03.Muestra'!$D$8:$D$42))+1,""),ROW()-1044)),"")</f>
        <v>1.0</v>
      </c>
      <c r="B1074" s="114" t="str" cm="1">
        <f t="array" ref="B1074">IFERROR(INDEX('03.Muestra'!$C$8:$C$42,SMALL(IF("Página Web"='03.Muestra'!$D$8:$D$42,ROW('03.Muestra'!$C$8:$C$42)-MIN(ROW('03.Muestra'!$D$8:$D$42))+1,""),ROW()-1044)),"")</f>
        <v>Home - PortCastelló</v>
      </c>
      <c r="C1074" s="114" t="str" cm="1">
        <f t="array" ref="C1074">IFERROR(INDEX('03.Muestra'!$F$8:$F$42,SMALL(IF("Página Web"='03.Muestra'!$D$8:$D$42,ROW('03.Muestra'!$F$8:$F$42)-MIN(ROW('03.Muestra'!$D$8:$D$42))+1,""),ROW()-1044)),"")</f>
        <v>https://www.portcastello.com/</v>
      </c>
      <c r="D1074" s="130" t="s">
        <v>37</v>
      </c>
      <c r="E1074" s="107" t="str">
        <f t="shared" si="54"/>
        <v/>
      </c>
      <c r="F1074" s="124"/>
      <c r="G1074" s="19"/>
      <c r="H1074" s="19"/>
      <c r="I1074" s="19"/>
      <c r="J1074" s="19"/>
      <c r="K1074" s="233"/>
      <c r="L1074" s="19"/>
      <c r="M1074" s="19"/>
      <c r="N1074" s="19"/>
      <c r="O1074" s="19"/>
      <c r="P1074" s="19"/>
      <c r="Q1074" s="19"/>
      <c r="R1074" s="19"/>
      <c r="S1074" s="19"/>
      <c r="T1074" s="19"/>
      <c r="U1074" s="19"/>
      <c r="V1074" s="19"/>
      <c r="W1074" s="19"/>
      <c r="X1074" s="19"/>
      <c r="Y1074" s="19"/>
    </row>
    <row r="1075" spans="1:25" ht="12" customHeight="1">
      <c r="A1075" s="219" t="n" cm="1">
        <f t="array" ref="A1075">IFERROR(INDEX('03.Muestra'!$B$8:$B$42,SMALL(IF("Página Web"='03.Muestra'!$D$8:$D$42,ROW('03.Muestra'!$B$8:$B$42)-MIN(ROW('03.Muestra'!$D$8:$D$42))+1,""),ROW()-1044)),"")</f>
        <v>1.0</v>
      </c>
      <c r="B1075" s="114" t="str" cm="1">
        <f t="array" ref="B1075">IFERROR(INDEX('03.Muestra'!$C$8:$C$42,SMALL(IF("Página Web"='03.Muestra'!$D$8:$D$42,ROW('03.Muestra'!$C$8:$C$42)-MIN(ROW('03.Muestra'!$D$8:$D$42))+1,""),ROW()-1044)),"")</f>
        <v>Home - PortCastelló</v>
      </c>
      <c r="C1075" s="114" t="str" cm="1">
        <f t="array" ref="C1075">IFERROR(INDEX('03.Muestra'!$F$8:$F$42,SMALL(IF("Página Web"='03.Muestra'!$D$8:$D$42,ROW('03.Muestra'!$F$8:$F$42)-MIN(ROW('03.Muestra'!$D$8:$D$42))+1,""),ROW()-1044)),"")</f>
        <v>https://www.portcastello.com/</v>
      </c>
      <c r="D1075" s="130" t="s">
        <v>37</v>
      </c>
      <c r="E1075" s="107" t="str">
        <f t="shared" si="54"/>
        <v/>
      </c>
      <c r="F1075" s="124"/>
      <c r="G1075" s="19"/>
      <c r="H1075" s="19"/>
      <c r="I1075" s="19"/>
      <c r="J1075" s="19"/>
      <c r="K1075" s="233"/>
      <c r="L1075" s="19"/>
      <c r="M1075" s="19"/>
      <c r="N1075" s="19"/>
      <c r="O1075" s="19"/>
      <c r="P1075" s="19"/>
      <c r="Q1075" s="19"/>
      <c r="R1075" s="19"/>
      <c r="S1075" s="19"/>
      <c r="T1075" s="19"/>
      <c r="U1075" s="19"/>
      <c r="V1075" s="19"/>
      <c r="W1075" s="19"/>
      <c r="X1075" s="19"/>
      <c r="Y1075" s="19"/>
    </row>
    <row r="1076" spans="1:25" ht="12" customHeight="1">
      <c r="A1076" s="219" t="n" cm="1">
        <f t="array" ref="A1076">IFERROR(INDEX('03.Muestra'!$B$8:$B$42,SMALL(IF("Página Web"='03.Muestra'!$D$8:$D$42,ROW('03.Muestra'!$B$8:$B$42)-MIN(ROW('03.Muestra'!$D$8:$D$42))+1,""),ROW()-1044)),"")</f>
        <v>1.0</v>
      </c>
      <c r="B1076" s="114" t="str" cm="1">
        <f t="array" ref="B1076">IFERROR(INDEX('03.Muestra'!$C$8:$C$42,SMALL(IF("Página Web"='03.Muestra'!$D$8:$D$42,ROW('03.Muestra'!$C$8:$C$42)-MIN(ROW('03.Muestra'!$D$8:$D$42))+1,""),ROW()-1044)),"")</f>
        <v>Home - PortCastelló</v>
      </c>
      <c r="C1076" s="114" t="str" cm="1">
        <f t="array" ref="C1076">IFERROR(INDEX('03.Muestra'!$F$8:$F$42,SMALL(IF("Página Web"='03.Muestra'!$D$8:$D$42,ROW('03.Muestra'!$F$8:$F$42)-MIN(ROW('03.Muestra'!$D$8:$D$42))+1,""),ROW()-1044)),"")</f>
        <v>https://www.portcastello.com/</v>
      </c>
      <c r="D1076" s="130" t="s">
        <v>37</v>
      </c>
      <c r="E1076" s="107" t="str">
        <f t="shared" si="54"/>
        <v/>
      </c>
      <c r="F1076" s="124"/>
      <c r="G1076" s="19"/>
      <c r="H1076" s="19"/>
      <c r="I1076" s="19"/>
      <c r="J1076" s="19"/>
      <c r="K1076" s="233"/>
      <c r="L1076" s="19"/>
      <c r="M1076" s="19"/>
      <c r="N1076" s="19"/>
      <c r="O1076" s="19"/>
      <c r="P1076" s="19"/>
      <c r="Q1076" s="19"/>
      <c r="R1076" s="19"/>
      <c r="S1076" s="19"/>
      <c r="T1076" s="19"/>
      <c r="U1076" s="19"/>
      <c r="V1076" s="19"/>
      <c r="W1076" s="19"/>
      <c r="X1076" s="19"/>
      <c r="Y1076" s="19"/>
    </row>
    <row r="1077" spans="1:25" ht="12" customHeight="1">
      <c r="A1077" s="219" t="n" cm="1">
        <f t="array" ref="A1077">IFERROR(INDEX('03.Muestra'!$B$8:$B$42,SMALL(IF("Página Web"='03.Muestra'!$D$8:$D$42,ROW('03.Muestra'!$B$8:$B$42)-MIN(ROW('03.Muestra'!$D$8:$D$42))+1,""),ROW()-1044)),"")</f>
        <v>1.0</v>
      </c>
      <c r="B1077" s="114" t="str" cm="1">
        <f t="array" ref="B1077">IFERROR(INDEX('03.Muestra'!$C$8:$C$42,SMALL(IF("Página Web"='03.Muestra'!$D$8:$D$42,ROW('03.Muestra'!$C$8:$C$42)-MIN(ROW('03.Muestra'!$D$8:$D$42))+1,""),ROW()-1044)),"")</f>
        <v>Home - PortCastelló</v>
      </c>
      <c r="C1077" s="114" t="str" cm="1">
        <f t="array" ref="C1077">IFERROR(INDEX('03.Muestra'!$F$8:$F$42,SMALL(IF("Página Web"='03.Muestra'!$D$8:$D$42,ROW('03.Muestra'!$F$8:$F$42)-MIN(ROW('03.Muestra'!$D$8:$D$42))+1,""),ROW()-1044)),"")</f>
        <v>https://www.portcastello.com/</v>
      </c>
      <c r="D1077" s="130" t="s">
        <v>37</v>
      </c>
      <c r="E1077" s="107" t="str">
        <f t="shared" si="54"/>
        <v/>
      </c>
      <c r="F1077" s="124"/>
      <c r="G1077" s="19"/>
      <c r="H1077" s="19"/>
      <c r="I1077" s="19"/>
      <c r="J1077" s="19"/>
      <c r="K1077" s="233"/>
      <c r="L1077" s="19"/>
      <c r="M1077" s="19"/>
      <c r="N1077" s="19"/>
      <c r="O1077" s="19"/>
      <c r="P1077" s="19"/>
      <c r="Q1077" s="19"/>
      <c r="R1077" s="19"/>
      <c r="S1077" s="19"/>
      <c r="T1077" s="19"/>
      <c r="U1077" s="19"/>
      <c r="V1077" s="19"/>
      <c r="W1077" s="19"/>
      <c r="X1077" s="19"/>
      <c r="Y1077" s="19"/>
    </row>
    <row r="1078" spans="1:25" ht="12" customHeight="1">
      <c r="A1078" s="219" t="str" cm="1">
        <f t="array" ref="A1078">IFERROR(INDEX('03.Muestra'!$B$8:$B$42,SMALL(IF("Página Web"='03.Muestra'!$D$8:$D$42,ROW('03.Muestra'!$B$8:$B$42)-MIN(ROW('03.Muestra'!$D$8:$D$42))+1,""),ROW()-1044)),"")</f>
        <v/>
      </c>
      <c r="B1078" s="114" t="str" cm="1">
        <f t="array" ref="B1078">IFERROR(INDEX('03.Muestra'!$C$8:$C$42,SMALL(IF("Página Web"='03.Muestra'!$D$8:$D$42,ROW('03.Muestra'!$C$8:$C$42)-MIN(ROW('03.Muestra'!$D$8:$D$42))+1,""),ROW()-1044)),"")</f>
        <v/>
      </c>
      <c r="C1078" s="114" t="str" cm="1">
        <f t="array" ref="C1078">IFERROR(INDEX('03.Muestra'!$F$8:$F$42,SMALL(IF("Página Web"='03.Muestra'!$D$8:$D$42,ROW('03.Muestra'!$F$8:$F$42)-MIN(ROW('03.Muestra'!$D$8:$D$42))+1,""),ROW()-1044)),"")</f>
        <v/>
      </c>
      <c r="D1078" s="130" t="str">
        <f t="shared" si="55" ref="D1078:D1079">IF(AND(B1078&lt;&gt;"",C1078&lt;&gt;""),"N/T","")</f>
        <v/>
      </c>
      <c r="E1078" s="107" t="str">
        <f t="shared" si="54"/>
        <v/>
      </c>
      <c r="F1078" s="124"/>
      <c r="G1078" s="19"/>
      <c r="H1078" s="19"/>
      <c r="I1078" s="19"/>
      <c r="J1078" s="19"/>
      <c r="K1078" s="233"/>
      <c r="L1078" s="19"/>
      <c r="M1078" s="19"/>
      <c r="N1078" s="19"/>
      <c r="O1078" s="19"/>
      <c r="P1078" s="19"/>
      <c r="Q1078" s="19"/>
      <c r="R1078" s="19"/>
      <c r="S1078" s="19"/>
      <c r="T1078" s="19"/>
      <c r="U1078" s="19"/>
      <c r="V1078" s="19"/>
      <c r="W1078" s="19"/>
      <c r="X1078" s="19"/>
      <c r="Y1078" s="19"/>
    </row>
    <row r="1079" spans="1:25" ht="12" customHeight="1">
      <c r="A1079" s="219" t="str" cm="1">
        <f t="array" ref="A1079">IFERROR(INDEX('03.Muestra'!$B$8:$B$42,SMALL(IF("Página Web"='03.Muestra'!$D$8:$D$42,ROW('03.Muestra'!$B$8:$B$42)-MIN(ROW('03.Muestra'!$D$8:$D$42))+1,""),ROW()-1044)),"")</f>
        <v/>
      </c>
      <c r="B1079" s="114" t="str" cm="1">
        <f t="array" ref="B1079">IFERROR(INDEX('03.Muestra'!$C$8:$C$42,SMALL(IF("Página Web"='03.Muestra'!$D$8:$D$42,ROW('03.Muestra'!$C$8:$C$42)-MIN(ROW('03.Muestra'!$D$8:$D$42))+1,""),ROW()-1044)),"")</f>
        <v/>
      </c>
      <c r="C1079" s="114" t="str" cm="1">
        <f t="array" ref="C1079">IFERROR(INDEX('03.Muestra'!$F$8:$F$42,SMALL(IF("Página Web"='03.Muestra'!$D$8:$D$42,ROW('03.Muestra'!$F$8:$F$42)-MIN(ROW('03.Muestra'!$D$8:$D$42))+1,""),ROW()-1044)),"")</f>
        <v/>
      </c>
      <c r="D1079" s="130" t="str">
        <f t="shared" si="55"/>
        <v/>
      </c>
      <c r="E1079" s="107" t="str">
        <f t="shared" si="54"/>
        <v/>
      </c>
      <c r="F1079" s="19"/>
      <c r="G1079" s="19"/>
      <c r="H1079" s="19"/>
      <c r="I1079" s="19"/>
      <c r="J1079" s="19"/>
      <c r="K1079" s="233"/>
      <c r="L1079" s="19"/>
      <c r="M1079" s="19"/>
      <c r="N1079" s="19"/>
      <c r="O1079" s="19"/>
      <c r="P1079" s="19"/>
      <c r="Q1079" s="19"/>
      <c r="R1079" s="19"/>
      <c r="S1079" s="19"/>
      <c r="T1079" s="19"/>
      <c r="U1079" s="19"/>
      <c r="V1079" s="19"/>
      <c r="W1079" s="19"/>
      <c r="X1079" s="19"/>
      <c r="Y1079" s="19"/>
    </row>
    <row r="1080" spans="1:25" ht="12" customHeight="1">
      <c r="B1080" s="19"/>
      <c r="C1080" s="19"/>
      <c r="D1080" s="107"/>
      <c r="E1080" s="19"/>
      <c r="F1080" s="19"/>
      <c r="G1080" s="19"/>
      <c r="H1080" s="19"/>
      <c r="I1080" s="19"/>
      <c r="J1080" s="19"/>
      <c r="K1080" s="233"/>
      <c r="L1080" s="19"/>
      <c r="M1080" s="19"/>
      <c r="N1080" s="19"/>
      <c r="O1080" s="19"/>
      <c r="P1080" s="19"/>
      <c r="Q1080" s="19"/>
      <c r="R1080" s="19"/>
      <c r="S1080" s="19"/>
      <c r="T1080" s="19"/>
      <c r="U1080" s="19"/>
      <c r="V1080" s="19"/>
      <c r="W1080" s="19"/>
      <c r="X1080" s="19"/>
      <c r="Y1080" s="19"/>
    </row>
    <row r="1081" spans="1:25" ht="12" customHeight="1">
      <c r="B1081" s="126"/>
      <c r="C1081" s="19"/>
      <c r="D1081" s="107"/>
      <c r="E1081" s="112"/>
      <c r="F1081" s="19"/>
      <c r="G1081" s="19"/>
      <c r="H1081" s="19"/>
      <c r="I1081" s="19"/>
      <c r="J1081" s="19"/>
      <c r="K1081" s="233"/>
      <c r="L1081" s="19"/>
      <c r="M1081" s="19"/>
      <c r="N1081" s="19"/>
      <c r="O1081" s="19"/>
      <c r="P1081" s="19"/>
      <c r="Q1081" s="19"/>
      <c r="R1081" s="19"/>
      <c r="S1081" s="19"/>
      <c r="T1081" s="19"/>
      <c r="U1081" s="19"/>
      <c r="V1081" s="19"/>
      <c r="W1081" s="19"/>
      <c r="X1081" s="19"/>
      <c r="Y1081" s="19"/>
    </row>
    <row r="1082" spans="1:25" ht="29.25" customHeight="1">
      <c r="A1082" s="218" t="s">
        <v>268</v>
      </c>
      <c r="B1082" s="24" t="s">
        <v>90</v>
      </c>
      <c r="C1082" s="25" t="s">
        <v>401</v>
      </c>
      <c r="D1082" s="26" t="s">
        <v>32</v>
      </c>
      <c r="E1082" s="123"/>
      <c r="K1082" s="233"/>
      <c r="L1082" s="19"/>
      <c r="M1082" s="19"/>
      <c r="N1082" s="19"/>
      <c r="O1082" s="19"/>
      <c r="P1082" s="19"/>
      <c r="Q1082" s="19"/>
      <c r="R1082" s="19"/>
      <c r="S1082" s="19"/>
      <c r="T1082" s="19"/>
      <c r="U1082" s="19"/>
      <c r="V1082" s="19"/>
      <c r="W1082" s="19"/>
      <c r="X1082" s="19"/>
      <c r="Y1082" s="19"/>
    </row>
    <row r="1083" spans="1:25" ht="12" customHeight="1">
      <c r="A1083" s="219" t="n" cm="1">
        <f t="array" ref="A1083">IFERROR(INDEX('03.Muestra'!$B$8:$B$42,SMALL(IF("Página Web"='03.Muestra'!$D$8:$D$42,ROW('03.Muestra'!$B$8:$B$42)-MIN(ROW('03.Muestra'!$D$8:$D$42))+1,""),ROW()-1082)),"")</f>
        <v>1.0</v>
      </c>
      <c r="B1083" s="114" t="str" cm="1">
        <f t="array" ref="B1083">IFERROR(INDEX('03.Muestra'!$C$8:$C$42,SMALL(IF("Página Web"='03.Muestra'!$D$8:$D$42,ROW('03.Muestra'!$C$8:$C$42)-MIN(ROW('03.Muestra'!$D$8:$D$42))+1,""),ROW()-1082)),"")</f>
        <v>Home - PortCastelló</v>
      </c>
      <c r="C1083" s="114" t="str" cm="1">
        <f t="array" ref="C1083">IFERROR(INDEX('03.Muestra'!$F$8:$F$42,SMALL(IF("Página Web"='03.Muestra'!$D$8:$D$42,ROW('03.Muestra'!$F$8:$F$42)-MIN(ROW('03.Muestra'!$D$8:$D$42))+1,""),ROW()-1082)),"")</f>
        <v>https://www.portcastello.com/</v>
      </c>
      <c r="D1083" s="130" t="s">
        <v>37</v>
      </c>
      <c r="E1083" s="107" t="str">
        <f t="shared" ref="E1083:E1117" si="56">IF(D1083&lt;&gt;"",IF(AND(B1083&lt;&gt;"",C1083&lt;&gt;""),"","ERR"),"")</f>
        <v/>
      </c>
      <c r="F1083" s="115" t="s">
        <v>33</v>
      </c>
      <c r="G1083" s="116" t="s">
        <v>37</v>
      </c>
      <c r="H1083" s="117" t="s">
        <v>35</v>
      </c>
      <c r="I1083" s="118" t="s">
        <v>28</v>
      </c>
      <c r="J1083" s="119" t="s">
        <v>26</v>
      </c>
      <c r="K1083" s="226" t="s">
        <v>474</v>
      </c>
      <c r="L1083" s="19"/>
      <c r="M1083" s="19"/>
      <c r="N1083" s="19"/>
      <c r="O1083" s="19"/>
      <c r="P1083" s="19"/>
      <c r="Q1083" s="19"/>
      <c r="R1083" s="19"/>
      <c r="S1083" s="19"/>
      <c r="T1083" s="19"/>
      <c r="U1083" s="19"/>
      <c r="V1083" s="19"/>
      <c r="W1083" s="19"/>
      <c r="X1083" s="19"/>
      <c r="Y1083" s="19"/>
    </row>
    <row r="1084" spans="1:25" ht="12" customHeight="1">
      <c r="A1084" s="219" t="n" cm="1">
        <f t="array" ref="A1084">IFERROR(INDEX('03.Muestra'!$B$8:$B$42,SMALL(IF("Página Web"='03.Muestra'!$D$8:$D$42,ROW('03.Muestra'!$B$8:$B$42)-MIN(ROW('03.Muestra'!$D$8:$D$42))+1,""),ROW()-1082)),"")</f>
        <v>1.0</v>
      </c>
      <c r="B1084" s="114" t="str" cm="1">
        <f t="array" ref="B1084">IFERROR(INDEX('03.Muestra'!$C$8:$C$42,SMALL(IF("Página Web"='03.Muestra'!$D$8:$D$42,ROW('03.Muestra'!$C$8:$C$42)-MIN(ROW('03.Muestra'!$D$8:$D$42))+1,""),ROW()-1082)),"")</f>
        <v>Home - PortCastelló</v>
      </c>
      <c r="C1084" s="114" t="str" cm="1">
        <f t="array" ref="C1084">IFERROR(INDEX('03.Muestra'!$F$8:$F$42,SMALL(IF("Página Web"='03.Muestra'!$D$8:$D$42,ROW('03.Muestra'!$F$8:$F$42)-MIN(ROW('03.Muestra'!$D$8:$D$42))+1,""),ROW()-1082)),"")</f>
        <v>https://www.portcastello.com/</v>
      </c>
      <c r="D1084" s="130" t="s">
        <v>37</v>
      </c>
      <c r="E1084" s="107" t="str">
        <f t="shared" si="56"/>
        <v/>
      </c>
      <c r="F1084" s="120" t="n">
        <f ca="1">COUNTIF($D1083:INDIRECT("$D" &amp;  SUM(ROW()-1,'03.Muestra'!$D$45)-1),F1083)</f>
        <v>0.0</v>
      </c>
      <c r="G1084" s="120" t="n">
        <f ca="1">COUNTIF($D1083:INDIRECT("$D" &amp;  SUM(ROW()-1,'03.Muestra'!$D$45)-1),G1083)</f>
        <v>31.0</v>
      </c>
      <c r="H1084" s="120" t="n">
        <f ca="1">COUNTIF($D1083:INDIRECT("$D" &amp;  SUM(ROW()-1,'03.Muestra'!$D$45)-1),H1083)</f>
        <v>0.0</v>
      </c>
      <c r="I1084" s="120" t="n">
        <f ca="1">COUNTIF($D1083:INDIRECT("$D" &amp;  SUM(ROW()-1,'03.Muestra'!$D$45)-1),I1083)</f>
        <v>2.0</v>
      </c>
      <c r="J1084" s="120" t="n">
        <f ca="1">COUNTIF($D1083:INDIRECT("$D" &amp;  SUM(ROW()-1,'03.Muestra'!$D$45)-1),J1083)</f>
        <v>0.0</v>
      </c>
      <c r="K1084" s="227" t="n">
        <f ca="1">IF(COUNTIF('03.Muestra'!$D$8:$D$42,"Página Web")=0,0,COUNTBLANK($D1083:INDIRECT("$D" &amp;  SUM(ROW()-1,COUNTIF('03.Muestra'!$D$8:$D$42,"Página Web"))-1)))</f>
        <v>0.0</v>
      </c>
      <c r="L1084" s="19"/>
      <c r="M1084" s="19"/>
      <c r="N1084" s="19"/>
      <c r="O1084" s="19"/>
      <c r="P1084" s="19"/>
      <c r="Q1084" s="19"/>
      <c r="R1084" s="19"/>
      <c r="S1084" s="19"/>
      <c r="T1084" s="19"/>
      <c r="U1084" s="19"/>
      <c r="V1084" s="19"/>
      <c r="W1084" s="19"/>
      <c r="X1084" s="19"/>
      <c r="Y1084" s="19"/>
    </row>
    <row r="1085" spans="1:25" ht="12" customHeight="1">
      <c r="A1085" s="219" t="n" cm="1">
        <f t="array" ref="A1085">IFERROR(INDEX('03.Muestra'!$B$8:$B$42,SMALL(IF("Página Web"='03.Muestra'!$D$8:$D$42,ROW('03.Muestra'!$B$8:$B$42)-MIN(ROW('03.Muestra'!$D$8:$D$42))+1,""),ROW()-1082)),"")</f>
        <v>1.0</v>
      </c>
      <c r="B1085" s="114" t="str" cm="1">
        <f t="array" ref="B1085">IFERROR(INDEX('03.Muestra'!$C$8:$C$42,SMALL(IF("Página Web"='03.Muestra'!$D$8:$D$42,ROW('03.Muestra'!$C$8:$C$42)-MIN(ROW('03.Muestra'!$D$8:$D$42))+1,""),ROW()-1082)),"")</f>
        <v>Home - PortCastelló</v>
      </c>
      <c r="C1085" s="114" t="str" cm="1">
        <f t="array" ref="C1085">IFERROR(INDEX('03.Muestra'!$F$8:$F$42,SMALL(IF("Página Web"='03.Muestra'!$D$8:$D$42,ROW('03.Muestra'!$F$8:$F$42)-MIN(ROW('03.Muestra'!$D$8:$D$42))+1,""),ROW()-1082)),"")</f>
        <v>https://www.portcastello.com/</v>
      </c>
      <c r="D1085" s="130" t="s">
        <v>37</v>
      </c>
      <c r="E1085" s="107" t="str">
        <f t="shared" si="56"/>
        <v/>
      </c>
      <c r="G1085" s="19"/>
      <c r="H1085" s="19"/>
      <c r="I1085" s="19"/>
      <c r="J1085" s="19"/>
      <c r="K1085" s="233"/>
      <c r="L1085" s="19"/>
      <c r="M1085" s="19"/>
      <c r="N1085" s="19"/>
      <c r="O1085" s="19"/>
      <c r="P1085" s="19"/>
      <c r="Q1085" s="19"/>
      <c r="R1085" s="19"/>
      <c r="S1085" s="19"/>
      <c r="T1085" s="19"/>
      <c r="U1085" s="19"/>
      <c r="V1085" s="19"/>
      <c r="W1085" s="19"/>
      <c r="X1085" s="19"/>
      <c r="Y1085" s="19"/>
    </row>
    <row r="1086" spans="1:25" ht="12" customHeight="1">
      <c r="A1086" s="219" t="n" cm="1">
        <f t="array" ref="A1086">IFERROR(INDEX('03.Muestra'!$B$8:$B$42,SMALL(IF("Página Web"='03.Muestra'!$D$8:$D$42,ROW('03.Muestra'!$B$8:$B$42)-MIN(ROW('03.Muestra'!$D$8:$D$42))+1,""),ROW()-1082)),"")</f>
        <v>1.0</v>
      </c>
      <c r="B1086" s="114" t="str" cm="1">
        <f t="array" ref="B1086">IFERROR(INDEX('03.Muestra'!$C$8:$C$42,SMALL(IF("Página Web"='03.Muestra'!$D$8:$D$42,ROW('03.Muestra'!$C$8:$C$42)-MIN(ROW('03.Muestra'!$D$8:$D$42))+1,""),ROW()-1082)),"")</f>
        <v>Home - PortCastelló</v>
      </c>
      <c r="C1086" s="114" t="str" cm="1">
        <f t="array" ref="C1086">IFERROR(INDEX('03.Muestra'!$F$8:$F$42,SMALL(IF("Página Web"='03.Muestra'!$D$8:$D$42,ROW('03.Muestra'!$F$8:$F$42)-MIN(ROW('03.Muestra'!$D$8:$D$42))+1,""),ROW()-1082)),"")</f>
        <v>https://www.portcastello.com/</v>
      </c>
      <c r="D1086" s="130" t="s">
        <v>37</v>
      </c>
      <c r="E1086" s="107" t="str">
        <f t="shared" si="56"/>
        <v/>
      </c>
      <c r="G1086" s="19"/>
      <c r="H1086" s="19"/>
      <c r="I1086" s="19"/>
      <c r="J1086" s="19"/>
      <c r="K1086" s="233"/>
      <c r="L1086" s="19"/>
      <c r="M1086" s="19"/>
      <c r="N1086" s="19"/>
      <c r="O1086" s="19"/>
      <c r="P1086" s="19"/>
      <c r="Q1086" s="19"/>
      <c r="R1086" s="19"/>
      <c r="S1086" s="19"/>
      <c r="T1086" s="19"/>
      <c r="U1086" s="19"/>
      <c r="V1086" s="19"/>
      <c r="W1086" s="19"/>
      <c r="X1086" s="19"/>
      <c r="Y1086" s="19"/>
    </row>
    <row r="1087" spans="1:25" ht="12" customHeight="1">
      <c r="A1087" s="219" t="n" cm="1">
        <f t="array" ref="A1087">IFERROR(INDEX('03.Muestra'!$B$8:$B$42,SMALL(IF("Página Web"='03.Muestra'!$D$8:$D$42,ROW('03.Muestra'!$B$8:$B$42)-MIN(ROW('03.Muestra'!$D$8:$D$42))+1,""),ROW()-1082)),"")</f>
        <v>1.0</v>
      </c>
      <c r="B1087" s="114" t="str" cm="1">
        <f t="array" ref="B1087">IFERROR(INDEX('03.Muestra'!$C$8:$C$42,SMALL(IF("Página Web"='03.Muestra'!$D$8:$D$42,ROW('03.Muestra'!$C$8:$C$42)-MIN(ROW('03.Muestra'!$D$8:$D$42))+1,""),ROW()-1082)),"")</f>
        <v>Home - PortCastelló</v>
      </c>
      <c r="C1087" s="114" t="str" cm="1">
        <f t="array" ref="C1087">IFERROR(INDEX('03.Muestra'!$F$8:$F$42,SMALL(IF("Página Web"='03.Muestra'!$D$8:$D$42,ROW('03.Muestra'!$F$8:$F$42)-MIN(ROW('03.Muestra'!$D$8:$D$42))+1,""),ROW()-1082)),"")</f>
        <v>https://www.portcastello.com/</v>
      </c>
      <c r="D1087" s="130" t="s">
        <v>28</v>
      </c>
      <c r="E1087" s="107" t="str">
        <f t="shared" si="56"/>
        <v/>
      </c>
      <c r="G1087" s="19"/>
      <c r="H1087" s="19"/>
      <c r="I1087" s="19"/>
      <c r="J1087" s="19"/>
      <c r="K1087" s="233"/>
      <c r="L1087" s="19"/>
      <c r="M1087" s="19"/>
      <c r="N1087" s="19"/>
      <c r="O1087" s="19"/>
      <c r="P1087" s="19"/>
      <c r="Q1087" s="19"/>
      <c r="R1087" s="19"/>
      <c r="S1087" s="19"/>
      <c r="T1087" s="19"/>
      <c r="U1087" s="19"/>
      <c r="V1087" s="19"/>
      <c r="W1087" s="19"/>
      <c r="X1087" s="19"/>
      <c r="Y1087" s="19"/>
    </row>
    <row r="1088" spans="1:25" ht="12" customHeight="1">
      <c r="A1088" s="219" t="n" cm="1">
        <f t="array" ref="A1088">IFERROR(INDEX('03.Muestra'!$B$8:$B$42,SMALL(IF("Página Web"='03.Muestra'!$D$8:$D$42,ROW('03.Muestra'!$B$8:$B$42)-MIN(ROW('03.Muestra'!$D$8:$D$42))+1,""),ROW()-1082)),"")</f>
        <v>1.0</v>
      </c>
      <c r="B1088" s="114" t="str" cm="1">
        <f t="array" ref="B1088">IFERROR(INDEX('03.Muestra'!$C$8:$C$42,SMALL(IF("Página Web"='03.Muestra'!$D$8:$D$42,ROW('03.Muestra'!$C$8:$C$42)-MIN(ROW('03.Muestra'!$D$8:$D$42))+1,""),ROW()-1082)),"")</f>
        <v>Home - PortCastelló</v>
      </c>
      <c r="C1088" s="114" t="str" cm="1">
        <f t="array" ref="C1088">IFERROR(INDEX('03.Muestra'!$F$8:$F$42,SMALL(IF("Página Web"='03.Muestra'!$D$8:$D$42,ROW('03.Muestra'!$F$8:$F$42)-MIN(ROW('03.Muestra'!$D$8:$D$42))+1,""),ROW()-1082)),"")</f>
        <v>https://www.portcastello.com/</v>
      </c>
      <c r="D1088" s="130" t="s">
        <v>37</v>
      </c>
      <c r="E1088" s="107" t="str">
        <f t="shared" si="56"/>
        <v/>
      </c>
      <c r="G1088" s="19"/>
      <c r="H1088" s="19"/>
      <c r="I1088" s="19"/>
      <c r="J1088" s="19"/>
      <c r="K1088" s="233"/>
      <c r="L1088" s="19"/>
      <c r="M1088" s="19"/>
      <c r="N1088" s="19"/>
      <c r="O1088" s="19"/>
      <c r="P1088" s="19"/>
      <c r="Q1088" s="19"/>
      <c r="R1088" s="19"/>
      <c r="S1088" s="19"/>
      <c r="T1088" s="19"/>
      <c r="U1088" s="19"/>
      <c r="V1088" s="19"/>
      <c r="W1088" s="19"/>
      <c r="X1088" s="19"/>
      <c r="Y1088" s="19"/>
    </row>
    <row r="1089" spans="1:25" ht="12" customHeight="1">
      <c r="A1089" s="219" t="n" cm="1">
        <f t="array" ref="A1089">IFERROR(INDEX('03.Muestra'!$B$8:$B$42,SMALL(IF("Página Web"='03.Muestra'!$D$8:$D$42,ROW('03.Muestra'!$B$8:$B$42)-MIN(ROW('03.Muestra'!$D$8:$D$42))+1,""),ROW()-1082)),"")</f>
        <v>1.0</v>
      </c>
      <c r="B1089" s="114" t="str" cm="1">
        <f t="array" ref="B1089">IFERROR(INDEX('03.Muestra'!$C$8:$C$42,SMALL(IF("Página Web"='03.Muestra'!$D$8:$D$42,ROW('03.Muestra'!$C$8:$C$42)-MIN(ROW('03.Muestra'!$D$8:$D$42))+1,""),ROW()-1082)),"")</f>
        <v>Home - PortCastelló</v>
      </c>
      <c r="C1089" s="114" t="str" cm="1">
        <f t="array" ref="C1089">IFERROR(INDEX('03.Muestra'!$F$8:$F$42,SMALL(IF("Página Web"='03.Muestra'!$D$8:$D$42,ROW('03.Muestra'!$F$8:$F$42)-MIN(ROW('03.Muestra'!$D$8:$D$42))+1,""),ROW()-1082)),"")</f>
        <v>https://www.portcastello.com/</v>
      </c>
      <c r="D1089" s="130" t="s">
        <v>37</v>
      </c>
      <c r="E1089" s="107" t="str">
        <f t="shared" si="56"/>
        <v/>
      </c>
      <c r="F1089" s="19"/>
      <c r="G1089" s="19"/>
      <c r="H1089" s="19"/>
      <c r="I1089" s="19"/>
      <c r="J1089" s="19"/>
      <c r="K1089" s="233"/>
      <c r="L1089" s="19"/>
      <c r="M1089" s="19"/>
      <c r="N1089" s="19"/>
      <c r="O1089" s="19"/>
      <c r="P1089" s="19"/>
      <c r="Q1089" s="19"/>
      <c r="R1089" s="19"/>
      <c r="S1089" s="19"/>
      <c r="T1089" s="19"/>
      <c r="U1089" s="19"/>
      <c r="V1089" s="19"/>
      <c r="W1089" s="19"/>
      <c r="X1089" s="19"/>
      <c r="Y1089" s="19"/>
    </row>
    <row r="1090" spans="1:25" ht="12" customHeight="1">
      <c r="A1090" s="219" t="n" cm="1">
        <f t="array" ref="A1090">IFERROR(INDEX('03.Muestra'!$B$8:$B$42,SMALL(IF("Página Web"='03.Muestra'!$D$8:$D$42,ROW('03.Muestra'!$B$8:$B$42)-MIN(ROW('03.Muestra'!$D$8:$D$42))+1,""),ROW()-1082)),"")</f>
        <v>1.0</v>
      </c>
      <c r="B1090" s="114" t="str" cm="1">
        <f t="array" ref="B1090">IFERROR(INDEX('03.Muestra'!$C$8:$C$42,SMALL(IF("Página Web"='03.Muestra'!$D$8:$D$42,ROW('03.Muestra'!$C$8:$C$42)-MIN(ROW('03.Muestra'!$D$8:$D$42))+1,""),ROW()-1082)),"")</f>
        <v>Home - PortCastelló</v>
      </c>
      <c r="C1090" s="114" t="str" cm="1">
        <f t="array" ref="C1090">IFERROR(INDEX('03.Muestra'!$F$8:$F$42,SMALL(IF("Página Web"='03.Muestra'!$D$8:$D$42,ROW('03.Muestra'!$F$8:$F$42)-MIN(ROW('03.Muestra'!$D$8:$D$42))+1,""),ROW()-1082)),"")</f>
        <v>https://www.portcastello.com/</v>
      </c>
      <c r="D1090" s="130" t="s">
        <v>37</v>
      </c>
      <c r="E1090" s="107" t="str">
        <f t="shared" si="56"/>
        <v/>
      </c>
      <c r="F1090" s="19"/>
      <c r="G1090" s="19"/>
      <c r="H1090" s="19"/>
      <c r="I1090" s="19"/>
      <c r="J1090" s="19"/>
      <c r="K1090" s="233"/>
      <c r="L1090" s="19"/>
      <c r="M1090" s="19"/>
      <c r="N1090" s="19"/>
      <c r="O1090" s="19"/>
      <c r="P1090" s="19"/>
      <c r="Q1090" s="19"/>
      <c r="R1090" s="19"/>
      <c r="S1090" s="19"/>
      <c r="T1090" s="19"/>
      <c r="U1090" s="19"/>
      <c r="V1090" s="19"/>
      <c r="W1090" s="19"/>
      <c r="X1090" s="19"/>
      <c r="Y1090" s="19"/>
    </row>
    <row r="1091" spans="1:25" ht="12" customHeight="1">
      <c r="A1091" s="219" t="n" cm="1">
        <f t="array" ref="A1091">IFERROR(INDEX('03.Muestra'!$B$8:$B$42,SMALL(IF("Página Web"='03.Muestra'!$D$8:$D$42,ROW('03.Muestra'!$B$8:$B$42)-MIN(ROW('03.Muestra'!$D$8:$D$42))+1,""),ROW()-1082)),"")</f>
        <v>1.0</v>
      </c>
      <c r="B1091" s="114" t="str" cm="1">
        <f t="array" ref="B1091">IFERROR(INDEX('03.Muestra'!$C$8:$C$42,SMALL(IF("Página Web"='03.Muestra'!$D$8:$D$42,ROW('03.Muestra'!$C$8:$C$42)-MIN(ROW('03.Muestra'!$D$8:$D$42))+1,""),ROW()-1082)),"")</f>
        <v>Home - PortCastelló</v>
      </c>
      <c r="C1091" s="114" t="str" cm="1">
        <f t="array" ref="C1091">IFERROR(INDEX('03.Muestra'!$F$8:$F$42,SMALL(IF("Página Web"='03.Muestra'!$D$8:$D$42,ROW('03.Muestra'!$F$8:$F$42)-MIN(ROW('03.Muestra'!$D$8:$D$42))+1,""),ROW()-1082)),"")</f>
        <v>https://www.portcastello.com/</v>
      </c>
      <c r="D1091" s="130" t="s">
        <v>37</v>
      </c>
      <c r="E1091" s="107" t="str">
        <f t="shared" si="56"/>
        <v/>
      </c>
      <c r="F1091" s="19"/>
      <c r="G1091" s="19"/>
      <c r="H1091" s="19"/>
      <c r="I1091" s="19"/>
      <c r="J1091" s="19"/>
      <c r="K1091" s="233"/>
      <c r="L1091" s="19"/>
      <c r="M1091" s="19"/>
      <c r="N1091" s="19"/>
      <c r="O1091" s="19"/>
      <c r="P1091" s="19"/>
      <c r="Q1091" s="19"/>
      <c r="R1091" s="19"/>
      <c r="S1091" s="19"/>
      <c r="T1091" s="19"/>
      <c r="U1091" s="19"/>
      <c r="V1091" s="19"/>
      <c r="W1091" s="19"/>
      <c r="X1091" s="19"/>
      <c r="Y1091" s="19"/>
    </row>
    <row r="1092" spans="1:25" ht="12" customHeight="1">
      <c r="A1092" s="219" t="n" cm="1">
        <f t="array" ref="A1092">IFERROR(INDEX('03.Muestra'!$B$8:$B$42,SMALL(IF("Página Web"='03.Muestra'!$D$8:$D$42,ROW('03.Muestra'!$B$8:$B$42)-MIN(ROW('03.Muestra'!$D$8:$D$42))+1,""),ROW()-1082)),"")</f>
        <v>1.0</v>
      </c>
      <c r="B1092" s="114" t="str" cm="1">
        <f t="array" ref="B1092">IFERROR(INDEX('03.Muestra'!$C$8:$C$42,SMALL(IF("Página Web"='03.Muestra'!$D$8:$D$42,ROW('03.Muestra'!$C$8:$C$42)-MIN(ROW('03.Muestra'!$D$8:$D$42))+1,""),ROW()-1082)),"")</f>
        <v>Home - PortCastelló</v>
      </c>
      <c r="C1092" s="114" t="str" cm="1">
        <f t="array" ref="C1092">IFERROR(INDEX('03.Muestra'!$F$8:$F$42,SMALL(IF("Página Web"='03.Muestra'!$D$8:$D$42,ROW('03.Muestra'!$F$8:$F$42)-MIN(ROW('03.Muestra'!$D$8:$D$42))+1,""),ROW()-1082)),"")</f>
        <v>https://www.portcastello.com/</v>
      </c>
      <c r="D1092" s="130" t="s">
        <v>37</v>
      </c>
      <c r="E1092" s="107" t="str">
        <f t="shared" si="56"/>
        <v/>
      </c>
      <c r="F1092" s="19"/>
      <c r="G1092" s="19"/>
      <c r="H1092" s="19"/>
      <c r="I1092" s="19"/>
      <c r="J1092" s="19"/>
      <c r="K1092" s="233"/>
      <c r="L1092" s="19"/>
      <c r="M1092" s="19"/>
      <c r="N1092" s="19"/>
      <c r="O1092" s="19"/>
      <c r="P1092" s="19"/>
      <c r="Q1092" s="19"/>
      <c r="R1092" s="19"/>
      <c r="S1092" s="19"/>
      <c r="T1092" s="19"/>
      <c r="U1092" s="19"/>
      <c r="V1092" s="19"/>
      <c r="W1092" s="19"/>
      <c r="X1092" s="19"/>
      <c r="Y1092" s="19"/>
    </row>
    <row r="1093" spans="1:25" ht="12" customHeight="1">
      <c r="A1093" s="219" t="n" cm="1">
        <f t="array" ref="A1093">IFERROR(INDEX('03.Muestra'!$B$8:$B$42,SMALL(IF("Página Web"='03.Muestra'!$D$8:$D$42,ROW('03.Muestra'!$B$8:$B$42)-MIN(ROW('03.Muestra'!$D$8:$D$42))+1,""),ROW()-1082)),"")</f>
        <v>1.0</v>
      </c>
      <c r="B1093" s="114" t="str" cm="1">
        <f t="array" ref="B1093">IFERROR(INDEX('03.Muestra'!$C$8:$C$42,SMALL(IF("Página Web"='03.Muestra'!$D$8:$D$42,ROW('03.Muestra'!$C$8:$C$42)-MIN(ROW('03.Muestra'!$D$8:$D$42))+1,""),ROW()-1082)),"")</f>
        <v>Home - PortCastelló</v>
      </c>
      <c r="C1093" s="114" t="str" cm="1">
        <f t="array" ref="C1093">IFERROR(INDEX('03.Muestra'!$F$8:$F$42,SMALL(IF("Página Web"='03.Muestra'!$D$8:$D$42,ROW('03.Muestra'!$F$8:$F$42)-MIN(ROW('03.Muestra'!$D$8:$D$42))+1,""),ROW()-1082)),"")</f>
        <v>https://www.portcastello.com/</v>
      </c>
      <c r="D1093" s="130" t="s">
        <v>37</v>
      </c>
      <c r="E1093" s="107" t="str">
        <f t="shared" si="56"/>
        <v/>
      </c>
      <c r="F1093" s="19"/>
      <c r="G1093" s="19"/>
      <c r="H1093" s="19"/>
      <c r="I1093" s="19"/>
      <c r="J1093" s="19"/>
      <c r="K1093" s="233"/>
      <c r="L1093" s="19"/>
      <c r="M1093" s="19"/>
      <c r="N1093" s="19"/>
      <c r="O1093" s="19"/>
      <c r="P1093" s="19"/>
      <c r="Q1093" s="19"/>
      <c r="R1093" s="19"/>
      <c r="S1093" s="19"/>
      <c r="T1093" s="19"/>
      <c r="U1093" s="19"/>
      <c r="V1093" s="19"/>
      <c r="W1093" s="19"/>
      <c r="X1093" s="19"/>
      <c r="Y1093" s="19"/>
    </row>
    <row r="1094" spans="1:25" ht="12" customHeight="1">
      <c r="A1094" s="219" t="n" cm="1">
        <f t="array" ref="A1094">IFERROR(INDEX('03.Muestra'!$B$8:$B$42,SMALL(IF("Página Web"='03.Muestra'!$D$8:$D$42,ROW('03.Muestra'!$B$8:$B$42)-MIN(ROW('03.Muestra'!$D$8:$D$42))+1,""),ROW()-1082)),"")</f>
        <v>1.0</v>
      </c>
      <c r="B1094" s="114" t="str" cm="1">
        <f t="array" ref="B1094">IFERROR(INDEX('03.Muestra'!$C$8:$C$42,SMALL(IF("Página Web"='03.Muestra'!$D$8:$D$42,ROW('03.Muestra'!$C$8:$C$42)-MIN(ROW('03.Muestra'!$D$8:$D$42))+1,""),ROW()-1082)),"")</f>
        <v>Home - PortCastelló</v>
      </c>
      <c r="C1094" s="114" t="str" cm="1">
        <f t="array" ref="C1094">IFERROR(INDEX('03.Muestra'!$F$8:$F$42,SMALL(IF("Página Web"='03.Muestra'!$D$8:$D$42,ROW('03.Muestra'!$F$8:$F$42)-MIN(ROW('03.Muestra'!$D$8:$D$42))+1,""),ROW()-1082)),"")</f>
        <v>https://www.portcastello.com/</v>
      </c>
      <c r="D1094" s="130" t="s">
        <v>37</v>
      </c>
      <c r="E1094" s="107" t="str">
        <f t="shared" si="56"/>
        <v/>
      </c>
      <c r="F1094" s="19"/>
      <c r="G1094" s="19"/>
      <c r="H1094" s="19"/>
      <c r="I1094" s="19"/>
      <c r="J1094" s="19"/>
      <c r="K1094" s="233"/>
      <c r="L1094" s="19"/>
      <c r="M1094" s="19"/>
      <c r="N1094" s="19"/>
      <c r="O1094" s="19"/>
      <c r="P1094" s="19"/>
      <c r="Q1094" s="19"/>
      <c r="R1094" s="19"/>
      <c r="S1094" s="19"/>
      <c r="T1094" s="19"/>
      <c r="U1094" s="19"/>
      <c r="V1094" s="19"/>
      <c r="W1094" s="19"/>
      <c r="X1094" s="19"/>
      <c r="Y1094" s="19"/>
    </row>
    <row r="1095" spans="1:25" ht="12" customHeight="1">
      <c r="A1095" s="219" t="n" cm="1">
        <f t="array" ref="A1095">IFERROR(INDEX('03.Muestra'!$B$8:$B$42,SMALL(IF("Página Web"='03.Muestra'!$D$8:$D$42,ROW('03.Muestra'!$B$8:$B$42)-MIN(ROW('03.Muestra'!$D$8:$D$42))+1,""),ROW()-1082)),"")</f>
        <v>1.0</v>
      </c>
      <c r="B1095" s="114" t="str" cm="1">
        <f t="array" ref="B1095">IFERROR(INDEX('03.Muestra'!$C$8:$C$42,SMALL(IF("Página Web"='03.Muestra'!$D$8:$D$42,ROW('03.Muestra'!$C$8:$C$42)-MIN(ROW('03.Muestra'!$D$8:$D$42))+1,""),ROW()-1082)),"")</f>
        <v>Home - PortCastelló</v>
      </c>
      <c r="C1095" s="114" t="str" cm="1">
        <f t="array" ref="C1095">IFERROR(INDEX('03.Muestra'!$F$8:$F$42,SMALL(IF("Página Web"='03.Muestra'!$D$8:$D$42,ROW('03.Muestra'!$F$8:$F$42)-MIN(ROW('03.Muestra'!$D$8:$D$42))+1,""),ROW()-1082)),"")</f>
        <v>https://www.portcastello.com/</v>
      </c>
      <c r="D1095" s="130" t="s">
        <v>37</v>
      </c>
      <c r="E1095" s="107" t="str">
        <f t="shared" si="56"/>
        <v/>
      </c>
      <c r="F1095" s="19"/>
      <c r="G1095" s="19"/>
      <c r="H1095" s="19"/>
      <c r="I1095" s="19"/>
      <c r="J1095" s="19"/>
      <c r="K1095" s="233"/>
      <c r="L1095" s="19"/>
      <c r="M1095" s="19"/>
      <c r="N1095" s="19"/>
      <c r="O1095" s="19"/>
      <c r="P1095" s="19"/>
      <c r="Q1095" s="19"/>
      <c r="R1095" s="19"/>
      <c r="S1095" s="19"/>
      <c r="T1095" s="19"/>
      <c r="U1095" s="19"/>
      <c r="V1095" s="19"/>
      <c r="W1095" s="19"/>
      <c r="X1095" s="19"/>
      <c r="Y1095" s="19"/>
    </row>
    <row r="1096" spans="1:25" ht="12" customHeight="1">
      <c r="A1096" s="219" t="n" cm="1">
        <f t="array" ref="A1096">IFERROR(INDEX('03.Muestra'!$B$8:$B$42,SMALL(IF("Página Web"='03.Muestra'!$D$8:$D$42,ROW('03.Muestra'!$B$8:$B$42)-MIN(ROW('03.Muestra'!$D$8:$D$42))+1,""),ROW()-1082)),"")</f>
        <v>1.0</v>
      </c>
      <c r="B1096" s="114" t="str" cm="1">
        <f t="array" ref="B1096">IFERROR(INDEX('03.Muestra'!$C$8:$C$42,SMALL(IF("Página Web"='03.Muestra'!$D$8:$D$42,ROW('03.Muestra'!$C$8:$C$42)-MIN(ROW('03.Muestra'!$D$8:$D$42))+1,""),ROW()-1082)),"")</f>
        <v>Home - PortCastelló</v>
      </c>
      <c r="C1096" s="114" t="str" cm="1">
        <f t="array" ref="C1096">IFERROR(INDEX('03.Muestra'!$F$8:$F$42,SMALL(IF("Página Web"='03.Muestra'!$D$8:$D$42,ROW('03.Muestra'!$F$8:$F$42)-MIN(ROW('03.Muestra'!$D$8:$D$42))+1,""),ROW()-1082)),"")</f>
        <v>https://www.portcastello.com/</v>
      </c>
      <c r="D1096" s="130" t="s">
        <v>37</v>
      </c>
      <c r="E1096" s="107" t="str">
        <f t="shared" si="56"/>
        <v/>
      </c>
      <c r="F1096" s="19"/>
      <c r="G1096" s="19"/>
      <c r="H1096" s="19"/>
      <c r="I1096" s="19"/>
      <c r="J1096" s="19"/>
      <c r="K1096" s="233"/>
      <c r="L1096" s="19"/>
      <c r="M1096" s="19"/>
      <c r="N1096" s="19"/>
      <c r="O1096" s="19"/>
      <c r="P1096" s="19"/>
      <c r="Q1096" s="19"/>
      <c r="R1096" s="19"/>
      <c r="S1096" s="19"/>
      <c r="T1096" s="19"/>
      <c r="U1096" s="19"/>
      <c r="V1096" s="19"/>
      <c r="W1096" s="19"/>
      <c r="X1096" s="19"/>
      <c r="Y1096" s="19"/>
    </row>
    <row r="1097" spans="1:25" ht="12" customHeight="1">
      <c r="A1097" s="219" t="n" cm="1">
        <f t="array" ref="A1097">IFERROR(INDEX('03.Muestra'!$B$8:$B$42,SMALL(IF("Página Web"='03.Muestra'!$D$8:$D$42,ROW('03.Muestra'!$B$8:$B$42)-MIN(ROW('03.Muestra'!$D$8:$D$42))+1,""),ROW()-1082)),"")</f>
        <v>1.0</v>
      </c>
      <c r="B1097" s="114" t="str" cm="1">
        <f t="array" ref="B1097">IFERROR(INDEX('03.Muestra'!$C$8:$C$42,SMALL(IF("Página Web"='03.Muestra'!$D$8:$D$42,ROW('03.Muestra'!$C$8:$C$42)-MIN(ROW('03.Muestra'!$D$8:$D$42))+1,""),ROW()-1082)),"")</f>
        <v>Home - PortCastelló</v>
      </c>
      <c r="C1097" s="114" t="str" cm="1">
        <f t="array" ref="C1097">IFERROR(INDEX('03.Muestra'!$F$8:$F$42,SMALL(IF("Página Web"='03.Muestra'!$D$8:$D$42,ROW('03.Muestra'!$F$8:$F$42)-MIN(ROW('03.Muestra'!$D$8:$D$42))+1,""),ROW()-1082)),"")</f>
        <v>https://www.portcastello.com/</v>
      </c>
      <c r="D1097" s="130" t="s">
        <v>37</v>
      </c>
      <c r="E1097" s="107" t="str">
        <f t="shared" si="56"/>
        <v/>
      </c>
      <c r="F1097" s="19"/>
      <c r="G1097" s="19"/>
      <c r="H1097" s="19"/>
      <c r="I1097" s="19"/>
      <c r="J1097" s="19"/>
      <c r="K1097" s="233"/>
      <c r="L1097" s="19"/>
      <c r="M1097" s="19"/>
      <c r="N1097" s="19"/>
      <c r="O1097" s="19"/>
      <c r="P1097" s="19"/>
      <c r="Q1097" s="19"/>
      <c r="R1097" s="19"/>
      <c r="S1097" s="19"/>
      <c r="T1097" s="19"/>
      <c r="U1097" s="19"/>
      <c r="V1097" s="19"/>
      <c r="W1097" s="19"/>
      <c r="X1097" s="19"/>
      <c r="Y1097" s="19"/>
    </row>
    <row r="1098" spans="1:25" ht="12" customHeight="1">
      <c r="A1098" s="219" t="n" cm="1">
        <f t="array" ref="A1098">IFERROR(INDEX('03.Muestra'!$B$8:$B$42,SMALL(IF("Página Web"='03.Muestra'!$D$8:$D$42,ROW('03.Muestra'!$B$8:$B$42)-MIN(ROW('03.Muestra'!$D$8:$D$42))+1,""),ROW()-1082)),"")</f>
        <v>1.0</v>
      </c>
      <c r="B1098" s="114" t="str" cm="1">
        <f t="array" ref="B1098">IFERROR(INDEX('03.Muestra'!$C$8:$C$42,SMALL(IF("Página Web"='03.Muestra'!$D$8:$D$42,ROW('03.Muestra'!$C$8:$C$42)-MIN(ROW('03.Muestra'!$D$8:$D$42))+1,""),ROW()-1082)),"")</f>
        <v>Home - PortCastelló</v>
      </c>
      <c r="C1098" s="114" t="str" cm="1">
        <f t="array" ref="C1098">IFERROR(INDEX('03.Muestra'!$F$8:$F$42,SMALL(IF("Página Web"='03.Muestra'!$D$8:$D$42,ROW('03.Muestra'!$F$8:$F$42)-MIN(ROW('03.Muestra'!$D$8:$D$42))+1,""),ROW()-1082)),"")</f>
        <v>https://www.portcastello.com/</v>
      </c>
      <c r="D1098" s="130" t="s">
        <v>37</v>
      </c>
      <c r="E1098" s="107" t="str">
        <f t="shared" si="56"/>
        <v/>
      </c>
      <c r="F1098" s="19"/>
      <c r="G1098" s="19"/>
      <c r="H1098" s="19"/>
      <c r="I1098" s="19"/>
      <c r="J1098" s="19"/>
      <c r="K1098" s="233"/>
      <c r="L1098" s="19"/>
      <c r="M1098" s="19"/>
      <c r="N1098" s="19"/>
      <c r="O1098" s="19"/>
      <c r="P1098" s="19"/>
      <c r="Q1098" s="19"/>
      <c r="R1098" s="19"/>
      <c r="S1098" s="19"/>
      <c r="T1098" s="19"/>
      <c r="U1098" s="19"/>
      <c r="V1098" s="19"/>
      <c r="W1098" s="19"/>
      <c r="X1098" s="19"/>
      <c r="Y1098" s="19"/>
    </row>
    <row r="1099" spans="1:25" ht="12" customHeight="1">
      <c r="A1099" s="219" t="n" cm="1">
        <f t="array" ref="A1099">IFERROR(INDEX('03.Muestra'!$B$8:$B$42,SMALL(IF("Página Web"='03.Muestra'!$D$8:$D$42,ROW('03.Muestra'!$B$8:$B$42)-MIN(ROW('03.Muestra'!$D$8:$D$42))+1,""),ROW()-1082)),"")</f>
        <v>1.0</v>
      </c>
      <c r="B1099" s="114" t="str" cm="1">
        <f t="array" ref="B1099">IFERROR(INDEX('03.Muestra'!$C$8:$C$42,SMALL(IF("Página Web"='03.Muestra'!$D$8:$D$42,ROW('03.Muestra'!$C$8:$C$42)-MIN(ROW('03.Muestra'!$D$8:$D$42))+1,""),ROW()-1082)),"")</f>
        <v>Home - PortCastelló</v>
      </c>
      <c r="C1099" s="114" t="str" cm="1">
        <f t="array" ref="C1099">IFERROR(INDEX('03.Muestra'!$F$8:$F$42,SMALL(IF("Página Web"='03.Muestra'!$D$8:$D$42,ROW('03.Muestra'!$F$8:$F$42)-MIN(ROW('03.Muestra'!$D$8:$D$42))+1,""),ROW()-1082)),"")</f>
        <v>https://www.portcastello.com/</v>
      </c>
      <c r="D1099" s="130" t="s">
        <v>37</v>
      </c>
      <c r="E1099" s="107" t="str">
        <f t="shared" si="56"/>
        <v/>
      </c>
      <c r="F1099" s="19"/>
      <c r="G1099" s="19"/>
      <c r="H1099" s="19"/>
      <c r="I1099" s="19"/>
      <c r="J1099" s="19"/>
      <c r="K1099" s="233"/>
      <c r="L1099" s="19"/>
      <c r="M1099" s="19"/>
      <c r="N1099" s="19"/>
      <c r="O1099" s="19"/>
      <c r="P1099" s="19"/>
      <c r="Q1099" s="19"/>
      <c r="R1099" s="19"/>
      <c r="S1099" s="19"/>
      <c r="T1099" s="19"/>
      <c r="U1099" s="19"/>
      <c r="V1099" s="19"/>
      <c r="W1099" s="19"/>
      <c r="X1099" s="19"/>
      <c r="Y1099" s="19"/>
    </row>
    <row r="1100" spans="1:25" ht="12" customHeight="1">
      <c r="A1100" s="219" t="n" cm="1">
        <f t="array" ref="A1100">IFERROR(INDEX('03.Muestra'!$B$8:$B$42,SMALL(IF("Página Web"='03.Muestra'!$D$8:$D$42,ROW('03.Muestra'!$B$8:$B$42)-MIN(ROW('03.Muestra'!$D$8:$D$42))+1,""),ROW()-1082)),"")</f>
        <v>1.0</v>
      </c>
      <c r="B1100" s="114" t="str" cm="1">
        <f t="array" ref="B1100">IFERROR(INDEX('03.Muestra'!$C$8:$C$42,SMALL(IF("Página Web"='03.Muestra'!$D$8:$D$42,ROW('03.Muestra'!$C$8:$C$42)-MIN(ROW('03.Muestra'!$D$8:$D$42))+1,""),ROW()-1082)),"")</f>
        <v>Home - PortCastelló</v>
      </c>
      <c r="C1100" s="114" t="str" cm="1">
        <f t="array" ref="C1100">IFERROR(INDEX('03.Muestra'!$F$8:$F$42,SMALL(IF("Página Web"='03.Muestra'!$D$8:$D$42,ROW('03.Muestra'!$F$8:$F$42)-MIN(ROW('03.Muestra'!$D$8:$D$42))+1,""),ROW()-1082)),"")</f>
        <v>https://www.portcastello.com/</v>
      </c>
      <c r="D1100" s="130" t="s">
        <v>37</v>
      </c>
      <c r="E1100" s="107" t="str">
        <f t="shared" si="56"/>
        <v/>
      </c>
      <c r="F1100" s="19"/>
      <c r="G1100" s="19"/>
      <c r="H1100" s="19"/>
      <c r="I1100" s="19"/>
      <c r="J1100" s="19"/>
      <c r="K1100" s="233"/>
      <c r="L1100" s="19"/>
      <c r="M1100" s="19"/>
      <c r="N1100" s="19"/>
      <c r="O1100" s="19"/>
      <c r="P1100" s="19"/>
      <c r="Q1100" s="19"/>
      <c r="R1100" s="19"/>
      <c r="S1100" s="19"/>
      <c r="T1100" s="19"/>
      <c r="U1100" s="19"/>
      <c r="V1100" s="19"/>
      <c r="W1100" s="19"/>
      <c r="X1100" s="19"/>
      <c r="Y1100" s="19"/>
    </row>
    <row r="1101" spans="1:25" ht="12" customHeight="1">
      <c r="A1101" s="219" t="n" cm="1">
        <f t="array" ref="A1101">IFERROR(INDEX('03.Muestra'!$B$8:$B$42,SMALL(IF("Página Web"='03.Muestra'!$D$8:$D$42,ROW('03.Muestra'!$B$8:$B$42)-MIN(ROW('03.Muestra'!$D$8:$D$42))+1,""),ROW()-1082)),"")</f>
        <v>1.0</v>
      </c>
      <c r="B1101" s="114" t="str" cm="1">
        <f t="array" ref="B1101">IFERROR(INDEX('03.Muestra'!$C$8:$C$42,SMALL(IF("Página Web"='03.Muestra'!$D$8:$D$42,ROW('03.Muestra'!$C$8:$C$42)-MIN(ROW('03.Muestra'!$D$8:$D$42))+1,""),ROW()-1082)),"")</f>
        <v>Home - PortCastelló</v>
      </c>
      <c r="C1101" s="114" t="str" cm="1">
        <f t="array" ref="C1101">IFERROR(INDEX('03.Muestra'!$F$8:$F$42,SMALL(IF("Página Web"='03.Muestra'!$D$8:$D$42,ROW('03.Muestra'!$F$8:$F$42)-MIN(ROW('03.Muestra'!$D$8:$D$42))+1,""),ROW()-1082)),"")</f>
        <v>https://www.portcastello.com/</v>
      </c>
      <c r="D1101" s="130" t="s">
        <v>37</v>
      </c>
      <c r="E1101" s="107" t="str">
        <f t="shared" si="56"/>
        <v/>
      </c>
      <c r="F1101" s="19"/>
      <c r="G1101" s="19"/>
      <c r="H1101" s="19"/>
      <c r="I1101" s="19"/>
      <c r="J1101" s="19"/>
      <c r="K1101" s="233"/>
      <c r="L1101" s="19"/>
      <c r="M1101" s="19"/>
      <c r="N1101" s="19"/>
      <c r="O1101" s="19"/>
      <c r="P1101" s="19"/>
      <c r="Q1101" s="19"/>
      <c r="R1101" s="19"/>
      <c r="S1101" s="19"/>
      <c r="T1101" s="19"/>
      <c r="U1101" s="19"/>
      <c r="V1101" s="19"/>
      <c r="W1101" s="19"/>
      <c r="X1101" s="19"/>
      <c r="Y1101" s="19"/>
    </row>
    <row r="1102" spans="1:25" ht="12" customHeight="1">
      <c r="A1102" s="219" t="n" cm="1">
        <f t="array" ref="A1102">IFERROR(INDEX('03.Muestra'!$B$8:$B$42,SMALL(IF("Página Web"='03.Muestra'!$D$8:$D$42,ROW('03.Muestra'!$B$8:$B$42)-MIN(ROW('03.Muestra'!$D$8:$D$42))+1,""),ROW()-1082)),"")</f>
        <v>1.0</v>
      </c>
      <c r="B1102" s="114" t="str" cm="1">
        <f t="array" ref="B1102">IFERROR(INDEX('03.Muestra'!$C$8:$C$42,SMALL(IF("Página Web"='03.Muestra'!$D$8:$D$42,ROW('03.Muestra'!$C$8:$C$42)-MIN(ROW('03.Muestra'!$D$8:$D$42))+1,""),ROW()-1082)),"")</f>
        <v>Home - PortCastelló</v>
      </c>
      <c r="C1102" s="114" t="str" cm="1">
        <f t="array" ref="C1102">IFERROR(INDEX('03.Muestra'!$F$8:$F$42,SMALL(IF("Página Web"='03.Muestra'!$D$8:$D$42,ROW('03.Muestra'!$F$8:$F$42)-MIN(ROW('03.Muestra'!$D$8:$D$42))+1,""),ROW()-1082)),"")</f>
        <v>https://www.portcastello.com/</v>
      </c>
      <c r="D1102" s="130" t="s">
        <v>37</v>
      </c>
      <c r="E1102" s="107" t="str">
        <f t="shared" si="56"/>
        <v/>
      </c>
      <c r="F1102" s="19"/>
      <c r="G1102" s="19"/>
      <c r="H1102" s="19"/>
      <c r="I1102" s="19"/>
      <c r="J1102" s="19"/>
      <c r="K1102" s="233"/>
      <c r="L1102" s="19"/>
      <c r="M1102" s="19"/>
      <c r="N1102" s="19"/>
      <c r="O1102" s="19"/>
      <c r="P1102" s="19"/>
      <c r="Q1102" s="19"/>
      <c r="R1102" s="19"/>
      <c r="S1102" s="19"/>
      <c r="T1102" s="19"/>
      <c r="U1102" s="19"/>
      <c r="V1102" s="19"/>
      <c r="W1102" s="19"/>
      <c r="X1102" s="19"/>
      <c r="Y1102" s="19"/>
    </row>
    <row r="1103" spans="1:25" ht="12" customHeight="1">
      <c r="A1103" s="219" t="n" cm="1">
        <f t="array" ref="A1103">IFERROR(INDEX('03.Muestra'!$B$8:$B$42,SMALL(IF("Página Web"='03.Muestra'!$D$8:$D$42,ROW('03.Muestra'!$B$8:$B$42)-MIN(ROW('03.Muestra'!$D$8:$D$42))+1,""),ROW()-1082)),"")</f>
        <v>1.0</v>
      </c>
      <c r="B1103" s="114" t="str" cm="1">
        <f t="array" ref="B1103">IFERROR(INDEX('03.Muestra'!$C$8:$C$42,SMALL(IF("Página Web"='03.Muestra'!$D$8:$D$42,ROW('03.Muestra'!$C$8:$C$42)-MIN(ROW('03.Muestra'!$D$8:$D$42))+1,""),ROW()-1082)),"")</f>
        <v>Home - PortCastelló</v>
      </c>
      <c r="C1103" s="114" t="str" cm="1">
        <f t="array" ref="C1103">IFERROR(INDEX('03.Muestra'!$F$8:$F$42,SMALL(IF("Página Web"='03.Muestra'!$D$8:$D$42,ROW('03.Muestra'!$F$8:$F$42)-MIN(ROW('03.Muestra'!$D$8:$D$42))+1,""),ROW()-1082)),"")</f>
        <v>https://www.portcastello.com/</v>
      </c>
      <c r="D1103" s="130" t="s">
        <v>37</v>
      </c>
      <c r="E1103" s="107" t="str">
        <f t="shared" si="56"/>
        <v/>
      </c>
      <c r="F1103" s="19"/>
      <c r="G1103" s="19"/>
      <c r="H1103" s="19"/>
      <c r="I1103" s="19"/>
      <c r="J1103" s="19"/>
      <c r="K1103" s="233"/>
      <c r="L1103" s="19"/>
      <c r="M1103" s="19"/>
      <c r="N1103" s="19"/>
      <c r="O1103" s="19"/>
      <c r="P1103" s="19"/>
      <c r="Q1103" s="19"/>
      <c r="R1103" s="19"/>
      <c r="S1103" s="19"/>
      <c r="T1103" s="19"/>
      <c r="U1103" s="19"/>
      <c r="V1103" s="19"/>
      <c r="W1103" s="19"/>
      <c r="X1103" s="19"/>
      <c r="Y1103" s="19"/>
    </row>
    <row r="1104" spans="1:25" ht="12" customHeight="1">
      <c r="A1104" s="219" t="n" cm="1">
        <f t="array" ref="A1104">IFERROR(INDEX('03.Muestra'!$B$8:$B$42,SMALL(IF("Página Web"='03.Muestra'!$D$8:$D$42,ROW('03.Muestra'!$B$8:$B$42)-MIN(ROW('03.Muestra'!$D$8:$D$42))+1,""),ROW()-1082)),"")</f>
        <v>1.0</v>
      </c>
      <c r="B1104" s="114" t="str" cm="1">
        <f t="array" ref="B1104">IFERROR(INDEX('03.Muestra'!$C$8:$C$42,SMALL(IF("Página Web"='03.Muestra'!$D$8:$D$42,ROW('03.Muestra'!$C$8:$C$42)-MIN(ROW('03.Muestra'!$D$8:$D$42))+1,""),ROW()-1082)),"")</f>
        <v>Home - PortCastelló</v>
      </c>
      <c r="C1104" s="114" t="str" cm="1">
        <f t="array" ref="C1104">IFERROR(INDEX('03.Muestra'!$F$8:$F$42,SMALL(IF("Página Web"='03.Muestra'!$D$8:$D$42,ROW('03.Muestra'!$F$8:$F$42)-MIN(ROW('03.Muestra'!$D$8:$D$42))+1,""),ROW()-1082)),"")</f>
        <v>https://www.portcastello.com/</v>
      </c>
      <c r="D1104" s="130" t="s">
        <v>37</v>
      </c>
      <c r="E1104" s="107" t="str">
        <f t="shared" si="56"/>
        <v/>
      </c>
      <c r="F1104" s="19"/>
      <c r="G1104" s="19"/>
      <c r="H1104" s="19"/>
      <c r="I1104" s="19"/>
      <c r="J1104" s="19"/>
      <c r="K1104" s="233"/>
      <c r="L1104" s="19"/>
      <c r="M1104" s="19"/>
      <c r="N1104" s="19"/>
      <c r="O1104" s="19"/>
      <c r="P1104" s="19"/>
      <c r="Q1104" s="19"/>
      <c r="R1104" s="19"/>
      <c r="S1104" s="19"/>
      <c r="T1104" s="19"/>
      <c r="U1104" s="19"/>
      <c r="V1104" s="19"/>
      <c r="W1104" s="19"/>
      <c r="X1104" s="19"/>
      <c r="Y1104" s="19"/>
    </row>
    <row r="1105" spans="1:25" ht="12" customHeight="1">
      <c r="A1105" s="219" t="n" cm="1">
        <f t="array" ref="A1105">IFERROR(INDEX('03.Muestra'!$B$8:$B$42,SMALL(IF("Página Web"='03.Muestra'!$D$8:$D$42,ROW('03.Muestra'!$B$8:$B$42)-MIN(ROW('03.Muestra'!$D$8:$D$42))+1,""),ROW()-1082)),"")</f>
        <v>1.0</v>
      </c>
      <c r="B1105" s="114" t="str" cm="1">
        <f t="array" ref="B1105">IFERROR(INDEX('03.Muestra'!$C$8:$C$42,SMALL(IF("Página Web"='03.Muestra'!$D$8:$D$42,ROW('03.Muestra'!$C$8:$C$42)-MIN(ROW('03.Muestra'!$D$8:$D$42))+1,""),ROW()-1082)),"")</f>
        <v>Home - PortCastelló</v>
      </c>
      <c r="C1105" s="114" t="str" cm="1">
        <f t="array" ref="C1105">IFERROR(INDEX('03.Muestra'!$F$8:$F$42,SMALL(IF("Página Web"='03.Muestra'!$D$8:$D$42,ROW('03.Muestra'!$F$8:$F$42)-MIN(ROW('03.Muestra'!$D$8:$D$42))+1,""),ROW()-1082)),"")</f>
        <v>https://www.portcastello.com/</v>
      </c>
      <c r="D1105" s="130" t="s">
        <v>37</v>
      </c>
      <c r="E1105" s="107" t="str">
        <f t="shared" si="56"/>
        <v/>
      </c>
      <c r="F1105" s="19"/>
      <c r="G1105" s="19"/>
      <c r="H1105" s="19"/>
      <c r="I1105" s="19"/>
      <c r="J1105" s="19"/>
      <c r="K1105" s="233"/>
      <c r="L1105" s="19"/>
      <c r="M1105" s="19"/>
      <c r="N1105" s="19"/>
      <c r="O1105" s="19"/>
      <c r="P1105" s="19"/>
      <c r="Q1105" s="19"/>
      <c r="R1105" s="19"/>
      <c r="S1105" s="19"/>
      <c r="T1105" s="19"/>
      <c r="U1105" s="19"/>
      <c r="V1105" s="19"/>
      <c r="W1105" s="19"/>
      <c r="X1105" s="19"/>
      <c r="Y1105" s="19"/>
    </row>
    <row r="1106" spans="1:25" ht="12" customHeight="1">
      <c r="A1106" s="219" t="n" cm="1">
        <f t="array" ref="A1106">IFERROR(INDEX('03.Muestra'!$B$8:$B$42,SMALL(IF("Página Web"='03.Muestra'!$D$8:$D$42,ROW('03.Muestra'!$B$8:$B$42)-MIN(ROW('03.Muestra'!$D$8:$D$42))+1,""),ROW()-1082)),"")</f>
        <v>1.0</v>
      </c>
      <c r="B1106" s="114" t="str" cm="1">
        <f t="array" ref="B1106">IFERROR(INDEX('03.Muestra'!$C$8:$C$42,SMALL(IF("Página Web"='03.Muestra'!$D$8:$D$42,ROW('03.Muestra'!$C$8:$C$42)-MIN(ROW('03.Muestra'!$D$8:$D$42))+1,""),ROW()-1082)),"")</f>
        <v>Home - PortCastelló</v>
      </c>
      <c r="C1106" s="114" t="str" cm="1">
        <f t="array" ref="C1106">IFERROR(INDEX('03.Muestra'!$F$8:$F$42,SMALL(IF("Página Web"='03.Muestra'!$D$8:$D$42,ROW('03.Muestra'!$F$8:$F$42)-MIN(ROW('03.Muestra'!$D$8:$D$42))+1,""),ROW()-1082)),"")</f>
        <v>https://www.portcastello.com/</v>
      </c>
      <c r="D1106" s="130" t="s">
        <v>37</v>
      </c>
      <c r="E1106" s="107" t="str">
        <f t="shared" si="56"/>
        <v/>
      </c>
      <c r="F1106" s="19"/>
      <c r="G1106" s="19"/>
      <c r="H1106" s="19"/>
      <c r="I1106" s="19"/>
      <c r="J1106" s="19"/>
      <c r="K1106" s="233"/>
      <c r="L1106" s="19"/>
      <c r="M1106" s="19"/>
      <c r="N1106" s="19"/>
      <c r="O1106" s="19"/>
      <c r="P1106" s="19"/>
      <c r="Q1106" s="19"/>
      <c r="R1106" s="19"/>
      <c r="S1106" s="19"/>
      <c r="T1106" s="19"/>
      <c r="U1106" s="19"/>
      <c r="V1106" s="19"/>
      <c r="W1106" s="19"/>
      <c r="X1106" s="19"/>
      <c r="Y1106" s="19"/>
    </row>
    <row r="1107" spans="1:25" ht="12" customHeight="1">
      <c r="A1107" s="219" t="n" cm="1">
        <f t="array" ref="A1107">IFERROR(INDEX('03.Muestra'!$B$8:$B$42,SMALL(IF("Página Web"='03.Muestra'!$D$8:$D$42,ROW('03.Muestra'!$B$8:$B$42)-MIN(ROW('03.Muestra'!$D$8:$D$42))+1,""),ROW()-1082)),"")</f>
        <v>1.0</v>
      </c>
      <c r="B1107" s="114" t="str" cm="1">
        <f t="array" ref="B1107">IFERROR(INDEX('03.Muestra'!$C$8:$C$42,SMALL(IF("Página Web"='03.Muestra'!$D$8:$D$42,ROW('03.Muestra'!$C$8:$C$42)-MIN(ROW('03.Muestra'!$D$8:$D$42))+1,""),ROW()-1082)),"")</f>
        <v>Home - PortCastelló</v>
      </c>
      <c r="C1107" s="114" t="str" cm="1">
        <f t="array" ref="C1107">IFERROR(INDEX('03.Muestra'!$F$8:$F$42,SMALL(IF("Página Web"='03.Muestra'!$D$8:$D$42,ROW('03.Muestra'!$F$8:$F$42)-MIN(ROW('03.Muestra'!$D$8:$D$42))+1,""),ROW()-1082)),"")</f>
        <v>https://www.portcastello.com/</v>
      </c>
      <c r="D1107" s="130" t="s">
        <v>37</v>
      </c>
      <c r="E1107" s="107" t="str">
        <f t="shared" si="56"/>
        <v/>
      </c>
      <c r="F1107" s="19"/>
      <c r="G1107" s="19"/>
      <c r="H1107" s="19"/>
      <c r="I1107" s="19"/>
      <c r="J1107" s="19"/>
      <c r="K1107" s="233"/>
      <c r="L1107" s="19"/>
      <c r="M1107" s="19"/>
      <c r="N1107" s="19"/>
      <c r="O1107" s="19"/>
      <c r="P1107" s="19"/>
      <c r="Q1107" s="19"/>
      <c r="R1107" s="19"/>
      <c r="S1107" s="19"/>
      <c r="T1107" s="19"/>
      <c r="U1107" s="19"/>
      <c r="V1107" s="19"/>
      <c r="W1107" s="19"/>
      <c r="X1107" s="19"/>
      <c r="Y1107" s="19"/>
    </row>
    <row r="1108" spans="1:25" ht="12" customHeight="1">
      <c r="A1108" s="219" t="n" cm="1">
        <f t="array" ref="A1108">IFERROR(INDEX('03.Muestra'!$B$8:$B$42,SMALL(IF("Página Web"='03.Muestra'!$D$8:$D$42,ROW('03.Muestra'!$B$8:$B$42)-MIN(ROW('03.Muestra'!$D$8:$D$42))+1,""),ROW()-1082)),"")</f>
        <v>1.0</v>
      </c>
      <c r="B1108" s="114" t="str" cm="1">
        <f t="array" ref="B1108">IFERROR(INDEX('03.Muestra'!$C$8:$C$42,SMALL(IF("Página Web"='03.Muestra'!$D$8:$D$42,ROW('03.Muestra'!$C$8:$C$42)-MIN(ROW('03.Muestra'!$D$8:$D$42))+1,""),ROW()-1082)),"")</f>
        <v>Home - PortCastelló</v>
      </c>
      <c r="C1108" s="114" t="str" cm="1">
        <f t="array" ref="C1108">IFERROR(INDEX('03.Muestra'!$F$8:$F$42,SMALL(IF("Página Web"='03.Muestra'!$D$8:$D$42,ROW('03.Muestra'!$F$8:$F$42)-MIN(ROW('03.Muestra'!$D$8:$D$42))+1,""),ROW()-1082)),"")</f>
        <v>https://www.portcastello.com/</v>
      </c>
      <c r="D1108" s="130" t="s">
        <v>37</v>
      </c>
      <c r="E1108" s="107" t="str">
        <f t="shared" si="56"/>
        <v/>
      </c>
      <c r="F1108" s="19"/>
      <c r="G1108" s="19"/>
      <c r="H1108" s="19"/>
      <c r="I1108" s="19"/>
      <c r="J1108" s="19"/>
      <c r="K1108" s="233"/>
      <c r="L1108" s="19"/>
      <c r="M1108" s="19"/>
      <c r="N1108" s="19"/>
      <c r="O1108" s="19"/>
      <c r="P1108" s="19"/>
      <c r="Q1108" s="19"/>
      <c r="R1108" s="19"/>
      <c r="S1108" s="19"/>
      <c r="T1108" s="19"/>
      <c r="U1108" s="19"/>
      <c r="V1108" s="19"/>
      <c r="W1108" s="19"/>
      <c r="X1108" s="19"/>
      <c r="Y1108" s="19"/>
    </row>
    <row r="1109" spans="1:25" ht="12" customHeight="1">
      <c r="A1109" s="219" t="n" cm="1">
        <f t="array" ref="A1109">IFERROR(INDEX('03.Muestra'!$B$8:$B$42,SMALL(IF("Página Web"='03.Muestra'!$D$8:$D$42,ROW('03.Muestra'!$B$8:$B$42)-MIN(ROW('03.Muestra'!$D$8:$D$42))+1,""),ROW()-1082)),"")</f>
        <v>1.0</v>
      </c>
      <c r="B1109" s="114" t="str" cm="1">
        <f t="array" ref="B1109">IFERROR(INDEX('03.Muestra'!$C$8:$C$42,SMALL(IF("Página Web"='03.Muestra'!$D$8:$D$42,ROW('03.Muestra'!$C$8:$C$42)-MIN(ROW('03.Muestra'!$D$8:$D$42))+1,""),ROW()-1082)),"")</f>
        <v>Home - PortCastelló</v>
      </c>
      <c r="C1109" s="114" t="str" cm="1">
        <f t="array" ref="C1109">IFERROR(INDEX('03.Muestra'!$F$8:$F$42,SMALL(IF("Página Web"='03.Muestra'!$D$8:$D$42,ROW('03.Muestra'!$F$8:$F$42)-MIN(ROW('03.Muestra'!$D$8:$D$42))+1,""),ROW()-1082)),"")</f>
        <v>https://www.portcastello.com/</v>
      </c>
      <c r="D1109" s="130" t="s">
        <v>37</v>
      </c>
      <c r="E1109" s="107" t="str">
        <f t="shared" si="56"/>
        <v/>
      </c>
      <c r="F1109" s="19"/>
      <c r="G1109" s="19"/>
      <c r="H1109" s="19"/>
      <c r="I1109" s="19"/>
      <c r="J1109" s="19"/>
      <c r="K1109" s="233"/>
      <c r="L1109" s="19"/>
      <c r="M1109" s="19"/>
      <c r="N1109" s="19"/>
      <c r="O1109" s="19"/>
      <c r="P1109" s="19"/>
      <c r="Q1109" s="19"/>
      <c r="R1109" s="19"/>
      <c r="S1109" s="19"/>
      <c r="T1109" s="19"/>
      <c r="U1109" s="19"/>
      <c r="V1109" s="19"/>
      <c r="W1109" s="19"/>
      <c r="X1109" s="19"/>
      <c r="Y1109" s="19"/>
    </row>
    <row r="1110" spans="1:25" ht="12" customHeight="1">
      <c r="A1110" s="219" t="n" cm="1">
        <f t="array" ref="A1110">IFERROR(INDEX('03.Muestra'!$B$8:$B$42,SMALL(IF("Página Web"='03.Muestra'!$D$8:$D$42,ROW('03.Muestra'!$B$8:$B$42)-MIN(ROW('03.Muestra'!$D$8:$D$42))+1,""),ROW()-1082)),"")</f>
        <v>1.0</v>
      </c>
      <c r="B1110" s="114" t="str" cm="1">
        <f t="array" ref="B1110">IFERROR(INDEX('03.Muestra'!$C$8:$C$42,SMALL(IF("Página Web"='03.Muestra'!$D$8:$D$42,ROW('03.Muestra'!$C$8:$C$42)-MIN(ROW('03.Muestra'!$D$8:$D$42))+1,""),ROW()-1082)),"")</f>
        <v>Home - PortCastelló</v>
      </c>
      <c r="C1110" s="114" t="str" cm="1">
        <f t="array" ref="C1110">IFERROR(INDEX('03.Muestra'!$F$8:$F$42,SMALL(IF("Página Web"='03.Muestra'!$D$8:$D$42,ROW('03.Muestra'!$F$8:$F$42)-MIN(ROW('03.Muestra'!$D$8:$D$42))+1,""),ROW()-1082)),"")</f>
        <v>https://www.portcastello.com/</v>
      </c>
      <c r="D1110" s="130" t="s">
        <v>37</v>
      </c>
      <c r="E1110" s="107" t="str">
        <f t="shared" si="56"/>
        <v/>
      </c>
      <c r="G1110" s="19"/>
      <c r="H1110" s="19"/>
      <c r="I1110" s="19"/>
      <c r="J1110" s="19"/>
      <c r="K1110" s="233"/>
      <c r="L1110" s="19"/>
      <c r="M1110" s="19"/>
      <c r="N1110" s="19"/>
      <c r="O1110" s="19"/>
      <c r="P1110" s="19"/>
      <c r="Q1110" s="19"/>
      <c r="R1110" s="19"/>
      <c r="S1110" s="19"/>
      <c r="T1110" s="19"/>
      <c r="U1110" s="19"/>
      <c r="V1110" s="19"/>
      <c r="W1110" s="19"/>
      <c r="X1110" s="19"/>
      <c r="Y1110" s="19"/>
    </row>
    <row r="1111" spans="1:25" ht="12" customHeight="1">
      <c r="A1111" s="219" t="n" cm="1">
        <f t="array" ref="A1111">IFERROR(INDEX('03.Muestra'!$B$8:$B$42,SMALL(IF("Página Web"='03.Muestra'!$D$8:$D$42,ROW('03.Muestra'!$B$8:$B$42)-MIN(ROW('03.Muestra'!$D$8:$D$42))+1,""),ROW()-1082)),"")</f>
        <v>1.0</v>
      </c>
      <c r="B1111" s="114" t="str" cm="1">
        <f t="array" ref="B1111">IFERROR(INDEX('03.Muestra'!$C$8:$C$42,SMALL(IF("Página Web"='03.Muestra'!$D$8:$D$42,ROW('03.Muestra'!$C$8:$C$42)-MIN(ROW('03.Muestra'!$D$8:$D$42))+1,""),ROW()-1082)),"")</f>
        <v>Home - PortCastelló</v>
      </c>
      <c r="C1111" s="114" t="str" cm="1">
        <f t="array" ref="C1111">IFERROR(INDEX('03.Muestra'!$F$8:$F$42,SMALL(IF("Página Web"='03.Muestra'!$D$8:$D$42,ROW('03.Muestra'!$F$8:$F$42)-MIN(ROW('03.Muestra'!$D$8:$D$42))+1,""),ROW()-1082)),"")</f>
        <v>https://www.portcastello.com/</v>
      </c>
      <c r="D1111" s="130" t="s">
        <v>28</v>
      </c>
      <c r="E1111" s="107" t="str">
        <f t="shared" si="56"/>
        <v/>
      </c>
      <c r="F1111" s="124"/>
      <c r="G1111" s="19"/>
      <c r="H1111" s="19"/>
      <c r="I1111" s="19"/>
      <c r="J1111" s="19"/>
      <c r="K1111" s="233"/>
      <c r="L1111" s="19"/>
      <c r="M1111" s="19"/>
      <c r="N1111" s="19"/>
      <c r="O1111" s="19"/>
      <c r="P1111" s="19"/>
      <c r="Q1111" s="19"/>
      <c r="R1111" s="19"/>
      <c r="S1111" s="19"/>
      <c r="T1111" s="19"/>
      <c r="U1111" s="19"/>
      <c r="V1111" s="19"/>
      <c r="W1111" s="19"/>
      <c r="X1111" s="19"/>
      <c r="Y1111" s="19"/>
    </row>
    <row r="1112" spans="1:25" ht="12" customHeight="1">
      <c r="A1112" s="219" t="n" cm="1">
        <f t="array" ref="A1112">IFERROR(INDEX('03.Muestra'!$B$8:$B$42,SMALL(IF("Página Web"='03.Muestra'!$D$8:$D$42,ROW('03.Muestra'!$B$8:$B$42)-MIN(ROW('03.Muestra'!$D$8:$D$42))+1,""),ROW()-1082)),"")</f>
        <v>1.0</v>
      </c>
      <c r="B1112" s="114" t="str" cm="1">
        <f t="array" ref="B1112">IFERROR(INDEX('03.Muestra'!$C$8:$C$42,SMALL(IF("Página Web"='03.Muestra'!$D$8:$D$42,ROW('03.Muestra'!$C$8:$C$42)-MIN(ROW('03.Muestra'!$D$8:$D$42))+1,""),ROW()-1082)),"")</f>
        <v>Home - PortCastelló</v>
      </c>
      <c r="C1112" s="114" t="str" cm="1">
        <f t="array" ref="C1112">IFERROR(INDEX('03.Muestra'!$F$8:$F$42,SMALL(IF("Página Web"='03.Muestra'!$D$8:$D$42,ROW('03.Muestra'!$F$8:$F$42)-MIN(ROW('03.Muestra'!$D$8:$D$42))+1,""),ROW()-1082)),"")</f>
        <v>https://www.portcastello.com/</v>
      </c>
      <c r="D1112" s="130" t="s">
        <v>37</v>
      </c>
      <c r="E1112" s="107" t="str">
        <f t="shared" si="56"/>
        <v/>
      </c>
      <c r="F1112" s="124"/>
      <c r="G1112" s="19"/>
      <c r="H1112" s="19"/>
      <c r="I1112" s="19"/>
      <c r="J1112" s="19"/>
      <c r="K1112" s="233"/>
      <c r="L1112" s="19"/>
      <c r="M1112" s="19"/>
      <c r="N1112" s="19"/>
      <c r="O1112" s="19"/>
      <c r="P1112" s="19"/>
      <c r="Q1112" s="19"/>
      <c r="R1112" s="19"/>
      <c r="S1112" s="19"/>
      <c r="T1112" s="19"/>
      <c r="U1112" s="19"/>
      <c r="V1112" s="19"/>
      <c r="W1112" s="19"/>
      <c r="X1112" s="19"/>
      <c r="Y1112" s="19"/>
    </row>
    <row r="1113" spans="1:25" ht="12" customHeight="1">
      <c r="A1113" s="219" t="n" cm="1">
        <f t="array" ref="A1113">IFERROR(INDEX('03.Muestra'!$B$8:$B$42,SMALL(IF("Página Web"='03.Muestra'!$D$8:$D$42,ROW('03.Muestra'!$B$8:$B$42)-MIN(ROW('03.Muestra'!$D$8:$D$42))+1,""),ROW()-1082)),"")</f>
        <v>1.0</v>
      </c>
      <c r="B1113" s="114" t="str" cm="1">
        <f t="array" ref="B1113">IFERROR(INDEX('03.Muestra'!$C$8:$C$42,SMALL(IF("Página Web"='03.Muestra'!$D$8:$D$42,ROW('03.Muestra'!$C$8:$C$42)-MIN(ROW('03.Muestra'!$D$8:$D$42))+1,""),ROW()-1082)),"")</f>
        <v>Home - PortCastelló</v>
      </c>
      <c r="C1113" s="114" t="str" cm="1">
        <f t="array" ref="C1113">IFERROR(INDEX('03.Muestra'!$F$8:$F$42,SMALL(IF("Página Web"='03.Muestra'!$D$8:$D$42,ROW('03.Muestra'!$F$8:$F$42)-MIN(ROW('03.Muestra'!$D$8:$D$42))+1,""),ROW()-1082)),"")</f>
        <v>https://www.portcastello.com/</v>
      </c>
      <c r="D1113" s="130" t="s">
        <v>37</v>
      </c>
      <c r="E1113" s="107" t="str">
        <f t="shared" si="56"/>
        <v/>
      </c>
      <c r="F1113" s="124"/>
      <c r="G1113" s="19"/>
      <c r="H1113" s="19"/>
      <c r="I1113" s="19"/>
      <c r="J1113" s="19"/>
      <c r="K1113" s="233"/>
      <c r="L1113" s="19"/>
      <c r="M1113" s="19"/>
      <c r="N1113" s="19"/>
      <c r="O1113" s="19"/>
      <c r="P1113" s="19"/>
      <c r="Q1113" s="19"/>
      <c r="R1113" s="19"/>
      <c r="S1113" s="19"/>
      <c r="T1113" s="19"/>
      <c r="U1113" s="19"/>
      <c r="V1113" s="19"/>
      <c r="W1113" s="19"/>
      <c r="X1113" s="19"/>
      <c r="Y1113" s="19"/>
    </row>
    <row r="1114" spans="1:25" ht="12" customHeight="1">
      <c r="A1114" s="219" t="n" cm="1">
        <f t="array" ref="A1114">IFERROR(INDEX('03.Muestra'!$B$8:$B$42,SMALL(IF("Página Web"='03.Muestra'!$D$8:$D$42,ROW('03.Muestra'!$B$8:$B$42)-MIN(ROW('03.Muestra'!$D$8:$D$42))+1,""),ROW()-1082)),"")</f>
        <v>1.0</v>
      </c>
      <c r="B1114" s="114" t="str" cm="1">
        <f t="array" ref="B1114">IFERROR(INDEX('03.Muestra'!$C$8:$C$42,SMALL(IF("Página Web"='03.Muestra'!$D$8:$D$42,ROW('03.Muestra'!$C$8:$C$42)-MIN(ROW('03.Muestra'!$D$8:$D$42))+1,""),ROW()-1082)),"")</f>
        <v>Home - PortCastelló</v>
      </c>
      <c r="C1114" s="114" t="str" cm="1">
        <f t="array" ref="C1114">IFERROR(INDEX('03.Muestra'!$F$8:$F$42,SMALL(IF("Página Web"='03.Muestra'!$D$8:$D$42,ROW('03.Muestra'!$F$8:$F$42)-MIN(ROW('03.Muestra'!$D$8:$D$42))+1,""),ROW()-1082)),"")</f>
        <v>https://www.portcastello.com/</v>
      </c>
      <c r="D1114" s="130" t="s">
        <v>37</v>
      </c>
      <c r="E1114" s="107" t="str">
        <f t="shared" si="56"/>
        <v/>
      </c>
      <c r="F1114" s="124"/>
      <c r="G1114" s="19"/>
      <c r="H1114" s="19"/>
      <c r="I1114" s="19"/>
      <c r="J1114" s="19"/>
      <c r="K1114" s="233"/>
      <c r="L1114" s="19"/>
      <c r="M1114" s="19"/>
      <c r="N1114" s="19"/>
      <c r="O1114" s="19"/>
      <c r="P1114" s="19"/>
      <c r="Q1114" s="19"/>
      <c r="R1114" s="19"/>
      <c r="S1114" s="19"/>
      <c r="T1114" s="19"/>
      <c r="U1114" s="19"/>
      <c r="V1114" s="19"/>
      <c r="W1114" s="19"/>
      <c r="X1114" s="19"/>
      <c r="Y1114" s="19"/>
    </row>
    <row r="1115" spans="1:25" ht="12" customHeight="1">
      <c r="A1115" s="219" t="n" cm="1">
        <f t="array" ref="A1115">IFERROR(INDEX('03.Muestra'!$B$8:$B$42,SMALL(IF("Página Web"='03.Muestra'!$D$8:$D$42,ROW('03.Muestra'!$B$8:$B$42)-MIN(ROW('03.Muestra'!$D$8:$D$42))+1,""),ROW()-1082)),"")</f>
        <v>1.0</v>
      </c>
      <c r="B1115" s="114" t="str" cm="1">
        <f t="array" ref="B1115">IFERROR(INDEX('03.Muestra'!$C$8:$C$42,SMALL(IF("Página Web"='03.Muestra'!$D$8:$D$42,ROW('03.Muestra'!$C$8:$C$42)-MIN(ROW('03.Muestra'!$D$8:$D$42))+1,""),ROW()-1082)),"")</f>
        <v>Home - PortCastelló</v>
      </c>
      <c r="C1115" s="114" t="str" cm="1">
        <f t="array" ref="C1115">IFERROR(INDEX('03.Muestra'!$F$8:$F$42,SMALL(IF("Página Web"='03.Muestra'!$D$8:$D$42,ROW('03.Muestra'!$F$8:$F$42)-MIN(ROW('03.Muestra'!$D$8:$D$42))+1,""),ROW()-1082)),"")</f>
        <v>https://www.portcastello.com/</v>
      </c>
      <c r="D1115" s="130" t="s">
        <v>37</v>
      </c>
      <c r="E1115" s="107" t="str">
        <f t="shared" si="56"/>
        <v/>
      </c>
      <c r="F1115" s="124"/>
      <c r="G1115" s="19"/>
      <c r="H1115" s="19"/>
      <c r="I1115" s="19"/>
      <c r="J1115" s="19"/>
      <c r="K1115" s="233"/>
      <c r="L1115" s="19"/>
      <c r="M1115" s="19"/>
      <c r="N1115" s="19"/>
      <c r="O1115" s="19"/>
      <c r="P1115" s="19"/>
      <c r="Q1115" s="19"/>
      <c r="R1115" s="19"/>
      <c r="S1115" s="19"/>
      <c r="T1115" s="19"/>
      <c r="U1115" s="19"/>
      <c r="V1115" s="19"/>
      <c r="W1115" s="19"/>
      <c r="X1115" s="19"/>
      <c r="Y1115" s="19"/>
    </row>
    <row r="1116" spans="1:25" ht="12" customHeight="1">
      <c r="A1116" s="219" t="str" cm="1">
        <f t="array" ref="A1116">IFERROR(INDEX('03.Muestra'!$B$8:$B$42,SMALL(IF("Página Web"='03.Muestra'!$D$8:$D$42,ROW('03.Muestra'!$B$8:$B$42)-MIN(ROW('03.Muestra'!$D$8:$D$42))+1,""),ROW()-1082)),"")</f>
        <v/>
      </c>
      <c r="B1116" s="114" t="str" cm="1">
        <f t="array" ref="B1116">IFERROR(INDEX('03.Muestra'!$C$8:$C$42,SMALL(IF("Página Web"='03.Muestra'!$D$8:$D$42,ROW('03.Muestra'!$C$8:$C$42)-MIN(ROW('03.Muestra'!$D$8:$D$42))+1,""),ROW()-1082)),"")</f>
        <v/>
      </c>
      <c r="C1116" s="114" t="str" cm="1">
        <f t="array" ref="C1116">IFERROR(INDEX('03.Muestra'!$F$8:$F$42,SMALL(IF("Página Web"='03.Muestra'!$D$8:$D$42,ROW('03.Muestra'!$F$8:$F$42)-MIN(ROW('03.Muestra'!$D$8:$D$42))+1,""),ROW()-1082)),"")</f>
        <v/>
      </c>
      <c r="D1116" s="130" t="str">
        <f t="shared" si="57" ref="D1116:D1117">IF(AND(B1116&lt;&gt;"",C1116&lt;&gt;""),"N/T","")</f>
        <v/>
      </c>
      <c r="E1116" s="107" t="str">
        <f t="shared" si="56"/>
        <v/>
      </c>
      <c r="F1116" s="124"/>
      <c r="G1116" s="19"/>
      <c r="H1116" s="19"/>
      <c r="I1116" s="19"/>
      <c r="J1116" s="19"/>
      <c r="K1116" s="233"/>
      <c r="L1116" s="19"/>
      <c r="M1116" s="19"/>
      <c r="N1116" s="19"/>
      <c r="O1116" s="19"/>
      <c r="P1116" s="19"/>
      <c r="Q1116" s="19"/>
      <c r="R1116" s="19"/>
      <c r="S1116" s="19"/>
      <c r="T1116" s="19"/>
      <c r="U1116" s="19"/>
      <c r="V1116" s="19"/>
      <c r="W1116" s="19"/>
      <c r="X1116" s="19"/>
      <c r="Y1116" s="19"/>
    </row>
    <row r="1117" spans="1:25" ht="12" customHeight="1">
      <c r="A1117" s="219" t="str" cm="1">
        <f t="array" ref="A1117">IFERROR(INDEX('03.Muestra'!$B$8:$B$42,SMALL(IF("Página Web"='03.Muestra'!$D$8:$D$42,ROW('03.Muestra'!$B$8:$B$42)-MIN(ROW('03.Muestra'!$D$8:$D$42))+1,""),ROW()-1082)),"")</f>
        <v/>
      </c>
      <c r="B1117" s="114" t="str" cm="1">
        <f t="array" ref="B1117">IFERROR(INDEX('03.Muestra'!$C$8:$C$42,SMALL(IF("Página Web"='03.Muestra'!$D$8:$D$42,ROW('03.Muestra'!$C$8:$C$42)-MIN(ROW('03.Muestra'!$D$8:$D$42))+1,""),ROW()-1082)),"")</f>
        <v/>
      </c>
      <c r="C1117" s="114" t="str" cm="1">
        <f t="array" ref="C1117">IFERROR(INDEX('03.Muestra'!$F$8:$F$42,SMALL(IF("Página Web"='03.Muestra'!$D$8:$D$42,ROW('03.Muestra'!$F$8:$F$42)-MIN(ROW('03.Muestra'!$D$8:$D$42))+1,""),ROW()-1082)),"")</f>
        <v/>
      </c>
      <c r="D1117" s="130" t="str">
        <f t="shared" si="57"/>
        <v/>
      </c>
      <c r="E1117" s="107" t="str">
        <f t="shared" si="56"/>
        <v/>
      </c>
      <c r="F1117" s="19"/>
      <c r="G1117" s="19"/>
      <c r="H1117" s="19"/>
      <c r="I1117" s="19"/>
      <c r="J1117" s="19"/>
      <c r="K1117" s="233"/>
      <c r="L1117" s="19"/>
      <c r="M1117" s="19"/>
      <c r="N1117" s="19"/>
      <c r="O1117" s="19"/>
      <c r="P1117" s="19"/>
      <c r="Q1117" s="19"/>
      <c r="R1117" s="19"/>
      <c r="S1117" s="19"/>
      <c r="T1117" s="19"/>
      <c r="U1117" s="19"/>
      <c r="V1117" s="19"/>
      <c r="W1117" s="19"/>
      <c r="X1117" s="19"/>
      <c r="Y1117" s="19"/>
    </row>
    <row r="1118" spans="1:25" ht="12" customHeight="1">
      <c r="B1118" s="19"/>
      <c r="C1118" s="19"/>
      <c r="D1118" s="107"/>
      <c r="E1118" s="19"/>
      <c r="F1118" s="19"/>
      <c r="G1118" s="19"/>
      <c r="H1118" s="19"/>
      <c r="I1118" s="19"/>
      <c r="J1118" s="19"/>
      <c r="K1118" s="233"/>
      <c r="L1118" s="19"/>
      <c r="M1118" s="19"/>
      <c r="N1118" s="19"/>
      <c r="O1118" s="19"/>
      <c r="P1118" s="19"/>
      <c r="Q1118" s="19"/>
      <c r="R1118" s="19"/>
      <c r="S1118" s="19"/>
      <c r="T1118" s="19"/>
      <c r="U1118" s="19"/>
      <c r="V1118" s="19"/>
      <c r="W1118" s="19"/>
      <c r="X1118" s="19"/>
      <c r="Y1118" s="19"/>
    </row>
    <row r="1119" spans="1:25" ht="12" customHeight="1">
      <c r="B1119" s="126"/>
      <c r="C1119" s="19"/>
      <c r="D1119" s="107"/>
      <c r="E1119" s="112"/>
      <c r="F1119" s="19"/>
      <c r="G1119" s="19"/>
      <c r="H1119" s="19"/>
      <c r="I1119" s="19"/>
      <c r="J1119" s="19"/>
      <c r="K1119" s="233"/>
      <c r="L1119" s="19"/>
      <c r="M1119" s="19"/>
      <c r="N1119" s="19"/>
      <c r="O1119" s="19"/>
      <c r="P1119" s="19"/>
      <c r="Q1119" s="19"/>
      <c r="R1119" s="19"/>
      <c r="S1119" s="19"/>
      <c r="T1119" s="19"/>
      <c r="U1119" s="19"/>
      <c r="V1119" s="19"/>
      <c r="W1119" s="19"/>
      <c r="X1119" s="19"/>
      <c r="Y1119" s="19"/>
    </row>
    <row r="1120" spans="1:25" ht="29.25" customHeight="1">
      <c r="A1120" s="218" t="s">
        <v>268</v>
      </c>
      <c r="B1120" s="24" t="s">
        <v>90</v>
      </c>
      <c r="C1120" s="25" t="s">
        <v>402</v>
      </c>
      <c r="D1120" s="26" t="s">
        <v>32</v>
      </c>
      <c r="E1120" s="123"/>
      <c r="K1120" s="233"/>
      <c r="L1120" s="19"/>
      <c r="M1120" s="19"/>
      <c r="N1120" s="19"/>
      <c r="O1120" s="19"/>
      <c r="P1120" s="19"/>
      <c r="Q1120" s="19"/>
      <c r="R1120" s="19"/>
      <c r="S1120" s="19"/>
      <c r="T1120" s="19"/>
      <c r="U1120" s="19"/>
      <c r="V1120" s="19"/>
      <c r="W1120" s="19"/>
      <c r="X1120" s="19"/>
      <c r="Y1120" s="19"/>
    </row>
    <row r="1121" spans="1:25" ht="12" customHeight="1">
      <c r="A1121" s="219" t="n" cm="1">
        <f t="array" ref="A1121">IFERROR(INDEX('03.Muestra'!$B$8:$B$42,SMALL(IF("Página Web"='03.Muestra'!$D$8:$D$42,ROW('03.Muestra'!$B$8:$B$42)-MIN(ROW('03.Muestra'!$D$8:$D$42))+1,""),ROW()-1120)),"")</f>
        <v>1.0</v>
      </c>
      <c r="B1121" s="114" t="str" cm="1">
        <f t="array" ref="B1121">IFERROR(INDEX('03.Muestra'!$C$8:$C$42,SMALL(IF("Página Web"='03.Muestra'!$D$8:$D$42,ROW('03.Muestra'!$C$8:$C$42)-MIN(ROW('03.Muestra'!$D$8:$D$42))+1,""),ROW()-1120)),"")</f>
        <v>Home - PortCastelló</v>
      </c>
      <c r="C1121" s="114" t="str" cm="1">
        <f t="array" ref="C1121">IFERROR(INDEX('03.Muestra'!$F$8:$F$42,SMALL(IF("Página Web"='03.Muestra'!$D$8:$D$42,ROW('03.Muestra'!$F$8:$F$42)-MIN(ROW('03.Muestra'!$D$8:$D$42))+1,""),ROW()-1120)),"")</f>
        <v>https://www.portcastello.com/</v>
      </c>
      <c r="D1121" s="130" t="s">
        <v>37</v>
      </c>
      <c r="E1121" s="107" t="str">
        <f t="shared" ref="E1121:E1155" si="58">IF(D1121&lt;&gt;"",IF(AND(B1121&lt;&gt;"",C1121&lt;&gt;""),"","ERR"),"")</f>
        <v/>
      </c>
      <c r="F1121" s="115" t="s">
        <v>33</v>
      </c>
      <c r="G1121" s="116" t="s">
        <v>37</v>
      </c>
      <c r="H1121" s="117" t="s">
        <v>35</v>
      </c>
      <c r="I1121" s="118" t="s">
        <v>28</v>
      </c>
      <c r="J1121" s="119" t="s">
        <v>26</v>
      </c>
      <c r="K1121" s="226" t="s">
        <v>474</v>
      </c>
      <c r="L1121" s="19"/>
      <c r="M1121" s="19"/>
      <c r="N1121" s="19"/>
      <c r="O1121" s="19"/>
      <c r="P1121" s="19"/>
      <c r="Q1121" s="19"/>
      <c r="R1121" s="19"/>
      <c r="S1121" s="19"/>
      <c r="T1121" s="19"/>
      <c r="U1121" s="19"/>
      <c r="V1121" s="19"/>
      <c r="W1121" s="19"/>
      <c r="X1121" s="19"/>
      <c r="Y1121" s="19"/>
    </row>
    <row r="1122" spans="1:25" ht="12" customHeight="1">
      <c r="A1122" s="219" t="n" cm="1">
        <f t="array" ref="A1122">IFERROR(INDEX('03.Muestra'!$B$8:$B$42,SMALL(IF("Página Web"='03.Muestra'!$D$8:$D$42,ROW('03.Muestra'!$B$8:$B$42)-MIN(ROW('03.Muestra'!$D$8:$D$42))+1,""),ROW()-1120)),"")</f>
        <v>1.0</v>
      </c>
      <c r="B1122" s="114" t="str" cm="1">
        <f t="array" ref="B1122">IFERROR(INDEX('03.Muestra'!$C$8:$C$42,SMALL(IF("Página Web"='03.Muestra'!$D$8:$D$42,ROW('03.Muestra'!$C$8:$C$42)-MIN(ROW('03.Muestra'!$D$8:$D$42))+1,""),ROW()-1120)),"")</f>
        <v>Home - PortCastelló</v>
      </c>
      <c r="C1122" s="114" t="str" cm="1">
        <f t="array" ref="C1122">IFERROR(INDEX('03.Muestra'!$F$8:$F$42,SMALL(IF("Página Web"='03.Muestra'!$D$8:$D$42,ROW('03.Muestra'!$F$8:$F$42)-MIN(ROW('03.Muestra'!$D$8:$D$42))+1,""),ROW()-1120)),"")</f>
        <v>https://www.portcastello.com/</v>
      </c>
      <c r="D1122" s="130" t="s">
        <v>37</v>
      </c>
      <c r="E1122" s="107" t="str">
        <f t="shared" si="58"/>
        <v/>
      </c>
      <c r="F1122" s="120" t="n">
        <f ca="1">COUNTIF($D1121:INDIRECT("$D" &amp;  SUM(ROW()-1,'03.Muestra'!$D$45)-1),F1121)</f>
        <v>0.0</v>
      </c>
      <c r="G1122" s="120" t="n">
        <f ca="1">COUNTIF($D1121:INDIRECT("$D" &amp;  SUM(ROW()-1,'03.Muestra'!$D$45)-1),G1121)</f>
        <v>33.0</v>
      </c>
      <c r="H1122" s="120" t="n">
        <f ca="1">COUNTIF($D1121:INDIRECT("$D" &amp;  SUM(ROW()-1,'03.Muestra'!$D$45)-1),H1121)</f>
        <v>0.0</v>
      </c>
      <c r="I1122" s="120" t="n">
        <f ca="1">COUNTIF($D1121:INDIRECT("$D" &amp;  SUM(ROW()-1,'03.Muestra'!$D$45)-1),I1121)</f>
        <v>0.0</v>
      </c>
      <c r="J1122" s="120" t="n">
        <f ca="1">COUNTIF($D1121:INDIRECT("$D" &amp;  SUM(ROW()-1,'03.Muestra'!$D$45)-1),J1121)</f>
        <v>0.0</v>
      </c>
      <c r="K1122" s="227" t="n">
        <f ca="1">IF(COUNTIF('03.Muestra'!$D$8:$D$42,"Página Web")=0,0,COUNTBLANK($D1121:INDIRECT("$D" &amp;  SUM(ROW()-1,COUNTIF('03.Muestra'!$D$8:$D$42,"Página Web"))-1)))</f>
        <v>0.0</v>
      </c>
      <c r="L1122" s="19"/>
      <c r="M1122" s="19"/>
      <c r="N1122" s="19"/>
      <c r="O1122" s="19"/>
      <c r="P1122" s="19"/>
      <c r="Q1122" s="19"/>
      <c r="R1122" s="19"/>
      <c r="S1122" s="19"/>
      <c r="T1122" s="19"/>
      <c r="U1122" s="19"/>
      <c r="V1122" s="19"/>
      <c r="W1122" s="19"/>
      <c r="X1122" s="19"/>
      <c r="Y1122" s="19"/>
    </row>
    <row r="1123" spans="1:25" ht="12" customHeight="1">
      <c r="A1123" s="219" t="n" cm="1">
        <f t="array" ref="A1123">IFERROR(INDEX('03.Muestra'!$B$8:$B$42,SMALL(IF("Página Web"='03.Muestra'!$D$8:$D$42,ROW('03.Muestra'!$B$8:$B$42)-MIN(ROW('03.Muestra'!$D$8:$D$42))+1,""),ROW()-1120)),"")</f>
        <v>1.0</v>
      </c>
      <c r="B1123" s="114" t="str" cm="1">
        <f t="array" ref="B1123">IFERROR(INDEX('03.Muestra'!$C$8:$C$42,SMALL(IF("Página Web"='03.Muestra'!$D$8:$D$42,ROW('03.Muestra'!$C$8:$C$42)-MIN(ROW('03.Muestra'!$D$8:$D$42))+1,""),ROW()-1120)),"")</f>
        <v>Home - PortCastelló</v>
      </c>
      <c r="C1123" s="114" t="str" cm="1">
        <f t="array" ref="C1123">IFERROR(INDEX('03.Muestra'!$F$8:$F$42,SMALL(IF("Página Web"='03.Muestra'!$D$8:$D$42,ROW('03.Muestra'!$F$8:$F$42)-MIN(ROW('03.Muestra'!$D$8:$D$42))+1,""),ROW()-1120)),"")</f>
        <v>https://www.portcastello.com/</v>
      </c>
      <c r="D1123" s="130" t="s">
        <v>37</v>
      </c>
      <c r="E1123" s="107" t="str">
        <f t="shared" si="58"/>
        <v/>
      </c>
      <c r="G1123" s="19"/>
      <c r="H1123" s="19"/>
      <c r="I1123" s="19"/>
      <c r="J1123" s="19"/>
      <c r="K1123" s="233"/>
      <c r="L1123" s="19"/>
      <c r="M1123" s="19"/>
      <c r="N1123" s="19"/>
      <c r="O1123" s="19"/>
      <c r="P1123" s="19"/>
      <c r="Q1123" s="19"/>
      <c r="R1123" s="19"/>
      <c r="S1123" s="19"/>
      <c r="T1123" s="19"/>
      <c r="U1123" s="19"/>
      <c r="V1123" s="19"/>
      <c r="W1123" s="19"/>
      <c r="X1123" s="19"/>
      <c r="Y1123" s="19"/>
    </row>
    <row r="1124" spans="1:25" ht="12" customHeight="1">
      <c r="A1124" s="219" t="n" cm="1">
        <f t="array" ref="A1124">IFERROR(INDEX('03.Muestra'!$B$8:$B$42,SMALL(IF("Página Web"='03.Muestra'!$D$8:$D$42,ROW('03.Muestra'!$B$8:$B$42)-MIN(ROW('03.Muestra'!$D$8:$D$42))+1,""),ROW()-1120)),"")</f>
        <v>1.0</v>
      </c>
      <c r="B1124" s="114" t="str" cm="1">
        <f t="array" ref="B1124">IFERROR(INDEX('03.Muestra'!$C$8:$C$42,SMALL(IF("Página Web"='03.Muestra'!$D$8:$D$42,ROW('03.Muestra'!$C$8:$C$42)-MIN(ROW('03.Muestra'!$D$8:$D$42))+1,""),ROW()-1120)),"")</f>
        <v>Home - PortCastelló</v>
      </c>
      <c r="C1124" s="114" t="str" cm="1">
        <f t="array" ref="C1124">IFERROR(INDEX('03.Muestra'!$F$8:$F$42,SMALL(IF("Página Web"='03.Muestra'!$D$8:$D$42,ROW('03.Muestra'!$F$8:$F$42)-MIN(ROW('03.Muestra'!$D$8:$D$42))+1,""),ROW()-1120)),"")</f>
        <v>https://www.portcastello.com/</v>
      </c>
      <c r="D1124" s="130" t="s">
        <v>37</v>
      </c>
      <c r="E1124" s="107" t="str">
        <f t="shared" si="58"/>
        <v/>
      </c>
      <c r="G1124" s="19"/>
      <c r="H1124" s="19"/>
      <c r="I1124" s="19"/>
      <c r="J1124" s="19"/>
      <c r="K1124" s="233"/>
      <c r="L1124" s="19"/>
      <c r="M1124" s="19"/>
      <c r="N1124" s="19"/>
      <c r="O1124" s="19"/>
      <c r="P1124" s="19"/>
      <c r="Q1124" s="19"/>
      <c r="R1124" s="19"/>
      <c r="S1124" s="19"/>
      <c r="T1124" s="19"/>
      <c r="U1124" s="19"/>
      <c r="V1124" s="19"/>
      <c r="W1124" s="19"/>
      <c r="X1124" s="19"/>
      <c r="Y1124" s="19"/>
    </row>
    <row r="1125" spans="1:25" ht="12" customHeight="1">
      <c r="A1125" s="219" t="n" cm="1">
        <f t="array" ref="A1125">IFERROR(INDEX('03.Muestra'!$B$8:$B$42,SMALL(IF("Página Web"='03.Muestra'!$D$8:$D$42,ROW('03.Muestra'!$B$8:$B$42)-MIN(ROW('03.Muestra'!$D$8:$D$42))+1,""),ROW()-1120)),"")</f>
        <v>1.0</v>
      </c>
      <c r="B1125" s="114" t="str" cm="1">
        <f t="array" ref="B1125">IFERROR(INDEX('03.Muestra'!$C$8:$C$42,SMALL(IF("Página Web"='03.Muestra'!$D$8:$D$42,ROW('03.Muestra'!$C$8:$C$42)-MIN(ROW('03.Muestra'!$D$8:$D$42))+1,""),ROW()-1120)),"")</f>
        <v>Home - PortCastelló</v>
      </c>
      <c r="C1125" s="114" t="str" cm="1">
        <f t="array" ref="C1125">IFERROR(INDEX('03.Muestra'!$F$8:$F$42,SMALL(IF("Página Web"='03.Muestra'!$D$8:$D$42,ROW('03.Muestra'!$F$8:$F$42)-MIN(ROW('03.Muestra'!$D$8:$D$42))+1,""),ROW()-1120)),"")</f>
        <v>https://www.portcastello.com/</v>
      </c>
      <c r="D1125" s="130" t="s">
        <v>37</v>
      </c>
      <c r="E1125" s="107" t="str">
        <f t="shared" si="58"/>
        <v/>
      </c>
      <c r="G1125" s="19"/>
      <c r="H1125" s="19"/>
      <c r="I1125" s="19"/>
      <c r="J1125" s="19"/>
      <c r="K1125" s="233"/>
      <c r="L1125" s="19"/>
      <c r="M1125" s="19"/>
      <c r="N1125" s="19"/>
      <c r="O1125" s="19"/>
      <c r="P1125" s="19"/>
      <c r="Q1125" s="19"/>
      <c r="R1125" s="19"/>
      <c r="S1125" s="19"/>
      <c r="T1125" s="19"/>
      <c r="U1125" s="19"/>
      <c r="V1125" s="19"/>
      <c r="W1125" s="19"/>
      <c r="X1125" s="19"/>
      <c r="Y1125" s="19"/>
    </row>
    <row r="1126" spans="1:25" ht="12" customHeight="1">
      <c r="A1126" s="219" t="n" cm="1">
        <f t="array" ref="A1126">IFERROR(INDEX('03.Muestra'!$B$8:$B$42,SMALL(IF("Página Web"='03.Muestra'!$D$8:$D$42,ROW('03.Muestra'!$B$8:$B$42)-MIN(ROW('03.Muestra'!$D$8:$D$42))+1,""),ROW()-1120)),"")</f>
        <v>1.0</v>
      </c>
      <c r="B1126" s="114" t="str" cm="1">
        <f t="array" ref="B1126">IFERROR(INDEX('03.Muestra'!$C$8:$C$42,SMALL(IF("Página Web"='03.Muestra'!$D$8:$D$42,ROW('03.Muestra'!$C$8:$C$42)-MIN(ROW('03.Muestra'!$D$8:$D$42))+1,""),ROW()-1120)),"")</f>
        <v>Home - PortCastelló</v>
      </c>
      <c r="C1126" s="114" t="str" cm="1">
        <f t="array" ref="C1126">IFERROR(INDEX('03.Muestra'!$F$8:$F$42,SMALL(IF("Página Web"='03.Muestra'!$D$8:$D$42,ROW('03.Muestra'!$F$8:$F$42)-MIN(ROW('03.Muestra'!$D$8:$D$42))+1,""),ROW()-1120)),"")</f>
        <v>https://www.portcastello.com/</v>
      </c>
      <c r="D1126" s="130" t="s">
        <v>37</v>
      </c>
      <c r="E1126" s="107" t="str">
        <f t="shared" si="58"/>
        <v/>
      </c>
      <c r="G1126" s="19"/>
      <c r="H1126" s="19"/>
      <c r="I1126" s="19"/>
      <c r="J1126" s="19"/>
      <c r="K1126" s="233"/>
      <c r="L1126" s="19"/>
      <c r="M1126" s="19"/>
      <c r="N1126" s="19"/>
      <c r="O1126" s="19"/>
      <c r="P1126" s="19"/>
      <c r="Q1126" s="19"/>
      <c r="R1126" s="19"/>
      <c r="S1126" s="19"/>
      <c r="T1126" s="19"/>
      <c r="U1126" s="19"/>
      <c r="V1126" s="19"/>
      <c r="W1126" s="19"/>
      <c r="X1126" s="19"/>
      <c r="Y1126" s="19"/>
    </row>
    <row r="1127" spans="1:25" ht="12" customHeight="1">
      <c r="A1127" s="219" t="n" cm="1">
        <f t="array" ref="A1127">IFERROR(INDEX('03.Muestra'!$B$8:$B$42,SMALL(IF("Página Web"='03.Muestra'!$D$8:$D$42,ROW('03.Muestra'!$B$8:$B$42)-MIN(ROW('03.Muestra'!$D$8:$D$42))+1,""),ROW()-1120)),"")</f>
        <v>1.0</v>
      </c>
      <c r="B1127" s="114" t="str" cm="1">
        <f t="array" ref="B1127">IFERROR(INDEX('03.Muestra'!$C$8:$C$42,SMALL(IF("Página Web"='03.Muestra'!$D$8:$D$42,ROW('03.Muestra'!$C$8:$C$42)-MIN(ROW('03.Muestra'!$D$8:$D$42))+1,""),ROW()-1120)),"")</f>
        <v>Home - PortCastelló</v>
      </c>
      <c r="C1127" s="114" t="str" cm="1">
        <f t="array" ref="C1127">IFERROR(INDEX('03.Muestra'!$F$8:$F$42,SMALL(IF("Página Web"='03.Muestra'!$D$8:$D$42,ROW('03.Muestra'!$F$8:$F$42)-MIN(ROW('03.Muestra'!$D$8:$D$42))+1,""),ROW()-1120)),"")</f>
        <v>https://www.portcastello.com/</v>
      </c>
      <c r="D1127" s="130" t="s">
        <v>37</v>
      </c>
      <c r="E1127" s="107" t="str">
        <f t="shared" si="58"/>
        <v/>
      </c>
      <c r="F1127" s="19"/>
      <c r="G1127" s="19"/>
      <c r="H1127" s="19"/>
      <c r="I1127" s="19"/>
      <c r="J1127" s="19"/>
      <c r="K1127" s="233"/>
      <c r="L1127" s="19"/>
      <c r="M1127" s="19"/>
      <c r="N1127" s="19"/>
      <c r="O1127" s="19"/>
      <c r="P1127" s="19"/>
      <c r="Q1127" s="19"/>
      <c r="R1127" s="19"/>
      <c r="S1127" s="19"/>
      <c r="T1127" s="19"/>
      <c r="U1127" s="19"/>
      <c r="V1127" s="19"/>
      <c r="W1127" s="19"/>
      <c r="X1127" s="19"/>
      <c r="Y1127" s="19"/>
    </row>
    <row r="1128" spans="1:25" ht="12" customHeight="1">
      <c r="A1128" s="219" t="n" cm="1">
        <f t="array" ref="A1128">IFERROR(INDEX('03.Muestra'!$B$8:$B$42,SMALL(IF("Página Web"='03.Muestra'!$D$8:$D$42,ROW('03.Muestra'!$B$8:$B$42)-MIN(ROW('03.Muestra'!$D$8:$D$42))+1,""),ROW()-1120)),"")</f>
        <v>1.0</v>
      </c>
      <c r="B1128" s="114" t="str" cm="1">
        <f t="array" ref="B1128">IFERROR(INDEX('03.Muestra'!$C$8:$C$42,SMALL(IF("Página Web"='03.Muestra'!$D$8:$D$42,ROW('03.Muestra'!$C$8:$C$42)-MIN(ROW('03.Muestra'!$D$8:$D$42))+1,""),ROW()-1120)),"")</f>
        <v>Home - PortCastelló</v>
      </c>
      <c r="C1128" s="114" t="str" cm="1">
        <f t="array" ref="C1128">IFERROR(INDEX('03.Muestra'!$F$8:$F$42,SMALL(IF("Página Web"='03.Muestra'!$D$8:$D$42,ROW('03.Muestra'!$F$8:$F$42)-MIN(ROW('03.Muestra'!$D$8:$D$42))+1,""),ROW()-1120)),"")</f>
        <v>https://www.portcastello.com/</v>
      </c>
      <c r="D1128" s="130" t="s">
        <v>37</v>
      </c>
      <c r="E1128" s="107" t="str">
        <f t="shared" si="58"/>
        <v/>
      </c>
      <c r="F1128" s="19"/>
      <c r="G1128" s="19"/>
      <c r="H1128" s="19"/>
      <c r="I1128" s="19"/>
      <c r="J1128" s="19"/>
      <c r="K1128" s="233"/>
      <c r="L1128" s="19"/>
      <c r="M1128" s="19"/>
      <c r="N1128" s="19"/>
      <c r="O1128" s="19"/>
      <c r="P1128" s="19"/>
      <c r="Q1128" s="19"/>
      <c r="R1128" s="19"/>
      <c r="S1128" s="19"/>
      <c r="T1128" s="19"/>
      <c r="U1128" s="19"/>
      <c r="V1128" s="19"/>
      <c r="W1128" s="19"/>
      <c r="X1128" s="19"/>
      <c r="Y1128" s="19"/>
    </row>
    <row r="1129" spans="1:25" ht="12" customHeight="1">
      <c r="A1129" s="219" t="n" cm="1">
        <f t="array" ref="A1129">IFERROR(INDEX('03.Muestra'!$B$8:$B$42,SMALL(IF("Página Web"='03.Muestra'!$D$8:$D$42,ROW('03.Muestra'!$B$8:$B$42)-MIN(ROW('03.Muestra'!$D$8:$D$42))+1,""),ROW()-1120)),"")</f>
        <v>1.0</v>
      </c>
      <c r="B1129" s="114" t="str" cm="1">
        <f t="array" ref="B1129">IFERROR(INDEX('03.Muestra'!$C$8:$C$42,SMALL(IF("Página Web"='03.Muestra'!$D$8:$D$42,ROW('03.Muestra'!$C$8:$C$42)-MIN(ROW('03.Muestra'!$D$8:$D$42))+1,""),ROW()-1120)),"")</f>
        <v>Home - PortCastelló</v>
      </c>
      <c r="C1129" s="114" t="str" cm="1">
        <f t="array" ref="C1129">IFERROR(INDEX('03.Muestra'!$F$8:$F$42,SMALL(IF("Página Web"='03.Muestra'!$D$8:$D$42,ROW('03.Muestra'!$F$8:$F$42)-MIN(ROW('03.Muestra'!$D$8:$D$42))+1,""),ROW()-1120)),"")</f>
        <v>https://www.portcastello.com/</v>
      </c>
      <c r="D1129" s="130" t="s">
        <v>37</v>
      </c>
      <c r="E1129" s="107" t="str">
        <f t="shared" si="58"/>
        <v/>
      </c>
      <c r="F1129" s="19"/>
      <c r="G1129" s="19"/>
      <c r="H1129" s="19"/>
      <c r="I1129" s="19"/>
      <c r="J1129" s="19"/>
      <c r="K1129" s="233"/>
      <c r="L1129" s="19"/>
      <c r="M1129" s="19"/>
      <c r="N1129" s="19"/>
      <c r="O1129" s="19"/>
      <c r="P1129" s="19"/>
      <c r="Q1129" s="19"/>
      <c r="R1129" s="19"/>
      <c r="S1129" s="19"/>
      <c r="T1129" s="19"/>
      <c r="U1129" s="19"/>
      <c r="V1129" s="19"/>
      <c r="W1129" s="19"/>
      <c r="X1129" s="19"/>
      <c r="Y1129" s="19"/>
    </row>
    <row r="1130" spans="1:25" ht="12" customHeight="1">
      <c r="A1130" s="219" t="n" cm="1">
        <f t="array" ref="A1130">IFERROR(INDEX('03.Muestra'!$B$8:$B$42,SMALL(IF("Página Web"='03.Muestra'!$D$8:$D$42,ROW('03.Muestra'!$B$8:$B$42)-MIN(ROW('03.Muestra'!$D$8:$D$42))+1,""),ROW()-1120)),"")</f>
        <v>1.0</v>
      </c>
      <c r="B1130" s="114" t="str" cm="1">
        <f t="array" ref="B1130">IFERROR(INDEX('03.Muestra'!$C$8:$C$42,SMALL(IF("Página Web"='03.Muestra'!$D$8:$D$42,ROW('03.Muestra'!$C$8:$C$42)-MIN(ROW('03.Muestra'!$D$8:$D$42))+1,""),ROW()-1120)),"")</f>
        <v>Home - PortCastelló</v>
      </c>
      <c r="C1130" s="114" t="str" cm="1">
        <f t="array" ref="C1130">IFERROR(INDEX('03.Muestra'!$F$8:$F$42,SMALL(IF("Página Web"='03.Muestra'!$D$8:$D$42,ROW('03.Muestra'!$F$8:$F$42)-MIN(ROW('03.Muestra'!$D$8:$D$42))+1,""),ROW()-1120)),"")</f>
        <v>https://www.portcastello.com/</v>
      </c>
      <c r="D1130" s="130" t="s">
        <v>37</v>
      </c>
      <c r="E1130" s="107" t="str">
        <f t="shared" si="58"/>
        <v/>
      </c>
      <c r="F1130" s="19"/>
      <c r="G1130" s="19"/>
      <c r="H1130" s="19"/>
      <c r="I1130" s="19"/>
      <c r="J1130" s="19"/>
      <c r="K1130" s="233"/>
      <c r="L1130" s="19"/>
      <c r="M1130" s="19"/>
      <c r="N1130" s="19"/>
      <c r="O1130" s="19"/>
      <c r="P1130" s="19"/>
      <c r="Q1130" s="19"/>
      <c r="R1130" s="19"/>
      <c r="S1130" s="19"/>
      <c r="T1130" s="19"/>
      <c r="U1130" s="19"/>
      <c r="V1130" s="19"/>
      <c r="W1130" s="19"/>
      <c r="X1130" s="19"/>
      <c r="Y1130" s="19"/>
    </row>
    <row r="1131" spans="1:25" ht="12" customHeight="1">
      <c r="A1131" s="219" t="n" cm="1">
        <f t="array" ref="A1131">IFERROR(INDEX('03.Muestra'!$B$8:$B$42,SMALL(IF("Página Web"='03.Muestra'!$D$8:$D$42,ROW('03.Muestra'!$B$8:$B$42)-MIN(ROW('03.Muestra'!$D$8:$D$42))+1,""),ROW()-1120)),"")</f>
        <v>1.0</v>
      </c>
      <c r="B1131" s="114" t="str" cm="1">
        <f t="array" ref="B1131">IFERROR(INDEX('03.Muestra'!$C$8:$C$42,SMALL(IF("Página Web"='03.Muestra'!$D$8:$D$42,ROW('03.Muestra'!$C$8:$C$42)-MIN(ROW('03.Muestra'!$D$8:$D$42))+1,""),ROW()-1120)),"")</f>
        <v>Home - PortCastelló</v>
      </c>
      <c r="C1131" s="114" t="str" cm="1">
        <f t="array" ref="C1131">IFERROR(INDEX('03.Muestra'!$F$8:$F$42,SMALL(IF("Página Web"='03.Muestra'!$D$8:$D$42,ROW('03.Muestra'!$F$8:$F$42)-MIN(ROW('03.Muestra'!$D$8:$D$42))+1,""),ROW()-1120)),"")</f>
        <v>https://www.portcastello.com/</v>
      </c>
      <c r="D1131" s="130" t="s">
        <v>37</v>
      </c>
      <c r="E1131" s="107" t="str">
        <f t="shared" si="58"/>
        <v/>
      </c>
      <c r="F1131" s="19"/>
      <c r="G1131" s="19"/>
      <c r="H1131" s="19"/>
      <c r="I1131" s="19"/>
      <c r="J1131" s="19"/>
      <c r="K1131" s="233"/>
      <c r="L1131" s="19"/>
      <c r="M1131" s="19"/>
      <c r="N1131" s="19"/>
      <c r="O1131" s="19"/>
      <c r="P1131" s="19"/>
      <c r="Q1131" s="19"/>
      <c r="R1131" s="19"/>
      <c r="S1131" s="19"/>
      <c r="T1131" s="19"/>
      <c r="U1131" s="19"/>
      <c r="V1131" s="19"/>
      <c r="W1131" s="19"/>
      <c r="X1131" s="19"/>
      <c r="Y1131" s="19"/>
    </row>
    <row r="1132" spans="1:25" ht="12" customHeight="1">
      <c r="A1132" s="219" t="n" cm="1">
        <f t="array" ref="A1132">IFERROR(INDEX('03.Muestra'!$B$8:$B$42,SMALL(IF("Página Web"='03.Muestra'!$D$8:$D$42,ROW('03.Muestra'!$B$8:$B$42)-MIN(ROW('03.Muestra'!$D$8:$D$42))+1,""),ROW()-1120)),"")</f>
        <v>1.0</v>
      </c>
      <c r="B1132" s="114" t="str" cm="1">
        <f t="array" ref="B1132">IFERROR(INDEX('03.Muestra'!$C$8:$C$42,SMALL(IF("Página Web"='03.Muestra'!$D$8:$D$42,ROW('03.Muestra'!$C$8:$C$42)-MIN(ROW('03.Muestra'!$D$8:$D$42))+1,""),ROW()-1120)),"")</f>
        <v>Home - PortCastelló</v>
      </c>
      <c r="C1132" s="114" t="str" cm="1">
        <f t="array" ref="C1132">IFERROR(INDEX('03.Muestra'!$F$8:$F$42,SMALL(IF("Página Web"='03.Muestra'!$D$8:$D$42,ROW('03.Muestra'!$F$8:$F$42)-MIN(ROW('03.Muestra'!$D$8:$D$42))+1,""),ROW()-1120)),"")</f>
        <v>https://www.portcastello.com/</v>
      </c>
      <c r="D1132" s="130" t="s">
        <v>37</v>
      </c>
      <c r="E1132" s="107" t="str">
        <f t="shared" si="58"/>
        <v/>
      </c>
      <c r="F1132" s="19"/>
      <c r="G1132" s="19"/>
      <c r="H1132" s="19"/>
      <c r="I1132" s="19"/>
      <c r="J1132" s="19"/>
      <c r="K1132" s="233"/>
      <c r="L1132" s="19"/>
      <c r="M1132" s="19"/>
      <c r="N1132" s="19"/>
      <c r="O1132" s="19"/>
      <c r="P1132" s="19"/>
      <c r="Q1132" s="19"/>
      <c r="R1132" s="19"/>
      <c r="S1132" s="19"/>
      <c r="T1132" s="19"/>
      <c r="U1132" s="19"/>
      <c r="V1132" s="19"/>
      <c r="W1132" s="19"/>
      <c r="X1132" s="19"/>
      <c r="Y1132" s="19"/>
    </row>
    <row r="1133" spans="1:25" ht="12" customHeight="1">
      <c r="A1133" s="219" t="n" cm="1">
        <f t="array" ref="A1133">IFERROR(INDEX('03.Muestra'!$B$8:$B$42,SMALL(IF("Página Web"='03.Muestra'!$D$8:$D$42,ROW('03.Muestra'!$B$8:$B$42)-MIN(ROW('03.Muestra'!$D$8:$D$42))+1,""),ROW()-1120)),"")</f>
        <v>1.0</v>
      </c>
      <c r="B1133" s="114" t="str" cm="1">
        <f t="array" ref="B1133">IFERROR(INDEX('03.Muestra'!$C$8:$C$42,SMALL(IF("Página Web"='03.Muestra'!$D$8:$D$42,ROW('03.Muestra'!$C$8:$C$42)-MIN(ROW('03.Muestra'!$D$8:$D$42))+1,""),ROW()-1120)),"")</f>
        <v>Home - PortCastelló</v>
      </c>
      <c r="C1133" s="114" t="str" cm="1">
        <f t="array" ref="C1133">IFERROR(INDEX('03.Muestra'!$F$8:$F$42,SMALL(IF("Página Web"='03.Muestra'!$D$8:$D$42,ROW('03.Muestra'!$F$8:$F$42)-MIN(ROW('03.Muestra'!$D$8:$D$42))+1,""),ROW()-1120)),"")</f>
        <v>https://www.portcastello.com/</v>
      </c>
      <c r="D1133" s="130" t="s">
        <v>37</v>
      </c>
      <c r="E1133" s="107" t="str">
        <f t="shared" si="58"/>
        <v/>
      </c>
      <c r="F1133" s="19"/>
      <c r="G1133" s="19"/>
      <c r="H1133" s="19"/>
      <c r="I1133" s="19"/>
      <c r="J1133" s="19"/>
      <c r="K1133" s="233"/>
      <c r="L1133" s="19"/>
      <c r="M1133" s="19"/>
      <c r="N1133" s="19"/>
      <c r="O1133" s="19"/>
      <c r="P1133" s="19"/>
      <c r="Q1133" s="19"/>
      <c r="R1133" s="19"/>
      <c r="S1133" s="19"/>
      <c r="T1133" s="19"/>
      <c r="U1133" s="19"/>
      <c r="V1133" s="19"/>
      <c r="W1133" s="19"/>
      <c r="X1133" s="19"/>
      <c r="Y1133" s="19"/>
    </row>
    <row r="1134" spans="1:25" ht="12" customHeight="1">
      <c r="A1134" s="219" t="n" cm="1">
        <f t="array" ref="A1134">IFERROR(INDEX('03.Muestra'!$B$8:$B$42,SMALL(IF("Página Web"='03.Muestra'!$D$8:$D$42,ROW('03.Muestra'!$B$8:$B$42)-MIN(ROW('03.Muestra'!$D$8:$D$42))+1,""),ROW()-1120)),"")</f>
        <v>1.0</v>
      </c>
      <c r="B1134" s="114" t="str" cm="1">
        <f t="array" ref="B1134">IFERROR(INDEX('03.Muestra'!$C$8:$C$42,SMALL(IF("Página Web"='03.Muestra'!$D$8:$D$42,ROW('03.Muestra'!$C$8:$C$42)-MIN(ROW('03.Muestra'!$D$8:$D$42))+1,""),ROW()-1120)),"")</f>
        <v>Home - PortCastelló</v>
      </c>
      <c r="C1134" s="114" t="str" cm="1">
        <f t="array" ref="C1134">IFERROR(INDEX('03.Muestra'!$F$8:$F$42,SMALL(IF("Página Web"='03.Muestra'!$D$8:$D$42,ROW('03.Muestra'!$F$8:$F$42)-MIN(ROW('03.Muestra'!$D$8:$D$42))+1,""),ROW()-1120)),"")</f>
        <v>https://www.portcastello.com/</v>
      </c>
      <c r="D1134" s="130" t="s">
        <v>37</v>
      </c>
      <c r="E1134" s="107" t="str">
        <f t="shared" si="58"/>
        <v/>
      </c>
      <c r="F1134" s="19"/>
      <c r="G1134" s="19"/>
      <c r="H1134" s="19"/>
      <c r="I1134" s="19"/>
      <c r="J1134" s="19"/>
      <c r="K1134" s="233"/>
      <c r="L1134" s="19"/>
      <c r="M1134" s="19"/>
      <c r="N1134" s="19"/>
      <c r="O1134" s="19"/>
      <c r="P1134" s="19"/>
      <c r="Q1134" s="19"/>
      <c r="R1134" s="19"/>
      <c r="S1134" s="19"/>
      <c r="T1134" s="19"/>
      <c r="U1134" s="19"/>
      <c r="V1134" s="19"/>
      <c r="W1134" s="19"/>
      <c r="X1134" s="19"/>
      <c r="Y1134" s="19"/>
    </row>
    <row r="1135" spans="1:25" ht="12" customHeight="1">
      <c r="A1135" s="219" t="n" cm="1">
        <f t="array" ref="A1135">IFERROR(INDEX('03.Muestra'!$B$8:$B$42,SMALL(IF("Página Web"='03.Muestra'!$D$8:$D$42,ROW('03.Muestra'!$B$8:$B$42)-MIN(ROW('03.Muestra'!$D$8:$D$42))+1,""),ROW()-1120)),"")</f>
        <v>1.0</v>
      </c>
      <c r="B1135" s="114" t="str" cm="1">
        <f t="array" ref="B1135">IFERROR(INDEX('03.Muestra'!$C$8:$C$42,SMALL(IF("Página Web"='03.Muestra'!$D$8:$D$42,ROW('03.Muestra'!$C$8:$C$42)-MIN(ROW('03.Muestra'!$D$8:$D$42))+1,""),ROW()-1120)),"")</f>
        <v>Home - PortCastelló</v>
      </c>
      <c r="C1135" s="114" t="str" cm="1">
        <f t="array" ref="C1135">IFERROR(INDEX('03.Muestra'!$F$8:$F$42,SMALL(IF("Página Web"='03.Muestra'!$D$8:$D$42,ROW('03.Muestra'!$F$8:$F$42)-MIN(ROW('03.Muestra'!$D$8:$D$42))+1,""),ROW()-1120)),"")</f>
        <v>https://www.portcastello.com/</v>
      </c>
      <c r="D1135" s="130" t="s">
        <v>37</v>
      </c>
      <c r="E1135" s="107" t="str">
        <f t="shared" si="58"/>
        <v/>
      </c>
      <c r="F1135" s="19"/>
      <c r="G1135" s="19"/>
      <c r="H1135" s="19"/>
      <c r="I1135" s="19"/>
      <c r="J1135" s="19"/>
      <c r="K1135" s="233"/>
      <c r="L1135" s="19"/>
      <c r="M1135" s="19"/>
      <c r="N1135" s="19"/>
      <c r="O1135" s="19"/>
      <c r="P1135" s="19"/>
      <c r="Q1135" s="19"/>
      <c r="R1135" s="19"/>
      <c r="S1135" s="19"/>
      <c r="T1135" s="19"/>
      <c r="U1135" s="19"/>
      <c r="V1135" s="19"/>
      <c r="W1135" s="19"/>
      <c r="X1135" s="19"/>
      <c r="Y1135" s="19"/>
    </row>
    <row r="1136" spans="1:25" ht="12" customHeight="1">
      <c r="A1136" s="219" t="n" cm="1">
        <f t="array" ref="A1136">IFERROR(INDEX('03.Muestra'!$B$8:$B$42,SMALL(IF("Página Web"='03.Muestra'!$D$8:$D$42,ROW('03.Muestra'!$B$8:$B$42)-MIN(ROW('03.Muestra'!$D$8:$D$42))+1,""),ROW()-1120)),"")</f>
        <v>1.0</v>
      </c>
      <c r="B1136" s="114" t="str" cm="1">
        <f t="array" ref="B1136">IFERROR(INDEX('03.Muestra'!$C$8:$C$42,SMALL(IF("Página Web"='03.Muestra'!$D$8:$D$42,ROW('03.Muestra'!$C$8:$C$42)-MIN(ROW('03.Muestra'!$D$8:$D$42))+1,""),ROW()-1120)),"")</f>
        <v>Home - PortCastelló</v>
      </c>
      <c r="C1136" s="114" t="str" cm="1">
        <f t="array" ref="C1136">IFERROR(INDEX('03.Muestra'!$F$8:$F$42,SMALL(IF("Página Web"='03.Muestra'!$D$8:$D$42,ROW('03.Muestra'!$F$8:$F$42)-MIN(ROW('03.Muestra'!$D$8:$D$42))+1,""),ROW()-1120)),"")</f>
        <v>https://www.portcastello.com/</v>
      </c>
      <c r="D1136" s="130" t="s">
        <v>37</v>
      </c>
      <c r="E1136" s="107" t="str">
        <f t="shared" si="58"/>
        <v/>
      </c>
      <c r="F1136" s="19"/>
      <c r="G1136" s="19"/>
      <c r="H1136" s="19"/>
      <c r="I1136" s="19"/>
      <c r="J1136" s="19"/>
      <c r="K1136" s="233"/>
      <c r="L1136" s="19"/>
      <c r="M1136" s="19"/>
      <c r="N1136" s="19"/>
      <c r="O1136" s="19"/>
      <c r="P1136" s="19"/>
      <c r="Q1136" s="19"/>
      <c r="R1136" s="19"/>
      <c r="S1136" s="19"/>
      <c r="T1136" s="19"/>
      <c r="U1136" s="19"/>
      <c r="V1136" s="19"/>
      <c r="W1136" s="19"/>
      <c r="X1136" s="19"/>
      <c r="Y1136" s="19"/>
    </row>
    <row r="1137" spans="1:25" ht="12" customHeight="1">
      <c r="A1137" s="219" t="n" cm="1">
        <f t="array" ref="A1137">IFERROR(INDEX('03.Muestra'!$B$8:$B$42,SMALL(IF("Página Web"='03.Muestra'!$D$8:$D$42,ROW('03.Muestra'!$B$8:$B$42)-MIN(ROW('03.Muestra'!$D$8:$D$42))+1,""),ROW()-1120)),"")</f>
        <v>1.0</v>
      </c>
      <c r="B1137" s="114" t="str" cm="1">
        <f t="array" ref="B1137">IFERROR(INDEX('03.Muestra'!$C$8:$C$42,SMALL(IF("Página Web"='03.Muestra'!$D$8:$D$42,ROW('03.Muestra'!$C$8:$C$42)-MIN(ROW('03.Muestra'!$D$8:$D$42))+1,""),ROW()-1120)),"")</f>
        <v>Home - PortCastelló</v>
      </c>
      <c r="C1137" s="114" t="str" cm="1">
        <f t="array" ref="C1137">IFERROR(INDEX('03.Muestra'!$F$8:$F$42,SMALL(IF("Página Web"='03.Muestra'!$D$8:$D$42,ROW('03.Muestra'!$F$8:$F$42)-MIN(ROW('03.Muestra'!$D$8:$D$42))+1,""),ROW()-1120)),"")</f>
        <v>https://www.portcastello.com/</v>
      </c>
      <c r="D1137" s="130" t="s">
        <v>37</v>
      </c>
      <c r="E1137" s="107" t="str">
        <f t="shared" si="58"/>
        <v/>
      </c>
      <c r="F1137" s="19"/>
      <c r="G1137" s="19"/>
      <c r="H1137" s="19"/>
      <c r="I1137" s="19"/>
      <c r="J1137" s="19"/>
      <c r="K1137" s="233"/>
      <c r="L1137" s="19"/>
      <c r="M1137" s="19"/>
      <c r="N1137" s="19"/>
      <c r="O1137" s="19"/>
      <c r="P1137" s="19"/>
      <c r="Q1137" s="19"/>
      <c r="R1137" s="19"/>
      <c r="S1137" s="19"/>
      <c r="T1137" s="19"/>
      <c r="U1137" s="19"/>
      <c r="V1137" s="19"/>
      <c r="W1137" s="19"/>
      <c r="X1137" s="19"/>
      <c r="Y1137" s="19"/>
    </row>
    <row r="1138" spans="1:25" ht="12" customHeight="1">
      <c r="A1138" s="219" t="n" cm="1">
        <f t="array" ref="A1138">IFERROR(INDEX('03.Muestra'!$B$8:$B$42,SMALL(IF("Página Web"='03.Muestra'!$D$8:$D$42,ROW('03.Muestra'!$B$8:$B$42)-MIN(ROW('03.Muestra'!$D$8:$D$42))+1,""),ROW()-1120)),"")</f>
        <v>1.0</v>
      </c>
      <c r="B1138" s="114" t="str" cm="1">
        <f t="array" ref="B1138">IFERROR(INDEX('03.Muestra'!$C$8:$C$42,SMALL(IF("Página Web"='03.Muestra'!$D$8:$D$42,ROW('03.Muestra'!$C$8:$C$42)-MIN(ROW('03.Muestra'!$D$8:$D$42))+1,""),ROW()-1120)),"")</f>
        <v>Home - PortCastelló</v>
      </c>
      <c r="C1138" s="114" t="str" cm="1">
        <f t="array" ref="C1138">IFERROR(INDEX('03.Muestra'!$F$8:$F$42,SMALL(IF("Página Web"='03.Muestra'!$D$8:$D$42,ROW('03.Muestra'!$F$8:$F$42)-MIN(ROW('03.Muestra'!$D$8:$D$42))+1,""),ROW()-1120)),"")</f>
        <v>https://www.portcastello.com/</v>
      </c>
      <c r="D1138" s="130" t="s">
        <v>37</v>
      </c>
      <c r="E1138" s="107" t="str">
        <f t="shared" si="58"/>
        <v/>
      </c>
      <c r="F1138" s="19"/>
      <c r="G1138" s="19"/>
      <c r="H1138" s="19"/>
      <c r="I1138" s="19"/>
      <c r="J1138" s="19"/>
      <c r="K1138" s="233"/>
      <c r="L1138" s="19"/>
      <c r="M1138" s="19"/>
      <c r="N1138" s="19"/>
      <c r="O1138" s="19"/>
      <c r="P1138" s="19"/>
      <c r="Q1138" s="19"/>
      <c r="R1138" s="19"/>
      <c r="S1138" s="19"/>
      <c r="T1138" s="19"/>
      <c r="U1138" s="19"/>
      <c r="V1138" s="19"/>
      <c r="W1138" s="19"/>
      <c r="X1138" s="19"/>
      <c r="Y1138" s="19"/>
    </row>
    <row r="1139" spans="1:25" ht="12" customHeight="1">
      <c r="A1139" s="219" t="n" cm="1">
        <f t="array" ref="A1139">IFERROR(INDEX('03.Muestra'!$B$8:$B$42,SMALL(IF("Página Web"='03.Muestra'!$D$8:$D$42,ROW('03.Muestra'!$B$8:$B$42)-MIN(ROW('03.Muestra'!$D$8:$D$42))+1,""),ROW()-1120)),"")</f>
        <v>1.0</v>
      </c>
      <c r="B1139" s="114" t="str" cm="1">
        <f t="array" ref="B1139">IFERROR(INDEX('03.Muestra'!$C$8:$C$42,SMALL(IF("Página Web"='03.Muestra'!$D$8:$D$42,ROW('03.Muestra'!$C$8:$C$42)-MIN(ROW('03.Muestra'!$D$8:$D$42))+1,""),ROW()-1120)),"")</f>
        <v>Home - PortCastelló</v>
      </c>
      <c r="C1139" s="114" t="str" cm="1">
        <f t="array" ref="C1139">IFERROR(INDEX('03.Muestra'!$F$8:$F$42,SMALL(IF("Página Web"='03.Muestra'!$D$8:$D$42,ROW('03.Muestra'!$F$8:$F$42)-MIN(ROW('03.Muestra'!$D$8:$D$42))+1,""),ROW()-1120)),"")</f>
        <v>https://www.portcastello.com/</v>
      </c>
      <c r="D1139" s="130" t="s">
        <v>37</v>
      </c>
      <c r="E1139" s="107" t="str">
        <f t="shared" si="58"/>
        <v/>
      </c>
      <c r="F1139" s="19"/>
      <c r="G1139" s="19"/>
      <c r="H1139" s="19"/>
      <c r="I1139" s="19"/>
      <c r="J1139" s="19"/>
      <c r="K1139" s="233"/>
      <c r="L1139" s="19"/>
      <c r="M1139" s="19"/>
      <c r="N1139" s="19"/>
      <c r="O1139" s="19"/>
      <c r="P1139" s="19"/>
      <c r="Q1139" s="19"/>
      <c r="R1139" s="19"/>
      <c r="S1139" s="19"/>
      <c r="T1139" s="19"/>
      <c r="U1139" s="19"/>
      <c r="V1139" s="19"/>
      <c r="W1139" s="19"/>
      <c r="X1139" s="19"/>
      <c r="Y1139" s="19"/>
    </row>
    <row r="1140" spans="1:25" ht="12" customHeight="1">
      <c r="A1140" s="219" t="n" cm="1">
        <f t="array" ref="A1140">IFERROR(INDEX('03.Muestra'!$B$8:$B$42,SMALL(IF("Página Web"='03.Muestra'!$D$8:$D$42,ROW('03.Muestra'!$B$8:$B$42)-MIN(ROW('03.Muestra'!$D$8:$D$42))+1,""),ROW()-1120)),"")</f>
        <v>1.0</v>
      </c>
      <c r="B1140" s="114" t="str" cm="1">
        <f t="array" ref="B1140">IFERROR(INDEX('03.Muestra'!$C$8:$C$42,SMALL(IF("Página Web"='03.Muestra'!$D$8:$D$42,ROW('03.Muestra'!$C$8:$C$42)-MIN(ROW('03.Muestra'!$D$8:$D$42))+1,""),ROW()-1120)),"")</f>
        <v>Home - PortCastelló</v>
      </c>
      <c r="C1140" s="114" t="str" cm="1">
        <f t="array" ref="C1140">IFERROR(INDEX('03.Muestra'!$F$8:$F$42,SMALL(IF("Página Web"='03.Muestra'!$D$8:$D$42,ROW('03.Muestra'!$F$8:$F$42)-MIN(ROW('03.Muestra'!$D$8:$D$42))+1,""),ROW()-1120)),"")</f>
        <v>https://www.portcastello.com/</v>
      </c>
      <c r="D1140" s="130" t="s">
        <v>37</v>
      </c>
      <c r="E1140" s="107" t="str">
        <f t="shared" si="58"/>
        <v/>
      </c>
      <c r="F1140" s="19"/>
      <c r="G1140" s="19"/>
      <c r="H1140" s="19"/>
      <c r="I1140" s="19"/>
      <c r="J1140" s="19"/>
      <c r="K1140" s="233"/>
      <c r="L1140" s="19"/>
      <c r="M1140" s="19"/>
      <c r="N1140" s="19"/>
      <c r="O1140" s="19"/>
      <c r="P1140" s="19"/>
      <c r="Q1140" s="19"/>
      <c r="R1140" s="19"/>
      <c r="S1140" s="19"/>
      <c r="T1140" s="19"/>
      <c r="U1140" s="19"/>
      <c r="V1140" s="19"/>
      <c r="W1140" s="19"/>
      <c r="X1140" s="19"/>
      <c r="Y1140" s="19"/>
    </row>
    <row r="1141" spans="1:25" ht="12" customHeight="1">
      <c r="A1141" s="219" t="n" cm="1">
        <f t="array" ref="A1141">IFERROR(INDEX('03.Muestra'!$B$8:$B$42,SMALL(IF("Página Web"='03.Muestra'!$D$8:$D$42,ROW('03.Muestra'!$B$8:$B$42)-MIN(ROW('03.Muestra'!$D$8:$D$42))+1,""),ROW()-1120)),"")</f>
        <v>1.0</v>
      </c>
      <c r="B1141" s="114" t="str" cm="1">
        <f t="array" ref="B1141">IFERROR(INDEX('03.Muestra'!$C$8:$C$42,SMALL(IF("Página Web"='03.Muestra'!$D$8:$D$42,ROW('03.Muestra'!$C$8:$C$42)-MIN(ROW('03.Muestra'!$D$8:$D$42))+1,""),ROW()-1120)),"")</f>
        <v>Home - PortCastelló</v>
      </c>
      <c r="C1141" s="114" t="str" cm="1">
        <f t="array" ref="C1141">IFERROR(INDEX('03.Muestra'!$F$8:$F$42,SMALL(IF("Página Web"='03.Muestra'!$D$8:$D$42,ROW('03.Muestra'!$F$8:$F$42)-MIN(ROW('03.Muestra'!$D$8:$D$42))+1,""),ROW()-1120)),"")</f>
        <v>https://www.portcastello.com/</v>
      </c>
      <c r="D1141" s="130" t="s">
        <v>37</v>
      </c>
      <c r="E1141" s="107" t="str">
        <f t="shared" si="58"/>
        <v/>
      </c>
      <c r="F1141" s="19"/>
      <c r="G1141" s="19"/>
      <c r="H1141" s="19"/>
      <c r="I1141" s="19"/>
      <c r="J1141" s="19"/>
      <c r="K1141" s="233"/>
      <c r="L1141" s="19"/>
      <c r="M1141" s="19"/>
      <c r="N1141" s="19"/>
      <c r="O1141" s="19"/>
      <c r="P1141" s="19"/>
      <c r="Q1141" s="19"/>
      <c r="R1141" s="19"/>
      <c r="S1141" s="19"/>
      <c r="T1141" s="19"/>
      <c r="U1141" s="19"/>
      <c r="V1141" s="19"/>
      <c r="W1141" s="19"/>
      <c r="X1141" s="19"/>
      <c r="Y1141" s="19"/>
    </row>
    <row r="1142" spans="1:25" ht="12" customHeight="1">
      <c r="A1142" s="219" t="n" cm="1">
        <f t="array" ref="A1142">IFERROR(INDEX('03.Muestra'!$B$8:$B$42,SMALL(IF("Página Web"='03.Muestra'!$D$8:$D$42,ROW('03.Muestra'!$B$8:$B$42)-MIN(ROW('03.Muestra'!$D$8:$D$42))+1,""),ROW()-1120)),"")</f>
        <v>1.0</v>
      </c>
      <c r="B1142" s="114" t="str" cm="1">
        <f t="array" ref="B1142">IFERROR(INDEX('03.Muestra'!$C$8:$C$42,SMALL(IF("Página Web"='03.Muestra'!$D$8:$D$42,ROW('03.Muestra'!$C$8:$C$42)-MIN(ROW('03.Muestra'!$D$8:$D$42))+1,""),ROW()-1120)),"")</f>
        <v>Home - PortCastelló</v>
      </c>
      <c r="C1142" s="114" t="str" cm="1">
        <f t="array" ref="C1142">IFERROR(INDEX('03.Muestra'!$F$8:$F$42,SMALL(IF("Página Web"='03.Muestra'!$D$8:$D$42,ROW('03.Muestra'!$F$8:$F$42)-MIN(ROW('03.Muestra'!$D$8:$D$42))+1,""),ROW()-1120)),"")</f>
        <v>https://www.portcastello.com/</v>
      </c>
      <c r="D1142" s="130" t="s">
        <v>37</v>
      </c>
      <c r="E1142" s="107" t="str">
        <f t="shared" si="58"/>
        <v/>
      </c>
      <c r="F1142" s="19"/>
      <c r="G1142" s="19"/>
      <c r="H1142" s="19"/>
      <c r="I1142" s="19"/>
      <c r="J1142" s="19"/>
      <c r="K1142" s="233"/>
      <c r="L1142" s="19"/>
      <c r="M1142" s="19"/>
      <c r="N1142" s="19"/>
      <c r="O1142" s="19"/>
      <c r="P1142" s="19"/>
      <c r="Q1142" s="19"/>
      <c r="R1142" s="19"/>
      <c r="S1142" s="19"/>
      <c r="T1142" s="19"/>
      <c r="U1142" s="19"/>
      <c r="V1142" s="19"/>
      <c r="W1142" s="19"/>
      <c r="X1142" s="19"/>
      <c r="Y1142" s="19"/>
    </row>
    <row r="1143" spans="1:25" ht="12" customHeight="1">
      <c r="A1143" s="219" t="n" cm="1">
        <f t="array" ref="A1143">IFERROR(INDEX('03.Muestra'!$B$8:$B$42,SMALL(IF("Página Web"='03.Muestra'!$D$8:$D$42,ROW('03.Muestra'!$B$8:$B$42)-MIN(ROW('03.Muestra'!$D$8:$D$42))+1,""),ROW()-1120)),"")</f>
        <v>1.0</v>
      </c>
      <c r="B1143" s="114" t="str" cm="1">
        <f t="array" ref="B1143">IFERROR(INDEX('03.Muestra'!$C$8:$C$42,SMALL(IF("Página Web"='03.Muestra'!$D$8:$D$42,ROW('03.Muestra'!$C$8:$C$42)-MIN(ROW('03.Muestra'!$D$8:$D$42))+1,""),ROW()-1120)),"")</f>
        <v>Home - PortCastelló</v>
      </c>
      <c r="C1143" s="114" t="str" cm="1">
        <f t="array" ref="C1143">IFERROR(INDEX('03.Muestra'!$F$8:$F$42,SMALL(IF("Página Web"='03.Muestra'!$D$8:$D$42,ROW('03.Muestra'!$F$8:$F$42)-MIN(ROW('03.Muestra'!$D$8:$D$42))+1,""),ROW()-1120)),"")</f>
        <v>https://www.portcastello.com/</v>
      </c>
      <c r="D1143" s="130" t="s">
        <v>37</v>
      </c>
      <c r="E1143" s="107" t="str">
        <f t="shared" si="58"/>
        <v/>
      </c>
      <c r="F1143" s="19"/>
      <c r="G1143" s="19"/>
      <c r="H1143" s="19"/>
      <c r="I1143" s="19"/>
      <c r="J1143" s="19"/>
      <c r="K1143" s="233"/>
      <c r="L1143" s="19"/>
      <c r="M1143" s="19"/>
      <c r="N1143" s="19"/>
      <c r="O1143" s="19"/>
      <c r="P1143" s="19"/>
      <c r="Q1143" s="19"/>
      <c r="R1143" s="19"/>
      <c r="S1143" s="19"/>
      <c r="T1143" s="19"/>
      <c r="U1143" s="19"/>
      <c r="V1143" s="19"/>
      <c r="W1143" s="19"/>
      <c r="X1143" s="19"/>
      <c r="Y1143" s="19"/>
    </row>
    <row r="1144" spans="1:25" ht="12" customHeight="1">
      <c r="A1144" s="219" t="n" cm="1">
        <f t="array" ref="A1144">IFERROR(INDEX('03.Muestra'!$B$8:$B$42,SMALL(IF("Página Web"='03.Muestra'!$D$8:$D$42,ROW('03.Muestra'!$B$8:$B$42)-MIN(ROW('03.Muestra'!$D$8:$D$42))+1,""),ROW()-1120)),"")</f>
        <v>1.0</v>
      </c>
      <c r="B1144" s="114" t="str" cm="1">
        <f t="array" ref="B1144">IFERROR(INDEX('03.Muestra'!$C$8:$C$42,SMALL(IF("Página Web"='03.Muestra'!$D$8:$D$42,ROW('03.Muestra'!$C$8:$C$42)-MIN(ROW('03.Muestra'!$D$8:$D$42))+1,""),ROW()-1120)),"")</f>
        <v>Home - PortCastelló</v>
      </c>
      <c r="C1144" s="114" t="str" cm="1">
        <f t="array" ref="C1144">IFERROR(INDEX('03.Muestra'!$F$8:$F$42,SMALL(IF("Página Web"='03.Muestra'!$D$8:$D$42,ROW('03.Muestra'!$F$8:$F$42)-MIN(ROW('03.Muestra'!$D$8:$D$42))+1,""),ROW()-1120)),"")</f>
        <v>https://www.portcastello.com/</v>
      </c>
      <c r="D1144" s="130" t="s">
        <v>37</v>
      </c>
      <c r="E1144" s="107" t="str">
        <f t="shared" si="58"/>
        <v/>
      </c>
      <c r="F1144" s="19"/>
      <c r="G1144" s="19"/>
      <c r="H1144" s="19"/>
      <c r="I1144" s="19"/>
      <c r="J1144" s="19"/>
      <c r="K1144" s="233"/>
      <c r="L1144" s="19"/>
      <c r="M1144" s="19"/>
      <c r="N1144" s="19"/>
      <c r="O1144" s="19"/>
      <c r="P1144" s="19"/>
      <c r="Q1144" s="19"/>
      <c r="R1144" s="19"/>
      <c r="S1144" s="19"/>
      <c r="T1144" s="19"/>
      <c r="U1144" s="19"/>
      <c r="V1144" s="19"/>
      <c r="W1144" s="19"/>
      <c r="X1144" s="19"/>
      <c r="Y1144" s="19"/>
    </row>
    <row r="1145" spans="1:25" ht="12" customHeight="1">
      <c r="A1145" s="219" t="n" cm="1">
        <f t="array" ref="A1145">IFERROR(INDEX('03.Muestra'!$B$8:$B$42,SMALL(IF("Página Web"='03.Muestra'!$D$8:$D$42,ROW('03.Muestra'!$B$8:$B$42)-MIN(ROW('03.Muestra'!$D$8:$D$42))+1,""),ROW()-1120)),"")</f>
        <v>1.0</v>
      </c>
      <c r="B1145" s="114" t="str" cm="1">
        <f t="array" ref="B1145">IFERROR(INDEX('03.Muestra'!$C$8:$C$42,SMALL(IF("Página Web"='03.Muestra'!$D$8:$D$42,ROW('03.Muestra'!$C$8:$C$42)-MIN(ROW('03.Muestra'!$D$8:$D$42))+1,""),ROW()-1120)),"")</f>
        <v>Home - PortCastelló</v>
      </c>
      <c r="C1145" s="114" t="str" cm="1">
        <f t="array" ref="C1145">IFERROR(INDEX('03.Muestra'!$F$8:$F$42,SMALL(IF("Página Web"='03.Muestra'!$D$8:$D$42,ROW('03.Muestra'!$F$8:$F$42)-MIN(ROW('03.Muestra'!$D$8:$D$42))+1,""),ROW()-1120)),"")</f>
        <v>https://www.portcastello.com/</v>
      </c>
      <c r="D1145" s="130" t="s">
        <v>37</v>
      </c>
      <c r="E1145" s="107" t="str">
        <f t="shared" si="58"/>
        <v/>
      </c>
      <c r="F1145" s="19"/>
      <c r="G1145" s="19"/>
      <c r="H1145" s="19"/>
      <c r="I1145" s="19"/>
      <c r="J1145" s="19"/>
      <c r="K1145" s="233"/>
      <c r="L1145" s="19"/>
      <c r="M1145" s="19"/>
      <c r="N1145" s="19"/>
      <c r="O1145" s="19"/>
      <c r="P1145" s="19"/>
      <c r="Q1145" s="19"/>
      <c r="R1145" s="19"/>
      <c r="S1145" s="19"/>
      <c r="T1145" s="19"/>
      <c r="U1145" s="19"/>
      <c r="V1145" s="19"/>
      <c r="W1145" s="19"/>
      <c r="X1145" s="19"/>
      <c r="Y1145" s="19"/>
    </row>
    <row r="1146" spans="1:25" ht="12" customHeight="1">
      <c r="A1146" s="219" t="n" cm="1">
        <f t="array" ref="A1146">IFERROR(INDEX('03.Muestra'!$B$8:$B$42,SMALL(IF("Página Web"='03.Muestra'!$D$8:$D$42,ROW('03.Muestra'!$B$8:$B$42)-MIN(ROW('03.Muestra'!$D$8:$D$42))+1,""),ROW()-1120)),"")</f>
        <v>1.0</v>
      </c>
      <c r="B1146" s="114" t="str" cm="1">
        <f t="array" ref="B1146">IFERROR(INDEX('03.Muestra'!$C$8:$C$42,SMALL(IF("Página Web"='03.Muestra'!$D$8:$D$42,ROW('03.Muestra'!$C$8:$C$42)-MIN(ROW('03.Muestra'!$D$8:$D$42))+1,""),ROW()-1120)),"")</f>
        <v>Home - PortCastelló</v>
      </c>
      <c r="C1146" s="114" t="str" cm="1">
        <f t="array" ref="C1146">IFERROR(INDEX('03.Muestra'!$F$8:$F$42,SMALL(IF("Página Web"='03.Muestra'!$D$8:$D$42,ROW('03.Muestra'!$F$8:$F$42)-MIN(ROW('03.Muestra'!$D$8:$D$42))+1,""),ROW()-1120)),"")</f>
        <v>https://www.portcastello.com/</v>
      </c>
      <c r="D1146" s="130" t="s">
        <v>37</v>
      </c>
      <c r="E1146" s="107" t="str">
        <f t="shared" si="58"/>
        <v/>
      </c>
      <c r="F1146" s="19"/>
      <c r="G1146" s="19"/>
      <c r="H1146" s="19"/>
      <c r="I1146" s="19"/>
      <c r="J1146" s="19"/>
      <c r="K1146" s="233"/>
      <c r="L1146" s="19"/>
      <c r="M1146" s="19"/>
      <c r="N1146" s="19"/>
      <c r="O1146" s="19"/>
      <c r="P1146" s="19"/>
      <c r="Q1146" s="19"/>
      <c r="R1146" s="19"/>
      <c r="S1146" s="19"/>
      <c r="T1146" s="19"/>
      <c r="U1146" s="19"/>
      <c r="V1146" s="19"/>
      <c r="W1146" s="19"/>
      <c r="X1146" s="19"/>
      <c r="Y1146" s="19"/>
    </row>
    <row r="1147" spans="1:25" ht="12" customHeight="1">
      <c r="A1147" s="219" t="n" cm="1">
        <f t="array" ref="A1147">IFERROR(INDEX('03.Muestra'!$B$8:$B$42,SMALL(IF("Página Web"='03.Muestra'!$D$8:$D$42,ROW('03.Muestra'!$B$8:$B$42)-MIN(ROW('03.Muestra'!$D$8:$D$42))+1,""),ROW()-1120)),"")</f>
        <v>1.0</v>
      </c>
      <c r="B1147" s="114" t="str" cm="1">
        <f t="array" ref="B1147">IFERROR(INDEX('03.Muestra'!$C$8:$C$42,SMALL(IF("Página Web"='03.Muestra'!$D$8:$D$42,ROW('03.Muestra'!$C$8:$C$42)-MIN(ROW('03.Muestra'!$D$8:$D$42))+1,""),ROW()-1120)),"")</f>
        <v>Home - PortCastelló</v>
      </c>
      <c r="C1147" s="114" t="str" cm="1">
        <f t="array" ref="C1147">IFERROR(INDEX('03.Muestra'!$F$8:$F$42,SMALL(IF("Página Web"='03.Muestra'!$D$8:$D$42,ROW('03.Muestra'!$F$8:$F$42)-MIN(ROW('03.Muestra'!$D$8:$D$42))+1,""),ROW()-1120)),"")</f>
        <v>https://www.portcastello.com/</v>
      </c>
      <c r="D1147" s="130" t="s">
        <v>37</v>
      </c>
      <c r="E1147" s="107" t="str">
        <f t="shared" si="58"/>
        <v/>
      </c>
      <c r="F1147" s="19"/>
      <c r="G1147" s="19"/>
      <c r="H1147" s="19"/>
      <c r="I1147" s="19"/>
      <c r="J1147" s="19"/>
      <c r="K1147" s="233"/>
      <c r="L1147" s="19"/>
      <c r="M1147" s="19"/>
      <c r="N1147" s="19"/>
      <c r="O1147" s="19"/>
      <c r="P1147" s="19"/>
      <c r="Q1147" s="19"/>
      <c r="R1147" s="19"/>
      <c r="S1147" s="19"/>
      <c r="T1147" s="19"/>
      <c r="U1147" s="19"/>
      <c r="V1147" s="19"/>
      <c r="W1147" s="19"/>
      <c r="X1147" s="19"/>
      <c r="Y1147" s="19"/>
    </row>
    <row r="1148" spans="1:25" ht="12" customHeight="1">
      <c r="A1148" s="219" t="n" cm="1">
        <f t="array" ref="A1148">IFERROR(INDEX('03.Muestra'!$B$8:$B$42,SMALL(IF("Página Web"='03.Muestra'!$D$8:$D$42,ROW('03.Muestra'!$B$8:$B$42)-MIN(ROW('03.Muestra'!$D$8:$D$42))+1,""),ROW()-1120)),"")</f>
        <v>1.0</v>
      </c>
      <c r="B1148" s="114" t="str" cm="1">
        <f t="array" ref="B1148">IFERROR(INDEX('03.Muestra'!$C$8:$C$42,SMALL(IF("Página Web"='03.Muestra'!$D$8:$D$42,ROW('03.Muestra'!$C$8:$C$42)-MIN(ROW('03.Muestra'!$D$8:$D$42))+1,""),ROW()-1120)),"")</f>
        <v>Home - PortCastelló</v>
      </c>
      <c r="C1148" s="114" t="str" cm="1">
        <f t="array" ref="C1148">IFERROR(INDEX('03.Muestra'!$F$8:$F$42,SMALL(IF("Página Web"='03.Muestra'!$D$8:$D$42,ROW('03.Muestra'!$F$8:$F$42)-MIN(ROW('03.Muestra'!$D$8:$D$42))+1,""),ROW()-1120)),"")</f>
        <v>https://www.portcastello.com/</v>
      </c>
      <c r="D1148" s="130" t="s">
        <v>37</v>
      </c>
      <c r="E1148" s="107" t="str">
        <f t="shared" si="58"/>
        <v/>
      </c>
      <c r="G1148" s="19"/>
      <c r="H1148" s="19"/>
      <c r="I1148" s="19"/>
      <c r="J1148" s="19"/>
      <c r="K1148" s="233"/>
      <c r="L1148" s="19"/>
      <c r="M1148" s="19"/>
      <c r="N1148" s="19"/>
      <c r="O1148" s="19"/>
      <c r="P1148" s="19"/>
      <c r="Q1148" s="19"/>
      <c r="R1148" s="19"/>
      <c r="S1148" s="19"/>
      <c r="T1148" s="19"/>
      <c r="U1148" s="19"/>
      <c r="V1148" s="19"/>
      <c r="W1148" s="19"/>
      <c r="X1148" s="19"/>
      <c r="Y1148" s="19"/>
    </row>
    <row r="1149" spans="1:25" ht="12" customHeight="1">
      <c r="A1149" s="219" t="n" cm="1">
        <f t="array" ref="A1149">IFERROR(INDEX('03.Muestra'!$B$8:$B$42,SMALL(IF("Página Web"='03.Muestra'!$D$8:$D$42,ROW('03.Muestra'!$B$8:$B$42)-MIN(ROW('03.Muestra'!$D$8:$D$42))+1,""),ROW()-1120)),"")</f>
        <v>1.0</v>
      </c>
      <c r="B1149" s="114" t="str" cm="1">
        <f t="array" ref="B1149">IFERROR(INDEX('03.Muestra'!$C$8:$C$42,SMALL(IF("Página Web"='03.Muestra'!$D$8:$D$42,ROW('03.Muestra'!$C$8:$C$42)-MIN(ROW('03.Muestra'!$D$8:$D$42))+1,""),ROW()-1120)),"")</f>
        <v>Home - PortCastelló</v>
      </c>
      <c r="C1149" s="114" t="str" cm="1">
        <f t="array" ref="C1149">IFERROR(INDEX('03.Muestra'!$F$8:$F$42,SMALL(IF("Página Web"='03.Muestra'!$D$8:$D$42,ROW('03.Muestra'!$F$8:$F$42)-MIN(ROW('03.Muestra'!$D$8:$D$42))+1,""),ROW()-1120)),"")</f>
        <v>https://www.portcastello.com/</v>
      </c>
      <c r="D1149" s="130" t="s">
        <v>37</v>
      </c>
      <c r="E1149" s="107" t="str">
        <f t="shared" si="58"/>
        <v/>
      </c>
      <c r="F1149" s="124"/>
      <c r="G1149" s="19"/>
      <c r="H1149" s="19"/>
      <c r="I1149" s="19"/>
      <c r="J1149" s="19"/>
      <c r="K1149" s="233"/>
      <c r="L1149" s="19"/>
      <c r="M1149" s="19"/>
      <c r="N1149" s="19"/>
      <c r="O1149" s="19"/>
      <c r="P1149" s="19"/>
      <c r="Q1149" s="19"/>
      <c r="R1149" s="19"/>
      <c r="S1149" s="19"/>
      <c r="T1149" s="19"/>
      <c r="U1149" s="19"/>
      <c r="V1149" s="19"/>
      <c r="W1149" s="19"/>
      <c r="X1149" s="19"/>
      <c r="Y1149" s="19"/>
    </row>
    <row r="1150" spans="1:25" ht="12" customHeight="1">
      <c r="A1150" s="219" t="n" cm="1">
        <f t="array" ref="A1150">IFERROR(INDEX('03.Muestra'!$B$8:$B$42,SMALL(IF("Página Web"='03.Muestra'!$D$8:$D$42,ROW('03.Muestra'!$B$8:$B$42)-MIN(ROW('03.Muestra'!$D$8:$D$42))+1,""),ROW()-1120)),"")</f>
        <v>1.0</v>
      </c>
      <c r="B1150" s="114" t="str" cm="1">
        <f t="array" ref="B1150">IFERROR(INDEX('03.Muestra'!$C$8:$C$42,SMALL(IF("Página Web"='03.Muestra'!$D$8:$D$42,ROW('03.Muestra'!$C$8:$C$42)-MIN(ROW('03.Muestra'!$D$8:$D$42))+1,""),ROW()-1120)),"")</f>
        <v>Home - PortCastelló</v>
      </c>
      <c r="C1150" s="114" t="str" cm="1">
        <f t="array" ref="C1150">IFERROR(INDEX('03.Muestra'!$F$8:$F$42,SMALL(IF("Página Web"='03.Muestra'!$D$8:$D$42,ROW('03.Muestra'!$F$8:$F$42)-MIN(ROW('03.Muestra'!$D$8:$D$42))+1,""),ROW()-1120)),"")</f>
        <v>https://www.portcastello.com/</v>
      </c>
      <c r="D1150" s="130" t="s">
        <v>37</v>
      </c>
      <c r="E1150" s="107" t="str">
        <f t="shared" si="58"/>
        <v/>
      </c>
      <c r="F1150" s="124"/>
      <c r="G1150" s="19"/>
      <c r="H1150" s="19"/>
      <c r="I1150" s="19"/>
      <c r="J1150" s="19"/>
      <c r="K1150" s="233"/>
      <c r="L1150" s="19"/>
      <c r="M1150" s="19"/>
      <c r="N1150" s="19"/>
      <c r="O1150" s="19"/>
      <c r="P1150" s="19"/>
      <c r="Q1150" s="19"/>
      <c r="R1150" s="19"/>
      <c r="S1150" s="19"/>
      <c r="T1150" s="19"/>
      <c r="U1150" s="19"/>
      <c r="V1150" s="19"/>
      <c r="W1150" s="19"/>
      <c r="X1150" s="19"/>
      <c r="Y1150" s="19"/>
    </row>
    <row r="1151" spans="1:25" ht="12" customHeight="1">
      <c r="A1151" s="219" t="n" cm="1">
        <f t="array" ref="A1151">IFERROR(INDEX('03.Muestra'!$B$8:$B$42,SMALL(IF("Página Web"='03.Muestra'!$D$8:$D$42,ROW('03.Muestra'!$B$8:$B$42)-MIN(ROW('03.Muestra'!$D$8:$D$42))+1,""),ROW()-1120)),"")</f>
        <v>1.0</v>
      </c>
      <c r="B1151" s="114" t="str" cm="1">
        <f t="array" ref="B1151">IFERROR(INDEX('03.Muestra'!$C$8:$C$42,SMALL(IF("Página Web"='03.Muestra'!$D$8:$D$42,ROW('03.Muestra'!$C$8:$C$42)-MIN(ROW('03.Muestra'!$D$8:$D$42))+1,""),ROW()-1120)),"")</f>
        <v>Home - PortCastelló</v>
      </c>
      <c r="C1151" s="114" t="str" cm="1">
        <f t="array" ref="C1151">IFERROR(INDEX('03.Muestra'!$F$8:$F$42,SMALL(IF("Página Web"='03.Muestra'!$D$8:$D$42,ROW('03.Muestra'!$F$8:$F$42)-MIN(ROW('03.Muestra'!$D$8:$D$42))+1,""),ROW()-1120)),"")</f>
        <v>https://www.portcastello.com/</v>
      </c>
      <c r="D1151" s="130" t="s">
        <v>37</v>
      </c>
      <c r="E1151" s="107" t="str">
        <f t="shared" si="58"/>
        <v/>
      </c>
      <c r="F1151" s="124"/>
      <c r="G1151" s="19"/>
      <c r="H1151" s="19"/>
      <c r="I1151" s="19"/>
      <c r="J1151" s="19"/>
      <c r="K1151" s="233"/>
      <c r="L1151" s="19"/>
      <c r="M1151" s="19"/>
      <c r="N1151" s="19"/>
      <c r="O1151" s="19"/>
      <c r="P1151" s="19"/>
      <c r="Q1151" s="19"/>
      <c r="R1151" s="19"/>
      <c r="S1151" s="19"/>
      <c r="T1151" s="19"/>
      <c r="U1151" s="19"/>
      <c r="V1151" s="19"/>
      <c r="W1151" s="19"/>
      <c r="X1151" s="19"/>
      <c r="Y1151" s="19"/>
    </row>
    <row r="1152" spans="1:25" ht="12" customHeight="1">
      <c r="A1152" s="219" t="n" cm="1">
        <f t="array" ref="A1152">IFERROR(INDEX('03.Muestra'!$B$8:$B$42,SMALL(IF("Página Web"='03.Muestra'!$D$8:$D$42,ROW('03.Muestra'!$B$8:$B$42)-MIN(ROW('03.Muestra'!$D$8:$D$42))+1,""),ROW()-1120)),"")</f>
        <v>1.0</v>
      </c>
      <c r="B1152" s="114" t="str" cm="1">
        <f t="array" ref="B1152">IFERROR(INDEX('03.Muestra'!$C$8:$C$42,SMALL(IF("Página Web"='03.Muestra'!$D$8:$D$42,ROW('03.Muestra'!$C$8:$C$42)-MIN(ROW('03.Muestra'!$D$8:$D$42))+1,""),ROW()-1120)),"")</f>
        <v>Home - PortCastelló</v>
      </c>
      <c r="C1152" s="114" t="str" cm="1">
        <f t="array" ref="C1152">IFERROR(INDEX('03.Muestra'!$F$8:$F$42,SMALL(IF("Página Web"='03.Muestra'!$D$8:$D$42,ROW('03.Muestra'!$F$8:$F$42)-MIN(ROW('03.Muestra'!$D$8:$D$42))+1,""),ROW()-1120)),"")</f>
        <v>https://www.portcastello.com/</v>
      </c>
      <c r="D1152" s="130" t="s">
        <v>37</v>
      </c>
      <c r="E1152" s="107" t="str">
        <f t="shared" si="58"/>
        <v/>
      </c>
      <c r="F1152" s="124"/>
      <c r="G1152" s="19"/>
      <c r="H1152" s="19"/>
      <c r="I1152" s="19"/>
      <c r="J1152" s="19"/>
      <c r="K1152" s="233"/>
      <c r="L1152" s="19"/>
      <c r="M1152" s="19"/>
      <c r="N1152" s="19"/>
      <c r="O1152" s="19"/>
      <c r="P1152" s="19"/>
      <c r="Q1152" s="19"/>
      <c r="R1152" s="19"/>
      <c r="S1152" s="19"/>
      <c r="T1152" s="19"/>
      <c r="U1152" s="19"/>
      <c r="V1152" s="19"/>
      <c r="W1152" s="19"/>
      <c r="X1152" s="19"/>
      <c r="Y1152" s="19"/>
    </row>
    <row r="1153" spans="1:25" ht="12" customHeight="1">
      <c r="A1153" s="219" t="n" cm="1">
        <f t="array" ref="A1153">IFERROR(INDEX('03.Muestra'!$B$8:$B$42,SMALL(IF("Página Web"='03.Muestra'!$D$8:$D$42,ROW('03.Muestra'!$B$8:$B$42)-MIN(ROW('03.Muestra'!$D$8:$D$42))+1,""),ROW()-1120)),"")</f>
        <v>1.0</v>
      </c>
      <c r="B1153" s="114" t="str" cm="1">
        <f t="array" ref="B1153">IFERROR(INDEX('03.Muestra'!$C$8:$C$42,SMALL(IF("Página Web"='03.Muestra'!$D$8:$D$42,ROW('03.Muestra'!$C$8:$C$42)-MIN(ROW('03.Muestra'!$D$8:$D$42))+1,""),ROW()-1120)),"")</f>
        <v>Home - PortCastelló</v>
      </c>
      <c r="C1153" s="114" t="str" cm="1">
        <f t="array" ref="C1153">IFERROR(INDEX('03.Muestra'!$F$8:$F$42,SMALL(IF("Página Web"='03.Muestra'!$D$8:$D$42,ROW('03.Muestra'!$F$8:$F$42)-MIN(ROW('03.Muestra'!$D$8:$D$42))+1,""),ROW()-1120)),"")</f>
        <v>https://www.portcastello.com/</v>
      </c>
      <c r="D1153" s="130" t="s">
        <v>37</v>
      </c>
      <c r="E1153" s="107" t="str">
        <f t="shared" si="58"/>
        <v/>
      </c>
      <c r="F1153" s="124"/>
      <c r="G1153" s="19"/>
      <c r="H1153" s="19"/>
      <c r="I1153" s="19"/>
      <c r="J1153" s="19"/>
      <c r="K1153" s="233"/>
      <c r="L1153" s="19"/>
      <c r="M1153" s="19"/>
      <c r="N1153" s="19"/>
      <c r="O1153" s="19"/>
      <c r="P1153" s="19"/>
      <c r="Q1153" s="19"/>
      <c r="R1153" s="19"/>
      <c r="S1153" s="19"/>
      <c r="T1153" s="19"/>
      <c r="U1153" s="19"/>
      <c r="V1153" s="19"/>
      <c r="W1153" s="19"/>
      <c r="X1153" s="19"/>
      <c r="Y1153" s="19"/>
    </row>
    <row r="1154" spans="1:25" ht="12" customHeight="1">
      <c r="A1154" s="219" t="str" cm="1">
        <f t="array" ref="A1154">IFERROR(INDEX('03.Muestra'!$B$8:$B$42,SMALL(IF("Página Web"='03.Muestra'!$D$8:$D$42,ROW('03.Muestra'!$B$8:$B$42)-MIN(ROW('03.Muestra'!$D$8:$D$42))+1,""),ROW()-1120)),"")</f>
        <v/>
      </c>
      <c r="B1154" s="114" t="str" cm="1">
        <f t="array" ref="B1154">IFERROR(INDEX('03.Muestra'!$C$8:$C$42,SMALL(IF("Página Web"='03.Muestra'!$D$8:$D$42,ROW('03.Muestra'!$C$8:$C$42)-MIN(ROW('03.Muestra'!$D$8:$D$42))+1,""),ROW()-1120)),"")</f>
        <v/>
      </c>
      <c r="C1154" s="114" t="str" cm="1">
        <f t="array" ref="C1154">IFERROR(INDEX('03.Muestra'!$F$8:$F$42,SMALL(IF("Página Web"='03.Muestra'!$D$8:$D$42,ROW('03.Muestra'!$F$8:$F$42)-MIN(ROW('03.Muestra'!$D$8:$D$42))+1,""),ROW()-1120)),"")</f>
        <v/>
      </c>
      <c r="D1154" s="130" t="str">
        <f t="shared" si="59" ref="D1154:D1155">IF(AND(B1154&lt;&gt;"",C1154&lt;&gt;""),"N/T","")</f>
        <v/>
      </c>
      <c r="E1154" s="107" t="str">
        <f t="shared" si="58"/>
        <v/>
      </c>
      <c r="F1154" s="124"/>
      <c r="G1154" s="19"/>
      <c r="H1154" s="19"/>
      <c r="I1154" s="19"/>
      <c r="J1154" s="19"/>
      <c r="K1154" s="233"/>
      <c r="L1154" s="19"/>
      <c r="M1154" s="19"/>
      <c r="N1154" s="19"/>
      <c r="O1154" s="19"/>
      <c r="P1154" s="19"/>
      <c r="Q1154" s="19"/>
      <c r="R1154" s="19"/>
      <c r="S1154" s="19"/>
      <c r="T1154" s="19"/>
      <c r="U1154" s="19"/>
      <c r="V1154" s="19"/>
      <c r="W1154" s="19"/>
      <c r="X1154" s="19"/>
      <c r="Y1154" s="19"/>
    </row>
    <row r="1155" spans="1:25" ht="12" customHeight="1">
      <c r="A1155" s="219" t="str" cm="1">
        <f t="array" ref="A1155">IFERROR(INDEX('03.Muestra'!$B$8:$B$42,SMALL(IF("Página Web"='03.Muestra'!$D$8:$D$42,ROW('03.Muestra'!$B$8:$B$42)-MIN(ROW('03.Muestra'!$D$8:$D$42))+1,""),ROW()-1120)),"")</f>
        <v/>
      </c>
      <c r="B1155" s="114" t="str" cm="1">
        <f t="array" ref="B1155">IFERROR(INDEX('03.Muestra'!$C$8:$C$42,SMALL(IF("Página Web"='03.Muestra'!$D$8:$D$42,ROW('03.Muestra'!$C$8:$C$42)-MIN(ROW('03.Muestra'!$D$8:$D$42))+1,""),ROW()-1120)),"")</f>
        <v/>
      </c>
      <c r="C1155" s="114" t="str" cm="1">
        <f t="array" ref="C1155">IFERROR(INDEX('03.Muestra'!$F$8:$F$42,SMALL(IF("Página Web"='03.Muestra'!$D$8:$D$42,ROW('03.Muestra'!$F$8:$F$42)-MIN(ROW('03.Muestra'!$D$8:$D$42))+1,""),ROW()-1120)),"")</f>
        <v/>
      </c>
      <c r="D1155" s="130" t="str">
        <f t="shared" si="59"/>
        <v/>
      </c>
      <c r="E1155" s="107" t="str">
        <f t="shared" si="58"/>
        <v/>
      </c>
      <c r="F1155" s="19"/>
      <c r="G1155" s="19"/>
      <c r="H1155" s="19"/>
      <c r="I1155" s="19"/>
      <c r="J1155" s="19"/>
      <c r="K1155" s="233"/>
      <c r="L1155" s="19"/>
      <c r="M1155" s="19"/>
      <c r="N1155" s="19"/>
      <c r="O1155" s="19"/>
      <c r="P1155" s="19"/>
      <c r="Q1155" s="19"/>
      <c r="R1155" s="19"/>
      <c r="S1155" s="19"/>
      <c r="T1155" s="19"/>
      <c r="U1155" s="19"/>
      <c r="V1155" s="19"/>
      <c r="W1155" s="19"/>
      <c r="X1155" s="19"/>
      <c r="Y1155" s="19"/>
    </row>
    <row r="1156" spans="1:25" ht="12" customHeight="1">
      <c r="B1156" s="19"/>
      <c r="C1156" s="19"/>
      <c r="D1156" s="107"/>
      <c r="E1156" s="19"/>
      <c r="F1156" s="19"/>
      <c r="G1156" s="19"/>
      <c r="H1156" s="19"/>
      <c r="I1156" s="19"/>
      <c r="J1156" s="19"/>
      <c r="K1156" s="233"/>
      <c r="L1156" s="19"/>
      <c r="M1156" s="19"/>
      <c r="N1156" s="19"/>
      <c r="O1156" s="19"/>
      <c r="P1156" s="19"/>
      <c r="Q1156" s="19"/>
      <c r="R1156" s="19"/>
      <c r="S1156" s="19"/>
      <c r="T1156" s="19"/>
      <c r="U1156" s="19"/>
      <c r="V1156" s="19"/>
      <c r="W1156" s="19"/>
      <c r="X1156" s="19"/>
      <c r="Y1156" s="19"/>
    </row>
    <row r="1157" spans="1:25" ht="12" customHeight="1">
      <c r="B1157" s="126"/>
      <c r="C1157" s="19"/>
      <c r="D1157" s="107"/>
      <c r="E1157" s="112"/>
      <c r="F1157" s="19"/>
      <c r="G1157" s="19"/>
      <c r="H1157" s="19"/>
      <c r="I1157" s="19"/>
      <c r="J1157" s="19"/>
      <c r="K1157" s="233"/>
      <c r="L1157" s="19"/>
      <c r="M1157" s="19"/>
      <c r="N1157" s="19"/>
      <c r="O1157" s="19"/>
      <c r="P1157" s="19"/>
      <c r="Q1157" s="19"/>
      <c r="R1157" s="19"/>
      <c r="S1157" s="19"/>
      <c r="T1157" s="19"/>
      <c r="U1157" s="19"/>
      <c r="V1157" s="19"/>
      <c r="W1157" s="19"/>
      <c r="X1157" s="19"/>
      <c r="Y1157" s="19"/>
    </row>
    <row r="1158" spans="1:25" ht="29.25" customHeight="1">
      <c r="A1158" s="218" t="s">
        <v>268</v>
      </c>
      <c r="B1158" s="24" t="s">
        <v>90</v>
      </c>
      <c r="C1158" s="25" t="s">
        <v>403</v>
      </c>
      <c r="D1158" s="26" t="s">
        <v>32</v>
      </c>
      <c r="E1158" s="123"/>
      <c r="K1158" s="233"/>
      <c r="L1158" s="19"/>
      <c r="M1158" s="19"/>
      <c r="N1158" s="19"/>
      <c r="O1158" s="19"/>
      <c r="P1158" s="19"/>
      <c r="Q1158" s="19"/>
      <c r="R1158" s="19"/>
      <c r="S1158" s="19"/>
      <c r="T1158" s="19"/>
      <c r="U1158" s="19"/>
      <c r="V1158" s="19"/>
      <c r="W1158" s="19"/>
      <c r="X1158" s="19"/>
      <c r="Y1158" s="19"/>
    </row>
    <row r="1159" spans="1:25" ht="12" customHeight="1">
      <c r="A1159" s="219" t="n" cm="1">
        <f t="array" ref="A1159">IFERROR(INDEX('03.Muestra'!$B$8:$B$42,SMALL(IF("Página Web"='03.Muestra'!$D$8:$D$42,ROW('03.Muestra'!$B$8:$B$42)-MIN(ROW('03.Muestra'!$D$8:$D$42))+1,""),ROW()-1158)),"")</f>
        <v>1.0</v>
      </c>
      <c r="B1159" s="114" t="str" cm="1">
        <f t="array" ref="B1159">IFERROR(INDEX('03.Muestra'!$C$8:$C$42,SMALL(IF("Página Web"='03.Muestra'!$D$8:$D$42,ROW('03.Muestra'!$C$8:$C$42)-MIN(ROW('03.Muestra'!$D$8:$D$42))+1,""),ROW()-1158)),"")</f>
        <v>Home - PortCastelló</v>
      </c>
      <c r="C1159" s="114" t="str" cm="1">
        <f t="array" ref="C1159">IFERROR(INDEX('03.Muestra'!$F$8:$F$42,SMALL(IF("Página Web"='03.Muestra'!$D$8:$D$42,ROW('03.Muestra'!$F$8:$F$42)-MIN(ROW('03.Muestra'!$D$8:$D$42))+1,""),ROW()-1158)),"")</f>
        <v>https://www.portcastello.com/</v>
      </c>
      <c r="D1159" s="130" t="str">
        <f>IF(AND(B1159&lt;&gt;"",C1159&lt;&gt;""),"N/T","")</f>
        <v>N/T</v>
      </c>
      <c r="E1159" s="107" t="str">
        <f t="shared" ref="E1159:E1193" si="60">IF(D1159&lt;&gt;"",IF(AND(B1159&lt;&gt;"",C1159&lt;&gt;""),"","ERR"),"")</f>
        <v/>
      </c>
      <c r="F1159" s="115" t="s">
        <v>33</v>
      </c>
      <c r="G1159" s="116" t="s">
        <v>37</v>
      </c>
      <c r="H1159" s="117" t="s">
        <v>35</v>
      </c>
      <c r="I1159" s="118" t="s">
        <v>28</v>
      </c>
      <c r="J1159" s="119" t="s">
        <v>26</v>
      </c>
      <c r="K1159" s="226" t="s">
        <v>474</v>
      </c>
      <c r="L1159" s="19"/>
      <c r="M1159" s="19"/>
      <c r="N1159" s="19"/>
      <c r="O1159" s="19"/>
      <c r="P1159" s="19"/>
      <c r="Q1159" s="19"/>
      <c r="R1159" s="19"/>
      <c r="S1159" s="19"/>
      <c r="T1159" s="19"/>
      <c r="U1159" s="19"/>
      <c r="V1159" s="19"/>
      <c r="W1159" s="19"/>
      <c r="X1159" s="19"/>
      <c r="Y1159" s="19"/>
    </row>
    <row r="1160" spans="1:25" ht="12" customHeight="1">
      <c r="A1160" s="219" t="n" cm="1">
        <f t="array" ref="A1160">IFERROR(INDEX('03.Muestra'!$B$8:$B$42,SMALL(IF("Página Web"='03.Muestra'!$D$8:$D$42,ROW('03.Muestra'!$B$8:$B$42)-MIN(ROW('03.Muestra'!$D$8:$D$42))+1,""),ROW()-1158)),"")</f>
        <v>1.0</v>
      </c>
      <c r="B1160" s="114" t="str" cm="1">
        <f t="array" ref="B1160">IFERROR(INDEX('03.Muestra'!$C$8:$C$42,SMALL(IF("Página Web"='03.Muestra'!$D$8:$D$42,ROW('03.Muestra'!$C$8:$C$42)-MIN(ROW('03.Muestra'!$D$8:$D$42))+1,""),ROW()-1158)),"")</f>
        <v>Home - PortCastelló</v>
      </c>
      <c r="C1160" s="114" t="str" cm="1">
        <f t="array" ref="C1160">IFERROR(INDEX('03.Muestra'!$F$8:$F$42,SMALL(IF("Página Web"='03.Muestra'!$D$8:$D$42,ROW('03.Muestra'!$F$8:$F$42)-MIN(ROW('03.Muestra'!$D$8:$D$42))+1,""),ROW()-1158)),"")</f>
        <v>https://www.portcastello.com/</v>
      </c>
      <c r="D1160" s="130" t="str">
        <f t="shared" ref="D1160:D1193" si="61">IF(AND(B1160&lt;&gt;"",C1160&lt;&gt;""),"N/T","")</f>
        <v>N/T</v>
      </c>
      <c r="E1160" s="107" t="str">
        <f t="shared" si="60"/>
        <v/>
      </c>
      <c r="F1160" s="120" t="n">
        <f ca="1">COUNTIF($D1159:INDIRECT("$D" &amp;  SUM(ROW()-1,'03.Muestra'!$D$45)-1),F1159)</f>
        <v>33.0</v>
      </c>
      <c r="G1160" s="120" t="n">
        <f ca="1">COUNTIF($D1159:INDIRECT("$D" &amp;  SUM(ROW()-1,'03.Muestra'!$D$45)-1),G1159)</f>
        <v>0.0</v>
      </c>
      <c r="H1160" s="120" t="n">
        <f ca="1">COUNTIF($D1159:INDIRECT("$D" &amp;  SUM(ROW()-1,'03.Muestra'!$D$45)-1),H1159)</f>
        <v>0.0</v>
      </c>
      <c r="I1160" s="120" t="n">
        <f ca="1">COUNTIF($D1159:INDIRECT("$D" &amp;  SUM(ROW()-1,'03.Muestra'!$D$45)-1),I1159)</f>
        <v>0.0</v>
      </c>
      <c r="J1160" s="120" t="n">
        <f ca="1">COUNTIF($D1159:INDIRECT("$D" &amp;  SUM(ROW()-1,'03.Muestra'!$D$45)-1),J1159)</f>
        <v>0.0</v>
      </c>
      <c r="K1160" s="227" t="n">
        <f ca="1">IF(COUNTIF('03.Muestra'!$D$8:$D$42,"Página Web")=0,0,COUNTBLANK($D1159:INDIRECT("$D" &amp;  SUM(ROW()-1,COUNTIF('03.Muestra'!$D$8:$D$42,"Página Web"))-1)))</f>
        <v>0.0</v>
      </c>
      <c r="L1160" s="19"/>
      <c r="M1160" s="19"/>
      <c r="N1160" s="19"/>
      <c r="O1160" s="19"/>
      <c r="P1160" s="19"/>
      <c r="Q1160" s="19"/>
      <c r="R1160" s="19"/>
      <c r="S1160" s="19"/>
      <c r="T1160" s="19"/>
      <c r="U1160" s="19"/>
      <c r="V1160" s="19"/>
      <c r="W1160" s="19"/>
      <c r="X1160" s="19"/>
      <c r="Y1160" s="19"/>
    </row>
    <row r="1161" spans="1:25" ht="12" customHeight="1">
      <c r="A1161" s="219" t="n" cm="1">
        <f t="array" ref="A1161">IFERROR(INDEX('03.Muestra'!$B$8:$B$42,SMALL(IF("Página Web"='03.Muestra'!$D$8:$D$42,ROW('03.Muestra'!$B$8:$B$42)-MIN(ROW('03.Muestra'!$D$8:$D$42))+1,""),ROW()-1158)),"")</f>
        <v>1.0</v>
      </c>
      <c r="B1161" s="114" t="str" cm="1">
        <f t="array" ref="B1161">IFERROR(INDEX('03.Muestra'!$C$8:$C$42,SMALL(IF("Página Web"='03.Muestra'!$D$8:$D$42,ROW('03.Muestra'!$C$8:$C$42)-MIN(ROW('03.Muestra'!$D$8:$D$42))+1,""),ROW()-1158)),"")</f>
        <v>Home - PortCastelló</v>
      </c>
      <c r="C1161" s="114" t="str" cm="1">
        <f t="array" ref="C1161">IFERROR(INDEX('03.Muestra'!$F$8:$F$42,SMALL(IF("Página Web"='03.Muestra'!$D$8:$D$42,ROW('03.Muestra'!$F$8:$F$42)-MIN(ROW('03.Muestra'!$D$8:$D$42))+1,""),ROW()-1158)),"")</f>
        <v>https://www.portcastello.com/</v>
      </c>
      <c r="D1161" s="130" t="str">
        <f t="shared" si="61"/>
        <v>N/T</v>
      </c>
      <c r="E1161" s="107" t="str">
        <f t="shared" si="60"/>
        <v/>
      </c>
      <c r="G1161" s="19"/>
      <c r="H1161" s="19"/>
      <c r="I1161" s="19"/>
      <c r="J1161" s="19"/>
      <c r="K1161" s="233"/>
      <c r="L1161" s="19"/>
      <c r="M1161" s="19"/>
      <c r="N1161" s="19"/>
      <c r="O1161" s="19"/>
      <c r="P1161" s="19"/>
      <c r="Q1161" s="19"/>
      <c r="R1161" s="19"/>
      <c r="S1161" s="19"/>
      <c r="T1161" s="19"/>
      <c r="U1161" s="19"/>
      <c r="V1161" s="19"/>
      <c r="W1161" s="19"/>
      <c r="X1161" s="19"/>
      <c r="Y1161" s="19"/>
    </row>
    <row r="1162" spans="1:25" ht="12" customHeight="1">
      <c r="A1162" s="219" t="n" cm="1">
        <f t="array" ref="A1162">IFERROR(INDEX('03.Muestra'!$B$8:$B$42,SMALL(IF("Página Web"='03.Muestra'!$D$8:$D$42,ROW('03.Muestra'!$B$8:$B$42)-MIN(ROW('03.Muestra'!$D$8:$D$42))+1,""),ROW()-1158)),"")</f>
        <v>1.0</v>
      </c>
      <c r="B1162" s="114" t="str" cm="1">
        <f t="array" ref="B1162">IFERROR(INDEX('03.Muestra'!$C$8:$C$42,SMALL(IF("Página Web"='03.Muestra'!$D$8:$D$42,ROW('03.Muestra'!$C$8:$C$42)-MIN(ROW('03.Muestra'!$D$8:$D$42))+1,""),ROW()-1158)),"")</f>
        <v>Home - PortCastelló</v>
      </c>
      <c r="C1162" s="114" t="str" cm="1">
        <f t="array" ref="C1162">IFERROR(INDEX('03.Muestra'!$F$8:$F$42,SMALL(IF("Página Web"='03.Muestra'!$D$8:$D$42,ROW('03.Muestra'!$F$8:$F$42)-MIN(ROW('03.Muestra'!$D$8:$D$42))+1,""),ROW()-1158)),"")</f>
        <v>https://www.portcastello.com/</v>
      </c>
      <c r="D1162" s="130" t="str">
        <f t="shared" si="61"/>
        <v>N/T</v>
      </c>
      <c r="E1162" s="107" t="str">
        <f t="shared" si="60"/>
        <v/>
      </c>
      <c r="G1162" s="19"/>
      <c r="H1162" s="19"/>
      <c r="I1162" s="19"/>
      <c r="J1162" s="19"/>
      <c r="K1162" s="233"/>
      <c r="L1162" s="19"/>
      <c r="M1162" s="19"/>
      <c r="N1162" s="19"/>
      <c r="O1162" s="19"/>
      <c r="P1162" s="19"/>
      <c r="Q1162" s="19"/>
      <c r="R1162" s="19"/>
      <c r="S1162" s="19"/>
      <c r="T1162" s="19"/>
      <c r="U1162" s="19"/>
      <c r="V1162" s="19"/>
      <c r="W1162" s="19"/>
      <c r="X1162" s="19"/>
      <c r="Y1162" s="19"/>
    </row>
    <row r="1163" spans="1:25" ht="12" customHeight="1">
      <c r="A1163" s="219" t="n" cm="1">
        <f t="array" ref="A1163">IFERROR(INDEX('03.Muestra'!$B$8:$B$42,SMALL(IF("Página Web"='03.Muestra'!$D$8:$D$42,ROW('03.Muestra'!$B$8:$B$42)-MIN(ROW('03.Muestra'!$D$8:$D$42))+1,""),ROW()-1158)),"")</f>
        <v>1.0</v>
      </c>
      <c r="B1163" s="114" t="str" cm="1">
        <f t="array" ref="B1163">IFERROR(INDEX('03.Muestra'!$C$8:$C$42,SMALL(IF("Página Web"='03.Muestra'!$D$8:$D$42,ROW('03.Muestra'!$C$8:$C$42)-MIN(ROW('03.Muestra'!$D$8:$D$42))+1,""),ROW()-1158)),"")</f>
        <v>Home - PortCastelló</v>
      </c>
      <c r="C1163" s="114" t="str" cm="1">
        <f t="array" ref="C1163">IFERROR(INDEX('03.Muestra'!$F$8:$F$42,SMALL(IF("Página Web"='03.Muestra'!$D$8:$D$42,ROW('03.Muestra'!$F$8:$F$42)-MIN(ROW('03.Muestra'!$D$8:$D$42))+1,""),ROW()-1158)),"")</f>
        <v>https://www.portcastello.com/</v>
      </c>
      <c r="D1163" s="130" t="str">
        <f t="shared" si="61"/>
        <v>N/T</v>
      </c>
      <c r="E1163" s="107" t="str">
        <f t="shared" si="60"/>
        <v/>
      </c>
      <c r="G1163" s="19"/>
      <c r="H1163" s="19"/>
      <c r="I1163" s="19"/>
      <c r="J1163" s="19"/>
      <c r="K1163" s="233"/>
      <c r="L1163" s="19"/>
      <c r="M1163" s="19"/>
      <c r="N1163" s="19"/>
      <c r="O1163" s="19"/>
      <c r="P1163" s="19"/>
      <c r="Q1163" s="19"/>
      <c r="R1163" s="19"/>
      <c r="S1163" s="19"/>
      <c r="T1163" s="19"/>
      <c r="U1163" s="19"/>
      <c r="V1163" s="19"/>
      <c r="W1163" s="19"/>
      <c r="X1163" s="19"/>
      <c r="Y1163" s="19"/>
    </row>
    <row r="1164" spans="1:25" ht="12" customHeight="1">
      <c r="A1164" s="219" t="n" cm="1">
        <f t="array" ref="A1164">IFERROR(INDEX('03.Muestra'!$B$8:$B$42,SMALL(IF("Página Web"='03.Muestra'!$D$8:$D$42,ROW('03.Muestra'!$B$8:$B$42)-MIN(ROW('03.Muestra'!$D$8:$D$42))+1,""),ROW()-1158)),"")</f>
        <v>1.0</v>
      </c>
      <c r="B1164" s="114" t="str" cm="1">
        <f t="array" ref="B1164">IFERROR(INDEX('03.Muestra'!$C$8:$C$42,SMALL(IF("Página Web"='03.Muestra'!$D$8:$D$42,ROW('03.Muestra'!$C$8:$C$42)-MIN(ROW('03.Muestra'!$D$8:$D$42))+1,""),ROW()-1158)),"")</f>
        <v>Home - PortCastelló</v>
      </c>
      <c r="C1164" s="114" t="str" cm="1">
        <f t="array" ref="C1164">IFERROR(INDEX('03.Muestra'!$F$8:$F$42,SMALL(IF("Página Web"='03.Muestra'!$D$8:$D$42,ROW('03.Muestra'!$F$8:$F$42)-MIN(ROW('03.Muestra'!$D$8:$D$42))+1,""),ROW()-1158)),"")</f>
        <v>https://www.portcastello.com/</v>
      </c>
      <c r="D1164" s="130" t="str">
        <f t="shared" si="61"/>
        <v>N/T</v>
      </c>
      <c r="E1164" s="107" t="str">
        <f t="shared" si="60"/>
        <v/>
      </c>
      <c r="G1164" s="19"/>
      <c r="H1164" s="19"/>
      <c r="I1164" s="19"/>
      <c r="J1164" s="19"/>
      <c r="K1164" s="233"/>
      <c r="L1164" s="19"/>
      <c r="M1164" s="19"/>
      <c r="N1164" s="19"/>
      <c r="O1164" s="19"/>
      <c r="P1164" s="19"/>
      <c r="Q1164" s="19"/>
      <c r="R1164" s="19"/>
      <c r="S1164" s="19"/>
      <c r="T1164" s="19"/>
      <c r="U1164" s="19"/>
      <c r="V1164" s="19"/>
      <c r="W1164" s="19"/>
      <c r="X1164" s="19"/>
      <c r="Y1164" s="19"/>
    </row>
    <row r="1165" spans="1:25" ht="12" customHeight="1">
      <c r="A1165" s="219" t="n" cm="1">
        <f t="array" ref="A1165">IFERROR(INDEX('03.Muestra'!$B$8:$B$42,SMALL(IF("Página Web"='03.Muestra'!$D$8:$D$42,ROW('03.Muestra'!$B$8:$B$42)-MIN(ROW('03.Muestra'!$D$8:$D$42))+1,""),ROW()-1158)),"")</f>
        <v>1.0</v>
      </c>
      <c r="B1165" s="114" t="str" cm="1">
        <f t="array" ref="B1165">IFERROR(INDEX('03.Muestra'!$C$8:$C$42,SMALL(IF("Página Web"='03.Muestra'!$D$8:$D$42,ROW('03.Muestra'!$C$8:$C$42)-MIN(ROW('03.Muestra'!$D$8:$D$42))+1,""),ROW()-1158)),"")</f>
        <v>Home - PortCastelló</v>
      </c>
      <c r="C1165" s="114" t="str" cm="1">
        <f t="array" ref="C1165">IFERROR(INDEX('03.Muestra'!$F$8:$F$42,SMALL(IF("Página Web"='03.Muestra'!$D$8:$D$42,ROW('03.Muestra'!$F$8:$F$42)-MIN(ROW('03.Muestra'!$D$8:$D$42))+1,""),ROW()-1158)),"")</f>
        <v>https://www.portcastello.com/</v>
      </c>
      <c r="D1165" s="130" t="str">
        <f t="shared" si="61"/>
        <v>N/T</v>
      </c>
      <c r="E1165" s="107" t="str">
        <f t="shared" si="60"/>
        <v/>
      </c>
      <c r="F1165" s="19"/>
      <c r="G1165" s="19"/>
      <c r="H1165" s="19"/>
      <c r="I1165" s="19"/>
      <c r="J1165" s="19"/>
      <c r="K1165" s="233"/>
      <c r="L1165" s="19"/>
      <c r="M1165" s="19"/>
      <c r="N1165" s="19"/>
      <c r="O1165" s="19"/>
      <c r="P1165" s="19"/>
      <c r="Q1165" s="19"/>
      <c r="R1165" s="19"/>
      <c r="S1165" s="19"/>
      <c r="T1165" s="19"/>
      <c r="U1165" s="19"/>
      <c r="V1165" s="19"/>
      <c r="W1165" s="19"/>
      <c r="X1165" s="19"/>
      <c r="Y1165" s="19"/>
    </row>
    <row r="1166" spans="1:25" ht="12" customHeight="1">
      <c r="A1166" s="219" t="n" cm="1">
        <f t="array" ref="A1166">IFERROR(INDEX('03.Muestra'!$B$8:$B$42,SMALL(IF("Página Web"='03.Muestra'!$D$8:$D$42,ROW('03.Muestra'!$B$8:$B$42)-MIN(ROW('03.Muestra'!$D$8:$D$42))+1,""),ROW()-1158)),"")</f>
        <v>1.0</v>
      </c>
      <c r="B1166" s="114" t="str" cm="1">
        <f t="array" ref="B1166">IFERROR(INDEX('03.Muestra'!$C$8:$C$42,SMALL(IF("Página Web"='03.Muestra'!$D$8:$D$42,ROW('03.Muestra'!$C$8:$C$42)-MIN(ROW('03.Muestra'!$D$8:$D$42))+1,""),ROW()-1158)),"")</f>
        <v>Home - PortCastelló</v>
      </c>
      <c r="C1166" s="114" t="str" cm="1">
        <f t="array" ref="C1166">IFERROR(INDEX('03.Muestra'!$F$8:$F$42,SMALL(IF("Página Web"='03.Muestra'!$D$8:$D$42,ROW('03.Muestra'!$F$8:$F$42)-MIN(ROW('03.Muestra'!$D$8:$D$42))+1,""),ROW()-1158)),"")</f>
        <v>https://www.portcastello.com/</v>
      </c>
      <c r="D1166" s="130" t="str">
        <f t="shared" si="61"/>
        <v>N/T</v>
      </c>
      <c r="E1166" s="107" t="str">
        <f t="shared" si="60"/>
        <v/>
      </c>
      <c r="F1166" s="19"/>
      <c r="G1166" s="19"/>
      <c r="H1166" s="19"/>
      <c r="I1166" s="19"/>
      <c r="J1166" s="19"/>
      <c r="K1166" s="233"/>
      <c r="L1166" s="19"/>
      <c r="M1166" s="19"/>
      <c r="N1166" s="19"/>
      <c r="O1166" s="19"/>
      <c r="P1166" s="19"/>
      <c r="Q1166" s="19"/>
      <c r="R1166" s="19"/>
      <c r="S1166" s="19"/>
      <c r="T1166" s="19"/>
      <c r="U1166" s="19"/>
      <c r="V1166" s="19"/>
      <c r="W1166" s="19"/>
      <c r="X1166" s="19"/>
      <c r="Y1166" s="19"/>
    </row>
    <row r="1167" spans="1:25" ht="12" customHeight="1">
      <c r="A1167" s="219" t="n" cm="1">
        <f t="array" ref="A1167">IFERROR(INDEX('03.Muestra'!$B$8:$B$42,SMALL(IF("Página Web"='03.Muestra'!$D$8:$D$42,ROW('03.Muestra'!$B$8:$B$42)-MIN(ROW('03.Muestra'!$D$8:$D$42))+1,""),ROW()-1158)),"")</f>
        <v>1.0</v>
      </c>
      <c r="B1167" s="114" t="str" cm="1">
        <f t="array" ref="B1167">IFERROR(INDEX('03.Muestra'!$C$8:$C$42,SMALL(IF("Página Web"='03.Muestra'!$D$8:$D$42,ROW('03.Muestra'!$C$8:$C$42)-MIN(ROW('03.Muestra'!$D$8:$D$42))+1,""),ROW()-1158)),"")</f>
        <v>Home - PortCastelló</v>
      </c>
      <c r="C1167" s="114" t="str" cm="1">
        <f t="array" ref="C1167">IFERROR(INDEX('03.Muestra'!$F$8:$F$42,SMALL(IF("Página Web"='03.Muestra'!$D$8:$D$42,ROW('03.Muestra'!$F$8:$F$42)-MIN(ROW('03.Muestra'!$D$8:$D$42))+1,""),ROW()-1158)),"")</f>
        <v>https://www.portcastello.com/</v>
      </c>
      <c r="D1167" s="130" t="str">
        <f t="shared" si="61"/>
        <v>N/T</v>
      </c>
      <c r="E1167" s="107" t="str">
        <f t="shared" si="60"/>
        <v/>
      </c>
      <c r="F1167" s="19"/>
      <c r="G1167" s="19"/>
      <c r="H1167" s="19"/>
      <c r="I1167" s="19"/>
      <c r="J1167" s="19"/>
      <c r="K1167" s="233"/>
      <c r="L1167" s="19"/>
      <c r="M1167" s="19"/>
      <c r="N1167" s="19"/>
      <c r="O1167" s="19"/>
      <c r="P1167" s="19"/>
      <c r="Q1167" s="19"/>
      <c r="R1167" s="19"/>
      <c r="S1167" s="19"/>
      <c r="T1167" s="19"/>
      <c r="U1167" s="19"/>
      <c r="V1167" s="19"/>
      <c r="W1167" s="19"/>
      <c r="X1167" s="19"/>
      <c r="Y1167" s="19"/>
    </row>
    <row r="1168" spans="1:25" ht="12" customHeight="1">
      <c r="A1168" s="219" t="n" cm="1">
        <f t="array" ref="A1168">IFERROR(INDEX('03.Muestra'!$B$8:$B$42,SMALL(IF("Página Web"='03.Muestra'!$D$8:$D$42,ROW('03.Muestra'!$B$8:$B$42)-MIN(ROW('03.Muestra'!$D$8:$D$42))+1,""),ROW()-1158)),"")</f>
        <v>1.0</v>
      </c>
      <c r="B1168" s="114" t="str" cm="1">
        <f t="array" ref="B1168">IFERROR(INDEX('03.Muestra'!$C$8:$C$42,SMALL(IF("Página Web"='03.Muestra'!$D$8:$D$42,ROW('03.Muestra'!$C$8:$C$42)-MIN(ROW('03.Muestra'!$D$8:$D$42))+1,""),ROW()-1158)),"")</f>
        <v>Home - PortCastelló</v>
      </c>
      <c r="C1168" s="114" t="str" cm="1">
        <f t="array" ref="C1168">IFERROR(INDEX('03.Muestra'!$F$8:$F$42,SMALL(IF("Página Web"='03.Muestra'!$D$8:$D$42,ROW('03.Muestra'!$F$8:$F$42)-MIN(ROW('03.Muestra'!$D$8:$D$42))+1,""),ROW()-1158)),"")</f>
        <v>https://www.portcastello.com/</v>
      </c>
      <c r="D1168" s="130" t="str">
        <f t="shared" si="61"/>
        <v>N/T</v>
      </c>
      <c r="E1168" s="107" t="str">
        <f t="shared" si="60"/>
        <v/>
      </c>
      <c r="F1168" s="19"/>
      <c r="G1168" s="19"/>
      <c r="H1168" s="19"/>
      <c r="I1168" s="19"/>
      <c r="J1168" s="19"/>
      <c r="K1168" s="233"/>
      <c r="L1168" s="19"/>
      <c r="M1168" s="19"/>
      <c r="N1168" s="19"/>
      <c r="O1168" s="19"/>
      <c r="P1168" s="19"/>
      <c r="Q1168" s="19"/>
      <c r="R1168" s="19"/>
      <c r="S1168" s="19"/>
      <c r="T1168" s="19"/>
      <c r="U1168" s="19"/>
      <c r="V1168" s="19"/>
      <c r="W1168" s="19"/>
      <c r="X1168" s="19"/>
      <c r="Y1168" s="19"/>
    </row>
    <row r="1169" spans="1:25" ht="12" customHeight="1">
      <c r="A1169" s="219" t="n" cm="1">
        <f t="array" ref="A1169">IFERROR(INDEX('03.Muestra'!$B$8:$B$42,SMALL(IF("Página Web"='03.Muestra'!$D$8:$D$42,ROW('03.Muestra'!$B$8:$B$42)-MIN(ROW('03.Muestra'!$D$8:$D$42))+1,""),ROW()-1158)),"")</f>
        <v>1.0</v>
      </c>
      <c r="B1169" s="114" t="str" cm="1">
        <f t="array" ref="B1169">IFERROR(INDEX('03.Muestra'!$C$8:$C$42,SMALL(IF("Página Web"='03.Muestra'!$D$8:$D$42,ROW('03.Muestra'!$C$8:$C$42)-MIN(ROW('03.Muestra'!$D$8:$D$42))+1,""),ROW()-1158)),"")</f>
        <v>Home - PortCastelló</v>
      </c>
      <c r="C1169" s="114" t="str" cm="1">
        <f t="array" ref="C1169">IFERROR(INDEX('03.Muestra'!$F$8:$F$42,SMALL(IF("Página Web"='03.Muestra'!$D$8:$D$42,ROW('03.Muestra'!$F$8:$F$42)-MIN(ROW('03.Muestra'!$D$8:$D$42))+1,""),ROW()-1158)),"")</f>
        <v>https://www.portcastello.com/</v>
      </c>
      <c r="D1169" s="130" t="str">
        <f t="shared" si="61"/>
        <v>N/T</v>
      </c>
      <c r="E1169" s="107" t="str">
        <f t="shared" si="60"/>
        <v/>
      </c>
      <c r="F1169" s="19"/>
      <c r="G1169" s="19"/>
      <c r="H1169" s="19"/>
      <c r="I1169" s="19"/>
      <c r="J1169" s="19"/>
      <c r="K1169" s="233"/>
      <c r="L1169" s="19"/>
      <c r="M1169" s="19"/>
      <c r="N1169" s="19"/>
      <c r="O1169" s="19"/>
      <c r="P1169" s="19"/>
      <c r="Q1169" s="19"/>
      <c r="R1169" s="19"/>
      <c r="S1169" s="19"/>
      <c r="T1169" s="19"/>
      <c r="U1169" s="19"/>
      <c r="V1169" s="19"/>
      <c r="W1169" s="19"/>
      <c r="X1169" s="19"/>
      <c r="Y1169" s="19"/>
    </row>
    <row r="1170" spans="1:25" ht="12" customHeight="1">
      <c r="A1170" s="219" t="n" cm="1">
        <f t="array" ref="A1170">IFERROR(INDEX('03.Muestra'!$B$8:$B$42,SMALL(IF("Página Web"='03.Muestra'!$D$8:$D$42,ROW('03.Muestra'!$B$8:$B$42)-MIN(ROW('03.Muestra'!$D$8:$D$42))+1,""),ROW()-1158)),"")</f>
        <v>1.0</v>
      </c>
      <c r="B1170" s="114" t="str" cm="1">
        <f t="array" ref="B1170">IFERROR(INDEX('03.Muestra'!$C$8:$C$42,SMALL(IF("Página Web"='03.Muestra'!$D$8:$D$42,ROW('03.Muestra'!$C$8:$C$42)-MIN(ROW('03.Muestra'!$D$8:$D$42))+1,""),ROW()-1158)),"")</f>
        <v>Home - PortCastelló</v>
      </c>
      <c r="C1170" s="114" t="str" cm="1">
        <f t="array" ref="C1170">IFERROR(INDEX('03.Muestra'!$F$8:$F$42,SMALL(IF("Página Web"='03.Muestra'!$D$8:$D$42,ROW('03.Muestra'!$F$8:$F$42)-MIN(ROW('03.Muestra'!$D$8:$D$42))+1,""),ROW()-1158)),"")</f>
        <v>https://www.portcastello.com/</v>
      </c>
      <c r="D1170" s="130" t="str">
        <f t="shared" si="61"/>
        <v>N/T</v>
      </c>
      <c r="E1170" s="107" t="str">
        <f t="shared" si="60"/>
        <v/>
      </c>
      <c r="F1170" s="19"/>
      <c r="G1170" s="19"/>
      <c r="H1170" s="19"/>
      <c r="I1170" s="19"/>
      <c r="J1170" s="19"/>
      <c r="K1170" s="233"/>
      <c r="L1170" s="19"/>
      <c r="M1170" s="19"/>
      <c r="N1170" s="19"/>
      <c r="O1170" s="19"/>
      <c r="P1170" s="19"/>
      <c r="Q1170" s="19"/>
      <c r="R1170" s="19"/>
      <c r="S1170" s="19"/>
      <c r="T1170" s="19"/>
      <c r="U1170" s="19"/>
      <c r="V1170" s="19"/>
      <c r="W1170" s="19"/>
      <c r="X1170" s="19"/>
      <c r="Y1170" s="19"/>
    </row>
    <row r="1171" spans="1:25" ht="12" customHeight="1">
      <c r="A1171" s="219" t="n" cm="1">
        <f t="array" ref="A1171">IFERROR(INDEX('03.Muestra'!$B$8:$B$42,SMALL(IF("Página Web"='03.Muestra'!$D$8:$D$42,ROW('03.Muestra'!$B$8:$B$42)-MIN(ROW('03.Muestra'!$D$8:$D$42))+1,""),ROW()-1158)),"")</f>
        <v>1.0</v>
      </c>
      <c r="B1171" s="114" t="str" cm="1">
        <f t="array" ref="B1171">IFERROR(INDEX('03.Muestra'!$C$8:$C$42,SMALL(IF("Página Web"='03.Muestra'!$D$8:$D$42,ROW('03.Muestra'!$C$8:$C$42)-MIN(ROW('03.Muestra'!$D$8:$D$42))+1,""),ROW()-1158)),"")</f>
        <v>Home - PortCastelló</v>
      </c>
      <c r="C1171" s="114" t="str" cm="1">
        <f t="array" ref="C1171">IFERROR(INDEX('03.Muestra'!$F$8:$F$42,SMALL(IF("Página Web"='03.Muestra'!$D$8:$D$42,ROW('03.Muestra'!$F$8:$F$42)-MIN(ROW('03.Muestra'!$D$8:$D$42))+1,""),ROW()-1158)),"")</f>
        <v>https://www.portcastello.com/</v>
      </c>
      <c r="D1171" s="130" t="str">
        <f t="shared" si="61"/>
        <v>N/T</v>
      </c>
      <c r="E1171" s="107" t="str">
        <f t="shared" si="60"/>
        <v/>
      </c>
      <c r="F1171" s="19"/>
      <c r="G1171" s="19"/>
      <c r="H1171" s="19"/>
      <c r="I1171" s="19"/>
      <c r="J1171" s="19"/>
      <c r="K1171" s="233"/>
      <c r="L1171" s="19"/>
      <c r="M1171" s="19"/>
      <c r="N1171" s="19"/>
      <c r="O1171" s="19"/>
      <c r="P1171" s="19"/>
      <c r="Q1171" s="19"/>
      <c r="R1171" s="19"/>
      <c r="S1171" s="19"/>
      <c r="T1171" s="19"/>
      <c r="U1171" s="19"/>
      <c r="V1171" s="19"/>
      <c r="W1171" s="19"/>
      <c r="X1171" s="19"/>
      <c r="Y1171" s="19"/>
    </row>
    <row r="1172" spans="1:25" ht="12" customHeight="1">
      <c r="A1172" s="219" t="n" cm="1">
        <f t="array" ref="A1172">IFERROR(INDEX('03.Muestra'!$B$8:$B$42,SMALL(IF("Página Web"='03.Muestra'!$D$8:$D$42,ROW('03.Muestra'!$B$8:$B$42)-MIN(ROW('03.Muestra'!$D$8:$D$42))+1,""),ROW()-1158)),"")</f>
        <v>1.0</v>
      </c>
      <c r="B1172" s="114" t="str" cm="1">
        <f t="array" ref="B1172">IFERROR(INDEX('03.Muestra'!$C$8:$C$42,SMALL(IF("Página Web"='03.Muestra'!$D$8:$D$42,ROW('03.Muestra'!$C$8:$C$42)-MIN(ROW('03.Muestra'!$D$8:$D$42))+1,""),ROW()-1158)),"")</f>
        <v>Home - PortCastelló</v>
      </c>
      <c r="C1172" s="114" t="str" cm="1">
        <f t="array" ref="C1172">IFERROR(INDEX('03.Muestra'!$F$8:$F$42,SMALL(IF("Página Web"='03.Muestra'!$D$8:$D$42,ROW('03.Muestra'!$F$8:$F$42)-MIN(ROW('03.Muestra'!$D$8:$D$42))+1,""),ROW()-1158)),"")</f>
        <v>https://www.portcastello.com/</v>
      </c>
      <c r="D1172" s="130" t="str">
        <f t="shared" si="61"/>
        <v>N/T</v>
      </c>
      <c r="E1172" s="107" t="str">
        <f t="shared" si="60"/>
        <v/>
      </c>
      <c r="F1172" s="19"/>
      <c r="G1172" s="19"/>
      <c r="H1172" s="19"/>
      <c r="I1172" s="19"/>
      <c r="J1172" s="19"/>
      <c r="K1172" s="233"/>
      <c r="L1172" s="19"/>
      <c r="M1172" s="19"/>
      <c r="N1172" s="19"/>
      <c r="O1172" s="19"/>
      <c r="P1172" s="19"/>
      <c r="Q1172" s="19"/>
      <c r="R1172" s="19"/>
      <c r="S1172" s="19"/>
      <c r="T1172" s="19"/>
      <c r="U1172" s="19"/>
      <c r="V1172" s="19"/>
      <c r="W1172" s="19"/>
      <c r="X1172" s="19"/>
      <c r="Y1172" s="19"/>
    </row>
    <row r="1173" spans="1:25" ht="12" customHeight="1">
      <c r="A1173" s="219" t="n" cm="1">
        <f t="array" ref="A1173">IFERROR(INDEX('03.Muestra'!$B$8:$B$42,SMALL(IF("Página Web"='03.Muestra'!$D$8:$D$42,ROW('03.Muestra'!$B$8:$B$42)-MIN(ROW('03.Muestra'!$D$8:$D$42))+1,""),ROW()-1158)),"")</f>
        <v>1.0</v>
      </c>
      <c r="B1173" s="114" t="str" cm="1">
        <f t="array" ref="B1173">IFERROR(INDEX('03.Muestra'!$C$8:$C$42,SMALL(IF("Página Web"='03.Muestra'!$D$8:$D$42,ROW('03.Muestra'!$C$8:$C$42)-MIN(ROW('03.Muestra'!$D$8:$D$42))+1,""),ROW()-1158)),"")</f>
        <v>Home - PortCastelló</v>
      </c>
      <c r="C1173" s="114" t="str" cm="1">
        <f t="array" ref="C1173">IFERROR(INDEX('03.Muestra'!$F$8:$F$42,SMALL(IF("Página Web"='03.Muestra'!$D$8:$D$42,ROW('03.Muestra'!$F$8:$F$42)-MIN(ROW('03.Muestra'!$D$8:$D$42))+1,""),ROW()-1158)),"")</f>
        <v>https://www.portcastello.com/</v>
      </c>
      <c r="D1173" s="130" t="str">
        <f t="shared" si="61"/>
        <v>N/T</v>
      </c>
      <c r="E1173" s="107" t="str">
        <f t="shared" si="60"/>
        <v/>
      </c>
      <c r="F1173" s="19"/>
      <c r="G1173" s="19"/>
      <c r="H1173" s="19"/>
      <c r="I1173" s="19"/>
      <c r="J1173" s="19"/>
      <c r="K1173" s="233"/>
      <c r="L1173" s="19"/>
      <c r="M1173" s="19"/>
      <c r="N1173" s="19"/>
      <c r="O1173" s="19"/>
      <c r="P1173" s="19"/>
      <c r="Q1173" s="19"/>
      <c r="R1173" s="19"/>
      <c r="S1173" s="19"/>
      <c r="T1173" s="19"/>
      <c r="U1173" s="19"/>
      <c r="V1173" s="19"/>
      <c r="W1173" s="19"/>
      <c r="X1173" s="19"/>
      <c r="Y1173" s="19"/>
    </row>
    <row r="1174" spans="1:25" ht="12" customHeight="1">
      <c r="A1174" s="219" t="n" cm="1">
        <f t="array" ref="A1174">IFERROR(INDEX('03.Muestra'!$B$8:$B$42,SMALL(IF("Página Web"='03.Muestra'!$D$8:$D$42,ROW('03.Muestra'!$B$8:$B$42)-MIN(ROW('03.Muestra'!$D$8:$D$42))+1,""),ROW()-1158)),"")</f>
        <v>1.0</v>
      </c>
      <c r="B1174" s="114" t="str" cm="1">
        <f t="array" ref="B1174">IFERROR(INDEX('03.Muestra'!$C$8:$C$42,SMALL(IF("Página Web"='03.Muestra'!$D$8:$D$42,ROW('03.Muestra'!$C$8:$C$42)-MIN(ROW('03.Muestra'!$D$8:$D$42))+1,""),ROW()-1158)),"")</f>
        <v>Home - PortCastelló</v>
      </c>
      <c r="C1174" s="114" t="str" cm="1">
        <f t="array" ref="C1174">IFERROR(INDEX('03.Muestra'!$F$8:$F$42,SMALL(IF("Página Web"='03.Muestra'!$D$8:$D$42,ROW('03.Muestra'!$F$8:$F$42)-MIN(ROW('03.Muestra'!$D$8:$D$42))+1,""),ROW()-1158)),"")</f>
        <v>https://www.portcastello.com/</v>
      </c>
      <c r="D1174" s="130" t="str">
        <f t="shared" si="61"/>
        <v>N/T</v>
      </c>
      <c r="E1174" s="107" t="str">
        <f t="shared" si="60"/>
        <v/>
      </c>
      <c r="F1174" s="19"/>
      <c r="G1174" s="19"/>
      <c r="H1174" s="19"/>
      <c r="I1174" s="19"/>
      <c r="J1174" s="19"/>
      <c r="K1174" s="233"/>
      <c r="L1174" s="19"/>
      <c r="M1174" s="19"/>
      <c r="N1174" s="19"/>
      <c r="O1174" s="19"/>
      <c r="P1174" s="19"/>
      <c r="Q1174" s="19"/>
      <c r="R1174" s="19"/>
      <c r="S1174" s="19"/>
      <c r="T1174" s="19"/>
      <c r="U1174" s="19"/>
      <c r="V1174" s="19"/>
      <c r="W1174" s="19"/>
      <c r="X1174" s="19"/>
      <c r="Y1174" s="19"/>
    </row>
    <row r="1175" spans="1:25" ht="12" customHeight="1">
      <c r="A1175" s="219" t="n" cm="1">
        <f t="array" ref="A1175">IFERROR(INDEX('03.Muestra'!$B$8:$B$42,SMALL(IF("Página Web"='03.Muestra'!$D$8:$D$42,ROW('03.Muestra'!$B$8:$B$42)-MIN(ROW('03.Muestra'!$D$8:$D$42))+1,""),ROW()-1158)),"")</f>
        <v>1.0</v>
      </c>
      <c r="B1175" s="114" t="str" cm="1">
        <f t="array" ref="B1175">IFERROR(INDEX('03.Muestra'!$C$8:$C$42,SMALL(IF("Página Web"='03.Muestra'!$D$8:$D$42,ROW('03.Muestra'!$C$8:$C$42)-MIN(ROW('03.Muestra'!$D$8:$D$42))+1,""),ROW()-1158)),"")</f>
        <v>Home - PortCastelló</v>
      </c>
      <c r="C1175" s="114" t="str" cm="1">
        <f t="array" ref="C1175">IFERROR(INDEX('03.Muestra'!$F$8:$F$42,SMALL(IF("Página Web"='03.Muestra'!$D$8:$D$42,ROW('03.Muestra'!$F$8:$F$42)-MIN(ROW('03.Muestra'!$D$8:$D$42))+1,""),ROW()-1158)),"")</f>
        <v>https://www.portcastello.com/</v>
      </c>
      <c r="D1175" s="130" t="str">
        <f t="shared" si="61"/>
        <v>N/T</v>
      </c>
      <c r="E1175" s="107" t="str">
        <f t="shared" si="60"/>
        <v/>
      </c>
      <c r="F1175" s="19"/>
      <c r="G1175" s="19"/>
      <c r="H1175" s="19"/>
      <c r="I1175" s="19"/>
      <c r="J1175" s="19"/>
      <c r="K1175" s="233"/>
      <c r="L1175" s="19"/>
      <c r="M1175" s="19"/>
      <c r="N1175" s="19"/>
      <c r="O1175" s="19"/>
      <c r="P1175" s="19"/>
      <c r="Q1175" s="19"/>
      <c r="R1175" s="19"/>
      <c r="S1175" s="19"/>
      <c r="T1175" s="19"/>
      <c r="U1175" s="19"/>
      <c r="V1175" s="19"/>
      <c r="W1175" s="19"/>
      <c r="X1175" s="19"/>
      <c r="Y1175" s="19"/>
    </row>
    <row r="1176" spans="1:25" ht="12" customHeight="1">
      <c r="A1176" s="219" t="n" cm="1">
        <f t="array" ref="A1176">IFERROR(INDEX('03.Muestra'!$B$8:$B$42,SMALL(IF("Página Web"='03.Muestra'!$D$8:$D$42,ROW('03.Muestra'!$B$8:$B$42)-MIN(ROW('03.Muestra'!$D$8:$D$42))+1,""),ROW()-1158)),"")</f>
        <v>1.0</v>
      </c>
      <c r="B1176" s="114" t="str" cm="1">
        <f t="array" ref="B1176">IFERROR(INDEX('03.Muestra'!$C$8:$C$42,SMALL(IF("Página Web"='03.Muestra'!$D$8:$D$42,ROW('03.Muestra'!$C$8:$C$42)-MIN(ROW('03.Muestra'!$D$8:$D$42))+1,""),ROW()-1158)),"")</f>
        <v>Home - PortCastelló</v>
      </c>
      <c r="C1176" s="114" t="str" cm="1">
        <f t="array" ref="C1176">IFERROR(INDEX('03.Muestra'!$F$8:$F$42,SMALL(IF("Página Web"='03.Muestra'!$D$8:$D$42,ROW('03.Muestra'!$F$8:$F$42)-MIN(ROW('03.Muestra'!$D$8:$D$42))+1,""),ROW()-1158)),"")</f>
        <v>https://www.portcastello.com/</v>
      </c>
      <c r="D1176" s="130" t="str">
        <f t="shared" si="61"/>
        <v>N/T</v>
      </c>
      <c r="E1176" s="107" t="str">
        <f t="shared" si="60"/>
        <v/>
      </c>
      <c r="F1176" s="19"/>
      <c r="G1176" s="19"/>
      <c r="H1176" s="19"/>
      <c r="I1176" s="19"/>
      <c r="J1176" s="19"/>
      <c r="K1176" s="233"/>
      <c r="L1176" s="19"/>
      <c r="M1176" s="19"/>
      <c r="N1176" s="19"/>
      <c r="O1176" s="19"/>
      <c r="P1176" s="19"/>
      <c r="Q1176" s="19"/>
      <c r="R1176" s="19"/>
      <c r="S1176" s="19"/>
      <c r="T1176" s="19"/>
      <c r="U1176" s="19"/>
      <c r="V1176" s="19"/>
      <c r="W1176" s="19"/>
      <c r="X1176" s="19"/>
      <c r="Y1176" s="19"/>
    </row>
    <row r="1177" spans="1:25" ht="12" customHeight="1">
      <c r="A1177" s="219" t="n" cm="1">
        <f t="array" ref="A1177">IFERROR(INDEX('03.Muestra'!$B$8:$B$42,SMALL(IF("Página Web"='03.Muestra'!$D$8:$D$42,ROW('03.Muestra'!$B$8:$B$42)-MIN(ROW('03.Muestra'!$D$8:$D$42))+1,""),ROW()-1158)),"")</f>
        <v>1.0</v>
      </c>
      <c r="B1177" s="114" t="str" cm="1">
        <f t="array" ref="B1177">IFERROR(INDEX('03.Muestra'!$C$8:$C$42,SMALL(IF("Página Web"='03.Muestra'!$D$8:$D$42,ROW('03.Muestra'!$C$8:$C$42)-MIN(ROW('03.Muestra'!$D$8:$D$42))+1,""),ROW()-1158)),"")</f>
        <v>Home - PortCastelló</v>
      </c>
      <c r="C1177" s="114" t="str" cm="1">
        <f t="array" ref="C1177">IFERROR(INDEX('03.Muestra'!$F$8:$F$42,SMALL(IF("Página Web"='03.Muestra'!$D$8:$D$42,ROW('03.Muestra'!$F$8:$F$42)-MIN(ROW('03.Muestra'!$D$8:$D$42))+1,""),ROW()-1158)),"")</f>
        <v>https://www.portcastello.com/</v>
      </c>
      <c r="D1177" s="130" t="str">
        <f t="shared" si="61"/>
        <v>N/T</v>
      </c>
      <c r="E1177" s="107" t="str">
        <f t="shared" si="60"/>
        <v/>
      </c>
      <c r="F1177" s="19"/>
      <c r="G1177" s="19"/>
      <c r="H1177" s="19"/>
      <c r="I1177" s="19"/>
      <c r="J1177" s="19"/>
      <c r="K1177" s="233"/>
      <c r="L1177" s="19"/>
      <c r="M1177" s="19"/>
      <c r="N1177" s="19"/>
      <c r="O1177" s="19"/>
      <c r="P1177" s="19"/>
      <c r="Q1177" s="19"/>
      <c r="R1177" s="19"/>
      <c r="S1177" s="19"/>
      <c r="T1177" s="19"/>
      <c r="U1177" s="19"/>
      <c r="V1177" s="19"/>
      <c r="W1177" s="19"/>
      <c r="X1177" s="19"/>
      <c r="Y1177" s="19"/>
    </row>
    <row r="1178" spans="1:25" ht="12" customHeight="1">
      <c r="A1178" s="219" t="n" cm="1">
        <f t="array" ref="A1178">IFERROR(INDEX('03.Muestra'!$B$8:$B$42,SMALL(IF("Página Web"='03.Muestra'!$D$8:$D$42,ROW('03.Muestra'!$B$8:$B$42)-MIN(ROW('03.Muestra'!$D$8:$D$42))+1,""),ROW()-1158)),"")</f>
        <v>1.0</v>
      </c>
      <c r="B1178" s="114" t="str" cm="1">
        <f t="array" ref="B1178">IFERROR(INDEX('03.Muestra'!$C$8:$C$42,SMALL(IF("Página Web"='03.Muestra'!$D$8:$D$42,ROW('03.Muestra'!$C$8:$C$42)-MIN(ROW('03.Muestra'!$D$8:$D$42))+1,""),ROW()-1158)),"")</f>
        <v>Home - PortCastelló</v>
      </c>
      <c r="C1178" s="114" t="str" cm="1">
        <f t="array" ref="C1178">IFERROR(INDEX('03.Muestra'!$F$8:$F$42,SMALL(IF("Página Web"='03.Muestra'!$D$8:$D$42,ROW('03.Muestra'!$F$8:$F$42)-MIN(ROW('03.Muestra'!$D$8:$D$42))+1,""),ROW()-1158)),"")</f>
        <v>https://www.portcastello.com/</v>
      </c>
      <c r="D1178" s="130" t="str">
        <f t="shared" si="61"/>
        <v>N/T</v>
      </c>
      <c r="E1178" s="107" t="str">
        <f t="shared" si="60"/>
        <v/>
      </c>
      <c r="F1178" s="19"/>
      <c r="G1178" s="19"/>
      <c r="H1178" s="19"/>
      <c r="I1178" s="19"/>
      <c r="J1178" s="19"/>
      <c r="K1178" s="233"/>
      <c r="L1178" s="19"/>
      <c r="M1178" s="19"/>
      <c r="N1178" s="19"/>
      <c r="O1178" s="19"/>
      <c r="P1178" s="19"/>
      <c r="Q1178" s="19"/>
      <c r="R1178" s="19"/>
      <c r="S1178" s="19"/>
      <c r="T1178" s="19"/>
      <c r="U1178" s="19"/>
      <c r="V1178" s="19"/>
      <c r="W1178" s="19"/>
      <c r="X1178" s="19"/>
      <c r="Y1178" s="19"/>
    </row>
    <row r="1179" spans="1:25" ht="12" customHeight="1">
      <c r="A1179" s="219" t="n" cm="1">
        <f t="array" ref="A1179">IFERROR(INDEX('03.Muestra'!$B$8:$B$42,SMALL(IF("Página Web"='03.Muestra'!$D$8:$D$42,ROW('03.Muestra'!$B$8:$B$42)-MIN(ROW('03.Muestra'!$D$8:$D$42))+1,""),ROW()-1158)),"")</f>
        <v>1.0</v>
      </c>
      <c r="B1179" s="114" t="str" cm="1">
        <f t="array" ref="B1179">IFERROR(INDEX('03.Muestra'!$C$8:$C$42,SMALL(IF("Página Web"='03.Muestra'!$D$8:$D$42,ROW('03.Muestra'!$C$8:$C$42)-MIN(ROW('03.Muestra'!$D$8:$D$42))+1,""),ROW()-1158)),"")</f>
        <v>Home - PortCastelló</v>
      </c>
      <c r="C1179" s="114" t="str" cm="1">
        <f t="array" ref="C1179">IFERROR(INDEX('03.Muestra'!$F$8:$F$42,SMALL(IF("Página Web"='03.Muestra'!$D$8:$D$42,ROW('03.Muestra'!$F$8:$F$42)-MIN(ROW('03.Muestra'!$D$8:$D$42))+1,""),ROW()-1158)),"")</f>
        <v>https://www.portcastello.com/</v>
      </c>
      <c r="D1179" s="130" t="str">
        <f t="shared" si="61"/>
        <v>N/T</v>
      </c>
      <c r="E1179" s="107" t="str">
        <f t="shared" si="60"/>
        <v/>
      </c>
      <c r="F1179" s="19"/>
      <c r="G1179" s="19"/>
      <c r="H1179" s="19"/>
      <c r="I1179" s="19"/>
      <c r="J1179" s="19"/>
      <c r="K1179" s="233"/>
      <c r="L1179" s="19"/>
      <c r="M1179" s="19"/>
      <c r="N1179" s="19"/>
      <c r="O1179" s="19"/>
      <c r="P1179" s="19"/>
      <c r="Q1179" s="19"/>
      <c r="R1179" s="19"/>
      <c r="S1179" s="19"/>
      <c r="T1179" s="19"/>
      <c r="U1179" s="19"/>
      <c r="V1179" s="19"/>
      <c r="W1179" s="19"/>
      <c r="X1179" s="19"/>
      <c r="Y1179" s="19"/>
    </row>
    <row r="1180" spans="1:25" ht="12" customHeight="1">
      <c r="A1180" s="219" t="n" cm="1">
        <f t="array" ref="A1180">IFERROR(INDEX('03.Muestra'!$B$8:$B$42,SMALL(IF("Página Web"='03.Muestra'!$D$8:$D$42,ROW('03.Muestra'!$B$8:$B$42)-MIN(ROW('03.Muestra'!$D$8:$D$42))+1,""),ROW()-1158)),"")</f>
        <v>1.0</v>
      </c>
      <c r="B1180" s="114" t="str" cm="1">
        <f t="array" ref="B1180">IFERROR(INDEX('03.Muestra'!$C$8:$C$42,SMALL(IF("Página Web"='03.Muestra'!$D$8:$D$42,ROW('03.Muestra'!$C$8:$C$42)-MIN(ROW('03.Muestra'!$D$8:$D$42))+1,""),ROW()-1158)),"")</f>
        <v>Home - PortCastelló</v>
      </c>
      <c r="C1180" s="114" t="str" cm="1">
        <f t="array" ref="C1180">IFERROR(INDEX('03.Muestra'!$F$8:$F$42,SMALL(IF("Página Web"='03.Muestra'!$D$8:$D$42,ROW('03.Muestra'!$F$8:$F$42)-MIN(ROW('03.Muestra'!$D$8:$D$42))+1,""),ROW()-1158)),"")</f>
        <v>https://www.portcastello.com/</v>
      </c>
      <c r="D1180" s="130" t="str">
        <f t="shared" si="61"/>
        <v>N/T</v>
      </c>
      <c r="E1180" s="107" t="str">
        <f t="shared" si="60"/>
        <v/>
      </c>
      <c r="F1180" s="19"/>
      <c r="G1180" s="19"/>
      <c r="H1180" s="19"/>
      <c r="I1180" s="19"/>
      <c r="J1180" s="19"/>
      <c r="K1180" s="233"/>
      <c r="L1180" s="19"/>
      <c r="M1180" s="19"/>
      <c r="N1180" s="19"/>
      <c r="O1180" s="19"/>
      <c r="P1180" s="19"/>
      <c r="Q1180" s="19"/>
      <c r="R1180" s="19"/>
      <c r="S1180" s="19"/>
      <c r="T1180" s="19"/>
      <c r="U1180" s="19"/>
      <c r="V1180" s="19"/>
      <c r="W1180" s="19"/>
      <c r="X1180" s="19"/>
      <c r="Y1180" s="19"/>
    </row>
    <row r="1181" spans="1:25" ht="12" customHeight="1">
      <c r="A1181" s="219" t="n" cm="1">
        <f t="array" ref="A1181">IFERROR(INDEX('03.Muestra'!$B$8:$B$42,SMALL(IF("Página Web"='03.Muestra'!$D$8:$D$42,ROW('03.Muestra'!$B$8:$B$42)-MIN(ROW('03.Muestra'!$D$8:$D$42))+1,""),ROW()-1158)),"")</f>
        <v>1.0</v>
      </c>
      <c r="B1181" s="114" t="str" cm="1">
        <f t="array" ref="B1181">IFERROR(INDEX('03.Muestra'!$C$8:$C$42,SMALL(IF("Página Web"='03.Muestra'!$D$8:$D$42,ROW('03.Muestra'!$C$8:$C$42)-MIN(ROW('03.Muestra'!$D$8:$D$42))+1,""),ROW()-1158)),"")</f>
        <v>Home - PortCastelló</v>
      </c>
      <c r="C1181" s="114" t="str" cm="1">
        <f t="array" ref="C1181">IFERROR(INDEX('03.Muestra'!$F$8:$F$42,SMALL(IF("Página Web"='03.Muestra'!$D$8:$D$42,ROW('03.Muestra'!$F$8:$F$42)-MIN(ROW('03.Muestra'!$D$8:$D$42))+1,""),ROW()-1158)),"")</f>
        <v>https://www.portcastello.com/</v>
      </c>
      <c r="D1181" s="130" t="str">
        <f t="shared" si="61"/>
        <v>N/T</v>
      </c>
      <c r="E1181" s="107" t="str">
        <f t="shared" si="60"/>
        <v/>
      </c>
      <c r="F1181" s="19"/>
      <c r="G1181" s="19"/>
      <c r="H1181" s="19"/>
      <c r="I1181" s="19"/>
      <c r="J1181" s="19"/>
      <c r="K1181" s="233"/>
      <c r="L1181" s="19"/>
      <c r="M1181" s="19"/>
      <c r="N1181" s="19"/>
      <c r="O1181" s="19"/>
      <c r="P1181" s="19"/>
      <c r="Q1181" s="19"/>
      <c r="R1181" s="19"/>
      <c r="S1181" s="19"/>
      <c r="T1181" s="19"/>
      <c r="U1181" s="19"/>
      <c r="V1181" s="19"/>
      <c r="W1181" s="19"/>
      <c r="X1181" s="19"/>
      <c r="Y1181" s="19"/>
    </row>
    <row r="1182" spans="1:25" ht="12" customHeight="1">
      <c r="A1182" s="219" t="n" cm="1">
        <f t="array" ref="A1182">IFERROR(INDEX('03.Muestra'!$B$8:$B$42,SMALL(IF("Página Web"='03.Muestra'!$D$8:$D$42,ROW('03.Muestra'!$B$8:$B$42)-MIN(ROW('03.Muestra'!$D$8:$D$42))+1,""),ROW()-1158)),"")</f>
        <v>1.0</v>
      </c>
      <c r="B1182" s="114" t="str" cm="1">
        <f t="array" ref="B1182">IFERROR(INDEX('03.Muestra'!$C$8:$C$42,SMALL(IF("Página Web"='03.Muestra'!$D$8:$D$42,ROW('03.Muestra'!$C$8:$C$42)-MIN(ROW('03.Muestra'!$D$8:$D$42))+1,""),ROW()-1158)),"")</f>
        <v>Home - PortCastelló</v>
      </c>
      <c r="C1182" s="114" t="str" cm="1">
        <f t="array" ref="C1182">IFERROR(INDEX('03.Muestra'!$F$8:$F$42,SMALL(IF("Página Web"='03.Muestra'!$D$8:$D$42,ROW('03.Muestra'!$F$8:$F$42)-MIN(ROW('03.Muestra'!$D$8:$D$42))+1,""),ROW()-1158)),"")</f>
        <v>https://www.portcastello.com/</v>
      </c>
      <c r="D1182" s="130" t="str">
        <f t="shared" si="61"/>
        <v>N/T</v>
      </c>
      <c r="E1182" s="107" t="str">
        <f t="shared" si="60"/>
        <v/>
      </c>
      <c r="F1182" s="19"/>
      <c r="G1182" s="19"/>
      <c r="H1182" s="19"/>
      <c r="I1182" s="19"/>
      <c r="J1182" s="19"/>
      <c r="K1182" s="233"/>
      <c r="L1182" s="19"/>
      <c r="M1182" s="19"/>
      <c r="N1182" s="19"/>
      <c r="O1182" s="19"/>
      <c r="P1182" s="19"/>
      <c r="Q1182" s="19"/>
      <c r="R1182" s="19"/>
      <c r="S1182" s="19"/>
      <c r="T1182" s="19"/>
      <c r="U1182" s="19"/>
      <c r="V1182" s="19"/>
      <c r="W1182" s="19"/>
      <c r="X1182" s="19"/>
      <c r="Y1182" s="19"/>
    </row>
    <row r="1183" spans="1:25" ht="12" customHeight="1">
      <c r="A1183" s="219" t="n" cm="1">
        <f t="array" ref="A1183">IFERROR(INDEX('03.Muestra'!$B$8:$B$42,SMALL(IF("Página Web"='03.Muestra'!$D$8:$D$42,ROW('03.Muestra'!$B$8:$B$42)-MIN(ROW('03.Muestra'!$D$8:$D$42))+1,""),ROW()-1158)),"")</f>
        <v>1.0</v>
      </c>
      <c r="B1183" s="114" t="str" cm="1">
        <f t="array" ref="B1183">IFERROR(INDEX('03.Muestra'!$C$8:$C$42,SMALL(IF("Página Web"='03.Muestra'!$D$8:$D$42,ROW('03.Muestra'!$C$8:$C$42)-MIN(ROW('03.Muestra'!$D$8:$D$42))+1,""),ROW()-1158)),"")</f>
        <v>Home - PortCastelló</v>
      </c>
      <c r="C1183" s="114" t="str" cm="1">
        <f t="array" ref="C1183">IFERROR(INDEX('03.Muestra'!$F$8:$F$42,SMALL(IF("Página Web"='03.Muestra'!$D$8:$D$42,ROW('03.Muestra'!$F$8:$F$42)-MIN(ROW('03.Muestra'!$D$8:$D$42))+1,""),ROW()-1158)),"")</f>
        <v>https://www.portcastello.com/</v>
      </c>
      <c r="D1183" s="130" t="str">
        <f t="shared" si="61"/>
        <v>N/T</v>
      </c>
      <c r="E1183" s="107" t="str">
        <f t="shared" si="60"/>
        <v/>
      </c>
      <c r="F1183" s="19"/>
      <c r="G1183" s="19"/>
      <c r="H1183" s="19"/>
      <c r="I1183" s="19"/>
      <c r="J1183" s="19"/>
      <c r="K1183" s="233"/>
      <c r="L1183" s="19"/>
      <c r="M1183" s="19"/>
      <c r="N1183" s="19"/>
      <c r="O1183" s="19"/>
      <c r="P1183" s="19"/>
      <c r="Q1183" s="19"/>
      <c r="R1183" s="19"/>
      <c r="S1183" s="19"/>
      <c r="T1183" s="19"/>
      <c r="U1183" s="19"/>
      <c r="V1183" s="19"/>
      <c r="W1183" s="19"/>
      <c r="X1183" s="19"/>
      <c r="Y1183" s="19"/>
    </row>
    <row r="1184" spans="1:25" ht="12" customHeight="1">
      <c r="A1184" s="219" t="n" cm="1">
        <f t="array" ref="A1184">IFERROR(INDEX('03.Muestra'!$B$8:$B$42,SMALL(IF("Página Web"='03.Muestra'!$D$8:$D$42,ROW('03.Muestra'!$B$8:$B$42)-MIN(ROW('03.Muestra'!$D$8:$D$42))+1,""),ROW()-1158)),"")</f>
        <v>1.0</v>
      </c>
      <c r="B1184" s="114" t="str" cm="1">
        <f t="array" ref="B1184">IFERROR(INDEX('03.Muestra'!$C$8:$C$42,SMALL(IF("Página Web"='03.Muestra'!$D$8:$D$42,ROW('03.Muestra'!$C$8:$C$42)-MIN(ROW('03.Muestra'!$D$8:$D$42))+1,""),ROW()-1158)),"")</f>
        <v>Home - PortCastelló</v>
      </c>
      <c r="C1184" s="114" t="str" cm="1">
        <f t="array" ref="C1184">IFERROR(INDEX('03.Muestra'!$F$8:$F$42,SMALL(IF("Página Web"='03.Muestra'!$D$8:$D$42,ROW('03.Muestra'!$F$8:$F$42)-MIN(ROW('03.Muestra'!$D$8:$D$42))+1,""),ROW()-1158)),"")</f>
        <v>https://www.portcastello.com/</v>
      </c>
      <c r="D1184" s="130" t="str">
        <f t="shared" si="61"/>
        <v>N/T</v>
      </c>
      <c r="E1184" s="107" t="str">
        <f t="shared" si="60"/>
        <v/>
      </c>
      <c r="F1184" s="19"/>
      <c r="G1184" s="19"/>
      <c r="H1184" s="19"/>
      <c r="I1184" s="19"/>
      <c r="J1184" s="19"/>
      <c r="K1184" s="233"/>
      <c r="L1184" s="19"/>
      <c r="M1184" s="19"/>
      <c r="N1184" s="19"/>
      <c r="O1184" s="19"/>
      <c r="P1184" s="19"/>
      <c r="Q1184" s="19"/>
      <c r="R1184" s="19"/>
      <c r="S1184" s="19"/>
      <c r="T1184" s="19"/>
      <c r="U1184" s="19"/>
      <c r="V1184" s="19"/>
      <c r="W1184" s="19"/>
      <c r="X1184" s="19"/>
      <c r="Y1184" s="19"/>
    </row>
    <row r="1185" spans="1:25" ht="12" customHeight="1">
      <c r="A1185" s="219" t="n" cm="1">
        <f t="array" ref="A1185">IFERROR(INDEX('03.Muestra'!$B$8:$B$42,SMALL(IF("Página Web"='03.Muestra'!$D$8:$D$42,ROW('03.Muestra'!$B$8:$B$42)-MIN(ROW('03.Muestra'!$D$8:$D$42))+1,""),ROW()-1158)),"")</f>
        <v>1.0</v>
      </c>
      <c r="B1185" s="114" t="str" cm="1">
        <f t="array" ref="B1185">IFERROR(INDEX('03.Muestra'!$C$8:$C$42,SMALL(IF("Página Web"='03.Muestra'!$D$8:$D$42,ROW('03.Muestra'!$C$8:$C$42)-MIN(ROW('03.Muestra'!$D$8:$D$42))+1,""),ROW()-1158)),"")</f>
        <v>Home - PortCastelló</v>
      </c>
      <c r="C1185" s="114" t="str" cm="1">
        <f t="array" ref="C1185">IFERROR(INDEX('03.Muestra'!$F$8:$F$42,SMALL(IF("Página Web"='03.Muestra'!$D$8:$D$42,ROW('03.Muestra'!$F$8:$F$42)-MIN(ROW('03.Muestra'!$D$8:$D$42))+1,""),ROW()-1158)),"")</f>
        <v>https://www.portcastello.com/</v>
      </c>
      <c r="D1185" s="130" t="str">
        <f t="shared" si="61"/>
        <v>N/T</v>
      </c>
      <c r="E1185" s="107" t="str">
        <f t="shared" si="60"/>
        <v/>
      </c>
      <c r="F1185" s="19"/>
      <c r="G1185" s="19"/>
      <c r="H1185" s="19"/>
      <c r="I1185" s="19"/>
      <c r="J1185" s="19"/>
      <c r="K1185" s="233"/>
      <c r="L1185" s="19"/>
      <c r="M1185" s="19"/>
      <c r="N1185" s="19"/>
      <c r="O1185" s="19"/>
      <c r="P1185" s="19"/>
      <c r="Q1185" s="19"/>
      <c r="R1185" s="19"/>
      <c r="S1185" s="19"/>
      <c r="T1185" s="19"/>
      <c r="U1185" s="19"/>
      <c r="V1185" s="19"/>
      <c r="W1185" s="19"/>
      <c r="X1185" s="19"/>
      <c r="Y1185" s="19"/>
    </row>
    <row r="1186" spans="1:25" ht="12" customHeight="1">
      <c r="A1186" s="219" t="n" cm="1">
        <f t="array" ref="A1186">IFERROR(INDEX('03.Muestra'!$B$8:$B$42,SMALL(IF("Página Web"='03.Muestra'!$D$8:$D$42,ROW('03.Muestra'!$B$8:$B$42)-MIN(ROW('03.Muestra'!$D$8:$D$42))+1,""),ROW()-1158)),"")</f>
        <v>1.0</v>
      </c>
      <c r="B1186" s="114" t="str" cm="1">
        <f t="array" ref="B1186">IFERROR(INDEX('03.Muestra'!$C$8:$C$42,SMALL(IF("Página Web"='03.Muestra'!$D$8:$D$42,ROW('03.Muestra'!$C$8:$C$42)-MIN(ROW('03.Muestra'!$D$8:$D$42))+1,""),ROW()-1158)),"")</f>
        <v>Home - PortCastelló</v>
      </c>
      <c r="C1186" s="114" t="str" cm="1">
        <f t="array" ref="C1186">IFERROR(INDEX('03.Muestra'!$F$8:$F$42,SMALL(IF("Página Web"='03.Muestra'!$D$8:$D$42,ROW('03.Muestra'!$F$8:$F$42)-MIN(ROW('03.Muestra'!$D$8:$D$42))+1,""),ROW()-1158)),"")</f>
        <v>https://www.portcastello.com/</v>
      </c>
      <c r="D1186" s="130" t="str">
        <f t="shared" si="61"/>
        <v>N/T</v>
      </c>
      <c r="E1186" s="107" t="str">
        <f t="shared" si="60"/>
        <v/>
      </c>
      <c r="G1186" s="19"/>
      <c r="H1186" s="19"/>
      <c r="I1186" s="19"/>
      <c r="J1186" s="19"/>
      <c r="K1186" s="233"/>
      <c r="L1186" s="19"/>
      <c r="M1186" s="19"/>
      <c r="N1186" s="19"/>
      <c r="O1186" s="19"/>
      <c r="P1186" s="19"/>
      <c r="Q1186" s="19"/>
      <c r="R1186" s="19"/>
      <c r="S1186" s="19"/>
      <c r="T1186" s="19"/>
      <c r="U1186" s="19"/>
      <c r="V1186" s="19"/>
      <c r="W1186" s="19"/>
      <c r="X1186" s="19"/>
      <c r="Y1186" s="19"/>
    </row>
    <row r="1187" spans="1:25" ht="12" customHeight="1">
      <c r="A1187" s="219" t="n" cm="1">
        <f t="array" ref="A1187">IFERROR(INDEX('03.Muestra'!$B$8:$B$42,SMALL(IF("Página Web"='03.Muestra'!$D$8:$D$42,ROW('03.Muestra'!$B$8:$B$42)-MIN(ROW('03.Muestra'!$D$8:$D$42))+1,""),ROW()-1158)),"")</f>
        <v>1.0</v>
      </c>
      <c r="B1187" s="114" t="str" cm="1">
        <f t="array" ref="B1187">IFERROR(INDEX('03.Muestra'!$C$8:$C$42,SMALL(IF("Página Web"='03.Muestra'!$D$8:$D$42,ROW('03.Muestra'!$C$8:$C$42)-MIN(ROW('03.Muestra'!$D$8:$D$42))+1,""),ROW()-1158)),"")</f>
        <v>Home - PortCastelló</v>
      </c>
      <c r="C1187" s="114" t="str" cm="1">
        <f t="array" ref="C1187">IFERROR(INDEX('03.Muestra'!$F$8:$F$42,SMALL(IF("Página Web"='03.Muestra'!$D$8:$D$42,ROW('03.Muestra'!$F$8:$F$42)-MIN(ROW('03.Muestra'!$D$8:$D$42))+1,""),ROW()-1158)),"")</f>
        <v>https://www.portcastello.com/</v>
      </c>
      <c r="D1187" s="130" t="str">
        <f t="shared" si="61"/>
        <v>N/T</v>
      </c>
      <c r="E1187" s="107" t="str">
        <f t="shared" si="60"/>
        <v/>
      </c>
      <c r="F1187" s="124"/>
      <c r="G1187" s="19"/>
      <c r="H1187" s="19"/>
      <c r="I1187" s="19"/>
      <c r="J1187" s="19"/>
      <c r="K1187" s="233"/>
      <c r="L1187" s="19"/>
      <c r="M1187" s="19"/>
      <c r="N1187" s="19"/>
      <c r="O1187" s="19"/>
      <c r="P1187" s="19"/>
      <c r="Q1187" s="19"/>
      <c r="R1187" s="19"/>
      <c r="S1187" s="19"/>
      <c r="T1187" s="19"/>
      <c r="U1187" s="19"/>
      <c r="V1187" s="19"/>
      <c r="W1187" s="19"/>
      <c r="X1187" s="19"/>
      <c r="Y1187" s="19"/>
    </row>
    <row r="1188" spans="1:25" ht="12" customHeight="1">
      <c r="A1188" s="219" t="n" cm="1">
        <f t="array" ref="A1188">IFERROR(INDEX('03.Muestra'!$B$8:$B$42,SMALL(IF("Página Web"='03.Muestra'!$D$8:$D$42,ROW('03.Muestra'!$B$8:$B$42)-MIN(ROW('03.Muestra'!$D$8:$D$42))+1,""),ROW()-1158)),"")</f>
        <v>1.0</v>
      </c>
      <c r="B1188" s="114" t="str" cm="1">
        <f t="array" ref="B1188">IFERROR(INDEX('03.Muestra'!$C$8:$C$42,SMALL(IF("Página Web"='03.Muestra'!$D$8:$D$42,ROW('03.Muestra'!$C$8:$C$42)-MIN(ROW('03.Muestra'!$D$8:$D$42))+1,""),ROW()-1158)),"")</f>
        <v>Home - PortCastelló</v>
      </c>
      <c r="C1188" s="114" t="str" cm="1">
        <f t="array" ref="C1188">IFERROR(INDEX('03.Muestra'!$F$8:$F$42,SMALL(IF("Página Web"='03.Muestra'!$D$8:$D$42,ROW('03.Muestra'!$F$8:$F$42)-MIN(ROW('03.Muestra'!$D$8:$D$42))+1,""),ROW()-1158)),"")</f>
        <v>https://www.portcastello.com/</v>
      </c>
      <c r="D1188" s="130" t="str">
        <f t="shared" si="61"/>
        <v>N/T</v>
      </c>
      <c r="E1188" s="107" t="str">
        <f t="shared" si="60"/>
        <v/>
      </c>
      <c r="F1188" s="124"/>
      <c r="G1188" s="19"/>
      <c r="H1188" s="19"/>
      <c r="I1188" s="19"/>
      <c r="J1188" s="19"/>
      <c r="K1188" s="233"/>
      <c r="L1188" s="19"/>
      <c r="M1188" s="19"/>
      <c r="N1188" s="19"/>
      <c r="O1188" s="19"/>
      <c r="P1188" s="19"/>
      <c r="Q1188" s="19"/>
      <c r="R1188" s="19"/>
      <c r="S1188" s="19"/>
      <c r="T1188" s="19"/>
      <c r="U1188" s="19"/>
      <c r="V1188" s="19"/>
      <c r="W1188" s="19"/>
      <c r="X1188" s="19"/>
      <c r="Y1188" s="19"/>
    </row>
    <row r="1189" spans="1:25" ht="12" customHeight="1">
      <c r="A1189" s="219" t="n" cm="1">
        <f t="array" ref="A1189">IFERROR(INDEX('03.Muestra'!$B$8:$B$42,SMALL(IF("Página Web"='03.Muestra'!$D$8:$D$42,ROW('03.Muestra'!$B$8:$B$42)-MIN(ROW('03.Muestra'!$D$8:$D$42))+1,""),ROW()-1158)),"")</f>
        <v>1.0</v>
      </c>
      <c r="B1189" s="114" t="str" cm="1">
        <f t="array" ref="B1189">IFERROR(INDEX('03.Muestra'!$C$8:$C$42,SMALL(IF("Página Web"='03.Muestra'!$D$8:$D$42,ROW('03.Muestra'!$C$8:$C$42)-MIN(ROW('03.Muestra'!$D$8:$D$42))+1,""),ROW()-1158)),"")</f>
        <v>Home - PortCastelló</v>
      </c>
      <c r="C1189" s="114" t="str" cm="1">
        <f t="array" ref="C1189">IFERROR(INDEX('03.Muestra'!$F$8:$F$42,SMALL(IF("Página Web"='03.Muestra'!$D$8:$D$42,ROW('03.Muestra'!$F$8:$F$42)-MIN(ROW('03.Muestra'!$D$8:$D$42))+1,""),ROW()-1158)),"")</f>
        <v>https://www.portcastello.com/</v>
      </c>
      <c r="D1189" s="130" t="str">
        <f t="shared" si="61"/>
        <v>N/T</v>
      </c>
      <c r="E1189" s="107" t="str">
        <f t="shared" si="60"/>
        <v/>
      </c>
      <c r="F1189" s="124"/>
      <c r="G1189" s="19"/>
      <c r="H1189" s="19"/>
      <c r="I1189" s="19"/>
      <c r="J1189" s="19"/>
      <c r="K1189" s="233"/>
      <c r="L1189" s="19"/>
    </row>
    <row r="1190" spans="1:25" ht="12" customHeight="1">
      <c r="A1190" s="219" t="n" cm="1">
        <f t="array" ref="A1190">IFERROR(INDEX('03.Muestra'!$B$8:$B$42,SMALL(IF("Página Web"='03.Muestra'!$D$8:$D$42,ROW('03.Muestra'!$B$8:$B$42)-MIN(ROW('03.Muestra'!$D$8:$D$42))+1,""),ROW()-1158)),"")</f>
        <v>1.0</v>
      </c>
      <c r="B1190" s="114" t="str" cm="1">
        <f t="array" ref="B1190">IFERROR(INDEX('03.Muestra'!$C$8:$C$42,SMALL(IF("Página Web"='03.Muestra'!$D$8:$D$42,ROW('03.Muestra'!$C$8:$C$42)-MIN(ROW('03.Muestra'!$D$8:$D$42))+1,""),ROW()-1158)),"")</f>
        <v>Home - PortCastelló</v>
      </c>
      <c r="C1190" s="114" t="str" cm="1">
        <f t="array" ref="C1190">IFERROR(INDEX('03.Muestra'!$F$8:$F$42,SMALL(IF("Página Web"='03.Muestra'!$D$8:$D$42,ROW('03.Muestra'!$F$8:$F$42)-MIN(ROW('03.Muestra'!$D$8:$D$42))+1,""),ROW()-1158)),"")</f>
        <v>https://www.portcastello.com/</v>
      </c>
      <c r="D1190" s="130" t="str">
        <f t="shared" si="61"/>
        <v>N/T</v>
      </c>
      <c r="E1190" s="107" t="str">
        <f t="shared" si="60"/>
        <v/>
      </c>
      <c r="F1190" s="124"/>
      <c r="G1190" s="19"/>
      <c r="H1190" s="19"/>
      <c r="I1190" s="19"/>
      <c r="J1190" s="19"/>
      <c r="K1190" s="233"/>
      <c r="L1190" s="19"/>
    </row>
    <row r="1191" spans="1:25" ht="12" customHeight="1">
      <c r="A1191" s="219" t="n" cm="1">
        <f t="array" ref="A1191">IFERROR(INDEX('03.Muestra'!$B$8:$B$42,SMALL(IF("Página Web"='03.Muestra'!$D$8:$D$42,ROW('03.Muestra'!$B$8:$B$42)-MIN(ROW('03.Muestra'!$D$8:$D$42))+1,""),ROW()-1158)),"")</f>
        <v>1.0</v>
      </c>
      <c r="B1191" s="114" t="str" cm="1">
        <f t="array" ref="B1191">IFERROR(INDEX('03.Muestra'!$C$8:$C$42,SMALL(IF("Página Web"='03.Muestra'!$D$8:$D$42,ROW('03.Muestra'!$C$8:$C$42)-MIN(ROW('03.Muestra'!$D$8:$D$42))+1,""),ROW()-1158)),"")</f>
        <v>Home - PortCastelló</v>
      </c>
      <c r="C1191" s="114" t="str" cm="1">
        <f t="array" ref="C1191">IFERROR(INDEX('03.Muestra'!$F$8:$F$42,SMALL(IF("Página Web"='03.Muestra'!$D$8:$D$42,ROW('03.Muestra'!$F$8:$F$42)-MIN(ROW('03.Muestra'!$D$8:$D$42))+1,""),ROW()-1158)),"")</f>
        <v>https://www.portcastello.com/</v>
      </c>
      <c r="D1191" s="130" t="str">
        <f t="shared" si="61"/>
        <v>N/T</v>
      </c>
      <c r="E1191" s="107" t="str">
        <f t="shared" si="60"/>
        <v/>
      </c>
      <c r="F1191" s="124"/>
      <c r="G1191" s="19"/>
      <c r="H1191" s="19"/>
      <c r="I1191" s="19"/>
      <c r="J1191" s="19"/>
      <c r="K1191" s="233"/>
      <c r="L1191" s="19"/>
    </row>
    <row r="1192" spans="1:25" ht="12" customHeight="1">
      <c r="A1192" s="219" t="str" cm="1">
        <f t="array" ref="A1192">IFERROR(INDEX('03.Muestra'!$B$8:$B$42,SMALL(IF("Página Web"='03.Muestra'!$D$8:$D$42,ROW('03.Muestra'!$B$8:$B$42)-MIN(ROW('03.Muestra'!$D$8:$D$42))+1,""),ROW()-1158)),"")</f>
        <v/>
      </c>
      <c r="B1192" s="114" t="str" cm="1">
        <f t="array" ref="B1192">IFERROR(INDEX('03.Muestra'!$C$8:$C$42,SMALL(IF("Página Web"='03.Muestra'!$D$8:$D$42,ROW('03.Muestra'!$C$8:$C$42)-MIN(ROW('03.Muestra'!$D$8:$D$42))+1,""),ROW()-1158)),"")</f>
        <v/>
      </c>
      <c r="C1192" s="114" t="str" cm="1">
        <f t="array" ref="C1192">IFERROR(INDEX('03.Muestra'!$F$8:$F$42,SMALL(IF("Página Web"='03.Muestra'!$D$8:$D$42,ROW('03.Muestra'!$F$8:$F$42)-MIN(ROW('03.Muestra'!$D$8:$D$42))+1,""),ROW()-1158)),"")</f>
        <v/>
      </c>
      <c r="D1192" s="130" t="str">
        <f t="shared" si="61"/>
        <v/>
      </c>
      <c r="E1192" s="107" t="str">
        <f t="shared" si="60"/>
        <v/>
      </c>
      <c r="F1192" s="124"/>
      <c r="G1192" s="19"/>
      <c r="H1192" s="19"/>
      <c r="I1192" s="19"/>
      <c r="J1192" s="19"/>
      <c r="K1192" s="233"/>
      <c r="L1192" s="19"/>
    </row>
    <row r="1193" spans="1:25" ht="12" customHeight="1">
      <c r="A1193" s="219" t="str" cm="1">
        <f t="array" ref="A1193">IFERROR(INDEX('03.Muestra'!$B$8:$B$42,SMALL(IF("Página Web"='03.Muestra'!$D$8:$D$42,ROW('03.Muestra'!$B$8:$B$42)-MIN(ROW('03.Muestra'!$D$8:$D$42))+1,""),ROW()-1158)),"")</f>
        <v/>
      </c>
      <c r="B1193" s="114" t="str" cm="1">
        <f t="array" ref="B1193">IFERROR(INDEX('03.Muestra'!$C$8:$C$42,SMALL(IF("Página Web"='03.Muestra'!$D$8:$D$42,ROW('03.Muestra'!$C$8:$C$42)-MIN(ROW('03.Muestra'!$D$8:$D$42))+1,""),ROW()-1158)),"")</f>
        <v/>
      </c>
      <c r="C1193" s="114" t="str" cm="1">
        <f t="array" ref="C1193">IFERROR(INDEX('03.Muestra'!$F$8:$F$42,SMALL(IF("Página Web"='03.Muestra'!$D$8:$D$42,ROW('03.Muestra'!$F$8:$F$42)-MIN(ROW('03.Muestra'!$D$8:$D$42))+1,""),ROW()-1158)),"")</f>
        <v/>
      </c>
      <c r="D1193" s="130" t="str">
        <f t="shared" si="61"/>
        <v/>
      </c>
      <c r="E1193" s="107" t="str">
        <f t="shared" si="60"/>
        <v/>
      </c>
      <c r="F1193" s="19"/>
      <c r="G1193" s="19"/>
      <c r="H1193" s="19"/>
      <c r="I1193" s="19"/>
      <c r="J1193" s="19"/>
      <c r="K1193" s="233"/>
      <c r="L1193" s="19"/>
    </row>
    <row r="1194" spans="1:25" ht="12" customHeight="1">
      <c r="B1194" s="19"/>
      <c r="C1194" s="19"/>
      <c r="D1194" s="107"/>
      <c r="E1194" s="19"/>
      <c r="F1194" s="19"/>
      <c r="G1194" s="19"/>
      <c r="H1194" s="19"/>
      <c r="I1194" s="19"/>
      <c r="J1194" s="19"/>
      <c r="K1194" s="233"/>
      <c r="L1194" s="19"/>
    </row>
    <row r="1195" spans="1:25" ht="12" customHeight="1">
      <c r="B1195" s="126"/>
      <c r="C1195" s="19"/>
      <c r="D1195" s="107"/>
      <c r="E1195" s="112"/>
      <c r="F1195" s="19"/>
      <c r="G1195" s="19"/>
      <c r="H1195" s="19"/>
      <c r="I1195" s="19"/>
      <c r="J1195" s="19"/>
      <c r="K1195" s="233"/>
      <c r="L1195" s="19"/>
    </row>
    <row r="1196" spans="1:25" ht="29.25" customHeight="1">
      <c r="A1196" s="218" t="s">
        <v>268</v>
      </c>
      <c r="B1196" s="24" t="s">
        <v>90</v>
      </c>
      <c r="C1196" s="25" t="s">
        <v>404</v>
      </c>
      <c r="D1196" s="26" t="s">
        <v>32</v>
      </c>
      <c r="E1196" s="123"/>
      <c r="K1196" s="233"/>
      <c r="L1196" s="19"/>
    </row>
    <row r="1197" spans="1:25" ht="12" customHeight="1">
      <c r="A1197" s="219" t="n" cm="1">
        <f t="array" ref="A1197">IFERROR(INDEX('03.Muestra'!$B$8:$B$42,SMALL(IF("Página Web"='03.Muestra'!$D$8:$D$42,ROW('03.Muestra'!$B$8:$B$42)-MIN(ROW('03.Muestra'!$D$8:$D$42))+1,""),ROW()-1196)),"")</f>
        <v>1.0</v>
      </c>
      <c r="B1197" s="114" t="str" cm="1">
        <f t="array" ref="B1197">IFERROR(INDEX('03.Muestra'!$C$8:$C$42,SMALL(IF("Página Web"='03.Muestra'!$D$8:$D$42,ROW('03.Muestra'!$C$8:$C$42)-MIN(ROW('03.Muestra'!$D$8:$D$42))+1,""),ROW()-1196)),"")</f>
        <v>Home - PortCastelló</v>
      </c>
      <c r="C1197" s="114" t="str" cm="1">
        <f t="array" ref="C1197">IFERROR(INDEX('03.Muestra'!$F$8:$F$42,SMALL(IF("Página Web"='03.Muestra'!$D$8:$D$42,ROW('03.Muestra'!$F$8:$F$42)-MIN(ROW('03.Muestra'!$D$8:$D$42))+1,""),ROW()-1196)),"")</f>
        <v>https://www.portcastello.com/</v>
      </c>
      <c r="D1197" s="130" t="s">
        <v>28</v>
      </c>
      <c r="E1197" s="107" t="str">
        <f t="shared" ref="E1197:E1231" si="62">IF(D1197&lt;&gt;"",IF(AND(B1197&lt;&gt;"",C1197&lt;&gt;""),"","ERR"),"")</f>
        <v/>
      </c>
      <c r="F1197" s="115" t="s">
        <v>33</v>
      </c>
      <c r="G1197" s="116" t="s">
        <v>37</v>
      </c>
      <c r="H1197" s="117" t="s">
        <v>35</v>
      </c>
      <c r="I1197" s="118" t="s">
        <v>28</v>
      </c>
      <c r="J1197" s="119" t="s">
        <v>26</v>
      </c>
      <c r="K1197" s="226" t="s">
        <v>474</v>
      </c>
      <c r="L1197" s="19"/>
    </row>
    <row r="1198" spans="1:25" ht="12" customHeight="1">
      <c r="A1198" s="219" t="n" cm="1">
        <f t="array" ref="A1198">IFERROR(INDEX('03.Muestra'!$B$8:$B$42,SMALL(IF("Página Web"='03.Muestra'!$D$8:$D$42,ROW('03.Muestra'!$B$8:$B$42)-MIN(ROW('03.Muestra'!$D$8:$D$42))+1,""),ROW()-1196)),"")</f>
        <v>1.0</v>
      </c>
      <c r="B1198" s="114" t="str" cm="1">
        <f t="array" ref="B1198">IFERROR(INDEX('03.Muestra'!$C$8:$C$42,SMALL(IF("Página Web"='03.Muestra'!$D$8:$D$42,ROW('03.Muestra'!$C$8:$C$42)-MIN(ROW('03.Muestra'!$D$8:$D$42))+1,""),ROW()-1196)),"")</f>
        <v>Home - PortCastelló</v>
      </c>
      <c r="C1198" s="114" t="str" cm="1">
        <f t="array" ref="C1198">IFERROR(INDEX('03.Muestra'!$F$8:$F$42,SMALL(IF("Página Web"='03.Muestra'!$D$8:$D$42,ROW('03.Muestra'!$F$8:$F$42)-MIN(ROW('03.Muestra'!$D$8:$D$42))+1,""),ROW()-1196)),"")</f>
        <v>https://www.portcastello.com/</v>
      </c>
      <c r="D1198" s="130" t="s">
        <v>28</v>
      </c>
      <c r="E1198" s="107" t="str">
        <f t="shared" si="62"/>
        <v/>
      </c>
      <c r="F1198" s="120" t="n">
        <f ca="1">COUNTIF($D1197:INDIRECT("$D" &amp;  SUM(ROW()-1,'03.Muestra'!$D$45)-1),F1197)</f>
        <v>0.0</v>
      </c>
      <c r="G1198" s="120" t="n">
        <f ca="1">COUNTIF($D1197:INDIRECT("$D" &amp;  SUM(ROW()-1,'03.Muestra'!$D$45)-1),G1197)</f>
        <v>0.0</v>
      </c>
      <c r="H1198" s="120" t="n">
        <f ca="1">COUNTIF($D1197:INDIRECT("$D" &amp;  SUM(ROW()-1,'03.Muestra'!$D$45)-1),H1197)</f>
        <v>0.0</v>
      </c>
      <c r="I1198" s="120" t="n">
        <f ca="1">COUNTIF($D1197:INDIRECT("$D" &amp;  SUM(ROW()-1,'03.Muestra'!$D$45)-1),I1197)</f>
        <v>33.0</v>
      </c>
      <c r="J1198" s="120" t="n">
        <f ca="1">COUNTIF($D1197:INDIRECT("$D" &amp;  SUM(ROW()-1,'03.Muestra'!$D$45)-1),J1197)</f>
        <v>0.0</v>
      </c>
      <c r="K1198" s="227" t="n">
        <f ca="1">IF(COUNTIF('03.Muestra'!$D$8:$D$42,"Página Web")=0,0,COUNTBLANK($D1197:INDIRECT("$D" &amp;  SUM(ROW()-1,COUNTIF('03.Muestra'!$D$8:$D$42,"Página Web"))-1)))</f>
        <v>0.0</v>
      </c>
      <c r="L1198" s="19"/>
    </row>
    <row r="1199" spans="1:25" ht="12" customHeight="1">
      <c r="A1199" s="219" t="n" cm="1">
        <f t="array" ref="A1199">IFERROR(INDEX('03.Muestra'!$B$8:$B$42,SMALL(IF("Página Web"='03.Muestra'!$D$8:$D$42,ROW('03.Muestra'!$B$8:$B$42)-MIN(ROW('03.Muestra'!$D$8:$D$42))+1,""),ROW()-1196)),"")</f>
        <v>1.0</v>
      </c>
      <c r="B1199" s="114" t="str" cm="1">
        <f t="array" ref="B1199">IFERROR(INDEX('03.Muestra'!$C$8:$C$42,SMALL(IF("Página Web"='03.Muestra'!$D$8:$D$42,ROW('03.Muestra'!$C$8:$C$42)-MIN(ROW('03.Muestra'!$D$8:$D$42))+1,""),ROW()-1196)),"")</f>
        <v>Home - PortCastelló</v>
      </c>
      <c r="C1199" s="114" t="str" cm="1">
        <f t="array" ref="C1199">IFERROR(INDEX('03.Muestra'!$F$8:$F$42,SMALL(IF("Página Web"='03.Muestra'!$D$8:$D$42,ROW('03.Muestra'!$F$8:$F$42)-MIN(ROW('03.Muestra'!$D$8:$D$42))+1,""),ROW()-1196)),"")</f>
        <v>https://www.portcastello.com/</v>
      </c>
      <c r="D1199" s="130" t="s">
        <v>28</v>
      </c>
      <c r="E1199" s="107" t="str">
        <f t="shared" si="62"/>
        <v/>
      </c>
      <c r="G1199" s="19"/>
      <c r="H1199" s="19"/>
      <c r="I1199" s="19"/>
      <c r="J1199" s="19"/>
      <c r="K1199" s="233"/>
      <c r="L1199" s="19"/>
    </row>
    <row r="1200" spans="1:25" ht="12" customHeight="1">
      <c r="A1200" s="219" t="n" cm="1">
        <f t="array" ref="A1200">IFERROR(INDEX('03.Muestra'!$B$8:$B$42,SMALL(IF("Página Web"='03.Muestra'!$D$8:$D$42,ROW('03.Muestra'!$B$8:$B$42)-MIN(ROW('03.Muestra'!$D$8:$D$42))+1,""),ROW()-1196)),"")</f>
        <v>1.0</v>
      </c>
      <c r="B1200" s="114" t="str" cm="1">
        <f t="array" ref="B1200">IFERROR(INDEX('03.Muestra'!$C$8:$C$42,SMALL(IF("Página Web"='03.Muestra'!$D$8:$D$42,ROW('03.Muestra'!$C$8:$C$42)-MIN(ROW('03.Muestra'!$D$8:$D$42))+1,""),ROW()-1196)),"")</f>
        <v>Home - PortCastelló</v>
      </c>
      <c r="C1200" s="114" t="str" cm="1">
        <f t="array" ref="C1200">IFERROR(INDEX('03.Muestra'!$F$8:$F$42,SMALL(IF("Página Web"='03.Muestra'!$D$8:$D$42,ROW('03.Muestra'!$F$8:$F$42)-MIN(ROW('03.Muestra'!$D$8:$D$42))+1,""),ROW()-1196)),"")</f>
        <v>https://www.portcastello.com/</v>
      </c>
      <c r="D1200" s="130" t="s">
        <v>28</v>
      </c>
      <c r="E1200" s="107" t="str">
        <f t="shared" si="62"/>
        <v/>
      </c>
      <c r="G1200" s="19"/>
      <c r="H1200" s="19"/>
      <c r="I1200" s="19"/>
      <c r="J1200" s="19"/>
      <c r="K1200" s="233"/>
      <c r="L1200" s="19"/>
    </row>
    <row r="1201" spans="1:12" ht="12" customHeight="1">
      <c r="A1201" s="219" t="n" cm="1">
        <f t="array" ref="A1201">IFERROR(INDEX('03.Muestra'!$B$8:$B$42,SMALL(IF("Página Web"='03.Muestra'!$D$8:$D$42,ROW('03.Muestra'!$B$8:$B$42)-MIN(ROW('03.Muestra'!$D$8:$D$42))+1,""),ROW()-1196)),"")</f>
        <v>1.0</v>
      </c>
      <c r="B1201" s="114" t="str" cm="1">
        <f t="array" ref="B1201">IFERROR(INDEX('03.Muestra'!$C$8:$C$42,SMALL(IF("Página Web"='03.Muestra'!$D$8:$D$42,ROW('03.Muestra'!$C$8:$C$42)-MIN(ROW('03.Muestra'!$D$8:$D$42))+1,""),ROW()-1196)),"")</f>
        <v>Home - PortCastelló</v>
      </c>
      <c r="C1201" s="114" t="str" cm="1">
        <f t="array" ref="C1201">IFERROR(INDEX('03.Muestra'!$F$8:$F$42,SMALL(IF("Página Web"='03.Muestra'!$D$8:$D$42,ROW('03.Muestra'!$F$8:$F$42)-MIN(ROW('03.Muestra'!$D$8:$D$42))+1,""),ROW()-1196)),"")</f>
        <v>https://www.portcastello.com/</v>
      </c>
      <c r="D1201" s="130" t="s">
        <v>28</v>
      </c>
      <c r="E1201" s="107" t="str">
        <f t="shared" si="62"/>
        <v/>
      </c>
      <c r="G1201" s="19"/>
      <c r="H1201" s="19"/>
      <c r="I1201" s="19"/>
      <c r="J1201" s="19"/>
      <c r="K1201" s="233"/>
      <c r="L1201" s="19"/>
    </row>
    <row r="1202" spans="1:12" ht="12" customHeight="1">
      <c r="A1202" s="219" t="n" cm="1">
        <f t="array" ref="A1202">IFERROR(INDEX('03.Muestra'!$B$8:$B$42,SMALL(IF("Página Web"='03.Muestra'!$D$8:$D$42,ROW('03.Muestra'!$B$8:$B$42)-MIN(ROW('03.Muestra'!$D$8:$D$42))+1,""),ROW()-1196)),"")</f>
        <v>1.0</v>
      </c>
      <c r="B1202" s="114" t="str" cm="1">
        <f t="array" ref="B1202">IFERROR(INDEX('03.Muestra'!$C$8:$C$42,SMALL(IF("Página Web"='03.Muestra'!$D$8:$D$42,ROW('03.Muestra'!$C$8:$C$42)-MIN(ROW('03.Muestra'!$D$8:$D$42))+1,""),ROW()-1196)),"")</f>
        <v>Home - PortCastelló</v>
      </c>
      <c r="C1202" s="114" t="str" cm="1">
        <f t="array" ref="C1202">IFERROR(INDEX('03.Muestra'!$F$8:$F$42,SMALL(IF("Página Web"='03.Muestra'!$D$8:$D$42,ROW('03.Muestra'!$F$8:$F$42)-MIN(ROW('03.Muestra'!$D$8:$D$42))+1,""),ROW()-1196)),"")</f>
        <v>https://www.portcastello.com/</v>
      </c>
      <c r="D1202" s="130" t="s">
        <v>28</v>
      </c>
      <c r="E1202" s="107" t="str">
        <f t="shared" si="62"/>
        <v/>
      </c>
      <c r="G1202" s="19"/>
      <c r="H1202" s="19"/>
      <c r="I1202" s="19"/>
      <c r="J1202" s="19"/>
      <c r="K1202" s="233"/>
      <c r="L1202" s="19"/>
    </row>
    <row r="1203" spans="1:12" ht="12" customHeight="1">
      <c r="A1203" s="219" t="n" cm="1">
        <f t="array" ref="A1203">IFERROR(INDEX('03.Muestra'!$B$8:$B$42,SMALL(IF("Página Web"='03.Muestra'!$D$8:$D$42,ROW('03.Muestra'!$B$8:$B$42)-MIN(ROW('03.Muestra'!$D$8:$D$42))+1,""),ROW()-1196)),"")</f>
        <v>1.0</v>
      </c>
      <c r="B1203" s="114" t="str" cm="1">
        <f t="array" ref="B1203">IFERROR(INDEX('03.Muestra'!$C$8:$C$42,SMALL(IF("Página Web"='03.Muestra'!$D$8:$D$42,ROW('03.Muestra'!$C$8:$C$42)-MIN(ROW('03.Muestra'!$D$8:$D$42))+1,""),ROW()-1196)),"")</f>
        <v>Home - PortCastelló</v>
      </c>
      <c r="C1203" s="114" t="str" cm="1">
        <f t="array" ref="C1203">IFERROR(INDEX('03.Muestra'!$F$8:$F$42,SMALL(IF("Página Web"='03.Muestra'!$D$8:$D$42,ROW('03.Muestra'!$F$8:$F$42)-MIN(ROW('03.Muestra'!$D$8:$D$42))+1,""),ROW()-1196)),"")</f>
        <v>https://www.portcastello.com/</v>
      </c>
      <c r="D1203" s="130" t="s">
        <v>28</v>
      </c>
      <c r="E1203" s="107" t="str">
        <f t="shared" si="62"/>
        <v/>
      </c>
      <c r="F1203" s="19"/>
      <c r="G1203" s="19"/>
      <c r="H1203" s="19"/>
      <c r="I1203" s="19"/>
      <c r="J1203" s="19"/>
      <c r="K1203" s="233"/>
      <c r="L1203" s="19"/>
    </row>
    <row r="1204" spans="1:12" ht="12" customHeight="1">
      <c r="A1204" s="219" t="n" cm="1">
        <f t="array" ref="A1204">IFERROR(INDEX('03.Muestra'!$B$8:$B$42,SMALL(IF("Página Web"='03.Muestra'!$D$8:$D$42,ROW('03.Muestra'!$B$8:$B$42)-MIN(ROW('03.Muestra'!$D$8:$D$42))+1,""),ROW()-1196)),"")</f>
        <v>1.0</v>
      </c>
      <c r="B1204" s="114" t="str" cm="1">
        <f t="array" ref="B1204">IFERROR(INDEX('03.Muestra'!$C$8:$C$42,SMALL(IF("Página Web"='03.Muestra'!$D$8:$D$42,ROW('03.Muestra'!$C$8:$C$42)-MIN(ROW('03.Muestra'!$D$8:$D$42))+1,""),ROW()-1196)),"")</f>
        <v>Home - PortCastelló</v>
      </c>
      <c r="C1204" s="114" t="str" cm="1">
        <f t="array" ref="C1204">IFERROR(INDEX('03.Muestra'!$F$8:$F$42,SMALL(IF("Página Web"='03.Muestra'!$D$8:$D$42,ROW('03.Muestra'!$F$8:$F$42)-MIN(ROW('03.Muestra'!$D$8:$D$42))+1,""),ROW()-1196)),"")</f>
        <v>https://www.portcastello.com/</v>
      </c>
      <c r="D1204" s="130" t="s">
        <v>28</v>
      </c>
      <c r="E1204" s="107" t="str">
        <f t="shared" si="62"/>
        <v/>
      </c>
      <c r="F1204" s="19"/>
      <c r="G1204" s="19"/>
      <c r="H1204" s="19"/>
      <c r="I1204" s="19"/>
      <c r="J1204" s="19"/>
      <c r="K1204" s="233"/>
      <c r="L1204" s="19"/>
    </row>
    <row r="1205" spans="1:12" ht="12" customHeight="1">
      <c r="A1205" s="219" t="n" cm="1">
        <f t="array" ref="A1205">IFERROR(INDEX('03.Muestra'!$B$8:$B$42,SMALL(IF("Página Web"='03.Muestra'!$D$8:$D$42,ROW('03.Muestra'!$B$8:$B$42)-MIN(ROW('03.Muestra'!$D$8:$D$42))+1,""),ROW()-1196)),"")</f>
        <v>1.0</v>
      </c>
      <c r="B1205" s="114" t="str" cm="1">
        <f t="array" ref="B1205">IFERROR(INDEX('03.Muestra'!$C$8:$C$42,SMALL(IF("Página Web"='03.Muestra'!$D$8:$D$42,ROW('03.Muestra'!$C$8:$C$42)-MIN(ROW('03.Muestra'!$D$8:$D$42))+1,""),ROW()-1196)),"")</f>
        <v>Home - PortCastelló</v>
      </c>
      <c r="C1205" s="114" t="str" cm="1">
        <f t="array" ref="C1205">IFERROR(INDEX('03.Muestra'!$F$8:$F$42,SMALL(IF("Página Web"='03.Muestra'!$D$8:$D$42,ROW('03.Muestra'!$F$8:$F$42)-MIN(ROW('03.Muestra'!$D$8:$D$42))+1,""),ROW()-1196)),"")</f>
        <v>https://www.portcastello.com/</v>
      </c>
      <c r="D1205" s="130" t="s">
        <v>28</v>
      </c>
      <c r="E1205" s="107" t="str">
        <f t="shared" si="62"/>
        <v/>
      </c>
      <c r="F1205" s="19"/>
      <c r="G1205" s="19"/>
      <c r="H1205" s="19"/>
      <c r="I1205" s="19"/>
      <c r="J1205" s="19"/>
      <c r="K1205" s="233"/>
      <c r="L1205" s="19"/>
    </row>
    <row r="1206" spans="1:12" ht="12" customHeight="1">
      <c r="A1206" s="219" t="n" cm="1">
        <f t="array" ref="A1206">IFERROR(INDEX('03.Muestra'!$B$8:$B$42,SMALL(IF("Página Web"='03.Muestra'!$D$8:$D$42,ROW('03.Muestra'!$B$8:$B$42)-MIN(ROW('03.Muestra'!$D$8:$D$42))+1,""),ROW()-1196)),"")</f>
        <v>1.0</v>
      </c>
      <c r="B1206" s="114" t="str" cm="1">
        <f t="array" ref="B1206">IFERROR(INDEX('03.Muestra'!$C$8:$C$42,SMALL(IF("Página Web"='03.Muestra'!$D$8:$D$42,ROW('03.Muestra'!$C$8:$C$42)-MIN(ROW('03.Muestra'!$D$8:$D$42))+1,""),ROW()-1196)),"")</f>
        <v>Home - PortCastelló</v>
      </c>
      <c r="C1206" s="114" t="str" cm="1">
        <f t="array" ref="C1206">IFERROR(INDEX('03.Muestra'!$F$8:$F$42,SMALL(IF("Página Web"='03.Muestra'!$D$8:$D$42,ROW('03.Muestra'!$F$8:$F$42)-MIN(ROW('03.Muestra'!$D$8:$D$42))+1,""),ROW()-1196)),"")</f>
        <v>https://www.portcastello.com/</v>
      </c>
      <c r="D1206" s="130" t="s">
        <v>28</v>
      </c>
      <c r="E1206" s="107" t="str">
        <f t="shared" si="62"/>
        <v/>
      </c>
      <c r="F1206" s="19"/>
      <c r="G1206" s="19"/>
      <c r="H1206" s="19"/>
      <c r="I1206" s="19"/>
      <c r="J1206" s="19"/>
      <c r="K1206" s="233"/>
      <c r="L1206" s="19"/>
    </row>
    <row r="1207" spans="1:12" ht="12" customHeight="1">
      <c r="A1207" s="219" t="n" cm="1">
        <f t="array" ref="A1207">IFERROR(INDEX('03.Muestra'!$B$8:$B$42,SMALL(IF("Página Web"='03.Muestra'!$D$8:$D$42,ROW('03.Muestra'!$B$8:$B$42)-MIN(ROW('03.Muestra'!$D$8:$D$42))+1,""),ROW()-1196)),"")</f>
        <v>1.0</v>
      </c>
      <c r="B1207" s="114" t="str" cm="1">
        <f t="array" ref="B1207">IFERROR(INDEX('03.Muestra'!$C$8:$C$42,SMALL(IF("Página Web"='03.Muestra'!$D$8:$D$42,ROW('03.Muestra'!$C$8:$C$42)-MIN(ROW('03.Muestra'!$D$8:$D$42))+1,""),ROW()-1196)),"")</f>
        <v>Home - PortCastelló</v>
      </c>
      <c r="C1207" s="114" t="str" cm="1">
        <f t="array" ref="C1207">IFERROR(INDEX('03.Muestra'!$F$8:$F$42,SMALL(IF("Página Web"='03.Muestra'!$D$8:$D$42,ROW('03.Muestra'!$F$8:$F$42)-MIN(ROW('03.Muestra'!$D$8:$D$42))+1,""),ROW()-1196)),"")</f>
        <v>https://www.portcastello.com/</v>
      </c>
      <c r="D1207" s="130" t="s">
        <v>28</v>
      </c>
      <c r="E1207" s="107" t="str">
        <f t="shared" si="62"/>
        <v/>
      </c>
      <c r="F1207" s="19"/>
      <c r="G1207" s="19"/>
      <c r="H1207" s="19"/>
      <c r="I1207" s="19"/>
      <c r="J1207" s="19"/>
      <c r="K1207" s="233"/>
      <c r="L1207" s="19"/>
    </row>
    <row r="1208" spans="1:12" ht="12" customHeight="1">
      <c r="A1208" s="219" t="n" cm="1">
        <f t="array" ref="A1208">IFERROR(INDEX('03.Muestra'!$B$8:$B$42,SMALL(IF("Página Web"='03.Muestra'!$D$8:$D$42,ROW('03.Muestra'!$B$8:$B$42)-MIN(ROW('03.Muestra'!$D$8:$D$42))+1,""),ROW()-1196)),"")</f>
        <v>1.0</v>
      </c>
      <c r="B1208" s="114" t="str" cm="1">
        <f t="array" ref="B1208">IFERROR(INDEX('03.Muestra'!$C$8:$C$42,SMALL(IF("Página Web"='03.Muestra'!$D$8:$D$42,ROW('03.Muestra'!$C$8:$C$42)-MIN(ROW('03.Muestra'!$D$8:$D$42))+1,""),ROW()-1196)),"")</f>
        <v>Home - PortCastelló</v>
      </c>
      <c r="C1208" s="114" t="str" cm="1">
        <f t="array" ref="C1208">IFERROR(INDEX('03.Muestra'!$F$8:$F$42,SMALL(IF("Página Web"='03.Muestra'!$D$8:$D$42,ROW('03.Muestra'!$F$8:$F$42)-MIN(ROW('03.Muestra'!$D$8:$D$42))+1,""),ROW()-1196)),"")</f>
        <v>https://www.portcastello.com/</v>
      </c>
      <c r="D1208" s="130" t="s">
        <v>28</v>
      </c>
      <c r="E1208" s="107" t="str">
        <f t="shared" si="62"/>
        <v/>
      </c>
      <c r="F1208" s="19"/>
      <c r="G1208" s="19"/>
      <c r="H1208" s="19"/>
      <c r="I1208" s="19"/>
      <c r="J1208" s="19"/>
      <c r="K1208" s="233"/>
      <c r="L1208" s="19"/>
    </row>
    <row r="1209" spans="1:12" ht="12" customHeight="1">
      <c r="A1209" s="219" t="n" cm="1">
        <f t="array" ref="A1209">IFERROR(INDEX('03.Muestra'!$B$8:$B$42,SMALL(IF("Página Web"='03.Muestra'!$D$8:$D$42,ROW('03.Muestra'!$B$8:$B$42)-MIN(ROW('03.Muestra'!$D$8:$D$42))+1,""),ROW()-1196)),"")</f>
        <v>1.0</v>
      </c>
      <c r="B1209" s="114" t="str" cm="1">
        <f t="array" ref="B1209">IFERROR(INDEX('03.Muestra'!$C$8:$C$42,SMALL(IF("Página Web"='03.Muestra'!$D$8:$D$42,ROW('03.Muestra'!$C$8:$C$42)-MIN(ROW('03.Muestra'!$D$8:$D$42))+1,""),ROW()-1196)),"")</f>
        <v>Home - PortCastelló</v>
      </c>
      <c r="C1209" s="114" t="str" cm="1">
        <f t="array" ref="C1209">IFERROR(INDEX('03.Muestra'!$F$8:$F$42,SMALL(IF("Página Web"='03.Muestra'!$D$8:$D$42,ROW('03.Muestra'!$F$8:$F$42)-MIN(ROW('03.Muestra'!$D$8:$D$42))+1,""),ROW()-1196)),"")</f>
        <v>https://www.portcastello.com/</v>
      </c>
      <c r="D1209" s="130" t="s">
        <v>28</v>
      </c>
      <c r="E1209" s="107" t="str">
        <f t="shared" si="62"/>
        <v/>
      </c>
      <c r="F1209" s="19"/>
      <c r="G1209" s="19"/>
      <c r="H1209" s="19"/>
      <c r="I1209" s="19"/>
      <c r="J1209" s="19"/>
      <c r="K1209" s="233"/>
      <c r="L1209" s="19"/>
    </row>
    <row r="1210" spans="1:12" ht="12" customHeight="1">
      <c r="A1210" s="219" t="n" cm="1">
        <f t="array" ref="A1210">IFERROR(INDEX('03.Muestra'!$B$8:$B$42,SMALL(IF("Página Web"='03.Muestra'!$D$8:$D$42,ROW('03.Muestra'!$B$8:$B$42)-MIN(ROW('03.Muestra'!$D$8:$D$42))+1,""),ROW()-1196)),"")</f>
        <v>1.0</v>
      </c>
      <c r="B1210" s="114" t="str" cm="1">
        <f t="array" ref="B1210">IFERROR(INDEX('03.Muestra'!$C$8:$C$42,SMALL(IF("Página Web"='03.Muestra'!$D$8:$D$42,ROW('03.Muestra'!$C$8:$C$42)-MIN(ROW('03.Muestra'!$D$8:$D$42))+1,""),ROW()-1196)),"")</f>
        <v>Home - PortCastelló</v>
      </c>
      <c r="C1210" s="114" t="str" cm="1">
        <f t="array" ref="C1210">IFERROR(INDEX('03.Muestra'!$F$8:$F$42,SMALL(IF("Página Web"='03.Muestra'!$D$8:$D$42,ROW('03.Muestra'!$F$8:$F$42)-MIN(ROW('03.Muestra'!$D$8:$D$42))+1,""),ROW()-1196)),"")</f>
        <v>https://www.portcastello.com/</v>
      </c>
      <c r="D1210" s="130" t="s">
        <v>28</v>
      </c>
      <c r="E1210" s="107" t="str">
        <f t="shared" si="62"/>
        <v/>
      </c>
      <c r="F1210" s="19"/>
      <c r="G1210" s="19"/>
      <c r="H1210" s="19"/>
      <c r="I1210" s="19"/>
      <c r="J1210" s="19"/>
      <c r="K1210" s="233"/>
      <c r="L1210" s="19"/>
    </row>
    <row r="1211" spans="1:12" ht="12" customHeight="1">
      <c r="A1211" s="219" t="n" cm="1">
        <f t="array" ref="A1211">IFERROR(INDEX('03.Muestra'!$B$8:$B$42,SMALL(IF("Página Web"='03.Muestra'!$D$8:$D$42,ROW('03.Muestra'!$B$8:$B$42)-MIN(ROW('03.Muestra'!$D$8:$D$42))+1,""),ROW()-1196)),"")</f>
        <v>1.0</v>
      </c>
      <c r="B1211" s="114" t="str" cm="1">
        <f t="array" ref="B1211">IFERROR(INDEX('03.Muestra'!$C$8:$C$42,SMALL(IF("Página Web"='03.Muestra'!$D$8:$D$42,ROW('03.Muestra'!$C$8:$C$42)-MIN(ROW('03.Muestra'!$D$8:$D$42))+1,""),ROW()-1196)),"")</f>
        <v>Home - PortCastelló</v>
      </c>
      <c r="C1211" s="114" t="str" cm="1">
        <f t="array" ref="C1211">IFERROR(INDEX('03.Muestra'!$F$8:$F$42,SMALL(IF("Página Web"='03.Muestra'!$D$8:$D$42,ROW('03.Muestra'!$F$8:$F$42)-MIN(ROW('03.Muestra'!$D$8:$D$42))+1,""),ROW()-1196)),"")</f>
        <v>https://www.portcastello.com/</v>
      </c>
      <c r="D1211" s="130" t="s">
        <v>28</v>
      </c>
      <c r="E1211" s="107" t="str">
        <f t="shared" si="62"/>
        <v/>
      </c>
      <c r="F1211" s="19"/>
      <c r="G1211" s="19"/>
      <c r="H1211" s="19"/>
      <c r="I1211" s="19"/>
      <c r="J1211" s="19"/>
      <c r="K1211" s="233"/>
      <c r="L1211" s="19"/>
    </row>
    <row r="1212" spans="1:12" ht="12" customHeight="1">
      <c r="A1212" s="219" t="n" cm="1">
        <f t="array" ref="A1212">IFERROR(INDEX('03.Muestra'!$B$8:$B$42,SMALL(IF("Página Web"='03.Muestra'!$D$8:$D$42,ROW('03.Muestra'!$B$8:$B$42)-MIN(ROW('03.Muestra'!$D$8:$D$42))+1,""),ROW()-1196)),"")</f>
        <v>1.0</v>
      </c>
      <c r="B1212" s="114" t="str" cm="1">
        <f t="array" ref="B1212">IFERROR(INDEX('03.Muestra'!$C$8:$C$42,SMALL(IF("Página Web"='03.Muestra'!$D$8:$D$42,ROW('03.Muestra'!$C$8:$C$42)-MIN(ROW('03.Muestra'!$D$8:$D$42))+1,""),ROW()-1196)),"")</f>
        <v>Home - PortCastelló</v>
      </c>
      <c r="C1212" s="114" t="str" cm="1">
        <f t="array" ref="C1212">IFERROR(INDEX('03.Muestra'!$F$8:$F$42,SMALL(IF("Página Web"='03.Muestra'!$D$8:$D$42,ROW('03.Muestra'!$F$8:$F$42)-MIN(ROW('03.Muestra'!$D$8:$D$42))+1,""),ROW()-1196)),"")</f>
        <v>https://www.portcastello.com/</v>
      </c>
      <c r="D1212" s="130" t="s">
        <v>28</v>
      </c>
      <c r="E1212" s="107" t="str">
        <f t="shared" si="62"/>
        <v/>
      </c>
      <c r="F1212" s="19"/>
      <c r="G1212" s="19"/>
      <c r="H1212" s="19"/>
      <c r="I1212" s="19"/>
      <c r="J1212" s="19"/>
      <c r="K1212" s="233"/>
      <c r="L1212" s="19"/>
    </row>
    <row r="1213" spans="1:12" ht="12" customHeight="1">
      <c r="A1213" s="219" t="n" cm="1">
        <f t="array" ref="A1213">IFERROR(INDEX('03.Muestra'!$B$8:$B$42,SMALL(IF("Página Web"='03.Muestra'!$D$8:$D$42,ROW('03.Muestra'!$B$8:$B$42)-MIN(ROW('03.Muestra'!$D$8:$D$42))+1,""),ROW()-1196)),"")</f>
        <v>1.0</v>
      </c>
      <c r="B1213" s="114" t="str" cm="1">
        <f t="array" ref="B1213">IFERROR(INDEX('03.Muestra'!$C$8:$C$42,SMALL(IF("Página Web"='03.Muestra'!$D$8:$D$42,ROW('03.Muestra'!$C$8:$C$42)-MIN(ROW('03.Muestra'!$D$8:$D$42))+1,""),ROW()-1196)),"")</f>
        <v>Home - PortCastelló</v>
      </c>
      <c r="C1213" s="114" t="str" cm="1">
        <f t="array" ref="C1213">IFERROR(INDEX('03.Muestra'!$F$8:$F$42,SMALL(IF("Página Web"='03.Muestra'!$D$8:$D$42,ROW('03.Muestra'!$F$8:$F$42)-MIN(ROW('03.Muestra'!$D$8:$D$42))+1,""),ROW()-1196)),"")</f>
        <v>https://www.portcastello.com/</v>
      </c>
      <c r="D1213" s="130" t="s">
        <v>28</v>
      </c>
      <c r="E1213" s="107" t="str">
        <f t="shared" si="62"/>
        <v/>
      </c>
      <c r="F1213" s="19"/>
      <c r="G1213" s="19"/>
      <c r="H1213" s="19"/>
      <c r="I1213" s="19"/>
      <c r="J1213" s="19"/>
      <c r="K1213" s="233"/>
      <c r="L1213" s="19"/>
    </row>
    <row r="1214" spans="1:12" ht="12" customHeight="1">
      <c r="A1214" s="219" t="n" cm="1">
        <f t="array" ref="A1214">IFERROR(INDEX('03.Muestra'!$B$8:$B$42,SMALL(IF("Página Web"='03.Muestra'!$D$8:$D$42,ROW('03.Muestra'!$B$8:$B$42)-MIN(ROW('03.Muestra'!$D$8:$D$42))+1,""),ROW()-1196)),"")</f>
        <v>1.0</v>
      </c>
      <c r="B1214" s="114" t="str" cm="1">
        <f t="array" ref="B1214">IFERROR(INDEX('03.Muestra'!$C$8:$C$42,SMALL(IF("Página Web"='03.Muestra'!$D$8:$D$42,ROW('03.Muestra'!$C$8:$C$42)-MIN(ROW('03.Muestra'!$D$8:$D$42))+1,""),ROW()-1196)),"")</f>
        <v>Home - PortCastelló</v>
      </c>
      <c r="C1214" s="114" t="str" cm="1">
        <f t="array" ref="C1214">IFERROR(INDEX('03.Muestra'!$F$8:$F$42,SMALL(IF("Página Web"='03.Muestra'!$D$8:$D$42,ROW('03.Muestra'!$F$8:$F$42)-MIN(ROW('03.Muestra'!$D$8:$D$42))+1,""),ROW()-1196)),"")</f>
        <v>https://www.portcastello.com/</v>
      </c>
      <c r="D1214" s="130" t="s">
        <v>28</v>
      </c>
      <c r="E1214" s="107" t="str">
        <f t="shared" si="62"/>
        <v/>
      </c>
      <c r="F1214" s="19"/>
      <c r="G1214" s="19"/>
      <c r="H1214" s="19"/>
      <c r="I1214" s="19"/>
      <c r="J1214" s="19"/>
      <c r="K1214" s="233"/>
      <c r="L1214" s="19"/>
    </row>
    <row r="1215" spans="1:12" ht="12" customHeight="1">
      <c r="A1215" s="219" t="n" cm="1">
        <f t="array" ref="A1215">IFERROR(INDEX('03.Muestra'!$B$8:$B$42,SMALL(IF("Página Web"='03.Muestra'!$D$8:$D$42,ROW('03.Muestra'!$B$8:$B$42)-MIN(ROW('03.Muestra'!$D$8:$D$42))+1,""),ROW()-1196)),"")</f>
        <v>1.0</v>
      </c>
      <c r="B1215" s="114" t="str" cm="1">
        <f t="array" ref="B1215">IFERROR(INDEX('03.Muestra'!$C$8:$C$42,SMALL(IF("Página Web"='03.Muestra'!$D$8:$D$42,ROW('03.Muestra'!$C$8:$C$42)-MIN(ROW('03.Muestra'!$D$8:$D$42))+1,""),ROW()-1196)),"")</f>
        <v>Home - PortCastelló</v>
      </c>
      <c r="C1215" s="114" t="str" cm="1">
        <f t="array" ref="C1215">IFERROR(INDEX('03.Muestra'!$F$8:$F$42,SMALL(IF("Página Web"='03.Muestra'!$D$8:$D$42,ROW('03.Muestra'!$F$8:$F$42)-MIN(ROW('03.Muestra'!$D$8:$D$42))+1,""),ROW()-1196)),"")</f>
        <v>https://www.portcastello.com/</v>
      </c>
      <c r="D1215" s="130" t="s">
        <v>28</v>
      </c>
      <c r="E1215" s="107" t="str">
        <f t="shared" si="62"/>
        <v/>
      </c>
      <c r="F1215" s="19"/>
      <c r="G1215" s="19"/>
      <c r="H1215" s="19"/>
      <c r="I1215" s="19"/>
      <c r="J1215" s="19"/>
      <c r="K1215" s="233"/>
      <c r="L1215" s="19"/>
    </row>
    <row r="1216" spans="1:12" ht="12" customHeight="1">
      <c r="A1216" s="219" t="n" cm="1">
        <f t="array" ref="A1216">IFERROR(INDEX('03.Muestra'!$B$8:$B$42,SMALL(IF("Página Web"='03.Muestra'!$D$8:$D$42,ROW('03.Muestra'!$B$8:$B$42)-MIN(ROW('03.Muestra'!$D$8:$D$42))+1,""),ROW()-1196)),"")</f>
        <v>1.0</v>
      </c>
      <c r="B1216" s="114" t="str" cm="1">
        <f t="array" ref="B1216">IFERROR(INDEX('03.Muestra'!$C$8:$C$42,SMALL(IF("Página Web"='03.Muestra'!$D$8:$D$42,ROW('03.Muestra'!$C$8:$C$42)-MIN(ROW('03.Muestra'!$D$8:$D$42))+1,""),ROW()-1196)),"")</f>
        <v>Home - PortCastelló</v>
      </c>
      <c r="C1216" s="114" t="str" cm="1">
        <f t="array" ref="C1216">IFERROR(INDEX('03.Muestra'!$F$8:$F$42,SMALL(IF("Página Web"='03.Muestra'!$D$8:$D$42,ROW('03.Muestra'!$F$8:$F$42)-MIN(ROW('03.Muestra'!$D$8:$D$42))+1,""),ROW()-1196)),"")</f>
        <v>https://www.portcastello.com/</v>
      </c>
      <c r="D1216" s="130" t="s">
        <v>28</v>
      </c>
      <c r="E1216" s="107" t="str">
        <f t="shared" si="62"/>
        <v/>
      </c>
      <c r="F1216" s="19"/>
      <c r="G1216" s="19"/>
      <c r="H1216" s="19"/>
      <c r="I1216" s="19"/>
      <c r="J1216" s="19"/>
      <c r="K1216" s="233"/>
      <c r="L1216" s="19"/>
    </row>
    <row r="1217" spans="1:12" ht="12" customHeight="1">
      <c r="A1217" s="219" t="n" cm="1">
        <f t="array" ref="A1217">IFERROR(INDEX('03.Muestra'!$B$8:$B$42,SMALL(IF("Página Web"='03.Muestra'!$D$8:$D$42,ROW('03.Muestra'!$B$8:$B$42)-MIN(ROW('03.Muestra'!$D$8:$D$42))+1,""),ROW()-1196)),"")</f>
        <v>1.0</v>
      </c>
      <c r="B1217" s="114" t="str" cm="1">
        <f t="array" ref="B1217">IFERROR(INDEX('03.Muestra'!$C$8:$C$42,SMALL(IF("Página Web"='03.Muestra'!$D$8:$D$42,ROW('03.Muestra'!$C$8:$C$42)-MIN(ROW('03.Muestra'!$D$8:$D$42))+1,""),ROW()-1196)),"")</f>
        <v>Home - PortCastelló</v>
      </c>
      <c r="C1217" s="114" t="str" cm="1">
        <f t="array" ref="C1217">IFERROR(INDEX('03.Muestra'!$F$8:$F$42,SMALL(IF("Página Web"='03.Muestra'!$D$8:$D$42,ROW('03.Muestra'!$F$8:$F$42)-MIN(ROW('03.Muestra'!$D$8:$D$42))+1,""),ROW()-1196)),"")</f>
        <v>https://www.portcastello.com/</v>
      </c>
      <c r="D1217" s="130" t="s">
        <v>28</v>
      </c>
      <c r="E1217" s="107" t="str">
        <f t="shared" si="62"/>
        <v/>
      </c>
      <c r="F1217" s="19"/>
      <c r="G1217" s="19"/>
      <c r="H1217" s="19"/>
      <c r="I1217" s="19"/>
      <c r="J1217" s="19"/>
      <c r="K1217" s="233"/>
      <c r="L1217" s="19"/>
    </row>
    <row r="1218" spans="1:12" ht="12" customHeight="1">
      <c r="A1218" s="219" t="n" cm="1">
        <f t="array" ref="A1218">IFERROR(INDEX('03.Muestra'!$B$8:$B$42,SMALL(IF("Página Web"='03.Muestra'!$D$8:$D$42,ROW('03.Muestra'!$B$8:$B$42)-MIN(ROW('03.Muestra'!$D$8:$D$42))+1,""),ROW()-1196)),"")</f>
        <v>1.0</v>
      </c>
      <c r="B1218" s="114" t="str" cm="1">
        <f t="array" ref="B1218">IFERROR(INDEX('03.Muestra'!$C$8:$C$42,SMALL(IF("Página Web"='03.Muestra'!$D$8:$D$42,ROW('03.Muestra'!$C$8:$C$42)-MIN(ROW('03.Muestra'!$D$8:$D$42))+1,""),ROW()-1196)),"")</f>
        <v>Home - PortCastelló</v>
      </c>
      <c r="C1218" s="114" t="str" cm="1">
        <f t="array" ref="C1218">IFERROR(INDEX('03.Muestra'!$F$8:$F$42,SMALL(IF("Página Web"='03.Muestra'!$D$8:$D$42,ROW('03.Muestra'!$F$8:$F$42)-MIN(ROW('03.Muestra'!$D$8:$D$42))+1,""),ROW()-1196)),"")</f>
        <v>https://www.portcastello.com/</v>
      </c>
      <c r="D1218" s="130" t="s">
        <v>28</v>
      </c>
      <c r="E1218" s="107" t="str">
        <f t="shared" si="62"/>
        <v/>
      </c>
      <c r="F1218" s="19"/>
      <c r="G1218" s="19"/>
      <c r="H1218" s="19"/>
      <c r="I1218" s="19"/>
      <c r="J1218" s="19"/>
      <c r="K1218" s="233"/>
      <c r="L1218" s="19"/>
    </row>
    <row r="1219" spans="1:12" ht="12" customHeight="1">
      <c r="A1219" s="219" t="n" cm="1">
        <f t="array" ref="A1219">IFERROR(INDEX('03.Muestra'!$B$8:$B$42,SMALL(IF("Página Web"='03.Muestra'!$D$8:$D$42,ROW('03.Muestra'!$B$8:$B$42)-MIN(ROW('03.Muestra'!$D$8:$D$42))+1,""),ROW()-1196)),"")</f>
        <v>1.0</v>
      </c>
      <c r="B1219" s="114" t="str" cm="1">
        <f t="array" ref="B1219">IFERROR(INDEX('03.Muestra'!$C$8:$C$42,SMALL(IF("Página Web"='03.Muestra'!$D$8:$D$42,ROW('03.Muestra'!$C$8:$C$42)-MIN(ROW('03.Muestra'!$D$8:$D$42))+1,""),ROW()-1196)),"")</f>
        <v>Home - PortCastelló</v>
      </c>
      <c r="C1219" s="114" t="str" cm="1">
        <f t="array" ref="C1219">IFERROR(INDEX('03.Muestra'!$F$8:$F$42,SMALL(IF("Página Web"='03.Muestra'!$D$8:$D$42,ROW('03.Muestra'!$F$8:$F$42)-MIN(ROW('03.Muestra'!$D$8:$D$42))+1,""),ROW()-1196)),"")</f>
        <v>https://www.portcastello.com/</v>
      </c>
      <c r="D1219" s="130" t="s">
        <v>28</v>
      </c>
      <c r="E1219" s="107" t="str">
        <f t="shared" si="62"/>
        <v/>
      </c>
      <c r="F1219" s="19"/>
      <c r="G1219" s="19"/>
      <c r="H1219" s="19"/>
      <c r="I1219" s="19"/>
      <c r="J1219" s="19"/>
      <c r="K1219" s="233"/>
      <c r="L1219" s="19"/>
    </row>
    <row r="1220" spans="1:12" ht="12" customHeight="1">
      <c r="A1220" s="219" t="n" cm="1">
        <f t="array" ref="A1220">IFERROR(INDEX('03.Muestra'!$B$8:$B$42,SMALL(IF("Página Web"='03.Muestra'!$D$8:$D$42,ROW('03.Muestra'!$B$8:$B$42)-MIN(ROW('03.Muestra'!$D$8:$D$42))+1,""),ROW()-1196)),"")</f>
        <v>1.0</v>
      </c>
      <c r="B1220" s="114" t="str" cm="1">
        <f t="array" ref="B1220">IFERROR(INDEX('03.Muestra'!$C$8:$C$42,SMALL(IF("Página Web"='03.Muestra'!$D$8:$D$42,ROW('03.Muestra'!$C$8:$C$42)-MIN(ROW('03.Muestra'!$D$8:$D$42))+1,""),ROW()-1196)),"")</f>
        <v>Home - PortCastelló</v>
      </c>
      <c r="C1220" s="114" t="str" cm="1">
        <f t="array" ref="C1220">IFERROR(INDEX('03.Muestra'!$F$8:$F$42,SMALL(IF("Página Web"='03.Muestra'!$D$8:$D$42,ROW('03.Muestra'!$F$8:$F$42)-MIN(ROW('03.Muestra'!$D$8:$D$42))+1,""),ROW()-1196)),"")</f>
        <v>https://www.portcastello.com/</v>
      </c>
      <c r="D1220" s="130" t="s">
        <v>28</v>
      </c>
      <c r="E1220" s="107" t="str">
        <f t="shared" si="62"/>
        <v/>
      </c>
      <c r="F1220" s="19"/>
      <c r="G1220" s="19"/>
      <c r="H1220" s="19"/>
      <c r="I1220" s="19"/>
      <c r="J1220" s="19"/>
      <c r="K1220" s="233"/>
      <c r="L1220" s="19"/>
    </row>
    <row r="1221" spans="1:12" ht="12" customHeight="1">
      <c r="A1221" s="219" t="n" cm="1">
        <f t="array" ref="A1221">IFERROR(INDEX('03.Muestra'!$B$8:$B$42,SMALL(IF("Página Web"='03.Muestra'!$D$8:$D$42,ROW('03.Muestra'!$B$8:$B$42)-MIN(ROW('03.Muestra'!$D$8:$D$42))+1,""),ROW()-1196)),"")</f>
        <v>1.0</v>
      </c>
      <c r="B1221" s="114" t="str" cm="1">
        <f t="array" ref="B1221">IFERROR(INDEX('03.Muestra'!$C$8:$C$42,SMALL(IF("Página Web"='03.Muestra'!$D$8:$D$42,ROW('03.Muestra'!$C$8:$C$42)-MIN(ROW('03.Muestra'!$D$8:$D$42))+1,""),ROW()-1196)),"")</f>
        <v>Home - PortCastelló</v>
      </c>
      <c r="C1221" s="114" t="str" cm="1">
        <f t="array" ref="C1221">IFERROR(INDEX('03.Muestra'!$F$8:$F$42,SMALL(IF("Página Web"='03.Muestra'!$D$8:$D$42,ROW('03.Muestra'!$F$8:$F$42)-MIN(ROW('03.Muestra'!$D$8:$D$42))+1,""),ROW()-1196)),"")</f>
        <v>https://www.portcastello.com/</v>
      </c>
      <c r="D1221" s="130" t="s">
        <v>28</v>
      </c>
      <c r="E1221" s="107" t="str">
        <f t="shared" si="62"/>
        <v/>
      </c>
      <c r="F1221" s="19"/>
      <c r="G1221" s="19"/>
      <c r="H1221" s="19"/>
      <c r="I1221" s="19"/>
      <c r="J1221" s="19"/>
      <c r="K1221" s="233"/>
      <c r="L1221" s="19"/>
    </row>
    <row r="1222" spans="1:12" ht="12" customHeight="1">
      <c r="A1222" s="219" t="n" cm="1">
        <f t="array" ref="A1222">IFERROR(INDEX('03.Muestra'!$B$8:$B$42,SMALL(IF("Página Web"='03.Muestra'!$D$8:$D$42,ROW('03.Muestra'!$B$8:$B$42)-MIN(ROW('03.Muestra'!$D$8:$D$42))+1,""),ROW()-1196)),"")</f>
        <v>1.0</v>
      </c>
      <c r="B1222" s="114" t="str" cm="1">
        <f t="array" ref="B1222">IFERROR(INDEX('03.Muestra'!$C$8:$C$42,SMALL(IF("Página Web"='03.Muestra'!$D$8:$D$42,ROW('03.Muestra'!$C$8:$C$42)-MIN(ROW('03.Muestra'!$D$8:$D$42))+1,""),ROW()-1196)),"")</f>
        <v>Home - PortCastelló</v>
      </c>
      <c r="C1222" s="114" t="str" cm="1">
        <f t="array" ref="C1222">IFERROR(INDEX('03.Muestra'!$F$8:$F$42,SMALL(IF("Página Web"='03.Muestra'!$D$8:$D$42,ROW('03.Muestra'!$F$8:$F$42)-MIN(ROW('03.Muestra'!$D$8:$D$42))+1,""),ROW()-1196)),"")</f>
        <v>https://www.portcastello.com/</v>
      </c>
      <c r="D1222" s="130" t="s">
        <v>28</v>
      </c>
      <c r="E1222" s="107" t="str">
        <f t="shared" si="62"/>
        <v/>
      </c>
      <c r="F1222" s="19"/>
      <c r="G1222" s="19"/>
      <c r="H1222" s="19"/>
      <c r="I1222" s="19"/>
      <c r="J1222" s="19"/>
      <c r="K1222" s="233"/>
      <c r="L1222" s="19"/>
    </row>
    <row r="1223" spans="1:12" ht="12" customHeight="1">
      <c r="A1223" s="219" t="n" cm="1">
        <f t="array" ref="A1223">IFERROR(INDEX('03.Muestra'!$B$8:$B$42,SMALL(IF("Página Web"='03.Muestra'!$D$8:$D$42,ROW('03.Muestra'!$B$8:$B$42)-MIN(ROW('03.Muestra'!$D$8:$D$42))+1,""),ROW()-1196)),"")</f>
        <v>1.0</v>
      </c>
      <c r="B1223" s="114" t="str" cm="1">
        <f t="array" ref="B1223">IFERROR(INDEX('03.Muestra'!$C$8:$C$42,SMALL(IF("Página Web"='03.Muestra'!$D$8:$D$42,ROW('03.Muestra'!$C$8:$C$42)-MIN(ROW('03.Muestra'!$D$8:$D$42))+1,""),ROW()-1196)),"")</f>
        <v>Home - PortCastelló</v>
      </c>
      <c r="C1223" s="114" t="str" cm="1">
        <f t="array" ref="C1223">IFERROR(INDEX('03.Muestra'!$F$8:$F$42,SMALL(IF("Página Web"='03.Muestra'!$D$8:$D$42,ROW('03.Muestra'!$F$8:$F$42)-MIN(ROW('03.Muestra'!$D$8:$D$42))+1,""),ROW()-1196)),"")</f>
        <v>https://www.portcastello.com/</v>
      </c>
      <c r="D1223" s="130" t="s">
        <v>28</v>
      </c>
      <c r="E1223" s="107" t="str">
        <f t="shared" si="62"/>
        <v/>
      </c>
      <c r="F1223" s="19"/>
      <c r="G1223" s="19"/>
      <c r="H1223" s="19"/>
      <c r="I1223" s="19"/>
      <c r="J1223" s="19"/>
      <c r="K1223" s="233"/>
      <c r="L1223" s="19"/>
    </row>
    <row r="1224" spans="1:12" ht="12" customHeight="1">
      <c r="A1224" s="219" t="n" cm="1">
        <f t="array" ref="A1224">IFERROR(INDEX('03.Muestra'!$B$8:$B$42,SMALL(IF("Página Web"='03.Muestra'!$D$8:$D$42,ROW('03.Muestra'!$B$8:$B$42)-MIN(ROW('03.Muestra'!$D$8:$D$42))+1,""),ROW()-1196)),"")</f>
        <v>1.0</v>
      </c>
      <c r="B1224" s="114" t="str" cm="1">
        <f t="array" ref="B1224">IFERROR(INDEX('03.Muestra'!$C$8:$C$42,SMALL(IF("Página Web"='03.Muestra'!$D$8:$D$42,ROW('03.Muestra'!$C$8:$C$42)-MIN(ROW('03.Muestra'!$D$8:$D$42))+1,""),ROW()-1196)),"")</f>
        <v>Home - PortCastelló</v>
      </c>
      <c r="C1224" s="114" t="str" cm="1">
        <f t="array" ref="C1224">IFERROR(INDEX('03.Muestra'!$F$8:$F$42,SMALL(IF("Página Web"='03.Muestra'!$D$8:$D$42,ROW('03.Muestra'!$F$8:$F$42)-MIN(ROW('03.Muestra'!$D$8:$D$42))+1,""),ROW()-1196)),"")</f>
        <v>https://www.portcastello.com/</v>
      </c>
      <c r="D1224" s="130" t="s">
        <v>28</v>
      </c>
      <c r="E1224" s="107" t="str">
        <f t="shared" si="62"/>
        <v/>
      </c>
      <c r="G1224" s="19"/>
      <c r="H1224" s="19"/>
      <c r="I1224" s="19"/>
      <c r="J1224" s="19"/>
      <c r="K1224" s="233"/>
      <c r="L1224" s="19"/>
    </row>
    <row r="1225" spans="1:12" ht="12" customHeight="1">
      <c r="A1225" s="219" t="n" cm="1">
        <f t="array" ref="A1225">IFERROR(INDEX('03.Muestra'!$B$8:$B$42,SMALL(IF("Página Web"='03.Muestra'!$D$8:$D$42,ROW('03.Muestra'!$B$8:$B$42)-MIN(ROW('03.Muestra'!$D$8:$D$42))+1,""),ROW()-1196)),"")</f>
        <v>1.0</v>
      </c>
      <c r="B1225" s="114" t="str" cm="1">
        <f t="array" ref="B1225">IFERROR(INDEX('03.Muestra'!$C$8:$C$42,SMALL(IF("Página Web"='03.Muestra'!$D$8:$D$42,ROW('03.Muestra'!$C$8:$C$42)-MIN(ROW('03.Muestra'!$D$8:$D$42))+1,""),ROW()-1196)),"")</f>
        <v>Home - PortCastelló</v>
      </c>
      <c r="C1225" s="114" t="str" cm="1">
        <f t="array" ref="C1225">IFERROR(INDEX('03.Muestra'!$F$8:$F$42,SMALL(IF("Página Web"='03.Muestra'!$D$8:$D$42,ROW('03.Muestra'!$F$8:$F$42)-MIN(ROW('03.Muestra'!$D$8:$D$42))+1,""),ROW()-1196)),"")</f>
        <v>https://www.portcastello.com/</v>
      </c>
      <c r="D1225" s="130" t="s">
        <v>28</v>
      </c>
      <c r="E1225" s="107" t="str">
        <f t="shared" si="62"/>
        <v/>
      </c>
      <c r="F1225" s="124"/>
      <c r="G1225" s="19"/>
      <c r="H1225" s="19"/>
      <c r="I1225" s="19"/>
      <c r="J1225" s="19"/>
      <c r="K1225" s="233"/>
      <c r="L1225" s="19"/>
    </row>
    <row r="1226" spans="1:12" ht="12" customHeight="1">
      <c r="A1226" s="219" t="n" cm="1">
        <f t="array" ref="A1226">IFERROR(INDEX('03.Muestra'!$B$8:$B$42,SMALL(IF("Página Web"='03.Muestra'!$D$8:$D$42,ROW('03.Muestra'!$B$8:$B$42)-MIN(ROW('03.Muestra'!$D$8:$D$42))+1,""),ROW()-1196)),"")</f>
        <v>1.0</v>
      </c>
      <c r="B1226" s="114" t="str" cm="1">
        <f t="array" ref="B1226">IFERROR(INDEX('03.Muestra'!$C$8:$C$42,SMALL(IF("Página Web"='03.Muestra'!$D$8:$D$42,ROW('03.Muestra'!$C$8:$C$42)-MIN(ROW('03.Muestra'!$D$8:$D$42))+1,""),ROW()-1196)),"")</f>
        <v>Home - PortCastelló</v>
      </c>
      <c r="C1226" s="114" t="str" cm="1">
        <f t="array" ref="C1226">IFERROR(INDEX('03.Muestra'!$F$8:$F$42,SMALL(IF("Página Web"='03.Muestra'!$D$8:$D$42,ROW('03.Muestra'!$F$8:$F$42)-MIN(ROW('03.Muestra'!$D$8:$D$42))+1,""),ROW()-1196)),"")</f>
        <v>https://www.portcastello.com/</v>
      </c>
      <c r="D1226" s="130" t="s">
        <v>28</v>
      </c>
      <c r="E1226" s="107" t="str">
        <f t="shared" si="62"/>
        <v/>
      </c>
      <c r="F1226" s="124"/>
      <c r="G1226" s="19"/>
      <c r="H1226" s="19"/>
      <c r="I1226" s="19"/>
      <c r="J1226" s="19"/>
      <c r="K1226" s="233"/>
      <c r="L1226" s="19"/>
    </row>
    <row r="1227" spans="1:12" ht="12" customHeight="1">
      <c r="A1227" s="219" t="n" cm="1">
        <f t="array" ref="A1227">IFERROR(INDEX('03.Muestra'!$B$8:$B$42,SMALL(IF("Página Web"='03.Muestra'!$D$8:$D$42,ROW('03.Muestra'!$B$8:$B$42)-MIN(ROW('03.Muestra'!$D$8:$D$42))+1,""),ROW()-1196)),"")</f>
        <v>1.0</v>
      </c>
      <c r="B1227" s="114" t="str" cm="1">
        <f t="array" ref="B1227">IFERROR(INDEX('03.Muestra'!$C$8:$C$42,SMALL(IF("Página Web"='03.Muestra'!$D$8:$D$42,ROW('03.Muestra'!$C$8:$C$42)-MIN(ROW('03.Muestra'!$D$8:$D$42))+1,""),ROW()-1196)),"")</f>
        <v>Home - PortCastelló</v>
      </c>
      <c r="C1227" s="114" t="str" cm="1">
        <f t="array" ref="C1227">IFERROR(INDEX('03.Muestra'!$F$8:$F$42,SMALL(IF("Página Web"='03.Muestra'!$D$8:$D$42,ROW('03.Muestra'!$F$8:$F$42)-MIN(ROW('03.Muestra'!$D$8:$D$42))+1,""),ROW()-1196)),"")</f>
        <v>https://www.portcastello.com/</v>
      </c>
      <c r="D1227" s="130" t="s">
        <v>28</v>
      </c>
      <c r="E1227" s="107" t="str">
        <f t="shared" si="62"/>
        <v/>
      </c>
      <c r="F1227" s="124"/>
      <c r="G1227" s="19"/>
      <c r="H1227" s="19"/>
      <c r="I1227" s="19"/>
      <c r="J1227" s="19"/>
      <c r="K1227" s="233"/>
      <c r="L1227" s="19"/>
    </row>
    <row r="1228" spans="1:12" ht="12" customHeight="1">
      <c r="A1228" s="219" t="n" cm="1">
        <f t="array" ref="A1228">IFERROR(INDEX('03.Muestra'!$B$8:$B$42,SMALL(IF("Página Web"='03.Muestra'!$D$8:$D$42,ROW('03.Muestra'!$B$8:$B$42)-MIN(ROW('03.Muestra'!$D$8:$D$42))+1,""),ROW()-1196)),"")</f>
        <v>1.0</v>
      </c>
      <c r="B1228" s="114" t="str" cm="1">
        <f t="array" ref="B1228">IFERROR(INDEX('03.Muestra'!$C$8:$C$42,SMALL(IF("Página Web"='03.Muestra'!$D$8:$D$42,ROW('03.Muestra'!$C$8:$C$42)-MIN(ROW('03.Muestra'!$D$8:$D$42))+1,""),ROW()-1196)),"")</f>
        <v>Home - PortCastelló</v>
      </c>
      <c r="C1228" s="114" t="str" cm="1">
        <f t="array" ref="C1228">IFERROR(INDEX('03.Muestra'!$F$8:$F$42,SMALL(IF("Página Web"='03.Muestra'!$D$8:$D$42,ROW('03.Muestra'!$F$8:$F$42)-MIN(ROW('03.Muestra'!$D$8:$D$42))+1,""),ROW()-1196)),"")</f>
        <v>https://www.portcastello.com/</v>
      </c>
      <c r="D1228" s="130" t="s">
        <v>28</v>
      </c>
      <c r="E1228" s="107" t="str">
        <f t="shared" si="62"/>
        <v/>
      </c>
      <c r="F1228" s="124"/>
      <c r="G1228" s="19"/>
      <c r="H1228" s="19"/>
      <c r="I1228" s="19"/>
      <c r="J1228" s="19"/>
      <c r="K1228" s="233"/>
      <c r="L1228" s="19"/>
    </row>
    <row r="1229" spans="1:12" ht="12" customHeight="1">
      <c r="A1229" s="219" t="n" cm="1">
        <f t="array" ref="A1229">IFERROR(INDEX('03.Muestra'!$B$8:$B$42,SMALL(IF("Página Web"='03.Muestra'!$D$8:$D$42,ROW('03.Muestra'!$B$8:$B$42)-MIN(ROW('03.Muestra'!$D$8:$D$42))+1,""),ROW()-1196)),"")</f>
        <v>1.0</v>
      </c>
      <c r="B1229" s="114" t="str" cm="1">
        <f t="array" ref="B1229">IFERROR(INDEX('03.Muestra'!$C$8:$C$42,SMALL(IF("Página Web"='03.Muestra'!$D$8:$D$42,ROW('03.Muestra'!$C$8:$C$42)-MIN(ROW('03.Muestra'!$D$8:$D$42))+1,""),ROW()-1196)),"")</f>
        <v>Home - PortCastelló</v>
      </c>
      <c r="C1229" s="114" t="str" cm="1">
        <f t="array" ref="C1229">IFERROR(INDEX('03.Muestra'!$F$8:$F$42,SMALL(IF("Página Web"='03.Muestra'!$D$8:$D$42,ROW('03.Muestra'!$F$8:$F$42)-MIN(ROW('03.Muestra'!$D$8:$D$42))+1,""),ROW()-1196)),"")</f>
        <v>https://www.portcastello.com/</v>
      </c>
      <c r="D1229" s="130" t="s">
        <v>28</v>
      </c>
      <c r="E1229" s="107" t="str">
        <f t="shared" si="62"/>
        <v/>
      </c>
      <c r="F1229" s="124"/>
      <c r="G1229" s="19"/>
      <c r="H1229" s="19"/>
      <c r="I1229" s="19"/>
      <c r="J1229" s="19"/>
      <c r="K1229" s="233"/>
      <c r="L1229" s="19"/>
    </row>
    <row r="1230" spans="1:12" ht="12" customHeight="1">
      <c r="A1230" s="219" t="str" cm="1">
        <f t="array" ref="A1230">IFERROR(INDEX('03.Muestra'!$B$8:$B$42,SMALL(IF("Página Web"='03.Muestra'!$D$8:$D$42,ROW('03.Muestra'!$B$8:$B$42)-MIN(ROW('03.Muestra'!$D$8:$D$42))+1,""),ROW()-1196)),"")</f>
        <v/>
      </c>
      <c r="B1230" s="114" t="str" cm="1">
        <f t="array" ref="B1230">IFERROR(INDEX('03.Muestra'!$C$8:$C$42,SMALL(IF("Página Web"='03.Muestra'!$D$8:$D$42,ROW('03.Muestra'!$C$8:$C$42)-MIN(ROW('03.Muestra'!$D$8:$D$42))+1,""),ROW()-1196)),"")</f>
        <v/>
      </c>
      <c r="C1230" s="114" t="str" cm="1">
        <f t="array" ref="C1230">IFERROR(INDEX('03.Muestra'!$F$8:$F$42,SMALL(IF("Página Web"='03.Muestra'!$D$8:$D$42,ROW('03.Muestra'!$F$8:$F$42)-MIN(ROW('03.Muestra'!$D$8:$D$42))+1,""),ROW()-1196)),"")</f>
        <v/>
      </c>
      <c r="D1230" s="130" t="str">
        <f t="shared" si="63" ref="D1230:D1231">IF(AND(B1230&lt;&gt;"",C1230&lt;&gt;""),"N/T","")</f>
        <v/>
      </c>
      <c r="E1230" s="107" t="str">
        <f t="shared" si="62"/>
        <v/>
      </c>
      <c r="F1230" s="124"/>
      <c r="G1230" s="19"/>
      <c r="H1230" s="19"/>
      <c r="I1230" s="19"/>
      <c r="J1230" s="19"/>
      <c r="K1230" s="233"/>
      <c r="L1230" s="19"/>
    </row>
    <row r="1231" spans="1:12" ht="12" customHeight="1">
      <c r="A1231" s="219" t="str" cm="1">
        <f t="array" ref="A1231">IFERROR(INDEX('03.Muestra'!$B$8:$B$42,SMALL(IF("Página Web"='03.Muestra'!$D$8:$D$42,ROW('03.Muestra'!$B$8:$B$42)-MIN(ROW('03.Muestra'!$D$8:$D$42))+1,""),ROW()-1196)),"")</f>
        <v/>
      </c>
      <c r="B1231" s="114" t="str" cm="1">
        <f t="array" ref="B1231">IFERROR(INDEX('03.Muestra'!$C$8:$C$42,SMALL(IF("Página Web"='03.Muestra'!$D$8:$D$42,ROW('03.Muestra'!$C$8:$C$42)-MIN(ROW('03.Muestra'!$D$8:$D$42))+1,""),ROW()-1196)),"")</f>
        <v/>
      </c>
      <c r="C1231" s="114" t="str" cm="1">
        <f t="array" ref="C1231">IFERROR(INDEX('03.Muestra'!$F$8:$F$42,SMALL(IF("Página Web"='03.Muestra'!$D$8:$D$42,ROW('03.Muestra'!$F$8:$F$42)-MIN(ROW('03.Muestra'!$D$8:$D$42))+1,""),ROW()-1196)),"")</f>
        <v/>
      </c>
      <c r="D1231" s="130" t="str">
        <f t="shared" si="63"/>
        <v/>
      </c>
      <c r="E1231" s="107" t="str">
        <f t="shared" si="62"/>
        <v/>
      </c>
      <c r="F1231" s="19"/>
      <c r="G1231" s="19"/>
      <c r="H1231" s="19"/>
      <c r="I1231" s="19"/>
      <c r="J1231" s="19"/>
      <c r="K1231" s="233"/>
      <c r="L1231" s="19"/>
    </row>
    <row r="1232" spans="1:12" ht="12" customHeight="1">
      <c r="B1232" s="19"/>
      <c r="C1232" s="19"/>
      <c r="D1232" s="107"/>
      <c r="E1232" s="112"/>
      <c r="F1232" s="19"/>
      <c r="G1232" s="19"/>
      <c r="H1232" s="19"/>
      <c r="I1232" s="19"/>
      <c r="J1232" s="19"/>
      <c r="K1232" s="233"/>
      <c r="L1232" s="19"/>
    </row>
    <row r="1233" spans="1:12" ht="12" customHeight="1">
      <c r="B1233" s="126"/>
      <c r="C1233" s="19"/>
      <c r="D1233" s="107"/>
      <c r="E1233" s="112"/>
      <c r="F1233" s="19"/>
      <c r="G1233" s="19"/>
      <c r="H1233" s="19"/>
      <c r="I1233" s="19"/>
      <c r="J1233" s="19"/>
      <c r="K1233" s="233"/>
      <c r="L1233" s="19"/>
    </row>
    <row r="1234" spans="1:12" ht="29.25" customHeight="1">
      <c r="A1234" s="218" t="s">
        <v>268</v>
      </c>
      <c r="B1234" s="24" t="s">
        <v>90</v>
      </c>
      <c r="C1234" s="25" t="s">
        <v>405</v>
      </c>
      <c r="D1234" s="26" t="s">
        <v>32</v>
      </c>
      <c r="E1234" s="123"/>
      <c r="K1234" s="233"/>
      <c r="L1234" s="19"/>
    </row>
    <row r="1235" spans="1:12" ht="12" customHeight="1">
      <c r="A1235" s="219" t="n" cm="1">
        <f t="array" ref="A1235">IFERROR(INDEX('03.Muestra'!$B$8:$B$42,SMALL(IF("Página Web"='03.Muestra'!$D$8:$D$42,ROW('03.Muestra'!$B$8:$B$42)-MIN(ROW('03.Muestra'!$D$8:$D$42))+1,""),ROW()-1234)),"")</f>
        <v>1.0</v>
      </c>
      <c r="B1235" s="114" t="str" cm="1">
        <f t="array" ref="B1235">IFERROR(INDEX('03.Muestra'!$C$8:$C$42,SMALL(IF("Página Web"='03.Muestra'!$D$8:$D$42,ROW('03.Muestra'!$C$8:$C$42)-MIN(ROW('03.Muestra'!$D$8:$D$42))+1,""),ROW()-1234)),"")</f>
        <v>Home - PortCastelló</v>
      </c>
      <c r="C1235" s="114" t="str" cm="1">
        <f t="array" ref="C1235">IFERROR(INDEX('03.Muestra'!$F$8:$F$42,SMALL(IF("Página Web"='03.Muestra'!$D$8:$D$42,ROW('03.Muestra'!$F$8:$F$42)-MIN(ROW('03.Muestra'!$D$8:$D$42))+1,""),ROW()-1234)),"")</f>
        <v>https://www.portcastello.com/</v>
      </c>
      <c r="D1235" s="130" t="str">
        <f>IF(AND(B1235&lt;&gt;"",C1235&lt;&gt;""),"N/T","")</f>
        <v>N/T</v>
      </c>
      <c r="E1235" s="107" t="str">
        <f t="shared" ref="E1235:E1269" si="64">IF(D1235&lt;&gt;"",IF(AND(B1235&lt;&gt;"",C1235&lt;&gt;""),"","ERR"),"")</f>
        <v/>
      </c>
      <c r="F1235" s="115" t="s">
        <v>33</v>
      </c>
      <c r="G1235" s="116" t="s">
        <v>37</v>
      </c>
      <c r="H1235" s="117" t="s">
        <v>35</v>
      </c>
      <c r="I1235" s="118" t="s">
        <v>28</v>
      </c>
      <c r="J1235" s="119" t="s">
        <v>26</v>
      </c>
      <c r="K1235" s="226" t="s">
        <v>474</v>
      </c>
      <c r="L1235" s="19"/>
    </row>
    <row r="1236" spans="1:12" ht="12" customHeight="1">
      <c r="A1236" s="219" t="n" cm="1">
        <f t="array" ref="A1236">IFERROR(INDEX('03.Muestra'!$B$8:$B$42,SMALL(IF("Página Web"='03.Muestra'!$D$8:$D$42,ROW('03.Muestra'!$B$8:$B$42)-MIN(ROW('03.Muestra'!$D$8:$D$42))+1,""),ROW()-1234)),"")</f>
        <v>1.0</v>
      </c>
      <c r="B1236" s="114" t="str" cm="1">
        <f t="array" ref="B1236">IFERROR(INDEX('03.Muestra'!$C$8:$C$42,SMALL(IF("Página Web"='03.Muestra'!$D$8:$D$42,ROW('03.Muestra'!$C$8:$C$42)-MIN(ROW('03.Muestra'!$D$8:$D$42))+1,""),ROW()-1234)),"")</f>
        <v>Home - PortCastelló</v>
      </c>
      <c r="C1236" s="114" t="str" cm="1">
        <f t="array" ref="C1236">IFERROR(INDEX('03.Muestra'!$F$8:$F$42,SMALL(IF("Página Web"='03.Muestra'!$D$8:$D$42,ROW('03.Muestra'!$F$8:$F$42)-MIN(ROW('03.Muestra'!$D$8:$D$42))+1,""),ROW()-1234)),"")</f>
        <v>https://www.portcastello.com/</v>
      </c>
      <c r="D1236" s="130" t="str">
        <f t="shared" ref="D1236:D1269" si="65">IF(AND(B1236&lt;&gt;"",C1236&lt;&gt;""),"N/T","")</f>
        <v>N/T</v>
      </c>
      <c r="E1236" s="107" t="str">
        <f t="shared" si="64"/>
        <v/>
      </c>
      <c r="F1236" s="120" t="n">
        <f ca="1">COUNTIF($D1235:INDIRECT("$D" &amp;  SUM(ROW()-1,'03.Muestra'!$D$45)-1),F1235)</f>
        <v>33.0</v>
      </c>
      <c r="G1236" s="120" t="n">
        <f ca="1">COUNTIF($D1235:INDIRECT("$D" &amp;  SUM(ROW()-1,'03.Muestra'!$D$45)-1),G1235)</f>
        <v>0.0</v>
      </c>
      <c r="H1236" s="120" t="n">
        <f ca="1">COUNTIF($D1235:INDIRECT("$D" &amp;  SUM(ROW()-1,'03.Muestra'!$D$45)-1),H1235)</f>
        <v>0.0</v>
      </c>
      <c r="I1236" s="120" t="n">
        <f ca="1">COUNTIF($D1235:INDIRECT("$D" &amp;  SUM(ROW()-1,'03.Muestra'!$D$45)-1),I1235)</f>
        <v>0.0</v>
      </c>
      <c r="J1236" s="120" t="n">
        <f ca="1">COUNTIF($D1235:INDIRECT("$D" &amp;  SUM(ROW()-1,'03.Muestra'!$D$45)-1),J1235)</f>
        <v>0.0</v>
      </c>
      <c r="K1236" s="227" t="n">
        <f ca="1">IF(COUNTIF('03.Muestra'!$D$8:$D$42,"Página Web")=0,0,COUNTBLANK($D1235:INDIRECT("$D" &amp;  SUM(ROW()-1,COUNTIF('03.Muestra'!$D$8:$D$42,"Página Web"))-1)))</f>
        <v>0.0</v>
      </c>
      <c r="L1236" s="19"/>
    </row>
    <row r="1237" spans="1:12" ht="12" customHeight="1">
      <c r="A1237" s="219" t="n" cm="1">
        <f t="array" ref="A1237">IFERROR(INDEX('03.Muestra'!$B$8:$B$42,SMALL(IF("Página Web"='03.Muestra'!$D$8:$D$42,ROW('03.Muestra'!$B$8:$B$42)-MIN(ROW('03.Muestra'!$D$8:$D$42))+1,""),ROW()-1234)),"")</f>
        <v>1.0</v>
      </c>
      <c r="B1237" s="114" t="str" cm="1">
        <f t="array" ref="B1237">IFERROR(INDEX('03.Muestra'!$C$8:$C$42,SMALL(IF("Página Web"='03.Muestra'!$D$8:$D$42,ROW('03.Muestra'!$C$8:$C$42)-MIN(ROW('03.Muestra'!$D$8:$D$42))+1,""),ROW()-1234)),"")</f>
        <v>Home - PortCastelló</v>
      </c>
      <c r="C1237" s="114" t="str" cm="1">
        <f t="array" ref="C1237">IFERROR(INDEX('03.Muestra'!$F$8:$F$42,SMALL(IF("Página Web"='03.Muestra'!$D$8:$D$42,ROW('03.Muestra'!$F$8:$F$42)-MIN(ROW('03.Muestra'!$D$8:$D$42))+1,""),ROW()-1234)),"")</f>
        <v>https://www.portcastello.com/</v>
      </c>
      <c r="D1237" s="130" t="str">
        <f t="shared" si="65"/>
        <v>N/T</v>
      </c>
      <c r="E1237" s="107" t="str">
        <f t="shared" si="64"/>
        <v/>
      </c>
      <c r="G1237" s="19"/>
      <c r="H1237" s="19"/>
      <c r="I1237" s="19"/>
      <c r="J1237" s="19"/>
      <c r="K1237" s="233"/>
      <c r="L1237" s="19"/>
    </row>
    <row r="1238" spans="1:12" ht="12" customHeight="1">
      <c r="A1238" s="219" t="n" cm="1">
        <f t="array" ref="A1238">IFERROR(INDEX('03.Muestra'!$B$8:$B$42,SMALL(IF("Página Web"='03.Muestra'!$D$8:$D$42,ROW('03.Muestra'!$B$8:$B$42)-MIN(ROW('03.Muestra'!$D$8:$D$42))+1,""),ROW()-1234)),"")</f>
        <v>1.0</v>
      </c>
      <c r="B1238" s="114" t="str" cm="1">
        <f t="array" ref="B1238">IFERROR(INDEX('03.Muestra'!$C$8:$C$42,SMALL(IF("Página Web"='03.Muestra'!$D$8:$D$42,ROW('03.Muestra'!$C$8:$C$42)-MIN(ROW('03.Muestra'!$D$8:$D$42))+1,""),ROW()-1234)),"")</f>
        <v>Home - PortCastelló</v>
      </c>
      <c r="C1238" s="114" t="str" cm="1">
        <f t="array" ref="C1238">IFERROR(INDEX('03.Muestra'!$F$8:$F$42,SMALL(IF("Página Web"='03.Muestra'!$D$8:$D$42,ROW('03.Muestra'!$F$8:$F$42)-MIN(ROW('03.Muestra'!$D$8:$D$42))+1,""),ROW()-1234)),"")</f>
        <v>https://www.portcastello.com/</v>
      </c>
      <c r="D1238" s="130" t="str">
        <f t="shared" si="65"/>
        <v>N/T</v>
      </c>
      <c r="E1238" s="107" t="str">
        <f t="shared" si="64"/>
        <v/>
      </c>
      <c r="G1238" s="19"/>
      <c r="H1238" s="19"/>
      <c r="I1238" s="19"/>
      <c r="J1238" s="19"/>
      <c r="K1238" s="233"/>
      <c r="L1238" s="19"/>
    </row>
    <row r="1239" spans="1:12" ht="12" customHeight="1">
      <c r="A1239" s="219" t="n" cm="1">
        <f t="array" ref="A1239">IFERROR(INDEX('03.Muestra'!$B$8:$B$42,SMALL(IF("Página Web"='03.Muestra'!$D$8:$D$42,ROW('03.Muestra'!$B$8:$B$42)-MIN(ROW('03.Muestra'!$D$8:$D$42))+1,""),ROW()-1234)),"")</f>
        <v>1.0</v>
      </c>
      <c r="B1239" s="114" t="str" cm="1">
        <f t="array" ref="B1239">IFERROR(INDEX('03.Muestra'!$C$8:$C$42,SMALL(IF("Página Web"='03.Muestra'!$D$8:$D$42,ROW('03.Muestra'!$C$8:$C$42)-MIN(ROW('03.Muestra'!$D$8:$D$42))+1,""),ROW()-1234)),"")</f>
        <v>Home - PortCastelló</v>
      </c>
      <c r="C1239" s="114" t="str" cm="1">
        <f t="array" ref="C1239">IFERROR(INDEX('03.Muestra'!$F$8:$F$42,SMALL(IF("Página Web"='03.Muestra'!$D$8:$D$42,ROW('03.Muestra'!$F$8:$F$42)-MIN(ROW('03.Muestra'!$D$8:$D$42))+1,""),ROW()-1234)),"")</f>
        <v>https://www.portcastello.com/</v>
      </c>
      <c r="D1239" s="130" t="str">
        <f t="shared" si="65"/>
        <v>N/T</v>
      </c>
      <c r="E1239" s="107" t="str">
        <f t="shared" si="64"/>
        <v/>
      </c>
      <c r="G1239" s="19"/>
      <c r="H1239" s="19"/>
      <c r="I1239" s="19"/>
      <c r="J1239" s="19"/>
      <c r="K1239" s="233"/>
      <c r="L1239" s="19"/>
    </row>
    <row r="1240" spans="1:12" ht="12" customHeight="1">
      <c r="A1240" s="219" t="n" cm="1">
        <f t="array" ref="A1240">IFERROR(INDEX('03.Muestra'!$B$8:$B$42,SMALL(IF("Página Web"='03.Muestra'!$D$8:$D$42,ROW('03.Muestra'!$B$8:$B$42)-MIN(ROW('03.Muestra'!$D$8:$D$42))+1,""),ROW()-1234)),"")</f>
        <v>1.0</v>
      </c>
      <c r="B1240" s="114" t="str" cm="1">
        <f t="array" ref="B1240">IFERROR(INDEX('03.Muestra'!$C$8:$C$42,SMALL(IF("Página Web"='03.Muestra'!$D$8:$D$42,ROW('03.Muestra'!$C$8:$C$42)-MIN(ROW('03.Muestra'!$D$8:$D$42))+1,""),ROW()-1234)),"")</f>
        <v>Home - PortCastelló</v>
      </c>
      <c r="C1240" s="114" t="str" cm="1">
        <f t="array" ref="C1240">IFERROR(INDEX('03.Muestra'!$F$8:$F$42,SMALL(IF("Página Web"='03.Muestra'!$D$8:$D$42,ROW('03.Muestra'!$F$8:$F$42)-MIN(ROW('03.Muestra'!$D$8:$D$42))+1,""),ROW()-1234)),"")</f>
        <v>https://www.portcastello.com/</v>
      </c>
      <c r="D1240" s="130" t="str">
        <f t="shared" si="65"/>
        <v>N/T</v>
      </c>
      <c r="E1240" s="107" t="str">
        <f t="shared" si="64"/>
        <v/>
      </c>
      <c r="G1240" s="19"/>
      <c r="H1240" s="19"/>
      <c r="I1240" s="19"/>
      <c r="J1240" s="19"/>
      <c r="K1240" s="233"/>
      <c r="L1240" s="19"/>
    </row>
    <row r="1241" spans="1:12" ht="12" customHeight="1">
      <c r="A1241" s="219" t="n" cm="1">
        <f t="array" ref="A1241">IFERROR(INDEX('03.Muestra'!$B$8:$B$42,SMALL(IF("Página Web"='03.Muestra'!$D$8:$D$42,ROW('03.Muestra'!$B$8:$B$42)-MIN(ROW('03.Muestra'!$D$8:$D$42))+1,""),ROW()-1234)),"")</f>
        <v>1.0</v>
      </c>
      <c r="B1241" s="114" t="str" cm="1">
        <f t="array" ref="B1241">IFERROR(INDEX('03.Muestra'!$C$8:$C$42,SMALL(IF("Página Web"='03.Muestra'!$D$8:$D$42,ROW('03.Muestra'!$C$8:$C$42)-MIN(ROW('03.Muestra'!$D$8:$D$42))+1,""),ROW()-1234)),"")</f>
        <v>Home - PortCastelló</v>
      </c>
      <c r="C1241" s="114" t="str" cm="1">
        <f t="array" ref="C1241">IFERROR(INDEX('03.Muestra'!$F$8:$F$42,SMALL(IF("Página Web"='03.Muestra'!$D$8:$D$42,ROW('03.Muestra'!$F$8:$F$42)-MIN(ROW('03.Muestra'!$D$8:$D$42))+1,""),ROW()-1234)),"")</f>
        <v>https://www.portcastello.com/</v>
      </c>
      <c r="D1241" s="130" t="str">
        <f t="shared" si="65"/>
        <v>N/T</v>
      </c>
      <c r="E1241" s="107" t="str">
        <f t="shared" si="64"/>
        <v/>
      </c>
      <c r="F1241" s="19"/>
      <c r="G1241" s="19"/>
      <c r="H1241" s="19"/>
      <c r="I1241" s="19"/>
      <c r="J1241" s="19"/>
      <c r="K1241" s="233"/>
      <c r="L1241" s="19"/>
    </row>
    <row r="1242" spans="1:12" ht="12" customHeight="1">
      <c r="A1242" s="219" t="n" cm="1">
        <f t="array" ref="A1242">IFERROR(INDEX('03.Muestra'!$B$8:$B$42,SMALL(IF("Página Web"='03.Muestra'!$D$8:$D$42,ROW('03.Muestra'!$B$8:$B$42)-MIN(ROW('03.Muestra'!$D$8:$D$42))+1,""),ROW()-1234)),"")</f>
        <v>1.0</v>
      </c>
      <c r="B1242" s="114" t="str" cm="1">
        <f t="array" ref="B1242">IFERROR(INDEX('03.Muestra'!$C$8:$C$42,SMALL(IF("Página Web"='03.Muestra'!$D$8:$D$42,ROW('03.Muestra'!$C$8:$C$42)-MIN(ROW('03.Muestra'!$D$8:$D$42))+1,""),ROW()-1234)),"")</f>
        <v>Home - PortCastelló</v>
      </c>
      <c r="C1242" s="114" t="str" cm="1">
        <f t="array" ref="C1242">IFERROR(INDEX('03.Muestra'!$F$8:$F$42,SMALL(IF("Página Web"='03.Muestra'!$D$8:$D$42,ROW('03.Muestra'!$F$8:$F$42)-MIN(ROW('03.Muestra'!$D$8:$D$42))+1,""),ROW()-1234)),"")</f>
        <v>https://www.portcastello.com/</v>
      </c>
      <c r="D1242" s="130" t="str">
        <f t="shared" si="65"/>
        <v>N/T</v>
      </c>
      <c r="E1242" s="107" t="str">
        <f t="shared" si="64"/>
        <v/>
      </c>
      <c r="F1242" s="19"/>
      <c r="G1242" s="19"/>
      <c r="H1242" s="19"/>
      <c r="I1242" s="19"/>
      <c r="J1242" s="19"/>
      <c r="K1242" s="233"/>
      <c r="L1242" s="19"/>
    </row>
    <row r="1243" spans="1:12" ht="12" customHeight="1">
      <c r="A1243" s="219" t="n" cm="1">
        <f t="array" ref="A1243">IFERROR(INDEX('03.Muestra'!$B$8:$B$42,SMALL(IF("Página Web"='03.Muestra'!$D$8:$D$42,ROW('03.Muestra'!$B$8:$B$42)-MIN(ROW('03.Muestra'!$D$8:$D$42))+1,""),ROW()-1234)),"")</f>
        <v>1.0</v>
      </c>
      <c r="B1243" s="114" t="str" cm="1">
        <f t="array" ref="B1243">IFERROR(INDEX('03.Muestra'!$C$8:$C$42,SMALL(IF("Página Web"='03.Muestra'!$D$8:$D$42,ROW('03.Muestra'!$C$8:$C$42)-MIN(ROW('03.Muestra'!$D$8:$D$42))+1,""),ROW()-1234)),"")</f>
        <v>Home - PortCastelló</v>
      </c>
      <c r="C1243" s="114" t="str" cm="1">
        <f t="array" ref="C1243">IFERROR(INDEX('03.Muestra'!$F$8:$F$42,SMALL(IF("Página Web"='03.Muestra'!$D$8:$D$42,ROW('03.Muestra'!$F$8:$F$42)-MIN(ROW('03.Muestra'!$D$8:$D$42))+1,""),ROW()-1234)),"")</f>
        <v>https://www.portcastello.com/</v>
      </c>
      <c r="D1243" s="130" t="str">
        <f t="shared" si="65"/>
        <v>N/T</v>
      </c>
      <c r="E1243" s="107" t="str">
        <f t="shared" si="64"/>
        <v/>
      </c>
      <c r="F1243" s="19"/>
      <c r="G1243" s="19"/>
      <c r="H1243" s="19"/>
      <c r="I1243" s="19"/>
      <c r="J1243" s="19"/>
      <c r="K1243" s="233"/>
      <c r="L1243" s="19"/>
    </row>
    <row r="1244" spans="1:12" ht="12" customHeight="1">
      <c r="A1244" s="219" t="n" cm="1">
        <f t="array" ref="A1244">IFERROR(INDEX('03.Muestra'!$B$8:$B$42,SMALL(IF("Página Web"='03.Muestra'!$D$8:$D$42,ROW('03.Muestra'!$B$8:$B$42)-MIN(ROW('03.Muestra'!$D$8:$D$42))+1,""),ROW()-1234)),"")</f>
        <v>1.0</v>
      </c>
      <c r="B1244" s="114" t="str" cm="1">
        <f t="array" ref="B1244">IFERROR(INDEX('03.Muestra'!$C$8:$C$42,SMALL(IF("Página Web"='03.Muestra'!$D$8:$D$42,ROW('03.Muestra'!$C$8:$C$42)-MIN(ROW('03.Muestra'!$D$8:$D$42))+1,""),ROW()-1234)),"")</f>
        <v>Home - PortCastelló</v>
      </c>
      <c r="C1244" s="114" t="str" cm="1">
        <f t="array" ref="C1244">IFERROR(INDEX('03.Muestra'!$F$8:$F$42,SMALL(IF("Página Web"='03.Muestra'!$D$8:$D$42,ROW('03.Muestra'!$F$8:$F$42)-MIN(ROW('03.Muestra'!$D$8:$D$42))+1,""),ROW()-1234)),"")</f>
        <v>https://www.portcastello.com/</v>
      </c>
      <c r="D1244" s="130" t="str">
        <f t="shared" si="65"/>
        <v>N/T</v>
      </c>
      <c r="E1244" s="107" t="str">
        <f t="shared" si="64"/>
        <v/>
      </c>
      <c r="F1244" s="19"/>
      <c r="G1244" s="19"/>
      <c r="H1244" s="19"/>
      <c r="I1244" s="19"/>
      <c r="J1244" s="19"/>
      <c r="K1244" s="233"/>
      <c r="L1244" s="19"/>
    </row>
    <row r="1245" spans="1:12" ht="12" customHeight="1">
      <c r="A1245" s="219" t="n" cm="1">
        <f t="array" ref="A1245">IFERROR(INDEX('03.Muestra'!$B$8:$B$42,SMALL(IF("Página Web"='03.Muestra'!$D$8:$D$42,ROW('03.Muestra'!$B$8:$B$42)-MIN(ROW('03.Muestra'!$D$8:$D$42))+1,""),ROW()-1234)),"")</f>
        <v>1.0</v>
      </c>
      <c r="B1245" s="114" t="str" cm="1">
        <f t="array" ref="B1245">IFERROR(INDEX('03.Muestra'!$C$8:$C$42,SMALL(IF("Página Web"='03.Muestra'!$D$8:$D$42,ROW('03.Muestra'!$C$8:$C$42)-MIN(ROW('03.Muestra'!$D$8:$D$42))+1,""),ROW()-1234)),"")</f>
        <v>Home - PortCastelló</v>
      </c>
      <c r="C1245" s="114" t="str" cm="1">
        <f t="array" ref="C1245">IFERROR(INDEX('03.Muestra'!$F$8:$F$42,SMALL(IF("Página Web"='03.Muestra'!$D$8:$D$42,ROW('03.Muestra'!$F$8:$F$42)-MIN(ROW('03.Muestra'!$D$8:$D$42))+1,""),ROW()-1234)),"")</f>
        <v>https://www.portcastello.com/</v>
      </c>
      <c r="D1245" s="130" t="str">
        <f t="shared" si="65"/>
        <v>N/T</v>
      </c>
      <c r="E1245" s="107" t="str">
        <f t="shared" si="64"/>
        <v/>
      </c>
      <c r="F1245" s="19"/>
      <c r="G1245" s="19"/>
      <c r="H1245" s="19"/>
      <c r="I1245" s="19"/>
      <c r="J1245" s="19"/>
      <c r="K1245" s="233"/>
      <c r="L1245" s="19"/>
    </row>
    <row r="1246" spans="1:12" ht="12" customHeight="1">
      <c r="A1246" s="219" t="n" cm="1">
        <f t="array" ref="A1246">IFERROR(INDEX('03.Muestra'!$B$8:$B$42,SMALL(IF("Página Web"='03.Muestra'!$D$8:$D$42,ROW('03.Muestra'!$B$8:$B$42)-MIN(ROW('03.Muestra'!$D$8:$D$42))+1,""),ROW()-1234)),"")</f>
        <v>1.0</v>
      </c>
      <c r="B1246" s="114" t="str" cm="1">
        <f t="array" ref="B1246">IFERROR(INDEX('03.Muestra'!$C$8:$C$42,SMALL(IF("Página Web"='03.Muestra'!$D$8:$D$42,ROW('03.Muestra'!$C$8:$C$42)-MIN(ROW('03.Muestra'!$D$8:$D$42))+1,""),ROW()-1234)),"")</f>
        <v>Home - PortCastelló</v>
      </c>
      <c r="C1246" s="114" t="str" cm="1">
        <f t="array" ref="C1246">IFERROR(INDEX('03.Muestra'!$F$8:$F$42,SMALL(IF("Página Web"='03.Muestra'!$D$8:$D$42,ROW('03.Muestra'!$F$8:$F$42)-MIN(ROW('03.Muestra'!$D$8:$D$42))+1,""),ROW()-1234)),"")</f>
        <v>https://www.portcastello.com/</v>
      </c>
      <c r="D1246" s="130" t="str">
        <f t="shared" si="65"/>
        <v>N/T</v>
      </c>
      <c r="E1246" s="107" t="str">
        <f t="shared" si="64"/>
        <v/>
      </c>
      <c r="F1246" s="19"/>
      <c r="G1246" s="19"/>
      <c r="H1246" s="19"/>
      <c r="I1246" s="19"/>
      <c r="J1246" s="19"/>
      <c r="K1246" s="233"/>
      <c r="L1246" s="19"/>
    </row>
    <row r="1247" spans="1:12" ht="12" customHeight="1">
      <c r="A1247" s="219" t="n" cm="1">
        <f t="array" ref="A1247">IFERROR(INDEX('03.Muestra'!$B$8:$B$42,SMALL(IF("Página Web"='03.Muestra'!$D$8:$D$42,ROW('03.Muestra'!$B$8:$B$42)-MIN(ROW('03.Muestra'!$D$8:$D$42))+1,""),ROW()-1234)),"")</f>
        <v>1.0</v>
      </c>
      <c r="B1247" s="114" t="str" cm="1">
        <f t="array" ref="B1247">IFERROR(INDEX('03.Muestra'!$C$8:$C$42,SMALL(IF("Página Web"='03.Muestra'!$D$8:$D$42,ROW('03.Muestra'!$C$8:$C$42)-MIN(ROW('03.Muestra'!$D$8:$D$42))+1,""),ROW()-1234)),"")</f>
        <v>Home - PortCastelló</v>
      </c>
      <c r="C1247" s="114" t="str" cm="1">
        <f t="array" ref="C1247">IFERROR(INDEX('03.Muestra'!$F$8:$F$42,SMALL(IF("Página Web"='03.Muestra'!$D$8:$D$42,ROW('03.Muestra'!$F$8:$F$42)-MIN(ROW('03.Muestra'!$D$8:$D$42))+1,""),ROW()-1234)),"")</f>
        <v>https://www.portcastello.com/</v>
      </c>
      <c r="D1247" s="130" t="str">
        <f t="shared" si="65"/>
        <v>N/T</v>
      </c>
      <c r="E1247" s="107" t="str">
        <f t="shared" si="64"/>
        <v/>
      </c>
      <c r="F1247" s="19"/>
      <c r="G1247" s="19"/>
      <c r="H1247" s="19"/>
      <c r="I1247" s="19"/>
      <c r="J1247" s="19"/>
      <c r="K1247" s="233"/>
      <c r="L1247" s="19"/>
    </row>
    <row r="1248" spans="1:12" ht="12" customHeight="1">
      <c r="A1248" s="219" t="n" cm="1">
        <f t="array" ref="A1248">IFERROR(INDEX('03.Muestra'!$B$8:$B$42,SMALL(IF("Página Web"='03.Muestra'!$D$8:$D$42,ROW('03.Muestra'!$B$8:$B$42)-MIN(ROW('03.Muestra'!$D$8:$D$42))+1,""),ROW()-1234)),"")</f>
        <v>1.0</v>
      </c>
      <c r="B1248" s="114" t="str" cm="1">
        <f t="array" ref="B1248">IFERROR(INDEX('03.Muestra'!$C$8:$C$42,SMALL(IF("Página Web"='03.Muestra'!$D$8:$D$42,ROW('03.Muestra'!$C$8:$C$42)-MIN(ROW('03.Muestra'!$D$8:$D$42))+1,""),ROW()-1234)),"")</f>
        <v>Home - PortCastelló</v>
      </c>
      <c r="C1248" s="114" t="str" cm="1">
        <f t="array" ref="C1248">IFERROR(INDEX('03.Muestra'!$F$8:$F$42,SMALL(IF("Página Web"='03.Muestra'!$D$8:$D$42,ROW('03.Muestra'!$F$8:$F$42)-MIN(ROW('03.Muestra'!$D$8:$D$42))+1,""),ROW()-1234)),"")</f>
        <v>https://www.portcastello.com/</v>
      </c>
      <c r="D1248" s="130" t="str">
        <f t="shared" si="65"/>
        <v>N/T</v>
      </c>
      <c r="E1248" s="107" t="str">
        <f t="shared" si="64"/>
        <v/>
      </c>
      <c r="F1248" s="19"/>
      <c r="G1248" s="19"/>
      <c r="H1248" s="19"/>
      <c r="I1248" s="19"/>
      <c r="J1248" s="19"/>
      <c r="K1248" s="233"/>
      <c r="L1248" s="19"/>
    </row>
    <row r="1249" spans="1:12" ht="12" customHeight="1">
      <c r="A1249" s="219" t="n" cm="1">
        <f t="array" ref="A1249">IFERROR(INDEX('03.Muestra'!$B$8:$B$42,SMALL(IF("Página Web"='03.Muestra'!$D$8:$D$42,ROW('03.Muestra'!$B$8:$B$42)-MIN(ROW('03.Muestra'!$D$8:$D$42))+1,""),ROW()-1234)),"")</f>
        <v>1.0</v>
      </c>
      <c r="B1249" s="114" t="str" cm="1">
        <f t="array" ref="B1249">IFERROR(INDEX('03.Muestra'!$C$8:$C$42,SMALL(IF("Página Web"='03.Muestra'!$D$8:$D$42,ROW('03.Muestra'!$C$8:$C$42)-MIN(ROW('03.Muestra'!$D$8:$D$42))+1,""),ROW()-1234)),"")</f>
        <v>Home - PortCastelló</v>
      </c>
      <c r="C1249" s="114" t="str" cm="1">
        <f t="array" ref="C1249">IFERROR(INDEX('03.Muestra'!$F$8:$F$42,SMALL(IF("Página Web"='03.Muestra'!$D$8:$D$42,ROW('03.Muestra'!$F$8:$F$42)-MIN(ROW('03.Muestra'!$D$8:$D$42))+1,""),ROW()-1234)),"")</f>
        <v>https://www.portcastello.com/</v>
      </c>
      <c r="D1249" s="130" t="str">
        <f t="shared" si="65"/>
        <v>N/T</v>
      </c>
      <c r="E1249" s="107" t="str">
        <f t="shared" si="64"/>
        <v/>
      </c>
      <c r="F1249" s="19"/>
      <c r="G1249" s="19"/>
      <c r="H1249" s="19"/>
      <c r="I1249" s="19"/>
      <c r="J1249" s="19"/>
      <c r="K1249" s="233"/>
      <c r="L1249" s="19"/>
    </row>
    <row r="1250" spans="1:12" ht="12" customHeight="1">
      <c r="A1250" s="219" t="n" cm="1">
        <f t="array" ref="A1250">IFERROR(INDEX('03.Muestra'!$B$8:$B$42,SMALL(IF("Página Web"='03.Muestra'!$D$8:$D$42,ROW('03.Muestra'!$B$8:$B$42)-MIN(ROW('03.Muestra'!$D$8:$D$42))+1,""),ROW()-1234)),"")</f>
        <v>1.0</v>
      </c>
      <c r="B1250" s="114" t="str" cm="1">
        <f t="array" ref="B1250">IFERROR(INDEX('03.Muestra'!$C$8:$C$42,SMALL(IF("Página Web"='03.Muestra'!$D$8:$D$42,ROW('03.Muestra'!$C$8:$C$42)-MIN(ROW('03.Muestra'!$D$8:$D$42))+1,""),ROW()-1234)),"")</f>
        <v>Home - PortCastelló</v>
      </c>
      <c r="C1250" s="114" t="str" cm="1">
        <f t="array" ref="C1250">IFERROR(INDEX('03.Muestra'!$F$8:$F$42,SMALL(IF("Página Web"='03.Muestra'!$D$8:$D$42,ROW('03.Muestra'!$F$8:$F$42)-MIN(ROW('03.Muestra'!$D$8:$D$42))+1,""),ROW()-1234)),"")</f>
        <v>https://www.portcastello.com/</v>
      </c>
      <c r="D1250" s="130" t="str">
        <f t="shared" si="65"/>
        <v>N/T</v>
      </c>
      <c r="E1250" s="107" t="str">
        <f t="shared" si="64"/>
        <v/>
      </c>
      <c r="F1250" s="19"/>
      <c r="G1250" s="19"/>
      <c r="H1250" s="19"/>
      <c r="I1250" s="19"/>
      <c r="J1250" s="19"/>
      <c r="K1250" s="233"/>
      <c r="L1250" s="19"/>
    </row>
    <row r="1251" spans="1:12" ht="12" customHeight="1">
      <c r="A1251" s="219" t="n" cm="1">
        <f t="array" ref="A1251">IFERROR(INDEX('03.Muestra'!$B$8:$B$42,SMALL(IF("Página Web"='03.Muestra'!$D$8:$D$42,ROW('03.Muestra'!$B$8:$B$42)-MIN(ROW('03.Muestra'!$D$8:$D$42))+1,""),ROW()-1234)),"")</f>
        <v>1.0</v>
      </c>
      <c r="B1251" s="114" t="str" cm="1">
        <f t="array" ref="B1251">IFERROR(INDEX('03.Muestra'!$C$8:$C$42,SMALL(IF("Página Web"='03.Muestra'!$D$8:$D$42,ROW('03.Muestra'!$C$8:$C$42)-MIN(ROW('03.Muestra'!$D$8:$D$42))+1,""),ROW()-1234)),"")</f>
        <v>Home - PortCastelló</v>
      </c>
      <c r="C1251" s="114" t="str" cm="1">
        <f t="array" ref="C1251">IFERROR(INDEX('03.Muestra'!$F$8:$F$42,SMALL(IF("Página Web"='03.Muestra'!$D$8:$D$42,ROW('03.Muestra'!$F$8:$F$42)-MIN(ROW('03.Muestra'!$D$8:$D$42))+1,""),ROW()-1234)),"")</f>
        <v>https://www.portcastello.com/</v>
      </c>
      <c r="D1251" s="130" t="str">
        <f t="shared" si="65"/>
        <v>N/T</v>
      </c>
      <c r="E1251" s="107" t="str">
        <f t="shared" si="64"/>
        <v/>
      </c>
      <c r="F1251" s="19"/>
      <c r="G1251" s="19"/>
      <c r="H1251" s="19"/>
      <c r="I1251" s="19"/>
      <c r="J1251" s="19"/>
      <c r="K1251" s="233"/>
      <c r="L1251" s="19"/>
    </row>
    <row r="1252" spans="1:12" ht="12" customHeight="1">
      <c r="A1252" s="219" t="n" cm="1">
        <f t="array" ref="A1252">IFERROR(INDEX('03.Muestra'!$B$8:$B$42,SMALL(IF("Página Web"='03.Muestra'!$D$8:$D$42,ROW('03.Muestra'!$B$8:$B$42)-MIN(ROW('03.Muestra'!$D$8:$D$42))+1,""),ROW()-1234)),"")</f>
        <v>1.0</v>
      </c>
      <c r="B1252" s="114" t="str" cm="1">
        <f t="array" ref="B1252">IFERROR(INDEX('03.Muestra'!$C$8:$C$42,SMALL(IF("Página Web"='03.Muestra'!$D$8:$D$42,ROW('03.Muestra'!$C$8:$C$42)-MIN(ROW('03.Muestra'!$D$8:$D$42))+1,""),ROW()-1234)),"")</f>
        <v>Home - PortCastelló</v>
      </c>
      <c r="C1252" s="114" t="str" cm="1">
        <f t="array" ref="C1252">IFERROR(INDEX('03.Muestra'!$F$8:$F$42,SMALL(IF("Página Web"='03.Muestra'!$D$8:$D$42,ROW('03.Muestra'!$F$8:$F$42)-MIN(ROW('03.Muestra'!$D$8:$D$42))+1,""),ROW()-1234)),"")</f>
        <v>https://www.portcastello.com/</v>
      </c>
      <c r="D1252" s="130" t="str">
        <f t="shared" si="65"/>
        <v>N/T</v>
      </c>
      <c r="E1252" s="107" t="str">
        <f t="shared" si="64"/>
        <v/>
      </c>
      <c r="F1252" s="19"/>
      <c r="G1252" s="19"/>
      <c r="H1252" s="19"/>
      <c r="I1252" s="19"/>
      <c r="J1252" s="19"/>
      <c r="K1252" s="233"/>
      <c r="L1252" s="19"/>
    </row>
    <row r="1253" spans="1:12" ht="12" customHeight="1">
      <c r="A1253" s="219" t="n" cm="1">
        <f t="array" ref="A1253">IFERROR(INDEX('03.Muestra'!$B$8:$B$42,SMALL(IF("Página Web"='03.Muestra'!$D$8:$D$42,ROW('03.Muestra'!$B$8:$B$42)-MIN(ROW('03.Muestra'!$D$8:$D$42))+1,""),ROW()-1234)),"")</f>
        <v>1.0</v>
      </c>
      <c r="B1253" s="114" t="str" cm="1">
        <f t="array" ref="B1253">IFERROR(INDEX('03.Muestra'!$C$8:$C$42,SMALL(IF("Página Web"='03.Muestra'!$D$8:$D$42,ROW('03.Muestra'!$C$8:$C$42)-MIN(ROW('03.Muestra'!$D$8:$D$42))+1,""),ROW()-1234)),"")</f>
        <v>Home - PortCastelló</v>
      </c>
      <c r="C1253" s="114" t="str" cm="1">
        <f t="array" ref="C1253">IFERROR(INDEX('03.Muestra'!$F$8:$F$42,SMALL(IF("Página Web"='03.Muestra'!$D$8:$D$42,ROW('03.Muestra'!$F$8:$F$42)-MIN(ROW('03.Muestra'!$D$8:$D$42))+1,""),ROW()-1234)),"")</f>
        <v>https://www.portcastello.com/</v>
      </c>
      <c r="D1253" s="130" t="str">
        <f t="shared" si="65"/>
        <v>N/T</v>
      </c>
      <c r="E1253" s="107" t="str">
        <f t="shared" si="64"/>
        <v/>
      </c>
      <c r="F1253" s="19"/>
      <c r="G1253" s="19"/>
      <c r="H1253" s="19"/>
      <c r="I1253" s="19"/>
      <c r="J1253" s="19"/>
      <c r="K1253" s="233"/>
      <c r="L1253" s="19"/>
    </row>
    <row r="1254" spans="1:12" ht="12" customHeight="1">
      <c r="A1254" s="219" t="n" cm="1">
        <f t="array" ref="A1254">IFERROR(INDEX('03.Muestra'!$B$8:$B$42,SMALL(IF("Página Web"='03.Muestra'!$D$8:$D$42,ROW('03.Muestra'!$B$8:$B$42)-MIN(ROW('03.Muestra'!$D$8:$D$42))+1,""),ROW()-1234)),"")</f>
        <v>1.0</v>
      </c>
      <c r="B1254" s="114" t="str" cm="1">
        <f t="array" ref="B1254">IFERROR(INDEX('03.Muestra'!$C$8:$C$42,SMALL(IF("Página Web"='03.Muestra'!$D$8:$D$42,ROW('03.Muestra'!$C$8:$C$42)-MIN(ROW('03.Muestra'!$D$8:$D$42))+1,""),ROW()-1234)),"")</f>
        <v>Home - PortCastelló</v>
      </c>
      <c r="C1254" s="114" t="str" cm="1">
        <f t="array" ref="C1254">IFERROR(INDEX('03.Muestra'!$F$8:$F$42,SMALL(IF("Página Web"='03.Muestra'!$D$8:$D$42,ROW('03.Muestra'!$F$8:$F$42)-MIN(ROW('03.Muestra'!$D$8:$D$42))+1,""),ROW()-1234)),"")</f>
        <v>https://www.portcastello.com/</v>
      </c>
      <c r="D1254" s="130" t="str">
        <f t="shared" si="65"/>
        <v>N/T</v>
      </c>
      <c r="E1254" s="107" t="str">
        <f t="shared" si="64"/>
        <v/>
      </c>
      <c r="F1254" s="19"/>
      <c r="G1254" s="19"/>
      <c r="H1254" s="19"/>
      <c r="I1254" s="19"/>
      <c r="J1254" s="19"/>
      <c r="K1254" s="233"/>
      <c r="L1254" s="19"/>
    </row>
    <row r="1255" spans="1:12" ht="12" customHeight="1">
      <c r="A1255" s="219" t="n" cm="1">
        <f t="array" ref="A1255">IFERROR(INDEX('03.Muestra'!$B$8:$B$42,SMALL(IF("Página Web"='03.Muestra'!$D$8:$D$42,ROW('03.Muestra'!$B$8:$B$42)-MIN(ROW('03.Muestra'!$D$8:$D$42))+1,""),ROW()-1234)),"")</f>
        <v>1.0</v>
      </c>
      <c r="B1255" s="114" t="str" cm="1">
        <f t="array" ref="B1255">IFERROR(INDEX('03.Muestra'!$C$8:$C$42,SMALL(IF("Página Web"='03.Muestra'!$D$8:$D$42,ROW('03.Muestra'!$C$8:$C$42)-MIN(ROW('03.Muestra'!$D$8:$D$42))+1,""),ROW()-1234)),"")</f>
        <v>Home - PortCastelló</v>
      </c>
      <c r="C1255" s="114" t="str" cm="1">
        <f t="array" ref="C1255">IFERROR(INDEX('03.Muestra'!$F$8:$F$42,SMALL(IF("Página Web"='03.Muestra'!$D$8:$D$42,ROW('03.Muestra'!$F$8:$F$42)-MIN(ROW('03.Muestra'!$D$8:$D$42))+1,""),ROW()-1234)),"")</f>
        <v>https://www.portcastello.com/</v>
      </c>
      <c r="D1255" s="130" t="str">
        <f t="shared" si="65"/>
        <v>N/T</v>
      </c>
      <c r="E1255" s="107" t="str">
        <f t="shared" si="64"/>
        <v/>
      </c>
      <c r="F1255" s="19"/>
      <c r="G1255" s="19"/>
      <c r="H1255" s="19"/>
      <c r="I1255" s="19"/>
      <c r="J1255" s="19"/>
      <c r="K1255" s="233"/>
      <c r="L1255" s="19"/>
    </row>
    <row r="1256" spans="1:12" ht="12" customHeight="1">
      <c r="A1256" s="219" t="n" cm="1">
        <f t="array" ref="A1256">IFERROR(INDEX('03.Muestra'!$B$8:$B$42,SMALL(IF("Página Web"='03.Muestra'!$D$8:$D$42,ROW('03.Muestra'!$B$8:$B$42)-MIN(ROW('03.Muestra'!$D$8:$D$42))+1,""),ROW()-1234)),"")</f>
        <v>1.0</v>
      </c>
      <c r="B1256" s="114" t="str" cm="1">
        <f t="array" ref="B1256">IFERROR(INDEX('03.Muestra'!$C$8:$C$42,SMALL(IF("Página Web"='03.Muestra'!$D$8:$D$42,ROW('03.Muestra'!$C$8:$C$42)-MIN(ROW('03.Muestra'!$D$8:$D$42))+1,""),ROW()-1234)),"")</f>
        <v>Home - PortCastelló</v>
      </c>
      <c r="C1256" s="114" t="str" cm="1">
        <f t="array" ref="C1256">IFERROR(INDEX('03.Muestra'!$F$8:$F$42,SMALL(IF("Página Web"='03.Muestra'!$D$8:$D$42,ROW('03.Muestra'!$F$8:$F$42)-MIN(ROW('03.Muestra'!$D$8:$D$42))+1,""),ROW()-1234)),"")</f>
        <v>https://www.portcastello.com/</v>
      </c>
      <c r="D1256" s="130" t="str">
        <f t="shared" si="65"/>
        <v>N/T</v>
      </c>
      <c r="E1256" s="107" t="str">
        <f t="shared" si="64"/>
        <v/>
      </c>
      <c r="F1256" s="19"/>
      <c r="G1256" s="19"/>
      <c r="H1256" s="19"/>
      <c r="I1256" s="19"/>
      <c r="J1256" s="19"/>
      <c r="K1256" s="233"/>
      <c r="L1256" s="19"/>
    </row>
    <row r="1257" spans="1:12" ht="12" customHeight="1">
      <c r="A1257" s="219" t="n" cm="1">
        <f t="array" ref="A1257">IFERROR(INDEX('03.Muestra'!$B$8:$B$42,SMALL(IF("Página Web"='03.Muestra'!$D$8:$D$42,ROW('03.Muestra'!$B$8:$B$42)-MIN(ROW('03.Muestra'!$D$8:$D$42))+1,""),ROW()-1234)),"")</f>
        <v>1.0</v>
      </c>
      <c r="B1257" s="114" t="str" cm="1">
        <f t="array" ref="B1257">IFERROR(INDEX('03.Muestra'!$C$8:$C$42,SMALL(IF("Página Web"='03.Muestra'!$D$8:$D$42,ROW('03.Muestra'!$C$8:$C$42)-MIN(ROW('03.Muestra'!$D$8:$D$42))+1,""),ROW()-1234)),"")</f>
        <v>Home - PortCastelló</v>
      </c>
      <c r="C1257" s="114" t="str" cm="1">
        <f t="array" ref="C1257">IFERROR(INDEX('03.Muestra'!$F$8:$F$42,SMALL(IF("Página Web"='03.Muestra'!$D$8:$D$42,ROW('03.Muestra'!$F$8:$F$42)-MIN(ROW('03.Muestra'!$D$8:$D$42))+1,""),ROW()-1234)),"")</f>
        <v>https://www.portcastello.com/</v>
      </c>
      <c r="D1257" s="130" t="str">
        <f t="shared" si="65"/>
        <v>N/T</v>
      </c>
      <c r="E1257" s="107" t="str">
        <f t="shared" si="64"/>
        <v/>
      </c>
      <c r="F1257" s="19"/>
      <c r="G1257" s="19"/>
      <c r="H1257" s="19"/>
      <c r="I1257" s="19"/>
      <c r="J1257" s="19"/>
      <c r="K1257" s="233"/>
      <c r="L1257" s="19"/>
    </row>
    <row r="1258" spans="1:12" ht="12" customHeight="1">
      <c r="A1258" s="219" t="n" cm="1">
        <f t="array" ref="A1258">IFERROR(INDEX('03.Muestra'!$B$8:$B$42,SMALL(IF("Página Web"='03.Muestra'!$D$8:$D$42,ROW('03.Muestra'!$B$8:$B$42)-MIN(ROW('03.Muestra'!$D$8:$D$42))+1,""),ROW()-1234)),"")</f>
        <v>1.0</v>
      </c>
      <c r="B1258" s="114" t="str" cm="1">
        <f t="array" ref="B1258">IFERROR(INDEX('03.Muestra'!$C$8:$C$42,SMALL(IF("Página Web"='03.Muestra'!$D$8:$D$42,ROW('03.Muestra'!$C$8:$C$42)-MIN(ROW('03.Muestra'!$D$8:$D$42))+1,""),ROW()-1234)),"")</f>
        <v>Home - PortCastelló</v>
      </c>
      <c r="C1258" s="114" t="str" cm="1">
        <f t="array" ref="C1258">IFERROR(INDEX('03.Muestra'!$F$8:$F$42,SMALL(IF("Página Web"='03.Muestra'!$D$8:$D$42,ROW('03.Muestra'!$F$8:$F$42)-MIN(ROW('03.Muestra'!$D$8:$D$42))+1,""),ROW()-1234)),"")</f>
        <v>https://www.portcastello.com/</v>
      </c>
      <c r="D1258" s="130" t="str">
        <f t="shared" si="65"/>
        <v>N/T</v>
      </c>
      <c r="E1258" s="107" t="str">
        <f t="shared" si="64"/>
        <v/>
      </c>
      <c r="F1258" s="19"/>
      <c r="G1258" s="19"/>
      <c r="H1258" s="19"/>
      <c r="I1258" s="19"/>
      <c r="J1258" s="19"/>
      <c r="K1258" s="233"/>
      <c r="L1258" s="19"/>
    </row>
    <row r="1259" spans="1:12" ht="12" customHeight="1">
      <c r="A1259" s="219" t="n" cm="1">
        <f t="array" ref="A1259">IFERROR(INDEX('03.Muestra'!$B$8:$B$42,SMALL(IF("Página Web"='03.Muestra'!$D$8:$D$42,ROW('03.Muestra'!$B$8:$B$42)-MIN(ROW('03.Muestra'!$D$8:$D$42))+1,""),ROW()-1234)),"")</f>
        <v>1.0</v>
      </c>
      <c r="B1259" s="114" t="str" cm="1">
        <f t="array" ref="B1259">IFERROR(INDEX('03.Muestra'!$C$8:$C$42,SMALL(IF("Página Web"='03.Muestra'!$D$8:$D$42,ROW('03.Muestra'!$C$8:$C$42)-MIN(ROW('03.Muestra'!$D$8:$D$42))+1,""),ROW()-1234)),"")</f>
        <v>Home - PortCastelló</v>
      </c>
      <c r="C1259" s="114" t="str" cm="1">
        <f t="array" ref="C1259">IFERROR(INDEX('03.Muestra'!$F$8:$F$42,SMALL(IF("Página Web"='03.Muestra'!$D$8:$D$42,ROW('03.Muestra'!$F$8:$F$42)-MIN(ROW('03.Muestra'!$D$8:$D$42))+1,""),ROW()-1234)),"")</f>
        <v>https://www.portcastello.com/</v>
      </c>
      <c r="D1259" s="130" t="str">
        <f t="shared" si="65"/>
        <v>N/T</v>
      </c>
      <c r="E1259" s="107" t="str">
        <f t="shared" si="64"/>
        <v/>
      </c>
      <c r="F1259" s="19"/>
      <c r="G1259" s="19"/>
      <c r="H1259" s="19"/>
      <c r="I1259" s="19"/>
      <c r="J1259" s="19"/>
      <c r="K1259" s="233"/>
      <c r="L1259" s="19"/>
    </row>
    <row r="1260" spans="1:12" ht="12" customHeight="1">
      <c r="A1260" s="219" t="n" cm="1">
        <f t="array" ref="A1260">IFERROR(INDEX('03.Muestra'!$B$8:$B$42,SMALL(IF("Página Web"='03.Muestra'!$D$8:$D$42,ROW('03.Muestra'!$B$8:$B$42)-MIN(ROW('03.Muestra'!$D$8:$D$42))+1,""),ROW()-1234)),"")</f>
        <v>1.0</v>
      </c>
      <c r="B1260" s="114" t="str" cm="1">
        <f t="array" ref="B1260">IFERROR(INDEX('03.Muestra'!$C$8:$C$42,SMALL(IF("Página Web"='03.Muestra'!$D$8:$D$42,ROW('03.Muestra'!$C$8:$C$42)-MIN(ROW('03.Muestra'!$D$8:$D$42))+1,""),ROW()-1234)),"")</f>
        <v>Home - PortCastelló</v>
      </c>
      <c r="C1260" s="114" t="str" cm="1">
        <f t="array" ref="C1260">IFERROR(INDEX('03.Muestra'!$F$8:$F$42,SMALL(IF("Página Web"='03.Muestra'!$D$8:$D$42,ROW('03.Muestra'!$F$8:$F$42)-MIN(ROW('03.Muestra'!$D$8:$D$42))+1,""),ROW()-1234)),"")</f>
        <v>https://www.portcastello.com/</v>
      </c>
      <c r="D1260" s="130" t="str">
        <f t="shared" si="65"/>
        <v>N/T</v>
      </c>
      <c r="E1260" s="107" t="str">
        <f t="shared" si="64"/>
        <v/>
      </c>
      <c r="F1260" s="19"/>
      <c r="G1260" s="19"/>
      <c r="H1260" s="19"/>
      <c r="I1260" s="19"/>
      <c r="J1260" s="19"/>
      <c r="K1260" s="233"/>
      <c r="L1260" s="19"/>
    </row>
    <row r="1261" spans="1:12" ht="12" customHeight="1">
      <c r="A1261" s="219" t="n" cm="1">
        <f t="array" ref="A1261">IFERROR(INDEX('03.Muestra'!$B$8:$B$42,SMALL(IF("Página Web"='03.Muestra'!$D$8:$D$42,ROW('03.Muestra'!$B$8:$B$42)-MIN(ROW('03.Muestra'!$D$8:$D$42))+1,""),ROW()-1234)),"")</f>
        <v>1.0</v>
      </c>
      <c r="B1261" s="114" t="str" cm="1">
        <f t="array" ref="B1261">IFERROR(INDEX('03.Muestra'!$C$8:$C$42,SMALL(IF("Página Web"='03.Muestra'!$D$8:$D$42,ROW('03.Muestra'!$C$8:$C$42)-MIN(ROW('03.Muestra'!$D$8:$D$42))+1,""),ROW()-1234)),"")</f>
        <v>Home - PortCastelló</v>
      </c>
      <c r="C1261" s="114" t="str" cm="1">
        <f t="array" ref="C1261">IFERROR(INDEX('03.Muestra'!$F$8:$F$42,SMALL(IF("Página Web"='03.Muestra'!$D$8:$D$42,ROW('03.Muestra'!$F$8:$F$42)-MIN(ROW('03.Muestra'!$D$8:$D$42))+1,""),ROW()-1234)),"")</f>
        <v>https://www.portcastello.com/</v>
      </c>
      <c r="D1261" s="130" t="str">
        <f t="shared" si="65"/>
        <v>N/T</v>
      </c>
      <c r="E1261" s="107" t="str">
        <f t="shared" si="64"/>
        <v/>
      </c>
      <c r="F1261" s="19"/>
      <c r="G1261" s="19"/>
      <c r="H1261" s="19"/>
      <c r="I1261" s="19"/>
      <c r="J1261" s="19"/>
      <c r="K1261" s="233"/>
      <c r="L1261" s="19"/>
    </row>
    <row r="1262" spans="1:12" ht="12" customHeight="1">
      <c r="A1262" s="219" t="n" cm="1">
        <f t="array" ref="A1262">IFERROR(INDEX('03.Muestra'!$B$8:$B$42,SMALL(IF("Página Web"='03.Muestra'!$D$8:$D$42,ROW('03.Muestra'!$B$8:$B$42)-MIN(ROW('03.Muestra'!$D$8:$D$42))+1,""),ROW()-1234)),"")</f>
        <v>1.0</v>
      </c>
      <c r="B1262" s="114" t="str" cm="1">
        <f t="array" ref="B1262">IFERROR(INDEX('03.Muestra'!$C$8:$C$42,SMALL(IF("Página Web"='03.Muestra'!$D$8:$D$42,ROW('03.Muestra'!$C$8:$C$42)-MIN(ROW('03.Muestra'!$D$8:$D$42))+1,""),ROW()-1234)),"")</f>
        <v>Home - PortCastelló</v>
      </c>
      <c r="C1262" s="114" t="str" cm="1">
        <f t="array" ref="C1262">IFERROR(INDEX('03.Muestra'!$F$8:$F$42,SMALL(IF("Página Web"='03.Muestra'!$D$8:$D$42,ROW('03.Muestra'!$F$8:$F$42)-MIN(ROW('03.Muestra'!$D$8:$D$42))+1,""),ROW()-1234)),"")</f>
        <v>https://www.portcastello.com/</v>
      </c>
      <c r="D1262" s="130" t="str">
        <f t="shared" si="65"/>
        <v>N/T</v>
      </c>
      <c r="E1262" s="107" t="str">
        <f t="shared" si="64"/>
        <v/>
      </c>
      <c r="G1262" s="19"/>
      <c r="H1262" s="19"/>
      <c r="I1262" s="19"/>
      <c r="J1262" s="19"/>
      <c r="K1262" s="233"/>
      <c r="L1262" s="19"/>
    </row>
    <row r="1263" spans="1:12" ht="12" customHeight="1">
      <c r="A1263" s="219" t="n" cm="1">
        <f t="array" ref="A1263">IFERROR(INDEX('03.Muestra'!$B$8:$B$42,SMALL(IF("Página Web"='03.Muestra'!$D$8:$D$42,ROW('03.Muestra'!$B$8:$B$42)-MIN(ROW('03.Muestra'!$D$8:$D$42))+1,""),ROW()-1234)),"")</f>
        <v>1.0</v>
      </c>
      <c r="B1263" s="114" t="str" cm="1">
        <f t="array" ref="B1263">IFERROR(INDEX('03.Muestra'!$C$8:$C$42,SMALL(IF("Página Web"='03.Muestra'!$D$8:$D$42,ROW('03.Muestra'!$C$8:$C$42)-MIN(ROW('03.Muestra'!$D$8:$D$42))+1,""),ROW()-1234)),"")</f>
        <v>Home - PortCastelló</v>
      </c>
      <c r="C1263" s="114" t="str" cm="1">
        <f t="array" ref="C1263">IFERROR(INDEX('03.Muestra'!$F$8:$F$42,SMALL(IF("Página Web"='03.Muestra'!$D$8:$D$42,ROW('03.Muestra'!$F$8:$F$42)-MIN(ROW('03.Muestra'!$D$8:$D$42))+1,""),ROW()-1234)),"")</f>
        <v>https://www.portcastello.com/</v>
      </c>
      <c r="D1263" s="130" t="str">
        <f t="shared" si="65"/>
        <v>N/T</v>
      </c>
      <c r="E1263" s="107" t="str">
        <f t="shared" si="64"/>
        <v/>
      </c>
      <c r="F1263" s="124"/>
      <c r="G1263" s="19"/>
      <c r="H1263" s="19"/>
      <c r="I1263" s="19"/>
      <c r="J1263" s="19"/>
      <c r="K1263" s="233"/>
      <c r="L1263" s="19"/>
    </row>
    <row r="1264" spans="1:12" ht="12" customHeight="1">
      <c r="A1264" s="219" t="n" cm="1">
        <f t="array" ref="A1264">IFERROR(INDEX('03.Muestra'!$B$8:$B$42,SMALL(IF("Página Web"='03.Muestra'!$D$8:$D$42,ROW('03.Muestra'!$B$8:$B$42)-MIN(ROW('03.Muestra'!$D$8:$D$42))+1,""),ROW()-1234)),"")</f>
        <v>1.0</v>
      </c>
      <c r="B1264" s="114" t="str" cm="1">
        <f t="array" ref="B1264">IFERROR(INDEX('03.Muestra'!$C$8:$C$42,SMALL(IF("Página Web"='03.Muestra'!$D$8:$D$42,ROW('03.Muestra'!$C$8:$C$42)-MIN(ROW('03.Muestra'!$D$8:$D$42))+1,""),ROW()-1234)),"")</f>
        <v>Home - PortCastelló</v>
      </c>
      <c r="C1264" s="114" t="str" cm="1">
        <f t="array" ref="C1264">IFERROR(INDEX('03.Muestra'!$F$8:$F$42,SMALL(IF("Página Web"='03.Muestra'!$D$8:$D$42,ROW('03.Muestra'!$F$8:$F$42)-MIN(ROW('03.Muestra'!$D$8:$D$42))+1,""),ROW()-1234)),"")</f>
        <v>https://www.portcastello.com/</v>
      </c>
      <c r="D1264" s="130" t="str">
        <f t="shared" si="65"/>
        <v>N/T</v>
      </c>
      <c r="E1264" s="107" t="str">
        <f t="shared" si="64"/>
        <v/>
      </c>
      <c r="F1264" s="124"/>
      <c r="G1264" s="19"/>
      <c r="H1264" s="19"/>
      <c r="I1264" s="19"/>
      <c r="J1264" s="19"/>
      <c r="K1264" s="233"/>
      <c r="L1264" s="19"/>
    </row>
    <row r="1265" spans="1:12" ht="12" customHeight="1">
      <c r="A1265" s="219" t="n" cm="1">
        <f t="array" ref="A1265">IFERROR(INDEX('03.Muestra'!$B$8:$B$42,SMALL(IF("Página Web"='03.Muestra'!$D$8:$D$42,ROW('03.Muestra'!$B$8:$B$42)-MIN(ROW('03.Muestra'!$D$8:$D$42))+1,""),ROW()-1234)),"")</f>
        <v>1.0</v>
      </c>
      <c r="B1265" s="114" t="str" cm="1">
        <f t="array" ref="B1265">IFERROR(INDEX('03.Muestra'!$C$8:$C$42,SMALL(IF("Página Web"='03.Muestra'!$D$8:$D$42,ROW('03.Muestra'!$C$8:$C$42)-MIN(ROW('03.Muestra'!$D$8:$D$42))+1,""),ROW()-1234)),"")</f>
        <v>Home - PortCastelló</v>
      </c>
      <c r="C1265" s="114" t="str" cm="1">
        <f t="array" ref="C1265">IFERROR(INDEX('03.Muestra'!$F$8:$F$42,SMALL(IF("Página Web"='03.Muestra'!$D$8:$D$42,ROW('03.Muestra'!$F$8:$F$42)-MIN(ROW('03.Muestra'!$D$8:$D$42))+1,""),ROW()-1234)),"")</f>
        <v>https://www.portcastello.com/</v>
      </c>
      <c r="D1265" s="130" t="str">
        <f t="shared" si="65"/>
        <v>N/T</v>
      </c>
      <c r="E1265" s="107" t="str">
        <f t="shared" si="64"/>
        <v/>
      </c>
      <c r="F1265" s="124"/>
      <c r="G1265" s="19"/>
      <c r="H1265" s="19"/>
      <c r="I1265" s="19"/>
      <c r="J1265" s="19"/>
      <c r="K1265" s="233"/>
      <c r="L1265" s="19"/>
    </row>
    <row r="1266" spans="1:12" ht="12" customHeight="1">
      <c r="A1266" s="219" t="n" cm="1">
        <f t="array" ref="A1266">IFERROR(INDEX('03.Muestra'!$B$8:$B$42,SMALL(IF("Página Web"='03.Muestra'!$D$8:$D$42,ROW('03.Muestra'!$B$8:$B$42)-MIN(ROW('03.Muestra'!$D$8:$D$42))+1,""),ROW()-1234)),"")</f>
        <v>1.0</v>
      </c>
      <c r="B1266" s="114" t="str" cm="1">
        <f t="array" ref="B1266">IFERROR(INDEX('03.Muestra'!$C$8:$C$42,SMALL(IF("Página Web"='03.Muestra'!$D$8:$D$42,ROW('03.Muestra'!$C$8:$C$42)-MIN(ROW('03.Muestra'!$D$8:$D$42))+1,""),ROW()-1234)),"")</f>
        <v>Home - PortCastelló</v>
      </c>
      <c r="C1266" s="114" t="str" cm="1">
        <f t="array" ref="C1266">IFERROR(INDEX('03.Muestra'!$F$8:$F$42,SMALL(IF("Página Web"='03.Muestra'!$D$8:$D$42,ROW('03.Muestra'!$F$8:$F$42)-MIN(ROW('03.Muestra'!$D$8:$D$42))+1,""),ROW()-1234)),"")</f>
        <v>https://www.portcastello.com/</v>
      </c>
      <c r="D1266" s="130" t="str">
        <f t="shared" si="65"/>
        <v>N/T</v>
      </c>
      <c r="E1266" s="107" t="str">
        <f t="shared" si="64"/>
        <v/>
      </c>
      <c r="F1266" s="124"/>
      <c r="G1266" s="19"/>
      <c r="H1266" s="19"/>
      <c r="I1266" s="19"/>
      <c r="J1266" s="19"/>
      <c r="K1266" s="233"/>
      <c r="L1266" s="19"/>
    </row>
    <row r="1267" spans="1:12" ht="12" customHeight="1">
      <c r="A1267" s="219" t="n" cm="1">
        <f t="array" ref="A1267">IFERROR(INDEX('03.Muestra'!$B$8:$B$42,SMALL(IF("Página Web"='03.Muestra'!$D$8:$D$42,ROW('03.Muestra'!$B$8:$B$42)-MIN(ROW('03.Muestra'!$D$8:$D$42))+1,""),ROW()-1234)),"")</f>
        <v>1.0</v>
      </c>
      <c r="B1267" s="114" t="str" cm="1">
        <f t="array" ref="B1267">IFERROR(INDEX('03.Muestra'!$C$8:$C$42,SMALL(IF("Página Web"='03.Muestra'!$D$8:$D$42,ROW('03.Muestra'!$C$8:$C$42)-MIN(ROW('03.Muestra'!$D$8:$D$42))+1,""),ROW()-1234)),"")</f>
        <v>Home - PortCastelló</v>
      </c>
      <c r="C1267" s="114" t="str" cm="1">
        <f t="array" ref="C1267">IFERROR(INDEX('03.Muestra'!$F$8:$F$42,SMALL(IF("Página Web"='03.Muestra'!$D$8:$D$42,ROW('03.Muestra'!$F$8:$F$42)-MIN(ROW('03.Muestra'!$D$8:$D$42))+1,""),ROW()-1234)),"")</f>
        <v>https://www.portcastello.com/</v>
      </c>
      <c r="D1267" s="130" t="str">
        <f t="shared" si="65"/>
        <v>N/T</v>
      </c>
      <c r="E1267" s="107" t="str">
        <f t="shared" si="64"/>
        <v/>
      </c>
      <c r="F1267" s="124"/>
      <c r="G1267" s="19"/>
      <c r="H1267" s="19"/>
      <c r="I1267" s="19"/>
      <c r="J1267" s="19"/>
      <c r="K1267" s="233"/>
      <c r="L1267" s="19"/>
    </row>
    <row r="1268" spans="1:12" ht="12" customHeight="1">
      <c r="A1268" s="219" t="str" cm="1">
        <f t="array" ref="A1268">IFERROR(INDEX('03.Muestra'!$B$8:$B$42,SMALL(IF("Página Web"='03.Muestra'!$D$8:$D$42,ROW('03.Muestra'!$B$8:$B$42)-MIN(ROW('03.Muestra'!$D$8:$D$42))+1,""),ROW()-1234)),"")</f>
        <v/>
      </c>
      <c r="B1268" s="114" t="str" cm="1">
        <f t="array" ref="B1268">IFERROR(INDEX('03.Muestra'!$C$8:$C$42,SMALL(IF("Página Web"='03.Muestra'!$D$8:$D$42,ROW('03.Muestra'!$C$8:$C$42)-MIN(ROW('03.Muestra'!$D$8:$D$42))+1,""),ROW()-1234)),"")</f>
        <v/>
      </c>
      <c r="C1268" s="114" t="str" cm="1">
        <f t="array" ref="C1268">IFERROR(INDEX('03.Muestra'!$F$8:$F$42,SMALL(IF("Página Web"='03.Muestra'!$D$8:$D$42,ROW('03.Muestra'!$F$8:$F$42)-MIN(ROW('03.Muestra'!$D$8:$D$42))+1,""),ROW()-1234)),"")</f>
        <v/>
      </c>
      <c r="D1268" s="130" t="str">
        <f t="shared" si="65"/>
        <v/>
      </c>
      <c r="E1268" s="107" t="str">
        <f t="shared" si="64"/>
        <v/>
      </c>
      <c r="F1268" s="124"/>
      <c r="G1268" s="19"/>
      <c r="H1268" s="19"/>
      <c r="I1268" s="19"/>
      <c r="J1268" s="19"/>
      <c r="K1268" s="233"/>
      <c r="L1268" s="19"/>
    </row>
    <row r="1269" spans="1:12" ht="12" customHeight="1">
      <c r="A1269" s="219" t="str" cm="1">
        <f t="array" ref="A1269">IFERROR(INDEX('03.Muestra'!$B$8:$B$42,SMALL(IF("Página Web"='03.Muestra'!$D$8:$D$42,ROW('03.Muestra'!$B$8:$B$42)-MIN(ROW('03.Muestra'!$D$8:$D$42))+1,""),ROW()-1234)),"")</f>
        <v/>
      </c>
      <c r="B1269" s="114" t="str" cm="1">
        <f t="array" ref="B1269">IFERROR(INDEX('03.Muestra'!$C$8:$C$42,SMALL(IF("Página Web"='03.Muestra'!$D$8:$D$42,ROW('03.Muestra'!$C$8:$C$42)-MIN(ROW('03.Muestra'!$D$8:$D$42))+1,""),ROW()-1234)),"")</f>
        <v/>
      </c>
      <c r="C1269" s="114" t="str" cm="1">
        <f t="array" ref="C1269">IFERROR(INDEX('03.Muestra'!$F$8:$F$42,SMALL(IF("Página Web"='03.Muestra'!$D$8:$D$42,ROW('03.Muestra'!$F$8:$F$42)-MIN(ROW('03.Muestra'!$D$8:$D$42))+1,""),ROW()-1234)),"")</f>
        <v/>
      </c>
      <c r="D1269" s="130" t="str">
        <f t="shared" si="65"/>
        <v/>
      </c>
      <c r="E1269" s="107" t="str">
        <f t="shared" si="64"/>
        <v/>
      </c>
      <c r="F1269" s="19"/>
      <c r="G1269" s="19"/>
      <c r="H1269" s="19"/>
      <c r="I1269" s="19"/>
      <c r="J1269" s="19"/>
      <c r="K1269" s="233"/>
      <c r="L1269" s="19"/>
    </row>
    <row r="1270" spans="1:12" ht="12" customHeight="1">
      <c r="B1270" s="19"/>
      <c r="C1270" s="19"/>
      <c r="D1270" s="107"/>
      <c r="E1270" s="19"/>
      <c r="F1270" s="19"/>
      <c r="G1270" s="19"/>
      <c r="H1270" s="19"/>
      <c r="I1270" s="19"/>
      <c r="J1270" s="19"/>
      <c r="K1270" s="233"/>
      <c r="L1270" s="19"/>
    </row>
    <row r="1271" spans="1:12" ht="12" customHeight="1">
      <c r="B1271" s="126"/>
      <c r="C1271" s="19"/>
      <c r="D1271" s="107"/>
      <c r="E1271" s="112"/>
      <c r="F1271" s="19"/>
      <c r="G1271" s="19"/>
      <c r="H1271" s="19"/>
      <c r="I1271" s="19"/>
      <c r="J1271" s="19"/>
      <c r="K1271" s="233"/>
      <c r="L1271" s="19"/>
    </row>
    <row r="1272" spans="1:12" ht="29.25" customHeight="1">
      <c r="A1272" s="218" t="s">
        <v>268</v>
      </c>
      <c r="B1272" s="24" t="s">
        <v>90</v>
      </c>
      <c r="C1272" s="25" t="s">
        <v>406</v>
      </c>
      <c r="D1272" s="26" t="s">
        <v>32</v>
      </c>
      <c r="E1272" s="123"/>
      <c r="K1272" s="233"/>
      <c r="L1272" s="19"/>
    </row>
    <row r="1273" spans="1:12" ht="12" customHeight="1">
      <c r="A1273" s="219" t="n" cm="1">
        <f t="array" ref="A1273">IFERROR(INDEX('03.Muestra'!$B$8:$B$42,SMALL(IF("Página Web"='03.Muestra'!$D$8:$D$42,ROW('03.Muestra'!$B$8:$B$42)-MIN(ROW('03.Muestra'!$D$8:$D$42))+1,""),ROW()-1272)),"")</f>
        <v>1.0</v>
      </c>
      <c r="B1273" s="114" t="str" cm="1">
        <f t="array" ref="B1273">IFERROR(INDEX('03.Muestra'!$C$8:$C$42,SMALL(IF("Página Web"='03.Muestra'!$D$8:$D$42,ROW('03.Muestra'!$C$8:$C$42)-MIN(ROW('03.Muestra'!$D$8:$D$42))+1,""),ROW()-1272)),"")</f>
        <v>Home - PortCastelló</v>
      </c>
      <c r="C1273" s="114" t="str" cm="1">
        <f t="array" ref="C1273">IFERROR(INDEX('03.Muestra'!$F$8:$F$42,SMALL(IF("Página Web"='03.Muestra'!$D$8:$D$42,ROW('03.Muestra'!$F$8:$F$42)-MIN(ROW('03.Muestra'!$D$8:$D$42))+1,""),ROW()-1272)),"")</f>
        <v>https://www.portcastello.com/</v>
      </c>
      <c r="D1273" s="130" t="str">
        <f>IF(AND(B1273&lt;&gt;"",C1273&lt;&gt;""),"N/T","")</f>
        <v>N/T</v>
      </c>
      <c r="E1273" s="107" t="str">
        <f t="shared" ref="E1273:E1307" si="66">IF(D1273&lt;&gt;"",IF(AND(B1273&lt;&gt;"",C1273&lt;&gt;""),"","ERR"),"")</f>
        <v/>
      </c>
      <c r="F1273" s="115" t="s">
        <v>33</v>
      </c>
      <c r="G1273" s="116" t="s">
        <v>37</v>
      </c>
      <c r="H1273" s="117" t="s">
        <v>35</v>
      </c>
      <c r="I1273" s="118" t="s">
        <v>28</v>
      </c>
      <c r="J1273" s="119" t="s">
        <v>26</v>
      </c>
      <c r="K1273" s="226" t="s">
        <v>474</v>
      </c>
      <c r="L1273" s="19"/>
    </row>
    <row r="1274" spans="1:12" ht="12" customHeight="1">
      <c r="A1274" s="219" t="n" cm="1">
        <f t="array" ref="A1274">IFERROR(INDEX('03.Muestra'!$B$8:$B$42,SMALL(IF("Página Web"='03.Muestra'!$D$8:$D$42,ROW('03.Muestra'!$B$8:$B$42)-MIN(ROW('03.Muestra'!$D$8:$D$42))+1,""),ROW()-1272)),"")</f>
        <v>1.0</v>
      </c>
      <c r="B1274" s="114" t="str" cm="1">
        <f t="array" ref="B1274">IFERROR(INDEX('03.Muestra'!$C$8:$C$42,SMALL(IF("Página Web"='03.Muestra'!$D$8:$D$42,ROW('03.Muestra'!$C$8:$C$42)-MIN(ROW('03.Muestra'!$D$8:$D$42))+1,""),ROW()-1272)),"")</f>
        <v>Home - PortCastelló</v>
      </c>
      <c r="C1274" s="114" t="str" cm="1">
        <f t="array" ref="C1274">IFERROR(INDEX('03.Muestra'!$F$8:$F$42,SMALL(IF("Página Web"='03.Muestra'!$D$8:$D$42,ROW('03.Muestra'!$F$8:$F$42)-MIN(ROW('03.Muestra'!$D$8:$D$42))+1,""),ROW()-1272)),"")</f>
        <v>https://www.portcastello.com/</v>
      </c>
      <c r="D1274" s="130" t="str">
        <f t="shared" ref="D1274:D1307" si="67">IF(AND(B1274&lt;&gt;"",C1274&lt;&gt;""),"N/T","")</f>
        <v>N/T</v>
      </c>
      <c r="E1274" s="107" t="str">
        <f t="shared" si="66"/>
        <v/>
      </c>
      <c r="F1274" s="120" t="n">
        <f ca="1">COUNTIF($D1273:INDIRECT("$D" &amp;  SUM(ROW()-1,'03.Muestra'!$D$45)-1),F1273)</f>
        <v>33.0</v>
      </c>
      <c r="G1274" s="120" t="n">
        <f ca="1">COUNTIF($D1273:INDIRECT("$D" &amp;  SUM(ROW()-1,'03.Muestra'!$D$45)-1),G1273)</f>
        <v>0.0</v>
      </c>
      <c r="H1274" s="120" t="n">
        <f ca="1">COUNTIF($D1273:INDIRECT("$D" &amp;  SUM(ROW()-1,'03.Muestra'!$D$45)-1),H1273)</f>
        <v>0.0</v>
      </c>
      <c r="I1274" s="120" t="n">
        <f ca="1">COUNTIF($D1273:INDIRECT("$D" &amp;  SUM(ROW()-1,'03.Muestra'!$D$45)-1),I1273)</f>
        <v>0.0</v>
      </c>
      <c r="J1274" s="120" t="n">
        <f ca="1">COUNTIF($D1273:INDIRECT("$D" &amp;  SUM(ROW()-1,'03.Muestra'!$D$45)-1),J1273)</f>
        <v>0.0</v>
      </c>
      <c r="K1274" s="227" t="n">
        <f ca="1">IF(COUNTIF('03.Muestra'!$D$8:$D$42,"Página Web")=0,0,COUNTBLANK($D1273:INDIRECT("$D" &amp;  SUM(ROW()-1,COUNTIF('03.Muestra'!$D$8:$D$42,"Página Web"))-1)))</f>
        <v>0.0</v>
      </c>
    </row>
    <row r="1275" spans="1:12" ht="12" customHeight="1">
      <c r="A1275" s="219" t="n" cm="1">
        <f t="array" ref="A1275">IFERROR(INDEX('03.Muestra'!$B$8:$B$42,SMALL(IF("Página Web"='03.Muestra'!$D$8:$D$42,ROW('03.Muestra'!$B$8:$B$42)-MIN(ROW('03.Muestra'!$D$8:$D$42))+1,""),ROW()-1272)),"")</f>
        <v>1.0</v>
      </c>
      <c r="B1275" s="114" t="str" cm="1">
        <f t="array" ref="B1275">IFERROR(INDEX('03.Muestra'!$C$8:$C$42,SMALL(IF("Página Web"='03.Muestra'!$D$8:$D$42,ROW('03.Muestra'!$C$8:$C$42)-MIN(ROW('03.Muestra'!$D$8:$D$42))+1,""),ROW()-1272)),"")</f>
        <v>Home - PortCastelló</v>
      </c>
      <c r="C1275" s="114" t="str" cm="1">
        <f t="array" ref="C1275">IFERROR(INDEX('03.Muestra'!$F$8:$F$42,SMALL(IF("Página Web"='03.Muestra'!$D$8:$D$42,ROW('03.Muestra'!$F$8:$F$42)-MIN(ROW('03.Muestra'!$D$8:$D$42))+1,""),ROW()-1272)),"")</f>
        <v>https://www.portcastello.com/</v>
      </c>
      <c r="D1275" s="130" t="str">
        <f t="shared" si="67"/>
        <v>N/T</v>
      </c>
      <c r="E1275" s="107" t="str">
        <f t="shared" si="66"/>
        <v/>
      </c>
      <c r="G1275" s="19"/>
      <c r="H1275" s="19"/>
      <c r="I1275" s="19"/>
      <c r="J1275" s="19"/>
      <c r="K1275" s="233"/>
    </row>
    <row r="1276" spans="1:12" ht="12" customHeight="1">
      <c r="A1276" s="219" t="n" cm="1">
        <f t="array" ref="A1276">IFERROR(INDEX('03.Muestra'!$B$8:$B$42,SMALL(IF("Página Web"='03.Muestra'!$D$8:$D$42,ROW('03.Muestra'!$B$8:$B$42)-MIN(ROW('03.Muestra'!$D$8:$D$42))+1,""),ROW()-1272)),"")</f>
        <v>1.0</v>
      </c>
      <c r="B1276" s="114" t="str" cm="1">
        <f t="array" ref="B1276">IFERROR(INDEX('03.Muestra'!$C$8:$C$42,SMALL(IF("Página Web"='03.Muestra'!$D$8:$D$42,ROW('03.Muestra'!$C$8:$C$42)-MIN(ROW('03.Muestra'!$D$8:$D$42))+1,""),ROW()-1272)),"")</f>
        <v>Home - PortCastelló</v>
      </c>
      <c r="C1276" s="114" t="str" cm="1">
        <f t="array" ref="C1276">IFERROR(INDEX('03.Muestra'!$F$8:$F$42,SMALL(IF("Página Web"='03.Muestra'!$D$8:$D$42,ROW('03.Muestra'!$F$8:$F$42)-MIN(ROW('03.Muestra'!$D$8:$D$42))+1,""),ROW()-1272)),"")</f>
        <v>https://www.portcastello.com/</v>
      </c>
      <c r="D1276" s="130" t="str">
        <f t="shared" si="67"/>
        <v>N/T</v>
      </c>
      <c r="E1276" s="107" t="str">
        <f t="shared" si="66"/>
        <v/>
      </c>
      <c r="G1276" s="19"/>
      <c r="H1276" s="19"/>
      <c r="I1276" s="19"/>
      <c r="J1276" s="19"/>
      <c r="K1276" s="233"/>
    </row>
    <row r="1277" spans="1:12" ht="12" customHeight="1">
      <c r="A1277" s="219" t="n" cm="1">
        <f t="array" ref="A1277">IFERROR(INDEX('03.Muestra'!$B$8:$B$42,SMALL(IF("Página Web"='03.Muestra'!$D$8:$D$42,ROW('03.Muestra'!$B$8:$B$42)-MIN(ROW('03.Muestra'!$D$8:$D$42))+1,""),ROW()-1272)),"")</f>
        <v>1.0</v>
      </c>
      <c r="B1277" s="114" t="str" cm="1">
        <f t="array" ref="B1277">IFERROR(INDEX('03.Muestra'!$C$8:$C$42,SMALL(IF("Página Web"='03.Muestra'!$D$8:$D$42,ROW('03.Muestra'!$C$8:$C$42)-MIN(ROW('03.Muestra'!$D$8:$D$42))+1,""),ROW()-1272)),"")</f>
        <v>Home - PortCastelló</v>
      </c>
      <c r="C1277" s="114" t="str" cm="1">
        <f t="array" ref="C1277">IFERROR(INDEX('03.Muestra'!$F$8:$F$42,SMALL(IF("Página Web"='03.Muestra'!$D$8:$D$42,ROW('03.Muestra'!$F$8:$F$42)-MIN(ROW('03.Muestra'!$D$8:$D$42))+1,""),ROW()-1272)),"")</f>
        <v>https://www.portcastello.com/</v>
      </c>
      <c r="D1277" s="130" t="str">
        <f t="shared" si="67"/>
        <v>N/T</v>
      </c>
      <c r="E1277" s="107" t="str">
        <f t="shared" si="66"/>
        <v/>
      </c>
      <c r="G1277" s="19"/>
      <c r="H1277" s="19"/>
      <c r="I1277" s="19"/>
      <c r="J1277" s="19"/>
      <c r="K1277" s="233"/>
    </row>
    <row r="1278" spans="1:12" ht="12" customHeight="1">
      <c r="A1278" s="219" t="n" cm="1">
        <f t="array" ref="A1278">IFERROR(INDEX('03.Muestra'!$B$8:$B$42,SMALL(IF("Página Web"='03.Muestra'!$D$8:$D$42,ROW('03.Muestra'!$B$8:$B$42)-MIN(ROW('03.Muestra'!$D$8:$D$42))+1,""),ROW()-1272)),"")</f>
        <v>1.0</v>
      </c>
      <c r="B1278" s="114" t="str" cm="1">
        <f t="array" ref="B1278">IFERROR(INDEX('03.Muestra'!$C$8:$C$42,SMALL(IF("Página Web"='03.Muestra'!$D$8:$D$42,ROW('03.Muestra'!$C$8:$C$42)-MIN(ROW('03.Muestra'!$D$8:$D$42))+1,""),ROW()-1272)),"")</f>
        <v>Home - PortCastelló</v>
      </c>
      <c r="C1278" s="114" t="str" cm="1">
        <f t="array" ref="C1278">IFERROR(INDEX('03.Muestra'!$F$8:$F$42,SMALL(IF("Página Web"='03.Muestra'!$D$8:$D$42,ROW('03.Muestra'!$F$8:$F$42)-MIN(ROW('03.Muestra'!$D$8:$D$42))+1,""),ROW()-1272)),"")</f>
        <v>https://www.portcastello.com/</v>
      </c>
      <c r="D1278" s="130" t="str">
        <f t="shared" si="67"/>
        <v>N/T</v>
      </c>
      <c r="E1278" s="107" t="str">
        <f t="shared" si="66"/>
        <v/>
      </c>
      <c r="G1278" s="19"/>
      <c r="H1278" s="19"/>
      <c r="I1278" s="19"/>
      <c r="J1278" s="19"/>
      <c r="K1278" s="233"/>
    </row>
    <row r="1279" spans="1:12" ht="12" customHeight="1">
      <c r="A1279" s="219" t="n" cm="1">
        <f t="array" ref="A1279">IFERROR(INDEX('03.Muestra'!$B$8:$B$42,SMALL(IF("Página Web"='03.Muestra'!$D$8:$D$42,ROW('03.Muestra'!$B$8:$B$42)-MIN(ROW('03.Muestra'!$D$8:$D$42))+1,""),ROW()-1272)),"")</f>
        <v>1.0</v>
      </c>
      <c r="B1279" s="114" t="str" cm="1">
        <f t="array" ref="B1279">IFERROR(INDEX('03.Muestra'!$C$8:$C$42,SMALL(IF("Página Web"='03.Muestra'!$D$8:$D$42,ROW('03.Muestra'!$C$8:$C$42)-MIN(ROW('03.Muestra'!$D$8:$D$42))+1,""),ROW()-1272)),"")</f>
        <v>Home - PortCastelló</v>
      </c>
      <c r="C1279" s="114" t="str" cm="1">
        <f t="array" ref="C1279">IFERROR(INDEX('03.Muestra'!$F$8:$F$42,SMALL(IF("Página Web"='03.Muestra'!$D$8:$D$42,ROW('03.Muestra'!$F$8:$F$42)-MIN(ROW('03.Muestra'!$D$8:$D$42))+1,""),ROW()-1272)),"")</f>
        <v>https://www.portcastello.com/</v>
      </c>
      <c r="D1279" s="130" t="str">
        <f t="shared" si="67"/>
        <v>N/T</v>
      </c>
      <c r="E1279" s="107" t="str">
        <f t="shared" si="66"/>
        <v/>
      </c>
      <c r="F1279" s="19"/>
      <c r="G1279" s="19"/>
      <c r="H1279" s="19"/>
      <c r="I1279" s="19"/>
      <c r="J1279" s="19"/>
      <c r="K1279" s="233"/>
    </row>
    <row r="1280" spans="1:12" ht="12" customHeight="1">
      <c r="A1280" s="219" t="n" cm="1">
        <f t="array" ref="A1280">IFERROR(INDEX('03.Muestra'!$B$8:$B$42,SMALL(IF("Página Web"='03.Muestra'!$D$8:$D$42,ROW('03.Muestra'!$B$8:$B$42)-MIN(ROW('03.Muestra'!$D$8:$D$42))+1,""),ROW()-1272)),"")</f>
        <v>1.0</v>
      </c>
      <c r="B1280" s="114" t="str" cm="1">
        <f t="array" ref="B1280">IFERROR(INDEX('03.Muestra'!$C$8:$C$42,SMALL(IF("Página Web"='03.Muestra'!$D$8:$D$42,ROW('03.Muestra'!$C$8:$C$42)-MIN(ROW('03.Muestra'!$D$8:$D$42))+1,""),ROW()-1272)),"")</f>
        <v>Home - PortCastelló</v>
      </c>
      <c r="C1280" s="114" t="str" cm="1">
        <f t="array" ref="C1280">IFERROR(INDEX('03.Muestra'!$F$8:$F$42,SMALL(IF("Página Web"='03.Muestra'!$D$8:$D$42,ROW('03.Muestra'!$F$8:$F$42)-MIN(ROW('03.Muestra'!$D$8:$D$42))+1,""),ROW()-1272)),"")</f>
        <v>https://www.portcastello.com/</v>
      </c>
      <c r="D1280" s="130" t="str">
        <f t="shared" si="67"/>
        <v>N/T</v>
      </c>
      <c r="E1280" s="107" t="str">
        <f t="shared" si="66"/>
        <v/>
      </c>
      <c r="F1280" s="19"/>
      <c r="G1280" s="19"/>
      <c r="H1280" s="19"/>
      <c r="I1280" s="19"/>
      <c r="J1280" s="19"/>
      <c r="K1280" s="233"/>
    </row>
    <row r="1281" spans="1:12" ht="12" customHeight="1">
      <c r="A1281" s="219" t="n" cm="1">
        <f t="array" ref="A1281">IFERROR(INDEX('03.Muestra'!$B$8:$B$42,SMALL(IF("Página Web"='03.Muestra'!$D$8:$D$42,ROW('03.Muestra'!$B$8:$B$42)-MIN(ROW('03.Muestra'!$D$8:$D$42))+1,""),ROW()-1272)),"")</f>
        <v>1.0</v>
      </c>
      <c r="B1281" s="114" t="str" cm="1">
        <f t="array" ref="B1281">IFERROR(INDEX('03.Muestra'!$C$8:$C$42,SMALL(IF("Página Web"='03.Muestra'!$D$8:$D$42,ROW('03.Muestra'!$C$8:$C$42)-MIN(ROW('03.Muestra'!$D$8:$D$42))+1,""),ROW()-1272)),"")</f>
        <v>Home - PortCastelló</v>
      </c>
      <c r="C1281" s="114" t="str" cm="1">
        <f t="array" ref="C1281">IFERROR(INDEX('03.Muestra'!$F$8:$F$42,SMALL(IF("Página Web"='03.Muestra'!$D$8:$D$42,ROW('03.Muestra'!$F$8:$F$42)-MIN(ROW('03.Muestra'!$D$8:$D$42))+1,""),ROW()-1272)),"")</f>
        <v>https://www.portcastello.com/</v>
      </c>
      <c r="D1281" s="130" t="str">
        <f t="shared" si="67"/>
        <v>N/T</v>
      </c>
      <c r="E1281" s="107" t="str">
        <f t="shared" si="66"/>
        <v/>
      </c>
      <c r="F1281" s="19"/>
      <c r="G1281" s="19"/>
      <c r="H1281" s="19"/>
      <c r="I1281" s="19"/>
      <c r="J1281" s="19"/>
      <c r="K1281" s="233"/>
      <c r="L1281" s="19"/>
    </row>
    <row r="1282" spans="1:12" ht="12" customHeight="1">
      <c r="A1282" s="219" t="n" cm="1">
        <f t="array" ref="A1282">IFERROR(INDEX('03.Muestra'!$B$8:$B$42,SMALL(IF("Página Web"='03.Muestra'!$D$8:$D$42,ROW('03.Muestra'!$B$8:$B$42)-MIN(ROW('03.Muestra'!$D$8:$D$42))+1,""),ROW()-1272)),"")</f>
        <v>1.0</v>
      </c>
      <c r="B1282" s="114" t="str" cm="1">
        <f t="array" ref="B1282">IFERROR(INDEX('03.Muestra'!$C$8:$C$42,SMALL(IF("Página Web"='03.Muestra'!$D$8:$D$42,ROW('03.Muestra'!$C$8:$C$42)-MIN(ROW('03.Muestra'!$D$8:$D$42))+1,""),ROW()-1272)),"")</f>
        <v>Home - PortCastelló</v>
      </c>
      <c r="C1282" s="114" t="str" cm="1">
        <f t="array" ref="C1282">IFERROR(INDEX('03.Muestra'!$F$8:$F$42,SMALL(IF("Página Web"='03.Muestra'!$D$8:$D$42,ROW('03.Muestra'!$F$8:$F$42)-MIN(ROW('03.Muestra'!$D$8:$D$42))+1,""),ROW()-1272)),"")</f>
        <v>https://www.portcastello.com/</v>
      </c>
      <c r="D1282" s="130" t="str">
        <f t="shared" si="67"/>
        <v>N/T</v>
      </c>
      <c r="E1282" s="107" t="str">
        <f t="shared" si="66"/>
        <v/>
      </c>
      <c r="F1282" s="19"/>
      <c r="G1282" s="19"/>
      <c r="H1282" s="19"/>
      <c r="I1282" s="19"/>
      <c r="J1282" s="19"/>
      <c r="K1282" s="233"/>
      <c r="L1282" s="19"/>
    </row>
    <row r="1283" spans="1:12" ht="12" customHeight="1">
      <c r="A1283" s="219" t="n" cm="1">
        <f t="array" ref="A1283">IFERROR(INDEX('03.Muestra'!$B$8:$B$42,SMALL(IF("Página Web"='03.Muestra'!$D$8:$D$42,ROW('03.Muestra'!$B$8:$B$42)-MIN(ROW('03.Muestra'!$D$8:$D$42))+1,""),ROW()-1272)),"")</f>
        <v>1.0</v>
      </c>
      <c r="B1283" s="114" t="str" cm="1">
        <f t="array" ref="B1283">IFERROR(INDEX('03.Muestra'!$C$8:$C$42,SMALL(IF("Página Web"='03.Muestra'!$D$8:$D$42,ROW('03.Muestra'!$C$8:$C$42)-MIN(ROW('03.Muestra'!$D$8:$D$42))+1,""),ROW()-1272)),"")</f>
        <v>Home - PortCastelló</v>
      </c>
      <c r="C1283" s="114" t="str" cm="1">
        <f t="array" ref="C1283">IFERROR(INDEX('03.Muestra'!$F$8:$F$42,SMALL(IF("Página Web"='03.Muestra'!$D$8:$D$42,ROW('03.Muestra'!$F$8:$F$42)-MIN(ROW('03.Muestra'!$D$8:$D$42))+1,""),ROW()-1272)),"")</f>
        <v>https://www.portcastello.com/</v>
      </c>
      <c r="D1283" s="130" t="str">
        <f t="shared" si="67"/>
        <v>N/T</v>
      </c>
      <c r="E1283" s="107" t="str">
        <f t="shared" si="66"/>
        <v/>
      </c>
      <c r="F1283" s="19"/>
      <c r="G1283" s="19"/>
      <c r="H1283" s="19"/>
      <c r="I1283" s="19"/>
      <c r="J1283" s="19"/>
      <c r="K1283" s="233"/>
      <c r="L1283" s="19"/>
    </row>
    <row r="1284" spans="1:12" ht="12" customHeight="1">
      <c r="A1284" s="219" t="n" cm="1">
        <f t="array" ref="A1284">IFERROR(INDEX('03.Muestra'!$B$8:$B$42,SMALL(IF("Página Web"='03.Muestra'!$D$8:$D$42,ROW('03.Muestra'!$B$8:$B$42)-MIN(ROW('03.Muestra'!$D$8:$D$42))+1,""),ROW()-1272)),"")</f>
        <v>1.0</v>
      </c>
      <c r="B1284" s="114" t="str" cm="1">
        <f t="array" ref="B1284">IFERROR(INDEX('03.Muestra'!$C$8:$C$42,SMALL(IF("Página Web"='03.Muestra'!$D$8:$D$42,ROW('03.Muestra'!$C$8:$C$42)-MIN(ROW('03.Muestra'!$D$8:$D$42))+1,""),ROW()-1272)),"")</f>
        <v>Home - PortCastelló</v>
      </c>
      <c r="C1284" s="114" t="str" cm="1">
        <f t="array" ref="C1284">IFERROR(INDEX('03.Muestra'!$F$8:$F$42,SMALL(IF("Página Web"='03.Muestra'!$D$8:$D$42,ROW('03.Muestra'!$F$8:$F$42)-MIN(ROW('03.Muestra'!$D$8:$D$42))+1,""),ROW()-1272)),"")</f>
        <v>https://www.portcastello.com/</v>
      </c>
      <c r="D1284" s="130" t="str">
        <f t="shared" si="67"/>
        <v>N/T</v>
      </c>
      <c r="E1284" s="107" t="str">
        <f t="shared" si="66"/>
        <v/>
      </c>
      <c r="F1284" s="19"/>
      <c r="G1284" s="19"/>
      <c r="H1284" s="19"/>
      <c r="I1284" s="19"/>
      <c r="J1284" s="19"/>
      <c r="K1284" s="233"/>
      <c r="L1284" s="19"/>
    </row>
    <row r="1285" spans="1:12" ht="12" customHeight="1">
      <c r="A1285" s="219" t="n" cm="1">
        <f t="array" ref="A1285">IFERROR(INDEX('03.Muestra'!$B$8:$B$42,SMALL(IF("Página Web"='03.Muestra'!$D$8:$D$42,ROW('03.Muestra'!$B$8:$B$42)-MIN(ROW('03.Muestra'!$D$8:$D$42))+1,""),ROW()-1272)),"")</f>
        <v>1.0</v>
      </c>
      <c r="B1285" s="114" t="str" cm="1">
        <f t="array" ref="B1285">IFERROR(INDEX('03.Muestra'!$C$8:$C$42,SMALL(IF("Página Web"='03.Muestra'!$D$8:$D$42,ROW('03.Muestra'!$C$8:$C$42)-MIN(ROW('03.Muestra'!$D$8:$D$42))+1,""),ROW()-1272)),"")</f>
        <v>Home - PortCastelló</v>
      </c>
      <c r="C1285" s="114" t="str" cm="1">
        <f t="array" ref="C1285">IFERROR(INDEX('03.Muestra'!$F$8:$F$42,SMALL(IF("Página Web"='03.Muestra'!$D$8:$D$42,ROW('03.Muestra'!$F$8:$F$42)-MIN(ROW('03.Muestra'!$D$8:$D$42))+1,""),ROW()-1272)),"")</f>
        <v>https://www.portcastello.com/</v>
      </c>
      <c r="D1285" s="130" t="str">
        <f t="shared" si="67"/>
        <v>N/T</v>
      </c>
      <c r="E1285" s="107" t="str">
        <f t="shared" si="66"/>
        <v/>
      </c>
      <c r="F1285" s="19"/>
      <c r="G1285" s="19"/>
      <c r="H1285" s="19"/>
      <c r="I1285" s="19"/>
      <c r="J1285" s="19"/>
      <c r="K1285" s="233"/>
      <c r="L1285" s="19"/>
    </row>
    <row r="1286" spans="1:12" ht="12" customHeight="1">
      <c r="A1286" s="219" t="n" cm="1">
        <f t="array" ref="A1286">IFERROR(INDEX('03.Muestra'!$B$8:$B$42,SMALL(IF("Página Web"='03.Muestra'!$D$8:$D$42,ROW('03.Muestra'!$B$8:$B$42)-MIN(ROW('03.Muestra'!$D$8:$D$42))+1,""),ROW()-1272)),"")</f>
        <v>1.0</v>
      </c>
      <c r="B1286" s="114" t="str" cm="1">
        <f t="array" ref="B1286">IFERROR(INDEX('03.Muestra'!$C$8:$C$42,SMALL(IF("Página Web"='03.Muestra'!$D$8:$D$42,ROW('03.Muestra'!$C$8:$C$42)-MIN(ROW('03.Muestra'!$D$8:$D$42))+1,""),ROW()-1272)),"")</f>
        <v>Home - PortCastelló</v>
      </c>
      <c r="C1286" s="114" t="str" cm="1">
        <f t="array" ref="C1286">IFERROR(INDEX('03.Muestra'!$F$8:$F$42,SMALL(IF("Página Web"='03.Muestra'!$D$8:$D$42,ROW('03.Muestra'!$F$8:$F$42)-MIN(ROW('03.Muestra'!$D$8:$D$42))+1,""),ROW()-1272)),"")</f>
        <v>https://www.portcastello.com/</v>
      </c>
      <c r="D1286" s="130" t="str">
        <f t="shared" si="67"/>
        <v>N/T</v>
      </c>
      <c r="E1286" s="107" t="str">
        <f t="shared" si="66"/>
        <v/>
      </c>
      <c r="F1286" s="19"/>
      <c r="G1286" s="19"/>
      <c r="H1286" s="19"/>
      <c r="I1286" s="19"/>
      <c r="J1286" s="19"/>
      <c r="K1286" s="233"/>
      <c r="L1286" s="19"/>
    </row>
    <row r="1287" spans="1:12" ht="12" customHeight="1">
      <c r="A1287" s="219" t="n" cm="1">
        <f t="array" ref="A1287">IFERROR(INDEX('03.Muestra'!$B$8:$B$42,SMALL(IF("Página Web"='03.Muestra'!$D$8:$D$42,ROW('03.Muestra'!$B$8:$B$42)-MIN(ROW('03.Muestra'!$D$8:$D$42))+1,""),ROW()-1272)),"")</f>
        <v>1.0</v>
      </c>
      <c r="B1287" s="114" t="str" cm="1">
        <f t="array" ref="B1287">IFERROR(INDEX('03.Muestra'!$C$8:$C$42,SMALL(IF("Página Web"='03.Muestra'!$D$8:$D$42,ROW('03.Muestra'!$C$8:$C$42)-MIN(ROW('03.Muestra'!$D$8:$D$42))+1,""),ROW()-1272)),"")</f>
        <v>Home - PortCastelló</v>
      </c>
      <c r="C1287" s="114" t="str" cm="1">
        <f t="array" ref="C1287">IFERROR(INDEX('03.Muestra'!$F$8:$F$42,SMALL(IF("Página Web"='03.Muestra'!$D$8:$D$42,ROW('03.Muestra'!$F$8:$F$42)-MIN(ROW('03.Muestra'!$D$8:$D$42))+1,""),ROW()-1272)),"")</f>
        <v>https://www.portcastello.com/</v>
      </c>
      <c r="D1287" s="130" t="str">
        <f t="shared" si="67"/>
        <v>N/T</v>
      </c>
      <c r="E1287" s="107" t="str">
        <f t="shared" si="66"/>
        <v/>
      </c>
      <c r="F1287" s="19"/>
      <c r="G1287" s="19"/>
      <c r="H1287" s="19"/>
      <c r="I1287" s="19"/>
      <c r="J1287" s="19"/>
      <c r="K1287" s="233"/>
      <c r="L1287" s="19"/>
    </row>
    <row r="1288" spans="1:12" ht="12" customHeight="1">
      <c r="A1288" s="219" t="n" cm="1">
        <f t="array" ref="A1288">IFERROR(INDEX('03.Muestra'!$B$8:$B$42,SMALL(IF("Página Web"='03.Muestra'!$D$8:$D$42,ROW('03.Muestra'!$B$8:$B$42)-MIN(ROW('03.Muestra'!$D$8:$D$42))+1,""),ROW()-1272)),"")</f>
        <v>1.0</v>
      </c>
      <c r="B1288" s="114" t="str" cm="1">
        <f t="array" ref="B1288">IFERROR(INDEX('03.Muestra'!$C$8:$C$42,SMALL(IF("Página Web"='03.Muestra'!$D$8:$D$42,ROW('03.Muestra'!$C$8:$C$42)-MIN(ROW('03.Muestra'!$D$8:$D$42))+1,""),ROW()-1272)),"")</f>
        <v>Home - PortCastelló</v>
      </c>
      <c r="C1288" s="114" t="str" cm="1">
        <f t="array" ref="C1288">IFERROR(INDEX('03.Muestra'!$F$8:$F$42,SMALL(IF("Página Web"='03.Muestra'!$D$8:$D$42,ROW('03.Muestra'!$F$8:$F$42)-MIN(ROW('03.Muestra'!$D$8:$D$42))+1,""),ROW()-1272)),"")</f>
        <v>https://www.portcastello.com/</v>
      </c>
      <c r="D1288" s="130" t="str">
        <f t="shared" si="67"/>
        <v>N/T</v>
      </c>
      <c r="E1288" s="107" t="str">
        <f t="shared" si="66"/>
        <v/>
      </c>
      <c r="F1288" s="19"/>
      <c r="G1288" s="19"/>
      <c r="H1288" s="19"/>
      <c r="I1288" s="19"/>
      <c r="J1288" s="19"/>
      <c r="K1288" s="233"/>
      <c r="L1288" s="19"/>
    </row>
    <row r="1289" spans="1:12" ht="12" customHeight="1">
      <c r="A1289" s="219" t="n" cm="1">
        <f t="array" ref="A1289">IFERROR(INDEX('03.Muestra'!$B$8:$B$42,SMALL(IF("Página Web"='03.Muestra'!$D$8:$D$42,ROW('03.Muestra'!$B$8:$B$42)-MIN(ROW('03.Muestra'!$D$8:$D$42))+1,""),ROW()-1272)),"")</f>
        <v>1.0</v>
      </c>
      <c r="B1289" s="114" t="str" cm="1">
        <f t="array" ref="B1289">IFERROR(INDEX('03.Muestra'!$C$8:$C$42,SMALL(IF("Página Web"='03.Muestra'!$D$8:$D$42,ROW('03.Muestra'!$C$8:$C$42)-MIN(ROW('03.Muestra'!$D$8:$D$42))+1,""),ROW()-1272)),"")</f>
        <v>Home - PortCastelló</v>
      </c>
      <c r="C1289" s="114" t="str" cm="1">
        <f t="array" ref="C1289">IFERROR(INDEX('03.Muestra'!$F$8:$F$42,SMALL(IF("Página Web"='03.Muestra'!$D$8:$D$42,ROW('03.Muestra'!$F$8:$F$42)-MIN(ROW('03.Muestra'!$D$8:$D$42))+1,""),ROW()-1272)),"")</f>
        <v>https://www.portcastello.com/</v>
      </c>
      <c r="D1289" s="130" t="str">
        <f t="shared" si="67"/>
        <v>N/T</v>
      </c>
      <c r="E1289" s="107" t="str">
        <f t="shared" si="66"/>
        <v/>
      </c>
      <c r="F1289" s="19"/>
      <c r="G1289" s="19"/>
      <c r="H1289" s="19"/>
      <c r="I1289" s="19"/>
      <c r="J1289" s="19"/>
      <c r="K1289" s="233"/>
      <c r="L1289" s="19"/>
    </row>
    <row r="1290" spans="1:12" ht="12" customHeight="1">
      <c r="A1290" s="219" t="n" cm="1">
        <f t="array" ref="A1290">IFERROR(INDEX('03.Muestra'!$B$8:$B$42,SMALL(IF("Página Web"='03.Muestra'!$D$8:$D$42,ROW('03.Muestra'!$B$8:$B$42)-MIN(ROW('03.Muestra'!$D$8:$D$42))+1,""),ROW()-1272)),"")</f>
        <v>1.0</v>
      </c>
      <c r="B1290" s="114" t="str" cm="1">
        <f t="array" ref="B1290">IFERROR(INDEX('03.Muestra'!$C$8:$C$42,SMALL(IF("Página Web"='03.Muestra'!$D$8:$D$42,ROW('03.Muestra'!$C$8:$C$42)-MIN(ROW('03.Muestra'!$D$8:$D$42))+1,""),ROW()-1272)),"")</f>
        <v>Home - PortCastelló</v>
      </c>
      <c r="C1290" s="114" t="str" cm="1">
        <f t="array" ref="C1290">IFERROR(INDEX('03.Muestra'!$F$8:$F$42,SMALL(IF("Página Web"='03.Muestra'!$D$8:$D$42,ROW('03.Muestra'!$F$8:$F$42)-MIN(ROW('03.Muestra'!$D$8:$D$42))+1,""),ROW()-1272)),"")</f>
        <v>https://www.portcastello.com/</v>
      </c>
      <c r="D1290" s="130" t="str">
        <f t="shared" si="67"/>
        <v>N/T</v>
      </c>
      <c r="E1290" s="107" t="str">
        <f t="shared" si="66"/>
        <v/>
      </c>
      <c r="F1290" s="19"/>
      <c r="G1290" s="19"/>
      <c r="H1290" s="19"/>
      <c r="I1290" s="19"/>
      <c r="J1290" s="19"/>
      <c r="K1290" s="233"/>
      <c r="L1290" s="19"/>
    </row>
    <row r="1291" spans="1:12" ht="12" customHeight="1">
      <c r="A1291" s="219" t="n" cm="1">
        <f t="array" ref="A1291">IFERROR(INDEX('03.Muestra'!$B$8:$B$42,SMALL(IF("Página Web"='03.Muestra'!$D$8:$D$42,ROW('03.Muestra'!$B$8:$B$42)-MIN(ROW('03.Muestra'!$D$8:$D$42))+1,""),ROW()-1272)),"")</f>
        <v>1.0</v>
      </c>
      <c r="B1291" s="114" t="str" cm="1">
        <f t="array" ref="B1291">IFERROR(INDEX('03.Muestra'!$C$8:$C$42,SMALL(IF("Página Web"='03.Muestra'!$D$8:$D$42,ROW('03.Muestra'!$C$8:$C$42)-MIN(ROW('03.Muestra'!$D$8:$D$42))+1,""),ROW()-1272)),"")</f>
        <v>Home - PortCastelló</v>
      </c>
      <c r="C1291" s="114" t="str" cm="1">
        <f t="array" ref="C1291">IFERROR(INDEX('03.Muestra'!$F$8:$F$42,SMALL(IF("Página Web"='03.Muestra'!$D$8:$D$42,ROW('03.Muestra'!$F$8:$F$42)-MIN(ROW('03.Muestra'!$D$8:$D$42))+1,""),ROW()-1272)),"")</f>
        <v>https://www.portcastello.com/</v>
      </c>
      <c r="D1291" s="130" t="str">
        <f t="shared" si="67"/>
        <v>N/T</v>
      </c>
      <c r="E1291" s="107" t="str">
        <f t="shared" si="66"/>
        <v/>
      </c>
      <c r="F1291" s="19"/>
      <c r="G1291" s="19"/>
      <c r="H1291" s="19"/>
      <c r="I1291" s="19"/>
      <c r="J1291" s="19"/>
      <c r="K1291" s="233"/>
      <c r="L1291" s="19"/>
    </row>
    <row r="1292" spans="1:12" ht="12" customHeight="1">
      <c r="A1292" s="219" t="n" cm="1">
        <f t="array" ref="A1292">IFERROR(INDEX('03.Muestra'!$B$8:$B$42,SMALL(IF("Página Web"='03.Muestra'!$D$8:$D$42,ROW('03.Muestra'!$B$8:$B$42)-MIN(ROW('03.Muestra'!$D$8:$D$42))+1,""),ROW()-1272)),"")</f>
        <v>1.0</v>
      </c>
      <c r="B1292" s="114" t="str" cm="1">
        <f t="array" ref="B1292">IFERROR(INDEX('03.Muestra'!$C$8:$C$42,SMALL(IF("Página Web"='03.Muestra'!$D$8:$D$42,ROW('03.Muestra'!$C$8:$C$42)-MIN(ROW('03.Muestra'!$D$8:$D$42))+1,""),ROW()-1272)),"")</f>
        <v>Home - PortCastelló</v>
      </c>
      <c r="C1292" s="114" t="str" cm="1">
        <f t="array" ref="C1292">IFERROR(INDEX('03.Muestra'!$F$8:$F$42,SMALL(IF("Página Web"='03.Muestra'!$D$8:$D$42,ROW('03.Muestra'!$F$8:$F$42)-MIN(ROW('03.Muestra'!$D$8:$D$42))+1,""),ROW()-1272)),"")</f>
        <v>https://www.portcastello.com/</v>
      </c>
      <c r="D1292" s="130" t="str">
        <f t="shared" si="67"/>
        <v>N/T</v>
      </c>
      <c r="E1292" s="107" t="str">
        <f t="shared" si="66"/>
        <v/>
      </c>
      <c r="F1292" s="19"/>
      <c r="G1292" s="19"/>
      <c r="H1292" s="19"/>
      <c r="I1292" s="19"/>
      <c r="J1292" s="19"/>
      <c r="K1292" s="233"/>
      <c r="L1292" s="19"/>
    </row>
    <row r="1293" spans="1:12" ht="12" customHeight="1">
      <c r="A1293" s="219" t="n" cm="1">
        <f t="array" ref="A1293">IFERROR(INDEX('03.Muestra'!$B$8:$B$42,SMALL(IF("Página Web"='03.Muestra'!$D$8:$D$42,ROW('03.Muestra'!$B$8:$B$42)-MIN(ROW('03.Muestra'!$D$8:$D$42))+1,""),ROW()-1272)),"")</f>
        <v>1.0</v>
      </c>
      <c r="B1293" s="114" t="str" cm="1">
        <f t="array" ref="B1293">IFERROR(INDEX('03.Muestra'!$C$8:$C$42,SMALL(IF("Página Web"='03.Muestra'!$D$8:$D$42,ROW('03.Muestra'!$C$8:$C$42)-MIN(ROW('03.Muestra'!$D$8:$D$42))+1,""),ROW()-1272)),"")</f>
        <v>Home - PortCastelló</v>
      </c>
      <c r="C1293" s="114" t="str" cm="1">
        <f t="array" ref="C1293">IFERROR(INDEX('03.Muestra'!$F$8:$F$42,SMALL(IF("Página Web"='03.Muestra'!$D$8:$D$42,ROW('03.Muestra'!$F$8:$F$42)-MIN(ROW('03.Muestra'!$D$8:$D$42))+1,""),ROW()-1272)),"")</f>
        <v>https://www.portcastello.com/</v>
      </c>
      <c r="D1293" s="130" t="str">
        <f t="shared" si="67"/>
        <v>N/T</v>
      </c>
      <c r="E1293" s="107" t="str">
        <f t="shared" si="66"/>
        <v/>
      </c>
      <c r="F1293" s="19"/>
      <c r="G1293" s="19"/>
      <c r="H1293" s="19"/>
      <c r="I1293" s="19"/>
      <c r="J1293" s="19"/>
      <c r="K1293" s="233"/>
      <c r="L1293" s="19"/>
    </row>
    <row r="1294" spans="1:12" ht="12" customHeight="1">
      <c r="A1294" s="219" t="n" cm="1">
        <f t="array" ref="A1294">IFERROR(INDEX('03.Muestra'!$B$8:$B$42,SMALL(IF("Página Web"='03.Muestra'!$D$8:$D$42,ROW('03.Muestra'!$B$8:$B$42)-MIN(ROW('03.Muestra'!$D$8:$D$42))+1,""),ROW()-1272)),"")</f>
        <v>1.0</v>
      </c>
      <c r="B1294" s="114" t="str" cm="1">
        <f t="array" ref="B1294">IFERROR(INDEX('03.Muestra'!$C$8:$C$42,SMALL(IF("Página Web"='03.Muestra'!$D$8:$D$42,ROW('03.Muestra'!$C$8:$C$42)-MIN(ROW('03.Muestra'!$D$8:$D$42))+1,""),ROW()-1272)),"")</f>
        <v>Home - PortCastelló</v>
      </c>
      <c r="C1294" s="114" t="str" cm="1">
        <f t="array" ref="C1294">IFERROR(INDEX('03.Muestra'!$F$8:$F$42,SMALL(IF("Página Web"='03.Muestra'!$D$8:$D$42,ROW('03.Muestra'!$F$8:$F$42)-MIN(ROW('03.Muestra'!$D$8:$D$42))+1,""),ROW()-1272)),"")</f>
        <v>https://www.portcastello.com/</v>
      </c>
      <c r="D1294" s="130" t="str">
        <f t="shared" si="67"/>
        <v>N/T</v>
      </c>
      <c r="E1294" s="107" t="str">
        <f t="shared" si="66"/>
        <v/>
      </c>
      <c r="F1294" s="19"/>
      <c r="G1294" s="19"/>
      <c r="H1294" s="19"/>
      <c r="I1294" s="19"/>
      <c r="J1294" s="19"/>
      <c r="K1294" s="233"/>
      <c r="L1294" s="19"/>
    </row>
    <row r="1295" spans="1:12" ht="12" customHeight="1">
      <c r="A1295" s="219" t="n" cm="1">
        <f t="array" ref="A1295">IFERROR(INDEX('03.Muestra'!$B$8:$B$42,SMALL(IF("Página Web"='03.Muestra'!$D$8:$D$42,ROW('03.Muestra'!$B$8:$B$42)-MIN(ROW('03.Muestra'!$D$8:$D$42))+1,""),ROW()-1272)),"")</f>
        <v>1.0</v>
      </c>
      <c r="B1295" s="114" t="str" cm="1">
        <f t="array" ref="B1295">IFERROR(INDEX('03.Muestra'!$C$8:$C$42,SMALL(IF("Página Web"='03.Muestra'!$D$8:$D$42,ROW('03.Muestra'!$C$8:$C$42)-MIN(ROW('03.Muestra'!$D$8:$D$42))+1,""),ROW()-1272)),"")</f>
        <v>Home - PortCastelló</v>
      </c>
      <c r="C1295" s="114" t="str" cm="1">
        <f t="array" ref="C1295">IFERROR(INDEX('03.Muestra'!$F$8:$F$42,SMALL(IF("Página Web"='03.Muestra'!$D$8:$D$42,ROW('03.Muestra'!$F$8:$F$42)-MIN(ROW('03.Muestra'!$D$8:$D$42))+1,""),ROW()-1272)),"")</f>
        <v>https://www.portcastello.com/</v>
      </c>
      <c r="D1295" s="130" t="str">
        <f t="shared" si="67"/>
        <v>N/T</v>
      </c>
      <c r="E1295" s="107" t="str">
        <f t="shared" si="66"/>
        <v/>
      </c>
      <c r="F1295" s="19"/>
      <c r="G1295" s="19"/>
      <c r="H1295" s="19"/>
      <c r="I1295" s="19"/>
      <c r="J1295" s="19"/>
      <c r="K1295" s="233"/>
      <c r="L1295" s="19"/>
    </row>
    <row r="1296" spans="1:12" ht="12" customHeight="1">
      <c r="A1296" s="219" t="n" cm="1">
        <f t="array" ref="A1296">IFERROR(INDEX('03.Muestra'!$B$8:$B$42,SMALL(IF("Página Web"='03.Muestra'!$D$8:$D$42,ROW('03.Muestra'!$B$8:$B$42)-MIN(ROW('03.Muestra'!$D$8:$D$42))+1,""),ROW()-1272)),"")</f>
        <v>1.0</v>
      </c>
      <c r="B1296" s="114" t="str" cm="1">
        <f t="array" ref="B1296">IFERROR(INDEX('03.Muestra'!$C$8:$C$42,SMALL(IF("Página Web"='03.Muestra'!$D$8:$D$42,ROW('03.Muestra'!$C$8:$C$42)-MIN(ROW('03.Muestra'!$D$8:$D$42))+1,""),ROW()-1272)),"")</f>
        <v>Home - PortCastelló</v>
      </c>
      <c r="C1296" s="114" t="str" cm="1">
        <f t="array" ref="C1296">IFERROR(INDEX('03.Muestra'!$F$8:$F$42,SMALL(IF("Página Web"='03.Muestra'!$D$8:$D$42,ROW('03.Muestra'!$F$8:$F$42)-MIN(ROW('03.Muestra'!$D$8:$D$42))+1,""),ROW()-1272)),"")</f>
        <v>https://www.portcastello.com/</v>
      </c>
      <c r="D1296" s="130" t="str">
        <f t="shared" si="67"/>
        <v>N/T</v>
      </c>
      <c r="E1296" s="107" t="str">
        <f t="shared" si="66"/>
        <v/>
      </c>
      <c r="F1296" s="19"/>
      <c r="G1296" s="19"/>
      <c r="H1296" s="19"/>
      <c r="I1296" s="19"/>
      <c r="J1296" s="19"/>
      <c r="K1296" s="233"/>
      <c r="L1296" s="19"/>
    </row>
    <row r="1297" spans="1:12" ht="12" customHeight="1">
      <c r="A1297" s="219" t="n" cm="1">
        <f t="array" ref="A1297">IFERROR(INDEX('03.Muestra'!$B$8:$B$42,SMALL(IF("Página Web"='03.Muestra'!$D$8:$D$42,ROW('03.Muestra'!$B$8:$B$42)-MIN(ROW('03.Muestra'!$D$8:$D$42))+1,""),ROW()-1272)),"")</f>
        <v>1.0</v>
      </c>
      <c r="B1297" s="114" t="str" cm="1">
        <f t="array" ref="B1297">IFERROR(INDEX('03.Muestra'!$C$8:$C$42,SMALL(IF("Página Web"='03.Muestra'!$D$8:$D$42,ROW('03.Muestra'!$C$8:$C$42)-MIN(ROW('03.Muestra'!$D$8:$D$42))+1,""),ROW()-1272)),"")</f>
        <v>Home - PortCastelló</v>
      </c>
      <c r="C1297" s="114" t="str" cm="1">
        <f t="array" ref="C1297">IFERROR(INDEX('03.Muestra'!$F$8:$F$42,SMALL(IF("Página Web"='03.Muestra'!$D$8:$D$42,ROW('03.Muestra'!$F$8:$F$42)-MIN(ROW('03.Muestra'!$D$8:$D$42))+1,""),ROW()-1272)),"")</f>
        <v>https://www.portcastello.com/</v>
      </c>
      <c r="D1297" s="130" t="str">
        <f t="shared" si="67"/>
        <v>N/T</v>
      </c>
      <c r="E1297" s="107" t="str">
        <f t="shared" si="66"/>
        <v/>
      </c>
      <c r="F1297" s="19"/>
      <c r="G1297" s="19"/>
      <c r="H1297" s="19"/>
      <c r="I1297" s="19"/>
      <c r="J1297" s="19"/>
      <c r="K1297" s="233"/>
      <c r="L1297" s="19"/>
    </row>
    <row r="1298" spans="1:12" ht="12" customHeight="1">
      <c r="A1298" s="219" t="n" cm="1">
        <f t="array" ref="A1298">IFERROR(INDEX('03.Muestra'!$B$8:$B$42,SMALL(IF("Página Web"='03.Muestra'!$D$8:$D$42,ROW('03.Muestra'!$B$8:$B$42)-MIN(ROW('03.Muestra'!$D$8:$D$42))+1,""),ROW()-1272)),"")</f>
        <v>1.0</v>
      </c>
      <c r="B1298" s="114" t="str" cm="1">
        <f t="array" ref="B1298">IFERROR(INDEX('03.Muestra'!$C$8:$C$42,SMALL(IF("Página Web"='03.Muestra'!$D$8:$D$42,ROW('03.Muestra'!$C$8:$C$42)-MIN(ROW('03.Muestra'!$D$8:$D$42))+1,""),ROW()-1272)),"")</f>
        <v>Home - PortCastelló</v>
      </c>
      <c r="C1298" s="114" t="str" cm="1">
        <f t="array" ref="C1298">IFERROR(INDEX('03.Muestra'!$F$8:$F$42,SMALL(IF("Página Web"='03.Muestra'!$D$8:$D$42,ROW('03.Muestra'!$F$8:$F$42)-MIN(ROW('03.Muestra'!$D$8:$D$42))+1,""),ROW()-1272)),"")</f>
        <v>https://www.portcastello.com/</v>
      </c>
      <c r="D1298" s="130" t="str">
        <f t="shared" si="67"/>
        <v>N/T</v>
      </c>
      <c r="E1298" s="107" t="str">
        <f t="shared" si="66"/>
        <v/>
      </c>
      <c r="F1298" s="19"/>
      <c r="G1298" s="19"/>
      <c r="H1298" s="19"/>
      <c r="I1298" s="19"/>
      <c r="J1298" s="19"/>
      <c r="K1298" s="233"/>
      <c r="L1298" s="19"/>
    </row>
    <row r="1299" spans="1:12" ht="12" customHeight="1">
      <c r="A1299" s="219" t="n" cm="1">
        <f t="array" ref="A1299">IFERROR(INDEX('03.Muestra'!$B$8:$B$42,SMALL(IF("Página Web"='03.Muestra'!$D$8:$D$42,ROW('03.Muestra'!$B$8:$B$42)-MIN(ROW('03.Muestra'!$D$8:$D$42))+1,""),ROW()-1272)),"")</f>
        <v>1.0</v>
      </c>
      <c r="B1299" s="114" t="str" cm="1">
        <f t="array" ref="B1299">IFERROR(INDEX('03.Muestra'!$C$8:$C$42,SMALL(IF("Página Web"='03.Muestra'!$D$8:$D$42,ROW('03.Muestra'!$C$8:$C$42)-MIN(ROW('03.Muestra'!$D$8:$D$42))+1,""),ROW()-1272)),"")</f>
        <v>Home - PortCastelló</v>
      </c>
      <c r="C1299" s="114" t="str" cm="1">
        <f t="array" ref="C1299">IFERROR(INDEX('03.Muestra'!$F$8:$F$42,SMALL(IF("Página Web"='03.Muestra'!$D$8:$D$42,ROW('03.Muestra'!$F$8:$F$42)-MIN(ROW('03.Muestra'!$D$8:$D$42))+1,""),ROW()-1272)),"")</f>
        <v>https://www.portcastello.com/</v>
      </c>
      <c r="D1299" s="130" t="str">
        <f t="shared" si="67"/>
        <v>N/T</v>
      </c>
      <c r="E1299" s="107" t="str">
        <f t="shared" si="66"/>
        <v/>
      </c>
      <c r="F1299" s="19"/>
      <c r="G1299" s="19"/>
      <c r="H1299" s="19"/>
      <c r="I1299" s="19"/>
      <c r="J1299" s="19"/>
      <c r="K1299" s="233"/>
      <c r="L1299" s="19"/>
    </row>
    <row r="1300" spans="1:12" ht="12" customHeight="1">
      <c r="A1300" s="219" t="n" cm="1">
        <f t="array" ref="A1300">IFERROR(INDEX('03.Muestra'!$B$8:$B$42,SMALL(IF("Página Web"='03.Muestra'!$D$8:$D$42,ROW('03.Muestra'!$B$8:$B$42)-MIN(ROW('03.Muestra'!$D$8:$D$42))+1,""),ROW()-1272)),"")</f>
        <v>1.0</v>
      </c>
      <c r="B1300" s="114" t="str" cm="1">
        <f t="array" ref="B1300">IFERROR(INDEX('03.Muestra'!$C$8:$C$42,SMALL(IF("Página Web"='03.Muestra'!$D$8:$D$42,ROW('03.Muestra'!$C$8:$C$42)-MIN(ROW('03.Muestra'!$D$8:$D$42))+1,""),ROW()-1272)),"")</f>
        <v>Home - PortCastelló</v>
      </c>
      <c r="C1300" s="114" t="str" cm="1">
        <f t="array" ref="C1300">IFERROR(INDEX('03.Muestra'!$F$8:$F$42,SMALL(IF("Página Web"='03.Muestra'!$D$8:$D$42,ROW('03.Muestra'!$F$8:$F$42)-MIN(ROW('03.Muestra'!$D$8:$D$42))+1,""),ROW()-1272)),"")</f>
        <v>https://www.portcastello.com/</v>
      </c>
      <c r="D1300" s="130" t="str">
        <f t="shared" si="67"/>
        <v>N/T</v>
      </c>
      <c r="E1300" s="107" t="str">
        <f t="shared" si="66"/>
        <v/>
      </c>
      <c r="G1300" s="19"/>
      <c r="H1300" s="19"/>
      <c r="I1300" s="19"/>
      <c r="J1300" s="19"/>
      <c r="K1300" s="233"/>
      <c r="L1300" s="19"/>
    </row>
    <row r="1301" spans="1:12" ht="12" customHeight="1">
      <c r="A1301" s="219" t="n" cm="1">
        <f t="array" ref="A1301">IFERROR(INDEX('03.Muestra'!$B$8:$B$42,SMALL(IF("Página Web"='03.Muestra'!$D$8:$D$42,ROW('03.Muestra'!$B$8:$B$42)-MIN(ROW('03.Muestra'!$D$8:$D$42))+1,""),ROW()-1272)),"")</f>
        <v>1.0</v>
      </c>
      <c r="B1301" s="114" t="str" cm="1">
        <f t="array" ref="B1301">IFERROR(INDEX('03.Muestra'!$C$8:$C$42,SMALL(IF("Página Web"='03.Muestra'!$D$8:$D$42,ROW('03.Muestra'!$C$8:$C$42)-MIN(ROW('03.Muestra'!$D$8:$D$42))+1,""),ROW()-1272)),"")</f>
        <v>Home - PortCastelló</v>
      </c>
      <c r="C1301" s="114" t="str" cm="1">
        <f t="array" ref="C1301">IFERROR(INDEX('03.Muestra'!$F$8:$F$42,SMALL(IF("Página Web"='03.Muestra'!$D$8:$D$42,ROW('03.Muestra'!$F$8:$F$42)-MIN(ROW('03.Muestra'!$D$8:$D$42))+1,""),ROW()-1272)),"")</f>
        <v>https://www.portcastello.com/</v>
      </c>
      <c r="D1301" s="130" t="str">
        <f t="shared" si="67"/>
        <v>N/T</v>
      </c>
      <c r="E1301" s="107" t="str">
        <f t="shared" si="66"/>
        <v/>
      </c>
      <c r="F1301" s="124"/>
      <c r="G1301" s="19"/>
      <c r="H1301" s="19"/>
      <c r="I1301" s="19"/>
      <c r="J1301" s="19"/>
      <c r="K1301" s="233"/>
      <c r="L1301" s="19"/>
    </row>
    <row r="1302" spans="1:12" ht="12" customHeight="1">
      <c r="A1302" s="219" t="n" cm="1">
        <f t="array" ref="A1302">IFERROR(INDEX('03.Muestra'!$B$8:$B$42,SMALL(IF("Página Web"='03.Muestra'!$D$8:$D$42,ROW('03.Muestra'!$B$8:$B$42)-MIN(ROW('03.Muestra'!$D$8:$D$42))+1,""),ROW()-1272)),"")</f>
        <v>1.0</v>
      </c>
      <c r="B1302" s="114" t="str" cm="1">
        <f t="array" ref="B1302">IFERROR(INDEX('03.Muestra'!$C$8:$C$42,SMALL(IF("Página Web"='03.Muestra'!$D$8:$D$42,ROW('03.Muestra'!$C$8:$C$42)-MIN(ROW('03.Muestra'!$D$8:$D$42))+1,""),ROW()-1272)),"")</f>
        <v>Home - PortCastelló</v>
      </c>
      <c r="C1302" s="114" t="str" cm="1">
        <f t="array" ref="C1302">IFERROR(INDEX('03.Muestra'!$F$8:$F$42,SMALL(IF("Página Web"='03.Muestra'!$D$8:$D$42,ROW('03.Muestra'!$F$8:$F$42)-MIN(ROW('03.Muestra'!$D$8:$D$42))+1,""),ROW()-1272)),"")</f>
        <v>https://www.portcastello.com/</v>
      </c>
      <c r="D1302" s="130" t="str">
        <f t="shared" si="67"/>
        <v>N/T</v>
      </c>
      <c r="E1302" s="107" t="str">
        <f t="shared" si="66"/>
        <v/>
      </c>
      <c r="F1302" s="124"/>
      <c r="G1302" s="19"/>
      <c r="H1302" s="19"/>
      <c r="I1302" s="19"/>
      <c r="J1302" s="19"/>
      <c r="K1302" s="233"/>
      <c r="L1302" s="19"/>
    </row>
    <row r="1303" spans="1:12" ht="12" customHeight="1">
      <c r="A1303" s="219" t="n" cm="1">
        <f t="array" ref="A1303">IFERROR(INDEX('03.Muestra'!$B$8:$B$42,SMALL(IF("Página Web"='03.Muestra'!$D$8:$D$42,ROW('03.Muestra'!$B$8:$B$42)-MIN(ROW('03.Muestra'!$D$8:$D$42))+1,""),ROW()-1272)),"")</f>
        <v>1.0</v>
      </c>
      <c r="B1303" s="114" t="str" cm="1">
        <f t="array" ref="B1303">IFERROR(INDEX('03.Muestra'!$C$8:$C$42,SMALL(IF("Página Web"='03.Muestra'!$D$8:$D$42,ROW('03.Muestra'!$C$8:$C$42)-MIN(ROW('03.Muestra'!$D$8:$D$42))+1,""),ROW()-1272)),"")</f>
        <v>Home - PortCastelló</v>
      </c>
      <c r="C1303" s="114" t="str" cm="1">
        <f t="array" ref="C1303">IFERROR(INDEX('03.Muestra'!$F$8:$F$42,SMALL(IF("Página Web"='03.Muestra'!$D$8:$D$42,ROW('03.Muestra'!$F$8:$F$42)-MIN(ROW('03.Muestra'!$D$8:$D$42))+1,""),ROW()-1272)),"")</f>
        <v>https://www.portcastello.com/</v>
      </c>
      <c r="D1303" s="130" t="str">
        <f t="shared" si="67"/>
        <v>N/T</v>
      </c>
      <c r="E1303" s="107" t="str">
        <f t="shared" si="66"/>
        <v/>
      </c>
      <c r="F1303" s="124"/>
      <c r="G1303" s="19"/>
      <c r="H1303" s="19"/>
      <c r="I1303" s="19"/>
      <c r="J1303" s="19"/>
      <c r="K1303" s="233"/>
      <c r="L1303" s="19"/>
    </row>
    <row r="1304" spans="1:12" ht="12" customHeight="1">
      <c r="A1304" s="219" t="n" cm="1">
        <f t="array" ref="A1304">IFERROR(INDEX('03.Muestra'!$B$8:$B$42,SMALL(IF("Página Web"='03.Muestra'!$D$8:$D$42,ROW('03.Muestra'!$B$8:$B$42)-MIN(ROW('03.Muestra'!$D$8:$D$42))+1,""),ROW()-1272)),"")</f>
        <v>1.0</v>
      </c>
      <c r="B1304" s="114" t="str" cm="1">
        <f t="array" ref="B1304">IFERROR(INDEX('03.Muestra'!$C$8:$C$42,SMALL(IF("Página Web"='03.Muestra'!$D$8:$D$42,ROW('03.Muestra'!$C$8:$C$42)-MIN(ROW('03.Muestra'!$D$8:$D$42))+1,""),ROW()-1272)),"")</f>
        <v>Home - PortCastelló</v>
      </c>
      <c r="C1304" s="114" t="str" cm="1">
        <f t="array" ref="C1304">IFERROR(INDEX('03.Muestra'!$F$8:$F$42,SMALL(IF("Página Web"='03.Muestra'!$D$8:$D$42,ROW('03.Muestra'!$F$8:$F$42)-MIN(ROW('03.Muestra'!$D$8:$D$42))+1,""),ROW()-1272)),"")</f>
        <v>https://www.portcastello.com/</v>
      </c>
      <c r="D1304" s="130" t="str">
        <f t="shared" si="67"/>
        <v>N/T</v>
      </c>
      <c r="E1304" s="107" t="str">
        <f t="shared" si="66"/>
        <v/>
      </c>
      <c r="F1304" s="124"/>
      <c r="G1304" s="19"/>
      <c r="H1304" s="19"/>
      <c r="I1304" s="19"/>
      <c r="J1304" s="19"/>
      <c r="K1304" s="233"/>
      <c r="L1304" s="19"/>
    </row>
    <row r="1305" spans="1:12" ht="12" customHeight="1">
      <c r="A1305" s="219" t="n" cm="1">
        <f t="array" ref="A1305">IFERROR(INDEX('03.Muestra'!$B$8:$B$42,SMALL(IF("Página Web"='03.Muestra'!$D$8:$D$42,ROW('03.Muestra'!$B$8:$B$42)-MIN(ROW('03.Muestra'!$D$8:$D$42))+1,""),ROW()-1272)),"")</f>
        <v>1.0</v>
      </c>
      <c r="B1305" s="114" t="str" cm="1">
        <f t="array" ref="B1305">IFERROR(INDEX('03.Muestra'!$C$8:$C$42,SMALL(IF("Página Web"='03.Muestra'!$D$8:$D$42,ROW('03.Muestra'!$C$8:$C$42)-MIN(ROW('03.Muestra'!$D$8:$D$42))+1,""),ROW()-1272)),"")</f>
        <v>Home - PortCastelló</v>
      </c>
      <c r="C1305" s="114" t="str" cm="1">
        <f t="array" ref="C1305">IFERROR(INDEX('03.Muestra'!$F$8:$F$42,SMALL(IF("Página Web"='03.Muestra'!$D$8:$D$42,ROW('03.Muestra'!$F$8:$F$42)-MIN(ROW('03.Muestra'!$D$8:$D$42))+1,""),ROW()-1272)),"")</f>
        <v>https://www.portcastello.com/</v>
      </c>
      <c r="D1305" s="130" t="str">
        <f t="shared" si="67"/>
        <v>N/T</v>
      </c>
      <c r="E1305" s="107" t="str">
        <f t="shared" si="66"/>
        <v/>
      </c>
      <c r="F1305" s="124"/>
      <c r="G1305" s="19"/>
      <c r="H1305" s="19"/>
      <c r="I1305" s="19"/>
      <c r="J1305" s="19"/>
      <c r="K1305" s="233"/>
      <c r="L1305" s="19"/>
    </row>
    <row r="1306" spans="1:12" ht="12" customHeight="1">
      <c r="A1306" s="219" t="str" cm="1">
        <f t="array" ref="A1306">IFERROR(INDEX('03.Muestra'!$B$8:$B$42,SMALL(IF("Página Web"='03.Muestra'!$D$8:$D$42,ROW('03.Muestra'!$B$8:$B$42)-MIN(ROW('03.Muestra'!$D$8:$D$42))+1,""),ROW()-1272)),"")</f>
        <v/>
      </c>
      <c r="B1306" s="114" t="str" cm="1">
        <f t="array" ref="B1306">IFERROR(INDEX('03.Muestra'!$C$8:$C$42,SMALL(IF("Página Web"='03.Muestra'!$D$8:$D$42,ROW('03.Muestra'!$C$8:$C$42)-MIN(ROW('03.Muestra'!$D$8:$D$42))+1,""),ROW()-1272)),"")</f>
        <v/>
      </c>
      <c r="C1306" s="114" t="str" cm="1">
        <f t="array" ref="C1306">IFERROR(INDEX('03.Muestra'!$F$8:$F$42,SMALL(IF("Página Web"='03.Muestra'!$D$8:$D$42,ROW('03.Muestra'!$F$8:$F$42)-MIN(ROW('03.Muestra'!$D$8:$D$42))+1,""),ROW()-1272)),"")</f>
        <v/>
      </c>
      <c r="D1306" s="130" t="str">
        <f t="shared" si="67"/>
        <v/>
      </c>
      <c r="E1306" s="107" t="str">
        <f t="shared" si="66"/>
        <v/>
      </c>
      <c r="F1306" s="124"/>
      <c r="G1306" s="19"/>
      <c r="H1306" s="19"/>
      <c r="I1306" s="19"/>
      <c r="J1306" s="19"/>
      <c r="K1306" s="233"/>
      <c r="L1306" s="19"/>
    </row>
    <row r="1307" spans="1:12" ht="12" customHeight="1">
      <c r="A1307" s="219" t="str" cm="1">
        <f t="array" ref="A1307">IFERROR(INDEX('03.Muestra'!$B$8:$B$42,SMALL(IF("Página Web"='03.Muestra'!$D$8:$D$42,ROW('03.Muestra'!$B$8:$B$42)-MIN(ROW('03.Muestra'!$D$8:$D$42))+1,""),ROW()-1272)),"")</f>
        <v/>
      </c>
      <c r="B1307" s="114" t="str" cm="1">
        <f t="array" ref="B1307">IFERROR(INDEX('03.Muestra'!$C$8:$C$42,SMALL(IF("Página Web"='03.Muestra'!$D$8:$D$42,ROW('03.Muestra'!$C$8:$C$42)-MIN(ROW('03.Muestra'!$D$8:$D$42))+1,""),ROW()-1272)),"")</f>
        <v/>
      </c>
      <c r="C1307" s="114" t="str" cm="1">
        <f t="array" ref="C1307">IFERROR(INDEX('03.Muestra'!$F$8:$F$42,SMALL(IF("Página Web"='03.Muestra'!$D$8:$D$42,ROW('03.Muestra'!$F$8:$F$42)-MIN(ROW('03.Muestra'!$D$8:$D$42))+1,""),ROW()-1272)),"")</f>
        <v/>
      </c>
      <c r="D1307" s="130" t="str">
        <f t="shared" si="67"/>
        <v/>
      </c>
      <c r="E1307" s="107" t="str">
        <f t="shared" si="66"/>
        <v/>
      </c>
      <c r="F1307" s="19"/>
      <c r="G1307" s="19"/>
      <c r="H1307" s="19"/>
      <c r="I1307" s="19"/>
      <c r="J1307" s="19"/>
      <c r="K1307" s="233"/>
      <c r="L1307" s="19"/>
    </row>
    <row r="1308" spans="1:12" ht="12" customHeight="1">
      <c r="B1308" s="19"/>
      <c r="C1308" s="19"/>
      <c r="D1308" s="107"/>
      <c r="E1308" s="19"/>
      <c r="F1308" s="19"/>
      <c r="G1308" s="19"/>
      <c r="H1308" s="19"/>
      <c r="I1308" s="19"/>
      <c r="J1308" s="19"/>
      <c r="K1308" s="233"/>
      <c r="L1308" s="19"/>
    </row>
    <row r="1309" spans="1:12" ht="12" customHeight="1">
      <c r="B1309" s="126"/>
      <c r="C1309" s="19"/>
      <c r="D1309" s="107"/>
      <c r="E1309" s="19"/>
      <c r="F1309" s="19"/>
      <c r="G1309" s="19"/>
      <c r="H1309" s="19"/>
      <c r="I1309" s="19"/>
      <c r="J1309" s="19"/>
      <c r="K1309" s="233"/>
      <c r="L1309" s="19"/>
    </row>
    <row r="1310" spans="1:12" ht="29.25" customHeight="1">
      <c r="A1310" s="218" t="s">
        <v>268</v>
      </c>
      <c r="B1310" s="24" t="s">
        <v>90</v>
      </c>
      <c r="C1310" s="25" t="s">
        <v>407</v>
      </c>
      <c r="D1310" s="26" t="s">
        <v>32</v>
      </c>
      <c r="E1310" s="123"/>
      <c r="K1310" s="233"/>
      <c r="L1310" s="19"/>
    </row>
    <row r="1311" spans="1:12" ht="12" customHeight="1">
      <c r="A1311" s="219" t="n" cm="1">
        <f t="array" ref="A1311">IFERROR(INDEX('03.Muestra'!$B$8:$B$42,SMALL(IF("Página Web"='03.Muestra'!$D$8:$D$42,ROW('03.Muestra'!$B$8:$B$42)-MIN(ROW('03.Muestra'!$D$8:$D$42))+1,""),ROW()-1310)),"")</f>
        <v>1.0</v>
      </c>
      <c r="B1311" s="114" t="str" cm="1">
        <f t="array" ref="B1311">IFERROR(INDEX('03.Muestra'!$C$8:$C$42,SMALL(IF("Página Web"='03.Muestra'!$D$8:$D$42,ROW('03.Muestra'!$C$8:$C$42)-MIN(ROW('03.Muestra'!$D$8:$D$42))+1,""),ROW()-1310)),"")</f>
        <v>Home - PortCastelló</v>
      </c>
      <c r="C1311" s="114" t="str" cm="1">
        <f t="array" ref="C1311">IFERROR(INDEX('03.Muestra'!$F$8:$F$42,SMALL(IF("Página Web"='03.Muestra'!$D$8:$D$42,ROW('03.Muestra'!$F$8:$F$42)-MIN(ROW('03.Muestra'!$D$8:$D$42))+1,""),ROW()-1310)),"")</f>
        <v>https://www.portcastello.com/</v>
      </c>
      <c r="D1311" s="130" t="s">
        <v>37</v>
      </c>
      <c r="E1311" s="107" t="str">
        <f t="shared" ref="E1311:E1345" si="68">IF(D1311&lt;&gt;"",IF(AND(B1311&lt;&gt;"",C1311&lt;&gt;""),"","ERR"),"")</f>
        <v/>
      </c>
      <c r="F1311" s="115" t="s">
        <v>33</v>
      </c>
      <c r="G1311" s="116" t="s">
        <v>37</v>
      </c>
      <c r="H1311" s="117" t="s">
        <v>35</v>
      </c>
      <c r="I1311" s="118" t="s">
        <v>28</v>
      </c>
      <c r="J1311" s="119" t="s">
        <v>26</v>
      </c>
      <c r="K1311" s="226" t="s">
        <v>474</v>
      </c>
      <c r="L1311" s="19"/>
    </row>
    <row r="1312" spans="1:12" ht="12" customHeight="1">
      <c r="A1312" s="219" t="n" cm="1">
        <f t="array" ref="A1312">IFERROR(INDEX('03.Muestra'!$B$8:$B$42,SMALL(IF("Página Web"='03.Muestra'!$D$8:$D$42,ROW('03.Muestra'!$B$8:$B$42)-MIN(ROW('03.Muestra'!$D$8:$D$42))+1,""),ROW()-1310)),"")</f>
        <v>1.0</v>
      </c>
      <c r="B1312" s="114" t="str" cm="1">
        <f t="array" ref="B1312">IFERROR(INDEX('03.Muestra'!$C$8:$C$42,SMALL(IF("Página Web"='03.Muestra'!$D$8:$D$42,ROW('03.Muestra'!$C$8:$C$42)-MIN(ROW('03.Muestra'!$D$8:$D$42))+1,""),ROW()-1310)),"")</f>
        <v>Home - PortCastelló</v>
      </c>
      <c r="C1312" s="114" t="str" cm="1">
        <f t="array" ref="C1312">IFERROR(INDEX('03.Muestra'!$F$8:$F$42,SMALL(IF("Página Web"='03.Muestra'!$D$8:$D$42,ROW('03.Muestra'!$F$8:$F$42)-MIN(ROW('03.Muestra'!$D$8:$D$42))+1,""),ROW()-1310)),"")</f>
        <v>https://www.portcastello.com/</v>
      </c>
      <c r="D1312" s="130" t="s">
        <v>37</v>
      </c>
      <c r="E1312" s="107" t="str">
        <f t="shared" si="68"/>
        <v/>
      </c>
      <c r="F1312" s="120" t="n">
        <f ca="1">COUNTIF($D1311:INDIRECT("$D" &amp;  SUM(ROW()-1,'03.Muestra'!$D$45)-1),F1311)</f>
        <v>0.0</v>
      </c>
      <c r="G1312" s="120" t="n">
        <f ca="1">COUNTIF($D1311:INDIRECT("$D" &amp;  SUM(ROW()-1,'03.Muestra'!$D$45)-1),G1311)</f>
        <v>33.0</v>
      </c>
      <c r="H1312" s="120" t="n">
        <f ca="1">COUNTIF($D1311:INDIRECT("$D" &amp;  SUM(ROW()-1,'03.Muestra'!$D$45)-1),H1311)</f>
        <v>0.0</v>
      </c>
      <c r="I1312" s="120" t="n">
        <f ca="1">COUNTIF($D1311:INDIRECT("$D" &amp;  SUM(ROW()-1,'03.Muestra'!$D$45)-1),I1311)</f>
        <v>0.0</v>
      </c>
      <c r="J1312" s="120" t="n">
        <f ca="1">COUNTIF($D1311:INDIRECT("$D" &amp;  SUM(ROW()-1,'03.Muestra'!$D$45)-1),J1311)</f>
        <v>0.0</v>
      </c>
      <c r="K1312" s="227" t="n">
        <f ca="1">IF(COUNTIF('03.Muestra'!$D$8:$D$42,"Página Web")=0,0,COUNTBLANK($D1311:INDIRECT("$D" &amp;  SUM(ROW()-1,COUNTIF('03.Muestra'!$D$8:$D$42,"Página Web"))-1)))</f>
        <v>0.0</v>
      </c>
      <c r="L1312" s="19"/>
    </row>
    <row r="1313" spans="1:12" ht="12" customHeight="1">
      <c r="A1313" s="219" t="n" cm="1">
        <f t="array" ref="A1313">IFERROR(INDEX('03.Muestra'!$B$8:$B$42,SMALL(IF("Página Web"='03.Muestra'!$D$8:$D$42,ROW('03.Muestra'!$B$8:$B$42)-MIN(ROW('03.Muestra'!$D$8:$D$42))+1,""),ROW()-1310)),"")</f>
        <v>1.0</v>
      </c>
      <c r="B1313" s="114" t="str" cm="1">
        <f t="array" ref="B1313">IFERROR(INDEX('03.Muestra'!$C$8:$C$42,SMALL(IF("Página Web"='03.Muestra'!$D$8:$D$42,ROW('03.Muestra'!$C$8:$C$42)-MIN(ROW('03.Muestra'!$D$8:$D$42))+1,""),ROW()-1310)),"")</f>
        <v>Home - PortCastelló</v>
      </c>
      <c r="C1313" s="114" t="str" cm="1">
        <f t="array" ref="C1313">IFERROR(INDEX('03.Muestra'!$F$8:$F$42,SMALL(IF("Página Web"='03.Muestra'!$D$8:$D$42,ROW('03.Muestra'!$F$8:$F$42)-MIN(ROW('03.Muestra'!$D$8:$D$42))+1,""),ROW()-1310)),"")</f>
        <v>https://www.portcastello.com/</v>
      </c>
      <c r="D1313" s="130" t="s">
        <v>37</v>
      </c>
      <c r="E1313" s="107" t="str">
        <f t="shared" si="68"/>
        <v/>
      </c>
      <c r="G1313" s="19"/>
      <c r="H1313" s="19"/>
      <c r="I1313" s="19"/>
      <c r="J1313" s="19"/>
      <c r="K1313" s="233"/>
      <c r="L1313" s="19"/>
    </row>
    <row r="1314" spans="1:12" ht="12" customHeight="1">
      <c r="A1314" s="219" t="n" cm="1">
        <f t="array" ref="A1314">IFERROR(INDEX('03.Muestra'!$B$8:$B$42,SMALL(IF("Página Web"='03.Muestra'!$D$8:$D$42,ROW('03.Muestra'!$B$8:$B$42)-MIN(ROW('03.Muestra'!$D$8:$D$42))+1,""),ROW()-1310)),"")</f>
        <v>1.0</v>
      </c>
      <c r="B1314" s="114" t="str" cm="1">
        <f t="array" ref="B1314">IFERROR(INDEX('03.Muestra'!$C$8:$C$42,SMALL(IF("Página Web"='03.Muestra'!$D$8:$D$42,ROW('03.Muestra'!$C$8:$C$42)-MIN(ROW('03.Muestra'!$D$8:$D$42))+1,""),ROW()-1310)),"")</f>
        <v>Home - PortCastelló</v>
      </c>
      <c r="C1314" s="114" t="str" cm="1">
        <f t="array" ref="C1314">IFERROR(INDEX('03.Muestra'!$F$8:$F$42,SMALL(IF("Página Web"='03.Muestra'!$D$8:$D$42,ROW('03.Muestra'!$F$8:$F$42)-MIN(ROW('03.Muestra'!$D$8:$D$42))+1,""),ROW()-1310)),"")</f>
        <v>https://www.portcastello.com/</v>
      </c>
      <c r="D1314" s="130" t="s">
        <v>37</v>
      </c>
      <c r="E1314" s="107" t="str">
        <f t="shared" si="68"/>
        <v/>
      </c>
      <c r="G1314" s="19"/>
      <c r="H1314" s="19"/>
      <c r="I1314" s="19"/>
      <c r="J1314" s="19"/>
      <c r="K1314" s="233"/>
      <c r="L1314" s="19"/>
    </row>
    <row r="1315" spans="1:12" ht="12" customHeight="1">
      <c r="A1315" s="219" t="n" cm="1">
        <f t="array" ref="A1315">IFERROR(INDEX('03.Muestra'!$B$8:$B$42,SMALL(IF("Página Web"='03.Muestra'!$D$8:$D$42,ROW('03.Muestra'!$B$8:$B$42)-MIN(ROW('03.Muestra'!$D$8:$D$42))+1,""),ROW()-1310)),"")</f>
        <v>1.0</v>
      </c>
      <c r="B1315" s="114" t="str" cm="1">
        <f t="array" ref="B1315">IFERROR(INDEX('03.Muestra'!$C$8:$C$42,SMALL(IF("Página Web"='03.Muestra'!$D$8:$D$42,ROW('03.Muestra'!$C$8:$C$42)-MIN(ROW('03.Muestra'!$D$8:$D$42))+1,""),ROW()-1310)),"")</f>
        <v>Home - PortCastelló</v>
      </c>
      <c r="C1315" s="114" t="str" cm="1">
        <f t="array" ref="C1315">IFERROR(INDEX('03.Muestra'!$F$8:$F$42,SMALL(IF("Página Web"='03.Muestra'!$D$8:$D$42,ROW('03.Muestra'!$F$8:$F$42)-MIN(ROW('03.Muestra'!$D$8:$D$42))+1,""),ROW()-1310)),"")</f>
        <v>https://www.portcastello.com/</v>
      </c>
      <c r="D1315" s="130" t="s">
        <v>37</v>
      </c>
      <c r="E1315" s="107" t="str">
        <f t="shared" si="68"/>
        <v/>
      </c>
      <c r="G1315" s="19"/>
      <c r="H1315" s="19"/>
      <c r="I1315" s="19"/>
      <c r="J1315" s="19"/>
      <c r="K1315" s="233"/>
      <c r="L1315" s="19"/>
    </row>
    <row r="1316" spans="1:12" ht="12" customHeight="1">
      <c r="A1316" s="219" t="n" cm="1">
        <f t="array" ref="A1316">IFERROR(INDEX('03.Muestra'!$B$8:$B$42,SMALL(IF("Página Web"='03.Muestra'!$D$8:$D$42,ROW('03.Muestra'!$B$8:$B$42)-MIN(ROW('03.Muestra'!$D$8:$D$42))+1,""),ROW()-1310)),"")</f>
        <v>1.0</v>
      </c>
      <c r="B1316" s="114" t="str" cm="1">
        <f t="array" ref="B1316">IFERROR(INDEX('03.Muestra'!$C$8:$C$42,SMALL(IF("Página Web"='03.Muestra'!$D$8:$D$42,ROW('03.Muestra'!$C$8:$C$42)-MIN(ROW('03.Muestra'!$D$8:$D$42))+1,""),ROW()-1310)),"")</f>
        <v>Home - PortCastelló</v>
      </c>
      <c r="C1316" s="114" t="str" cm="1">
        <f t="array" ref="C1316">IFERROR(INDEX('03.Muestra'!$F$8:$F$42,SMALL(IF("Página Web"='03.Muestra'!$D$8:$D$42,ROW('03.Muestra'!$F$8:$F$42)-MIN(ROW('03.Muestra'!$D$8:$D$42))+1,""),ROW()-1310)),"")</f>
        <v>https://www.portcastello.com/</v>
      </c>
      <c r="D1316" s="130" t="s">
        <v>37</v>
      </c>
      <c r="E1316" s="107" t="str">
        <f t="shared" si="68"/>
        <v/>
      </c>
      <c r="G1316" s="19"/>
      <c r="H1316" s="19"/>
      <c r="I1316" s="19"/>
      <c r="J1316" s="19"/>
      <c r="K1316" s="233"/>
      <c r="L1316" s="19"/>
    </row>
    <row r="1317" spans="1:12" ht="12" customHeight="1">
      <c r="A1317" s="219" t="n" cm="1">
        <f t="array" ref="A1317">IFERROR(INDEX('03.Muestra'!$B$8:$B$42,SMALL(IF("Página Web"='03.Muestra'!$D$8:$D$42,ROW('03.Muestra'!$B$8:$B$42)-MIN(ROW('03.Muestra'!$D$8:$D$42))+1,""),ROW()-1310)),"")</f>
        <v>1.0</v>
      </c>
      <c r="B1317" s="114" t="str" cm="1">
        <f t="array" ref="B1317">IFERROR(INDEX('03.Muestra'!$C$8:$C$42,SMALL(IF("Página Web"='03.Muestra'!$D$8:$D$42,ROW('03.Muestra'!$C$8:$C$42)-MIN(ROW('03.Muestra'!$D$8:$D$42))+1,""),ROW()-1310)),"")</f>
        <v>Home - PortCastelló</v>
      </c>
      <c r="C1317" s="114" t="str" cm="1">
        <f t="array" ref="C1317">IFERROR(INDEX('03.Muestra'!$F$8:$F$42,SMALL(IF("Página Web"='03.Muestra'!$D$8:$D$42,ROW('03.Muestra'!$F$8:$F$42)-MIN(ROW('03.Muestra'!$D$8:$D$42))+1,""),ROW()-1310)),"")</f>
        <v>https://www.portcastello.com/</v>
      </c>
      <c r="D1317" s="130" t="s">
        <v>37</v>
      </c>
      <c r="E1317" s="107" t="str">
        <f t="shared" si="68"/>
        <v/>
      </c>
      <c r="F1317" s="19"/>
      <c r="G1317" s="19"/>
      <c r="H1317" s="19"/>
      <c r="I1317" s="19"/>
      <c r="J1317" s="19"/>
      <c r="K1317" s="233"/>
      <c r="L1317" s="19"/>
    </row>
    <row r="1318" spans="1:12" ht="12" customHeight="1">
      <c r="A1318" s="219" t="n" cm="1">
        <f t="array" ref="A1318">IFERROR(INDEX('03.Muestra'!$B$8:$B$42,SMALL(IF("Página Web"='03.Muestra'!$D$8:$D$42,ROW('03.Muestra'!$B$8:$B$42)-MIN(ROW('03.Muestra'!$D$8:$D$42))+1,""),ROW()-1310)),"")</f>
        <v>1.0</v>
      </c>
      <c r="B1318" s="114" t="str" cm="1">
        <f t="array" ref="B1318">IFERROR(INDEX('03.Muestra'!$C$8:$C$42,SMALL(IF("Página Web"='03.Muestra'!$D$8:$D$42,ROW('03.Muestra'!$C$8:$C$42)-MIN(ROW('03.Muestra'!$D$8:$D$42))+1,""),ROW()-1310)),"")</f>
        <v>Home - PortCastelló</v>
      </c>
      <c r="C1318" s="114" t="str" cm="1">
        <f t="array" ref="C1318">IFERROR(INDEX('03.Muestra'!$F$8:$F$42,SMALL(IF("Página Web"='03.Muestra'!$D$8:$D$42,ROW('03.Muestra'!$F$8:$F$42)-MIN(ROW('03.Muestra'!$D$8:$D$42))+1,""),ROW()-1310)),"")</f>
        <v>https://www.portcastello.com/</v>
      </c>
      <c r="D1318" s="130" t="s">
        <v>37</v>
      </c>
      <c r="E1318" s="107" t="str">
        <f t="shared" si="68"/>
        <v/>
      </c>
      <c r="F1318" s="19"/>
      <c r="G1318" s="19"/>
      <c r="H1318" s="19"/>
      <c r="I1318" s="19"/>
      <c r="J1318" s="19"/>
      <c r="K1318" s="233"/>
      <c r="L1318" s="19"/>
    </row>
    <row r="1319" spans="1:12" ht="12" customHeight="1">
      <c r="A1319" s="219" t="n" cm="1">
        <f t="array" ref="A1319">IFERROR(INDEX('03.Muestra'!$B$8:$B$42,SMALL(IF("Página Web"='03.Muestra'!$D$8:$D$42,ROW('03.Muestra'!$B$8:$B$42)-MIN(ROW('03.Muestra'!$D$8:$D$42))+1,""),ROW()-1310)),"")</f>
        <v>1.0</v>
      </c>
      <c r="B1319" s="114" t="str" cm="1">
        <f t="array" ref="B1319">IFERROR(INDEX('03.Muestra'!$C$8:$C$42,SMALL(IF("Página Web"='03.Muestra'!$D$8:$D$42,ROW('03.Muestra'!$C$8:$C$42)-MIN(ROW('03.Muestra'!$D$8:$D$42))+1,""),ROW()-1310)),"")</f>
        <v>Home - PortCastelló</v>
      </c>
      <c r="C1319" s="114" t="str" cm="1">
        <f t="array" ref="C1319">IFERROR(INDEX('03.Muestra'!$F$8:$F$42,SMALL(IF("Página Web"='03.Muestra'!$D$8:$D$42,ROW('03.Muestra'!$F$8:$F$42)-MIN(ROW('03.Muestra'!$D$8:$D$42))+1,""),ROW()-1310)),"")</f>
        <v>https://www.portcastello.com/</v>
      </c>
      <c r="D1319" s="130" t="s">
        <v>37</v>
      </c>
      <c r="E1319" s="107" t="str">
        <f t="shared" si="68"/>
        <v/>
      </c>
      <c r="F1319" s="19"/>
      <c r="G1319" s="19"/>
      <c r="H1319" s="19"/>
      <c r="I1319" s="19"/>
      <c r="J1319" s="19"/>
      <c r="K1319" s="233"/>
      <c r="L1319" s="19"/>
    </row>
    <row r="1320" spans="1:12" ht="12" customHeight="1">
      <c r="A1320" s="219" t="n" cm="1">
        <f t="array" ref="A1320">IFERROR(INDEX('03.Muestra'!$B$8:$B$42,SMALL(IF("Página Web"='03.Muestra'!$D$8:$D$42,ROW('03.Muestra'!$B$8:$B$42)-MIN(ROW('03.Muestra'!$D$8:$D$42))+1,""),ROW()-1310)),"")</f>
        <v>1.0</v>
      </c>
      <c r="B1320" s="114" t="str" cm="1">
        <f t="array" ref="B1320">IFERROR(INDEX('03.Muestra'!$C$8:$C$42,SMALL(IF("Página Web"='03.Muestra'!$D$8:$D$42,ROW('03.Muestra'!$C$8:$C$42)-MIN(ROW('03.Muestra'!$D$8:$D$42))+1,""),ROW()-1310)),"")</f>
        <v>Home - PortCastelló</v>
      </c>
      <c r="C1320" s="114" t="str" cm="1">
        <f t="array" ref="C1320">IFERROR(INDEX('03.Muestra'!$F$8:$F$42,SMALL(IF("Página Web"='03.Muestra'!$D$8:$D$42,ROW('03.Muestra'!$F$8:$F$42)-MIN(ROW('03.Muestra'!$D$8:$D$42))+1,""),ROW()-1310)),"")</f>
        <v>https://www.portcastello.com/</v>
      </c>
      <c r="D1320" s="130" t="s">
        <v>37</v>
      </c>
      <c r="E1320" s="107" t="str">
        <f t="shared" si="68"/>
        <v/>
      </c>
      <c r="F1320" s="19"/>
      <c r="G1320" s="19"/>
      <c r="H1320" s="19"/>
      <c r="I1320" s="19"/>
      <c r="J1320" s="19"/>
      <c r="K1320" s="233"/>
      <c r="L1320" s="19"/>
    </row>
    <row r="1321" spans="1:12" ht="12" customHeight="1">
      <c r="A1321" s="219" t="n" cm="1">
        <f t="array" ref="A1321">IFERROR(INDEX('03.Muestra'!$B$8:$B$42,SMALL(IF("Página Web"='03.Muestra'!$D$8:$D$42,ROW('03.Muestra'!$B$8:$B$42)-MIN(ROW('03.Muestra'!$D$8:$D$42))+1,""),ROW()-1310)),"")</f>
        <v>1.0</v>
      </c>
      <c r="B1321" s="114" t="str" cm="1">
        <f t="array" ref="B1321">IFERROR(INDEX('03.Muestra'!$C$8:$C$42,SMALL(IF("Página Web"='03.Muestra'!$D$8:$D$42,ROW('03.Muestra'!$C$8:$C$42)-MIN(ROW('03.Muestra'!$D$8:$D$42))+1,""),ROW()-1310)),"")</f>
        <v>Home - PortCastelló</v>
      </c>
      <c r="C1321" s="114" t="str" cm="1">
        <f t="array" ref="C1321">IFERROR(INDEX('03.Muestra'!$F$8:$F$42,SMALL(IF("Página Web"='03.Muestra'!$D$8:$D$42,ROW('03.Muestra'!$F$8:$F$42)-MIN(ROW('03.Muestra'!$D$8:$D$42))+1,""),ROW()-1310)),"")</f>
        <v>https://www.portcastello.com/</v>
      </c>
      <c r="D1321" s="130" t="s">
        <v>37</v>
      </c>
      <c r="E1321" s="107" t="str">
        <f t="shared" si="68"/>
        <v/>
      </c>
      <c r="F1321" s="19"/>
      <c r="G1321" s="19"/>
      <c r="H1321" s="19"/>
      <c r="I1321" s="19"/>
      <c r="J1321" s="19"/>
      <c r="K1321" s="233"/>
      <c r="L1321" s="19"/>
    </row>
    <row r="1322" spans="1:12" ht="12" customHeight="1">
      <c r="A1322" s="219" t="n" cm="1">
        <f t="array" ref="A1322">IFERROR(INDEX('03.Muestra'!$B$8:$B$42,SMALL(IF("Página Web"='03.Muestra'!$D$8:$D$42,ROW('03.Muestra'!$B$8:$B$42)-MIN(ROW('03.Muestra'!$D$8:$D$42))+1,""),ROW()-1310)),"")</f>
        <v>1.0</v>
      </c>
      <c r="B1322" s="114" t="str" cm="1">
        <f t="array" ref="B1322">IFERROR(INDEX('03.Muestra'!$C$8:$C$42,SMALL(IF("Página Web"='03.Muestra'!$D$8:$D$42,ROW('03.Muestra'!$C$8:$C$42)-MIN(ROW('03.Muestra'!$D$8:$D$42))+1,""),ROW()-1310)),"")</f>
        <v>Home - PortCastelló</v>
      </c>
      <c r="C1322" s="114" t="str" cm="1">
        <f t="array" ref="C1322">IFERROR(INDEX('03.Muestra'!$F$8:$F$42,SMALL(IF("Página Web"='03.Muestra'!$D$8:$D$42,ROW('03.Muestra'!$F$8:$F$42)-MIN(ROW('03.Muestra'!$D$8:$D$42))+1,""),ROW()-1310)),"")</f>
        <v>https://www.portcastello.com/</v>
      </c>
      <c r="D1322" s="130" t="s">
        <v>37</v>
      </c>
      <c r="E1322" s="107" t="str">
        <f t="shared" si="68"/>
        <v/>
      </c>
      <c r="F1322" s="19"/>
      <c r="G1322" s="19"/>
      <c r="H1322" s="19"/>
      <c r="I1322" s="19"/>
      <c r="J1322" s="19"/>
      <c r="K1322" s="233"/>
      <c r="L1322" s="19"/>
    </row>
    <row r="1323" spans="1:12" ht="12" customHeight="1">
      <c r="A1323" s="219" t="n" cm="1">
        <f t="array" ref="A1323">IFERROR(INDEX('03.Muestra'!$B$8:$B$42,SMALL(IF("Página Web"='03.Muestra'!$D$8:$D$42,ROW('03.Muestra'!$B$8:$B$42)-MIN(ROW('03.Muestra'!$D$8:$D$42))+1,""),ROW()-1310)),"")</f>
        <v>1.0</v>
      </c>
      <c r="B1323" s="114" t="str" cm="1">
        <f t="array" ref="B1323">IFERROR(INDEX('03.Muestra'!$C$8:$C$42,SMALL(IF("Página Web"='03.Muestra'!$D$8:$D$42,ROW('03.Muestra'!$C$8:$C$42)-MIN(ROW('03.Muestra'!$D$8:$D$42))+1,""),ROW()-1310)),"")</f>
        <v>Home - PortCastelló</v>
      </c>
      <c r="C1323" s="114" t="str" cm="1">
        <f t="array" ref="C1323">IFERROR(INDEX('03.Muestra'!$F$8:$F$42,SMALL(IF("Página Web"='03.Muestra'!$D$8:$D$42,ROW('03.Muestra'!$F$8:$F$42)-MIN(ROW('03.Muestra'!$D$8:$D$42))+1,""),ROW()-1310)),"")</f>
        <v>https://www.portcastello.com/</v>
      </c>
      <c r="D1323" s="130" t="s">
        <v>37</v>
      </c>
      <c r="E1323" s="107" t="str">
        <f t="shared" si="68"/>
        <v/>
      </c>
      <c r="F1323" s="19"/>
      <c r="G1323" s="19"/>
      <c r="H1323" s="19"/>
      <c r="I1323" s="19"/>
      <c r="J1323" s="19"/>
      <c r="K1323" s="233"/>
      <c r="L1323" s="19"/>
    </row>
    <row r="1324" spans="1:12" ht="12" customHeight="1">
      <c r="A1324" s="219" t="n" cm="1">
        <f t="array" ref="A1324">IFERROR(INDEX('03.Muestra'!$B$8:$B$42,SMALL(IF("Página Web"='03.Muestra'!$D$8:$D$42,ROW('03.Muestra'!$B$8:$B$42)-MIN(ROW('03.Muestra'!$D$8:$D$42))+1,""),ROW()-1310)),"")</f>
        <v>1.0</v>
      </c>
      <c r="B1324" s="114" t="str" cm="1">
        <f t="array" ref="B1324">IFERROR(INDEX('03.Muestra'!$C$8:$C$42,SMALL(IF("Página Web"='03.Muestra'!$D$8:$D$42,ROW('03.Muestra'!$C$8:$C$42)-MIN(ROW('03.Muestra'!$D$8:$D$42))+1,""),ROW()-1310)),"")</f>
        <v>Home - PortCastelló</v>
      </c>
      <c r="C1324" s="114" t="str" cm="1">
        <f t="array" ref="C1324">IFERROR(INDEX('03.Muestra'!$F$8:$F$42,SMALL(IF("Página Web"='03.Muestra'!$D$8:$D$42,ROW('03.Muestra'!$F$8:$F$42)-MIN(ROW('03.Muestra'!$D$8:$D$42))+1,""),ROW()-1310)),"")</f>
        <v>https://www.portcastello.com/</v>
      </c>
      <c r="D1324" s="130" t="s">
        <v>37</v>
      </c>
      <c r="E1324" s="107" t="str">
        <f t="shared" si="68"/>
        <v/>
      </c>
      <c r="F1324" s="19"/>
      <c r="G1324" s="19"/>
      <c r="H1324" s="19"/>
      <c r="I1324" s="19"/>
      <c r="J1324" s="19"/>
      <c r="K1324" s="233"/>
      <c r="L1324" s="19"/>
    </row>
    <row r="1325" spans="1:12" ht="12" customHeight="1">
      <c r="A1325" s="219" t="n" cm="1">
        <f t="array" ref="A1325">IFERROR(INDEX('03.Muestra'!$B$8:$B$42,SMALL(IF("Página Web"='03.Muestra'!$D$8:$D$42,ROW('03.Muestra'!$B$8:$B$42)-MIN(ROW('03.Muestra'!$D$8:$D$42))+1,""),ROW()-1310)),"")</f>
        <v>1.0</v>
      </c>
      <c r="B1325" s="114" t="str" cm="1">
        <f t="array" ref="B1325">IFERROR(INDEX('03.Muestra'!$C$8:$C$42,SMALL(IF("Página Web"='03.Muestra'!$D$8:$D$42,ROW('03.Muestra'!$C$8:$C$42)-MIN(ROW('03.Muestra'!$D$8:$D$42))+1,""),ROW()-1310)),"")</f>
        <v>Home - PortCastelló</v>
      </c>
      <c r="C1325" s="114" t="str" cm="1">
        <f t="array" ref="C1325">IFERROR(INDEX('03.Muestra'!$F$8:$F$42,SMALL(IF("Página Web"='03.Muestra'!$D$8:$D$42,ROW('03.Muestra'!$F$8:$F$42)-MIN(ROW('03.Muestra'!$D$8:$D$42))+1,""),ROW()-1310)),"")</f>
        <v>https://www.portcastello.com/</v>
      </c>
      <c r="D1325" s="130" t="s">
        <v>37</v>
      </c>
      <c r="E1325" s="107" t="str">
        <f t="shared" si="68"/>
        <v/>
      </c>
      <c r="F1325" s="19"/>
      <c r="G1325" s="19"/>
      <c r="H1325" s="19"/>
      <c r="I1325" s="19"/>
      <c r="J1325" s="19"/>
      <c r="K1325" s="233"/>
      <c r="L1325" s="19"/>
    </row>
    <row r="1326" spans="1:12" ht="12" customHeight="1">
      <c r="A1326" s="219" t="n" cm="1">
        <f t="array" ref="A1326">IFERROR(INDEX('03.Muestra'!$B$8:$B$42,SMALL(IF("Página Web"='03.Muestra'!$D$8:$D$42,ROW('03.Muestra'!$B$8:$B$42)-MIN(ROW('03.Muestra'!$D$8:$D$42))+1,""),ROW()-1310)),"")</f>
        <v>1.0</v>
      </c>
      <c r="B1326" s="114" t="str" cm="1">
        <f t="array" ref="B1326">IFERROR(INDEX('03.Muestra'!$C$8:$C$42,SMALL(IF("Página Web"='03.Muestra'!$D$8:$D$42,ROW('03.Muestra'!$C$8:$C$42)-MIN(ROW('03.Muestra'!$D$8:$D$42))+1,""),ROW()-1310)),"")</f>
        <v>Home - PortCastelló</v>
      </c>
      <c r="C1326" s="114" t="str" cm="1">
        <f t="array" ref="C1326">IFERROR(INDEX('03.Muestra'!$F$8:$F$42,SMALL(IF("Página Web"='03.Muestra'!$D$8:$D$42,ROW('03.Muestra'!$F$8:$F$42)-MIN(ROW('03.Muestra'!$D$8:$D$42))+1,""),ROW()-1310)),"")</f>
        <v>https://www.portcastello.com/</v>
      </c>
      <c r="D1326" s="130" t="s">
        <v>37</v>
      </c>
      <c r="E1326" s="107" t="str">
        <f t="shared" si="68"/>
        <v/>
      </c>
      <c r="F1326" s="19"/>
      <c r="G1326" s="19"/>
      <c r="H1326" s="19"/>
      <c r="I1326" s="19"/>
      <c r="J1326" s="19"/>
      <c r="K1326" s="233"/>
      <c r="L1326" s="19"/>
    </row>
    <row r="1327" spans="1:12" ht="12" customHeight="1">
      <c r="A1327" s="219" t="n" cm="1">
        <f t="array" ref="A1327">IFERROR(INDEX('03.Muestra'!$B$8:$B$42,SMALL(IF("Página Web"='03.Muestra'!$D$8:$D$42,ROW('03.Muestra'!$B$8:$B$42)-MIN(ROW('03.Muestra'!$D$8:$D$42))+1,""),ROW()-1310)),"")</f>
        <v>1.0</v>
      </c>
      <c r="B1327" s="114" t="str" cm="1">
        <f t="array" ref="B1327">IFERROR(INDEX('03.Muestra'!$C$8:$C$42,SMALL(IF("Página Web"='03.Muestra'!$D$8:$D$42,ROW('03.Muestra'!$C$8:$C$42)-MIN(ROW('03.Muestra'!$D$8:$D$42))+1,""),ROW()-1310)),"")</f>
        <v>Home - PortCastelló</v>
      </c>
      <c r="C1327" s="114" t="str" cm="1">
        <f t="array" ref="C1327">IFERROR(INDEX('03.Muestra'!$F$8:$F$42,SMALL(IF("Página Web"='03.Muestra'!$D$8:$D$42,ROW('03.Muestra'!$F$8:$F$42)-MIN(ROW('03.Muestra'!$D$8:$D$42))+1,""),ROW()-1310)),"")</f>
        <v>https://www.portcastello.com/</v>
      </c>
      <c r="D1327" s="130" t="s">
        <v>37</v>
      </c>
      <c r="E1327" s="107" t="str">
        <f t="shared" si="68"/>
        <v/>
      </c>
      <c r="F1327" s="19"/>
      <c r="G1327" s="19"/>
      <c r="H1327" s="19"/>
      <c r="I1327" s="19"/>
      <c r="J1327" s="19"/>
      <c r="K1327" s="233"/>
      <c r="L1327" s="19"/>
    </row>
    <row r="1328" spans="1:12" ht="12" customHeight="1">
      <c r="A1328" s="219" t="n" cm="1">
        <f t="array" ref="A1328">IFERROR(INDEX('03.Muestra'!$B$8:$B$42,SMALL(IF("Página Web"='03.Muestra'!$D$8:$D$42,ROW('03.Muestra'!$B$8:$B$42)-MIN(ROW('03.Muestra'!$D$8:$D$42))+1,""),ROW()-1310)),"")</f>
        <v>1.0</v>
      </c>
      <c r="B1328" s="114" t="str" cm="1">
        <f t="array" ref="B1328">IFERROR(INDEX('03.Muestra'!$C$8:$C$42,SMALL(IF("Página Web"='03.Muestra'!$D$8:$D$42,ROW('03.Muestra'!$C$8:$C$42)-MIN(ROW('03.Muestra'!$D$8:$D$42))+1,""),ROW()-1310)),"")</f>
        <v>Home - PortCastelló</v>
      </c>
      <c r="C1328" s="114" t="str" cm="1">
        <f t="array" ref="C1328">IFERROR(INDEX('03.Muestra'!$F$8:$F$42,SMALL(IF("Página Web"='03.Muestra'!$D$8:$D$42,ROW('03.Muestra'!$F$8:$F$42)-MIN(ROW('03.Muestra'!$D$8:$D$42))+1,""),ROW()-1310)),"")</f>
        <v>https://www.portcastello.com/</v>
      </c>
      <c r="D1328" s="130" t="s">
        <v>37</v>
      </c>
      <c r="E1328" s="107" t="str">
        <f t="shared" si="68"/>
        <v/>
      </c>
      <c r="F1328" s="19"/>
      <c r="G1328" s="19"/>
      <c r="H1328" s="19"/>
      <c r="I1328" s="19"/>
      <c r="J1328" s="19"/>
      <c r="K1328" s="233"/>
      <c r="L1328" s="19"/>
    </row>
    <row r="1329" spans="1:12" ht="12" customHeight="1">
      <c r="A1329" s="219" t="n" cm="1">
        <f t="array" ref="A1329">IFERROR(INDEX('03.Muestra'!$B$8:$B$42,SMALL(IF("Página Web"='03.Muestra'!$D$8:$D$42,ROW('03.Muestra'!$B$8:$B$42)-MIN(ROW('03.Muestra'!$D$8:$D$42))+1,""),ROW()-1310)),"")</f>
        <v>1.0</v>
      </c>
      <c r="B1329" s="114" t="str" cm="1">
        <f t="array" ref="B1329">IFERROR(INDEX('03.Muestra'!$C$8:$C$42,SMALL(IF("Página Web"='03.Muestra'!$D$8:$D$42,ROW('03.Muestra'!$C$8:$C$42)-MIN(ROW('03.Muestra'!$D$8:$D$42))+1,""),ROW()-1310)),"")</f>
        <v>Home - PortCastelló</v>
      </c>
      <c r="C1329" s="114" t="str" cm="1">
        <f t="array" ref="C1329">IFERROR(INDEX('03.Muestra'!$F$8:$F$42,SMALL(IF("Página Web"='03.Muestra'!$D$8:$D$42,ROW('03.Muestra'!$F$8:$F$42)-MIN(ROW('03.Muestra'!$D$8:$D$42))+1,""),ROW()-1310)),"")</f>
        <v>https://www.portcastello.com/</v>
      </c>
      <c r="D1329" s="130" t="s">
        <v>37</v>
      </c>
      <c r="E1329" s="107" t="str">
        <f t="shared" si="68"/>
        <v/>
      </c>
      <c r="F1329" s="19"/>
      <c r="G1329" s="19"/>
      <c r="H1329" s="19"/>
      <c r="I1329" s="19"/>
      <c r="J1329" s="19"/>
      <c r="K1329" s="233"/>
      <c r="L1329" s="19"/>
    </row>
    <row r="1330" spans="1:12" ht="12" customHeight="1">
      <c r="A1330" s="219" t="n" cm="1">
        <f t="array" ref="A1330">IFERROR(INDEX('03.Muestra'!$B$8:$B$42,SMALL(IF("Página Web"='03.Muestra'!$D$8:$D$42,ROW('03.Muestra'!$B$8:$B$42)-MIN(ROW('03.Muestra'!$D$8:$D$42))+1,""),ROW()-1310)),"")</f>
        <v>1.0</v>
      </c>
      <c r="B1330" s="114" t="str" cm="1">
        <f t="array" ref="B1330">IFERROR(INDEX('03.Muestra'!$C$8:$C$42,SMALL(IF("Página Web"='03.Muestra'!$D$8:$D$42,ROW('03.Muestra'!$C$8:$C$42)-MIN(ROW('03.Muestra'!$D$8:$D$42))+1,""),ROW()-1310)),"")</f>
        <v>Home - PortCastelló</v>
      </c>
      <c r="C1330" s="114" t="str" cm="1">
        <f t="array" ref="C1330">IFERROR(INDEX('03.Muestra'!$F$8:$F$42,SMALL(IF("Página Web"='03.Muestra'!$D$8:$D$42,ROW('03.Muestra'!$F$8:$F$42)-MIN(ROW('03.Muestra'!$D$8:$D$42))+1,""),ROW()-1310)),"")</f>
        <v>https://www.portcastello.com/</v>
      </c>
      <c r="D1330" s="130" t="s">
        <v>37</v>
      </c>
      <c r="E1330" s="107" t="str">
        <f t="shared" si="68"/>
        <v/>
      </c>
      <c r="F1330" s="19"/>
      <c r="G1330" s="19"/>
      <c r="H1330" s="19"/>
      <c r="I1330" s="19"/>
      <c r="J1330" s="19"/>
      <c r="K1330" s="233"/>
      <c r="L1330" s="19"/>
    </row>
    <row r="1331" spans="1:12" ht="12" customHeight="1">
      <c r="A1331" s="219" t="n" cm="1">
        <f t="array" ref="A1331">IFERROR(INDEX('03.Muestra'!$B$8:$B$42,SMALL(IF("Página Web"='03.Muestra'!$D$8:$D$42,ROW('03.Muestra'!$B$8:$B$42)-MIN(ROW('03.Muestra'!$D$8:$D$42))+1,""),ROW()-1310)),"")</f>
        <v>1.0</v>
      </c>
      <c r="B1331" s="114" t="str" cm="1">
        <f t="array" ref="B1331">IFERROR(INDEX('03.Muestra'!$C$8:$C$42,SMALL(IF("Página Web"='03.Muestra'!$D$8:$D$42,ROW('03.Muestra'!$C$8:$C$42)-MIN(ROW('03.Muestra'!$D$8:$D$42))+1,""),ROW()-1310)),"")</f>
        <v>Home - PortCastelló</v>
      </c>
      <c r="C1331" s="114" t="str" cm="1">
        <f t="array" ref="C1331">IFERROR(INDEX('03.Muestra'!$F$8:$F$42,SMALL(IF("Página Web"='03.Muestra'!$D$8:$D$42,ROW('03.Muestra'!$F$8:$F$42)-MIN(ROW('03.Muestra'!$D$8:$D$42))+1,""),ROW()-1310)),"")</f>
        <v>https://www.portcastello.com/</v>
      </c>
      <c r="D1331" s="130" t="s">
        <v>37</v>
      </c>
      <c r="E1331" s="107" t="str">
        <f t="shared" si="68"/>
        <v/>
      </c>
      <c r="F1331" s="19"/>
      <c r="G1331" s="19"/>
      <c r="H1331" s="19"/>
      <c r="I1331" s="19"/>
      <c r="J1331" s="19"/>
      <c r="K1331" s="233"/>
      <c r="L1331" s="19"/>
    </row>
    <row r="1332" spans="1:12" ht="12" customHeight="1">
      <c r="A1332" s="219" t="n" cm="1">
        <f t="array" ref="A1332">IFERROR(INDEX('03.Muestra'!$B$8:$B$42,SMALL(IF("Página Web"='03.Muestra'!$D$8:$D$42,ROW('03.Muestra'!$B$8:$B$42)-MIN(ROW('03.Muestra'!$D$8:$D$42))+1,""),ROW()-1310)),"")</f>
        <v>1.0</v>
      </c>
      <c r="B1332" s="114" t="str" cm="1">
        <f t="array" ref="B1332">IFERROR(INDEX('03.Muestra'!$C$8:$C$42,SMALL(IF("Página Web"='03.Muestra'!$D$8:$D$42,ROW('03.Muestra'!$C$8:$C$42)-MIN(ROW('03.Muestra'!$D$8:$D$42))+1,""),ROW()-1310)),"")</f>
        <v>Home - PortCastelló</v>
      </c>
      <c r="C1332" s="114" t="str" cm="1">
        <f t="array" ref="C1332">IFERROR(INDEX('03.Muestra'!$F$8:$F$42,SMALL(IF("Página Web"='03.Muestra'!$D$8:$D$42,ROW('03.Muestra'!$F$8:$F$42)-MIN(ROW('03.Muestra'!$D$8:$D$42))+1,""),ROW()-1310)),"")</f>
        <v>https://www.portcastello.com/</v>
      </c>
      <c r="D1332" s="130" t="s">
        <v>37</v>
      </c>
      <c r="E1332" s="107" t="str">
        <f t="shared" si="68"/>
        <v/>
      </c>
      <c r="F1332" s="19"/>
      <c r="G1332" s="19"/>
      <c r="H1332" s="19"/>
      <c r="I1332" s="19"/>
      <c r="J1332" s="19"/>
      <c r="K1332" s="233"/>
      <c r="L1332" s="19"/>
    </row>
    <row r="1333" spans="1:12" ht="12" customHeight="1">
      <c r="A1333" s="219" t="n" cm="1">
        <f t="array" ref="A1333">IFERROR(INDEX('03.Muestra'!$B$8:$B$42,SMALL(IF("Página Web"='03.Muestra'!$D$8:$D$42,ROW('03.Muestra'!$B$8:$B$42)-MIN(ROW('03.Muestra'!$D$8:$D$42))+1,""),ROW()-1310)),"")</f>
        <v>1.0</v>
      </c>
      <c r="B1333" s="114" t="str" cm="1">
        <f t="array" ref="B1333">IFERROR(INDEX('03.Muestra'!$C$8:$C$42,SMALL(IF("Página Web"='03.Muestra'!$D$8:$D$42,ROW('03.Muestra'!$C$8:$C$42)-MIN(ROW('03.Muestra'!$D$8:$D$42))+1,""),ROW()-1310)),"")</f>
        <v>Home - PortCastelló</v>
      </c>
      <c r="C1333" s="114" t="str" cm="1">
        <f t="array" ref="C1333">IFERROR(INDEX('03.Muestra'!$F$8:$F$42,SMALL(IF("Página Web"='03.Muestra'!$D$8:$D$42,ROW('03.Muestra'!$F$8:$F$42)-MIN(ROW('03.Muestra'!$D$8:$D$42))+1,""),ROW()-1310)),"")</f>
        <v>https://www.portcastello.com/</v>
      </c>
      <c r="D1333" s="130" t="s">
        <v>37</v>
      </c>
      <c r="E1333" s="107" t="str">
        <f t="shared" si="68"/>
        <v/>
      </c>
      <c r="F1333" s="19"/>
      <c r="G1333" s="19"/>
      <c r="H1333" s="19"/>
      <c r="I1333" s="19"/>
      <c r="J1333" s="19"/>
      <c r="K1333" s="233"/>
      <c r="L1333" s="19"/>
    </row>
    <row r="1334" spans="1:12" ht="12" customHeight="1">
      <c r="A1334" s="219" t="n" cm="1">
        <f t="array" ref="A1334">IFERROR(INDEX('03.Muestra'!$B$8:$B$42,SMALL(IF("Página Web"='03.Muestra'!$D$8:$D$42,ROW('03.Muestra'!$B$8:$B$42)-MIN(ROW('03.Muestra'!$D$8:$D$42))+1,""),ROW()-1310)),"")</f>
        <v>1.0</v>
      </c>
      <c r="B1334" s="114" t="str" cm="1">
        <f t="array" ref="B1334">IFERROR(INDEX('03.Muestra'!$C$8:$C$42,SMALL(IF("Página Web"='03.Muestra'!$D$8:$D$42,ROW('03.Muestra'!$C$8:$C$42)-MIN(ROW('03.Muestra'!$D$8:$D$42))+1,""),ROW()-1310)),"")</f>
        <v>Home - PortCastelló</v>
      </c>
      <c r="C1334" s="114" t="str" cm="1">
        <f t="array" ref="C1334">IFERROR(INDEX('03.Muestra'!$F$8:$F$42,SMALL(IF("Página Web"='03.Muestra'!$D$8:$D$42,ROW('03.Muestra'!$F$8:$F$42)-MIN(ROW('03.Muestra'!$D$8:$D$42))+1,""),ROW()-1310)),"")</f>
        <v>https://www.portcastello.com/</v>
      </c>
      <c r="D1334" s="130" t="s">
        <v>37</v>
      </c>
      <c r="E1334" s="107" t="str">
        <f t="shared" si="68"/>
        <v/>
      </c>
      <c r="F1334" s="19"/>
      <c r="G1334" s="19"/>
      <c r="H1334" s="19"/>
      <c r="I1334" s="19"/>
      <c r="J1334" s="19"/>
      <c r="K1334" s="233"/>
      <c r="L1334" s="19"/>
    </row>
    <row r="1335" spans="1:12" ht="12" customHeight="1">
      <c r="A1335" s="219" t="n" cm="1">
        <f t="array" ref="A1335">IFERROR(INDEX('03.Muestra'!$B$8:$B$42,SMALL(IF("Página Web"='03.Muestra'!$D$8:$D$42,ROW('03.Muestra'!$B$8:$B$42)-MIN(ROW('03.Muestra'!$D$8:$D$42))+1,""),ROW()-1310)),"")</f>
        <v>1.0</v>
      </c>
      <c r="B1335" s="114" t="str" cm="1">
        <f t="array" ref="B1335">IFERROR(INDEX('03.Muestra'!$C$8:$C$42,SMALL(IF("Página Web"='03.Muestra'!$D$8:$D$42,ROW('03.Muestra'!$C$8:$C$42)-MIN(ROW('03.Muestra'!$D$8:$D$42))+1,""),ROW()-1310)),"")</f>
        <v>Home - PortCastelló</v>
      </c>
      <c r="C1335" s="114" t="str" cm="1">
        <f t="array" ref="C1335">IFERROR(INDEX('03.Muestra'!$F$8:$F$42,SMALL(IF("Página Web"='03.Muestra'!$D$8:$D$42,ROW('03.Muestra'!$F$8:$F$42)-MIN(ROW('03.Muestra'!$D$8:$D$42))+1,""),ROW()-1310)),"")</f>
        <v>https://www.portcastello.com/</v>
      </c>
      <c r="D1335" s="130" t="s">
        <v>37</v>
      </c>
      <c r="E1335" s="107" t="str">
        <f t="shared" si="68"/>
        <v/>
      </c>
      <c r="F1335" s="19"/>
      <c r="G1335" s="19"/>
      <c r="H1335" s="19"/>
      <c r="I1335" s="19"/>
      <c r="J1335" s="19"/>
      <c r="K1335" s="233"/>
      <c r="L1335" s="19"/>
    </row>
    <row r="1336" spans="1:12" ht="12" customHeight="1">
      <c r="A1336" s="219" t="n" cm="1">
        <f t="array" ref="A1336">IFERROR(INDEX('03.Muestra'!$B$8:$B$42,SMALL(IF("Página Web"='03.Muestra'!$D$8:$D$42,ROW('03.Muestra'!$B$8:$B$42)-MIN(ROW('03.Muestra'!$D$8:$D$42))+1,""),ROW()-1310)),"")</f>
        <v>1.0</v>
      </c>
      <c r="B1336" s="114" t="str" cm="1">
        <f t="array" ref="B1336">IFERROR(INDEX('03.Muestra'!$C$8:$C$42,SMALL(IF("Página Web"='03.Muestra'!$D$8:$D$42,ROW('03.Muestra'!$C$8:$C$42)-MIN(ROW('03.Muestra'!$D$8:$D$42))+1,""),ROW()-1310)),"")</f>
        <v>Home - PortCastelló</v>
      </c>
      <c r="C1336" s="114" t="str" cm="1">
        <f t="array" ref="C1336">IFERROR(INDEX('03.Muestra'!$F$8:$F$42,SMALL(IF("Página Web"='03.Muestra'!$D$8:$D$42,ROW('03.Muestra'!$F$8:$F$42)-MIN(ROW('03.Muestra'!$D$8:$D$42))+1,""),ROW()-1310)),"")</f>
        <v>https://www.portcastello.com/</v>
      </c>
      <c r="D1336" s="130" t="s">
        <v>37</v>
      </c>
      <c r="E1336" s="107" t="str">
        <f t="shared" si="68"/>
        <v/>
      </c>
      <c r="F1336" s="19"/>
      <c r="G1336" s="19"/>
      <c r="H1336" s="19"/>
      <c r="I1336" s="19"/>
      <c r="J1336" s="19"/>
      <c r="K1336" s="233"/>
      <c r="L1336" s="19"/>
    </row>
    <row r="1337" spans="1:12" ht="12" customHeight="1">
      <c r="A1337" s="219" t="n" cm="1">
        <f t="array" ref="A1337">IFERROR(INDEX('03.Muestra'!$B$8:$B$42,SMALL(IF("Página Web"='03.Muestra'!$D$8:$D$42,ROW('03.Muestra'!$B$8:$B$42)-MIN(ROW('03.Muestra'!$D$8:$D$42))+1,""),ROW()-1310)),"")</f>
        <v>1.0</v>
      </c>
      <c r="B1337" s="114" t="str" cm="1">
        <f t="array" ref="B1337">IFERROR(INDEX('03.Muestra'!$C$8:$C$42,SMALL(IF("Página Web"='03.Muestra'!$D$8:$D$42,ROW('03.Muestra'!$C$8:$C$42)-MIN(ROW('03.Muestra'!$D$8:$D$42))+1,""),ROW()-1310)),"")</f>
        <v>Home - PortCastelló</v>
      </c>
      <c r="C1337" s="114" t="str" cm="1">
        <f t="array" ref="C1337">IFERROR(INDEX('03.Muestra'!$F$8:$F$42,SMALL(IF("Página Web"='03.Muestra'!$D$8:$D$42,ROW('03.Muestra'!$F$8:$F$42)-MIN(ROW('03.Muestra'!$D$8:$D$42))+1,""),ROW()-1310)),"")</f>
        <v>https://www.portcastello.com/</v>
      </c>
      <c r="D1337" s="130" t="s">
        <v>37</v>
      </c>
      <c r="E1337" s="107" t="str">
        <f t="shared" si="68"/>
        <v/>
      </c>
      <c r="F1337" s="19"/>
      <c r="G1337" s="19"/>
      <c r="H1337" s="19"/>
      <c r="I1337" s="19"/>
      <c r="J1337" s="19"/>
      <c r="K1337" s="233"/>
      <c r="L1337" s="19"/>
    </row>
    <row r="1338" spans="1:12" ht="12" customHeight="1">
      <c r="A1338" s="219" t="n" cm="1">
        <f t="array" ref="A1338">IFERROR(INDEX('03.Muestra'!$B$8:$B$42,SMALL(IF("Página Web"='03.Muestra'!$D$8:$D$42,ROW('03.Muestra'!$B$8:$B$42)-MIN(ROW('03.Muestra'!$D$8:$D$42))+1,""),ROW()-1310)),"")</f>
        <v>1.0</v>
      </c>
      <c r="B1338" s="114" t="str" cm="1">
        <f t="array" ref="B1338">IFERROR(INDEX('03.Muestra'!$C$8:$C$42,SMALL(IF("Página Web"='03.Muestra'!$D$8:$D$42,ROW('03.Muestra'!$C$8:$C$42)-MIN(ROW('03.Muestra'!$D$8:$D$42))+1,""),ROW()-1310)),"")</f>
        <v>Home - PortCastelló</v>
      </c>
      <c r="C1338" s="114" t="str" cm="1">
        <f t="array" ref="C1338">IFERROR(INDEX('03.Muestra'!$F$8:$F$42,SMALL(IF("Página Web"='03.Muestra'!$D$8:$D$42,ROW('03.Muestra'!$F$8:$F$42)-MIN(ROW('03.Muestra'!$D$8:$D$42))+1,""),ROW()-1310)),"")</f>
        <v>https://www.portcastello.com/</v>
      </c>
      <c r="D1338" s="130" t="s">
        <v>37</v>
      </c>
      <c r="E1338" s="107" t="str">
        <f t="shared" si="68"/>
        <v/>
      </c>
      <c r="G1338" s="19"/>
      <c r="H1338" s="19"/>
      <c r="I1338" s="19"/>
      <c r="J1338" s="19"/>
      <c r="K1338" s="233"/>
      <c r="L1338" s="19"/>
    </row>
    <row r="1339" spans="1:12" ht="12" customHeight="1">
      <c r="A1339" s="219" t="n" cm="1">
        <f t="array" ref="A1339">IFERROR(INDEX('03.Muestra'!$B$8:$B$42,SMALL(IF("Página Web"='03.Muestra'!$D$8:$D$42,ROW('03.Muestra'!$B$8:$B$42)-MIN(ROW('03.Muestra'!$D$8:$D$42))+1,""),ROW()-1310)),"")</f>
        <v>1.0</v>
      </c>
      <c r="B1339" s="114" t="str" cm="1">
        <f t="array" ref="B1339">IFERROR(INDEX('03.Muestra'!$C$8:$C$42,SMALL(IF("Página Web"='03.Muestra'!$D$8:$D$42,ROW('03.Muestra'!$C$8:$C$42)-MIN(ROW('03.Muestra'!$D$8:$D$42))+1,""),ROW()-1310)),"")</f>
        <v>Home - PortCastelló</v>
      </c>
      <c r="C1339" s="114" t="str" cm="1">
        <f t="array" ref="C1339">IFERROR(INDEX('03.Muestra'!$F$8:$F$42,SMALL(IF("Página Web"='03.Muestra'!$D$8:$D$42,ROW('03.Muestra'!$F$8:$F$42)-MIN(ROW('03.Muestra'!$D$8:$D$42))+1,""),ROW()-1310)),"")</f>
        <v>https://www.portcastello.com/</v>
      </c>
      <c r="D1339" s="130" t="s">
        <v>37</v>
      </c>
      <c r="E1339" s="107" t="str">
        <f t="shared" si="68"/>
        <v/>
      </c>
      <c r="F1339" s="124"/>
      <c r="G1339" s="19"/>
      <c r="H1339" s="19"/>
      <c r="I1339" s="19"/>
      <c r="J1339" s="19"/>
      <c r="K1339" s="233"/>
      <c r="L1339" s="19"/>
    </row>
    <row r="1340" spans="1:12" ht="12" customHeight="1">
      <c r="A1340" s="219" t="n" cm="1">
        <f t="array" ref="A1340">IFERROR(INDEX('03.Muestra'!$B$8:$B$42,SMALL(IF("Página Web"='03.Muestra'!$D$8:$D$42,ROW('03.Muestra'!$B$8:$B$42)-MIN(ROW('03.Muestra'!$D$8:$D$42))+1,""),ROW()-1310)),"")</f>
        <v>1.0</v>
      </c>
      <c r="B1340" s="114" t="str" cm="1">
        <f t="array" ref="B1340">IFERROR(INDEX('03.Muestra'!$C$8:$C$42,SMALL(IF("Página Web"='03.Muestra'!$D$8:$D$42,ROW('03.Muestra'!$C$8:$C$42)-MIN(ROW('03.Muestra'!$D$8:$D$42))+1,""),ROW()-1310)),"")</f>
        <v>Home - PortCastelló</v>
      </c>
      <c r="C1340" s="114" t="str" cm="1">
        <f t="array" ref="C1340">IFERROR(INDEX('03.Muestra'!$F$8:$F$42,SMALL(IF("Página Web"='03.Muestra'!$D$8:$D$42,ROW('03.Muestra'!$F$8:$F$42)-MIN(ROW('03.Muestra'!$D$8:$D$42))+1,""),ROW()-1310)),"")</f>
        <v>https://www.portcastello.com/</v>
      </c>
      <c r="D1340" s="130" t="s">
        <v>37</v>
      </c>
      <c r="E1340" s="107" t="str">
        <f t="shared" si="68"/>
        <v/>
      </c>
      <c r="F1340" s="124"/>
      <c r="G1340" s="19"/>
      <c r="H1340" s="19"/>
      <c r="I1340" s="19"/>
      <c r="J1340" s="19"/>
      <c r="K1340" s="233"/>
      <c r="L1340" s="19"/>
    </row>
    <row r="1341" spans="1:12" ht="12" customHeight="1">
      <c r="A1341" s="219" t="n" cm="1">
        <f t="array" ref="A1341">IFERROR(INDEX('03.Muestra'!$B$8:$B$42,SMALL(IF("Página Web"='03.Muestra'!$D$8:$D$42,ROW('03.Muestra'!$B$8:$B$42)-MIN(ROW('03.Muestra'!$D$8:$D$42))+1,""),ROW()-1310)),"")</f>
        <v>1.0</v>
      </c>
      <c r="B1341" s="114" t="str" cm="1">
        <f t="array" ref="B1341">IFERROR(INDEX('03.Muestra'!$C$8:$C$42,SMALL(IF("Página Web"='03.Muestra'!$D$8:$D$42,ROW('03.Muestra'!$C$8:$C$42)-MIN(ROW('03.Muestra'!$D$8:$D$42))+1,""),ROW()-1310)),"")</f>
        <v>Home - PortCastelló</v>
      </c>
      <c r="C1341" s="114" t="str" cm="1">
        <f t="array" ref="C1341">IFERROR(INDEX('03.Muestra'!$F$8:$F$42,SMALL(IF("Página Web"='03.Muestra'!$D$8:$D$42,ROW('03.Muestra'!$F$8:$F$42)-MIN(ROW('03.Muestra'!$D$8:$D$42))+1,""),ROW()-1310)),"")</f>
        <v>https://www.portcastello.com/</v>
      </c>
      <c r="D1341" s="130" t="s">
        <v>37</v>
      </c>
      <c r="E1341" s="107" t="str">
        <f t="shared" si="68"/>
        <v/>
      </c>
      <c r="F1341" s="124"/>
      <c r="G1341" s="19"/>
      <c r="H1341" s="19"/>
      <c r="I1341" s="19"/>
      <c r="J1341" s="19"/>
      <c r="K1341" s="233"/>
      <c r="L1341" s="19"/>
    </row>
    <row r="1342" spans="1:12" ht="12" customHeight="1">
      <c r="A1342" s="219" t="n" cm="1">
        <f t="array" ref="A1342">IFERROR(INDEX('03.Muestra'!$B$8:$B$42,SMALL(IF("Página Web"='03.Muestra'!$D$8:$D$42,ROW('03.Muestra'!$B$8:$B$42)-MIN(ROW('03.Muestra'!$D$8:$D$42))+1,""),ROW()-1310)),"")</f>
        <v>1.0</v>
      </c>
      <c r="B1342" s="114" t="str" cm="1">
        <f t="array" ref="B1342">IFERROR(INDEX('03.Muestra'!$C$8:$C$42,SMALL(IF("Página Web"='03.Muestra'!$D$8:$D$42,ROW('03.Muestra'!$C$8:$C$42)-MIN(ROW('03.Muestra'!$D$8:$D$42))+1,""),ROW()-1310)),"")</f>
        <v>Home - PortCastelló</v>
      </c>
      <c r="C1342" s="114" t="str" cm="1">
        <f t="array" ref="C1342">IFERROR(INDEX('03.Muestra'!$F$8:$F$42,SMALL(IF("Página Web"='03.Muestra'!$D$8:$D$42,ROW('03.Muestra'!$F$8:$F$42)-MIN(ROW('03.Muestra'!$D$8:$D$42))+1,""),ROW()-1310)),"")</f>
        <v>https://www.portcastello.com/</v>
      </c>
      <c r="D1342" s="130" t="s">
        <v>37</v>
      </c>
      <c r="E1342" s="107" t="str">
        <f t="shared" si="68"/>
        <v/>
      </c>
      <c r="F1342" s="124"/>
      <c r="G1342" s="19"/>
      <c r="H1342" s="19"/>
      <c r="I1342" s="19"/>
      <c r="J1342" s="19"/>
      <c r="K1342" s="233"/>
      <c r="L1342" s="19"/>
    </row>
    <row r="1343" spans="1:12" ht="12" customHeight="1">
      <c r="A1343" s="219" t="n" cm="1">
        <f t="array" ref="A1343">IFERROR(INDEX('03.Muestra'!$B$8:$B$42,SMALL(IF("Página Web"='03.Muestra'!$D$8:$D$42,ROW('03.Muestra'!$B$8:$B$42)-MIN(ROW('03.Muestra'!$D$8:$D$42))+1,""),ROW()-1310)),"")</f>
        <v>1.0</v>
      </c>
      <c r="B1343" s="114" t="str" cm="1">
        <f t="array" ref="B1343">IFERROR(INDEX('03.Muestra'!$C$8:$C$42,SMALL(IF("Página Web"='03.Muestra'!$D$8:$D$42,ROW('03.Muestra'!$C$8:$C$42)-MIN(ROW('03.Muestra'!$D$8:$D$42))+1,""),ROW()-1310)),"")</f>
        <v>Home - PortCastelló</v>
      </c>
      <c r="C1343" s="114" t="str" cm="1">
        <f t="array" ref="C1343">IFERROR(INDEX('03.Muestra'!$F$8:$F$42,SMALL(IF("Página Web"='03.Muestra'!$D$8:$D$42,ROW('03.Muestra'!$F$8:$F$42)-MIN(ROW('03.Muestra'!$D$8:$D$42))+1,""),ROW()-1310)),"")</f>
        <v>https://www.portcastello.com/</v>
      </c>
      <c r="D1343" s="130" t="s">
        <v>37</v>
      </c>
      <c r="E1343" s="107" t="str">
        <f t="shared" si="68"/>
        <v/>
      </c>
      <c r="F1343" s="124"/>
      <c r="G1343" s="19"/>
      <c r="H1343" s="19"/>
      <c r="I1343" s="19"/>
      <c r="J1343" s="19"/>
      <c r="K1343" s="233"/>
      <c r="L1343" s="19"/>
    </row>
    <row r="1344" spans="1:12" ht="12" customHeight="1">
      <c r="A1344" s="219" t="str" cm="1">
        <f t="array" ref="A1344">IFERROR(INDEX('03.Muestra'!$B$8:$B$42,SMALL(IF("Página Web"='03.Muestra'!$D$8:$D$42,ROW('03.Muestra'!$B$8:$B$42)-MIN(ROW('03.Muestra'!$D$8:$D$42))+1,""),ROW()-1310)),"")</f>
        <v/>
      </c>
      <c r="B1344" s="114" t="str" cm="1">
        <f t="array" ref="B1344">IFERROR(INDEX('03.Muestra'!$C$8:$C$42,SMALL(IF("Página Web"='03.Muestra'!$D$8:$D$42,ROW('03.Muestra'!$C$8:$C$42)-MIN(ROW('03.Muestra'!$D$8:$D$42))+1,""),ROW()-1310)),"")</f>
        <v/>
      </c>
      <c r="C1344" s="114" t="str" cm="1">
        <f t="array" ref="C1344">IFERROR(INDEX('03.Muestra'!$F$8:$F$42,SMALL(IF("Página Web"='03.Muestra'!$D$8:$D$42,ROW('03.Muestra'!$F$8:$F$42)-MIN(ROW('03.Muestra'!$D$8:$D$42))+1,""),ROW()-1310)),"")</f>
        <v/>
      </c>
      <c r="D1344" s="130" t="str">
        <f t="shared" si="69" ref="D1344:D1345">IF(AND(B1344&lt;&gt;"",C1344&lt;&gt;""),"N/T","")</f>
        <v/>
      </c>
      <c r="E1344" s="107" t="str">
        <f t="shared" si="68"/>
        <v/>
      </c>
      <c r="F1344" s="124"/>
      <c r="G1344" s="19"/>
      <c r="H1344" s="19"/>
      <c r="I1344" s="19"/>
      <c r="J1344" s="19"/>
      <c r="K1344" s="233"/>
      <c r="L1344" s="19"/>
    </row>
    <row r="1345" spans="1:12" ht="12" customHeight="1">
      <c r="A1345" s="219" t="str" cm="1">
        <f t="array" ref="A1345">IFERROR(INDEX('03.Muestra'!$B$8:$B$42,SMALL(IF("Página Web"='03.Muestra'!$D$8:$D$42,ROW('03.Muestra'!$B$8:$B$42)-MIN(ROW('03.Muestra'!$D$8:$D$42))+1,""),ROW()-1310)),"")</f>
        <v/>
      </c>
      <c r="B1345" s="114" t="str" cm="1">
        <f t="array" ref="B1345">IFERROR(INDEX('03.Muestra'!$C$8:$C$42,SMALL(IF("Página Web"='03.Muestra'!$D$8:$D$42,ROW('03.Muestra'!$C$8:$C$42)-MIN(ROW('03.Muestra'!$D$8:$D$42))+1,""),ROW()-1310)),"")</f>
        <v/>
      </c>
      <c r="C1345" s="114" t="str" cm="1">
        <f t="array" ref="C1345">IFERROR(INDEX('03.Muestra'!$F$8:$F$42,SMALL(IF("Página Web"='03.Muestra'!$D$8:$D$42,ROW('03.Muestra'!$F$8:$F$42)-MIN(ROW('03.Muestra'!$D$8:$D$42))+1,""),ROW()-1310)),"")</f>
        <v/>
      </c>
      <c r="D1345" s="130" t="str">
        <f t="shared" si="69"/>
        <v/>
      </c>
      <c r="E1345" s="107" t="str">
        <f t="shared" si="68"/>
        <v/>
      </c>
      <c r="F1345" s="19"/>
      <c r="G1345" s="19"/>
      <c r="H1345" s="19"/>
      <c r="I1345" s="19"/>
      <c r="J1345" s="19"/>
      <c r="K1345" s="233"/>
      <c r="L1345" s="19"/>
    </row>
    <row r="1346" spans="1:12" ht="12" customHeight="1">
      <c r="B1346" s="19"/>
      <c r="C1346" s="19"/>
      <c r="D1346" s="107"/>
      <c r="E1346" s="19"/>
      <c r="F1346" s="19"/>
      <c r="G1346" s="19"/>
      <c r="H1346" s="19"/>
      <c r="I1346" s="19"/>
      <c r="J1346" s="19"/>
      <c r="K1346" s="233"/>
      <c r="L1346" s="19"/>
    </row>
    <row r="1347" spans="1:12" ht="12" customHeight="1">
      <c r="B1347" s="126"/>
      <c r="C1347" s="19"/>
      <c r="D1347" s="107"/>
      <c r="E1347" s="112"/>
      <c r="F1347" s="19"/>
      <c r="G1347" s="19"/>
      <c r="H1347" s="19"/>
      <c r="I1347" s="19"/>
      <c r="J1347" s="19"/>
      <c r="K1347" s="233"/>
      <c r="L1347" s="19"/>
    </row>
    <row r="1348" spans="1:12" ht="29.25" customHeight="1">
      <c r="A1348" s="218" t="s">
        <v>268</v>
      </c>
      <c r="B1348" s="24" t="s">
        <v>90</v>
      </c>
      <c r="C1348" s="25" t="s">
        <v>408</v>
      </c>
      <c r="D1348" s="26" t="s">
        <v>32</v>
      </c>
      <c r="E1348" s="123"/>
      <c r="K1348" s="233"/>
      <c r="L1348" s="19"/>
    </row>
    <row r="1349" spans="1:12" ht="12" customHeight="1">
      <c r="A1349" s="219" t="n" cm="1">
        <f t="array" ref="A1349">IFERROR(INDEX('03.Muestra'!$B$8:$B$42,SMALL(IF("Página Web"='03.Muestra'!$D$8:$D$42,ROW('03.Muestra'!$B$8:$B$42)-MIN(ROW('03.Muestra'!$D$8:$D$42))+1,""),ROW()-1348)),"")</f>
        <v>1.0</v>
      </c>
      <c r="B1349" s="114" t="str" cm="1">
        <f t="array" ref="B1349">IFERROR(INDEX('03.Muestra'!$C$8:$C$42,SMALL(IF("Página Web"='03.Muestra'!$D$8:$D$42,ROW('03.Muestra'!$C$8:$C$42)-MIN(ROW('03.Muestra'!$D$8:$D$42))+1,""),ROW()-1348)),"")</f>
        <v>Home - PortCastelló</v>
      </c>
      <c r="C1349" s="114" t="str" cm="1">
        <f t="array" ref="C1349">IFERROR(INDEX('03.Muestra'!$F$8:$F$42,SMALL(IF("Página Web"='03.Muestra'!$D$8:$D$42,ROW('03.Muestra'!$F$8:$F$42)-MIN(ROW('03.Muestra'!$D$8:$D$42))+1,""),ROW()-1348)),"")</f>
        <v>https://www.portcastello.com/</v>
      </c>
      <c r="D1349" s="130" t="str">
        <f>IF(AND(B1349&lt;&gt;"",C1349&lt;&gt;""),"N/T","")</f>
        <v>N/T</v>
      </c>
      <c r="E1349" s="107" t="str">
        <f t="shared" ref="E1349:E1383" si="70">IF(D1349&lt;&gt;"",IF(AND(B1349&lt;&gt;"",C1349&lt;&gt;""),"","ERR"),"")</f>
        <v/>
      </c>
      <c r="F1349" s="115" t="s">
        <v>33</v>
      </c>
      <c r="G1349" s="116" t="s">
        <v>37</v>
      </c>
      <c r="H1349" s="117" t="s">
        <v>35</v>
      </c>
      <c r="I1349" s="118" t="s">
        <v>28</v>
      </c>
      <c r="J1349" s="119" t="s">
        <v>26</v>
      </c>
      <c r="K1349" s="226" t="s">
        <v>474</v>
      </c>
      <c r="L1349" s="19"/>
    </row>
    <row r="1350" spans="1:12" ht="12" customHeight="1">
      <c r="A1350" s="219" t="n" cm="1">
        <f t="array" ref="A1350">IFERROR(INDEX('03.Muestra'!$B$8:$B$42,SMALL(IF("Página Web"='03.Muestra'!$D$8:$D$42,ROW('03.Muestra'!$B$8:$B$42)-MIN(ROW('03.Muestra'!$D$8:$D$42))+1,""),ROW()-1348)),"")</f>
        <v>1.0</v>
      </c>
      <c r="B1350" s="114" t="str" cm="1">
        <f t="array" ref="B1350">IFERROR(INDEX('03.Muestra'!$C$8:$C$42,SMALL(IF("Página Web"='03.Muestra'!$D$8:$D$42,ROW('03.Muestra'!$C$8:$C$42)-MIN(ROW('03.Muestra'!$D$8:$D$42))+1,""),ROW()-1348)),"")</f>
        <v>Home - PortCastelló</v>
      </c>
      <c r="C1350" s="114" t="str" cm="1">
        <f t="array" ref="C1350">IFERROR(INDEX('03.Muestra'!$F$8:$F$42,SMALL(IF("Página Web"='03.Muestra'!$D$8:$D$42,ROW('03.Muestra'!$F$8:$F$42)-MIN(ROW('03.Muestra'!$D$8:$D$42))+1,""),ROW()-1348)),"")</f>
        <v>https://www.portcastello.com/</v>
      </c>
      <c r="D1350" s="130" t="str">
        <f t="shared" ref="D1350:D1383" si="71">IF(AND(B1350&lt;&gt;"",C1350&lt;&gt;""),"N/T","")</f>
        <v>N/T</v>
      </c>
      <c r="E1350" s="107" t="str">
        <f t="shared" si="70"/>
        <v/>
      </c>
      <c r="F1350" s="120" t="n">
        <f ca="1">COUNTIF($D1349:INDIRECT("$D" &amp;  SUM(ROW()-1,'03.Muestra'!$D$45)-1),F1349)</f>
        <v>33.0</v>
      </c>
      <c r="G1350" s="120" t="n">
        <f ca="1">COUNTIF($D1349:INDIRECT("$D" &amp;  SUM(ROW()-1,'03.Muestra'!$D$45)-1),G1349)</f>
        <v>0.0</v>
      </c>
      <c r="H1350" s="120" t="n">
        <f ca="1">COUNTIF($D1349:INDIRECT("$D" &amp;  SUM(ROW()-1,'03.Muestra'!$D$45)-1),H1349)</f>
        <v>0.0</v>
      </c>
      <c r="I1350" s="120" t="n">
        <f ca="1">COUNTIF($D1349:INDIRECT("$D" &amp;  SUM(ROW()-1,'03.Muestra'!$D$45)-1),I1349)</f>
        <v>0.0</v>
      </c>
      <c r="J1350" s="120" t="n">
        <f ca="1">COUNTIF($D1349:INDIRECT("$D" &amp;  SUM(ROW()-1,'03.Muestra'!$D$45)-1),J1349)</f>
        <v>0.0</v>
      </c>
      <c r="K1350" s="227" t="n">
        <f ca="1">IF(COUNTIF('03.Muestra'!$D$8:$D$42,"Página Web")=0,0,COUNTBLANK($D1349:INDIRECT("$D" &amp;  SUM(ROW()-1,COUNTIF('03.Muestra'!$D$8:$D$42,"Página Web"))-1)))</f>
        <v>0.0</v>
      </c>
      <c r="L1350" s="19"/>
    </row>
    <row r="1351" spans="1:12" ht="12" customHeight="1">
      <c r="A1351" s="219" t="n" cm="1">
        <f t="array" ref="A1351">IFERROR(INDEX('03.Muestra'!$B$8:$B$42,SMALL(IF("Página Web"='03.Muestra'!$D$8:$D$42,ROW('03.Muestra'!$B$8:$B$42)-MIN(ROW('03.Muestra'!$D$8:$D$42))+1,""),ROW()-1348)),"")</f>
        <v>1.0</v>
      </c>
      <c r="B1351" s="114" t="str" cm="1">
        <f t="array" ref="B1351">IFERROR(INDEX('03.Muestra'!$C$8:$C$42,SMALL(IF("Página Web"='03.Muestra'!$D$8:$D$42,ROW('03.Muestra'!$C$8:$C$42)-MIN(ROW('03.Muestra'!$D$8:$D$42))+1,""),ROW()-1348)),"")</f>
        <v>Home - PortCastelló</v>
      </c>
      <c r="C1351" s="114" t="str" cm="1">
        <f t="array" ref="C1351">IFERROR(INDEX('03.Muestra'!$F$8:$F$42,SMALL(IF("Página Web"='03.Muestra'!$D$8:$D$42,ROW('03.Muestra'!$F$8:$F$42)-MIN(ROW('03.Muestra'!$D$8:$D$42))+1,""),ROW()-1348)),"")</f>
        <v>https://www.portcastello.com/</v>
      </c>
      <c r="D1351" s="130" t="str">
        <f t="shared" si="71"/>
        <v>N/T</v>
      </c>
      <c r="E1351" s="107" t="str">
        <f t="shared" si="70"/>
        <v/>
      </c>
      <c r="G1351" s="19"/>
      <c r="H1351" s="19"/>
      <c r="I1351" s="19"/>
      <c r="J1351" s="19"/>
      <c r="K1351" s="233"/>
      <c r="L1351" s="19"/>
    </row>
    <row r="1352" spans="1:12" ht="12" customHeight="1">
      <c r="A1352" s="219" t="n" cm="1">
        <f t="array" ref="A1352">IFERROR(INDEX('03.Muestra'!$B$8:$B$42,SMALL(IF("Página Web"='03.Muestra'!$D$8:$D$42,ROW('03.Muestra'!$B$8:$B$42)-MIN(ROW('03.Muestra'!$D$8:$D$42))+1,""),ROW()-1348)),"")</f>
        <v>1.0</v>
      </c>
      <c r="B1352" s="114" t="str" cm="1">
        <f t="array" ref="B1352">IFERROR(INDEX('03.Muestra'!$C$8:$C$42,SMALL(IF("Página Web"='03.Muestra'!$D$8:$D$42,ROW('03.Muestra'!$C$8:$C$42)-MIN(ROW('03.Muestra'!$D$8:$D$42))+1,""),ROW()-1348)),"")</f>
        <v>Home - PortCastelló</v>
      </c>
      <c r="C1352" s="114" t="str" cm="1">
        <f t="array" ref="C1352">IFERROR(INDEX('03.Muestra'!$F$8:$F$42,SMALL(IF("Página Web"='03.Muestra'!$D$8:$D$42,ROW('03.Muestra'!$F$8:$F$42)-MIN(ROW('03.Muestra'!$D$8:$D$42))+1,""),ROW()-1348)),"")</f>
        <v>https://www.portcastello.com/</v>
      </c>
      <c r="D1352" s="130" t="str">
        <f t="shared" si="71"/>
        <v>N/T</v>
      </c>
      <c r="E1352" s="107" t="str">
        <f t="shared" si="70"/>
        <v/>
      </c>
      <c r="G1352" s="19"/>
      <c r="H1352" s="19"/>
      <c r="I1352" s="19"/>
      <c r="J1352" s="19"/>
      <c r="K1352" s="233"/>
      <c r="L1352" s="19"/>
    </row>
    <row r="1353" spans="1:12" ht="12" customHeight="1">
      <c r="A1353" s="219" t="n" cm="1">
        <f t="array" ref="A1353">IFERROR(INDEX('03.Muestra'!$B$8:$B$42,SMALL(IF("Página Web"='03.Muestra'!$D$8:$D$42,ROW('03.Muestra'!$B$8:$B$42)-MIN(ROW('03.Muestra'!$D$8:$D$42))+1,""),ROW()-1348)),"")</f>
        <v>1.0</v>
      </c>
      <c r="B1353" s="114" t="str" cm="1">
        <f t="array" ref="B1353">IFERROR(INDEX('03.Muestra'!$C$8:$C$42,SMALL(IF("Página Web"='03.Muestra'!$D$8:$D$42,ROW('03.Muestra'!$C$8:$C$42)-MIN(ROW('03.Muestra'!$D$8:$D$42))+1,""),ROW()-1348)),"")</f>
        <v>Home - PortCastelló</v>
      </c>
      <c r="C1353" s="114" t="str" cm="1">
        <f t="array" ref="C1353">IFERROR(INDEX('03.Muestra'!$F$8:$F$42,SMALL(IF("Página Web"='03.Muestra'!$D$8:$D$42,ROW('03.Muestra'!$F$8:$F$42)-MIN(ROW('03.Muestra'!$D$8:$D$42))+1,""),ROW()-1348)),"")</f>
        <v>https://www.portcastello.com/</v>
      </c>
      <c r="D1353" s="130" t="str">
        <f t="shared" si="71"/>
        <v>N/T</v>
      </c>
      <c r="E1353" s="107" t="str">
        <f t="shared" si="70"/>
        <v/>
      </c>
      <c r="G1353" s="19"/>
      <c r="H1353" s="19"/>
      <c r="I1353" s="19"/>
      <c r="J1353" s="19"/>
      <c r="K1353" s="233"/>
      <c r="L1353" s="19"/>
    </row>
    <row r="1354" spans="1:12" ht="12" customHeight="1">
      <c r="A1354" s="219" t="n" cm="1">
        <f t="array" ref="A1354">IFERROR(INDEX('03.Muestra'!$B$8:$B$42,SMALL(IF("Página Web"='03.Muestra'!$D$8:$D$42,ROW('03.Muestra'!$B$8:$B$42)-MIN(ROW('03.Muestra'!$D$8:$D$42))+1,""),ROW()-1348)),"")</f>
        <v>1.0</v>
      </c>
      <c r="B1354" s="114" t="str" cm="1">
        <f t="array" ref="B1354">IFERROR(INDEX('03.Muestra'!$C$8:$C$42,SMALL(IF("Página Web"='03.Muestra'!$D$8:$D$42,ROW('03.Muestra'!$C$8:$C$42)-MIN(ROW('03.Muestra'!$D$8:$D$42))+1,""),ROW()-1348)),"")</f>
        <v>Home - PortCastelló</v>
      </c>
      <c r="C1354" s="114" t="str" cm="1">
        <f t="array" ref="C1354">IFERROR(INDEX('03.Muestra'!$F$8:$F$42,SMALL(IF("Página Web"='03.Muestra'!$D$8:$D$42,ROW('03.Muestra'!$F$8:$F$42)-MIN(ROW('03.Muestra'!$D$8:$D$42))+1,""),ROW()-1348)),"")</f>
        <v>https://www.portcastello.com/</v>
      </c>
      <c r="D1354" s="130" t="str">
        <f t="shared" si="71"/>
        <v>N/T</v>
      </c>
      <c r="E1354" s="107" t="str">
        <f t="shared" si="70"/>
        <v/>
      </c>
      <c r="G1354" s="19"/>
      <c r="H1354" s="19"/>
      <c r="I1354" s="19"/>
      <c r="J1354" s="19"/>
      <c r="K1354" s="233"/>
      <c r="L1354" s="19"/>
    </row>
    <row r="1355" spans="1:12" ht="12" customHeight="1">
      <c r="A1355" s="219" t="n" cm="1">
        <f t="array" ref="A1355">IFERROR(INDEX('03.Muestra'!$B$8:$B$42,SMALL(IF("Página Web"='03.Muestra'!$D$8:$D$42,ROW('03.Muestra'!$B$8:$B$42)-MIN(ROW('03.Muestra'!$D$8:$D$42))+1,""),ROW()-1348)),"")</f>
        <v>1.0</v>
      </c>
      <c r="B1355" s="114" t="str" cm="1">
        <f t="array" ref="B1355">IFERROR(INDEX('03.Muestra'!$C$8:$C$42,SMALL(IF("Página Web"='03.Muestra'!$D$8:$D$42,ROW('03.Muestra'!$C$8:$C$42)-MIN(ROW('03.Muestra'!$D$8:$D$42))+1,""),ROW()-1348)),"")</f>
        <v>Home - PortCastelló</v>
      </c>
      <c r="C1355" s="114" t="str" cm="1">
        <f t="array" ref="C1355">IFERROR(INDEX('03.Muestra'!$F$8:$F$42,SMALL(IF("Página Web"='03.Muestra'!$D$8:$D$42,ROW('03.Muestra'!$F$8:$F$42)-MIN(ROW('03.Muestra'!$D$8:$D$42))+1,""),ROW()-1348)),"")</f>
        <v>https://www.portcastello.com/</v>
      </c>
      <c r="D1355" s="130" t="str">
        <f t="shared" si="71"/>
        <v>N/T</v>
      </c>
      <c r="E1355" s="107" t="str">
        <f t="shared" si="70"/>
        <v/>
      </c>
      <c r="F1355" s="19"/>
      <c r="G1355" s="19"/>
      <c r="H1355" s="19"/>
      <c r="I1355" s="19"/>
      <c r="J1355" s="19"/>
      <c r="K1355" s="233"/>
      <c r="L1355" s="19"/>
    </row>
    <row r="1356" spans="1:12" ht="12" customHeight="1">
      <c r="A1356" s="219" t="n" cm="1">
        <f t="array" ref="A1356">IFERROR(INDEX('03.Muestra'!$B$8:$B$42,SMALL(IF("Página Web"='03.Muestra'!$D$8:$D$42,ROW('03.Muestra'!$B$8:$B$42)-MIN(ROW('03.Muestra'!$D$8:$D$42))+1,""),ROW()-1348)),"")</f>
        <v>1.0</v>
      </c>
      <c r="B1356" s="114" t="str" cm="1">
        <f t="array" ref="B1356">IFERROR(INDEX('03.Muestra'!$C$8:$C$42,SMALL(IF("Página Web"='03.Muestra'!$D$8:$D$42,ROW('03.Muestra'!$C$8:$C$42)-MIN(ROW('03.Muestra'!$D$8:$D$42))+1,""),ROW()-1348)),"")</f>
        <v>Home - PortCastelló</v>
      </c>
      <c r="C1356" s="114" t="str" cm="1">
        <f t="array" ref="C1356">IFERROR(INDEX('03.Muestra'!$F$8:$F$42,SMALL(IF("Página Web"='03.Muestra'!$D$8:$D$42,ROW('03.Muestra'!$F$8:$F$42)-MIN(ROW('03.Muestra'!$D$8:$D$42))+1,""),ROW()-1348)),"")</f>
        <v>https://www.portcastello.com/</v>
      </c>
      <c r="D1356" s="130" t="str">
        <f t="shared" si="71"/>
        <v>N/T</v>
      </c>
      <c r="E1356" s="107" t="str">
        <f t="shared" si="70"/>
        <v/>
      </c>
      <c r="F1356" s="19"/>
      <c r="G1356" s="19"/>
      <c r="H1356" s="19"/>
      <c r="I1356" s="19"/>
      <c r="J1356" s="19"/>
      <c r="K1356" s="233"/>
      <c r="L1356" s="19"/>
    </row>
    <row r="1357" spans="1:12" ht="12" customHeight="1">
      <c r="A1357" s="219" t="n" cm="1">
        <f t="array" ref="A1357">IFERROR(INDEX('03.Muestra'!$B$8:$B$42,SMALL(IF("Página Web"='03.Muestra'!$D$8:$D$42,ROW('03.Muestra'!$B$8:$B$42)-MIN(ROW('03.Muestra'!$D$8:$D$42))+1,""),ROW()-1348)),"")</f>
        <v>1.0</v>
      </c>
      <c r="B1357" s="114" t="str" cm="1">
        <f t="array" ref="B1357">IFERROR(INDEX('03.Muestra'!$C$8:$C$42,SMALL(IF("Página Web"='03.Muestra'!$D$8:$D$42,ROW('03.Muestra'!$C$8:$C$42)-MIN(ROW('03.Muestra'!$D$8:$D$42))+1,""),ROW()-1348)),"")</f>
        <v>Home - PortCastelló</v>
      </c>
      <c r="C1357" s="114" t="str" cm="1">
        <f t="array" ref="C1357">IFERROR(INDEX('03.Muestra'!$F$8:$F$42,SMALL(IF("Página Web"='03.Muestra'!$D$8:$D$42,ROW('03.Muestra'!$F$8:$F$42)-MIN(ROW('03.Muestra'!$D$8:$D$42))+1,""),ROW()-1348)),"")</f>
        <v>https://www.portcastello.com/</v>
      </c>
      <c r="D1357" s="130" t="str">
        <f t="shared" si="71"/>
        <v>N/T</v>
      </c>
      <c r="E1357" s="107" t="str">
        <f t="shared" si="70"/>
        <v/>
      </c>
      <c r="F1357" s="19"/>
      <c r="G1357" s="19"/>
      <c r="H1357" s="19"/>
      <c r="I1357" s="19"/>
      <c r="J1357" s="19"/>
      <c r="K1357" s="233"/>
      <c r="L1357" s="19"/>
    </row>
    <row r="1358" spans="1:12" ht="12" customHeight="1">
      <c r="A1358" s="219" t="n" cm="1">
        <f t="array" ref="A1358">IFERROR(INDEX('03.Muestra'!$B$8:$B$42,SMALL(IF("Página Web"='03.Muestra'!$D$8:$D$42,ROW('03.Muestra'!$B$8:$B$42)-MIN(ROW('03.Muestra'!$D$8:$D$42))+1,""),ROW()-1348)),"")</f>
        <v>1.0</v>
      </c>
      <c r="B1358" s="114" t="str" cm="1">
        <f t="array" ref="B1358">IFERROR(INDEX('03.Muestra'!$C$8:$C$42,SMALL(IF("Página Web"='03.Muestra'!$D$8:$D$42,ROW('03.Muestra'!$C$8:$C$42)-MIN(ROW('03.Muestra'!$D$8:$D$42))+1,""),ROW()-1348)),"")</f>
        <v>Home - PortCastelló</v>
      </c>
      <c r="C1358" s="114" t="str" cm="1">
        <f t="array" ref="C1358">IFERROR(INDEX('03.Muestra'!$F$8:$F$42,SMALL(IF("Página Web"='03.Muestra'!$D$8:$D$42,ROW('03.Muestra'!$F$8:$F$42)-MIN(ROW('03.Muestra'!$D$8:$D$42))+1,""),ROW()-1348)),"")</f>
        <v>https://www.portcastello.com/</v>
      </c>
      <c r="D1358" s="130" t="str">
        <f t="shared" si="71"/>
        <v>N/T</v>
      </c>
      <c r="E1358" s="107" t="str">
        <f t="shared" si="70"/>
        <v/>
      </c>
      <c r="F1358" s="19"/>
      <c r="G1358" s="19"/>
      <c r="H1358" s="19"/>
      <c r="I1358" s="19"/>
      <c r="J1358" s="19"/>
      <c r="K1358" s="233"/>
      <c r="L1358" s="19"/>
    </row>
    <row r="1359" spans="1:12" ht="12" customHeight="1">
      <c r="A1359" s="219" t="n" cm="1">
        <f t="array" ref="A1359">IFERROR(INDEX('03.Muestra'!$B$8:$B$42,SMALL(IF("Página Web"='03.Muestra'!$D$8:$D$42,ROW('03.Muestra'!$B$8:$B$42)-MIN(ROW('03.Muestra'!$D$8:$D$42))+1,""),ROW()-1348)),"")</f>
        <v>1.0</v>
      </c>
      <c r="B1359" s="114" t="str" cm="1">
        <f t="array" ref="B1359">IFERROR(INDEX('03.Muestra'!$C$8:$C$42,SMALL(IF("Página Web"='03.Muestra'!$D$8:$D$42,ROW('03.Muestra'!$C$8:$C$42)-MIN(ROW('03.Muestra'!$D$8:$D$42))+1,""),ROW()-1348)),"")</f>
        <v>Home - PortCastelló</v>
      </c>
      <c r="C1359" s="114" t="str" cm="1">
        <f t="array" ref="C1359">IFERROR(INDEX('03.Muestra'!$F$8:$F$42,SMALL(IF("Página Web"='03.Muestra'!$D$8:$D$42,ROW('03.Muestra'!$F$8:$F$42)-MIN(ROW('03.Muestra'!$D$8:$D$42))+1,""),ROW()-1348)),"")</f>
        <v>https://www.portcastello.com/</v>
      </c>
      <c r="D1359" s="130" t="str">
        <f t="shared" si="71"/>
        <v>N/T</v>
      </c>
      <c r="E1359" s="107" t="str">
        <f t="shared" si="70"/>
        <v/>
      </c>
      <c r="F1359" s="19"/>
      <c r="G1359" s="19"/>
      <c r="H1359" s="19"/>
      <c r="I1359" s="19"/>
      <c r="J1359" s="19"/>
      <c r="K1359" s="233"/>
      <c r="L1359" s="19"/>
    </row>
    <row r="1360" spans="1:12" ht="12" customHeight="1">
      <c r="A1360" s="219" t="n" cm="1">
        <f t="array" ref="A1360">IFERROR(INDEX('03.Muestra'!$B$8:$B$42,SMALL(IF("Página Web"='03.Muestra'!$D$8:$D$42,ROW('03.Muestra'!$B$8:$B$42)-MIN(ROW('03.Muestra'!$D$8:$D$42))+1,""),ROW()-1348)),"")</f>
        <v>1.0</v>
      </c>
      <c r="B1360" s="114" t="str" cm="1">
        <f t="array" ref="B1360">IFERROR(INDEX('03.Muestra'!$C$8:$C$42,SMALL(IF("Página Web"='03.Muestra'!$D$8:$D$42,ROW('03.Muestra'!$C$8:$C$42)-MIN(ROW('03.Muestra'!$D$8:$D$42))+1,""),ROW()-1348)),"")</f>
        <v>Home - PortCastelló</v>
      </c>
      <c r="C1360" s="114" t="str" cm="1">
        <f t="array" ref="C1360">IFERROR(INDEX('03.Muestra'!$F$8:$F$42,SMALL(IF("Página Web"='03.Muestra'!$D$8:$D$42,ROW('03.Muestra'!$F$8:$F$42)-MIN(ROW('03.Muestra'!$D$8:$D$42))+1,""),ROW()-1348)),"")</f>
        <v>https://www.portcastello.com/</v>
      </c>
      <c r="D1360" s="130" t="str">
        <f t="shared" si="71"/>
        <v>N/T</v>
      </c>
      <c r="E1360" s="107" t="str">
        <f t="shared" si="70"/>
        <v/>
      </c>
      <c r="F1360" s="19"/>
      <c r="G1360" s="19"/>
      <c r="H1360" s="19"/>
      <c r="I1360" s="19"/>
      <c r="J1360" s="19"/>
      <c r="K1360" s="233"/>
      <c r="L1360" s="19"/>
    </row>
    <row r="1361" spans="1:12" ht="12" customHeight="1">
      <c r="A1361" s="219" t="n" cm="1">
        <f t="array" ref="A1361">IFERROR(INDEX('03.Muestra'!$B$8:$B$42,SMALL(IF("Página Web"='03.Muestra'!$D$8:$D$42,ROW('03.Muestra'!$B$8:$B$42)-MIN(ROW('03.Muestra'!$D$8:$D$42))+1,""),ROW()-1348)),"")</f>
        <v>1.0</v>
      </c>
      <c r="B1361" s="114" t="str" cm="1">
        <f t="array" ref="B1361">IFERROR(INDEX('03.Muestra'!$C$8:$C$42,SMALL(IF("Página Web"='03.Muestra'!$D$8:$D$42,ROW('03.Muestra'!$C$8:$C$42)-MIN(ROW('03.Muestra'!$D$8:$D$42))+1,""),ROW()-1348)),"")</f>
        <v>Home - PortCastelló</v>
      </c>
      <c r="C1361" s="114" t="str" cm="1">
        <f t="array" ref="C1361">IFERROR(INDEX('03.Muestra'!$F$8:$F$42,SMALL(IF("Página Web"='03.Muestra'!$D$8:$D$42,ROW('03.Muestra'!$F$8:$F$42)-MIN(ROW('03.Muestra'!$D$8:$D$42))+1,""),ROW()-1348)),"")</f>
        <v>https://www.portcastello.com/</v>
      </c>
      <c r="D1361" s="130" t="str">
        <f t="shared" si="71"/>
        <v>N/T</v>
      </c>
      <c r="E1361" s="107" t="str">
        <f t="shared" si="70"/>
        <v/>
      </c>
      <c r="F1361" s="19"/>
      <c r="G1361" s="19"/>
      <c r="H1361" s="19"/>
      <c r="I1361" s="19"/>
      <c r="J1361" s="19"/>
      <c r="K1361" s="233"/>
      <c r="L1361" s="19"/>
    </row>
    <row r="1362" spans="1:12" ht="12" customHeight="1">
      <c r="A1362" s="219" t="n" cm="1">
        <f t="array" ref="A1362">IFERROR(INDEX('03.Muestra'!$B$8:$B$42,SMALL(IF("Página Web"='03.Muestra'!$D$8:$D$42,ROW('03.Muestra'!$B$8:$B$42)-MIN(ROW('03.Muestra'!$D$8:$D$42))+1,""),ROW()-1348)),"")</f>
        <v>1.0</v>
      </c>
      <c r="B1362" s="114" t="str" cm="1">
        <f t="array" ref="B1362">IFERROR(INDEX('03.Muestra'!$C$8:$C$42,SMALL(IF("Página Web"='03.Muestra'!$D$8:$D$42,ROW('03.Muestra'!$C$8:$C$42)-MIN(ROW('03.Muestra'!$D$8:$D$42))+1,""),ROW()-1348)),"")</f>
        <v>Home - PortCastelló</v>
      </c>
      <c r="C1362" s="114" t="str" cm="1">
        <f t="array" ref="C1362">IFERROR(INDEX('03.Muestra'!$F$8:$F$42,SMALL(IF("Página Web"='03.Muestra'!$D$8:$D$42,ROW('03.Muestra'!$F$8:$F$42)-MIN(ROW('03.Muestra'!$D$8:$D$42))+1,""),ROW()-1348)),"")</f>
        <v>https://www.portcastello.com/</v>
      </c>
      <c r="D1362" s="130" t="str">
        <f t="shared" si="71"/>
        <v>N/T</v>
      </c>
      <c r="E1362" s="107" t="str">
        <f t="shared" si="70"/>
        <v/>
      </c>
      <c r="F1362" s="19"/>
      <c r="G1362" s="19"/>
      <c r="H1362" s="19"/>
      <c r="I1362" s="19"/>
      <c r="J1362" s="19"/>
      <c r="K1362" s="233"/>
      <c r="L1362" s="19"/>
    </row>
    <row r="1363" spans="1:12" ht="12" customHeight="1">
      <c r="A1363" s="219" t="n" cm="1">
        <f t="array" ref="A1363">IFERROR(INDEX('03.Muestra'!$B$8:$B$42,SMALL(IF("Página Web"='03.Muestra'!$D$8:$D$42,ROW('03.Muestra'!$B$8:$B$42)-MIN(ROW('03.Muestra'!$D$8:$D$42))+1,""),ROW()-1348)),"")</f>
        <v>1.0</v>
      </c>
      <c r="B1363" s="114" t="str" cm="1">
        <f t="array" ref="B1363">IFERROR(INDEX('03.Muestra'!$C$8:$C$42,SMALL(IF("Página Web"='03.Muestra'!$D$8:$D$42,ROW('03.Muestra'!$C$8:$C$42)-MIN(ROW('03.Muestra'!$D$8:$D$42))+1,""),ROW()-1348)),"")</f>
        <v>Home - PortCastelló</v>
      </c>
      <c r="C1363" s="114" t="str" cm="1">
        <f t="array" ref="C1363">IFERROR(INDEX('03.Muestra'!$F$8:$F$42,SMALL(IF("Página Web"='03.Muestra'!$D$8:$D$42,ROW('03.Muestra'!$F$8:$F$42)-MIN(ROW('03.Muestra'!$D$8:$D$42))+1,""),ROW()-1348)),"")</f>
        <v>https://www.portcastello.com/</v>
      </c>
      <c r="D1363" s="130" t="str">
        <f t="shared" si="71"/>
        <v>N/T</v>
      </c>
      <c r="E1363" s="107" t="str">
        <f t="shared" si="70"/>
        <v/>
      </c>
      <c r="F1363" s="19"/>
      <c r="G1363" s="19"/>
      <c r="H1363" s="19"/>
      <c r="I1363" s="19"/>
      <c r="J1363" s="19"/>
      <c r="K1363" s="233"/>
      <c r="L1363" s="19"/>
    </row>
    <row r="1364" spans="1:12" ht="12" customHeight="1">
      <c r="A1364" s="219" t="n" cm="1">
        <f t="array" ref="A1364">IFERROR(INDEX('03.Muestra'!$B$8:$B$42,SMALL(IF("Página Web"='03.Muestra'!$D$8:$D$42,ROW('03.Muestra'!$B$8:$B$42)-MIN(ROW('03.Muestra'!$D$8:$D$42))+1,""),ROW()-1348)),"")</f>
        <v>1.0</v>
      </c>
      <c r="B1364" s="114" t="str" cm="1">
        <f t="array" ref="B1364">IFERROR(INDEX('03.Muestra'!$C$8:$C$42,SMALL(IF("Página Web"='03.Muestra'!$D$8:$D$42,ROW('03.Muestra'!$C$8:$C$42)-MIN(ROW('03.Muestra'!$D$8:$D$42))+1,""),ROW()-1348)),"")</f>
        <v>Home - PortCastelló</v>
      </c>
      <c r="C1364" s="114" t="str" cm="1">
        <f t="array" ref="C1364">IFERROR(INDEX('03.Muestra'!$F$8:$F$42,SMALL(IF("Página Web"='03.Muestra'!$D$8:$D$42,ROW('03.Muestra'!$F$8:$F$42)-MIN(ROW('03.Muestra'!$D$8:$D$42))+1,""),ROW()-1348)),"")</f>
        <v>https://www.portcastello.com/</v>
      </c>
      <c r="D1364" s="130" t="str">
        <f t="shared" si="71"/>
        <v>N/T</v>
      </c>
      <c r="E1364" s="107" t="str">
        <f t="shared" si="70"/>
        <v/>
      </c>
      <c r="F1364" s="19"/>
      <c r="G1364" s="19"/>
      <c r="H1364" s="19"/>
      <c r="I1364" s="19"/>
      <c r="J1364" s="19"/>
      <c r="K1364" s="233"/>
      <c r="L1364" s="19"/>
    </row>
    <row r="1365" spans="1:12" ht="12" customHeight="1">
      <c r="A1365" s="219" t="n" cm="1">
        <f t="array" ref="A1365">IFERROR(INDEX('03.Muestra'!$B$8:$B$42,SMALL(IF("Página Web"='03.Muestra'!$D$8:$D$42,ROW('03.Muestra'!$B$8:$B$42)-MIN(ROW('03.Muestra'!$D$8:$D$42))+1,""),ROW()-1348)),"")</f>
        <v>1.0</v>
      </c>
      <c r="B1365" s="114" t="str" cm="1">
        <f t="array" ref="B1365">IFERROR(INDEX('03.Muestra'!$C$8:$C$42,SMALL(IF("Página Web"='03.Muestra'!$D$8:$D$42,ROW('03.Muestra'!$C$8:$C$42)-MIN(ROW('03.Muestra'!$D$8:$D$42))+1,""),ROW()-1348)),"")</f>
        <v>Home - PortCastelló</v>
      </c>
      <c r="C1365" s="114" t="str" cm="1">
        <f t="array" ref="C1365">IFERROR(INDEX('03.Muestra'!$F$8:$F$42,SMALL(IF("Página Web"='03.Muestra'!$D$8:$D$42,ROW('03.Muestra'!$F$8:$F$42)-MIN(ROW('03.Muestra'!$D$8:$D$42))+1,""),ROW()-1348)),"")</f>
        <v>https://www.portcastello.com/</v>
      </c>
      <c r="D1365" s="130" t="str">
        <f t="shared" si="71"/>
        <v>N/T</v>
      </c>
      <c r="E1365" s="107" t="str">
        <f t="shared" si="70"/>
        <v/>
      </c>
      <c r="F1365" s="19"/>
      <c r="G1365" s="19"/>
      <c r="H1365" s="19"/>
      <c r="I1365" s="19"/>
      <c r="J1365" s="19"/>
      <c r="K1365" s="233"/>
      <c r="L1365" s="19"/>
    </row>
    <row r="1366" spans="1:12" ht="12" customHeight="1">
      <c r="A1366" s="219" t="n" cm="1">
        <f t="array" ref="A1366">IFERROR(INDEX('03.Muestra'!$B$8:$B$42,SMALL(IF("Página Web"='03.Muestra'!$D$8:$D$42,ROW('03.Muestra'!$B$8:$B$42)-MIN(ROW('03.Muestra'!$D$8:$D$42))+1,""),ROW()-1348)),"")</f>
        <v>1.0</v>
      </c>
      <c r="B1366" s="114" t="str" cm="1">
        <f t="array" ref="B1366">IFERROR(INDEX('03.Muestra'!$C$8:$C$42,SMALL(IF("Página Web"='03.Muestra'!$D$8:$D$42,ROW('03.Muestra'!$C$8:$C$42)-MIN(ROW('03.Muestra'!$D$8:$D$42))+1,""),ROW()-1348)),"")</f>
        <v>Home - PortCastelló</v>
      </c>
      <c r="C1366" s="114" t="str" cm="1">
        <f t="array" ref="C1366">IFERROR(INDEX('03.Muestra'!$F$8:$F$42,SMALL(IF("Página Web"='03.Muestra'!$D$8:$D$42,ROW('03.Muestra'!$F$8:$F$42)-MIN(ROW('03.Muestra'!$D$8:$D$42))+1,""),ROW()-1348)),"")</f>
        <v>https://www.portcastello.com/</v>
      </c>
      <c r="D1366" s="130" t="str">
        <f t="shared" si="71"/>
        <v>N/T</v>
      </c>
      <c r="E1366" s="107" t="str">
        <f t="shared" si="70"/>
        <v/>
      </c>
      <c r="F1366" s="19"/>
      <c r="G1366" s="19"/>
      <c r="H1366" s="19"/>
      <c r="I1366" s="19"/>
      <c r="J1366" s="19"/>
      <c r="K1366" s="233"/>
      <c r="L1366" s="19"/>
    </row>
    <row r="1367" spans="1:12" ht="12" customHeight="1">
      <c r="A1367" s="219" t="n" cm="1">
        <f t="array" ref="A1367">IFERROR(INDEX('03.Muestra'!$B$8:$B$42,SMALL(IF("Página Web"='03.Muestra'!$D$8:$D$42,ROW('03.Muestra'!$B$8:$B$42)-MIN(ROW('03.Muestra'!$D$8:$D$42))+1,""),ROW()-1348)),"")</f>
        <v>1.0</v>
      </c>
      <c r="B1367" s="114" t="str" cm="1">
        <f t="array" ref="B1367">IFERROR(INDEX('03.Muestra'!$C$8:$C$42,SMALL(IF("Página Web"='03.Muestra'!$D$8:$D$42,ROW('03.Muestra'!$C$8:$C$42)-MIN(ROW('03.Muestra'!$D$8:$D$42))+1,""),ROW()-1348)),"")</f>
        <v>Home - PortCastelló</v>
      </c>
      <c r="C1367" s="114" t="str" cm="1">
        <f t="array" ref="C1367">IFERROR(INDEX('03.Muestra'!$F$8:$F$42,SMALL(IF("Página Web"='03.Muestra'!$D$8:$D$42,ROW('03.Muestra'!$F$8:$F$42)-MIN(ROW('03.Muestra'!$D$8:$D$42))+1,""),ROW()-1348)),"")</f>
        <v>https://www.portcastello.com/</v>
      </c>
      <c r="D1367" s="130" t="str">
        <f t="shared" si="71"/>
        <v>N/T</v>
      </c>
      <c r="E1367" s="107" t="str">
        <f t="shared" si="70"/>
        <v/>
      </c>
      <c r="F1367" s="19"/>
      <c r="G1367" s="19"/>
      <c r="H1367" s="19"/>
      <c r="I1367" s="19"/>
      <c r="J1367" s="19"/>
      <c r="K1367" s="233"/>
      <c r="L1367" s="19"/>
    </row>
    <row r="1368" spans="1:12" ht="12" customHeight="1">
      <c r="A1368" s="219" t="n" cm="1">
        <f t="array" ref="A1368">IFERROR(INDEX('03.Muestra'!$B$8:$B$42,SMALL(IF("Página Web"='03.Muestra'!$D$8:$D$42,ROW('03.Muestra'!$B$8:$B$42)-MIN(ROW('03.Muestra'!$D$8:$D$42))+1,""),ROW()-1348)),"")</f>
        <v>1.0</v>
      </c>
      <c r="B1368" s="114" t="str" cm="1">
        <f t="array" ref="B1368">IFERROR(INDEX('03.Muestra'!$C$8:$C$42,SMALL(IF("Página Web"='03.Muestra'!$D$8:$D$42,ROW('03.Muestra'!$C$8:$C$42)-MIN(ROW('03.Muestra'!$D$8:$D$42))+1,""),ROW()-1348)),"")</f>
        <v>Home - PortCastelló</v>
      </c>
      <c r="C1368" s="114" t="str" cm="1">
        <f t="array" ref="C1368">IFERROR(INDEX('03.Muestra'!$F$8:$F$42,SMALL(IF("Página Web"='03.Muestra'!$D$8:$D$42,ROW('03.Muestra'!$F$8:$F$42)-MIN(ROW('03.Muestra'!$D$8:$D$42))+1,""),ROW()-1348)),"")</f>
        <v>https://www.portcastello.com/</v>
      </c>
      <c r="D1368" s="130" t="str">
        <f t="shared" si="71"/>
        <v>N/T</v>
      </c>
      <c r="E1368" s="107" t="str">
        <f t="shared" si="70"/>
        <v/>
      </c>
      <c r="F1368" s="19"/>
      <c r="G1368" s="19"/>
      <c r="H1368" s="19"/>
      <c r="I1368" s="19"/>
      <c r="J1368" s="19"/>
      <c r="K1368" s="233"/>
      <c r="L1368" s="19"/>
    </row>
    <row r="1369" spans="1:12" ht="12" customHeight="1">
      <c r="A1369" s="219" t="n" cm="1">
        <f t="array" ref="A1369">IFERROR(INDEX('03.Muestra'!$B$8:$B$42,SMALL(IF("Página Web"='03.Muestra'!$D$8:$D$42,ROW('03.Muestra'!$B$8:$B$42)-MIN(ROW('03.Muestra'!$D$8:$D$42))+1,""),ROW()-1348)),"")</f>
        <v>1.0</v>
      </c>
      <c r="B1369" s="114" t="str" cm="1">
        <f t="array" ref="B1369">IFERROR(INDEX('03.Muestra'!$C$8:$C$42,SMALL(IF("Página Web"='03.Muestra'!$D$8:$D$42,ROW('03.Muestra'!$C$8:$C$42)-MIN(ROW('03.Muestra'!$D$8:$D$42))+1,""),ROW()-1348)),"")</f>
        <v>Home - PortCastelló</v>
      </c>
      <c r="C1369" s="114" t="str" cm="1">
        <f t="array" ref="C1369">IFERROR(INDEX('03.Muestra'!$F$8:$F$42,SMALL(IF("Página Web"='03.Muestra'!$D$8:$D$42,ROW('03.Muestra'!$F$8:$F$42)-MIN(ROW('03.Muestra'!$D$8:$D$42))+1,""),ROW()-1348)),"")</f>
        <v>https://www.portcastello.com/</v>
      </c>
      <c r="D1369" s="130" t="str">
        <f t="shared" si="71"/>
        <v>N/T</v>
      </c>
      <c r="E1369" s="107" t="str">
        <f t="shared" si="70"/>
        <v/>
      </c>
      <c r="F1369" s="19"/>
      <c r="G1369" s="19"/>
      <c r="H1369" s="19"/>
      <c r="I1369" s="19"/>
      <c r="J1369" s="19"/>
      <c r="K1369" s="233"/>
      <c r="L1369" s="19"/>
    </row>
    <row r="1370" spans="1:12" ht="12" customHeight="1">
      <c r="A1370" s="219" t="n" cm="1">
        <f t="array" ref="A1370">IFERROR(INDEX('03.Muestra'!$B$8:$B$42,SMALL(IF("Página Web"='03.Muestra'!$D$8:$D$42,ROW('03.Muestra'!$B$8:$B$42)-MIN(ROW('03.Muestra'!$D$8:$D$42))+1,""),ROW()-1348)),"")</f>
        <v>1.0</v>
      </c>
      <c r="B1370" s="114" t="str" cm="1">
        <f t="array" ref="B1370">IFERROR(INDEX('03.Muestra'!$C$8:$C$42,SMALL(IF("Página Web"='03.Muestra'!$D$8:$D$42,ROW('03.Muestra'!$C$8:$C$42)-MIN(ROW('03.Muestra'!$D$8:$D$42))+1,""),ROW()-1348)),"")</f>
        <v>Home - PortCastelló</v>
      </c>
      <c r="C1370" s="114" t="str" cm="1">
        <f t="array" ref="C1370">IFERROR(INDEX('03.Muestra'!$F$8:$F$42,SMALL(IF("Página Web"='03.Muestra'!$D$8:$D$42,ROW('03.Muestra'!$F$8:$F$42)-MIN(ROW('03.Muestra'!$D$8:$D$42))+1,""),ROW()-1348)),"")</f>
        <v>https://www.portcastello.com/</v>
      </c>
      <c r="D1370" s="130" t="str">
        <f t="shared" si="71"/>
        <v>N/T</v>
      </c>
      <c r="E1370" s="107" t="str">
        <f t="shared" si="70"/>
        <v/>
      </c>
      <c r="F1370" s="19"/>
      <c r="G1370" s="19"/>
      <c r="H1370" s="19"/>
      <c r="I1370" s="19"/>
      <c r="J1370" s="19"/>
      <c r="K1370" s="233"/>
      <c r="L1370" s="19"/>
    </row>
    <row r="1371" spans="1:12" ht="12" customHeight="1">
      <c r="A1371" s="219" t="n" cm="1">
        <f t="array" ref="A1371">IFERROR(INDEX('03.Muestra'!$B$8:$B$42,SMALL(IF("Página Web"='03.Muestra'!$D$8:$D$42,ROW('03.Muestra'!$B$8:$B$42)-MIN(ROW('03.Muestra'!$D$8:$D$42))+1,""),ROW()-1348)),"")</f>
        <v>1.0</v>
      </c>
      <c r="B1371" s="114" t="str" cm="1">
        <f t="array" ref="B1371">IFERROR(INDEX('03.Muestra'!$C$8:$C$42,SMALL(IF("Página Web"='03.Muestra'!$D$8:$D$42,ROW('03.Muestra'!$C$8:$C$42)-MIN(ROW('03.Muestra'!$D$8:$D$42))+1,""),ROW()-1348)),"")</f>
        <v>Home - PortCastelló</v>
      </c>
      <c r="C1371" s="114" t="str" cm="1">
        <f t="array" ref="C1371">IFERROR(INDEX('03.Muestra'!$F$8:$F$42,SMALL(IF("Página Web"='03.Muestra'!$D$8:$D$42,ROW('03.Muestra'!$F$8:$F$42)-MIN(ROW('03.Muestra'!$D$8:$D$42))+1,""),ROW()-1348)),"")</f>
        <v>https://www.portcastello.com/</v>
      </c>
      <c r="D1371" s="130" t="str">
        <f t="shared" si="71"/>
        <v>N/T</v>
      </c>
      <c r="E1371" s="107" t="str">
        <f t="shared" si="70"/>
        <v/>
      </c>
      <c r="F1371" s="19"/>
      <c r="G1371" s="19"/>
      <c r="H1371" s="19"/>
      <c r="I1371" s="19"/>
      <c r="J1371" s="19"/>
      <c r="K1371" s="233"/>
      <c r="L1371" s="19"/>
    </row>
    <row r="1372" spans="1:12" ht="12" customHeight="1">
      <c r="A1372" s="219" t="n" cm="1">
        <f t="array" ref="A1372">IFERROR(INDEX('03.Muestra'!$B$8:$B$42,SMALL(IF("Página Web"='03.Muestra'!$D$8:$D$42,ROW('03.Muestra'!$B$8:$B$42)-MIN(ROW('03.Muestra'!$D$8:$D$42))+1,""),ROW()-1348)),"")</f>
        <v>1.0</v>
      </c>
      <c r="B1372" s="114" t="str" cm="1">
        <f t="array" ref="B1372">IFERROR(INDEX('03.Muestra'!$C$8:$C$42,SMALL(IF("Página Web"='03.Muestra'!$D$8:$D$42,ROW('03.Muestra'!$C$8:$C$42)-MIN(ROW('03.Muestra'!$D$8:$D$42))+1,""),ROW()-1348)),"")</f>
        <v>Home - PortCastelló</v>
      </c>
      <c r="C1372" s="114" t="str" cm="1">
        <f t="array" ref="C1372">IFERROR(INDEX('03.Muestra'!$F$8:$F$42,SMALL(IF("Página Web"='03.Muestra'!$D$8:$D$42,ROW('03.Muestra'!$F$8:$F$42)-MIN(ROW('03.Muestra'!$D$8:$D$42))+1,""),ROW()-1348)),"")</f>
        <v>https://www.portcastello.com/</v>
      </c>
      <c r="D1372" s="130" t="str">
        <f t="shared" si="71"/>
        <v>N/T</v>
      </c>
      <c r="E1372" s="107" t="str">
        <f t="shared" si="70"/>
        <v/>
      </c>
      <c r="F1372" s="19"/>
      <c r="G1372" s="19"/>
      <c r="H1372" s="19"/>
      <c r="I1372" s="19"/>
      <c r="J1372" s="19"/>
      <c r="K1372" s="233"/>
      <c r="L1372" s="19"/>
    </row>
    <row r="1373" spans="1:12" ht="12" customHeight="1">
      <c r="A1373" s="219" t="n" cm="1">
        <f t="array" ref="A1373">IFERROR(INDEX('03.Muestra'!$B$8:$B$42,SMALL(IF("Página Web"='03.Muestra'!$D$8:$D$42,ROW('03.Muestra'!$B$8:$B$42)-MIN(ROW('03.Muestra'!$D$8:$D$42))+1,""),ROW()-1348)),"")</f>
        <v>1.0</v>
      </c>
      <c r="B1373" s="114" t="str" cm="1">
        <f t="array" ref="B1373">IFERROR(INDEX('03.Muestra'!$C$8:$C$42,SMALL(IF("Página Web"='03.Muestra'!$D$8:$D$42,ROW('03.Muestra'!$C$8:$C$42)-MIN(ROW('03.Muestra'!$D$8:$D$42))+1,""),ROW()-1348)),"")</f>
        <v>Home - PortCastelló</v>
      </c>
      <c r="C1373" s="114" t="str" cm="1">
        <f t="array" ref="C1373">IFERROR(INDEX('03.Muestra'!$F$8:$F$42,SMALL(IF("Página Web"='03.Muestra'!$D$8:$D$42,ROW('03.Muestra'!$F$8:$F$42)-MIN(ROW('03.Muestra'!$D$8:$D$42))+1,""),ROW()-1348)),"")</f>
        <v>https://www.portcastello.com/</v>
      </c>
      <c r="D1373" s="130" t="str">
        <f t="shared" si="71"/>
        <v>N/T</v>
      </c>
      <c r="E1373" s="107" t="str">
        <f t="shared" si="70"/>
        <v/>
      </c>
      <c r="F1373" s="19"/>
      <c r="G1373" s="19"/>
      <c r="H1373" s="19"/>
      <c r="I1373" s="19"/>
      <c r="J1373" s="19"/>
      <c r="K1373" s="233"/>
      <c r="L1373" s="19"/>
    </row>
    <row r="1374" spans="1:12" ht="12" customHeight="1">
      <c r="A1374" s="219" t="n" cm="1">
        <f t="array" ref="A1374">IFERROR(INDEX('03.Muestra'!$B$8:$B$42,SMALL(IF("Página Web"='03.Muestra'!$D$8:$D$42,ROW('03.Muestra'!$B$8:$B$42)-MIN(ROW('03.Muestra'!$D$8:$D$42))+1,""),ROW()-1348)),"")</f>
        <v>1.0</v>
      </c>
      <c r="B1374" s="114" t="str" cm="1">
        <f t="array" ref="B1374">IFERROR(INDEX('03.Muestra'!$C$8:$C$42,SMALL(IF("Página Web"='03.Muestra'!$D$8:$D$42,ROW('03.Muestra'!$C$8:$C$42)-MIN(ROW('03.Muestra'!$D$8:$D$42))+1,""),ROW()-1348)),"")</f>
        <v>Home - PortCastelló</v>
      </c>
      <c r="C1374" s="114" t="str" cm="1">
        <f t="array" ref="C1374">IFERROR(INDEX('03.Muestra'!$F$8:$F$42,SMALL(IF("Página Web"='03.Muestra'!$D$8:$D$42,ROW('03.Muestra'!$F$8:$F$42)-MIN(ROW('03.Muestra'!$D$8:$D$42))+1,""),ROW()-1348)),"")</f>
        <v>https://www.portcastello.com/</v>
      </c>
      <c r="D1374" s="130" t="str">
        <f t="shared" si="71"/>
        <v>N/T</v>
      </c>
      <c r="E1374" s="107" t="str">
        <f t="shared" si="70"/>
        <v/>
      </c>
      <c r="F1374" s="19"/>
      <c r="G1374" s="19"/>
      <c r="H1374" s="19"/>
      <c r="I1374" s="19"/>
      <c r="J1374" s="19"/>
      <c r="K1374" s="233"/>
      <c r="L1374" s="19"/>
    </row>
    <row r="1375" spans="1:12" ht="12" customHeight="1">
      <c r="A1375" s="219" t="n" cm="1">
        <f t="array" ref="A1375">IFERROR(INDEX('03.Muestra'!$B$8:$B$42,SMALL(IF("Página Web"='03.Muestra'!$D$8:$D$42,ROW('03.Muestra'!$B$8:$B$42)-MIN(ROW('03.Muestra'!$D$8:$D$42))+1,""),ROW()-1348)),"")</f>
        <v>1.0</v>
      </c>
      <c r="B1375" s="114" t="str" cm="1">
        <f t="array" ref="B1375">IFERROR(INDEX('03.Muestra'!$C$8:$C$42,SMALL(IF("Página Web"='03.Muestra'!$D$8:$D$42,ROW('03.Muestra'!$C$8:$C$42)-MIN(ROW('03.Muestra'!$D$8:$D$42))+1,""),ROW()-1348)),"")</f>
        <v>Home - PortCastelló</v>
      </c>
      <c r="C1375" s="114" t="str" cm="1">
        <f t="array" ref="C1375">IFERROR(INDEX('03.Muestra'!$F$8:$F$42,SMALL(IF("Página Web"='03.Muestra'!$D$8:$D$42,ROW('03.Muestra'!$F$8:$F$42)-MIN(ROW('03.Muestra'!$D$8:$D$42))+1,""),ROW()-1348)),"")</f>
        <v>https://www.portcastello.com/</v>
      </c>
      <c r="D1375" s="130" t="str">
        <f t="shared" si="71"/>
        <v>N/T</v>
      </c>
      <c r="E1375" s="107" t="str">
        <f t="shared" si="70"/>
        <v/>
      </c>
      <c r="F1375" s="19"/>
      <c r="G1375" s="19"/>
      <c r="H1375" s="19"/>
      <c r="I1375" s="19"/>
      <c r="J1375" s="19"/>
      <c r="K1375" s="233"/>
      <c r="L1375" s="19"/>
    </row>
    <row r="1376" spans="1:12" ht="12" customHeight="1">
      <c r="A1376" s="219" t="n" cm="1">
        <f t="array" ref="A1376">IFERROR(INDEX('03.Muestra'!$B$8:$B$42,SMALL(IF("Página Web"='03.Muestra'!$D$8:$D$42,ROW('03.Muestra'!$B$8:$B$42)-MIN(ROW('03.Muestra'!$D$8:$D$42))+1,""),ROW()-1348)),"")</f>
        <v>1.0</v>
      </c>
      <c r="B1376" s="114" t="str" cm="1">
        <f t="array" ref="B1376">IFERROR(INDEX('03.Muestra'!$C$8:$C$42,SMALL(IF("Página Web"='03.Muestra'!$D$8:$D$42,ROW('03.Muestra'!$C$8:$C$42)-MIN(ROW('03.Muestra'!$D$8:$D$42))+1,""),ROW()-1348)),"")</f>
        <v>Home - PortCastelló</v>
      </c>
      <c r="C1376" s="114" t="str" cm="1">
        <f t="array" ref="C1376">IFERROR(INDEX('03.Muestra'!$F$8:$F$42,SMALL(IF("Página Web"='03.Muestra'!$D$8:$D$42,ROW('03.Muestra'!$F$8:$F$42)-MIN(ROW('03.Muestra'!$D$8:$D$42))+1,""),ROW()-1348)),"")</f>
        <v>https://www.portcastello.com/</v>
      </c>
      <c r="D1376" s="130" t="str">
        <f t="shared" si="71"/>
        <v>N/T</v>
      </c>
      <c r="E1376" s="107" t="str">
        <f t="shared" si="70"/>
        <v/>
      </c>
      <c r="G1376" s="19"/>
      <c r="H1376" s="19"/>
      <c r="I1376" s="19"/>
      <c r="J1376" s="19"/>
      <c r="K1376" s="233"/>
      <c r="L1376" s="19"/>
    </row>
    <row r="1377" spans="1:12" ht="12" customHeight="1">
      <c r="A1377" s="219" t="n" cm="1">
        <f t="array" ref="A1377">IFERROR(INDEX('03.Muestra'!$B$8:$B$42,SMALL(IF("Página Web"='03.Muestra'!$D$8:$D$42,ROW('03.Muestra'!$B$8:$B$42)-MIN(ROW('03.Muestra'!$D$8:$D$42))+1,""),ROW()-1348)),"")</f>
        <v>1.0</v>
      </c>
      <c r="B1377" s="114" t="str" cm="1">
        <f t="array" ref="B1377">IFERROR(INDEX('03.Muestra'!$C$8:$C$42,SMALL(IF("Página Web"='03.Muestra'!$D$8:$D$42,ROW('03.Muestra'!$C$8:$C$42)-MIN(ROW('03.Muestra'!$D$8:$D$42))+1,""),ROW()-1348)),"")</f>
        <v>Home - PortCastelló</v>
      </c>
      <c r="C1377" s="114" t="str" cm="1">
        <f t="array" ref="C1377">IFERROR(INDEX('03.Muestra'!$F$8:$F$42,SMALL(IF("Página Web"='03.Muestra'!$D$8:$D$42,ROW('03.Muestra'!$F$8:$F$42)-MIN(ROW('03.Muestra'!$D$8:$D$42))+1,""),ROW()-1348)),"")</f>
        <v>https://www.portcastello.com/</v>
      </c>
      <c r="D1377" s="130" t="str">
        <f t="shared" si="71"/>
        <v>N/T</v>
      </c>
      <c r="E1377" s="107" t="str">
        <f t="shared" si="70"/>
        <v/>
      </c>
      <c r="G1377" s="19"/>
      <c r="H1377" s="19"/>
      <c r="I1377" s="19"/>
      <c r="J1377" s="19"/>
      <c r="K1377" s="233"/>
      <c r="L1377" s="19"/>
    </row>
    <row r="1378" spans="1:12" ht="12" customHeight="1">
      <c r="A1378" s="219" t="n" cm="1">
        <f t="array" ref="A1378">IFERROR(INDEX('03.Muestra'!$B$8:$B$42,SMALL(IF("Página Web"='03.Muestra'!$D$8:$D$42,ROW('03.Muestra'!$B$8:$B$42)-MIN(ROW('03.Muestra'!$D$8:$D$42))+1,""),ROW()-1348)),"")</f>
        <v>1.0</v>
      </c>
      <c r="B1378" s="114" t="str" cm="1">
        <f t="array" ref="B1378">IFERROR(INDEX('03.Muestra'!$C$8:$C$42,SMALL(IF("Página Web"='03.Muestra'!$D$8:$D$42,ROW('03.Muestra'!$C$8:$C$42)-MIN(ROW('03.Muestra'!$D$8:$D$42))+1,""),ROW()-1348)),"")</f>
        <v>Home - PortCastelló</v>
      </c>
      <c r="C1378" s="114" t="str" cm="1">
        <f t="array" ref="C1378">IFERROR(INDEX('03.Muestra'!$F$8:$F$42,SMALL(IF("Página Web"='03.Muestra'!$D$8:$D$42,ROW('03.Muestra'!$F$8:$F$42)-MIN(ROW('03.Muestra'!$D$8:$D$42))+1,""),ROW()-1348)),"")</f>
        <v>https://www.portcastello.com/</v>
      </c>
      <c r="D1378" s="130" t="str">
        <f t="shared" si="71"/>
        <v>N/T</v>
      </c>
      <c r="E1378" s="107" t="str">
        <f t="shared" si="70"/>
        <v/>
      </c>
      <c r="G1378" s="19"/>
      <c r="H1378" s="19"/>
      <c r="I1378" s="19"/>
      <c r="J1378" s="19"/>
      <c r="K1378" s="233"/>
      <c r="L1378" s="19"/>
    </row>
    <row r="1379" spans="1:12" ht="12" customHeight="1">
      <c r="A1379" s="219" t="n" cm="1">
        <f t="array" ref="A1379">IFERROR(INDEX('03.Muestra'!$B$8:$B$42,SMALL(IF("Página Web"='03.Muestra'!$D$8:$D$42,ROW('03.Muestra'!$B$8:$B$42)-MIN(ROW('03.Muestra'!$D$8:$D$42))+1,""),ROW()-1348)),"")</f>
        <v>1.0</v>
      </c>
      <c r="B1379" s="114" t="str" cm="1">
        <f t="array" ref="B1379">IFERROR(INDEX('03.Muestra'!$C$8:$C$42,SMALL(IF("Página Web"='03.Muestra'!$D$8:$D$42,ROW('03.Muestra'!$C$8:$C$42)-MIN(ROW('03.Muestra'!$D$8:$D$42))+1,""),ROW()-1348)),"")</f>
        <v>Home - PortCastelló</v>
      </c>
      <c r="C1379" s="114" t="str" cm="1">
        <f t="array" ref="C1379">IFERROR(INDEX('03.Muestra'!$F$8:$F$42,SMALL(IF("Página Web"='03.Muestra'!$D$8:$D$42,ROW('03.Muestra'!$F$8:$F$42)-MIN(ROW('03.Muestra'!$D$8:$D$42))+1,""),ROW()-1348)),"")</f>
        <v>https://www.portcastello.com/</v>
      </c>
      <c r="D1379" s="130" t="str">
        <f t="shared" si="71"/>
        <v>N/T</v>
      </c>
      <c r="E1379" s="107" t="str">
        <f t="shared" si="70"/>
        <v/>
      </c>
      <c r="F1379" s="124"/>
      <c r="G1379" s="19"/>
      <c r="H1379" s="19"/>
      <c r="I1379" s="19"/>
      <c r="J1379" s="19"/>
      <c r="K1379" s="233"/>
      <c r="L1379" s="19"/>
    </row>
    <row r="1380" spans="1:12" ht="12" customHeight="1">
      <c r="A1380" s="219" t="n" cm="1">
        <f t="array" ref="A1380">IFERROR(INDEX('03.Muestra'!$B$8:$B$42,SMALL(IF("Página Web"='03.Muestra'!$D$8:$D$42,ROW('03.Muestra'!$B$8:$B$42)-MIN(ROW('03.Muestra'!$D$8:$D$42))+1,""),ROW()-1348)),"")</f>
        <v>1.0</v>
      </c>
      <c r="B1380" s="114" t="str" cm="1">
        <f t="array" ref="B1380">IFERROR(INDEX('03.Muestra'!$C$8:$C$42,SMALL(IF("Página Web"='03.Muestra'!$D$8:$D$42,ROW('03.Muestra'!$C$8:$C$42)-MIN(ROW('03.Muestra'!$D$8:$D$42))+1,""),ROW()-1348)),"")</f>
        <v>Home - PortCastelló</v>
      </c>
      <c r="C1380" s="114" t="str" cm="1">
        <f t="array" ref="C1380">IFERROR(INDEX('03.Muestra'!$F$8:$F$42,SMALL(IF("Página Web"='03.Muestra'!$D$8:$D$42,ROW('03.Muestra'!$F$8:$F$42)-MIN(ROW('03.Muestra'!$D$8:$D$42))+1,""),ROW()-1348)),"")</f>
        <v>https://www.portcastello.com/</v>
      </c>
      <c r="D1380" s="130" t="str">
        <f t="shared" si="71"/>
        <v>N/T</v>
      </c>
      <c r="E1380" s="107" t="str">
        <f t="shared" si="70"/>
        <v/>
      </c>
      <c r="F1380" s="124"/>
      <c r="G1380" s="19"/>
      <c r="H1380" s="19"/>
      <c r="I1380" s="19"/>
      <c r="J1380" s="19"/>
      <c r="K1380" s="233"/>
      <c r="L1380" s="19"/>
    </row>
    <row r="1381" spans="1:12" ht="12" customHeight="1">
      <c r="A1381" s="219" t="n" cm="1">
        <f t="array" ref="A1381">IFERROR(INDEX('03.Muestra'!$B$8:$B$42,SMALL(IF("Página Web"='03.Muestra'!$D$8:$D$42,ROW('03.Muestra'!$B$8:$B$42)-MIN(ROW('03.Muestra'!$D$8:$D$42))+1,""),ROW()-1348)),"")</f>
        <v>1.0</v>
      </c>
      <c r="B1381" s="114" t="str" cm="1">
        <f t="array" ref="B1381">IFERROR(INDEX('03.Muestra'!$C$8:$C$42,SMALL(IF("Página Web"='03.Muestra'!$D$8:$D$42,ROW('03.Muestra'!$C$8:$C$42)-MIN(ROW('03.Muestra'!$D$8:$D$42))+1,""),ROW()-1348)),"")</f>
        <v>Home - PortCastelló</v>
      </c>
      <c r="C1381" s="114" t="str" cm="1">
        <f t="array" ref="C1381">IFERROR(INDEX('03.Muestra'!$F$8:$F$42,SMALL(IF("Página Web"='03.Muestra'!$D$8:$D$42,ROW('03.Muestra'!$F$8:$F$42)-MIN(ROW('03.Muestra'!$D$8:$D$42))+1,""),ROW()-1348)),"")</f>
        <v>https://www.portcastello.com/</v>
      </c>
      <c r="D1381" s="130" t="str">
        <f t="shared" si="71"/>
        <v>N/T</v>
      </c>
      <c r="E1381" s="107" t="str">
        <f t="shared" si="70"/>
        <v/>
      </c>
      <c r="F1381" s="124"/>
      <c r="G1381" s="19"/>
      <c r="H1381" s="19"/>
      <c r="I1381" s="19"/>
      <c r="J1381" s="19"/>
      <c r="K1381" s="233"/>
      <c r="L1381" s="19"/>
    </row>
    <row r="1382" spans="1:12" ht="12" customHeight="1">
      <c r="A1382" s="219" t="str" cm="1">
        <f t="array" ref="A1382">IFERROR(INDEX('03.Muestra'!$B$8:$B$42,SMALL(IF("Página Web"='03.Muestra'!$D$8:$D$42,ROW('03.Muestra'!$B$8:$B$42)-MIN(ROW('03.Muestra'!$D$8:$D$42))+1,""),ROW()-1348)),"")</f>
        <v/>
      </c>
      <c r="B1382" s="114" t="str" cm="1">
        <f t="array" ref="B1382">IFERROR(INDEX('03.Muestra'!$C$8:$C$42,SMALL(IF("Página Web"='03.Muestra'!$D$8:$D$42,ROW('03.Muestra'!$C$8:$C$42)-MIN(ROW('03.Muestra'!$D$8:$D$42))+1,""),ROW()-1348)),"")</f>
        <v/>
      </c>
      <c r="C1382" s="114" t="str" cm="1">
        <f t="array" ref="C1382">IFERROR(INDEX('03.Muestra'!$F$8:$F$42,SMALL(IF("Página Web"='03.Muestra'!$D$8:$D$42,ROW('03.Muestra'!$F$8:$F$42)-MIN(ROW('03.Muestra'!$D$8:$D$42))+1,""),ROW()-1348)),"")</f>
        <v/>
      </c>
      <c r="D1382" s="130" t="str">
        <f t="shared" si="71"/>
        <v/>
      </c>
      <c r="E1382" s="107" t="str">
        <f t="shared" si="70"/>
        <v/>
      </c>
      <c r="F1382" s="124"/>
      <c r="G1382" s="19"/>
      <c r="H1382" s="19"/>
      <c r="I1382" s="19"/>
      <c r="J1382" s="19"/>
      <c r="K1382" s="233"/>
      <c r="L1382" s="19"/>
    </row>
    <row r="1383" spans="1:12" ht="12" customHeight="1">
      <c r="A1383" s="219" t="str" cm="1">
        <f t="array" ref="A1383">IFERROR(INDEX('03.Muestra'!$B$8:$B$42,SMALL(IF("Página Web"='03.Muestra'!$D$8:$D$42,ROW('03.Muestra'!$B$8:$B$42)-MIN(ROW('03.Muestra'!$D$8:$D$42))+1,""),ROW()-1348)),"")</f>
        <v/>
      </c>
      <c r="B1383" s="114" t="str" cm="1">
        <f t="array" ref="B1383">IFERROR(INDEX('03.Muestra'!$C$8:$C$42,SMALL(IF("Página Web"='03.Muestra'!$D$8:$D$42,ROW('03.Muestra'!$C$8:$C$42)-MIN(ROW('03.Muestra'!$D$8:$D$42))+1,""),ROW()-1348)),"")</f>
        <v/>
      </c>
      <c r="C1383" s="114" t="str" cm="1">
        <f t="array" ref="C1383">IFERROR(INDEX('03.Muestra'!$F$8:$F$42,SMALL(IF("Página Web"='03.Muestra'!$D$8:$D$42,ROW('03.Muestra'!$F$8:$F$42)-MIN(ROW('03.Muestra'!$D$8:$D$42))+1,""),ROW()-1348)),"")</f>
        <v/>
      </c>
      <c r="D1383" s="130" t="str">
        <f t="shared" si="71"/>
        <v/>
      </c>
      <c r="E1383" s="107" t="str">
        <f t="shared" si="70"/>
        <v/>
      </c>
      <c r="F1383" s="19"/>
      <c r="G1383" s="19"/>
      <c r="H1383" s="19"/>
      <c r="I1383" s="19"/>
      <c r="J1383" s="19"/>
      <c r="K1383" s="233"/>
      <c r="L1383" s="19"/>
    </row>
    <row r="1384" spans="1:12" ht="12" customHeight="1">
      <c r="B1384" s="126"/>
      <c r="C1384" s="19"/>
      <c r="D1384" s="107"/>
      <c r="E1384" s="19"/>
      <c r="F1384" s="19"/>
      <c r="G1384" s="19"/>
      <c r="H1384" s="19"/>
      <c r="I1384" s="19"/>
      <c r="J1384" s="19"/>
      <c r="K1384" s="233"/>
      <c r="L1384" s="19"/>
    </row>
    <row r="1385" spans="1:12" ht="12" customHeight="1">
      <c r="B1385" s="19"/>
      <c r="C1385" s="19"/>
      <c r="D1385" s="107"/>
      <c r="E1385" s="112"/>
      <c r="K1385" s="233"/>
      <c r="L1385" s="19"/>
    </row>
    <row r="1386" spans="1:12" ht="29.25" customHeight="1">
      <c r="A1386" s="218" t="s">
        <v>268</v>
      </c>
      <c r="B1386" s="24" t="s">
        <v>90</v>
      </c>
      <c r="C1386" s="25" t="s">
        <v>409</v>
      </c>
      <c r="D1386" s="26" t="s">
        <v>32</v>
      </c>
      <c r="E1386" s="123"/>
      <c r="K1386" s="233"/>
      <c r="L1386" s="19"/>
    </row>
    <row r="1387" spans="1:12" ht="12" customHeight="1">
      <c r="A1387" s="219" t="n" cm="1">
        <f t="array" ref="A1387">IFERROR(INDEX('03.Muestra'!$B$8:$B$42,SMALL(IF("Página Web"='03.Muestra'!$D$8:$D$42,ROW('03.Muestra'!$B$8:$B$42)-MIN(ROW('03.Muestra'!$D$8:$D$42))+1,""),ROW()-1386)),"")</f>
        <v>1.0</v>
      </c>
      <c r="B1387" s="114" t="str" cm="1">
        <f t="array" ref="B1387">IFERROR(INDEX('03.Muestra'!$C$8:$C$42,SMALL(IF("Página Web"='03.Muestra'!$D$8:$D$42,ROW('03.Muestra'!$C$8:$C$42)-MIN(ROW('03.Muestra'!$D$8:$D$42))+1,""),ROW()-1386)),"")</f>
        <v>Home - PortCastelló</v>
      </c>
      <c r="C1387" s="114" t="str" cm="1">
        <f t="array" ref="C1387">IFERROR(INDEX('03.Muestra'!$F$8:$F$42,SMALL(IF("Página Web"='03.Muestra'!$D$8:$D$42,ROW('03.Muestra'!$F$8:$F$42)-MIN(ROW('03.Muestra'!$D$8:$D$42))+1,""),ROW()-1386)),"")</f>
        <v>https://www.portcastello.com/</v>
      </c>
      <c r="D1387" s="130" t="s">
        <v>37</v>
      </c>
      <c r="E1387" s="107" t="str">
        <f t="shared" ref="E1387:E1421" si="72">IF(D1387&lt;&gt;"",IF(AND(B1387&lt;&gt;"",C1387&lt;&gt;""),"","ERR"),"")</f>
        <v/>
      </c>
      <c r="F1387" s="115" t="s">
        <v>33</v>
      </c>
      <c r="G1387" s="116" t="s">
        <v>37</v>
      </c>
      <c r="H1387" s="117" t="s">
        <v>35</v>
      </c>
      <c r="I1387" s="118" t="s">
        <v>28</v>
      </c>
      <c r="J1387" s="119" t="s">
        <v>26</v>
      </c>
      <c r="K1387" s="226" t="s">
        <v>474</v>
      </c>
      <c r="L1387" s="19"/>
    </row>
    <row r="1388" spans="1:12" ht="12" customHeight="1">
      <c r="A1388" s="219" t="n" cm="1">
        <f t="array" ref="A1388">IFERROR(INDEX('03.Muestra'!$B$8:$B$42,SMALL(IF("Página Web"='03.Muestra'!$D$8:$D$42,ROW('03.Muestra'!$B$8:$B$42)-MIN(ROW('03.Muestra'!$D$8:$D$42))+1,""),ROW()-1386)),"")</f>
        <v>1.0</v>
      </c>
      <c r="B1388" s="114" t="str" cm="1">
        <f t="array" ref="B1388">IFERROR(INDEX('03.Muestra'!$C$8:$C$42,SMALL(IF("Página Web"='03.Muestra'!$D$8:$D$42,ROW('03.Muestra'!$C$8:$C$42)-MIN(ROW('03.Muestra'!$D$8:$D$42))+1,""),ROW()-1386)),"")</f>
        <v>Home - PortCastelló</v>
      </c>
      <c r="C1388" s="114" t="str" cm="1">
        <f t="array" ref="C1388">IFERROR(INDEX('03.Muestra'!$F$8:$F$42,SMALL(IF("Página Web"='03.Muestra'!$D$8:$D$42,ROW('03.Muestra'!$F$8:$F$42)-MIN(ROW('03.Muestra'!$D$8:$D$42))+1,""),ROW()-1386)),"")</f>
        <v>https://www.portcastello.com/</v>
      </c>
      <c r="D1388" s="130" t="s">
        <v>37</v>
      </c>
      <c r="E1388" s="107" t="str">
        <f t="shared" si="72"/>
        <v/>
      </c>
      <c r="F1388" s="120" t="n">
        <f ca="1">COUNTIF($D1387:INDIRECT("$D" &amp;  SUM(ROW()-1,'03.Muestra'!$D$45)-1),F1387)</f>
        <v>0.0</v>
      </c>
      <c r="G1388" s="120" t="n">
        <f ca="1">COUNTIF($D1387:INDIRECT("$D" &amp;  SUM(ROW()-1,'03.Muestra'!$D$45)-1),G1387)</f>
        <v>33.0</v>
      </c>
      <c r="H1388" s="120" t="n">
        <f ca="1">COUNTIF($D1387:INDIRECT("$D" &amp;  SUM(ROW()-1,'03.Muestra'!$D$45)-1),H1387)</f>
        <v>0.0</v>
      </c>
      <c r="I1388" s="120" t="n">
        <f ca="1">COUNTIF($D1387:INDIRECT("$D" &amp;  SUM(ROW()-1,'03.Muestra'!$D$45)-1),I1387)</f>
        <v>0.0</v>
      </c>
      <c r="J1388" s="120" t="n">
        <f ca="1">COUNTIF($D1387:INDIRECT("$D" &amp;  SUM(ROW()-1,'03.Muestra'!$D$45)-1),J1387)</f>
        <v>0.0</v>
      </c>
      <c r="K1388" s="227" t="n">
        <f ca="1">IF(COUNTIF('03.Muestra'!$D$8:$D$42,"Página Web")=0,0,COUNTBLANK($D1387:INDIRECT("$D" &amp;  SUM(ROW()-1,COUNTIF('03.Muestra'!$D$8:$D$42,"Página Web"))-1)))</f>
        <v>0.0</v>
      </c>
      <c r="L1388" s="19"/>
    </row>
    <row r="1389" spans="1:12" ht="12" customHeight="1">
      <c r="A1389" s="219" t="n" cm="1">
        <f t="array" ref="A1389">IFERROR(INDEX('03.Muestra'!$B$8:$B$42,SMALL(IF("Página Web"='03.Muestra'!$D$8:$D$42,ROW('03.Muestra'!$B$8:$B$42)-MIN(ROW('03.Muestra'!$D$8:$D$42))+1,""),ROW()-1386)),"")</f>
        <v>1.0</v>
      </c>
      <c r="B1389" s="114" t="str" cm="1">
        <f t="array" ref="B1389">IFERROR(INDEX('03.Muestra'!$C$8:$C$42,SMALL(IF("Página Web"='03.Muestra'!$D$8:$D$42,ROW('03.Muestra'!$C$8:$C$42)-MIN(ROW('03.Muestra'!$D$8:$D$42))+1,""),ROW()-1386)),"")</f>
        <v>Home - PortCastelló</v>
      </c>
      <c r="C1389" s="114" t="str" cm="1">
        <f t="array" ref="C1389">IFERROR(INDEX('03.Muestra'!$F$8:$F$42,SMALL(IF("Página Web"='03.Muestra'!$D$8:$D$42,ROW('03.Muestra'!$F$8:$F$42)-MIN(ROW('03.Muestra'!$D$8:$D$42))+1,""),ROW()-1386)),"")</f>
        <v>https://www.portcastello.com/</v>
      </c>
      <c r="D1389" s="130" t="s">
        <v>37</v>
      </c>
      <c r="E1389" s="107" t="str">
        <f t="shared" si="72"/>
        <v/>
      </c>
      <c r="F1389" s="19"/>
      <c r="G1389" s="19"/>
      <c r="H1389" s="19"/>
      <c r="I1389" s="19"/>
      <c r="J1389" s="19"/>
      <c r="K1389" s="233"/>
      <c r="L1389" s="19"/>
    </row>
    <row r="1390" spans="1:12" ht="12" customHeight="1">
      <c r="A1390" s="219" t="n" cm="1">
        <f t="array" ref="A1390">IFERROR(INDEX('03.Muestra'!$B$8:$B$42,SMALL(IF("Página Web"='03.Muestra'!$D$8:$D$42,ROW('03.Muestra'!$B$8:$B$42)-MIN(ROW('03.Muestra'!$D$8:$D$42))+1,""),ROW()-1386)),"")</f>
        <v>1.0</v>
      </c>
      <c r="B1390" s="114" t="str" cm="1">
        <f t="array" ref="B1390">IFERROR(INDEX('03.Muestra'!$C$8:$C$42,SMALL(IF("Página Web"='03.Muestra'!$D$8:$D$42,ROW('03.Muestra'!$C$8:$C$42)-MIN(ROW('03.Muestra'!$D$8:$D$42))+1,""),ROW()-1386)),"")</f>
        <v>Home - PortCastelló</v>
      </c>
      <c r="C1390" s="114" t="str" cm="1">
        <f t="array" ref="C1390">IFERROR(INDEX('03.Muestra'!$F$8:$F$42,SMALL(IF("Página Web"='03.Muestra'!$D$8:$D$42,ROW('03.Muestra'!$F$8:$F$42)-MIN(ROW('03.Muestra'!$D$8:$D$42))+1,""),ROW()-1386)),"")</f>
        <v>https://www.portcastello.com/</v>
      </c>
      <c r="D1390" s="130" t="s">
        <v>37</v>
      </c>
      <c r="E1390" s="107" t="str">
        <f t="shared" si="72"/>
        <v/>
      </c>
      <c r="F1390" s="19"/>
      <c r="G1390" s="19"/>
      <c r="H1390" s="19"/>
      <c r="I1390" s="19"/>
      <c r="K1390" s="234"/>
      <c r="L1390" s="19"/>
    </row>
    <row r="1391" spans="1:12" ht="12" customHeight="1">
      <c r="A1391" s="219" t="n" cm="1">
        <f t="array" ref="A1391">IFERROR(INDEX('03.Muestra'!$B$8:$B$42,SMALL(IF("Página Web"='03.Muestra'!$D$8:$D$42,ROW('03.Muestra'!$B$8:$B$42)-MIN(ROW('03.Muestra'!$D$8:$D$42))+1,""),ROW()-1386)),"")</f>
        <v>1.0</v>
      </c>
      <c r="B1391" s="114" t="str" cm="1">
        <f t="array" ref="B1391">IFERROR(INDEX('03.Muestra'!$C$8:$C$42,SMALL(IF("Página Web"='03.Muestra'!$D$8:$D$42,ROW('03.Muestra'!$C$8:$C$42)-MIN(ROW('03.Muestra'!$D$8:$D$42))+1,""),ROW()-1386)),"")</f>
        <v>Home - PortCastelló</v>
      </c>
      <c r="C1391" s="114" t="str" cm="1">
        <f t="array" ref="C1391">IFERROR(INDEX('03.Muestra'!$F$8:$F$42,SMALL(IF("Página Web"='03.Muestra'!$D$8:$D$42,ROW('03.Muestra'!$F$8:$F$42)-MIN(ROW('03.Muestra'!$D$8:$D$42))+1,""),ROW()-1386)),"")</f>
        <v>https://www.portcastello.com/</v>
      </c>
      <c r="D1391" s="130" t="s">
        <v>37</v>
      </c>
      <c r="E1391" s="107" t="str">
        <f t="shared" si="72"/>
        <v/>
      </c>
      <c r="F1391" s="122"/>
      <c r="G1391" s="19"/>
      <c r="H1391" s="19"/>
      <c r="I1391" s="19"/>
      <c r="K1391" s="234"/>
      <c r="L1391" s="19"/>
    </row>
    <row r="1392" spans="1:12" ht="12" customHeight="1">
      <c r="A1392" s="219" t="n" cm="1">
        <f t="array" ref="A1392">IFERROR(INDEX('03.Muestra'!$B$8:$B$42,SMALL(IF("Página Web"='03.Muestra'!$D$8:$D$42,ROW('03.Muestra'!$B$8:$B$42)-MIN(ROW('03.Muestra'!$D$8:$D$42))+1,""),ROW()-1386)),"")</f>
        <v>1.0</v>
      </c>
      <c r="B1392" s="114" t="str" cm="1">
        <f t="array" ref="B1392">IFERROR(INDEX('03.Muestra'!$C$8:$C$42,SMALL(IF("Página Web"='03.Muestra'!$D$8:$D$42,ROW('03.Muestra'!$C$8:$C$42)-MIN(ROW('03.Muestra'!$D$8:$D$42))+1,""),ROW()-1386)),"")</f>
        <v>Home - PortCastelló</v>
      </c>
      <c r="C1392" s="114" t="str" cm="1">
        <f t="array" ref="C1392">IFERROR(INDEX('03.Muestra'!$F$8:$F$42,SMALL(IF("Página Web"='03.Muestra'!$D$8:$D$42,ROW('03.Muestra'!$F$8:$F$42)-MIN(ROW('03.Muestra'!$D$8:$D$42))+1,""),ROW()-1386)),"")</f>
        <v>https://www.portcastello.com/</v>
      </c>
      <c r="D1392" s="130" t="s">
        <v>37</v>
      </c>
      <c r="E1392" s="107" t="str">
        <f t="shared" si="72"/>
        <v/>
      </c>
      <c r="F1392" s="19"/>
      <c r="G1392" s="19"/>
      <c r="H1392" s="19"/>
      <c r="I1392" s="19"/>
      <c r="K1392" s="234"/>
      <c r="L1392" s="19"/>
    </row>
    <row r="1393" spans="1:12" ht="12" customHeight="1">
      <c r="A1393" s="219" t="n" cm="1">
        <f t="array" ref="A1393">IFERROR(INDEX('03.Muestra'!$B$8:$B$42,SMALL(IF("Página Web"='03.Muestra'!$D$8:$D$42,ROW('03.Muestra'!$B$8:$B$42)-MIN(ROW('03.Muestra'!$D$8:$D$42))+1,""),ROW()-1386)),"")</f>
        <v>1.0</v>
      </c>
      <c r="B1393" s="114" t="str" cm="1">
        <f t="array" ref="B1393">IFERROR(INDEX('03.Muestra'!$C$8:$C$42,SMALL(IF("Página Web"='03.Muestra'!$D$8:$D$42,ROW('03.Muestra'!$C$8:$C$42)-MIN(ROW('03.Muestra'!$D$8:$D$42))+1,""),ROW()-1386)),"")</f>
        <v>Home - PortCastelló</v>
      </c>
      <c r="C1393" s="114" t="str" cm="1">
        <f t="array" ref="C1393">IFERROR(INDEX('03.Muestra'!$F$8:$F$42,SMALL(IF("Página Web"='03.Muestra'!$D$8:$D$42,ROW('03.Muestra'!$F$8:$F$42)-MIN(ROW('03.Muestra'!$D$8:$D$42))+1,""),ROW()-1386)),"")</f>
        <v>https://www.portcastello.com/</v>
      </c>
      <c r="D1393" s="130" t="s">
        <v>37</v>
      </c>
      <c r="E1393" s="107" t="str">
        <f t="shared" si="72"/>
        <v/>
      </c>
      <c r="F1393" s="19"/>
      <c r="G1393" s="19"/>
      <c r="H1393" s="19"/>
      <c r="I1393" s="19"/>
      <c r="K1393" s="234"/>
      <c r="L1393" s="19"/>
    </row>
    <row r="1394" spans="1:12" ht="12" customHeight="1">
      <c r="A1394" s="219" t="n" cm="1">
        <f t="array" ref="A1394">IFERROR(INDEX('03.Muestra'!$B$8:$B$42,SMALL(IF("Página Web"='03.Muestra'!$D$8:$D$42,ROW('03.Muestra'!$B$8:$B$42)-MIN(ROW('03.Muestra'!$D$8:$D$42))+1,""),ROW()-1386)),"")</f>
        <v>1.0</v>
      </c>
      <c r="B1394" s="114" t="str" cm="1">
        <f t="array" ref="B1394">IFERROR(INDEX('03.Muestra'!$C$8:$C$42,SMALL(IF("Página Web"='03.Muestra'!$D$8:$D$42,ROW('03.Muestra'!$C$8:$C$42)-MIN(ROW('03.Muestra'!$D$8:$D$42))+1,""),ROW()-1386)),"")</f>
        <v>Home - PortCastelló</v>
      </c>
      <c r="C1394" s="114" t="str" cm="1">
        <f t="array" ref="C1394">IFERROR(INDEX('03.Muestra'!$F$8:$F$42,SMALL(IF("Página Web"='03.Muestra'!$D$8:$D$42,ROW('03.Muestra'!$F$8:$F$42)-MIN(ROW('03.Muestra'!$D$8:$D$42))+1,""),ROW()-1386)),"")</f>
        <v>https://www.portcastello.com/</v>
      </c>
      <c r="D1394" s="130" t="s">
        <v>37</v>
      </c>
      <c r="E1394" s="107" t="str">
        <f t="shared" si="72"/>
        <v/>
      </c>
      <c r="F1394" s="19"/>
      <c r="G1394" s="19"/>
      <c r="H1394" s="19"/>
      <c r="I1394" s="19"/>
      <c r="J1394" s="19"/>
      <c r="K1394" s="233"/>
      <c r="L1394" s="19"/>
    </row>
    <row r="1395" spans="1:12" ht="12" customHeight="1">
      <c r="A1395" s="219" t="n" cm="1">
        <f t="array" ref="A1395">IFERROR(INDEX('03.Muestra'!$B$8:$B$42,SMALL(IF("Página Web"='03.Muestra'!$D$8:$D$42,ROW('03.Muestra'!$B$8:$B$42)-MIN(ROW('03.Muestra'!$D$8:$D$42))+1,""),ROW()-1386)),"")</f>
        <v>1.0</v>
      </c>
      <c r="B1395" s="114" t="str" cm="1">
        <f t="array" ref="B1395">IFERROR(INDEX('03.Muestra'!$C$8:$C$42,SMALL(IF("Página Web"='03.Muestra'!$D$8:$D$42,ROW('03.Muestra'!$C$8:$C$42)-MIN(ROW('03.Muestra'!$D$8:$D$42))+1,""),ROW()-1386)),"")</f>
        <v>Home - PortCastelló</v>
      </c>
      <c r="C1395" s="114" t="str" cm="1">
        <f t="array" ref="C1395">IFERROR(INDEX('03.Muestra'!$F$8:$F$42,SMALL(IF("Página Web"='03.Muestra'!$D$8:$D$42,ROW('03.Muestra'!$F$8:$F$42)-MIN(ROW('03.Muestra'!$D$8:$D$42))+1,""),ROW()-1386)),"")</f>
        <v>https://www.portcastello.com/</v>
      </c>
      <c r="D1395" s="130" t="s">
        <v>37</v>
      </c>
      <c r="E1395" s="107" t="str">
        <f t="shared" si="72"/>
        <v/>
      </c>
      <c r="F1395" s="19"/>
      <c r="G1395" s="19"/>
      <c r="H1395" s="19"/>
      <c r="I1395" s="19"/>
      <c r="J1395" s="19"/>
      <c r="K1395" s="233"/>
      <c r="L1395" s="19"/>
    </row>
    <row r="1396" spans="1:12" ht="12" customHeight="1">
      <c r="A1396" s="219" t="n" cm="1">
        <f t="array" ref="A1396">IFERROR(INDEX('03.Muestra'!$B$8:$B$42,SMALL(IF("Página Web"='03.Muestra'!$D$8:$D$42,ROW('03.Muestra'!$B$8:$B$42)-MIN(ROW('03.Muestra'!$D$8:$D$42))+1,""),ROW()-1386)),"")</f>
        <v>1.0</v>
      </c>
      <c r="B1396" s="114" t="str" cm="1">
        <f t="array" ref="B1396">IFERROR(INDEX('03.Muestra'!$C$8:$C$42,SMALL(IF("Página Web"='03.Muestra'!$D$8:$D$42,ROW('03.Muestra'!$C$8:$C$42)-MIN(ROW('03.Muestra'!$D$8:$D$42))+1,""),ROW()-1386)),"")</f>
        <v>Home - PortCastelló</v>
      </c>
      <c r="C1396" s="114" t="str" cm="1">
        <f t="array" ref="C1396">IFERROR(INDEX('03.Muestra'!$F$8:$F$42,SMALL(IF("Página Web"='03.Muestra'!$D$8:$D$42,ROW('03.Muestra'!$F$8:$F$42)-MIN(ROW('03.Muestra'!$D$8:$D$42))+1,""),ROW()-1386)),"")</f>
        <v>https://www.portcastello.com/</v>
      </c>
      <c r="D1396" s="130" t="s">
        <v>37</v>
      </c>
      <c r="E1396" s="107" t="str">
        <f t="shared" si="72"/>
        <v/>
      </c>
      <c r="F1396" s="19"/>
      <c r="G1396" s="19"/>
      <c r="H1396" s="19"/>
      <c r="I1396" s="19"/>
      <c r="J1396" s="19"/>
      <c r="K1396" s="233"/>
      <c r="L1396" s="19"/>
    </row>
    <row r="1397" spans="1:12" ht="12" customHeight="1">
      <c r="A1397" s="219" t="n" cm="1">
        <f t="array" ref="A1397">IFERROR(INDEX('03.Muestra'!$B$8:$B$42,SMALL(IF("Página Web"='03.Muestra'!$D$8:$D$42,ROW('03.Muestra'!$B$8:$B$42)-MIN(ROW('03.Muestra'!$D$8:$D$42))+1,""),ROW()-1386)),"")</f>
        <v>1.0</v>
      </c>
      <c r="B1397" s="114" t="str" cm="1">
        <f t="array" ref="B1397">IFERROR(INDEX('03.Muestra'!$C$8:$C$42,SMALL(IF("Página Web"='03.Muestra'!$D$8:$D$42,ROW('03.Muestra'!$C$8:$C$42)-MIN(ROW('03.Muestra'!$D$8:$D$42))+1,""),ROW()-1386)),"")</f>
        <v>Home - PortCastelló</v>
      </c>
      <c r="C1397" s="114" t="str" cm="1">
        <f t="array" ref="C1397">IFERROR(INDEX('03.Muestra'!$F$8:$F$42,SMALL(IF("Página Web"='03.Muestra'!$D$8:$D$42,ROW('03.Muestra'!$F$8:$F$42)-MIN(ROW('03.Muestra'!$D$8:$D$42))+1,""),ROW()-1386)),"")</f>
        <v>https://www.portcastello.com/</v>
      </c>
      <c r="D1397" s="130" t="s">
        <v>37</v>
      </c>
      <c r="E1397" s="107" t="str">
        <f t="shared" si="72"/>
        <v/>
      </c>
      <c r="F1397" s="19"/>
      <c r="G1397" s="19"/>
      <c r="H1397" s="19"/>
      <c r="I1397" s="19"/>
      <c r="J1397" s="19"/>
      <c r="K1397" s="233"/>
      <c r="L1397" s="19"/>
    </row>
    <row r="1398" spans="1:12" ht="12" customHeight="1">
      <c r="A1398" s="219" t="n" cm="1">
        <f t="array" ref="A1398">IFERROR(INDEX('03.Muestra'!$B$8:$B$42,SMALL(IF("Página Web"='03.Muestra'!$D$8:$D$42,ROW('03.Muestra'!$B$8:$B$42)-MIN(ROW('03.Muestra'!$D$8:$D$42))+1,""),ROW()-1386)),"")</f>
        <v>1.0</v>
      </c>
      <c r="B1398" s="114" t="str" cm="1">
        <f t="array" ref="B1398">IFERROR(INDEX('03.Muestra'!$C$8:$C$42,SMALL(IF("Página Web"='03.Muestra'!$D$8:$D$42,ROW('03.Muestra'!$C$8:$C$42)-MIN(ROW('03.Muestra'!$D$8:$D$42))+1,""),ROW()-1386)),"")</f>
        <v>Home - PortCastelló</v>
      </c>
      <c r="C1398" s="114" t="str" cm="1">
        <f t="array" ref="C1398">IFERROR(INDEX('03.Muestra'!$F$8:$F$42,SMALL(IF("Página Web"='03.Muestra'!$D$8:$D$42,ROW('03.Muestra'!$F$8:$F$42)-MIN(ROW('03.Muestra'!$D$8:$D$42))+1,""),ROW()-1386)),"")</f>
        <v>https://www.portcastello.com/</v>
      </c>
      <c r="D1398" s="130" t="s">
        <v>37</v>
      </c>
      <c r="E1398" s="107" t="str">
        <f t="shared" si="72"/>
        <v/>
      </c>
      <c r="F1398" s="19"/>
      <c r="G1398" s="19"/>
      <c r="H1398" s="19"/>
      <c r="I1398" s="19"/>
      <c r="J1398" s="19"/>
      <c r="K1398" s="233"/>
      <c r="L1398" s="19"/>
    </row>
    <row r="1399" spans="1:12" ht="12" customHeight="1">
      <c r="A1399" s="219" t="n" cm="1">
        <f t="array" ref="A1399">IFERROR(INDEX('03.Muestra'!$B$8:$B$42,SMALL(IF("Página Web"='03.Muestra'!$D$8:$D$42,ROW('03.Muestra'!$B$8:$B$42)-MIN(ROW('03.Muestra'!$D$8:$D$42))+1,""),ROW()-1386)),"")</f>
        <v>1.0</v>
      </c>
      <c r="B1399" s="114" t="str" cm="1">
        <f t="array" ref="B1399">IFERROR(INDEX('03.Muestra'!$C$8:$C$42,SMALL(IF("Página Web"='03.Muestra'!$D$8:$D$42,ROW('03.Muestra'!$C$8:$C$42)-MIN(ROW('03.Muestra'!$D$8:$D$42))+1,""),ROW()-1386)),"")</f>
        <v>Home - PortCastelló</v>
      </c>
      <c r="C1399" s="114" t="str" cm="1">
        <f t="array" ref="C1399">IFERROR(INDEX('03.Muestra'!$F$8:$F$42,SMALL(IF("Página Web"='03.Muestra'!$D$8:$D$42,ROW('03.Muestra'!$F$8:$F$42)-MIN(ROW('03.Muestra'!$D$8:$D$42))+1,""),ROW()-1386)),"")</f>
        <v>https://www.portcastello.com/</v>
      </c>
      <c r="D1399" s="130" t="s">
        <v>37</v>
      </c>
      <c r="E1399" s="107" t="str">
        <f t="shared" si="72"/>
        <v/>
      </c>
      <c r="F1399" s="19"/>
      <c r="G1399" s="19"/>
      <c r="H1399" s="19"/>
      <c r="I1399" s="19"/>
      <c r="J1399" s="19"/>
      <c r="K1399" s="233"/>
      <c r="L1399" s="19"/>
    </row>
    <row r="1400" spans="1:12" ht="12" customHeight="1">
      <c r="A1400" s="219" t="n" cm="1">
        <f t="array" ref="A1400">IFERROR(INDEX('03.Muestra'!$B$8:$B$42,SMALL(IF("Página Web"='03.Muestra'!$D$8:$D$42,ROW('03.Muestra'!$B$8:$B$42)-MIN(ROW('03.Muestra'!$D$8:$D$42))+1,""),ROW()-1386)),"")</f>
        <v>1.0</v>
      </c>
      <c r="B1400" s="114" t="str" cm="1">
        <f t="array" ref="B1400">IFERROR(INDEX('03.Muestra'!$C$8:$C$42,SMALL(IF("Página Web"='03.Muestra'!$D$8:$D$42,ROW('03.Muestra'!$C$8:$C$42)-MIN(ROW('03.Muestra'!$D$8:$D$42))+1,""),ROW()-1386)),"")</f>
        <v>Home - PortCastelló</v>
      </c>
      <c r="C1400" s="114" t="str" cm="1">
        <f t="array" ref="C1400">IFERROR(INDEX('03.Muestra'!$F$8:$F$42,SMALL(IF("Página Web"='03.Muestra'!$D$8:$D$42,ROW('03.Muestra'!$F$8:$F$42)-MIN(ROW('03.Muestra'!$D$8:$D$42))+1,""),ROW()-1386)),"")</f>
        <v>https://www.portcastello.com/</v>
      </c>
      <c r="D1400" s="130" t="s">
        <v>37</v>
      </c>
      <c r="E1400" s="107" t="str">
        <f t="shared" si="72"/>
        <v/>
      </c>
      <c r="F1400" s="19"/>
      <c r="G1400" s="19"/>
      <c r="H1400" s="19"/>
      <c r="I1400" s="19"/>
      <c r="J1400" s="19"/>
      <c r="K1400" s="233"/>
      <c r="L1400" s="19"/>
    </row>
    <row r="1401" spans="1:12" ht="12" customHeight="1">
      <c r="A1401" s="219" t="n" cm="1">
        <f t="array" ref="A1401">IFERROR(INDEX('03.Muestra'!$B$8:$B$42,SMALL(IF("Página Web"='03.Muestra'!$D$8:$D$42,ROW('03.Muestra'!$B$8:$B$42)-MIN(ROW('03.Muestra'!$D$8:$D$42))+1,""),ROW()-1386)),"")</f>
        <v>1.0</v>
      </c>
      <c r="B1401" s="114" t="str" cm="1">
        <f t="array" ref="B1401">IFERROR(INDEX('03.Muestra'!$C$8:$C$42,SMALL(IF("Página Web"='03.Muestra'!$D$8:$D$42,ROW('03.Muestra'!$C$8:$C$42)-MIN(ROW('03.Muestra'!$D$8:$D$42))+1,""),ROW()-1386)),"")</f>
        <v>Home - PortCastelló</v>
      </c>
      <c r="C1401" s="114" t="str" cm="1">
        <f t="array" ref="C1401">IFERROR(INDEX('03.Muestra'!$F$8:$F$42,SMALL(IF("Página Web"='03.Muestra'!$D$8:$D$42,ROW('03.Muestra'!$F$8:$F$42)-MIN(ROW('03.Muestra'!$D$8:$D$42))+1,""),ROW()-1386)),"")</f>
        <v>https://www.portcastello.com/</v>
      </c>
      <c r="D1401" s="130" t="s">
        <v>37</v>
      </c>
      <c r="E1401" s="107" t="str">
        <f t="shared" si="72"/>
        <v/>
      </c>
      <c r="F1401" s="19"/>
      <c r="G1401" s="19"/>
      <c r="H1401" s="19"/>
      <c r="I1401" s="19"/>
      <c r="J1401" s="19"/>
      <c r="K1401" s="233"/>
      <c r="L1401" s="19"/>
    </row>
    <row r="1402" spans="1:12" ht="12" customHeight="1">
      <c r="A1402" s="219" t="n" cm="1">
        <f t="array" ref="A1402">IFERROR(INDEX('03.Muestra'!$B$8:$B$42,SMALL(IF("Página Web"='03.Muestra'!$D$8:$D$42,ROW('03.Muestra'!$B$8:$B$42)-MIN(ROW('03.Muestra'!$D$8:$D$42))+1,""),ROW()-1386)),"")</f>
        <v>1.0</v>
      </c>
      <c r="B1402" s="114" t="str" cm="1">
        <f t="array" ref="B1402">IFERROR(INDEX('03.Muestra'!$C$8:$C$42,SMALL(IF("Página Web"='03.Muestra'!$D$8:$D$42,ROW('03.Muestra'!$C$8:$C$42)-MIN(ROW('03.Muestra'!$D$8:$D$42))+1,""),ROW()-1386)),"")</f>
        <v>Home - PortCastelló</v>
      </c>
      <c r="C1402" s="114" t="str" cm="1">
        <f t="array" ref="C1402">IFERROR(INDEX('03.Muestra'!$F$8:$F$42,SMALL(IF("Página Web"='03.Muestra'!$D$8:$D$42,ROW('03.Muestra'!$F$8:$F$42)-MIN(ROW('03.Muestra'!$D$8:$D$42))+1,""),ROW()-1386)),"")</f>
        <v>https://www.portcastello.com/</v>
      </c>
      <c r="D1402" s="130" t="s">
        <v>37</v>
      </c>
      <c r="E1402" s="107" t="str">
        <f t="shared" si="72"/>
        <v/>
      </c>
      <c r="F1402" s="19"/>
      <c r="G1402" s="19"/>
      <c r="H1402" s="19"/>
      <c r="I1402" s="19"/>
      <c r="J1402" s="19"/>
      <c r="K1402" s="233"/>
      <c r="L1402" s="19"/>
    </row>
    <row r="1403" spans="1:12" ht="12" customHeight="1">
      <c r="A1403" s="219" t="n" cm="1">
        <f t="array" ref="A1403">IFERROR(INDEX('03.Muestra'!$B$8:$B$42,SMALL(IF("Página Web"='03.Muestra'!$D$8:$D$42,ROW('03.Muestra'!$B$8:$B$42)-MIN(ROW('03.Muestra'!$D$8:$D$42))+1,""),ROW()-1386)),"")</f>
        <v>1.0</v>
      </c>
      <c r="B1403" s="114" t="str" cm="1">
        <f t="array" ref="B1403">IFERROR(INDEX('03.Muestra'!$C$8:$C$42,SMALL(IF("Página Web"='03.Muestra'!$D$8:$D$42,ROW('03.Muestra'!$C$8:$C$42)-MIN(ROW('03.Muestra'!$D$8:$D$42))+1,""),ROW()-1386)),"")</f>
        <v>Home - PortCastelló</v>
      </c>
      <c r="C1403" s="114" t="str" cm="1">
        <f t="array" ref="C1403">IFERROR(INDEX('03.Muestra'!$F$8:$F$42,SMALL(IF("Página Web"='03.Muestra'!$D$8:$D$42,ROW('03.Muestra'!$F$8:$F$42)-MIN(ROW('03.Muestra'!$D$8:$D$42))+1,""),ROW()-1386)),"")</f>
        <v>https://www.portcastello.com/</v>
      </c>
      <c r="D1403" s="130" t="s">
        <v>37</v>
      </c>
      <c r="E1403" s="107" t="str">
        <f t="shared" si="72"/>
        <v/>
      </c>
      <c r="F1403" s="19"/>
      <c r="G1403" s="19"/>
      <c r="H1403" s="19"/>
      <c r="I1403" s="19"/>
      <c r="J1403" s="19"/>
      <c r="K1403" s="233"/>
      <c r="L1403" s="19"/>
    </row>
    <row r="1404" spans="1:12" ht="12" customHeight="1">
      <c r="A1404" s="219" t="n" cm="1">
        <f t="array" ref="A1404">IFERROR(INDEX('03.Muestra'!$B$8:$B$42,SMALL(IF("Página Web"='03.Muestra'!$D$8:$D$42,ROW('03.Muestra'!$B$8:$B$42)-MIN(ROW('03.Muestra'!$D$8:$D$42))+1,""),ROW()-1386)),"")</f>
        <v>1.0</v>
      </c>
      <c r="B1404" s="114" t="str" cm="1">
        <f t="array" ref="B1404">IFERROR(INDEX('03.Muestra'!$C$8:$C$42,SMALL(IF("Página Web"='03.Muestra'!$D$8:$D$42,ROW('03.Muestra'!$C$8:$C$42)-MIN(ROW('03.Muestra'!$D$8:$D$42))+1,""),ROW()-1386)),"")</f>
        <v>Home - PortCastelló</v>
      </c>
      <c r="C1404" s="114" t="str" cm="1">
        <f t="array" ref="C1404">IFERROR(INDEX('03.Muestra'!$F$8:$F$42,SMALL(IF("Página Web"='03.Muestra'!$D$8:$D$42,ROW('03.Muestra'!$F$8:$F$42)-MIN(ROW('03.Muestra'!$D$8:$D$42))+1,""),ROW()-1386)),"")</f>
        <v>https://www.portcastello.com/</v>
      </c>
      <c r="D1404" s="130" t="s">
        <v>37</v>
      </c>
      <c r="E1404" s="107" t="str">
        <f t="shared" si="72"/>
        <v/>
      </c>
      <c r="F1404" s="19"/>
      <c r="G1404" s="19"/>
      <c r="H1404" s="19"/>
      <c r="I1404" s="19"/>
      <c r="J1404" s="19"/>
      <c r="K1404" s="233"/>
      <c r="L1404" s="19"/>
    </row>
    <row r="1405" spans="1:12" ht="12" customHeight="1">
      <c r="A1405" s="219" t="n" cm="1">
        <f t="array" ref="A1405">IFERROR(INDEX('03.Muestra'!$B$8:$B$42,SMALL(IF("Página Web"='03.Muestra'!$D$8:$D$42,ROW('03.Muestra'!$B$8:$B$42)-MIN(ROW('03.Muestra'!$D$8:$D$42))+1,""),ROW()-1386)),"")</f>
        <v>1.0</v>
      </c>
      <c r="B1405" s="114" t="str" cm="1">
        <f t="array" ref="B1405">IFERROR(INDEX('03.Muestra'!$C$8:$C$42,SMALL(IF("Página Web"='03.Muestra'!$D$8:$D$42,ROW('03.Muestra'!$C$8:$C$42)-MIN(ROW('03.Muestra'!$D$8:$D$42))+1,""),ROW()-1386)),"")</f>
        <v>Home - PortCastelló</v>
      </c>
      <c r="C1405" s="114" t="str" cm="1">
        <f t="array" ref="C1405">IFERROR(INDEX('03.Muestra'!$F$8:$F$42,SMALL(IF("Página Web"='03.Muestra'!$D$8:$D$42,ROW('03.Muestra'!$F$8:$F$42)-MIN(ROW('03.Muestra'!$D$8:$D$42))+1,""),ROW()-1386)),"")</f>
        <v>https://www.portcastello.com/</v>
      </c>
      <c r="D1405" s="130" t="s">
        <v>37</v>
      </c>
      <c r="E1405" s="107" t="str">
        <f t="shared" si="72"/>
        <v/>
      </c>
      <c r="F1405" s="19"/>
      <c r="G1405" s="19"/>
      <c r="H1405" s="19"/>
      <c r="I1405" s="19"/>
      <c r="J1405" s="19"/>
      <c r="K1405" s="233"/>
      <c r="L1405" s="19"/>
    </row>
    <row r="1406" spans="1:12" ht="12" customHeight="1">
      <c r="A1406" s="219" t="n" cm="1">
        <f t="array" ref="A1406">IFERROR(INDEX('03.Muestra'!$B$8:$B$42,SMALL(IF("Página Web"='03.Muestra'!$D$8:$D$42,ROW('03.Muestra'!$B$8:$B$42)-MIN(ROW('03.Muestra'!$D$8:$D$42))+1,""),ROW()-1386)),"")</f>
        <v>1.0</v>
      </c>
      <c r="B1406" s="114" t="str" cm="1">
        <f t="array" ref="B1406">IFERROR(INDEX('03.Muestra'!$C$8:$C$42,SMALL(IF("Página Web"='03.Muestra'!$D$8:$D$42,ROW('03.Muestra'!$C$8:$C$42)-MIN(ROW('03.Muestra'!$D$8:$D$42))+1,""),ROW()-1386)),"")</f>
        <v>Home - PortCastelló</v>
      </c>
      <c r="C1406" s="114" t="str" cm="1">
        <f t="array" ref="C1406">IFERROR(INDEX('03.Muestra'!$F$8:$F$42,SMALL(IF("Página Web"='03.Muestra'!$D$8:$D$42,ROW('03.Muestra'!$F$8:$F$42)-MIN(ROW('03.Muestra'!$D$8:$D$42))+1,""),ROW()-1386)),"")</f>
        <v>https://www.portcastello.com/</v>
      </c>
      <c r="D1406" s="130" t="s">
        <v>37</v>
      </c>
      <c r="E1406" s="107" t="str">
        <f t="shared" si="72"/>
        <v/>
      </c>
      <c r="F1406" s="19"/>
      <c r="G1406" s="19"/>
      <c r="H1406" s="19"/>
      <c r="I1406" s="19"/>
      <c r="J1406" s="19"/>
      <c r="K1406" s="233"/>
      <c r="L1406" s="19"/>
    </row>
    <row r="1407" spans="1:12" ht="12" customHeight="1">
      <c r="A1407" s="219" t="n" cm="1">
        <f t="array" ref="A1407">IFERROR(INDEX('03.Muestra'!$B$8:$B$42,SMALL(IF("Página Web"='03.Muestra'!$D$8:$D$42,ROW('03.Muestra'!$B$8:$B$42)-MIN(ROW('03.Muestra'!$D$8:$D$42))+1,""),ROW()-1386)),"")</f>
        <v>1.0</v>
      </c>
      <c r="B1407" s="114" t="str" cm="1">
        <f t="array" ref="B1407">IFERROR(INDEX('03.Muestra'!$C$8:$C$42,SMALL(IF("Página Web"='03.Muestra'!$D$8:$D$42,ROW('03.Muestra'!$C$8:$C$42)-MIN(ROW('03.Muestra'!$D$8:$D$42))+1,""),ROW()-1386)),"")</f>
        <v>Home - PortCastelló</v>
      </c>
      <c r="C1407" s="114" t="str" cm="1">
        <f t="array" ref="C1407">IFERROR(INDEX('03.Muestra'!$F$8:$F$42,SMALL(IF("Página Web"='03.Muestra'!$D$8:$D$42,ROW('03.Muestra'!$F$8:$F$42)-MIN(ROW('03.Muestra'!$D$8:$D$42))+1,""),ROW()-1386)),"")</f>
        <v>https://www.portcastello.com/</v>
      </c>
      <c r="D1407" s="130" t="s">
        <v>37</v>
      </c>
      <c r="E1407" s="107" t="str">
        <f t="shared" si="72"/>
        <v/>
      </c>
      <c r="F1407" s="19"/>
      <c r="G1407" s="19"/>
      <c r="H1407" s="19"/>
      <c r="I1407" s="19"/>
      <c r="J1407" s="19"/>
      <c r="K1407" s="233"/>
      <c r="L1407" s="19"/>
    </row>
    <row r="1408" spans="1:12" ht="12" customHeight="1">
      <c r="A1408" s="219" t="n" cm="1">
        <f t="array" ref="A1408">IFERROR(INDEX('03.Muestra'!$B$8:$B$42,SMALL(IF("Página Web"='03.Muestra'!$D$8:$D$42,ROW('03.Muestra'!$B$8:$B$42)-MIN(ROW('03.Muestra'!$D$8:$D$42))+1,""),ROW()-1386)),"")</f>
        <v>1.0</v>
      </c>
      <c r="B1408" s="114" t="str" cm="1">
        <f t="array" ref="B1408">IFERROR(INDEX('03.Muestra'!$C$8:$C$42,SMALL(IF("Página Web"='03.Muestra'!$D$8:$D$42,ROW('03.Muestra'!$C$8:$C$42)-MIN(ROW('03.Muestra'!$D$8:$D$42))+1,""),ROW()-1386)),"")</f>
        <v>Home - PortCastelló</v>
      </c>
      <c r="C1408" s="114" t="str" cm="1">
        <f t="array" ref="C1408">IFERROR(INDEX('03.Muestra'!$F$8:$F$42,SMALL(IF("Página Web"='03.Muestra'!$D$8:$D$42,ROW('03.Muestra'!$F$8:$F$42)-MIN(ROW('03.Muestra'!$D$8:$D$42))+1,""),ROW()-1386)),"")</f>
        <v>https://www.portcastello.com/</v>
      </c>
      <c r="D1408" s="130" t="s">
        <v>37</v>
      </c>
      <c r="E1408" s="107" t="str">
        <f t="shared" si="72"/>
        <v/>
      </c>
      <c r="F1408" s="19"/>
      <c r="G1408" s="19"/>
      <c r="H1408" s="19"/>
      <c r="I1408" s="19"/>
      <c r="J1408" s="19"/>
      <c r="K1408" s="233"/>
      <c r="L1408" s="19"/>
    </row>
    <row r="1409" spans="1:12" ht="12" customHeight="1">
      <c r="A1409" s="219" t="n" cm="1">
        <f t="array" ref="A1409">IFERROR(INDEX('03.Muestra'!$B$8:$B$42,SMALL(IF("Página Web"='03.Muestra'!$D$8:$D$42,ROW('03.Muestra'!$B$8:$B$42)-MIN(ROW('03.Muestra'!$D$8:$D$42))+1,""),ROW()-1386)),"")</f>
        <v>1.0</v>
      </c>
      <c r="B1409" s="114" t="str" cm="1">
        <f t="array" ref="B1409">IFERROR(INDEX('03.Muestra'!$C$8:$C$42,SMALL(IF("Página Web"='03.Muestra'!$D$8:$D$42,ROW('03.Muestra'!$C$8:$C$42)-MIN(ROW('03.Muestra'!$D$8:$D$42))+1,""),ROW()-1386)),"")</f>
        <v>Home - PortCastelló</v>
      </c>
      <c r="C1409" s="114" t="str" cm="1">
        <f t="array" ref="C1409">IFERROR(INDEX('03.Muestra'!$F$8:$F$42,SMALL(IF("Página Web"='03.Muestra'!$D$8:$D$42,ROW('03.Muestra'!$F$8:$F$42)-MIN(ROW('03.Muestra'!$D$8:$D$42))+1,""),ROW()-1386)),"")</f>
        <v>https://www.portcastello.com/</v>
      </c>
      <c r="D1409" s="130" t="s">
        <v>37</v>
      </c>
      <c r="E1409" s="107" t="str">
        <f t="shared" si="72"/>
        <v/>
      </c>
      <c r="F1409" s="19"/>
      <c r="G1409" s="19"/>
      <c r="H1409" s="19"/>
      <c r="I1409" s="19"/>
      <c r="J1409" s="19"/>
      <c r="K1409" s="233"/>
      <c r="L1409" s="19"/>
    </row>
    <row r="1410" spans="1:12" ht="12" customHeight="1">
      <c r="A1410" s="219" t="n" cm="1">
        <f t="array" ref="A1410">IFERROR(INDEX('03.Muestra'!$B$8:$B$42,SMALL(IF("Página Web"='03.Muestra'!$D$8:$D$42,ROW('03.Muestra'!$B$8:$B$42)-MIN(ROW('03.Muestra'!$D$8:$D$42))+1,""),ROW()-1386)),"")</f>
        <v>1.0</v>
      </c>
      <c r="B1410" s="114" t="str" cm="1">
        <f t="array" ref="B1410">IFERROR(INDEX('03.Muestra'!$C$8:$C$42,SMALL(IF("Página Web"='03.Muestra'!$D$8:$D$42,ROW('03.Muestra'!$C$8:$C$42)-MIN(ROW('03.Muestra'!$D$8:$D$42))+1,""),ROW()-1386)),"")</f>
        <v>Home - PortCastelló</v>
      </c>
      <c r="C1410" s="114" t="str" cm="1">
        <f t="array" ref="C1410">IFERROR(INDEX('03.Muestra'!$F$8:$F$42,SMALL(IF("Página Web"='03.Muestra'!$D$8:$D$42,ROW('03.Muestra'!$F$8:$F$42)-MIN(ROW('03.Muestra'!$D$8:$D$42))+1,""),ROW()-1386)),"")</f>
        <v>https://www.portcastello.com/</v>
      </c>
      <c r="D1410" s="130" t="s">
        <v>37</v>
      </c>
      <c r="E1410" s="107" t="str">
        <f t="shared" si="72"/>
        <v/>
      </c>
      <c r="F1410" s="19"/>
      <c r="G1410" s="19"/>
      <c r="H1410" s="19"/>
      <c r="I1410" s="19"/>
      <c r="J1410" s="19"/>
      <c r="K1410" s="233"/>
      <c r="L1410" s="19"/>
    </row>
    <row r="1411" spans="1:12" ht="12" customHeight="1">
      <c r="A1411" s="219" t="n" cm="1">
        <f t="array" ref="A1411">IFERROR(INDEX('03.Muestra'!$B$8:$B$42,SMALL(IF("Página Web"='03.Muestra'!$D$8:$D$42,ROW('03.Muestra'!$B$8:$B$42)-MIN(ROW('03.Muestra'!$D$8:$D$42))+1,""),ROW()-1386)),"")</f>
        <v>1.0</v>
      </c>
      <c r="B1411" s="114" t="str" cm="1">
        <f t="array" ref="B1411">IFERROR(INDEX('03.Muestra'!$C$8:$C$42,SMALL(IF("Página Web"='03.Muestra'!$D$8:$D$42,ROW('03.Muestra'!$C$8:$C$42)-MIN(ROW('03.Muestra'!$D$8:$D$42))+1,""),ROW()-1386)),"")</f>
        <v>Home - PortCastelló</v>
      </c>
      <c r="C1411" s="114" t="str" cm="1">
        <f t="array" ref="C1411">IFERROR(INDEX('03.Muestra'!$F$8:$F$42,SMALL(IF("Página Web"='03.Muestra'!$D$8:$D$42,ROW('03.Muestra'!$F$8:$F$42)-MIN(ROW('03.Muestra'!$D$8:$D$42))+1,""),ROW()-1386)),"")</f>
        <v>https://www.portcastello.com/</v>
      </c>
      <c r="D1411" s="130" t="s">
        <v>37</v>
      </c>
      <c r="E1411" s="107" t="str">
        <f t="shared" si="72"/>
        <v/>
      </c>
      <c r="F1411" s="19"/>
      <c r="G1411" s="19"/>
      <c r="H1411" s="19"/>
      <c r="I1411" s="19"/>
      <c r="J1411" s="19"/>
      <c r="K1411" s="233"/>
      <c r="L1411" s="19"/>
    </row>
    <row r="1412" spans="1:12" ht="12" customHeight="1">
      <c r="A1412" s="219" t="n" cm="1">
        <f t="array" ref="A1412">IFERROR(INDEX('03.Muestra'!$B$8:$B$42,SMALL(IF("Página Web"='03.Muestra'!$D$8:$D$42,ROW('03.Muestra'!$B$8:$B$42)-MIN(ROW('03.Muestra'!$D$8:$D$42))+1,""),ROW()-1386)),"")</f>
        <v>1.0</v>
      </c>
      <c r="B1412" s="114" t="str" cm="1">
        <f t="array" ref="B1412">IFERROR(INDEX('03.Muestra'!$C$8:$C$42,SMALL(IF("Página Web"='03.Muestra'!$D$8:$D$42,ROW('03.Muestra'!$C$8:$C$42)-MIN(ROW('03.Muestra'!$D$8:$D$42))+1,""),ROW()-1386)),"")</f>
        <v>Home - PortCastelló</v>
      </c>
      <c r="C1412" s="114" t="str" cm="1">
        <f t="array" ref="C1412">IFERROR(INDEX('03.Muestra'!$F$8:$F$42,SMALL(IF("Página Web"='03.Muestra'!$D$8:$D$42,ROW('03.Muestra'!$F$8:$F$42)-MIN(ROW('03.Muestra'!$D$8:$D$42))+1,""),ROW()-1386)),"")</f>
        <v>https://www.portcastello.com/</v>
      </c>
      <c r="D1412" s="130" t="s">
        <v>37</v>
      </c>
      <c r="E1412" s="107" t="str">
        <f t="shared" si="72"/>
        <v/>
      </c>
      <c r="F1412" s="19"/>
      <c r="G1412" s="19"/>
      <c r="H1412" s="19"/>
      <c r="I1412" s="19"/>
      <c r="J1412" s="19"/>
      <c r="K1412" s="233"/>
      <c r="L1412" s="19"/>
    </row>
    <row r="1413" spans="1:12" ht="12" customHeight="1">
      <c r="A1413" s="219" t="n" cm="1">
        <f t="array" ref="A1413">IFERROR(INDEX('03.Muestra'!$B$8:$B$42,SMALL(IF("Página Web"='03.Muestra'!$D$8:$D$42,ROW('03.Muestra'!$B$8:$B$42)-MIN(ROW('03.Muestra'!$D$8:$D$42))+1,""),ROW()-1386)),"")</f>
        <v>1.0</v>
      </c>
      <c r="B1413" s="114" t="str" cm="1">
        <f t="array" ref="B1413">IFERROR(INDEX('03.Muestra'!$C$8:$C$42,SMALL(IF("Página Web"='03.Muestra'!$D$8:$D$42,ROW('03.Muestra'!$C$8:$C$42)-MIN(ROW('03.Muestra'!$D$8:$D$42))+1,""),ROW()-1386)),"")</f>
        <v>Home - PortCastelló</v>
      </c>
      <c r="C1413" s="114" t="str" cm="1">
        <f t="array" ref="C1413">IFERROR(INDEX('03.Muestra'!$F$8:$F$42,SMALL(IF("Página Web"='03.Muestra'!$D$8:$D$42,ROW('03.Muestra'!$F$8:$F$42)-MIN(ROW('03.Muestra'!$D$8:$D$42))+1,""),ROW()-1386)),"")</f>
        <v>https://www.portcastello.com/</v>
      </c>
      <c r="D1413" s="130" t="s">
        <v>37</v>
      </c>
      <c r="E1413" s="107" t="str">
        <f t="shared" si="72"/>
        <v/>
      </c>
      <c r="F1413" s="19"/>
      <c r="G1413" s="19"/>
      <c r="H1413" s="19"/>
      <c r="I1413" s="19"/>
      <c r="J1413" s="19"/>
      <c r="K1413" s="233"/>
      <c r="L1413" s="19"/>
    </row>
    <row r="1414" spans="1:12" ht="12" customHeight="1">
      <c r="A1414" s="219" t="n" cm="1">
        <f t="array" ref="A1414">IFERROR(INDEX('03.Muestra'!$B$8:$B$42,SMALL(IF("Página Web"='03.Muestra'!$D$8:$D$42,ROW('03.Muestra'!$B$8:$B$42)-MIN(ROW('03.Muestra'!$D$8:$D$42))+1,""),ROW()-1386)),"")</f>
        <v>1.0</v>
      </c>
      <c r="B1414" s="114" t="str" cm="1">
        <f t="array" ref="B1414">IFERROR(INDEX('03.Muestra'!$C$8:$C$42,SMALL(IF("Página Web"='03.Muestra'!$D$8:$D$42,ROW('03.Muestra'!$C$8:$C$42)-MIN(ROW('03.Muestra'!$D$8:$D$42))+1,""),ROW()-1386)),"")</f>
        <v>Home - PortCastelló</v>
      </c>
      <c r="C1414" s="114" t="str" cm="1">
        <f t="array" ref="C1414">IFERROR(INDEX('03.Muestra'!$F$8:$F$42,SMALL(IF("Página Web"='03.Muestra'!$D$8:$D$42,ROW('03.Muestra'!$F$8:$F$42)-MIN(ROW('03.Muestra'!$D$8:$D$42))+1,""),ROW()-1386)),"")</f>
        <v>https://www.portcastello.com/</v>
      </c>
      <c r="D1414" s="130" t="s">
        <v>37</v>
      </c>
      <c r="E1414" s="107" t="str">
        <f t="shared" si="72"/>
        <v/>
      </c>
      <c r="F1414" s="19"/>
      <c r="G1414" s="19"/>
      <c r="H1414" s="19"/>
      <c r="I1414" s="19"/>
      <c r="J1414" s="19"/>
      <c r="K1414" s="233"/>
      <c r="L1414" s="19"/>
    </row>
    <row r="1415" spans="1:12" ht="12" customHeight="1">
      <c r="A1415" s="219" t="n" cm="1">
        <f t="array" ref="A1415">IFERROR(INDEX('03.Muestra'!$B$8:$B$42,SMALL(IF("Página Web"='03.Muestra'!$D$8:$D$42,ROW('03.Muestra'!$B$8:$B$42)-MIN(ROW('03.Muestra'!$D$8:$D$42))+1,""),ROW()-1386)),"")</f>
        <v>1.0</v>
      </c>
      <c r="B1415" s="114" t="str" cm="1">
        <f t="array" ref="B1415">IFERROR(INDEX('03.Muestra'!$C$8:$C$42,SMALL(IF("Página Web"='03.Muestra'!$D$8:$D$42,ROW('03.Muestra'!$C$8:$C$42)-MIN(ROW('03.Muestra'!$D$8:$D$42))+1,""),ROW()-1386)),"")</f>
        <v>Home - PortCastelló</v>
      </c>
      <c r="C1415" s="114" t="str" cm="1">
        <f t="array" ref="C1415">IFERROR(INDEX('03.Muestra'!$F$8:$F$42,SMALL(IF("Página Web"='03.Muestra'!$D$8:$D$42,ROW('03.Muestra'!$F$8:$F$42)-MIN(ROW('03.Muestra'!$D$8:$D$42))+1,""),ROW()-1386)),"")</f>
        <v>https://www.portcastello.com/</v>
      </c>
      <c r="D1415" s="130" t="s">
        <v>37</v>
      </c>
      <c r="E1415" s="107" t="str">
        <f t="shared" si="72"/>
        <v/>
      </c>
      <c r="F1415" s="19"/>
      <c r="G1415" s="19"/>
      <c r="H1415" s="19"/>
      <c r="I1415" s="19"/>
      <c r="J1415" s="19"/>
      <c r="K1415" s="233"/>
      <c r="L1415" s="19"/>
    </row>
    <row r="1416" spans="1:12" ht="12" customHeight="1">
      <c r="A1416" s="219" t="n" cm="1">
        <f t="array" ref="A1416">IFERROR(INDEX('03.Muestra'!$B$8:$B$42,SMALL(IF("Página Web"='03.Muestra'!$D$8:$D$42,ROW('03.Muestra'!$B$8:$B$42)-MIN(ROW('03.Muestra'!$D$8:$D$42))+1,""),ROW()-1386)),"")</f>
        <v>1.0</v>
      </c>
      <c r="B1416" s="114" t="str" cm="1">
        <f t="array" ref="B1416">IFERROR(INDEX('03.Muestra'!$C$8:$C$42,SMALL(IF("Página Web"='03.Muestra'!$D$8:$D$42,ROW('03.Muestra'!$C$8:$C$42)-MIN(ROW('03.Muestra'!$D$8:$D$42))+1,""),ROW()-1386)),"")</f>
        <v>Home - PortCastelló</v>
      </c>
      <c r="C1416" s="114" t="str" cm="1">
        <f t="array" ref="C1416">IFERROR(INDEX('03.Muestra'!$F$8:$F$42,SMALL(IF("Página Web"='03.Muestra'!$D$8:$D$42,ROW('03.Muestra'!$F$8:$F$42)-MIN(ROW('03.Muestra'!$D$8:$D$42))+1,""),ROW()-1386)),"")</f>
        <v>https://www.portcastello.com/</v>
      </c>
      <c r="D1416" s="130" t="s">
        <v>37</v>
      </c>
      <c r="E1416" s="107" t="str">
        <f t="shared" si="72"/>
        <v/>
      </c>
      <c r="F1416" s="19"/>
      <c r="G1416" s="19"/>
      <c r="H1416" s="19"/>
      <c r="I1416" s="19"/>
      <c r="J1416" s="19"/>
      <c r="K1416" s="233"/>
      <c r="L1416" s="19"/>
    </row>
    <row r="1417" spans="1:12" ht="12" customHeight="1">
      <c r="A1417" s="219" t="n" cm="1">
        <f t="array" ref="A1417">IFERROR(INDEX('03.Muestra'!$B$8:$B$42,SMALL(IF("Página Web"='03.Muestra'!$D$8:$D$42,ROW('03.Muestra'!$B$8:$B$42)-MIN(ROW('03.Muestra'!$D$8:$D$42))+1,""),ROW()-1386)),"")</f>
        <v>1.0</v>
      </c>
      <c r="B1417" s="114" t="str" cm="1">
        <f t="array" ref="B1417">IFERROR(INDEX('03.Muestra'!$C$8:$C$42,SMALL(IF("Página Web"='03.Muestra'!$D$8:$D$42,ROW('03.Muestra'!$C$8:$C$42)-MIN(ROW('03.Muestra'!$D$8:$D$42))+1,""),ROW()-1386)),"")</f>
        <v>Home - PortCastelló</v>
      </c>
      <c r="C1417" s="114" t="str" cm="1">
        <f t="array" ref="C1417">IFERROR(INDEX('03.Muestra'!$F$8:$F$42,SMALL(IF("Página Web"='03.Muestra'!$D$8:$D$42,ROW('03.Muestra'!$F$8:$F$42)-MIN(ROW('03.Muestra'!$D$8:$D$42))+1,""),ROW()-1386)),"")</f>
        <v>https://www.portcastello.com/</v>
      </c>
      <c r="D1417" s="130" t="s">
        <v>37</v>
      </c>
      <c r="E1417" s="107" t="str">
        <f t="shared" si="72"/>
        <v/>
      </c>
      <c r="F1417" s="19"/>
      <c r="G1417" s="19"/>
      <c r="H1417" s="19"/>
      <c r="I1417" s="19"/>
      <c r="J1417" s="19"/>
      <c r="K1417" s="233"/>
      <c r="L1417" s="19"/>
    </row>
    <row r="1418" spans="1:12" ht="12" customHeight="1">
      <c r="A1418" s="219" t="n" cm="1">
        <f t="array" ref="A1418">IFERROR(INDEX('03.Muestra'!$B$8:$B$42,SMALL(IF("Página Web"='03.Muestra'!$D$8:$D$42,ROW('03.Muestra'!$B$8:$B$42)-MIN(ROW('03.Muestra'!$D$8:$D$42))+1,""),ROW()-1386)),"")</f>
        <v>1.0</v>
      </c>
      <c r="B1418" s="114" t="str" cm="1">
        <f t="array" ref="B1418">IFERROR(INDEX('03.Muestra'!$C$8:$C$42,SMALL(IF("Página Web"='03.Muestra'!$D$8:$D$42,ROW('03.Muestra'!$C$8:$C$42)-MIN(ROW('03.Muestra'!$D$8:$D$42))+1,""),ROW()-1386)),"")</f>
        <v>Home - PortCastelló</v>
      </c>
      <c r="C1418" s="114" t="str" cm="1">
        <f t="array" ref="C1418">IFERROR(INDEX('03.Muestra'!$F$8:$F$42,SMALL(IF("Página Web"='03.Muestra'!$D$8:$D$42,ROW('03.Muestra'!$F$8:$F$42)-MIN(ROW('03.Muestra'!$D$8:$D$42))+1,""),ROW()-1386)),"")</f>
        <v>https://www.portcastello.com/</v>
      </c>
      <c r="D1418" s="130" t="s">
        <v>37</v>
      </c>
      <c r="E1418" s="107" t="str">
        <f t="shared" si="72"/>
        <v/>
      </c>
      <c r="F1418" s="19"/>
      <c r="G1418" s="19"/>
      <c r="H1418" s="19"/>
      <c r="I1418" s="19"/>
      <c r="J1418" s="19"/>
      <c r="K1418" s="233"/>
      <c r="L1418" s="19"/>
    </row>
    <row r="1419" spans="1:12" ht="12" customHeight="1">
      <c r="A1419" s="219" t="n" cm="1">
        <f t="array" ref="A1419">IFERROR(INDEX('03.Muestra'!$B$8:$B$42,SMALL(IF("Página Web"='03.Muestra'!$D$8:$D$42,ROW('03.Muestra'!$B$8:$B$42)-MIN(ROW('03.Muestra'!$D$8:$D$42))+1,""),ROW()-1386)),"")</f>
        <v>1.0</v>
      </c>
      <c r="B1419" s="114" t="str" cm="1">
        <f t="array" ref="B1419">IFERROR(INDEX('03.Muestra'!$C$8:$C$42,SMALL(IF("Página Web"='03.Muestra'!$D$8:$D$42,ROW('03.Muestra'!$C$8:$C$42)-MIN(ROW('03.Muestra'!$D$8:$D$42))+1,""),ROW()-1386)),"")</f>
        <v>Home - PortCastelló</v>
      </c>
      <c r="C1419" s="114" t="str" cm="1">
        <f t="array" ref="C1419">IFERROR(INDEX('03.Muestra'!$F$8:$F$42,SMALL(IF("Página Web"='03.Muestra'!$D$8:$D$42,ROW('03.Muestra'!$F$8:$F$42)-MIN(ROW('03.Muestra'!$D$8:$D$42))+1,""),ROW()-1386)),"")</f>
        <v>https://www.portcastello.com/</v>
      </c>
      <c r="D1419" s="130" t="s">
        <v>37</v>
      </c>
      <c r="E1419" s="107" t="str">
        <f t="shared" si="72"/>
        <v/>
      </c>
      <c r="F1419" s="19"/>
      <c r="G1419" s="19"/>
      <c r="H1419" s="19"/>
      <c r="I1419" s="19"/>
      <c r="J1419" s="19"/>
      <c r="K1419" s="233"/>
      <c r="L1419" s="19"/>
    </row>
    <row r="1420" spans="1:12" ht="12" customHeight="1">
      <c r="A1420" s="219" t="str" cm="1">
        <f t="array" ref="A1420">IFERROR(INDEX('03.Muestra'!$B$8:$B$42,SMALL(IF("Página Web"='03.Muestra'!$D$8:$D$42,ROW('03.Muestra'!$B$8:$B$42)-MIN(ROW('03.Muestra'!$D$8:$D$42))+1,""),ROW()-1386)),"")</f>
        <v/>
      </c>
      <c r="B1420" s="114" t="str" cm="1">
        <f t="array" ref="B1420">IFERROR(INDEX('03.Muestra'!$C$8:$C$42,SMALL(IF("Página Web"='03.Muestra'!$D$8:$D$42,ROW('03.Muestra'!$C$8:$C$42)-MIN(ROW('03.Muestra'!$D$8:$D$42))+1,""),ROW()-1386)),"")</f>
        <v/>
      </c>
      <c r="C1420" s="114" t="str" cm="1">
        <f t="array" ref="C1420">IFERROR(INDEX('03.Muestra'!$F$8:$F$42,SMALL(IF("Página Web"='03.Muestra'!$D$8:$D$42,ROW('03.Muestra'!$F$8:$F$42)-MIN(ROW('03.Muestra'!$D$8:$D$42))+1,""),ROW()-1386)),"")</f>
        <v/>
      </c>
      <c r="D1420" s="130" t="str">
        <f t="shared" si="73" ref="D1420:D1421">IF(AND(B1420&lt;&gt;"",C1420&lt;&gt;""),"N/T","")</f>
        <v/>
      </c>
      <c r="E1420" s="107" t="str">
        <f t="shared" si="72"/>
        <v/>
      </c>
      <c r="F1420" s="19"/>
      <c r="G1420" s="19"/>
      <c r="H1420" s="19"/>
      <c r="I1420" s="19"/>
      <c r="J1420" s="19"/>
      <c r="K1420" s="233"/>
      <c r="L1420" s="19"/>
    </row>
    <row r="1421" spans="1:12" ht="12" customHeight="1">
      <c r="A1421" s="219" t="str" cm="1">
        <f t="array" ref="A1421">IFERROR(INDEX('03.Muestra'!$B$8:$B$42,SMALL(IF("Página Web"='03.Muestra'!$D$8:$D$42,ROW('03.Muestra'!$B$8:$B$42)-MIN(ROW('03.Muestra'!$D$8:$D$42))+1,""),ROW()-1386)),"")</f>
        <v/>
      </c>
      <c r="B1421" s="114" t="str" cm="1">
        <f t="array" ref="B1421">IFERROR(INDEX('03.Muestra'!$C$8:$C$42,SMALL(IF("Página Web"='03.Muestra'!$D$8:$D$42,ROW('03.Muestra'!$C$8:$C$42)-MIN(ROW('03.Muestra'!$D$8:$D$42))+1,""),ROW()-1386)),"")</f>
        <v/>
      </c>
      <c r="C1421" s="114" t="str" cm="1">
        <f t="array" ref="C1421">IFERROR(INDEX('03.Muestra'!$F$8:$F$42,SMALL(IF("Página Web"='03.Muestra'!$D$8:$D$42,ROW('03.Muestra'!$F$8:$F$42)-MIN(ROW('03.Muestra'!$D$8:$D$42))+1,""),ROW()-1386)),"")</f>
        <v/>
      </c>
      <c r="D1421" s="130" t="str">
        <f t="shared" si="73"/>
        <v/>
      </c>
      <c r="E1421" s="107" t="str">
        <f t="shared" si="72"/>
        <v/>
      </c>
      <c r="F1421" s="19"/>
      <c r="G1421" s="19"/>
      <c r="H1421" s="19"/>
      <c r="I1421" s="19"/>
      <c r="J1421" s="19"/>
      <c r="K1421" s="233"/>
      <c r="L1421" s="19"/>
    </row>
    <row r="1422" spans="1:12" ht="12" customHeight="1">
      <c r="B1422" s="19"/>
      <c r="C1422" s="19"/>
      <c r="D1422" s="107"/>
      <c r="E1422" s="19"/>
      <c r="F1422" s="19"/>
      <c r="G1422" s="19"/>
      <c r="H1422" s="19"/>
      <c r="I1422" s="19"/>
      <c r="J1422" s="19"/>
      <c r="K1422" s="233"/>
      <c r="L1422" s="19"/>
    </row>
    <row r="1423" spans="1:12" ht="12" customHeight="1">
      <c r="B1423" s="19"/>
      <c r="C1423" s="19"/>
      <c r="D1423" s="107"/>
      <c r="E1423" s="112"/>
      <c r="F1423" s="19"/>
      <c r="G1423" s="19"/>
      <c r="H1423" s="19"/>
      <c r="I1423" s="19"/>
      <c r="J1423" s="19"/>
      <c r="K1423" s="233"/>
      <c r="L1423" s="19"/>
    </row>
    <row r="1424" spans="1:12" ht="29.25" customHeight="1">
      <c r="A1424" s="218" t="s">
        <v>268</v>
      </c>
      <c r="B1424" s="24" t="s">
        <v>90</v>
      </c>
      <c r="C1424" s="25" t="s">
        <v>410</v>
      </c>
      <c r="D1424" s="26" t="s">
        <v>32</v>
      </c>
      <c r="E1424" s="123"/>
      <c r="K1424" s="233"/>
      <c r="L1424" s="19"/>
    </row>
    <row r="1425" spans="1:12" ht="12" customHeight="1">
      <c r="A1425" s="219" t="n" cm="1">
        <f t="array" ref="A1425">IFERROR(INDEX('03.Muestra'!$B$8:$B$42,SMALL(IF("Página Web"='03.Muestra'!$D$8:$D$42,ROW('03.Muestra'!$B$8:$B$42)-MIN(ROW('03.Muestra'!$D$8:$D$42))+1,""),ROW()-1424)),"")</f>
        <v>1.0</v>
      </c>
      <c r="B1425" s="114" t="str" cm="1">
        <f t="array" ref="B1425">IFERROR(INDEX('03.Muestra'!$C$8:$C$42,SMALL(IF("Página Web"='03.Muestra'!$D$8:$D$42,ROW('03.Muestra'!$C$8:$C$42)-MIN(ROW('03.Muestra'!$D$8:$D$42))+1,""),ROW()-1424)),"")</f>
        <v>Home - PortCastelló</v>
      </c>
      <c r="C1425" s="114" t="str" cm="1">
        <f t="array" ref="C1425">IFERROR(INDEX('03.Muestra'!$F$8:$F$42,SMALL(IF("Página Web"='03.Muestra'!$D$8:$D$42,ROW('03.Muestra'!$F$8:$F$42)-MIN(ROW('03.Muestra'!$D$8:$D$42))+1,""),ROW()-1424)),"")</f>
        <v>https://www.portcastello.com/</v>
      </c>
      <c r="D1425" s="130" t="s">
        <v>37</v>
      </c>
      <c r="E1425" s="107" t="str">
        <f t="shared" ref="E1425:E1459" si="74">IF(D1425&lt;&gt;"",IF(AND(B1425&lt;&gt;"",C1425&lt;&gt;""),"","ERR"),"")</f>
        <v/>
      </c>
      <c r="F1425" s="115" t="s">
        <v>33</v>
      </c>
      <c r="G1425" s="116" t="s">
        <v>37</v>
      </c>
      <c r="H1425" s="117" t="s">
        <v>35</v>
      </c>
      <c r="I1425" s="118" t="s">
        <v>28</v>
      </c>
      <c r="J1425" s="119" t="s">
        <v>26</v>
      </c>
      <c r="K1425" s="226" t="s">
        <v>474</v>
      </c>
      <c r="L1425" s="19"/>
    </row>
    <row r="1426" spans="1:12" ht="12" customHeight="1">
      <c r="A1426" s="219" t="n" cm="1">
        <f t="array" ref="A1426">IFERROR(INDEX('03.Muestra'!$B$8:$B$42,SMALL(IF("Página Web"='03.Muestra'!$D$8:$D$42,ROW('03.Muestra'!$B$8:$B$42)-MIN(ROW('03.Muestra'!$D$8:$D$42))+1,""),ROW()-1424)),"")</f>
        <v>1.0</v>
      </c>
      <c r="B1426" s="114" t="str" cm="1">
        <f t="array" ref="B1426">IFERROR(INDEX('03.Muestra'!$C$8:$C$42,SMALL(IF("Página Web"='03.Muestra'!$D$8:$D$42,ROW('03.Muestra'!$C$8:$C$42)-MIN(ROW('03.Muestra'!$D$8:$D$42))+1,""),ROW()-1424)),"")</f>
        <v>Home - PortCastelló</v>
      </c>
      <c r="C1426" s="114" t="str" cm="1">
        <f t="array" ref="C1426">IFERROR(INDEX('03.Muestra'!$F$8:$F$42,SMALL(IF("Página Web"='03.Muestra'!$D$8:$D$42,ROW('03.Muestra'!$F$8:$F$42)-MIN(ROW('03.Muestra'!$D$8:$D$42))+1,""),ROW()-1424)),"")</f>
        <v>https://www.portcastello.com/</v>
      </c>
      <c r="D1426" s="130" t="s">
        <v>37</v>
      </c>
      <c r="E1426" s="107" t="str">
        <f t="shared" si="74"/>
        <v/>
      </c>
      <c r="F1426" s="120" t="n">
        <f ca="1">COUNTIF($D1425:INDIRECT("$D" &amp;  SUM(ROW()-1,'03.Muestra'!$D$45)-1),F1425)</f>
        <v>0.0</v>
      </c>
      <c r="G1426" s="120" t="n">
        <f ca="1">COUNTIF($D1425:INDIRECT("$D" &amp;  SUM(ROW()-1,'03.Muestra'!$D$45)-1),G1425)</f>
        <v>20.0</v>
      </c>
      <c r="H1426" s="120" t="n">
        <f ca="1">COUNTIF($D1425:INDIRECT("$D" &amp;  SUM(ROW()-1,'03.Muestra'!$D$45)-1),H1425)</f>
        <v>0.0</v>
      </c>
      <c r="I1426" s="120" t="n">
        <f ca="1">COUNTIF($D1425:INDIRECT("$D" &amp;  SUM(ROW()-1,'03.Muestra'!$D$45)-1),I1425)</f>
        <v>13.0</v>
      </c>
      <c r="J1426" s="120" t="n">
        <f ca="1">COUNTIF($D1425:INDIRECT("$D" &amp;  SUM(ROW()-1,'03.Muestra'!$D$45)-1),J1425)</f>
        <v>0.0</v>
      </c>
      <c r="K1426" s="227" t="n">
        <f ca="1">IF(COUNTIF('03.Muestra'!$D$8:$D$42,"Página Web")=0,0,COUNTBLANK($D1425:INDIRECT("$D" &amp;  SUM(ROW()-1,COUNTIF('03.Muestra'!$D$8:$D$42,"Página Web"))-1)))</f>
        <v>0.0</v>
      </c>
      <c r="L1426" s="19"/>
    </row>
    <row r="1427" spans="1:12" ht="12" customHeight="1">
      <c r="A1427" s="219" t="n" cm="1">
        <f t="array" ref="A1427">IFERROR(INDEX('03.Muestra'!$B$8:$B$42,SMALL(IF("Página Web"='03.Muestra'!$D$8:$D$42,ROW('03.Muestra'!$B$8:$B$42)-MIN(ROW('03.Muestra'!$D$8:$D$42))+1,""),ROW()-1424)),"")</f>
        <v>1.0</v>
      </c>
      <c r="B1427" s="114" t="str" cm="1">
        <f t="array" ref="B1427">IFERROR(INDEX('03.Muestra'!$C$8:$C$42,SMALL(IF("Página Web"='03.Muestra'!$D$8:$D$42,ROW('03.Muestra'!$C$8:$C$42)-MIN(ROW('03.Muestra'!$D$8:$D$42))+1,""),ROW()-1424)),"")</f>
        <v>Home - PortCastelló</v>
      </c>
      <c r="C1427" s="114" t="str" cm="1">
        <f t="array" ref="C1427">IFERROR(INDEX('03.Muestra'!$F$8:$F$42,SMALL(IF("Página Web"='03.Muestra'!$D$8:$D$42,ROW('03.Muestra'!$F$8:$F$42)-MIN(ROW('03.Muestra'!$D$8:$D$42))+1,""),ROW()-1424)),"")</f>
        <v>https://www.portcastello.com/</v>
      </c>
      <c r="D1427" s="130" t="s">
        <v>37</v>
      </c>
      <c r="E1427" s="107" t="str">
        <f t="shared" si="74"/>
        <v/>
      </c>
      <c r="G1427" s="19"/>
      <c r="H1427" s="19"/>
      <c r="I1427" s="19"/>
      <c r="J1427" s="19"/>
      <c r="K1427" s="233"/>
      <c r="L1427" s="19"/>
    </row>
    <row r="1428" spans="1:12" ht="12" customHeight="1">
      <c r="A1428" s="219" t="n" cm="1">
        <f t="array" ref="A1428">IFERROR(INDEX('03.Muestra'!$B$8:$B$42,SMALL(IF("Página Web"='03.Muestra'!$D$8:$D$42,ROW('03.Muestra'!$B$8:$B$42)-MIN(ROW('03.Muestra'!$D$8:$D$42))+1,""),ROW()-1424)),"")</f>
        <v>1.0</v>
      </c>
      <c r="B1428" s="114" t="str" cm="1">
        <f t="array" ref="B1428">IFERROR(INDEX('03.Muestra'!$C$8:$C$42,SMALL(IF("Página Web"='03.Muestra'!$D$8:$D$42,ROW('03.Muestra'!$C$8:$C$42)-MIN(ROW('03.Muestra'!$D$8:$D$42))+1,""),ROW()-1424)),"")</f>
        <v>Home - PortCastelló</v>
      </c>
      <c r="C1428" s="114" t="str" cm="1">
        <f t="array" ref="C1428">IFERROR(INDEX('03.Muestra'!$F$8:$F$42,SMALL(IF("Página Web"='03.Muestra'!$D$8:$D$42,ROW('03.Muestra'!$F$8:$F$42)-MIN(ROW('03.Muestra'!$D$8:$D$42))+1,""),ROW()-1424)),"")</f>
        <v>https://www.portcastello.com/</v>
      </c>
      <c r="D1428" s="130" t="s">
        <v>37</v>
      </c>
      <c r="E1428" s="107" t="str">
        <f t="shared" si="74"/>
        <v/>
      </c>
      <c r="G1428" s="19"/>
      <c r="H1428" s="19"/>
      <c r="I1428" s="19"/>
      <c r="J1428" s="19"/>
      <c r="K1428" s="233"/>
      <c r="L1428" s="19"/>
    </row>
    <row r="1429" spans="1:12" ht="12" customHeight="1">
      <c r="A1429" s="219" t="n" cm="1">
        <f t="array" ref="A1429">IFERROR(INDEX('03.Muestra'!$B$8:$B$42,SMALL(IF("Página Web"='03.Muestra'!$D$8:$D$42,ROW('03.Muestra'!$B$8:$B$42)-MIN(ROW('03.Muestra'!$D$8:$D$42))+1,""),ROW()-1424)),"")</f>
        <v>1.0</v>
      </c>
      <c r="B1429" s="114" t="str" cm="1">
        <f t="array" ref="B1429">IFERROR(INDEX('03.Muestra'!$C$8:$C$42,SMALL(IF("Página Web"='03.Muestra'!$D$8:$D$42,ROW('03.Muestra'!$C$8:$C$42)-MIN(ROW('03.Muestra'!$D$8:$D$42))+1,""),ROW()-1424)),"")</f>
        <v>Home - PortCastelló</v>
      </c>
      <c r="C1429" s="114" t="str" cm="1">
        <f t="array" ref="C1429">IFERROR(INDEX('03.Muestra'!$F$8:$F$42,SMALL(IF("Página Web"='03.Muestra'!$D$8:$D$42,ROW('03.Muestra'!$F$8:$F$42)-MIN(ROW('03.Muestra'!$D$8:$D$42))+1,""),ROW()-1424)),"")</f>
        <v>https://www.portcastello.com/</v>
      </c>
      <c r="D1429" s="130" t="s">
        <v>37</v>
      </c>
      <c r="E1429" s="107" t="str">
        <f t="shared" si="74"/>
        <v/>
      </c>
      <c r="G1429" s="19"/>
      <c r="H1429" s="19"/>
      <c r="I1429" s="19"/>
      <c r="J1429" s="19"/>
      <c r="K1429" s="233"/>
      <c r="L1429" s="19"/>
    </row>
    <row r="1430" spans="1:12" ht="12" customHeight="1">
      <c r="A1430" s="219" t="n" cm="1">
        <f t="array" ref="A1430">IFERROR(INDEX('03.Muestra'!$B$8:$B$42,SMALL(IF("Página Web"='03.Muestra'!$D$8:$D$42,ROW('03.Muestra'!$B$8:$B$42)-MIN(ROW('03.Muestra'!$D$8:$D$42))+1,""),ROW()-1424)),"")</f>
        <v>1.0</v>
      </c>
      <c r="B1430" s="114" t="str" cm="1">
        <f t="array" ref="B1430">IFERROR(INDEX('03.Muestra'!$C$8:$C$42,SMALL(IF("Página Web"='03.Muestra'!$D$8:$D$42,ROW('03.Muestra'!$C$8:$C$42)-MIN(ROW('03.Muestra'!$D$8:$D$42))+1,""),ROW()-1424)),"")</f>
        <v>Home - PortCastelló</v>
      </c>
      <c r="C1430" s="114" t="str" cm="1">
        <f t="array" ref="C1430">IFERROR(INDEX('03.Muestra'!$F$8:$F$42,SMALL(IF("Página Web"='03.Muestra'!$D$8:$D$42,ROW('03.Muestra'!$F$8:$F$42)-MIN(ROW('03.Muestra'!$D$8:$D$42))+1,""),ROW()-1424)),"")</f>
        <v>https://www.portcastello.com/</v>
      </c>
      <c r="D1430" s="130" t="s">
        <v>37</v>
      </c>
      <c r="E1430" s="107" t="str">
        <f t="shared" si="74"/>
        <v/>
      </c>
      <c r="G1430" s="19"/>
      <c r="H1430" s="19"/>
      <c r="I1430" s="19"/>
      <c r="J1430" s="19"/>
      <c r="K1430" s="233"/>
      <c r="L1430" s="19"/>
    </row>
    <row r="1431" spans="1:12" ht="12" customHeight="1">
      <c r="A1431" s="219" t="n" cm="1">
        <f t="array" ref="A1431">IFERROR(INDEX('03.Muestra'!$B$8:$B$42,SMALL(IF("Página Web"='03.Muestra'!$D$8:$D$42,ROW('03.Muestra'!$B$8:$B$42)-MIN(ROW('03.Muestra'!$D$8:$D$42))+1,""),ROW()-1424)),"")</f>
        <v>1.0</v>
      </c>
      <c r="B1431" s="114" t="str" cm="1">
        <f t="array" ref="B1431">IFERROR(INDEX('03.Muestra'!$C$8:$C$42,SMALL(IF("Página Web"='03.Muestra'!$D$8:$D$42,ROW('03.Muestra'!$C$8:$C$42)-MIN(ROW('03.Muestra'!$D$8:$D$42))+1,""),ROW()-1424)),"")</f>
        <v>Home - PortCastelló</v>
      </c>
      <c r="C1431" s="114" t="str" cm="1">
        <f t="array" ref="C1431">IFERROR(INDEX('03.Muestra'!$F$8:$F$42,SMALL(IF("Página Web"='03.Muestra'!$D$8:$D$42,ROW('03.Muestra'!$F$8:$F$42)-MIN(ROW('03.Muestra'!$D$8:$D$42))+1,""),ROW()-1424)),"")</f>
        <v>https://www.portcastello.com/</v>
      </c>
      <c r="D1431" s="130" t="s">
        <v>37</v>
      </c>
      <c r="E1431" s="107" t="str">
        <f t="shared" si="74"/>
        <v/>
      </c>
      <c r="F1431" s="19"/>
      <c r="G1431" s="19"/>
      <c r="H1431" s="19"/>
      <c r="I1431" s="19"/>
      <c r="J1431" s="19"/>
      <c r="K1431" s="233"/>
      <c r="L1431" s="19"/>
    </row>
    <row r="1432" spans="1:12" ht="12" customHeight="1">
      <c r="A1432" s="219" t="n" cm="1">
        <f t="array" ref="A1432">IFERROR(INDEX('03.Muestra'!$B$8:$B$42,SMALL(IF("Página Web"='03.Muestra'!$D$8:$D$42,ROW('03.Muestra'!$B$8:$B$42)-MIN(ROW('03.Muestra'!$D$8:$D$42))+1,""),ROW()-1424)),"")</f>
        <v>1.0</v>
      </c>
      <c r="B1432" s="114" t="str" cm="1">
        <f t="array" ref="B1432">IFERROR(INDEX('03.Muestra'!$C$8:$C$42,SMALL(IF("Página Web"='03.Muestra'!$D$8:$D$42,ROW('03.Muestra'!$C$8:$C$42)-MIN(ROW('03.Muestra'!$D$8:$D$42))+1,""),ROW()-1424)),"")</f>
        <v>Home - PortCastelló</v>
      </c>
      <c r="C1432" s="114" t="str" cm="1">
        <f t="array" ref="C1432">IFERROR(INDEX('03.Muestra'!$F$8:$F$42,SMALL(IF("Página Web"='03.Muestra'!$D$8:$D$42,ROW('03.Muestra'!$F$8:$F$42)-MIN(ROW('03.Muestra'!$D$8:$D$42))+1,""),ROW()-1424)),"")</f>
        <v>https://www.portcastello.com/</v>
      </c>
      <c r="D1432" s="130" t="s">
        <v>37</v>
      </c>
      <c r="E1432" s="107" t="str">
        <f t="shared" si="74"/>
        <v/>
      </c>
      <c r="F1432" s="19"/>
      <c r="G1432" s="19"/>
      <c r="H1432" s="19"/>
      <c r="I1432" s="19"/>
      <c r="J1432" s="19"/>
      <c r="K1432" s="233"/>
      <c r="L1432" s="19"/>
    </row>
    <row r="1433" spans="1:12" ht="12" customHeight="1">
      <c r="A1433" s="219" t="n" cm="1">
        <f t="array" ref="A1433">IFERROR(INDEX('03.Muestra'!$B$8:$B$42,SMALL(IF("Página Web"='03.Muestra'!$D$8:$D$42,ROW('03.Muestra'!$B$8:$B$42)-MIN(ROW('03.Muestra'!$D$8:$D$42))+1,""),ROW()-1424)),"")</f>
        <v>1.0</v>
      </c>
      <c r="B1433" s="114" t="str" cm="1">
        <f t="array" ref="B1433">IFERROR(INDEX('03.Muestra'!$C$8:$C$42,SMALL(IF("Página Web"='03.Muestra'!$D$8:$D$42,ROW('03.Muestra'!$C$8:$C$42)-MIN(ROW('03.Muestra'!$D$8:$D$42))+1,""),ROW()-1424)),"")</f>
        <v>Home - PortCastelló</v>
      </c>
      <c r="C1433" s="114" t="str" cm="1">
        <f t="array" ref="C1433">IFERROR(INDEX('03.Muestra'!$F$8:$F$42,SMALL(IF("Página Web"='03.Muestra'!$D$8:$D$42,ROW('03.Muestra'!$F$8:$F$42)-MIN(ROW('03.Muestra'!$D$8:$D$42))+1,""),ROW()-1424)),"")</f>
        <v>https://www.portcastello.com/</v>
      </c>
      <c r="D1433" s="130" t="s">
        <v>37</v>
      </c>
      <c r="E1433" s="107" t="str">
        <f t="shared" si="74"/>
        <v/>
      </c>
      <c r="F1433" s="19"/>
      <c r="G1433" s="19"/>
      <c r="H1433" s="19"/>
      <c r="I1433" s="19"/>
      <c r="J1433" s="19"/>
      <c r="K1433" s="233"/>
      <c r="L1433" s="19"/>
    </row>
    <row r="1434" spans="1:12" ht="12" customHeight="1">
      <c r="A1434" s="219" t="n" cm="1">
        <f t="array" ref="A1434">IFERROR(INDEX('03.Muestra'!$B$8:$B$42,SMALL(IF("Página Web"='03.Muestra'!$D$8:$D$42,ROW('03.Muestra'!$B$8:$B$42)-MIN(ROW('03.Muestra'!$D$8:$D$42))+1,""),ROW()-1424)),"")</f>
        <v>1.0</v>
      </c>
      <c r="B1434" s="114" t="str" cm="1">
        <f t="array" ref="B1434">IFERROR(INDEX('03.Muestra'!$C$8:$C$42,SMALL(IF("Página Web"='03.Muestra'!$D$8:$D$42,ROW('03.Muestra'!$C$8:$C$42)-MIN(ROW('03.Muestra'!$D$8:$D$42))+1,""),ROW()-1424)),"")</f>
        <v>Home - PortCastelló</v>
      </c>
      <c r="C1434" s="114" t="str" cm="1">
        <f t="array" ref="C1434">IFERROR(INDEX('03.Muestra'!$F$8:$F$42,SMALL(IF("Página Web"='03.Muestra'!$D$8:$D$42,ROW('03.Muestra'!$F$8:$F$42)-MIN(ROW('03.Muestra'!$D$8:$D$42))+1,""),ROW()-1424)),"")</f>
        <v>https://www.portcastello.com/</v>
      </c>
      <c r="D1434" s="130" t="s">
        <v>37</v>
      </c>
      <c r="E1434" s="107" t="str">
        <f t="shared" si="74"/>
        <v/>
      </c>
      <c r="F1434" s="19"/>
      <c r="G1434" s="19"/>
      <c r="H1434" s="19"/>
      <c r="I1434" s="19"/>
      <c r="J1434" s="19"/>
      <c r="K1434" s="233"/>
      <c r="L1434" s="19"/>
    </row>
    <row r="1435" spans="1:12" ht="12" customHeight="1">
      <c r="A1435" s="219" t="n" cm="1">
        <f t="array" ref="A1435">IFERROR(INDEX('03.Muestra'!$B$8:$B$42,SMALL(IF("Página Web"='03.Muestra'!$D$8:$D$42,ROW('03.Muestra'!$B$8:$B$42)-MIN(ROW('03.Muestra'!$D$8:$D$42))+1,""),ROW()-1424)),"")</f>
        <v>1.0</v>
      </c>
      <c r="B1435" s="114" t="str" cm="1">
        <f t="array" ref="B1435">IFERROR(INDEX('03.Muestra'!$C$8:$C$42,SMALL(IF("Página Web"='03.Muestra'!$D$8:$D$42,ROW('03.Muestra'!$C$8:$C$42)-MIN(ROW('03.Muestra'!$D$8:$D$42))+1,""),ROW()-1424)),"")</f>
        <v>Home - PortCastelló</v>
      </c>
      <c r="C1435" s="114" t="str" cm="1">
        <f t="array" ref="C1435">IFERROR(INDEX('03.Muestra'!$F$8:$F$42,SMALL(IF("Página Web"='03.Muestra'!$D$8:$D$42,ROW('03.Muestra'!$F$8:$F$42)-MIN(ROW('03.Muestra'!$D$8:$D$42))+1,""),ROW()-1424)),"")</f>
        <v>https://www.portcastello.com/</v>
      </c>
      <c r="D1435" s="130" t="s">
        <v>37</v>
      </c>
      <c r="E1435" s="107" t="str">
        <f t="shared" si="74"/>
        <v/>
      </c>
      <c r="F1435" s="19"/>
      <c r="G1435" s="19"/>
      <c r="H1435" s="19"/>
      <c r="I1435" s="19"/>
      <c r="J1435" s="19"/>
      <c r="K1435" s="233"/>
      <c r="L1435" s="19"/>
    </row>
    <row r="1436" spans="1:12" ht="12" customHeight="1">
      <c r="A1436" s="219" t="n" cm="1">
        <f t="array" ref="A1436">IFERROR(INDEX('03.Muestra'!$B$8:$B$42,SMALL(IF("Página Web"='03.Muestra'!$D$8:$D$42,ROW('03.Muestra'!$B$8:$B$42)-MIN(ROW('03.Muestra'!$D$8:$D$42))+1,""),ROW()-1424)),"")</f>
        <v>1.0</v>
      </c>
      <c r="B1436" s="114" t="str" cm="1">
        <f t="array" ref="B1436">IFERROR(INDEX('03.Muestra'!$C$8:$C$42,SMALL(IF("Página Web"='03.Muestra'!$D$8:$D$42,ROW('03.Muestra'!$C$8:$C$42)-MIN(ROW('03.Muestra'!$D$8:$D$42))+1,""),ROW()-1424)),"")</f>
        <v>Home - PortCastelló</v>
      </c>
      <c r="C1436" s="114" t="str" cm="1">
        <f t="array" ref="C1436">IFERROR(INDEX('03.Muestra'!$F$8:$F$42,SMALL(IF("Página Web"='03.Muestra'!$D$8:$D$42,ROW('03.Muestra'!$F$8:$F$42)-MIN(ROW('03.Muestra'!$D$8:$D$42))+1,""),ROW()-1424)),"")</f>
        <v>https://www.portcastello.com/</v>
      </c>
      <c r="D1436" s="130" t="s">
        <v>28</v>
      </c>
      <c r="E1436" s="107" t="str">
        <f t="shared" si="74"/>
        <v/>
      </c>
      <c r="F1436" s="19"/>
      <c r="G1436" s="19"/>
      <c r="H1436" s="19"/>
      <c r="I1436" s="19"/>
      <c r="J1436" s="19"/>
      <c r="K1436" s="233"/>
      <c r="L1436" s="19"/>
    </row>
    <row r="1437" spans="1:12" ht="12" customHeight="1">
      <c r="A1437" s="219" t="n" cm="1">
        <f t="array" ref="A1437">IFERROR(INDEX('03.Muestra'!$B$8:$B$42,SMALL(IF("Página Web"='03.Muestra'!$D$8:$D$42,ROW('03.Muestra'!$B$8:$B$42)-MIN(ROW('03.Muestra'!$D$8:$D$42))+1,""),ROW()-1424)),"")</f>
        <v>1.0</v>
      </c>
      <c r="B1437" s="114" t="str" cm="1">
        <f t="array" ref="B1437">IFERROR(INDEX('03.Muestra'!$C$8:$C$42,SMALL(IF("Página Web"='03.Muestra'!$D$8:$D$42,ROW('03.Muestra'!$C$8:$C$42)-MIN(ROW('03.Muestra'!$D$8:$D$42))+1,""),ROW()-1424)),"")</f>
        <v>Home - PortCastelló</v>
      </c>
      <c r="C1437" s="114" t="str" cm="1">
        <f t="array" ref="C1437">IFERROR(INDEX('03.Muestra'!$F$8:$F$42,SMALL(IF("Página Web"='03.Muestra'!$D$8:$D$42,ROW('03.Muestra'!$F$8:$F$42)-MIN(ROW('03.Muestra'!$D$8:$D$42))+1,""),ROW()-1424)),"")</f>
        <v>https://www.portcastello.com/</v>
      </c>
      <c r="D1437" s="130" t="s">
        <v>37</v>
      </c>
      <c r="E1437" s="107" t="str">
        <f t="shared" si="74"/>
        <v/>
      </c>
      <c r="F1437" s="19"/>
      <c r="G1437" s="19"/>
      <c r="H1437" s="19"/>
      <c r="I1437" s="19"/>
      <c r="J1437" s="19"/>
      <c r="K1437" s="233"/>
      <c r="L1437" s="19"/>
    </row>
    <row r="1438" spans="1:12" ht="12" customHeight="1">
      <c r="A1438" s="219" t="n" cm="1">
        <f t="array" ref="A1438">IFERROR(INDEX('03.Muestra'!$B$8:$B$42,SMALL(IF("Página Web"='03.Muestra'!$D$8:$D$42,ROW('03.Muestra'!$B$8:$B$42)-MIN(ROW('03.Muestra'!$D$8:$D$42))+1,""),ROW()-1424)),"")</f>
        <v>1.0</v>
      </c>
      <c r="B1438" s="114" t="str" cm="1">
        <f t="array" ref="B1438">IFERROR(INDEX('03.Muestra'!$C$8:$C$42,SMALL(IF("Página Web"='03.Muestra'!$D$8:$D$42,ROW('03.Muestra'!$C$8:$C$42)-MIN(ROW('03.Muestra'!$D$8:$D$42))+1,""),ROW()-1424)),"")</f>
        <v>Home - PortCastelló</v>
      </c>
      <c r="C1438" s="114" t="str" cm="1">
        <f t="array" ref="C1438">IFERROR(INDEX('03.Muestra'!$F$8:$F$42,SMALL(IF("Página Web"='03.Muestra'!$D$8:$D$42,ROW('03.Muestra'!$F$8:$F$42)-MIN(ROW('03.Muestra'!$D$8:$D$42))+1,""),ROW()-1424)),"")</f>
        <v>https://www.portcastello.com/</v>
      </c>
      <c r="D1438" s="130" t="s">
        <v>37</v>
      </c>
      <c r="E1438" s="107" t="str">
        <f t="shared" si="74"/>
        <v/>
      </c>
      <c r="F1438" s="19"/>
      <c r="G1438" s="19"/>
      <c r="H1438" s="19"/>
      <c r="I1438" s="19"/>
      <c r="J1438" s="19"/>
      <c r="K1438" s="233"/>
      <c r="L1438" s="19"/>
    </row>
    <row r="1439" spans="1:12" ht="12" customHeight="1">
      <c r="A1439" s="219" t="n" cm="1">
        <f t="array" ref="A1439">IFERROR(INDEX('03.Muestra'!$B$8:$B$42,SMALL(IF("Página Web"='03.Muestra'!$D$8:$D$42,ROW('03.Muestra'!$B$8:$B$42)-MIN(ROW('03.Muestra'!$D$8:$D$42))+1,""),ROW()-1424)),"")</f>
        <v>1.0</v>
      </c>
      <c r="B1439" s="114" t="str" cm="1">
        <f t="array" ref="B1439">IFERROR(INDEX('03.Muestra'!$C$8:$C$42,SMALL(IF("Página Web"='03.Muestra'!$D$8:$D$42,ROW('03.Muestra'!$C$8:$C$42)-MIN(ROW('03.Muestra'!$D$8:$D$42))+1,""),ROW()-1424)),"")</f>
        <v>Home - PortCastelló</v>
      </c>
      <c r="C1439" s="114" t="str" cm="1">
        <f t="array" ref="C1439">IFERROR(INDEX('03.Muestra'!$F$8:$F$42,SMALL(IF("Página Web"='03.Muestra'!$D$8:$D$42,ROW('03.Muestra'!$F$8:$F$42)-MIN(ROW('03.Muestra'!$D$8:$D$42))+1,""),ROW()-1424)),"")</f>
        <v>https://www.portcastello.com/</v>
      </c>
      <c r="D1439" s="130" t="s">
        <v>37</v>
      </c>
      <c r="E1439" s="107" t="str">
        <f t="shared" si="74"/>
        <v/>
      </c>
      <c r="F1439" s="19"/>
      <c r="G1439" s="19"/>
      <c r="H1439" s="19"/>
      <c r="I1439" s="19"/>
      <c r="J1439" s="19"/>
      <c r="K1439" s="233"/>
      <c r="L1439" s="19"/>
    </row>
    <row r="1440" spans="1:12" ht="12" customHeight="1">
      <c r="A1440" s="219" t="n" cm="1">
        <f t="array" ref="A1440">IFERROR(INDEX('03.Muestra'!$B$8:$B$42,SMALL(IF("Página Web"='03.Muestra'!$D$8:$D$42,ROW('03.Muestra'!$B$8:$B$42)-MIN(ROW('03.Muestra'!$D$8:$D$42))+1,""),ROW()-1424)),"")</f>
        <v>1.0</v>
      </c>
      <c r="B1440" s="114" t="str" cm="1">
        <f t="array" ref="B1440">IFERROR(INDEX('03.Muestra'!$C$8:$C$42,SMALL(IF("Página Web"='03.Muestra'!$D$8:$D$42,ROW('03.Muestra'!$C$8:$C$42)-MIN(ROW('03.Muestra'!$D$8:$D$42))+1,""),ROW()-1424)),"")</f>
        <v>Home - PortCastelló</v>
      </c>
      <c r="C1440" s="114" t="str" cm="1">
        <f t="array" ref="C1440">IFERROR(INDEX('03.Muestra'!$F$8:$F$42,SMALL(IF("Página Web"='03.Muestra'!$D$8:$D$42,ROW('03.Muestra'!$F$8:$F$42)-MIN(ROW('03.Muestra'!$D$8:$D$42))+1,""),ROW()-1424)),"")</f>
        <v>https://www.portcastello.com/</v>
      </c>
      <c r="D1440" s="130" t="s">
        <v>37</v>
      </c>
      <c r="E1440" s="107" t="str">
        <f t="shared" si="74"/>
        <v/>
      </c>
      <c r="F1440" s="19"/>
      <c r="G1440" s="19"/>
      <c r="H1440" s="19"/>
      <c r="I1440" s="19"/>
      <c r="J1440" s="19"/>
      <c r="K1440" s="233"/>
      <c r="L1440" s="19"/>
    </row>
    <row r="1441" spans="1:12" ht="12" customHeight="1">
      <c r="A1441" s="219" t="n" cm="1">
        <f t="array" ref="A1441">IFERROR(INDEX('03.Muestra'!$B$8:$B$42,SMALL(IF("Página Web"='03.Muestra'!$D$8:$D$42,ROW('03.Muestra'!$B$8:$B$42)-MIN(ROW('03.Muestra'!$D$8:$D$42))+1,""),ROW()-1424)),"")</f>
        <v>1.0</v>
      </c>
      <c r="B1441" s="114" t="str" cm="1">
        <f t="array" ref="B1441">IFERROR(INDEX('03.Muestra'!$C$8:$C$42,SMALL(IF("Página Web"='03.Muestra'!$D$8:$D$42,ROW('03.Muestra'!$C$8:$C$42)-MIN(ROW('03.Muestra'!$D$8:$D$42))+1,""),ROW()-1424)),"")</f>
        <v>Home - PortCastelló</v>
      </c>
      <c r="C1441" s="114" t="str" cm="1">
        <f t="array" ref="C1441">IFERROR(INDEX('03.Muestra'!$F$8:$F$42,SMALL(IF("Página Web"='03.Muestra'!$D$8:$D$42,ROW('03.Muestra'!$F$8:$F$42)-MIN(ROW('03.Muestra'!$D$8:$D$42))+1,""),ROW()-1424)),"")</f>
        <v>https://www.portcastello.com/</v>
      </c>
      <c r="D1441" s="130" t="s">
        <v>37</v>
      </c>
      <c r="E1441" s="107" t="str">
        <f t="shared" si="74"/>
        <v/>
      </c>
      <c r="F1441" s="19"/>
      <c r="G1441" s="19"/>
      <c r="H1441" s="19"/>
      <c r="I1441" s="19"/>
      <c r="J1441" s="19"/>
      <c r="K1441" s="233"/>
      <c r="L1441" s="19"/>
    </row>
    <row r="1442" spans="1:12" ht="12" customHeight="1">
      <c r="A1442" s="219" t="n" cm="1">
        <f t="array" ref="A1442">IFERROR(INDEX('03.Muestra'!$B$8:$B$42,SMALL(IF("Página Web"='03.Muestra'!$D$8:$D$42,ROW('03.Muestra'!$B$8:$B$42)-MIN(ROW('03.Muestra'!$D$8:$D$42))+1,""),ROW()-1424)),"")</f>
        <v>1.0</v>
      </c>
      <c r="B1442" s="114" t="str" cm="1">
        <f t="array" ref="B1442">IFERROR(INDEX('03.Muestra'!$C$8:$C$42,SMALL(IF("Página Web"='03.Muestra'!$D$8:$D$42,ROW('03.Muestra'!$C$8:$C$42)-MIN(ROW('03.Muestra'!$D$8:$D$42))+1,""),ROW()-1424)),"")</f>
        <v>Home - PortCastelló</v>
      </c>
      <c r="C1442" s="114" t="str" cm="1">
        <f t="array" ref="C1442">IFERROR(INDEX('03.Muestra'!$F$8:$F$42,SMALL(IF("Página Web"='03.Muestra'!$D$8:$D$42,ROW('03.Muestra'!$F$8:$F$42)-MIN(ROW('03.Muestra'!$D$8:$D$42))+1,""),ROW()-1424)),"")</f>
        <v>https://www.portcastello.com/</v>
      </c>
      <c r="D1442" s="130" t="s">
        <v>37</v>
      </c>
      <c r="E1442" s="107" t="str">
        <f t="shared" si="74"/>
        <v/>
      </c>
      <c r="F1442" s="19"/>
      <c r="G1442" s="19"/>
      <c r="H1442" s="19"/>
      <c r="I1442" s="19"/>
      <c r="J1442" s="19"/>
      <c r="K1442" s="233"/>
      <c r="L1442" s="19"/>
    </row>
    <row r="1443" spans="1:12" ht="12" customHeight="1">
      <c r="A1443" s="219" t="n" cm="1">
        <f t="array" ref="A1443">IFERROR(INDEX('03.Muestra'!$B$8:$B$42,SMALL(IF("Página Web"='03.Muestra'!$D$8:$D$42,ROW('03.Muestra'!$B$8:$B$42)-MIN(ROW('03.Muestra'!$D$8:$D$42))+1,""),ROW()-1424)),"")</f>
        <v>1.0</v>
      </c>
      <c r="B1443" s="114" t="str" cm="1">
        <f t="array" ref="B1443">IFERROR(INDEX('03.Muestra'!$C$8:$C$42,SMALL(IF("Página Web"='03.Muestra'!$D$8:$D$42,ROW('03.Muestra'!$C$8:$C$42)-MIN(ROW('03.Muestra'!$D$8:$D$42))+1,""),ROW()-1424)),"")</f>
        <v>Home - PortCastelló</v>
      </c>
      <c r="C1443" s="114" t="str" cm="1">
        <f t="array" ref="C1443">IFERROR(INDEX('03.Muestra'!$F$8:$F$42,SMALL(IF("Página Web"='03.Muestra'!$D$8:$D$42,ROW('03.Muestra'!$F$8:$F$42)-MIN(ROW('03.Muestra'!$D$8:$D$42))+1,""),ROW()-1424)),"")</f>
        <v>https://www.portcastello.com/</v>
      </c>
      <c r="D1443" s="130" t="s">
        <v>37</v>
      </c>
      <c r="E1443" s="107" t="str">
        <f t="shared" si="74"/>
        <v/>
      </c>
      <c r="F1443" s="19"/>
      <c r="G1443" s="19"/>
      <c r="H1443" s="19"/>
      <c r="I1443" s="19"/>
      <c r="J1443" s="19"/>
      <c r="K1443" s="233"/>
      <c r="L1443" s="19"/>
    </row>
    <row r="1444" spans="1:12" ht="12" customHeight="1">
      <c r="A1444" s="219" t="n" cm="1">
        <f t="array" ref="A1444">IFERROR(INDEX('03.Muestra'!$B$8:$B$42,SMALL(IF("Página Web"='03.Muestra'!$D$8:$D$42,ROW('03.Muestra'!$B$8:$B$42)-MIN(ROW('03.Muestra'!$D$8:$D$42))+1,""),ROW()-1424)),"")</f>
        <v>1.0</v>
      </c>
      <c r="B1444" s="114" t="str" cm="1">
        <f t="array" ref="B1444">IFERROR(INDEX('03.Muestra'!$C$8:$C$42,SMALL(IF("Página Web"='03.Muestra'!$D$8:$D$42,ROW('03.Muestra'!$C$8:$C$42)-MIN(ROW('03.Muestra'!$D$8:$D$42))+1,""),ROW()-1424)),"")</f>
        <v>Home - PortCastelló</v>
      </c>
      <c r="C1444" s="114" t="str" cm="1">
        <f t="array" ref="C1444">IFERROR(INDEX('03.Muestra'!$F$8:$F$42,SMALL(IF("Página Web"='03.Muestra'!$D$8:$D$42,ROW('03.Muestra'!$F$8:$F$42)-MIN(ROW('03.Muestra'!$D$8:$D$42))+1,""),ROW()-1424)),"")</f>
        <v>https://www.portcastello.com/</v>
      </c>
      <c r="D1444" s="130" t="s">
        <v>37</v>
      </c>
      <c r="E1444" s="107" t="str">
        <f t="shared" si="74"/>
        <v/>
      </c>
      <c r="F1444" s="19"/>
      <c r="G1444" s="19"/>
      <c r="H1444" s="19"/>
      <c r="I1444" s="19"/>
      <c r="J1444" s="19"/>
      <c r="K1444" s="233"/>
      <c r="L1444" s="19"/>
    </row>
    <row r="1445" spans="1:12" ht="12" customHeight="1">
      <c r="A1445" s="219" t="n" cm="1">
        <f t="array" ref="A1445">IFERROR(INDEX('03.Muestra'!$B$8:$B$42,SMALL(IF("Página Web"='03.Muestra'!$D$8:$D$42,ROW('03.Muestra'!$B$8:$B$42)-MIN(ROW('03.Muestra'!$D$8:$D$42))+1,""),ROW()-1424)),"")</f>
        <v>1.0</v>
      </c>
      <c r="B1445" s="114" t="str" cm="1">
        <f t="array" ref="B1445">IFERROR(INDEX('03.Muestra'!$C$8:$C$42,SMALL(IF("Página Web"='03.Muestra'!$D$8:$D$42,ROW('03.Muestra'!$C$8:$C$42)-MIN(ROW('03.Muestra'!$D$8:$D$42))+1,""),ROW()-1424)),"")</f>
        <v>Home - PortCastelló</v>
      </c>
      <c r="C1445" s="114" t="str" cm="1">
        <f t="array" ref="C1445">IFERROR(INDEX('03.Muestra'!$F$8:$F$42,SMALL(IF("Página Web"='03.Muestra'!$D$8:$D$42,ROW('03.Muestra'!$F$8:$F$42)-MIN(ROW('03.Muestra'!$D$8:$D$42))+1,""),ROW()-1424)),"")</f>
        <v>https://www.portcastello.com/</v>
      </c>
      <c r="D1445" s="130" t="s">
        <v>37</v>
      </c>
      <c r="E1445" s="107" t="str">
        <f t="shared" si="74"/>
        <v/>
      </c>
      <c r="F1445" s="19"/>
      <c r="G1445" s="19"/>
      <c r="H1445" s="19"/>
      <c r="I1445" s="19"/>
      <c r="J1445" s="19"/>
      <c r="K1445" s="233"/>
      <c r="L1445" s="19"/>
    </row>
    <row r="1446" spans="1:12" ht="12" customHeight="1">
      <c r="A1446" s="219" t="n" cm="1">
        <f t="array" ref="A1446">IFERROR(INDEX('03.Muestra'!$B$8:$B$42,SMALL(IF("Página Web"='03.Muestra'!$D$8:$D$42,ROW('03.Muestra'!$B$8:$B$42)-MIN(ROW('03.Muestra'!$D$8:$D$42))+1,""),ROW()-1424)),"")</f>
        <v>1.0</v>
      </c>
      <c r="B1446" s="114" t="str" cm="1">
        <f t="array" ref="B1446">IFERROR(INDEX('03.Muestra'!$C$8:$C$42,SMALL(IF("Página Web"='03.Muestra'!$D$8:$D$42,ROW('03.Muestra'!$C$8:$C$42)-MIN(ROW('03.Muestra'!$D$8:$D$42))+1,""),ROW()-1424)),"")</f>
        <v>Home - PortCastelló</v>
      </c>
      <c r="C1446" s="114" t="str" cm="1">
        <f t="array" ref="C1446">IFERROR(INDEX('03.Muestra'!$F$8:$F$42,SMALL(IF("Página Web"='03.Muestra'!$D$8:$D$42,ROW('03.Muestra'!$F$8:$F$42)-MIN(ROW('03.Muestra'!$D$8:$D$42))+1,""),ROW()-1424)),"")</f>
        <v>https://www.portcastello.com/</v>
      </c>
      <c r="D1446" s="130" t="s">
        <v>28</v>
      </c>
      <c r="E1446" s="107" t="str">
        <f t="shared" si="74"/>
        <v/>
      </c>
      <c r="F1446" s="19"/>
      <c r="G1446" s="19"/>
      <c r="H1446" s="19"/>
      <c r="I1446" s="19"/>
      <c r="J1446" s="19"/>
      <c r="K1446" s="233"/>
      <c r="L1446" s="19"/>
    </row>
    <row r="1447" spans="1:12" ht="12" customHeight="1">
      <c r="A1447" s="219" t="n" cm="1">
        <f t="array" ref="A1447">IFERROR(INDEX('03.Muestra'!$B$8:$B$42,SMALL(IF("Página Web"='03.Muestra'!$D$8:$D$42,ROW('03.Muestra'!$B$8:$B$42)-MIN(ROW('03.Muestra'!$D$8:$D$42))+1,""),ROW()-1424)),"")</f>
        <v>1.0</v>
      </c>
      <c r="B1447" s="114" t="str" cm="1">
        <f t="array" ref="B1447">IFERROR(INDEX('03.Muestra'!$C$8:$C$42,SMALL(IF("Página Web"='03.Muestra'!$D$8:$D$42,ROW('03.Muestra'!$C$8:$C$42)-MIN(ROW('03.Muestra'!$D$8:$D$42))+1,""),ROW()-1424)),"")</f>
        <v>Home - PortCastelló</v>
      </c>
      <c r="C1447" s="114" t="str" cm="1">
        <f t="array" ref="C1447">IFERROR(INDEX('03.Muestra'!$F$8:$F$42,SMALL(IF("Página Web"='03.Muestra'!$D$8:$D$42,ROW('03.Muestra'!$F$8:$F$42)-MIN(ROW('03.Muestra'!$D$8:$D$42))+1,""),ROW()-1424)),"")</f>
        <v>https://www.portcastello.com/</v>
      </c>
      <c r="D1447" s="130" t="s">
        <v>28</v>
      </c>
      <c r="E1447" s="107" t="str">
        <f t="shared" si="74"/>
        <v/>
      </c>
      <c r="F1447" s="19"/>
      <c r="G1447" s="19"/>
      <c r="H1447" s="19"/>
      <c r="I1447" s="19"/>
      <c r="J1447" s="19"/>
      <c r="K1447" s="233"/>
      <c r="L1447" s="19"/>
    </row>
    <row r="1448" spans="1:12" ht="12" customHeight="1">
      <c r="A1448" s="219" t="n" cm="1">
        <f t="array" ref="A1448">IFERROR(INDEX('03.Muestra'!$B$8:$B$42,SMALL(IF("Página Web"='03.Muestra'!$D$8:$D$42,ROW('03.Muestra'!$B$8:$B$42)-MIN(ROW('03.Muestra'!$D$8:$D$42))+1,""),ROW()-1424)),"")</f>
        <v>1.0</v>
      </c>
      <c r="B1448" s="114" t="str" cm="1">
        <f t="array" ref="B1448">IFERROR(INDEX('03.Muestra'!$C$8:$C$42,SMALL(IF("Página Web"='03.Muestra'!$D$8:$D$42,ROW('03.Muestra'!$C$8:$C$42)-MIN(ROW('03.Muestra'!$D$8:$D$42))+1,""),ROW()-1424)),"")</f>
        <v>Home - PortCastelló</v>
      </c>
      <c r="C1448" s="114" t="str" cm="1">
        <f t="array" ref="C1448">IFERROR(INDEX('03.Muestra'!$F$8:$F$42,SMALL(IF("Página Web"='03.Muestra'!$D$8:$D$42,ROW('03.Muestra'!$F$8:$F$42)-MIN(ROW('03.Muestra'!$D$8:$D$42))+1,""),ROW()-1424)),"")</f>
        <v>https://www.portcastello.com/</v>
      </c>
      <c r="D1448" s="130" t="s">
        <v>28</v>
      </c>
      <c r="E1448" s="107" t="str">
        <f t="shared" si="74"/>
        <v/>
      </c>
      <c r="F1448" s="19"/>
      <c r="G1448" s="19"/>
      <c r="H1448" s="19"/>
      <c r="I1448" s="19"/>
      <c r="J1448" s="19"/>
      <c r="K1448" s="233"/>
      <c r="L1448" s="19"/>
    </row>
    <row r="1449" spans="1:12" ht="12" customHeight="1">
      <c r="A1449" s="219" t="n" cm="1">
        <f t="array" ref="A1449">IFERROR(INDEX('03.Muestra'!$B$8:$B$42,SMALL(IF("Página Web"='03.Muestra'!$D$8:$D$42,ROW('03.Muestra'!$B$8:$B$42)-MIN(ROW('03.Muestra'!$D$8:$D$42))+1,""),ROW()-1424)),"")</f>
        <v>1.0</v>
      </c>
      <c r="B1449" s="114" t="str" cm="1">
        <f t="array" ref="B1449">IFERROR(INDEX('03.Muestra'!$C$8:$C$42,SMALL(IF("Página Web"='03.Muestra'!$D$8:$D$42,ROW('03.Muestra'!$C$8:$C$42)-MIN(ROW('03.Muestra'!$D$8:$D$42))+1,""),ROW()-1424)),"")</f>
        <v>Home - PortCastelló</v>
      </c>
      <c r="C1449" s="114" t="str" cm="1">
        <f t="array" ref="C1449">IFERROR(INDEX('03.Muestra'!$F$8:$F$42,SMALL(IF("Página Web"='03.Muestra'!$D$8:$D$42,ROW('03.Muestra'!$F$8:$F$42)-MIN(ROW('03.Muestra'!$D$8:$D$42))+1,""),ROW()-1424)),"")</f>
        <v>https://www.portcastello.com/</v>
      </c>
      <c r="D1449" s="130" t="s">
        <v>28</v>
      </c>
      <c r="E1449" s="107" t="str">
        <f t="shared" si="74"/>
        <v/>
      </c>
      <c r="F1449" s="19"/>
      <c r="G1449" s="19"/>
      <c r="H1449" s="19"/>
      <c r="I1449" s="19"/>
      <c r="J1449" s="19"/>
      <c r="K1449" s="233"/>
      <c r="L1449" s="19"/>
    </row>
    <row r="1450" spans="1:12" ht="12" customHeight="1">
      <c r="A1450" s="219" t="n" cm="1">
        <f t="array" ref="A1450">IFERROR(INDEX('03.Muestra'!$B$8:$B$42,SMALL(IF("Página Web"='03.Muestra'!$D$8:$D$42,ROW('03.Muestra'!$B$8:$B$42)-MIN(ROW('03.Muestra'!$D$8:$D$42))+1,""),ROW()-1424)),"")</f>
        <v>1.0</v>
      </c>
      <c r="B1450" s="114" t="str" cm="1">
        <f t="array" ref="B1450">IFERROR(INDEX('03.Muestra'!$C$8:$C$42,SMALL(IF("Página Web"='03.Muestra'!$D$8:$D$42,ROW('03.Muestra'!$C$8:$C$42)-MIN(ROW('03.Muestra'!$D$8:$D$42))+1,""),ROW()-1424)),"")</f>
        <v>Home - PortCastelló</v>
      </c>
      <c r="C1450" s="114" t="str" cm="1">
        <f t="array" ref="C1450">IFERROR(INDEX('03.Muestra'!$F$8:$F$42,SMALL(IF("Página Web"='03.Muestra'!$D$8:$D$42,ROW('03.Muestra'!$F$8:$F$42)-MIN(ROW('03.Muestra'!$D$8:$D$42))+1,""),ROW()-1424)),"")</f>
        <v>https://www.portcastello.com/</v>
      </c>
      <c r="D1450" s="130" t="s">
        <v>28</v>
      </c>
      <c r="E1450" s="107" t="str">
        <f t="shared" si="74"/>
        <v/>
      </c>
      <c r="F1450" s="19"/>
      <c r="G1450" s="19"/>
      <c r="H1450" s="19"/>
      <c r="I1450" s="19"/>
      <c r="J1450" s="19"/>
      <c r="K1450" s="233"/>
      <c r="L1450" s="19"/>
    </row>
    <row r="1451" spans="1:12" ht="12" customHeight="1">
      <c r="A1451" s="219" t="n" cm="1">
        <f t="array" ref="A1451">IFERROR(INDEX('03.Muestra'!$B$8:$B$42,SMALL(IF("Página Web"='03.Muestra'!$D$8:$D$42,ROW('03.Muestra'!$B$8:$B$42)-MIN(ROW('03.Muestra'!$D$8:$D$42))+1,""),ROW()-1424)),"")</f>
        <v>1.0</v>
      </c>
      <c r="B1451" s="114" t="str" cm="1">
        <f t="array" ref="B1451">IFERROR(INDEX('03.Muestra'!$C$8:$C$42,SMALL(IF("Página Web"='03.Muestra'!$D$8:$D$42,ROW('03.Muestra'!$C$8:$C$42)-MIN(ROW('03.Muestra'!$D$8:$D$42))+1,""),ROW()-1424)),"")</f>
        <v>Home - PortCastelló</v>
      </c>
      <c r="C1451" s="114" t="str" cm="1">
        <f t="array" ref="C1451">IFERROR(INDEX('03.Muestra'!$F$8:$F$42,SMALL(IF("Página Web"='03.Muestra'!$D$8:$D$42,ROW('03.Muestra'!$F$8:$F$42)-MIN(ROW('03.Muestra'!$D$8:$D$42))+1,""),ROW()-1424)),"")</f>
        <v>https://www.portcastello.com/</v>
      </c>
      <c r="D1451" s="130" t="s">
        <v>28</v>
      </c>
      <c r="E1451" s="107" t="str">
        <f t="shared" si="74"/>
        <v/>
      </c>
      <c r="F1451" s="19"/>
      <c r="G1451" s="19"/>
      <c r="H1451" s="19"/>
      <c r="I1451" s="19"/>
      <c r="J1451" s="19"/>
      <c r="K1451" s="233"/>
      <c r="L1451" s="19"/>
    </row>
    <row r="1452" spans="1:12" ht="12" customHeight="1">
      <c r="A1452" s="219" t="n" cm="1">
        <f t="array" ref="A1452">IFERROR(INDEX('03.Muestra'!$B$8:$B$42,SMALL(IF("Página Web"='03.Muestra'!$D$8:$D$42,ROW('03.Muestra'!$B$8:$B$42)-MIN(ROW('03.Muestra'!$D$8:$D$42))+1,""),ROW()-1424)),"")</f>
        <v>1.0</v>
      </c>
      <c r="B1452" s="114" t="str" cm="1">
        <f t="array" ref="B1452">IFERROR(INDEX('03.Muestra'!$C$8:$C$42,SMALL(IF("Página Web"='03.Muestra'!$D$8:$D$42,ROW('03.Muestra'!$C$8:$C$42)-MIN(ROW('03.Muestra'!$D$8:$D$42))+1,""),ROW()-1424)),"")</f>
        <v>Home - PortCastelló</v>
      </c>
      <c r="C1452" s="114" t="str" cm="1">
        <f t="array" ref="C1452">IFERROR(INDEX('03.Muestra'!$F$8:$F$42,SMALL(IF("Página Web"='03.Muestra'!$D$8:$D$42,ROW('03.Muestra'!$F$8:$F$42)-MIN(ROW('03.Muestra'!$D$8:$D$42))+1,""),ROW()-1424)),"")</f>
        <v>https://www.portcastello.com/</v>
      </c>
      <c r="D1452" s="130" t="s">
        <v>28</v>
      </c>
      <c r="E1452" s="107" t="str">
        <f t="shared" si="74"/>
        <v/>
      </c>
      <c r="G1452" s="19"/>
      <c r="H1452" s="19"/>
      <c r="I1452" s="19"/>
      <c r="J1452" s="19"/>
      <c r="K1452" s="233"/>
      <c r="L1452" s="19"/>
    </row>
    <row r="1453" spans="1:12" ht="12" customHeight="1">
      <c r="A1453" s="219" t="n" cm="1">
        <f t="array" ref="A1453">IFERROR(INDEX('03.Muestra'!$B$8:$B$42,SMALL(IF("Página Web"='03.Muestra'!$D$8:$D$42,ROW('03.Muestra'!$B$8:$B$42)-MIN(ROW('03.Muestra'!$D$8:$D$42))+1,""),ROW()-1424)),"")</f>
        <v>1.0</v>
      </c>
      <c r="B1453" s="114" t="str" cm="1">
        <f t="array" ref="B1453">IFERROR(INDEX('03.Muestra'!$C$8:$C$42,SMALL(IF("Página Web"='03.Muestra'!$D$8:$D$42,ROW('03.Muestra'!$C$8:$C$42)-MIN(ROW('03.Muestra'!$D$8:$D$42))+1,""),ROW()-1424)),"")</f>
        <v>Home - PortCastelló</v>
      </c>
      <c r="C1453" s="114" t="str" cm="1">
        <f t="array" ref="C1453">IFERROR(INDEX('03.Muestra'!$F$8:$F$42,SMALL(IF("Página Web"='03.Muestra'!$D$8:$D$42,ROW('03.Muestra'!$F$8:$F$42)-MIN(ROW('03.Muestra'!$D$8:$D$42))+1,""),ROW()-1424)),"")</f>
        <v>https://www.portcastello.com/</v>
      </c>
      <c r="D1453" s="130" t="s">
        <v>28</v>
      </c>
      <c r="E1453" s="107" t="str">
        <f t="shared" si="74"/>
        <v/>
      </c>
      <c r="F1453" s="124"/>
      <c r="G1453" s="19"/>
      <c r="H1453" s="19"/>
      <c r="I1453" s="19"/>
      <c r="J1453" s="19"/>
      <c r="K1453" s="233"/>
      <c r="L1453" s="19"/>
    </row>
    <row r="1454" spans="1:12" ht="12" customHeight="1">
      <c r="A1454" s="219" t="n" cm="1">
        <f t="array" ref="A1454">IFERROR(INDEX('03.Muestra'!$B$8:$B$42,SMALL(IF("Página Web"='03.Muestra'!$D$8:$D$42,ROW('03.Muestra'!$B$8:$B$42)-MIN(ROW('03.Muestra'!$D$8:$D$42))+1,""),ROW()-1424)),"")</f>
        <v>1.0</v>
      </c>
      <c r="B1454" s="114" t="str" cm="1">
        <f t="array" ref="B1454">IFERROR(INDEX('03.Muestra'!$C$8:$C$42,SMALL(IF("Página Web"='03.Muestra'!$D$8:$D$42,ROW('03.Muestra'!$C$8:$C$42)-MIN(ROW('03.Muestra'!$D$8:$D$42))+1,""),ROW()-1424)),"")</f>
        <v>Home - PortCastelló</v>
      </c>
      <c r="C1454" s="114" t="str" cm="1">
        <f t="array" ref="C1454">IFERROR(INDEX('03.Muestra'!$F$8:$F$42,SMALL(IF("Página Web"='03.Muestra'!$D$8:$D$42,ROW('03.Muestra'!$F$8:$F$42)-MIN(ROW('03.Muestra'!$D$8:$D$42))+1,""),ROW()-1424)),"")</f>
        <v>https://www.portcastello.com/</v>
      </c>
      <c r="D1454" s="130" t="s">
        <v>28</v>
      </c>
      <c r="E1454" s="107" t="str">
        <f t="shared" si="74"/>
        <v/>
      </c>
      <c r="F1454" s="124"/>
      <c r="G1454" s="19"/>
      <c r="H1454" s="19"/>
      <c r="I1454" s="19"/>
      <c r="J1454" s="19"/>
      <c r="K1454" s="233"/>
      <c r="L1454" s="19"/>
    </row>
    <row r="1455" spans="1:12" ht="12" customHeight="1">
      <c r="A1455" s="219" t="n" cm="1">
        <f t="array" ref="A1455">IFERROR(INDEX('03.Muestra'!$B$8:$B$42,SMALL(IF("Página Web"='03.Muestra'!$D$8:$D$42,ROW('03.Muestra'!$B$8:$B$42)-MIN(ROW('03.Muestra'!$D$8:$D$42))+1,""),ROW()-1424)),"")</f>
        <v>1.0</v>
      </c>
      <c r="B1455" s="114" t="str" cm="1">
        <f t="array" ref="B1455">IFERROR(INDEX('03.Muestra'!$C$8:$C$42,SMALL(IF("Página Web"='03.Muestra'!$D$8:$D$42,ROW('03.Muestra'!$C$8:$C$42)-MIN(ROW('03.Muestra'!$D$8:$D$42))+1,""),ROW()-1424)),"")</f>
        <v>Home - PortCastelló</v>
      </c>
      <c r="C1455" s="114" t="str" cm="1">
        <f t="array" ref="C1455">IFERROR(INDEX('03.Muestra'!$F$8:$F$42,SMALL(IF("Página Web"='03.Muestra'!$D$8:$D$42,ROW('03.Muestra'!$F$8:$F$42)-MIN(ROW('03.Muestra'!$D$8:$D$42))+1,""),ROW()-1424)),"")</f>
        <v>https://www.portcastello.com/</v>
      </c>
      <c r="D1455" s="130" t="s">
        <v>28</v>
      </c>
      <c r="E1455" s="107" t="str">
        <f t="shared" si="74"/>
        <v/>
      </c>
      <c r="F1455" s="124"/>
      <c r="G1455" s="19"/>
      <c r="H1455" s="19"/>
      <c r="I1455" s="19"/>
      <c r="J1455" s="19"/>
      <c r="K1455" s="233"/>
      <c r="L1455" s="19"/>
    </row>
    <row r="1456" spans="1:12" ht="12" customHeight="1">
      <c r="A1456" s="219" t="n" cm="1">
        <f t="array" ref="A1456">IFERROR(INDEX('03.Muestra'!$B$8:$B$42,SMALL(IF("Página Web"='03.Muestra'!$D$8:$D$42,ROW('03.Muestra'!$B$8:$B$42)-MIN(ROW('03.Muestra'!$D$8:$D$42))+1,""),ROW()-1424)),"")</f>
        <v>1.0</v>
      </c>
      <c r="B1456" s="114" t="str" cm="1">
        <f t="array" ref="B1456">IFERROR(INDEX('03.Muestra'!$C$8:$C$42,SMALL(IF("Página Web"='03.Muestra'!$D$8:$D$42,ROW('03.Muestra'!$C$8:$C$42)-MIN(ROW('03.Muestra'!$D$8:$D$42))+1,""),ROW()-1424)),"")</f>
        <v>Home - PortCastelló</v>
      </c>
      <c r="C1456" s="114" t="str" cm="1">
        <f t="array" ref="C1456">IFERROR(INDEX('03.Muestra'!$F$8:$F$42,SMALL(IF("Página Web"='03.Muestra'!$D$8:$D$42,ROW('03.Muestra'!$F$8:$F$42)-MIN(ROW('03.Muestra'!$D$8:$D$42))+1,""),ROW()-1424)),"")</f>
        <v>https://www.portcastello.com/</v>
      </c>
      <c r="D1456" s="130" t="s">
        <v>28</v>
      </c>
      <c r="E1456" s="107" t="str">
        <f t="shared" si="74"/>
        <v/>
      </c>
      <c r="F1456" s="124"/>
      <c r="G1456" s="19"/>
      <c r="H1456" s="19"/>
      <c r="I1456" s="19"/>
      <c r="J1456" s="19"/>
      <c r="K1456" s="233"/>
      <c r="L1456" s="19"/>
    </row>
    <row r="1457" spans="1:12" ht="12" customHeight="1">
      <c r="A1457" s="219" t="n" cm="1">
        <f t="array" ref="A1457">IFERROR(INDEX('03.Muestra'!$B$8:$B$42,SMALL(IF("Página Web"='03.Muestra'!$D$8:$D$42,ROW('03.Muestra'!$B$8:$B$42)-MIN(ROW('03.Muestra'!$D$8:$D$42))+1,""),ROW()-1424)),"")</f>
        <v>1.0</v>
      </c>
      <c r="B1457" s="114" t="str" cm="1">
        <f t="array" ref="B1457">IFERROR(INDEX('03.Muestra'!$C$8:$C$42,SMALL(IF("Página Web"='03.Muestra'!$D$8:$D$42,ROW('03.Muestra'!$C$8:$C$42)-MIN(ROW('03.Muestra'!$D$8:$D$42))+1,""),ROW()-1424)),"")</f>
        <v>Home - PortCastelló</v>
      </c>
      <c r="C1457" s="114" t="str" cm="1">
        <f t="array" ref="C1457">IFERROR(INDEX('03.Muestra'!$F$8:$F$42,SMALL(IF("Página Web"='03.Muestra'!$D$8:$D$42,ROW('03.Muestra'!$F$8:$F$42)-MIN(ROW('03.Muestra'!$D$8:$D$42))+1,""),ROW()-1424)),"")</f>
        <v>https://www.portcastello.com/</v>
      </c>
      <c r="D1457" s="130" t="s">
        <v>28</v>
      </c>
      <c r="E1457" s="107" t="str">
        <f t="shared" si="74"/>
        <v/>
      </c>
      <c r="F1457" s="124"/>
      <c r="G1457" s="19"/>
      <c r="H1457" s="19"/>
      <c r="I1457" s="19"/>
      <c r="J1457" s="19"/>
      <c r="K1457" s="233"/>
      <c r="L1457" s="19"/>
    </row>
    <row r="1458" spans="1:12" ht="12" customHeight="1">
      <c r="A1458" s="219" t="str" cm="1">
        <f t="array" ref="A1458">IFERROR(INDEX('03.Muestra'!$B$8:$B$42,SMALL(IF("Página Web"='03.Muestra'!$D$8:$D$42,ROW('03.Muestra'!$B$8:$B$42)-MIN(ROW('03.Muestra'!$D$8:$D$42))+1,""),ROW()-1424)),"")</f>
        <v/>
      </c>
      <c r="B1458" s="114" t="str" cm="1">
        <f t="array" ref="B1458">IFERROR(INDEX('03.Muestra'!$C$8:$C$42,SMALL(IF("Página Web"='03.Muestra'!$D$8:$D$42,ROW('03.Muestra'!$C$8:$C$42)-MIN(ROW('03.Muestra'!$D$8:$D$42))+1,""),ROW()-1424)),"")</f>
        <v/>
      </c>
      <c r="C1458" s="114" t="str" cm="1">
        <f t="array" ref="C1458">IFERROR(INDEX('03.Muestra'!$F$8:$F$42,SMALL(IF("Página Web"='03.Muestra'!$D$8:$D$42,ROW('03.Muestra'!$F$8:$F$42)-MIN(ROW('03.Muestra'!$D$8:$D$42))+1,""),ROW()-1424)),"")</f>
        <v/>
      </c>
      <c r="D1458" s="130" t="str">
        <f t="shared" si="75" ref="D1458:D1459">IF(AND(B1458&lt;&gt;"",C1458&lt;&gt;""),"N/T","")</f>
        <v/>
      </c>
      <c r="E1458" s="107" t="str">
        <f t="shared" si="74"/>
        <v/>
      </c>
      <c r="F1458" s="124"/>
      <c r="G1458" s="19"/>
      <c r="H1458" s="19"/>
      <c r="I1458" s="19"/>
      <c r="J1458" s="19"/>
      <c r="K1458" s="233"/>
      <c r="L1458" s="19"/>
    </row>
    <row r="1459" spans="1:12" ht="12" customHeight="1">
      <c r="A1459" s="219" t="str" cm="1">
        <f t="array" ref="A1459">IFERROR(INDEX('03.Muestra'!$B$8:$B$42,SMALL(IF("Página Web"='03.Muestra'!$D$8:$D$42,ROW('03.Muestra'!$B$8:$B$42)-MIN(ROW('03.Muestra'!$D$8:$D$42))+1,""),ROW()-1424)),"")</f>
        <v/>
      </c>
      <c r="B1459" s="114" t="str" cm="1">
        <f t="array" ref="B1459">IFERROR(INDEX('03.Muestra'!$C$8:$C$42,SMALL(IF("Página Web"='03.Muestra'!$D$8:$D$42,ROW('03.Muestra'!$C$8:$C$42)-MIN(ROW('03.Muestra'!$D$8:$D$42))+1,""),ROW()-1424)),"")</f>
        <v/>
      </c>
      <c r="C1459" s="114" t="str" cm="1">
        <f t="array" ref="C1459">IFERROR(INDEX('03.Muestra'!$F$8:$F$42,SMALL(IF("Página Web"='03.Muestra'!$D$8:$D$42,ROW('03.Muestra'!$F$8:$F$42)-MIN(ROW('03.Muestra'!$D$8:$D$42))+1,""),ROW()-1424)),"")</f>
        <v/>
      </c>
      <c r="D1459" s="130" t="str">
        <f t="shared" si="75"/>
        <v/>
      </c>
      <c r="E1459" s="107" t="str">
        <f t="shared" si="74"/>
        <v/>
      </c>
      <c r="F1459" s="19"/>
      <c r="G1459" s="19"/>
      <c r="H1459" s="19"/>
      <c r="I1459" s="19"/>
      <c r="J1459" s="19"/>
      <c r="K1459" s="233"/>
      <c r="L1459" s="19"/>
    </row>
    <row r="1460" spans="1:12" ht="12" customHeight="1">
      <c r="B1460" s="19"/>
      <c r="C1460" s="19"/>
      <c r="D1460" s="107"/>
      <c r="E1460" s="19"/>
      <c r="F1460" s="19"/>
      <c r="G1460" s="19"/>
      <c r="H1460" s="19"/>
      <c r="I1460" s="19"/>
      <c r="J1460" s="19"/>
      <c r="K1460" s="233"/>
      <c r="L1460" s="19"/>
    </row>
    <row r="1461" spans="1:12" ht="12" customHeight="1">
      <c r="B1461" s="19"/>
      <c r="C1461" s="19"/>
      <c r="D1461" s="107"/>
      <c r="E1461" s="112"/>
      <c r="F1461" s="19"/>
      <c r="G1461" s="19"/>
      <c r="H1461" s="19"/>
      <c r="I1461" s="19"/>
      <c r="J1461" s="19"/>
      <c r="K1461" s="233"/>
      <c r="L1461" s="19"/>
    </row>
    <row r="1462" spans="1:12" ht="29.25" customHeight="1">
      <c r="A1462" s="218" t="s">
        <v>268</v>
      </c>
      <c r="B1462" s="24" t="s">
        <v>90</v>
      </c>
      <c r="C1462" s="25" t="s">
        <v>411</v>
      </c>
      <c r="D1462" s="26" t="s">
        <v>32</v>
      </c>
      <c r="E1462" s="123"/>
      <c r="K1462" s="233"/>
      <c r="L1462" s="19"/>
    </row>
    <row r="1463" spans="1:12" ht="12" customHeight="1">
      <c r="A1463" s="219" t="n" cm="1">
        <f t="array" ref="A1463">IFERROR(INDEX('03.Muestra'!$B$8:$B$42,SMALL(IF("Página Web"='03.Muestra'!$D$8:$D$42,ROW('03.Muestra'!$B$8:$B$42)-MIN(ROW('03.Muestra'!$D$8:$D$42))+1,""),ROW()-1462)),"")</f>
        <v>1.0</v>
      </c>
      <c r="B1463" s="114" t="str" cm="1">
        <f t="array" ref="B1463">IFERROR(INDEX('03.Muestra'!$C$8:$C$42,SMALL(IF("Página Web"='03.Muestra'!$D$8:$D$42,ROW('03.Muestra'!$C$8:$C$42)-MIN(ROW('03.Muestra'!$D$8:$D$42))+1,""),ROW()-1462)),"")</f>
        <v>Home - PortCastelló</v>
      </c>
      <c r="C1463" s="114" t="str" cm="1">
        <f t="array" ref="C1463">IFERROR(INDEX('03.Muestra'!$F$8:$F$42,SMALL(IF("Página Web"='03.Muestra'!$D$8:$D$42,ROW('03.Muestra'!$F$8:$F$42)-MIN(ROW('03.Muestra'!$D$8:$D$42))+1,""),ROW()-1462)),"")</f>
        <v>https://www.portcastello.com/</v>
      </c>
      <c r="D1463" s="130" t="s">
        <v>37</v>
      </c>
      <c r="E1463" s="107" t="str">
        <f t="shared" ref="E1463:E1497" si="76">IF(D1463&lt;&gt;"",IF(AND(B1463&lt;&gt;"",C1463&lt;&gt;""),"","ERR"),"")</f>
        <v/>
      </c>
      <c r="F1463" s="115" t="s">
        <v>33</v>
      </c>
      <c r="G1463" s="116" t="s">
        <v>37</v>
      </c>
      <c r="H1463" s="117" t="s">
        <v>35</v>
      </c>
      <c r="I1463" s="118" t="s">
        <v>28</v>
      </c>
      <c r="J1463" s="119" t="s">
        <v>26</v>
      </c>
      <c r="K1463" s="226" t="s">
        <v>474</v>
      </c>
      <c r="L1463" s="19"/>
    </row>
    <row r="1464" spans="1:12" ht="12" customHeight="1">
      <c r="A1464" s="219" t="n" cm="1">
        <f t="array" ref="A1464">IFERROR(INDEX('03.Muestra'!$B$8:$B$42,SMALL(IF("Página Web"='03.Muestra'!$D$8:$D$42,ROW('03.Muestra'!$B$8:$B$42)-MIN(ROW('03.Muestra'!$D$8:$D$42))+1,""),ROW()-1462)),"")</f>
        <v>1.0</v>
      </c>
      <c r="B1464" s="114" t="str" cm="1">
        <f t="array" ref="B1464">IFERROR(INDEX('03.Muestra'!$C$8:$C$42,SMALL(IF("Página Web"='03.Muestra'!$D$8:$D$42,ROW('03.Muestra'!$C$8:$C$42)-MIN(ROW('03.Muestra'!$D$8:$D$42))+1,""),ROW()-1462)),"")</f>
        <v>Home - PortCastelló</v>
      </c>
      <c r="C1464" s="114" t="str" cm="1">
        <f t="array" ref="C1464">IFERROR(INDEX('03.Muestra'!$F$8:$F$42,SMALL(IF("Página Web"='03.Muestra'!$D$8:$D$42,ROW('03.Muestra'!$F$8:$F$42)-MIN(ROW('03.Muestra'!$D$8:$D$42))+1,""),ROW()-1462)),"")</f>
        <v>https://www.portcastello.com/</v>
      </c>
      <c r="D1464" s="130" t="s">
        <v>37</v>
      </c>
      <c r="E1464" s="107" t="str">
        <f t="shared" si="76"/>
        <v/>
      </c>
      <c r="F1464" s="120" t="n">
        <f ca="1">COUNTIF($D1463:INDIRECT("$D" &amp;  SUM(ROW()-1,'03.Muestra'!$D$45)-1),F1463)</f>
        <v>0.0</v>
      </c>
      <c r="G1464" s="120" t="n">
        <f ca="1">COUNTIF($D1463:INDIRECT("$D" &amp;  SUM(ROW()-1,'03.Muestra'!$D$45)-1),G1463)</f>
        <v>33.0</v>
      </c>
      <c r="H1464" s="120" t="n">
        <f ca="1">COUNTIF($D1463:INDIRECT("$D" &amp;  SUM(ROW()-1,'03.Muestra'!$D$45)-1),H1463)</f>
        <v>0.0</v>
      </c>
      <c r="I1464" s="120" t="n">
        <f ca="1">COUNTIF($D1463:INDIRECT("$D" &amp;  SUM(ROW()-1,'03.Muestra'!$D$45)-1),I1463)</f>
        <v>0.0</v>
      </c>
      <c r="J1464" s="120" t="n">
        <f ca="1">COUNTIF($D1463:INDIRECT("$D" &amp;  SUM(ROW()-1,'03.Muestra'!$D$45)-1),J1463)</f>
        <v>0.0</v>
      </c>
      <c r="K1464" s="227" t="n">
        <f ca="1">IF(COUNTIF('03.Muestra'!$D$8:$D$42,"Página Web")=0,0,COUNTBLANK($D1463:INDIRECT("$D" &amp;  SUM(ROW()-1,COUNTIF('03.Muestra'!$D$8:$D$42,"Página Web"))-1)))</f>
        <v>0.0</v>
      </c>
      <c r="L1464" s="19"/>
    </row>
    <row r="1465" spans="1:12" ht="12" customHeight="1">
      <c r="A1465" s="219" t="n" cm="1">
        <f t="array" ref="A1465">IFERROR(INDEX('03.Muestra'!$B$8:$B$42,SMALL(IF("Página Web"='03.Muestra'!$D$8:$D$42,ROW('03.Muestra'!$B$8:$B$42)-MIN(ROW('03.Muestra'!$D$8:$D$42))+1,""),ROW()-1462)),"")</f>
        <v>1.0</v>
      </c>
      <c r="B1465" s="114" t="str" cm="1">
        <f t="array" ref="B1465">IFERROR(INDEX('03.Muestra'!$C$8:$C$42,SMALL(IF("Página Web"='03.Muestra'!$D$8:$D$42,ROW('03.Muestra'!$C$8:$C$42)-MIN(ROW('03.Muestra'!$D$8:$D$42))+1,""),ROW()-1462)),"")</f>
        <v>Home - PortCastelló</v>
      </c>
      <c r="C1465" s="114" t="str" cm="1">
        <f t="array" ref="C1465">IFERROR(INDEX('03.Muestra'!$F$8:$F$42,SMALL(IF("Página Web"='03.Muestra'!$D$8:$D$42,ROW('03.Muestra'!$F$8:$F$42)-MIN(ROW('03.Muestra'!$D$8:$D$42))+1,""),ROW()-1462)),"")</f>
        <v>https://www.portcastello.com/</v>
      </c>
      <c r="D1465" s="130" t="s">
        <v>37</v>
      </c>
      <c r="E1465" s="107" t="str">
        <f t="shared" si="76"/>
        <v/>
      </c>
      <c r="G1465" s="19"/>
      <c r="H1465" s="19"/>
      <c r="I1465" s="19"/>
      <c r="J1465" s="19"/>
      <c r="K1465" s="233"/>
      <c r="L1465" s="19"/>
    </row>
    <row r="1466" spans="1:12" ht="12" customHeight="1">
      <c r="A1466" s="219" t="n" cm="1">
        <f t="array" ref="A1466">IFERROR(INDEX('03.Muestra'!$B$8:$B$42,SMALL(IF("Página Web"='03.Muestra'!$D$8:$D$42,ROW('03.Muestra'!$B$8:$B$42)-MIN(ROW('03.Muestra'!$D$8:$D$42))+1,""),ROW()-1462)),"")</f>
        <v>1.0</v>
      </c>
      <c r="B1466" s="114" t="str" cm="1">
        <f t="array" ref="B1466">IFERROR(INDEX('03.Muestra'!$C$8:$C$42,SMALL(IF("Página Web"='03.Muestra'!$D$8:$D$42,ROW('03.Muestra'!$C$8:$C$42)-MIN(ROW('03.Muestra'!$D$8:$D$42))+1,""),ROW()-1462)),"")</f>
        <v>Home - PortCastelló</v>
      </c>
      <c r="C1466" s="114" t="str" cm="1">
        <f t="array" ref="C1466">IFERROR(INDEX('03.Muestra'!$F$8:$F$42,SMALL(IF("Página Web"='03.Muestra'!$D$8:$D$42,ROW('03.Muestra'!$F$8:$F$42)-MIN(ROW('03.Muestra'!$D$8:$D$42))+1,""),ROW()-1462)),"")</f>
        <v>https://www.portcastello.com/</v>
      </c>
      <c r="D1466" s="130" t="s">
        <v>37</v>
      </c>
      <c r="E1466" s="107" t="str">
        <f t="shared" si="76"/>
        <v/>
      </c>
      <c r="G1466" s="19"/>
      <c r="H1466" s="19"/>
      <c r="I1466" s="19"/>
      <c r="J1466" s="19"/>
      <c r="K1466" s="233"/>
      <c r="L1466" s="19"/>
    </row>
    <row r="1467" spans="1:12" ht="12" customHeight="1">
      <c r="A1467" s="219" t="n" cm="1">
        <f t="array" ref="A1467">IFERROR(INDEX('03.Muestra'!$B$8:$B$42,SMALL(IF("Página Web"='03.Muestra'!$D$8:$D$42,ROW('03.Muestra'!$B$8:$B$42)-MIN(ROW('03.Muestra'!$D$8:$D$42))+1,""),ROW()-1462)),"")</f>
        <v>1.0</v>
      </c>
      <c r="B1467" s="114" t="str" cm="1">
        <f t="array" ref="B1467">IFERROR(INDEX('03.Muestra'!$C$8:$C$42,SMALL(IF("Página Web"='03.Muestra'!$D$8:$D$42,ROW('03.Muestra'!$C$8:$C$42)-MIN(ROW('03.Muestra'!$D$8:$D$42))+1,""),ROW()-1462)),"")</f>
        <v>Home - PortCastelló</v>
      </c>
      <c r="C1467" s="114" t="str" cm="1">
        <f t="array" ref="C1467">IFERROR(INDEX('03.Muestra'!$F$8:$F$42,SMALL(IF("Página Web"='03.Muestra'!$D$8:$D$42,ROW('03.Muestra'!$F$8:$F$42)-MIN(ROW('03.Muestra'!$D$8:$D$42))+1,""),ROW()-1462)),"")</f>
        <v>https://www.portcastello.com/</v>
      </c>
      <c r="D1467" s="130" t="s">
        <v>37</v>
      </c>
      <c r="E1467" s="107" t="str">
        <f t="shared" si="76"/>
        <v/>
      </c>
      <c r="G1467" s="19"/>
      <c r="H1467" s="19"/>
      <c r="I1467" s="19"/>
      <c r="J1467" s="19"/>
      <c r="K1467" s="233"/>
      <c r="L1467" s="19"/>
    </row>
    <row r="1468" spans="1:12" ht="12" customHeight="1">
      <c r="A1468" s="219" t="n" cm="1">
        <f t="array" ref="A1468">IFERROR(INDEX('03.Muestra'!$B$8:$B$42,SMALL(IF("Página Web"='03.Muestra'!$D$8:$D$42,ROW('03.Muestra'!$B$8:$B$42)-MIN(ROW('03.Muestra'!$D$8:$D$42))+1,""),ROW()-1462)),"")</f>
        <v>1.0</v>
      </c>
      <c r="B1468" s="114" t="str" cm="1">
        <f t="array" ref="B1468">IFERROR(INDEX('03.Muestra'!$C$8:$C$42,SMALL(IF("Página Web"='03.Muestra'!$D$8:$D$42,ROW('03.Muestra'!$C$8:$C$42)-MIN(ROW('03.Muestra'!$D$8:$D$42))+1,""),ROW()-1462)),"")</f>
        <v>Home - PortCastelló</v>
      </c>
      <c r="C1468" s="114" t="str" cm="1">
        <f t="array" ref="C1468">IFERROR(INDEX('03.Muestra'!$F$8:$F$42,SMALL(IF("Página Web"='03.Muestra'!$D$8:$D$42,ROW('03.Muestra'!$F$8:$F$42)-MIN(ROW('03.Muestra'!$D$8:$D$42))+1,""),ROW()-1462)),"")</f>
        <v>https://www.portcastello.com/</v>
      </c>
      <c r="D1468" s="130" t="s">
        <v>37</v>
      </c>
      <c r="E1468" s="107" t="str">
        <f t="shared" si="76"/>
        <v/>
      </c>
      <c r="G1468" s="19"/>
      <c r="H1468" s="19"/>
      <c r="I1468" s="19"/>
      <c r="J1468" s="19"/>
      <c r="K1468" s="233"/>
      <c r="L1468" s="19"/>
    </row>
    <row r="1469" spans="1:12" ht="12" customHeight="1">
      <c r="A1469" s="219" t="n" cm="1">
        <f t="array" ref="A1469">IFERROR(INDEX('03.Muestra'!$B$8:$B$42,SMALL(IF("Página Web"='03.Muestra'!$D$8:$D$42,ROW('03.Muestra'!$B$8:$B$42)-MIN(ROW('03.Muestra'!$D$8:$D$42))+1,""),ROW()-1462)),"")</f>
        <v>1.0</v>
      </c>
      <c r="B1469" s="114" t="str" cm="1">
        <f t="array" ref="B1469">IFERROR(INDEX('03.Muestra'!$C$8:$C$42,SMALL(IF("Página Web"='03.Muestra'!$D$8:$D$42,ROW('03.Muestra'!$C$8:$C$42)-MIN(ROW('03.Muestra'!$D$8:$D$42))+1,""),ROW()-1462)),"")</f>
        <v>Home - PortCastelló</v>
      </c>
      <c r="C1469" s="114" t="str" cm="1">
        <f t="array" ref="C1469">IFERROR(INDEX('03.Muestra'!$F$8:$F$42,SMALL(IF("Página Web"='03.Muestra'!$D$8:$D$42,ROW('03.Muestra'!$F$8:$F$42)-MIN(ROW('03.Muestra'!$D$8:$D$42))+1,""),ROW()-1462)),"")</f>
        <v>https://www.portcastello.com/</v>
      </c>
      <c r="D1469" s="130" t="s">
        <v>37</v>
      </c>
      <c r="E1469" s="107" t="str">
        <f t="shared" si="76"/>
        <v/>
      </c>
      <c r="F1469" s="19"/>
      <c r="G1469" s="19"/>
      <c r="H1469" s="19"/>
      <c r="I1469" s="19"/>
      <c r="J1469" s="19"/>
      <c r="K1469" s="233"/>
      <c r="L1469" s="19"/>
    </row>
    <row r="1470" spans="1:12" ht="12" customHeight="1">
      <c r="A1470" s="219" t="n" cm="1">
        <f t="array" ref="A1470">IFERROR(INDEX('03.Muestra'!$B$8:$B$42,SMALL(IF("Página Web"='03.Muestra'!$D$8:$D$42,ROW('03.Muestra'!$B$8:$B$42)-MIN(ROW('03.Muestra'!$D$8:$D$42))+1,""),ROW()-1462)),"")</f>
        <v>1.0</v>
      </c>
      <c r="B1470" s="114" t="str" cm="1">
        <f t="array" ref="B1470">IFERROR(INDEX('03.Muestra'!$C$8:$C$42,SMALL(IF("Página Web"='03.Muestra'!$D$8:$D$42,ROW('03.Muestra'!$C$8:$C$42)-MIN(ROW('03.Muestra'!$D$8:$D$42))+1,""),ROW()-1462)),"")</f>
        <v>Home - PortCastelló</v>
      </c>
      <c r="C1470" s="114" t="str" cm="1">
        <f t="array" ref="C1470">IFERROR(INDEX('03.Muestra'!$F$8:$F$42,SMALL(IF("Página Web"='03.Muestra'!$D$8:$D$42,ROW('03.Muestra'!$F$8:$F$42)-MIN(ROW('03.Muestra'!$D$8:$D$42))+1,""),ROW()-1462)),"")</f>
        <v>https://www.portcastello.com/</v>
      </c>
      <c r="D1470" s="130" t="s">
        <v>37</v>
      </c>
      <c r="E1470" s="107" t="str">
        <f t="shared" si="76"/>
        <v/>
      </c>
      <c r="F1470" s="19"/>
      <c r="G1470" s="19"/>
      <c r="H1470" s="19"/>
      <c r="I1470" s="19"/>
      <c r="J1470" s="19"/>
      <c r="K1470" s="233"/>
      <c r="L1470" s="19"/>
    </row>
    <row r="1471" spans="1:12" ht="12" customHeight="1">
      <c r="A1471" s="219" t="n" cm="1">
        <f t="array" ref="A1471">IFERROR(INDEX('03.Muestra'!$B$8:$B$42,SMALL(IF("Página Web"='03.Muestra'!$D$8:$D$42,ROW('03.Muestra'!$B$8:$B$42)-MIN(ROW('03.Muestra'!$D$8:$D$42))+1,""),ROW()-1462)),"")</f>
        <v>1.0</v>
      </c>
      <c r="B1471" s="114" t="str" cm="1">
        <f t="array" ref="B1471">IFERROR(INDEX('03.Muestra'!$C$8:$C$42,SMALL(IF("Página Web"='03.Muestra'!$D$8:$D$42,ROW('03.Muestra'!$C$8:$C$42)-MIN(ROW('03.Muestra'!$D$8:$D$42))+1,""),ROW()-1462)),"")</f>
        <v>Home - PortCastelló</v>
      </c>
      <c r="C1471" s="114" t="str" cm="1">
        <f t="array" ref="C1471">IFERROR(INDEX('03.Muestra'!$F$8:$F$42,SMALL(IF("Página Web"='03.Muestra'!$D$8:$D$42,ROW('03.Muestra'!$F$8:$F$42)-MIN(ROW('03.Muestra'!$D$8:$D$42))+1,""),ROW()-1462)),"")</f>
        <v>https://www.portcastello.com/</v>
      </c>
      <c r="D1471" s="130" t="s">
        <v>37</v>
      </c>
      <c r="E1471" s="107" t="str">
        <f t="shared" si="76"/>
        <v/>
      </c>
      <c r="F1471" s="19"/>
      <c r="G1471" s="19"/>
      <c r="H1471" s="19"/>
      <c r="I1471" s="19"/>
      <c r="J1471" s="19"/>
      <c r="K1471" s="233"/>
      <c r="L1471" s="19"/>
    </row>
    <row r="1472" spans="1:12" ht="12" customHeight="1">
      <c r="A1472" s="219" t="n" cm="1">
        <f t="array" ref="A1472">IFERROR(INDEX('03.Muestra'!$B$8:$B$42,SMALL(IF("Página Web"='03.Muestra'!$D$8:$D$42,ROW('03.Muestra'!$B$8:$B$42)-MIN(ROW('03.Muestra'!$D$8:$D$42))+1,""),ROW()-1462)),"")</f>
        <v>1.0</v>
      </c>
      <c r="B1472" s="114" t="str" cm="1">
        <f t="array" ref="B1472">IFERROR(INDEX('03.Muestra'!$C$8:$C$42,SMALL(IF("Página Web"='03.Muestra'!$D$8:$D$42,ROW('03.Muestra'!$C$8:$C$42)-MIN(ROW('03.Muestra'!$D$8:$D$42))+1,""),ROW()-1462)),"")</f>
        <v>Home - PortCastelló</v>
      </c>
      <c r="C1472" s="114" t="str" cm="1">
        <f t="array" ref="C1472">IFERROR(INDEX('03.Muestra'!$F$8:$F$42,SMALL(IF("Página Web"='03.Muestra'!$D$8:$D$42,ROW('03.Muestra'!$F$8:$F$42)-MIN(ROW('03.Muestra'!$D$8:$D$42))+1,""),ROW()-1462)),"")</f>
        <v>https://www.portcastello.com/</v>
      </c>
      <c r="D1472" s="130" t="s">
        <v>37</v>
      </c>
      <c r="E1472" s="107" t="str">
        <f t="shared" si="76"/>
        <v/>
      </c>
      <c r="F1472" s="19"/>
      <c r="G1472" s="19"/>
      <c r="H1472" s="19"/>
      <c r="I1472" s="19"/>
      <c r="J1472" s="19"/>
      <c r="K1472" s="233"/>
      <c r="L1472" s="19"/>
    </row>
    <row r="1473" spans="1:12" ht="12" customHeight="1">
      <c r="A1473" s="219" t="n" cm="1">
        <f t="array" ref="A1473">IFERROR(INDEX('03.Muestra'!$B$8:$B$42,SMALL(IF("Página Web"='03.Muestra'!$D$8:$D$42,ROW('03.Muestra'!$B$8:$B$42)-MIN(ROW('03.Muestra'!$D$8:$D$42))+1,""),ROW()-1462)),"")</f>
        <v>1.0</v>
      </c>
      <c r="B1473" s="114" t="str" cm="1">
        <f t="array" ref="B1473">IFERROR(INDEX('03.Muestra'!$C$8:$C$42,SMALL(IF("Página Web"='03.Muestra'!$D$8:$D$42,ROW('03.Muestra'!$C$8:$C$42)-MIN(ROW('03.Muestra'!$D$8:$D$42))+1,""),ROW()-1462)),"")</f>
        <v>Home - PortCastelló</v>
      </c>
      <c r="C1473" s="114" t="str" cm="1">
        <f t="array" ref="C1473">IFERROR(INDEX('03.Muestra'!$F$8:$F$42,SMALL(IF("Página Web"='03.Muestra'!$D$8:$D$42,ROW('03.Muestra'!$F$8:$F$42)-MIN(ROW('03.Muestra'!$D$8:$D$42))+1,""),ROW()-1462)),"")</f>
        <v>https://www.portcastello.com/</v>
      </c>
      <c r="D1473" s="130" t="s">
        <v>37</v>
      </c>
      <c r="E1473" s="107" t="str">
        <f t="shared" si="76"/>
        <v/>
      </c>
      <c r="F1473" s="19"/>
      <c r="G1473" s="19"/>
      <c r="H1473" s="19"/>
      <c r="I1473" s="19"/>
      <c r="J1473" s="19"/>
      <c r="K1473" s="233"/>
      <c r="L1473" s="19"/>
    </row>
    <row r="1474" spans="1:12" ht="12" customHeight="1">
      <c r="A1474" s="219" t="n" cm="1">
        <f t="array" ref="A1474">IFERROR(INDEX('03.Muestra'!$B$8:$B$42,SMALL(IF("Página Web"='03.Muestra'!$D$8:$D$42,ROW('03.Muestra'!$B$8:$B$42)-MIN(ROW('03.Muestra'!$D$8:$D$42))+1,""),ROW()-1462)),"")</f>
        <v>1.0</v>
      </c>
      <c r="B1474" s="114" t="str" cm="1">
        <f t="array" ref="B1474">IFERROR(INDEX('03.Muestra'!$C$8:$C$42,SMALL(IF("Página Web"='03.Muestra'!$D$8:$D$42,ROW('03.Muestra'!$C$8:$C$42)-MIN(ROW('03.Muestra'!$D$8:$D$42))+1,""),ROW()-1462)),"")</f>
        <v>Home - PortCastelló</v>
      </c>
      <c r="C1474" s="114" t="str" cm="1">
        <f t="array" ref="C1474">IFERROR(INDEX('03.Muestra'!$F$8:$F$42,SMALL(IF("Página Web"='03.Muestra'!$D$8:$D$42,ROW('03.Muestra'!$F$8:$F$42)-MIN(ROW('03.Muestra'!$D$8:$D$42))+1,""),ROW()-1462)),"")</f>
        <v>https://www.portcastello.com/</v>
      </c>
      <c r="D1474" s="130" t="s">
        <v>37</v>
      </c>
      <c r="E1474" s="107" t="str">
        <f t="shared" si="76"/>
        <v/>
      </c>
      <c r="F1474" s="19"/>
      <c r="G1474" s="19"/>
      <c r="H1474" s="19"/>
      <c r="I1474" s="19"/>
      <c r="J1474" s="19"/>
      <c r="K1474" s="233"/>
      <c r="L1474" s="19"/>
    </row>
    <row r="1475" spans="1:12" ht="12" customHeight="1">
      <c r="A1475" s="219" t="n" cm="1">
        <f t="array" ref="A1475">IFERROR(INDEX('03.Muestra'!$B$8:$B$42,SMALL(IF("Página Web"='03.Muestra'!$D$8:$D$42,ROW('03.Muestra'!$B$8:$B$42)-MIN(ROW('03.Muestra'!$D$8:$D$42))+1,""),ROW()-1462)),"")</f>
        <v>1.0</v>
      </c>
      <c r="B1475" s="114" t="str" cm="1">
        <f t="array" ref="B1475">IFERROR(INDEX('03.Muestra'!$C$8:$C$42,SMALL(IF("Página Web"='03.Muestra'!$D$8:$D$42,ROW('03.Muestra'!$C$8:$C$42)-MIN(ROW('03.Muestra'!$D$8:$D$42))+1,""),ROW()-1462)),"")</f>
        <v>Home - PortCastelló</v>
      </c>
      <c r="C1475" s="114" t="str" cm="1">
        <f t="array" ref="C1475">IFERROR(INDEX('03.Muestra'!$F$8:$F$42,SMALL(IF("Página Web"='03.Muestra'!$D$8:$D$42,ROW('03.Muestra'!$F$8:$F$42)-MIN(ROW('03.Muestra'!$D$8:$D$42))+1,""),ROW()-1462)),"")</f>
        <v>https://www.portcastello.com/</v>
      </c>
      <c r="D1475" s="130" t="s">
        <v>37</v>
      </c>
      <c r="E1475" s="107" t="str">
        <f t="shared" si="76"/>
        <v/>
      </c>
      <c r="F1475" s="19"/>
      <c r="G1475" s="19"/>
      <c r="H1475" s="19"/>
      <c r="I1475" s="19"/>
      <c r="J1475" s="19"/>
      <c r="K1475" s="233"/>
      <c r="L1475" s="19"/>
    </row>
    <row r="1476" spans="1:12" ht="12" customHeight="1">
      <c r="A1476" s="219" t="n" cm="1">
        <f t="array" ref="A1476">IFERROR(INDEX('03.Muestra'!$B$8:$B$42,SMALL(IF("Página Web"='03.Muestra'!$D$8:$D$42,ROW('03.Muestra'!$B$8:$B$42)-MIN(ROW('03.Muestra'!$D$8:$D$42))+1,""),ROW()-1462)),"")</f>
        <v>1.0</v>
      </c>
      <c r="B1476" s="114" t="str" cm="1">
        <f t="array" ref="B1476">IFERROR(INDEX('03.Muestra'!$C$8:$C$42,SMALL(IF("Página Web"='03.Muestra'!$D$8:$D$42,ROW('03.Muestra'!$C$8:$C$42)-MIN(ROW('03.Muestra'!$D$8:$D$42))+1,""),ROW()-1462)),"")</f>
        <v>Home - PortCastelló</v>
      </c>
      <c r="C1476" s="114" t="str" cm="1">
        <f t="array" ref="C1476">IFERROR(INDEX('03.Muestra'!$F$8:$F$42,SMALL(IF("Página Web"='03.Muestra'!$D$8:$D$42,ROW('03.Muestra'!$F$8:$F$42)-MIN(ROW('03.Muestra'!$D$8:$D$42))+1,""),ROW()-1462)),"")</f>
        <v>https://www.portcastello.com/</v>
      </c>
      <c r="D1476" s="130" t="s">
        <v>37</v>
      </c>
      <c r="E1476" s="107" t="str">
        <f t="shared" si="76"/>
        <v/>
      </c>
      <c r="F1476" s="19"/>
      <c r="G1476" s="19"/>
      <c r="H1476" s="19"/>
      <c r="I1476" s="19"/>
      <c r="J1476" s="19"/>
      <c r="K1476" s="233"/>
      <c r="L1476" s="19"/>
    </row>
    <row r="1477" spans="1:12" ht="12" customHeight="1">
      <c r="A1477" s="219" t="n" cm="1">
        <f t="array" ref="A1477">IFERROR(INDEX('03.Muestra'!$B$8:$B$42,SMALL(IF("Página Web"='03.Muestra'!$D$8:$D$42,ROW('03.Muestra'!$B$8:$B$42)-MIN(ROW('03.Muestra'!$D$8:$D$42))+1,""),ROW()-1462)),"")</f>
        <v>1.0</v>
      </c>
      <c r="B1477" s="114" t="str" cm="1">
        <f t="array" ref="B1477">IFERROR(INDEX('03.Muestra'!$C$8:$C$42,SMALL(IF("Página Web"='03.Muestra'!$D$8:$D$42,ROW('03.Muestra'!$C$8:$C$42)-MIN(ROW('03.Muestra'!$D$8:$D$42))+1,""),ROW()-1462)),"")</f>
        <v>Home - PortCastelló</v>
      </c>
      <c r="C1477" s="114" t="str" cm="1">
        <f t="array" ref="C1477">IFERROR(INDEX('03.Muestra'!$F$8:$F$42,SMALL(IF("Página Web"='03.Muestra'!$D$8:$D$42,ROW('03.Muestra'!$F$8:$F$42)-MIN(ROW('03.Muestra'!$D$8:$D$42))+1,""),ROW()-1462)),"")</f>
        <v>https://www.portcastello.com/</v>
      </c>
      <c r="D1477" s="130" t="s">
        <v>37</v>
      </c>
      <c r="E1477" s="107" t="str">
        <f t="shared" si="76"/>
        <v/>
      </c>
      <c r="F1477" s="19"/>
      <c r="G1477" s="19"/>
      <c r="H1477" s="19"/>
      <c r="I1477" s="19"/>
      <c r="J1477" s="19"/>
      <c r="K1477" s="233"/>
      <c r="L1477" s="19"/>
    </row>
    <row r="1478" spans="1:12" ht="12" customHeight="1">
      <c r="A1478" s="219" t="n" cm="1">
        <f t="array" ref="A1478">IFERROR(INDEX('03.Muestra'!$B$8:$B$42,SMALL(IF("Página Web"='03.Muestra'!$D$8:$D$42,ROW('03.Muestra'!$B$8:$B$42)-MIN(ROW('03.Muestra'!$D$8:$D$42))+1,""),ROW()-1462)),"")</f>
        <v>1.0</v>
      </c>
      <c r="B1478" s="114" t="str" cm="1">
        <f t="array" ref="B1478">IFERROR(INDEX('03.Muestra'!$C$8:$C$42,SMALL(IF("Página Web"='03.Muestra'!$D$8:$D$42,ROW('03.Muestra'!$C$8:$C$42)-MIN(ROW('03.Muestra'!$D$8:$D$42))+1,""),ROW()-1462)),"")</f>
        <v>Home - PortCastelló</v>
      </c>
      <c r="C1478" s="114" t="str" cm="1">
        <f t="array" ref="C1478">IFERROR(INDEX('03.Muestra'!$F$8:$F$42,SMALL(IF("Página Web"='03.Muestra'!$D$8:$D$42,ROW('03.Muestra'!$F$8:$F$42)-MIN(ROW('03.Muestra'!$D$8:$D$42))+1,""),ROW()-1462)),"")</f>
        <v>https://www.portcastello.com/</v>
      </c>
      <c r="D1478" s="130" t="s">
        <v>37</v>
      </c>
      <c r="E1478" s="107" t="str">
        <f t="shared" si="76"/>
        <v/>
      </c>
      <c r="F1478" s="19"/>
      <c r="G1478" s="19"/>
      <c r="H1478" s="19"/>
      <c r="I1478" s="19"/>
      <c r="J1478" s="19"/>
      <c r="K1478" s="233"/>
      <c r="L1478" s="19"/>
    </row>
    <row r="1479" spans="1:12" ht="12" customHeight="1">
      <c r="A1479" s="219" t="n" cm="1">
        <f t="array" ref="A1479">IFERROR(INDEX('03.Muestra'!$B$8:$B$42,SMALL(IF("Página Web"='03.Muestra'!$D$8:$D$42,ROW('03.Muestra'!$B$8:$B$42)-MIN(ROW('03.Muestra'!$D$8:$D$42))+1,""),ROW()-1462)),"")</f>
        <v>1.0</v>
      </c>
      <c r="B1479" s="114" t="str" cm="1">
        <f t="array" ref="B1479">IFERROR(INDEX('03.Muestra'!$C$8:$C$42,SMALL(IF("Página Web"='03.Muestra'!$D$8:$D$42,ROW('03.Muestra'!$C$8:$C$42)-MIN(ROW('03.Muestra'!$D$8:$D$42))+1,""),ROW()-1462)),"")</f>
        <v>Home - PortCastelló</v>
      </c>
      <c r="C1479" s="114" t="str" cm="1">
        <f t="array" ref="C1479">IFERROR(INDEX('03.Muestra'!$F$8:$F$42,SMALL(IF("Página Web"='03.Muestra'!$D$8:$D$42,ROW('03.Muestra'!$F$8:$F$42)-MIN(ROW('03.Muestra'!$D$8:$D$42))+1,""),ROW()-1462)),"")</f>
        <v>https://www.portcastello.com/</v>
      </c>
      <c r="D1479" s="130" t="s">
        <v>37</v>
      </c>
      <c r="E1479" s="107" t="str">
        <f t="shared" si="76"/>
        <v/>
      </c>
      <c r="F1479" s="19"/>
      <c r="G1479" s="19"/>
      <c r="H1479" s="19"/>
      <c r="I1479" s="19"/>
      <c r="J1479" s="19"/>
      <c r="K1479" s="233"/>
      <c r="L1479" s="19"/>
    </row>
    <row r="1480" spans="1:12" ht="12" customHeight="1">
      <c r="A1480" s="219" t="n" cm="1">
        <f t="array" ref="A1480">IFERROR(INDEX('03.Muestra'!$B$8:$B$42,SMALL(IF("Página Web"='03.Muestra'!$D$8:$D$42,ROW('03.Muestra'!$B$8:$B$42)-MIN(ROW('03.Muestra'!$D$8:$D$42))+1,""),ROW()-1462)),"")</f>
        <v>1.0</v>
      </c>
      <c r="B1480" s="114" t="str" cm="1">
        <f t="array" ref="B1480">IFERROR(INDEX('03.Muestra'!$C$8:$C$42,SMALL(IF("Página Web"='03.Muestra'!$D$8:$D$42,ROW('03.Muestra'!$C$8:$C$42)-MIN(ROW('03.Muestra'!$D$8:$D$42))+1,""),ROW()-1462)),"")</f>
        <v>Home - PortCastelló</v>
      </c>
      <c r="C1480" s="114" t="str" cm="1">
        <f t="array" ref="C1480">IFERROR(INDEX('03.Muestra'!$F$8:$F$42,SMALL(IF("Página Web"='03.Muestra'!$D$8:$D$42,ROW('03.Muestra'!$F$8:$F$42)-MIN(ROW('03.Muestra'!$D$8:$D$42))+1,""),ROW()-1462)),"")</f>
        <v>https://www.portcastello.com/</v>
      </c>
      <c r="D1480" s="130" t="s">
        <v>37</v>
      </c>
      <c r="E1480" s="107" t="str">
        <f t="shared" si="76"/>
        <v/>
      </c>
      <c r="F1480" s="19"/>
      <c r="G1480" s="19"/>
      <c r="H1480" s="19"/>
      <c r="I1480" s="19"/>
      <c r="J1480" s="19"/>
      <c r="K1480" s="233"/>
      <c r="L1480" s="19"/>
    </row>
    <row r="1481" spans="1:12" ht="12" customHeight="1">
      <c r="A1481" s="219" t="n" cm="1">
        <f t="array" ref="A1481">IFERROR(INDEX('03.Muestra'!$B$8:$B$42,SMALL(IF("Página Web"='03.Muestra'!$D$8:$D$42,ROW('03.Muestra'!$B$8:$B$42)-MIN(ROW('03.Muestra'!$D$8:$D$42))+1,""),ROW()-1462)),"")</f>
        <v>1.0</v>
      </c>
      <c r="B1481" s="114" t="str" cm="1">
        <f t="array" ref="B1481">IFERROR(INDEX('03.Muestra'!$C$8:$C$42,SMALL(IF("Página Web"='03.Muestra'!$D$8:$D$42,ROW('03.Muestra'!$C$8:$C$42)-MIN(ROW('03.Muestra'!$D$8:$D$42))+1,""),ROW()-1462)),"")</f>
        <v>Home - PortCastelló</v>
      </c>
      <c r="C1481" s="114" t="str" cm="1">
        <f t="array" ref="C1481">IFERROR(INDEX('03.Muestra'!$F$8:$F$42,SMALL(IF("Página Web"='03.Muestra'!$D$8:$D$42,ROW('03.Muestra'!$F$8:$F$42)-MIN(ROW('03.Muestra'!$D$8:$D$42))+1,""),ROW()-1462)),"")</f>
        <v>https://www.portcastello.com/</v>
      </c>
      <c r="D1481" s="130" t="s">
        <v>37</v>
      </c>
      <c r="E1481" s="107" t="str">
        <f t="shared" si="76"/>
        <v/>
      </c>
      <c r="F1481" s="19"/>
      <c r="G1481" s="19"/>
      <c r="H1481" s="19"/>
      <c r="I1481" s="19"/>
      <c r="J1481" s="19"/>
      <c r="K1481" s="233"/>
      <c r="L1481" s="19"/>
    </row>
    <row r="1482" spans="1:12" ht="12" customHeight="1">
      <c r="A1482" s="219" t="n" cm="1">
        <f t="array" ref="A1482">IFERROR(INDEX('03.Muestra'!$B$8:$B$42,SMALL(IF("Página Web"='03.Muestra'!$D$8:$D$42,ROW('03.Muestra'!$B$8:$B$42)-MIN(ROW('03.Muestra'!$D$8:$D$42))+1,""),ROW()-1462)),"")</f>
        <v>1.0</v>
      </c>
      <c r="B1482" s="114" t="str" cm="1">
        <f t="array" ref="B1482">IFERROR(INDEX('03.Muestra'!$C$8:$C$42,SMALL(IF("Página Web"='03.Muestra'!$D$8:$D$42,ROW('03.Muestra'!$C$8:$C$42)-MIN(ROW('03.Muestra'!$D$8:$D$42))+1,""),ROW()-1462)),"")</f>
        <v>Home - PortCastelló</v>
      </c>
      <c r="C1482" s="114" t="str" cm="1">
        <f t="array" ref="C1482">IFERROR(INDEX('03.Muestra'!$F$8:$F$42,SMALL(IF("Página Web"='03.Muestra'!$D$8:$D$42,ROW('03.Muestra'!$F$8:$F$42)-MIN(ROW('03.Muestra'!$D$8:$D$42))+1,""),ROW()-1462)),"")</f>
        <v>https://www.portcastello.com/</v>
      </c>
      <c r="D1482" s="130" t="s">
        <v>37</v>
      </c>
      <c r="E1482" s="107" t="str">
        <f t="shared" si="76"/>
        <v/>
      </c>
      <c r="F1482" s="19"/>
      <c r="G1482" s="19"/>
      <c r="H1482" s="19"/>
      <c r="I1482" s="19"/>
      <c r="J1482" s="19"/>
      <c r="K1482" s="233"/>
      <c r="L1482" s="19"/>
    </row>
    <row r="1483" spans="1:12" ht="12" customHeight="1">
      <c r="A1483" s="219" t="n" cm="1">
        <f t="array" ref="A1483">IFERROR(INDEX('03.Muestra'!$B$8:$B$42,SMALL(IF("Página Web"='03.Muestra'!$D$8:$D$42,ROW('03.Muestra'!$B$8:$B$42)-MIN(ROW('03.Muestra'!$D$8:$D$42))+1,""),ROW()-1462)),"")</f>
        <v>1.0</v>
      </c>
      <c r="B1483" s="114" t="str" cm="1">
        <f t="array" ref="B1483">IFERROR(INDEX('03.Muestra'!$C$8:$C$42,SMALL(IF("Página Web"='03.Muestra'!$D$8:$D$42,ROW('03.Muestra'!$C$8:$C$42)-MIN(ROW('03.Muestra'!$D$8:$D$42))+1,""),ROW()-1462)),"")</f>
        <v>Home - PortCastelló</v>
      </c>
      <c r="C1483" s="114" t="str" cm="1">
        <f t="array" ref="C1483">IFERROR(INDEX('03.Muestra'!$F$8:$F$42,SMALL(IF("Página Web"='03.Muestra'!$D$8:$D$42,ROW('03.Muestra'!$F$8:$F$42)-MIN(ROW('03.Muestra'!$D$8:$D$42))+1,""),ROW()-1462)),"")</f>
        <v>https://www.portcastello.com/</v>
      </c>
      <c r="D1483" s="130" t="s">
        <v>37</v>
      </c>
      <c r="E1483" s="107" t="str">
        <f t="shared" si="76"/>
        <v/>
      </c>
      <c r="F1483" s="19"/>
      <c r="G1483" s="19"/>
      <c r="H1483" s="19"/>
      <c r="I1483" s="19"/>
      <c r="J1483" s="19"/>
      <c r="K1483" s="233"/>
      <c r="L1483" s="19"/>
    </row>
    <row r="1484" spans="1:12" ht="12" customHeight="1">
      <c r="A1484" s="219" t="n" cm="1">
        <f t="array" ref="A1484">IFERROR(INDEX('03.Muestra'!$B$8:$B$42,SMALL(IF("Página Web"='03.Muestra'!$D$8:$D$42,ROW('03.Muestra'!$B$8:$B$42)-MIN(ROW('03.Muestra'!$D$8:$D$42))+1,""),ROW()-1462)),"")</f>
        <v>1.0</v>
      </c>
      <c r="B1484" s="114" t="str" cm="1">
        <f t="array" ref="B1484">IFERROR(INDEX('03.Muestra'!$C$8:$C$42,SMALL(IF("Página Web"='03.Muestra'!$D$8:$D$42,ROW('03.Muestra'!$C$8:$C$42)-MIN(ROW('03.Muestra'!$D$8:$D$42))+1,""),ROW()-1462)),"")</f>
        <v>Home - PortCastelló</v>
      </c>
      <c r="C1484" s="114" t="str" cm="1">
        <f t="array" ref="C1484">IFERROR(INDEX('03.Muestra'!$F$8:$F$42,SMALL(IF("Página Web"='03.Muestra'!$D$8:$D$42,ROW('03.Muestra'!$F$8:$F$42)-MIN(ROW('03.Muestra'!$D$8:$D$42))+1,""),ROW()-1462)),"")</f>
        <v>https://www.portcastello.com/</v>
      </c>
      <c r="D1484" s="130" t="s">
        <v>37</v>
      </c>
      <c r="E1484" s="107" t="str">
        <f t="shared" si="76"/>
        <v/>
      </c>
      <c r="F1484" s="19"/>
      <c r="G1484" s="19"/>
      <c r="H1484" s="19"/>
      <c r="I1484" s="19"/>
      <c r="J1484" s="19"/>
      <c r="K1484" s="233"/>
      <c r="L1484" s="19"/>
    </row>
    <row r="1485" spans="1:12" ht="12" customHeight="1">
      <c r="A1485" s="219" t="n" cm="1">
        <f t="array" ref="A1485">IFERROR(INDEX('03.Muestra'!$B$8:$B$42,SMALL(IF("Página Web"='03.Muestra'!$D$8:$D$42,ROW('03.Muestra'!$B$8:$B$42)-MIN(ROW('03.Muestra'!$D$8:$D$42))+1,""),ROW()-1462)),"")</f>
        <v>1.0</v>
      </c>
      <c r="B1485" s="114" t="str" cm="1">
        <f t="array" ref="B1485">IFERROR(INDEX('03.Muestra'!$C$8:$C$42,SMALL(IF("Página Web"='03.Muestra'!$D$8:$D$42,ROW('03.Muestra'!$C$8:$C$42)-MIN(ROW('03.Muestra'!$D$8:$D$42))+1,""),ROW()-1462)),"")</f>
        <v>Home - PortCastelló</v>
      </c>
      <c r="C1485" s="114" t="str" cm="1">
        <f t="array" ref="C1485">IFERROR(INDEX('03.Muestra'!$F$8:$F$42,SMALL(IF("Página Web"='03.Muestra'!$D$8:$D$42,ROW('03.Muestra'!$F$8:$F$42)-MIN(ROW('03.Muestra'!$D$8:$D$42))+1,""),ROW()-1462)),"")</f>
        <v>https://www.portcastello.com/</v>
      </c>
      <c r="D1485" s="130" t="s">
        <v>37</v>
      </c>
      <c r="E1485" s="107" t="str">
        <f t="shared" si="76"/>
        <v/>
      </c>
      <c r="F1485" s="19"/>
      <c r="G1485" s="19"/>
      <c r="H1485" s="19"/>
      <c r="I1485" s="19"/>
      <c r="J1485" s="19"/>
      <c r="K1485" s="233"/>
      <c r="L1485" s="19"/>
    </row>
    <row r="1486" spans="1:12" ht="12" customHeight="1">
      <c r="A1486" s="219" t="n" cm="1">
        <f t="array" ref="A1486">IFERROR(INDEX('03.Muestra'!$B$8:$B$42,SMALL(IF("Página Web"='03.Muestra'!$D$8:$D$42,ROW('03.Muestra'!$B$8:$B$42)-MIN(ROW('03.Muestra'!$D$8:$D$42))+1,""),ROW()-1462)),"")</f>
        <v>1.0</v>
      </c>
      <c r="B1486" s="114" t="str" cm="1">
        <f t="array" ref="B1486">IFERROR(INDEX('03.Muestra'!$C$8:$C$42,SMALL(IF("Página Web"='03.Muestra'!$D$8:$D$42,ROW('03.Muestra'!$C$8:$C$42)-MIN(ROW('03.Muestra'!$D$8:$D$42))+1,""),ROW()-1462)),"")</f>
        <v>Home - PortCastelló</v>
      </c>
      <c r="C1486" s="114" t="str" cm="1">
        <f t="array" ref="C1486">IFERROR(INDEX('03.Muestra'!$F$8:$F$42,SMALL(IF("Página Web"='03.Muestra'!$D$8:$D$42,ROW('03.Muestra'!$F$8:$F$42)-MIN(ROW('03.Muestra'!$D$8:$D$42))+1,""),ROW()-1462)),"")</f>
        <v>https://www.portcastello.com/</v>
      </c>
      <c r="D1486" s="130" t="s">
        <v>37</v>
      </c>
      <c r="E1486" s="107" t="str">
        <f t="shared" si="76"/>
        <v/>
      </c>
      <c r="F1486" s="19"/>
      <c r="G1486" s="19"/>
      <c r="H1486" s="19"/>
      <c r="I1486" s="19"/>
      <c r="J1486" s="19"/>
      <c r="K1486" s="233"/>
      <c r="L1486" s="19"/>
    </row>
    <row r="1487" spans="1:12" ht="12" customHeight="1">
      <c r="A1487" s="219" t="n" cm="1">
        <f t="array" ref="A1487">IFERROR(INDEX('03.Muestra'!$B$8:$B$42,SMALL(IF("Página Web"='03.Muestra'!$D$8:$D$42,ROW('03.Muestra'!$B$8:$B$42)-MIN(ROW('03.Muestra'!$D$8:$D$42))+1,""),ROW()-1462)),"")</f>
        <v>1.0</v>
      </c>
      <c r="B1487" s="114" t="str" cm="1">
        <f t="array" ref="B1487">IFERROR(INDEX('03.Muestra'!$C$8:$C$42,SMALL(IF("Página Web"='03.Muestra'!$D$8:$D$42,ROW('03.Muestra'!$C$8:$C$42)-MIN(ROW('03.Muestra'!$D$8:$D$42))+1,""),ROW()-1462)),"")</f>
        <v>Home - PortCastelló</v>
      </c>
      <c r="C1487" s="114" t="str" cm="1">
        <f t="array" ref="C1487">IFERROR(INDEX('03.Muestra'!$F$8:$F$42,SMALL(IF("Página Web"='03.Muestra'!$D$8:$D$42,ROW('03.Muestra'!$F$8:$F$42)-MIN(ROW('03.Muestra'!$D$8:$D$42))+1,""),ROW()-1462)),"")</f>
        <v>https://www.portcastello.com/</v>
      </c>
      <c r="D1487" s="130" t="s">
        <v>37</v>
      </c>
      <c r="E1487" s="107" t="str">
        <f t="shared" si="76"/>
        <v/>
      </c>
      <c r="F1487" s="19"/>
      <c r="G1487" s="19"/>
      <c r="H1487" s="19"/>
      <c r="I1487" s="19"/>
      <c r="J1487" s="19"/>
      <c r="K1487" s="233"/>
      <c r="L1487" s="19"/>
    </row>
    <row r="1488" spans="1:12" ht="12" customHeight="1">
      <c r="A1488" s="219" t="n" cm="1">
        <f t="array" ref="A1488">IFERROR(INDEX('03.Muestra'!$B$8:$B$42,SMALL(IF("Página Web"='03.Muestra'!$D$8:$D$42,ROW('03.Muestra'!$B$8:$B$42)-MIN(ROW('03.Muestra'!$D$8:$D$42))+1,""),ROW()-1462)),"")</f>
        <v>1.0</v>
      </c>
      <c r="B1488" s="114" t="str" cm="1">
        <f t="array" ref="B1488">IFERROR(INDEX('03.Muestra'!$C$8:$C$42,SMALL(IF("Página Web"='03.Muestra'!$D$8:$D$42,ROW('03.Muestra'!$C$8:$C$42)-MIN(ROW('03.Muestra'!$D$8:$D$42))+1,""),ROW()-1462)),"")</f>
        <v>Home - PortCastelló</v>
      </c>
      <c r="C1488" s="114" t="str" cm="1">
        <f t="array" ref="C1488">IFERROR(INDEX('03.Muestra'!$F$8:$F$42,SMALL(IF("Página Web"='03.Muestra'!$D$8:$D$42,ROW('03.Muestra'!$F$8:$F$42)-MIN(ROW('03.Muestra'!$D$8:$D$42))+1,""),ROW()-1462)),"")</f>
        <v>https://www.portcastello.com/</v>
      </c>
      <c r="D1488" s="130" t="s">
        <v>37</v>
      </c>
      <c r="E1488" s="107" t="str">
        <f t="shared" si="76"/>
        <v/>
      </c>
      <c r="F1488" s="19"/>
      <c r="G1488" s="19"/>
      <c r="H1488" s="19"/>
      <c r="I1488" s="19"/>
      <c r="J1488" s="19"/>
      <c r="K1488" s="233"/>
      <c r="L1488" s="19"/>
    </row>
    <row r="1489" spans="1:12" ht="12" customHeight="1">
      <c r="A1489" s="219" t="n" cm="1">
        <f t="array" ref="A1489">IFERROR(INDEX('03.Muestra'!$B$8:$B$42,SMALL(IF("Página Web"='03.Muestra'!$D$8:$D$42,ROW('03.Muestra'!$B$8:$B$42)-MIN(ROW('03.Muestra'!$D$8:$D$42))+1,""),ROW()-1462)),"")</f>
        <v>1.0</v>
      </c>
      <c r="B1489" s="114" t="str" cm="1">
        <f t="array" ref="B1489">IFERROR(INDEX('03.Muestra'!$C$8:$C$42,SMALL(IF("Página Web"='03.Muestra'!$D$8:$D$42,ROW('03.Muestra'!$C$8:$C$42)-MIN(ROW('03.Muestra'!$D$8:$D$42))+1,""),ROW()-1462)),"")</f>
        <v>Home - PortCastelló</v>
      </c>
      <c r="C1489" s="114" t="str" cm="1">
        <f t="array" ref="C1489">IFERROR(INDEX('03.Muestra'!$F$8:$F$42,SMALL(IF("Página Web"='03.Muestra'!$D$8:$D$42,ROW('03.Muestra'!$F$8:$F$42)-MIN(ROW('03.Muestra'!$D$8:$D$42))+1,""),ROW()-1462)),"")</f>
        <v>https://www.portcastello.com/</v>
      </c>
      <c r="D1489" s="130" t="s">
        <v>37</v>
      </c>
      <c r="E1489" s="107" t="str">
        <f t="shared" si="76"/>
        <v/>
      </c>
      <c r="F1489" s="19"/>
      <c r="G1489" s="19"/>
      <c r="H1489" s="19"/>
      <c r="I1489" s="19"/>
      <c r="J1489" s="19"/>
      <c r="K1489" s="233"/>
      <c r="L1489" s="19"/>
    </row>
    <row r="1490" spans="1:12" ht="12" customHeight="1">
      <c r="A1490" s="219" t="n" cm="1">
        <f t="array" ref="A1490">IFERROR(INDEX('03.Muestra'!$B$8:$B$42,SMALL(IF("Página Web"='03.Muestra'!$D$8:$D$42,ROW('03.Muestra'!$B$8:$B$42)-MIN(ROW('03.Muestra'!$D$8:$D$42))+1,""),ROW()-1462)),"")</f>
        <v>1.0</v>
      </c>
      <c r="B1490" s="114" t="str" cm="1">
        <f t="array" ref="B1490">IFERROR(INDEX('03.Muestra'!$C$8:$C$42,SMALL(IF("Página Web"='03.Muestra'!$D$8:$D$42,ROW('03.Muestra'!$C$8:$C$42)-MIN(ROW('03.Muestra'!$D$8:$D$42))+1,""),ROW()-1462)),"")</f>
        <v>Home - PortCastelló</v>
      </c>
      <c r="C1490" s="114" t="str" cm="1">
        <f t="array" ref="C1490">IFERROR(INDEX('03.Muestra'!$F$8:$F$42,SMALL(IF("Página Web"='03.Muestra'!$D$8:$D$42,ROW('03.Muestra'!$F$8:$F$42)-MIN(ROW('03.Muestra'!$D$8:$D$42))+1,""),ROW()-1462)),"")</f>
        <v>https://www.portcastello.com/</v>
      </c>
      <c r="D1490" s="130" t="s">
        <v>37</v>
      </c>
      <c r="E1490" s="107" t="str">
        <f t="shared" si="76"/>
        <v/>
      </c>
      <c r="G1490" s="19"/>
      <c r="H1490" s="19"/>
      <c r="I1490" s="19"/>
      <c r="J1490" s="19"/>
      <c r="K1490" s="233"/>
      <c r="L1490" s="19"/>
    </row>
    <row r="1491" spans="1:12" ht="12" customHeight="1">
      <c r="A1491" s="219" t="n" cm="1">
        <f t="array" ref="A1491">IFERROR(INDEX('03.Muestra'!$B$8:$B$42,SMALL(IF("Página Web"='03.Muestra'!$D$8:$D$42,ROW('03.Muestra'!$B$8:$B$42)-MIN(ROW('03.Muestra'!$D$8:$D$42))+1,""),ROW()-1462)),"")</f>
        <v>1.0</v>
      </c>
      <c r="B1491" s="114" t="str" cm="1">
        <f t="array" ref="B1491">IFERROR(INDEX('03.Muestra'!$C$8:$C$42,SMALL(IF("Página Web"='03.Muestra'!$D$8:$D$42,ROW('03.Muestra'!$C$8:$C$42)-MIN(ROW('03.Muestra'!$D$8:$D$42))+1,""),ROW()-1462)),"")</f>
        <v>Home - PortCastelló</v>
      </c>
      <c r="C1491" s="114" t="str" cm="1">
        <f t="array" ref="C1491">IFERROR(INDEX('03.Muestra'!$F$8:$F$42,SMALL(IF("Página Web"='03.Muestra'!$D$8:$D$42,ROW('03.Muestra'!$F$8:$F$42)-MIN(ROW('03.Muestra'!$D$8:$D$42))+1,""),ROW()-1462)),"")</f>
        <v>https://www.portcastello.com/</v>
      </c>
      <c r="D1491" s="130" t="s">
        <v>37</v>
      </c>
      <c r="E1491" s="107" t="str">
        <f t="shared" si="76"/>
        <v/>
      </c>
      <c r="F1491" s="124"/>
      <c r="G1491" s="19"/>
      <c r="H1491" s="19"/>
      <c r="I1491" s="19"/>
      <c r="J1491" s="19"/>
      <c r="K1491" s="233"/>
      <c r="L1491" s="19"/>
    </row>
    <row r="1492" spans="1:12" ht="12" customHeight="1">
      <c r="A1492" s="219" t="n" cm="1">
        <f t="array" ref="A1492">IFERROR(INDEX('03.Muestra'!$B$8:$B$42,SMALL(IF("Página Web"='03.Muestra'!$D$8:$D$42,ROW('03.Muestra'!$B$8:$B$42)-MIN(ROW('03.Muestra'!$D$8:$D$42))+1,""),ROW()-1462)),"")</f>
        <v>1.0</v>
      </c>
      <c r="B1492" s="114" t="str" cm="1">
        <f t="array" ref="B1492">IFERROR(INDEX('03.Muestra'!$C$8:$C$42,SMALL(IF("Página Web"='03.Muestra'!$D$8:$D$42,ROW('03.Muestra'!$C$8:$C$42)-MIN(ROW('03.Muestra'!$D$8:$D$42))+1,""),ROW()-1462)),"")</f>
        <v>Home - PortCastelló</v>
      </c>
      <c r="C1492" s="114" t="str" cm="1">
        <f t="array" ref="C1492">IFERROR(INDEX('03.Muestra'!$F$8:$F$42,SMALL(IF("Página Web"='03.Muestra'!$D$8:$D$42,ROW('03.Muestra'!$F$8:$F$42)-MIN(ROW('03.Muestra'!$D$8:$D$42))+1,""),ROW()-1462)),"")</f>
        <v>https://www.portcastello.com/</v>
      </c>
      <c r="D1492" s="130" t="s">
        <v>37</v>
      </c>
      <c r="E1492" s="107" t="str">
        <f t="shared" si="76"/>
        <v/>
      </c>
      <c r="F1492" s="124"/>
      <c r="G1492" s="19"/>
      <c r="H1492" s="19"/>
      <c r="I1492" s="19"/>
      <c r="J1492" s="19"/>
      <c r="K1492" s="233"/>
      <c r="L1492" s="19"/>
    </row>
    <row r="1493" spans="1:12" ht="12" customHeight="1">
      <c r="A1493" s="219" t="n" cm="1">
        <f t="array" ref="A1493">IFERROR(INDEX('03.Muestra'!$B$8:$B$42,SMALL(IF("Página Web"='03.Muestra'!$D$8:$D$42,ROW('03.Muestra'!$B$8:$B$42)-MIN(ROW('03.Muestra'!$D$8:$D$42))+1,""),ROW()-1462)),"")</f>
        <v>1.0</v>
      </c>
      <c r="B1493" s="114" t="str" cm="1">
        <f t="array" ref="B1493">IFERROR(INDEX('03.Muestra'!$C$8:$C$42,SMALL(IF("Página Web"='03.Muestra'!$D$8:$D$42,ROW('03.Muestra'!$C$8:$C$42)-MIN(ROW('03.Muestra'!$D$8:$D$42))+1,""),ROW()-1462)),"")</f>
        <v>Home - PortCastelló</v>
      </c>
      <c r="C1493" s="114" t="str" cm="1">
        <f t="array" ref="C1493">IFERROR(INDEX('03.Muestra'!$F$8:$F$42,SMALL(IF("Página Web"='03.Muestra'!$D$8:$D$42,ROW('03.Muestra'!$F$8:$F$42)-MIN(ROW('03.Muestra'!$D$8:$D$42))+1,""),ROW()-1462)),"")</f>
        <v>https://www.portcastello.com/</v>
      </c>
      <c r="D1493" s="130" t="s">
        <v>37</v>
      </c>
      <c r="E1493" s="107" t="str">
        <f t="shared" si="76"/>
        <v/>
      </c>
      <c r="F1493" s="124"/>
      <c r="G1493" s="19"/>
      <c r="H1493" s="19"/>
      <c r="I1493" s="19"/>
      <c r="J1493" s="19"/>
      <c r="K1493" s="233"/>
      <c r="L1493" s="19"/>
    </row>
    <row r="1494" spans="1:12" ht="12" customHeight="1">
      <c r="A1494" s="219" t="n" cm="1">
        <f t="array" ref="A1494">IFERROR(INDEX('03.Muestra'!$B$8:$B$42,SMALL(IF("Página Web"='03.Muestra'!$D$8:$D$42,ROW('03.Muestra'!$B$8:$B$42)-MIN(ROW('03.Muestra'!$D$8:$D$42))+1,""),ROW()-1462)),"")</f>
        <v>1.0</v>
      </c>
      <c r="B1494" s="114" t="str" cm="1">
        <f t="array" ref="B1494">IFERROR(INDEX('03.Muestra'!$C$8:$C$42,SMALL(IF("Página Web"='03.Muestra'!$D$8:$D$42,ROW('03.Muestra'!$C$8:$C$42)-MIN(ROW('03.Muestra'!$D$8:$D$42))+1,""),ROW()-1462)),"")</f>
        <v>Home - PortCastelló</v>
      </c>
      <c r="C1494" s="114" t="str" cm="1">
        <f t="array" ref="C1494">IFERROR(INDEX('03.Muestra'!$F$8:$F$42,SMALL(IF("Página Web"='03.Muestra'!$D$8:$D$42,ROW('03.Muestra'!$F$8:$F$42)-MIN(ROW('03.Muestra'!$D$8:$D$42))+1,""),ROW()-1462)),"")</f>
        <v>https://www.portcastello.com/</v>
      </c>
      <c r="D1494" s="130" t="s">
        <v>37</v>
      </c>
      <c r="E1494" s="107" t="str">
        <f t="shared" si="76"/>
        <v/>
      </c>
      <c r="F1494" s="124"/>
      <c r="G1494" s="19"/>
      <c r="H1494" s="19"/>
      <c r="I1494" s="19"/>
      <c r="J1494" s="19"/>
      <c r="K1494" s="233"/>
      <c r="L1494" s="19"/>
    </row>
    <row r="1495" spans="1:12" ht="12" customHeight="1">
      <c r="A1495" s="219" t="n" cm="1">
        <f t="array" ref="A1495">IFERROR(INDEX('03.Muestra'!$B$8:$B$42,SMALL(IF("Página Web"='03.Muestra'!$D$8:$D$42,ROW('03.Muestra'!$B$8:$B$42)-MIN(ROW('03.Muestra'!$D$8:$D$42))+1,""),ROW()-1462)),"")</f>
        <v>1.0</v>
      </c>
      <c r="B1495" s="114" t="str" cm="1">
        <f t="array" ref="B1495">IFERROR(INDEX('03.Muestra'!$C$8:$C$42,SMALL(IF("Página Web"='03.Muestra'!$D$8:$D$42,ROW('03.Muestra'!$C$8:$C$42)-MIN(ROW('03.Muestra'!$D$8:$D$42))+1,""),ROW()-1462)),"")</f>
        <v>Home - PortCastelló</v>
      </c>
      <c r="C1495" s="114" t="str" cm="1">
        <f t="array" ref="C1495">IFERROR(INDEX('03.Muestra'!$F$8:$F$42,SMALL(IF("Página Web"='03.Muestra'!$D$8:$D$42,ROW('03.Muestra'!$F$8:$F$42)-MIN(ROW('03.Muestra'!$D$8:$D$42))+1,""),ROW()-1462)),"")</f>
        <v>https://www.portcastello.com/</v>
      </c>
      <c r="D1495" s="130" t="s">
        <v>37</v>
      </c>
      <c r="E1495" s="107" t="str">
        <f t="shared" si="76"/>
        <v/>
      </c>
      <c r="F1495" s="124"/>
      <c r="G1495" s="19"/>
      <c r="H1495" s="19"/>
      <c r="I1495" s="19"/>
      <c r="J1495" s="19"/>
      <c r="K1495" s="233"/>
      <c r="L1495" s="19"/>
    </row>
    <row r="1496" spans="1:12" ht="12" customHeight="1">
      <c r="A1496" s="219" t="str" cm="1">
        <f t="array" ref="A1496">IFERROR(INDEX('03.Muestra'!$B$8:$B$42,SMALL(IF("Página Web"='03.Muestra'!$D$8:$D$42,ROW('03.Muestra'!$B$8:$B$42)-MIN(ROW('03.Muestra'!$D$8:$D$42))+1,""),ROW()-1462)),"")</f>
        <v/>
      </c>
      <c r="B1496" s="114" t="str" cm="1">
        <f t="array" ref="B1496">IFERROR(INDEX('03.Muestra'!$C$8:$C$42,SMALL(IF("Página Web"='03.Muestra'!$D$8:$D$42,ROW('03.Muestra'!$C$8:$C$42)-MIN(ROW('03.Muestra'!$D$8:$D$42))+1,""),ROW()-1462)),"")</f>
        <v/>
      </c>
      <c r="C1496" s="114" t="str" cm="1">
        <f t="array" ref="C1496">IFERROR(INDEX('03.Muestra'!$F$8:$F$42,SMALL(IF("Página Web"='03.Muestra'!$D$8:$D$42,ROW('03.Muestra'!$F$8:$F$42)-MIN(ROW('03.Muestra'!$D$8:$D$42))+1,""),ROW()-1462)),"")</f>
        <v/>
      </c>
      <c r="D1496" s="130" t="str">
        <f t="shared" si="77" ref="D1496:D1497">IF(AND(B1496&lt;&gt;"",C1496&lt;&gt;""),"N/T","")</f>
        <v/>
      </c>
      <c r="E1496" s="107" t="str">
        <f t="shared" si="76"/>
        <v/>
      </c>
      <c r="F1496" s="124"/>
      <c r="G1496" s="19"/>
      <c r="H1496" s="19"/>
      <c r="I1496" s="19"/>
      <c r="J1496" s="19"/>
      <c r="K1496" s="233"/>
      <c r="L1496" s="19"/>
    </row>
    <row r="1497" spans="1:12" ht="12" customHeight="1">
      <c r="A1497" s="219" t="str" cm="1">
        <f t="array" ref="A1497">IFERROR(INDEX('03.Muestra'!$B$8:$B$42,SMALL(IF("Página Web"='03.Muestra'!$D$8:$D$42,ROW('03.Muestra'!$B$8:$B$42)-MIN(ROW('03.Muestra'!$D$8:$D$42))+1,""),ROW()-1462)),"")</f>
        <v/>
      </c>
      <c r="B1497" s="114" t="str" cm="1">
        <f t="array" ref="B1497">IFERROR(INDEX('03.Muestra'!$C$8:$C$42,SMALL(IF("Página Web"='03.Muestra'!$D$8:$D$42,ROW('03.Muestra'!$C$8:$C$42)-MIN(ROW('03.Muestra'!$D$8:$D$42))+1,""),ROW()-1462)),"")</f>
        <v/>
      </c>
      <c r="C1497" s="114" t="str" cm="1">
        <f t="array" ref="C1497">IFERROR(INDEX('03.Muestra'!$F$8:$F$42,SMALL(IF("Página Web"='03.Muestra'!$D$8:$D$42,ROW('03.Muestra'!$F$8:$F$42)-MIN(ROW('03.Muestra'!$D$8:$D$42))+1,""),ROW()-1462)),"")</f>
        <v/>
      </c>
      <c r="D1497" s="130" t="str">
        <f t="shared" si="77"/>
        <v/>
      </c>
      <c r="E1497" s="107" t="str">
        <f t="shared" si="76"/>
        <v/>
      </c>
      <c r="F1497" s="19"/>
      <c r="G1497" s="19"/>
      <c r="H1497" s="19"/>
      <c r="I1497" s="19"/>
      <c r="J1497" s="19"/>
      <c r="K1497" s="233"/>
      <c r="L1497" s="19"/>
    </row>
    <row r="1498" spans="1:12" ht="12" customHeight="1">
      <c r="B1498" s="19"/>
      <c r="C1498" s="19"/>
      <c r="D1498" s="107"/>
      <c r="E1498" s="19"/>
      <c r="F1498" s="19"/>
      <c r="G1498" s="19"/>
      <c r="H1498" s="19"/>
      <c r="I1498" s="19"/>
      <c r="J1498" s="19"/>
      <c r="K1498" s="233"/>
      <c r="L1498" s="19"/>
    </row>
    <row r="1499" spans="1:12" ht="12" customHeight="1">
      <c r="B1499" s="19"/>
      <c r="C1499" s="19"/>
      <c r="D1499" s="107"/>
      <c r="E1499" s="112"/>
      <c r="F1499" s="19"/>
      <c r="G1499" s="19"/>
      <c r="H1499" s="19"/>
      <c r="I1499" s="19"/>
      <c r="J1499" s="19"/>
      <c r="K1499" s="233"/>
      <c r="L1499" s="19"/>
    </row>
    <row r="1500" spans="1:12" ht="29.25" customHeight="1">
      <c r="A1500" s="218" t="s">
        <v>268</v>
      </c>
      <c r="B1500" s="24" t="s">
        <v>90</v>
      </c>
      <c r="C1500" s="25" t="s">
        <v>412</v>
      </c>
      <c r="D1500" s="26" t="s">
        <v>32</v>
      </c>
      <c r="E1500" s="123"/>
      <c r="K1500" s="233"/>
      <c r="L1500" s="19"/>
    </row>
    <row r="1501" spans="1:12" ht="12" customHeight="1">
      <c r="A1501" s="219" t="n" cm="1">
        <f t="array" ref="A1501">IFERROR(INDEX('03.Muestra'!$B$8:$B$42,SMALL(IF("Página Web"='03.Muestra'!$D$8:$D$42,ROW('03.Muestra'!$B$8:$B$42)-MIN(ROW('03.Muestra'!$D$8:$D$42))+1,""),ROW()-1500)),"")</f>
        <v>1.0</v>
      </c>
      <c r="B1501" s="114" t="str" cm="1">
        <f t="array" ref="B1501">IFERROR(INDEX('03.Muestra'!$C$8:$C$42,SMALL(IF("Página Web"='03.Muestra'!$D$8:$D$42,ROW('03.Muestra'!$C$8:$C$42)-MIN(ROW('03.Muestra'!$D$8:$D$42))+1,""),ROW()-1500)),"")</f>
        <v>Home - PortCastelló</v>
      </c>
      <c r="C1501" s="114" t="str" cm="1">
        <f t="array" ref="C1501">IFERROR(INDEX('03.Muestra'!$F$8:$F$42,SMALL(IF("Página Web"='03.Muestra'!$D$8:$D$42,ROW('03.Muestra'!$F$8:$F$42)-MIN(ROW('03.Muestra'!$D$8:$D$42))+1,""),ROW()-1500)),"")</f>
        <v>https://www.portcastello.com/</v>
      </c>
      <c r="D1501" s="130" t="s">
        <v>37</v>
      </c>
      <c r="E1501" s="107" t="str">
        <f t="shared" ref="E1501:E1535" si="78">IF(D1501&lt;&gt;"",IF(AND(B1501&lt;&gt;"",C1501&lt;&gt;""),"","ERR"),"")</f>
        <v/>
      </c>
      <c r="F1501" s="115" t="s">
        <v>33</v>
      </c>
      <c r="G1501" s="116" t="s">
        <v>37</v>
      </c>
      <c r="H1501" s="117" t="s">
        <v>35</v>
      </c>
      <c r="I1501" s="118" t="s">
        <v>28</v>
      </c>
      <c r="J1501" s="119" t="s">
        <v>26</v>
      </c>
      <c r="K1501" s="226" t="s">
        <v>474</v>
      </c>
      <c r="L1501" s="19"/>
    </row>
    <row r="1502" spans="1:12" ht="12" customHeight="1">
      <c r="A1502" s="219" t="n" cm="1">
        <f t="array" ref="A1502">IFERROR(INDEX('03.Muestra'!$B$8:$B$42,SMALL(IF("Página Web"='03.Muestra'!$D$8:$D$42,ROW('03.Muestra'!$B$8:$B$42)-MIN(ROW('03.Muestra'!$D$8:$D$42))+1,""),ROW()-1500)),"")</f>
        <v>1.0</v>
      </c>
      <c r="B1502" s="114" t="str" cm="1">
        <f t="array" ref="B1502">IFERROR(INDEX('03.Muestra'!$C$8:$C$42,SMALL(IF("Página Web"='03.Muestra'!$D$8:$D$42,ROW('03.Muestra'!$C$8:$C$42)-MIN(ROW('03.Muestra'!$D$8:$D$42))+1,""),ROW()-1500)),"")</f>
        <v>Home - PortCastelló</v>
      </c>
      <c r="C1502" s="114" t="str" cm="1">
        <f t="array" ref="C1502">IFERROR(INDEX('03.Muestra'!$F$8:$F$42,SMALL(IF("Página Web"='03.Muestra'!$D$8:$D$42,ROW('03.Muestra'!$F$8:$F$42)-MIN(ROW('03.Muestra'!$D$8:$D$42))+1,""),ROW()-1500)),"")</f>
        <v>https://www.portcastello.com/</v>
      </c>
      <c r="D1502" s="130" t="s">
        <v>37</v>
      </c>
      <c r="E1502" s="107" t="str">
        <f t="shared" si="78"/>
        <v/>
      </c>
      <c r="F1502" s="120" t="n">
        <f ca="1">COUNTIF($D1501:INDIRECT("$D" &amp;  SUM(ROW()-1,'03.Muestra'!$D$45)-1),F1501)</f>
        <v>0.0</v>
      </c>
      <c r="G1502" s="120" t="n">
        <f ca="1">COUNTIF($D1501:INDIRECT("$D" &amp;  SUM(ROW()-1,'03.Muestra'!$D$45)-1),G1501)</f>
        <v>33.0</v>
      </c>
      <c r="H1502" s="120" t="n">
        <f ca="1">COUNTIF($D1501:INDIRECT("$D" &amp;  SUM(ROW()-1,'03.Muestra'!$D$45)-1),H1501)</f>
        <v>0.0</v>
      </c>
      <c r="I1502" s="120" t="n">
        <f ca="1">COUNTIF($D1501:INDIRECT("$D" &amp;  SUM(ROW()-1,'03.Muestra'!$D$45)-1),I1501)</f>
        <v>0.0</v>
      </c>
      <c r="J1502" s="120" t="n">
        <f ca="1">COUNTIF($D1501:INDIRECT("$D" &amp;  SUM(ROW()-1,'03.Muestra'!$D$45)-1),J1501)</f>
        <v>0.0</v>
      </c>
      <c r="K1502" s="227" t="n">
        <f ca="1">IF(COUNTIF('03.Muestra'!$D$8:$D$42,"Página Web")=0,0,COUNTBLANK($D1501:INDIRECT("$D" &amp;  SUM(ROW()-1,COUNTIF('03.Muestra'!$D$8:$D$42,"Página Web"))-1)))</f>
        <v>0.0</v>
      </c>
      <c r="L1502" s="19"/>
    </row>
    <row r="1503" spans="1:12" ht="12" customHeight="1">
      <c r="A1503" s="219" t="n" cm="1">
        <f t="array" ref="A1503">IFERROR(INDEX('03.Muestra'!$B$8:$B$42,SMALL(IF("Página Web"='03.Muestra'!$D$8:$D$42,ROW('03.Muestra'!$B$8:$B$42)-MIN(ROW('03.Muestra'!$D$8:$D$42))+1,""),ROW()-1500)),"")</f>
        <v>1.0</v>
      </c>
      <c r="B1503" s="114" t="str" cm="1">
        <f t="array" ref="B1503">IFERROR(INDEX('03.Muestra'!$C$8:$C$42,SMALL(IF("Página Web"='03.Muestra'!$D$8:$D$42,ROW('03.Muestra'!$C$8:$C$42)-MIN(ROW('03.Muestra'!$D$8:$D$42))+1,""),ROW()-1500)),"")</f>
        <v>Home - PortCastelló</v>
      </c>
      <c r="C1503" s="114" t="str" cm="1">
        <f t="array" ref="C1503">IFERROR(INDEX('03.Muestra'!$F$8:$F$42,SMALL(IF("Página Web"='03.Muestra'!$D$8:$D$42,ROW('03.Muestra'!$F$8:$F$42)-MIN(ROW('03.Muestra'!$D$8:$D$42))+1,""),ROW()-1500)),"")</f>
        <v>https://www.portcastello.com/</v>
      </c>
      <c r="D1503" s="130" t="s">
        <v>37</v>
      </c>
      <c r="E1503" s="107" t="str">
        <f t="shared" si="78"/>
        <v/>
      </c>
      <c r="G1503" s="19"/>
      <c r="H1503" s="19"/>
      <c r="I1503" s="19"/>
      <c r="J1503" s="19"/>
      <c r="K1503" s="233"/>
      <c r="L1503" s="19"/>
    </row>
    <row r="1504" spans="1:12" ht="12" customHeight="1">
      <c r="A1504" s="219" t="n" cm="1">
        <f t="array" ref="A1504">IFERROR(INDEX('03.Muestra'!$B$8:$B$42,SMALL(IF("Página Web"='03.Muestra'!$D$8:$D$42,ROW('03.Muestra'!$B$8:$B$42)-MIN(ROW('03.Muestra'!$D$8:$D$42))+1,""),ROW()-1500)),"")</f>
        <v>1.0</v>
      </c>
      <c r="B1504" s="114" t="str" cm="1">
        <f t="array" ref="B1504">IFERROR(INDEX('03.Muestra'!$C$8:$C$42,SMALL(IF("Página Web"='03.Muestra'!$D$8:$D$42,ROW('03.Muestra'!$C$8:$C$42)-MIN(ROW('03.Muestra'!$D$8:$D$42))+1,""),ROW()-1500)),"")</f>
        <v>Home - PortCastelló</v>
      </c>
      <c r="C1504" s="114" t="str" cm="1">
        <f t="array" ref="C1504">IFERROR(INDEX('03.Muestra'!$F$8:$F$42,SMALL(IF("Página Web"='03.Muestra'!$D$8:$D$42,ROW('03.Muestra'!$F$8:$F$42)-MIN(ROW('03.Muestra'!$D$8:$D$42))+1,""),ROW()-1500)),"")</f>
        <v>https://www.portcastello.com/</v>
      </c>
      <c r="D1504" s="130" t="s">
        <v>37</v>
      </c>
      <c r="E1504" s="107" t="str">
        <f t="shared" si="78"/>
        <v/>
      </c>
      <c r="G1504" s="19"/>
      <c r="H1504" s="19"/>
      <c r="I1504" s="19"/>
      <c r="J1504" s="19"/>
      <c r="K1504" s="233"/>
      <c r="L1504" s="19"/>
    </row>
    <row r="1505" spans="1:12" ht="12" customHeight="1">
      <c r="A1505" s="219" t="n" cm="1">
        <f t="array" ref="A1505">IFERROR(INDEX('03.Muestra'!$B$8:$B$42,SMALL(IF("Página Web"='03.Muestra'!$D$8:$D$42,ROW('03.Muestra'!$B$8:$B$42)-MIN(ROW('03.Muestra'!$D$8:$D$42))+1,""),ROW()-1500)),"")</f>
        <v>1.0</v>
      </c>
      <c r="B1505" s="114" t="str" cm="1">
        <f t="array" ref="B1505">IFERROR(INDEX('03.Muestra'!$C$8:$C$42,SMALL(IF("Página Web"='03.Muestra'!$D$8:$D$42,ROW('03.Muestra'!$C$8:$C$42)-MIN(ROW('03.Muestra'!$D$8:$D$42))+1,""),ROW()-1500)),"")</f>
        <v>Home - PortCastelló</v>
      </c>
      <c r="C1505" s="114" t="str" cm="1">
        <f t="array" ref="C1505">IFERROR(INDEX('03.Muestra'!$F$8:$F$42,SMALL(IF("Página Web"='03.Muestra'!$D$8:$D$42,ROW('03.Muestra'!$F$8:$F$42)-MIN(ROW('03.Muestra'!$D$8:$D$42))+1,""),ROW()-1500)),"")</f>
        <v>https://www.portcastello.com/</v>
      </c>
      <c r="D1505" s="130" t="s">
        <v>37</v>
      </c>
      <c r="E1505" s="107" t="str">
        <f t="shared" si="78"/>
        <v/>
      </c>
      <c r="G1505" s="19"/>
      <c r="H1505" s="19"/>
      <c r="I1505" s="19"/>
      <c r="J1505" s="19"/>
      <c r="K1505" s="233"/>
      <c r="L1505" s="19"/>
    </row>
    <row r="1506" spans="1:12" ht="12" customHeight="1">
      <c r="A1506" s="219" t="n" cm="1">
        <f t="array" ref="A1506">IFERROR(INDEX('03.Muestra'!$B$8:$B$42,SMALL(IF("Página Web"='03.Muestra'!$D$8:$D$42,ROW('03.Muestra'!$B$8:$B$42)-MIN(ROW('03.Muestra'!$D$8:$D$42))+1,""),ROW()-1500)),"")</f>
        <v>1.0</v>
      </c>
      <c r="B1506" s="114" t="str" cm="1">
        <f t="array" ref="B1506">IFERROR(INDEX('03.Muestra'!$C$8:$C$42,SMALL(IF("Página Web"='03.Muestra'!$D$8:$D$42,ROW('03.Muestra'!$C$8:$C$42)-MIN(ROW('03.Muestra'!$D$8:$D$42))+1,""),ROW()-1500)),"")</f>
        <v>Home - PortCastelló</v>
      </c>
      <c r="C1506" s="114" t="str" cm="1">
        <f t="array" ref="C1506">IFERROR(INDEX('03.Muestra'!$F$8:$F$42,SMALL(IF("Página Web"='03.Muestra'!$D$8:$D$42,ROW('03.Muestra'!$F$8:$F$42)-MIN(ROW('03.Muestra'!$D$8:$D$42))+1,""),ROW()-1500)),"")</f>
        <v>https://www.portcastello.com/</v>
      </c>
      <c r="D1506" s="130" t="s">
        <v>37</v>
      </c>
      <c r="E1506" s="107" t="str">
        <f t="shared" si="78"/>
        <v/>
      </c>
      <c r="G1506" s="19"/>
      <c r="H1506" s="19"/>
      <c r="I1506" s="19"/>
      <c r="J1506" s="19"/>
      <c r="K1506" s="233"/>
      <c r="L1506" s="19"/>
    </row>
    <row r="1507" spans="1:12" ht="12" customHeight="1">
      <c r="A1507" s="219" t="n" cm="1">
        <f t="array" ref="A1507">IFERROR(INDEX('03.Muestra'!$B$8:$B$42,SMALL(IF("Página Web"='03.Muestra'!$D$8:$D$42,ROW('03.Muestra'!$B$8:$B$42)-MIN(ROW('03.Muestra'!$D$8:$D$42))+1,""),ROW()-1500)),"")</f>
        <v>1.0</v>
      </c>
      <c r="B1507" s="114" t="str" cm="1">
        <f t="array" ref="B1507">IFERROR(INDEX('03.Muestra'!$C$8:$C$42,SMALL(IF("Página Web"='03.Muestra'!$D$8:$D$42,ROW('03.Muestra'!$C$8:$C$42)-MIN(ROW('03.Muestra'!$D$8:$D$42))+1,""),ROW()-1500)),"")</f>
        <v>Home - PortCastelló</v>
      </c>
      <c r="C1507" s="114" t="str" cm="1">
        <f t="array" ref="C1507">IFERROR(INDEX('03.Muestra'!$F$8:$F$42,SMALL(IF("Página Web"='03.Muestra'!$D$8:$D$42,ROW('03.Muestra'!$F$8:$F$42)-MIN(ROW('03.Muestra'!$D$8:$D$42))+1,""),ROW()-1500)),"")</f>
        <v>https://www.portcastello.com/</v>
      </c>
      <c r="D1507" s="130" t="s">
        <v>37</v>
      </c>
      <c r="E1507" s="107" t="str">
        <f t="shared" si="78"/>
        <v/>
      </c>
      <c r="F1507" s="19"/>
      <c r="G1507" s="19"/>
      <c r="H1507" s="19"/>
      <c r="I1507" s="19"/>
      <c r="J1507" s="19"/>
      <c r="K1507" s="233"/>
      <c r="L1507" s="19"/>
    </row>
    <row r="1508" spans="1:12" ht="12" customHeight="1">
      <c r="A1508" s="219" t="n" cm="1">
        <f t="array" ref="A1508">IFERROR(INDEX('03.Muestra'!$B$8:$B$42,SMALL(IF("Página Web"='03.Muestra'!$D$8:$D$42,ROW('03.Muestra'!$B$8:$B$42)-MIN(ROW('03.Muestra'!$D$8:$D$42))+1,""),ROW()-1500)),"")</f>
        <v>1.0</v>
      </c>
      <c r="B1508" s="114" t="str" cm="1">
        <f t="array" ref="B1508">IFERROR(INDEX('03.Muestra'!$C$8:$C$42,SMALL(IF("Página Web"='03.Muestra'!$D$8:$D$42,ROW('03.Muestra'!$C$8:$C$42)-MIN(ROW('03.Muestra'!$D$8:$D$42))+1,""),ROW()-1500)),"")</f>
        <v>Home - PortCastelló</v>
      </c>
      <c r="C1508" s="114" t="str" cm="1">
        <f t="array" ref="C1508">IFERROR(INDEX('03.Muestra'!$F$8:$F$42,SMALL(IF("Página Web"='03.Muestra'!$D$8:$D$42,ROW('03.Muestra'!$F$8:$F$42)-MIN(ROW('03.Muestra'!$D$8:$D$42))+1,""),ROW()-1500)),"")</f>
        <v>https://www.portcastello.com/</v>
      </c>
      <c r="D1508" s="130" t="s">
        <v>37</v>
      </c>
      <c r="E1508" s="107" t="str">
        <f t="shared" si="78"/>
        <v/>
      </c>
      <c r="F1508" s="19"/>
      <c r="G1508" s="19"/>
      <c r="H1508" s="19"/>
      <c r="I1508" s="19"/>
      <c r="J1508" s="19"/>
      <c r="K1508" s="233"/>
      <c r="L1508" s="19"/>
    </row>
    <row r="1509" spans="1:12" ht="12" customHeight="1">
      <c r="A1509" s="219" t="n" cm="1">
        <f t="array" ref="A1509">IFERROR(INDEX('03.Muestra'!$B$8:$B$42,SMALL(IF("Página Web"='03.Muestra'!$D$8:$D$42,ROW('03.Muestra'!$B$8:$B$42)-MIN(ROW('03.Muestra'!$D$8:$D$42))+1,""),ROW()-1500)),"")</f>
        <v>1.0</v>
      </c>
      <c r="B1509" s="114" t="str" cm="1">
        <f t="array" ref="B1509">IFERROR(INDEX('03.Muestra'!$C$8:$C$42,SMALL(IF("Página Web"='03.Muestra'!$D$8:$D$42,ROW('03.Muestra'!$C$8:$C$42)-MIN(ROW('03.Muestra'!$D$8:$D$42))+1,""),ROW()-1500)),"")</f>
        <v>Home - PortCastelló</v>
      </c>
      <c r="C1509" s="114" t="str" cm="1">
        <f t="array" ref="C1509">IFERROR(INDEX('03.Muestra'!$F$8:$F$42,SMALL(IF("Página Web"='03.Muestra'!$D$8:$D$42,ROW('03.Muestra'!$F$8:$F$42)-MIN(ROW('03.Muestra'!$D$8:$D$42))+1,""),ROW()-1500)),"")</f>
        <v>https://www.portcastello.com/</v>
      </c>
      <c r="D1509" s="130" t="s">
        <v>37</v>
      </c>
      <c r="E1509" s="107" t="str">
        <f t="shared" si="78"/>
        <v/>
      </c>
      <c r="F1509" s="19"/>
      <c r="G1509" s="19"/>
      <c r="H1509" s="19"/>
      <c r="I1509" s="19"/>
      <c r="J1509" s="19"/>
      <c r="K1509" s="233"/>
      <c r="L1509" s="19"/>
    </row>
    <row r="1510" spans="1:12" ht="12" customHeight="1">
      <c r="A1510" s="219" t="n" cm="1">
        <f t="array" ref="A1510">IFERROR(INDEX('03.Muestra'!$B$8:$B$42,SMALL(IF("Página Web"='03.Muestra'!$D$8:$D$42,ROW('03.Muestra'!$B$8:$B$42)-MIN(ROW('03.Muestra'!$D$8:$D$42))+1,""),ROW()-1500)),"")</f>
        <v>1.0</v>
      </c>
      <c r="B1510" s="114" t="str" cm="1">
        <f t="array" ref="B1510">IFERROR(INDEX('03.Muestra'!$C$8:$C$42,SMALL(IF("Página Web"='03.Muestra'!$D$8:$D$42,ROW('03.Muestra'!$C$8:$C$42)-MIN(ROW('03.Muestra'!$D$8:$D$42))+1,""),ROW()-1500)),"")</f>
        <v>Home - PortCastelló</v>
      </c>
      <c r="C1510" s="114" t="str" cm="1">
        <f t="array" ref="C1510">IFERROR(INDEX('03.Muestra'!$F$8:$F$42,SMALL(IF("Página Web"='03.Muestra'!$D$8:$D$42,ROW('03.Muestra'!$F$8:$F$42)-MIN(ROW('03.Muestra'!$D$8:$D$42))+1,""),ROW()-1500)),"")</f>
        <v>https://www.portcastello.com/</v>
      </c>
      <c r="D1510" s="130" t="s">
        <v>37</v>
      </c>
      <c r="E1510" s="107" t="str">
        <f t="shared" si="78"/>
        <v/>
      </c>
      <c r="F1510" s="19"/>
      <c r="G1510" s="19"/>
      <c r="H1510" s="19"/>
      <c r="I1510" s="19"/>
      <c r="J1510" s="19"/>
      <c r="K1510" s="233"/>
      <c r="L1510" s="19"/>
    </row>
    <row r="1511" spans="1:12" ht="12" customHeight="1">
      <c r="A1511" s="219" t="n" cm="1">
        <f t="array" ref="A1511">IFERROR(INDEX('03.Muestra'!$B$8:$B$42,SMALL(IF("Página Web"='03.Muestra'!$D$8:$D$42,ROW('03.Muestra'!$B$8:$B$42)-MIN(ROW('03.Muestra'!$D$8:$D$42))+1,""),ROW()-1500)),"")</f>
        <v>1.0</v>
      </c>
      <c r="B1511" s="114" t="str" cm="1">
        <f t="array" ref="B1511">IFERROR(INDEX('03.Muestra'!$C$8:$C$42,SMALL(IF("Página Web"='03.Muestra'!$D$8:$D$42,ROW('03.Muestra'!$C$8:$C$42)-MIN(ROW('03.Muestra'!$D$8:$D$42))+1,""),ROW()-1500)),"")</f>
        <v>Home - PortCastelló</v>
      </c>
      <c r="C1511" s="114" t="str" cm="1">
        <f t="array" ref="C1511">IFERROR(INDEX('03.Muestra'!$F$8:$F$42,SMALL(IF("Página Web"='03.Muestra'!$D$8:$D$42,ROW('03.Muestra'!$F$8:$F$42)-MIN(ROW('03.Muestra'!$D$8:$D$42))+1,""),ROW()-1500)),"")</f>
        <v>https://www.portcastello.com/</v>
      </c>
      <c r="D1511" s="130" t="s">
        <v>37</v>
      </c>
      <c r="E1511" s="107" t="str">
        <f t="shared" si="78"/>
        <v/>
      </c>
      <c r="F1511" s="19"/>
      <c r="G1511" s="19"/>
      <c r="H1511" s="19"/>
      <c r="I1511" s="19"/>
      <c r="J1511" s="19"/>
      <c r="K1511" s="233"/>
      <c r="L1511" s="19"/>
    </row>
    <row r="1512" spans="1:12" ht="12" customHeight="1">
      <c r="A1512" s="219" t="n" cm="1">
        <f t="array" ref="A1512">IFERROR(INDEX('03.Muestra'!$B$8:$B$42,SMALL(IF("Página Web"='03.Muestra'!$D$8:$D$42,ROW('03.Muestra'!$B$8:$B$42)-MIN(ROW('03.Muestra'!$D$8:$D$42))+1,""),ROW()-1500)),"")</f>
        <v>1.0</v>
      </c>
      <c r="B1512" s="114" t="str" cm="1">
        <f t="array" ref="B1512">IFERROR(INDEX('03.Muestra'!$C$8:$C$42,SMALL(IF("Página Web"='03.Muestra'!$D$8:$D$42,ROW('03.Muestra'!$C$8:$C$42)-MIN(ROW('03.Muestra'!$D$8:$D$42))+1,""),ROW()-1500)),"")</f>
        <v>Home - PortCastelló</v>
      </c>
      <c r="C1512" s="114" t="str" cm="1">
        <f t="array" ref="C1512">IFERROR(INDEX('03.Muestra'!$F$8:$F$42,SMALL(IF("Página Web"='03.Muestra'!$D$8:$D$42,ROW('03.Muestra'!$F$8:$F$42)-MIN(ROW('03.Muestra'!$D$8:$D$42))+1,""),ROW()-1500)),"")</f>
        <v>https://www.portcastello.com/</v>
      </c>
      <c r="D1512" s="130" t="s">
        <v>37</v>
      </c>
      <c r="E1512" s="107" t="str">
        <f t="shared" si="78"/>
        <v/>
      </c>
      <c r="F1512" s="19"/>
      <c r="G1512" s="19"/>
      <c r="H1512" s="19"/>
      <c r="I1512" s="19"/>
      <c r="J1512" s="19"/>
      <c r="K1512" s="233"/>
      <c r="L1512" s="19"/>
    </row>
    <row r="1513" spans="1:12" ht="12" customHeight="1">
      <c r="A1513" s="219" t="n" cm="1">
        <f t="array" ref="A1513">IFERROR(INDEX('03.Muestra'!$B$8:$B$42,SMALL(IF("Página Web"='03.Muestra'!$D$8:$D$42,ROW('03.Muestra'!$B$8:$B$42)-MIN(ROW('03.Muestra'!$D$8:$D$42))+1,""),ROW()-1500)),"")</f>
        <v>1.0</v>
      </c>
      <c r="B1513" s="114" t="str" cm="1">
        <f t="array" ref="B1513">IFERROR(INDEX('03.Muestra'!$C$8:$C$42,SMALL(IF("Página Web"='03.Muestra'!$D$8:$D$42,ROW('03.Muestra'!$C$8:$C$42)-MIN(ROW('03.Muestra'!$D$8:$D$42))+1,""),ROW()-1500)),"")</f>
        <v>Home - PortCastelló</v>
      </c>
      <c r="C1513" s="114" t="str" cm="1">
        <f t="array" ref="C1513">IFERROR(INDEX('03.Muestra'!$F$8:$F$42,SMALL(IF("Página Web"='03.Muestra'!$D$8:$D$42,ROW('03.Muestra'!$F$8:$F$42)-MIN(ROW('03.Muestra'!$D$8:$D$42))+1,""),ROW()-1500)),"")</f>
        <v>https://www.portcastello.com/</v>
      </c>
      <c r="D1513" s="130" t="s">
        <v>37</v>
      </c>
      <c r="E1513" s="107" t="str">
        <f t="shared" si="78"/>
        <v/>
      </c>
      <c r="F1513" s="19"/>
      <c r="G1513" s="19"/>
      <c r="H1513" s="19"/>
      <c r="I1513" s="19"/>
      <c r="J1513" s="19"/>
      <c r="K1513" s="233"/>
      <c r="L1513" s="19"/>
    </row>
    <row r="1514" spans="1:12" ht="12" customHeight="1">
      <c r="A1514" s="219" t="n" cm="1">
        <f t="array" ref="A1514">IFERROR(INDEX('03.Muestra'!$B$8:$B$42,SMALL(IF("Página Web"='03.Muestra'!$D$8:$D$42,ROW('03.Muestra'!$B$8:$B$42)-MIN(ROW('03.Muestra'!$D$8:$D$42))+1,""),ROW()-1500)),"")</f>
        <v>1.0</v>
      </c>
      <c r="B1514" s="114" t="str" cm="1">
        <f t="array" ref="B1514">IFERROR(INDEX('03.Muestra'!$C$8:$C$42,SMALL(IF("Página Web"='03.Muestra'!$D$8:$D$42,ROW('03.Muestra'!$C$8:$C$42)-MIN(ROW('03.Muestra'!$D$8:$D$42))+1,""),ROW()-1500)),"")</f>
        <v>Home - PortCastelló</v>
      </c>
      <c r="C1514" s="114" t="str" cm="1">
        <f t="array" ref="C1514">IFERROR(INDEX('03.Muestra'!$F$8:$F$42,SMALL(IF("Página Web"='03.Muestra'!$D$8:$D$42,ROW('03.Muestra'!$F$8:$F$42)-MIN(ROW('03.Muestra'!$D$8:$D$42))+1,""),ROW()-1500)),"")</f>
        <v>https://www.portcastello.com/</v>
      </c>
      <c r="D1514" s="130" t="s">
        <v>37</v>
      </c>
      <c r="E1514" s="107" t="str">
        <f t="shared" si="78"/>
        <v/>
      </c>
      <c r="F1514" s="19"/>
      <c r="G1514" s="19"/>
      <c r="H1514" s="19"/>
      <c r="I1514" s="19"/>
      <c r="J1514" s="19"/>
      <c r="K1514" s="233"/>
      <c r="L1514" s="19"/>
    </row>
    <row r="1515" spans="1:12" ht="12" customHeight="1">
      <c r="A1515" s="219" t="n" cm="1">
        <f t="array" ref="A1515">IFERROR(INDEX('03.Muestra'!$B$8:$B$42,SMALL(IF("Página Web"='03.Muestra'!$D$8:$D$42,ROW('03.Muestra'!$B$8:$B$42)-MIN(ROW('03.Muestra'!$D$8:$D$42))+1,""),ROW()-1500)),"")</f>
        <v>1.0</v>
      </c>
      <c r="B1515" s="114" t="str" cm="1">
        <f t="array" ref="B1515">IFERROR(INDEX('03.Muestra'!$C$8:$C$42,SMALL(IF("Página Web"='03.Muestra'!$D$8:$D$42,ROW('03.Muestra'!$C$8:$C$42)-MIN(ROW('03.Muestra'!$D$8:$D$42))+1,""),ROW()-1500)),"")</f>
        <v>Home - PortCastelló</v>
      </c>
      <c r="C1515" s="114" t="str" cm="1">
        <f t="array" ref="C1515">IFERROR(INDEX('03.Muestra'!$F$8:$F$42,SMALL(IF("Página Web"='03.Muestra'!$D$8:$D$42,ROW('03.Muestra'!$F$8:$F$42)-MIN(ROW('03.Muestra'!$D$8:$D$42))+1,""),ROW()-1500)),"")</f>
        <v>https://www.portcastello.com/</v>
      </c>
      <c r="D1515" s="130" t="s">
        <v>37</v>
      </c>
      <c r="E1515" s="107" t="str">
        <f t="shared" si="78"/>
        <v/>
      </c>
      <c r="F1515" s="19"/>
      <c r="G1515" s="19"/>
      <c r="H1515" s="19"/>
      <c r="I1515" s="19"/>
      <c r="J1515" s="19"/>
      <c r="K1515" s="233"/>
      <c r="L1515" s="19"/>
    </row>
    <row r="1516" spans="1:12" ht="12" customHeight="1">
      <c r="A1516" s="219" t="n" cm="1">
        <f t="array" ref="A1516">IFERROR(INDEX('03.Muestra'!$B$8:$B$42,SMALL(IF("Página Web"='03.Muestra'!$D$8:$D$42,ROW('03.Muestra'!$B$8:$B$42)-MIN(ROW('03.Muestra'!$D$8:$D$42))+1,""),ROW()-1500)),"")</f>
        <v>1.0</v>
      </c>
      <c r="B1516" s="114" t="str" cm="1">
        <f t="array" ref="B1516">IFERROR(INDEX('03.Muestra'!$C$8:$C$42,SMALL(IF("Página Web"='03.Muestra'!$D$8:$D$42,ROW('03.Muestra'!$C$8:$C$42)-MIN(ROW('03.Muestra'!$D$8:$D$42))+1,""),ROW()-1500)),"")</f>
        <v>Home - PortCastelló</v>
      </c>
      <c r="C1516" s="114" t="str" cm="1">
        <f t="array" ref="C1516">IFERROR(INDEX('03.Muestra'!$F$8:$F$42,SMALL(IF("Página Web"='03.Muestra'!$D$8:$D$42,ROW('03.Muestra'!$F$8:$F$42)-MIN(ROW('03.Muestra'!$D$8:$D$42))+1,""),ROW()-1500)),"")</f>
        <v>https://www.portcastello.com/</v>
      </c>
      <c r="D1516" s="130" t="s">
        <v>37</v>
      </c>
      <c r="E1516" s="107" t="str">
        <f t="shared" si="78"/>
        <v/>
      </c>
      <c r="F1516" s="19"/>
      <c r="G1516" s="19"/>
      <c r="H1516" s="19"/>
      <c r="I1516" s="19"/>
      <c r="J1516" s="19"/>
      <c r="K1516" s="233"/>
      <c r="L1516" s="19"/>
    </row>
    <row r="1517" spans="1:12" ht="12" customHeight="1">
      <c r="A1517" s="219" t="n" cm="1">
        <f t="array" ref="A1517">IFERROR(INDEX('03.Muestra'!$B$8:$B$42,SMALL(IF("Página Web"='03.Muestra'!$D$8:$D$42,ROW('03.Muestra'!$B$8:$B$42)-MIN(ROW('03.Muestra'!$D$8:$D$42))+1,""),ROW()-1500)),"")</f>
        <v>1.0</v>
      </c>
      <c r="B1517" s="114" t="str" cm="1">
        <f t="array" ref="B1517">IFERROR(INDEX('03.Muestra'!$C$8:$C$42,SMALL(IF("Página Web"='03.Muestra'!$D$8:$D$42,ROW('03.Muestra'!$C$8:$C$42)-MIN(ROW('03.Muestra'!$D$8:$D$42))+1,""),ROW()-1500)),"")</f>
        <v>Home - PortCastelló</v>
      </c>
      <c r="C1517" s="114" t="str" cm="1">
        <f t="array" ref="C1517">IFERROR(INDEX('03.Muestra'!$F$8:$F$42,SMALL(IF("Página Web"='03.Muestra'!$D$8:$D$42,ROW('03.Muestra'!$F$8:$F$42)-MIN(ROW('03.Muestra'!$D$8:$D$42))+1,""),ROW()-1500)),"")</f>
        <v>https://www.portcastello.com/</v>
      </c>
      <c r="D1517" s="130" t="s">
        <v>37</v>
      </c>
      <c r="E1517" s="107" t="str">
        <f t="shared" si="78"/>
        <v/>
      </c>
      <c r="F1517" s="19"/>
      <c r="G1517" s="19"/>
      <c r="H1517" s="19"/>
      <c r="I1517" s="19"/>
      <c r="J1517" s="19"/>
      <c r="K1517" s="233"/>
      <c r="L1517" s="19"/>
    </row>
    <row r="1518" spans="1:12" ht="12" customHeight="1">
      <c r="A1518" s="219" t="n" cm="1">
        <f t="array" ref="A1518">IFERROR(INDEX('03.Muestra'!$B$8:$B$42,SMALL(IF("Página Web"='03.Muestra'!$D$8:$D$42,ROW('03.Muestra'!$B$8:$B$42)-MIN(ROW('03.Muestra'!$D$8:$D$42))+1,""),ROW()-1500)),"")</f>
        <v>1.0</v>
      </c>
      <c r="B1518" s="114" t="str" cm="1">
        <f t="array" ref="B1518">IFERROR(INDEX('03.Muestra'!$C$8:$C$42,SMALL(IF("Página Web"='03.Muestra'!$D$8:$D$42,ROW('03.Muestra'!$C$8:$C$42)-MIN(ROW('03.Muestra'!$D$8:$D$42))+1,""),ROW()-1500)),"")</f>
        <v>Home - PortCastelló</v>
      </c>
      <c r="C1518" s="114" t="str" cm="1">
        <f t="array" ref="C1518">IFERROR(INDEX('03.Muestra'!$F$8:$F$42,SMALL(IF("Página Web"='03.Muestra'!$D$8:$D$42,ROW('03.Muestra'!$F$8:$F$42)-MIN(ROW('03.Muestra'!$D$8:$D$42))+1,""),ROW()-1500)),"")</f>
        <v>https://www.portcastello.com/</v>
      </c>
      <c r="D1518" s="130" t="s">
        <v>37</v>
      </c>
      <c r="E1518" s="107" t="str">
        <f t="shared" si="78"/>
        <v/>
      </c>
      <c r="F1518" s="19"/>
      <c r="G1518" s="19"/>
      <c r="H1518" s="19"/>
      <c r="I1518" s="19"/>
      <c r="J1518" s="19"/>
      <c r="K1518" s="233"/>
      <c r="L1518" s="19"/>
    </row>
    <row r="1519" spans="1:12" ht="12" customHeight="1">
      <c r="A1519" s="219" t="n" cm="1">
        <f t="array" ref="A1519">IFERROR(INDEX('03.Muestra'!$B$8:$B$42,SMALL(IF("Página Web"='03.Muestra'!$D$8:$D$42,ROW('03.Muestra'!$B$8:$B$42)-MIN(ROW('03.Muestra'!$D$8:$D$42))+1,""),ROW()-1500)),"")</f>
        <v>1.0</v>
      </c>
      <c r="B1519" s="114" t="str" cm="1">
        <f t="array" ref="B1519">IFERROR(INDEX('03.Muestra'!$C$8:$C$42,SMALL(IF("Página Web"='03.Muestra'!$D$8:$D$42,ROW('03.Muestra'!$C$8:$C$42)-MIN(ROW('03.Muestra'!$D$8:$D$42))+1,""),ROW()-1500)),"")</f>
        <v>Home - PortCastelló</v>
      </c>
      <c r="C1519" s="114" t="str" cm="1">
        <f t="array" ref="C1519">IFERROR(INDEX('03.Muestra'!$F$8:$F$42,SMALL(IF("Página Web"='03.Muestra'!$D$8:$D$42,ROW('03.Muestra'!$F$8:$F$42)-MIN(ROW('03.Muestra'!$D$8:$D$42))+1,""),ROW()-1500)),"")</f>
        <v>https://www.portcastello.com/</v>
      </c>
      <c r="D1519" s="130" t="s">
        <v>37</v>
      </c>
      <c r="E1519" s="107" t="str">
        <f t="shared" si="78"/>
        <v/>
      </c>
      <c r="F1519" s="19"/>
      <c r="G1519" s="19"/>
      <c r="H1519" s="19"/>
      <c r="I1519" s="19"/>
      <c r="J1519" s="19"/>
      <c r="K1519" s="233"/>
      <c r="L1519" s="19"/>
    </row>
    <row r="1520" spans="1:12" ht="12" customHeight="1">
      <c r="A1520" s="219" t="n" cm="1">
        <f t="array" ref="A1520">IFERROR(INDEX('03.Muestra'!$B$8:$B$42,SMALL(IF("Página Web"='03.Muestra'!$D$8:$D$42,ROW('03.Muestra'!$B$8:$B$42)-MIN(ROW('03.Muestra'!$D$8:$D$42))+1,""),ROW()-1500)),"")</f>
        <v>1.0</v>
      </c>
      <c r="B1520" s="114" t="str" cm="1">
        <f t="array" ref="B1520">IFERROR(INDEX('03.Muestra'!$C$8:$C$42,SMALL(IF("Página Web"='03.Muestra'!$D$8:$D$42,ROW('03.Muestra'!$C$8:$C$42)-MIN(ROW('03.Muestra'!$D$8:$D$42))+1,""),ROW()-1500)),"")</f>
        <v>Home - PortCastelló</v>
      </c>
      <c r="C1520" s="114" t="str" cm="1">
        <f t="array" ref="C1520">IFERROR(INDEX('03.Muestra'!$F$8:$F$42,SMALL(IF("Página Web"='03.Muestra'!$D$8:$D$42,ROW('03.Muestra'!$F$8:$F$42)-MIN(ROW('03.Muestra'!$D$8:$D$42))+1,""),ROW()-1500)),"")</f>
        <v>https://www.portcastello.com/</v>
      </c>
      <c r="D1520" s="130" t="s">
        <v>37</v>
      </c>
      <c r="E1520" s="107" t="str">
        <f t="shared" si="78"/>
        <v/>
      </c>
      <c r="F1520" s="19"/>
      <c r="G1520" s="19"/>
      <c r="H1520" s="19"/>
      <c r="I1520" s="19"/>
      <c r="J1520" s="19"/>
      <c r="K1520" s="233"/>
      <c r="L1520" s="19"/>
    </row>
    <row r="1521" spans="1:12" ht="12" customHeight="1">
      <c r="A1521" s="219" t="n" cm="1">
        <f t="array" ref="A1521">IFERROR(INDEX('03.Muestra'!$B$8:$B$42,SMALL(IF("Página Web"='03.Muestra'!$D$8:$D$42,ROW('03.Muestra'!$B$8:$B$42)-MIN(ROW('03.Muestra'!$D$8:$D$42))+1,""),ROW()-1500)),"")</f>
        <v>1.0</v>
      </c>
      <c r="B1521" s="114" t="str" cm="1">
        <f t="array" ref="B1521">IFERROR(INDEX('03.Muestra'!$C$8:$C$42,SMALL(IF("Página Web"='03.Muestra'!$D$8:$D$42,ROW('03.Muestra'!$C$8:$C$42)-MIN(ROW('03.Muestra'!$D$8:$D$42))+1,""),ROW()-1500)),"")</f>
        <v>Home - PortCastelló</v>
      </c>
      <c r="C1521" s="114" t="str" cm="1">
        <f t="array" ref="C1521">IFERROR(INDEX('03.Muestra'!$F$8:$F$42,SMALL(IF("Página Web"='03.Muestra'!$D$8:$D$42,ROW('03.Muestra'!$F$8:$F$42)-MIN(ROW('03.Muestra'!$D$8:$D$42))+1,""),ROW()-1500)),"")</f>
        <v>https://www.portcastello.com/</v>
      </c>
      <c r="D1521" s="130" t="s">
        <v>37</v>
      </c>
      <c r="E1521" s="107" t="str">
        <f t="shared" si="78"/>
        <v/>
      </c>
      <c r="F1521" s="19"/>
      <c r="G1521" s="19"/>
      <c r="H1521" s="19"/>
      <c r="I1521" s="19"/>
      <c r="J1521" s="19"/>
      <c r="K1521" s="233"/>
      <c r="L1521" s="19"/>
    </row>
    <row r="1522" spans="1:12" ht="12" customHeight="1">
      <c r="A1522" s="219" t="n" cm="1">
        <f t="array" ref="A1522">IFERROR(INDEX('03.Muestra'!$B$8:$B$42,SMALL(IF("Página Web"='03.Muestra'!$D$8:$D$42,ROW('03.Muestra'!$B$8:$B$42)-MIN(ROW('03.Muestra'!$D$8:$D$42))+1,""),ROW()-1500)),"")</f>
        <v>1.0</v>
      </c>
      <c r="B1522" s="114" t="str" cm="1">
        <f t="array" ref="B1522">IFERROR(INDEX('03.Muestra'!$C$8:$C$42,SMALL(IF("Página Web"='03.Muestra'!$D$8:$D$42,ROW('03.Muestra'!$C$8:$C$42)-MIN(ROW('03.Muestra'!$D$8:$D$42))+1,""),ROW()-1500)),"")</f>
        <v>Home - PortCastelló</v>
      </c>
      <c r="C1522" s="114" t="str" cm="1">
        <f t="array" ref="C1522">IFERROR(INDEX('03.Muestra'!$F$8:$F$42,SMALL(IF("Página Web"='03.Muestra'!$D$8:$D$42,ROW('03.Muestra'!$F$8:$F$42)-MIN(ROW('03.Muestra'!$D$8:$D$42))+1,""),ROW()-1500)),"")</f>
        <v>https://www.portcastello.com/</v>
      </c>
      <c r="D1522" s="130" t="s">
        <v>37</v>
      </c>
      <c r="E1522" s="107" t="str">
        <f t="shared" si="78"/>
        <v/>
      </c>
      <c r="F1522" s="19"/>
      <c r="G1522" s="19"/>
      <c r="H1522" s="19"/>
      <c r="I1522" s="19"/>
      <c r="J1522" s="19"/>
      <c r="K1522" s="233"/>
      <c r="L1522" s="19"/>
    </row>
    <row r="1523" spans="1:12" ht="12" customHeight="1">
      <c r="A1523" s="219" t="n" cm="1">
        <f t="array" ref="A1523">IFERROR(INDEX('03.Muestra'!$B$8:$B$42,SMALL(IF("Página Web"='03.Muestra'!$D$8:$D$42,ROW('03.Muestra'!$B$8:$B$42)-MIN(ROW('03.Muestra'!$D$8:$D$42))+1,""),ROW()-1500)),"")</f>
        <v>1.0</v>
      </c>
      <c r="B1523" s="114" t="str" cm="1">
        <f t="array" ref="B1523">IFERROR(INDEX('03.Muestra'!$C$8:$C$42,SMALL(IF("Página Web"='03.Muestra'!$D$8:$D$42,ROW('03.Muestra'!$C$8:$C$42)-MIN(ROW('03.Muestra'!$D$8:$D$42))+1,""),ROW()-1500)),"")</f>
        <v>Home - PortCastelló</v>
      </c>
      <c r="C1523" s="114" t="str" cm="1">
        <f t="array" ref="C1523">IFERROR(INDEX('03.Muestra'!$F$8:$F$42,SMALL(IF("Página Web"='03.Muestra'!$D$8:$D$42,ROW('03.Muestra'!$F$8:$F$42)-MIN(ROW('03.Muestra'!$D$8:$D$42))+1,""),ROW()-1500)),"")</f>
        <v>https://www.portcastello.com/</v>
      </c>
      <c r="D1523" s="130" t="s">
        <v>37</v>
      </c>
      <c r="E1523" s="107" t="str">
        <f t="shared" si="78"/>
        <v/>
      </c>
      <c r="F1523" s="19"/>
      <c r="G1523" s="19"/>
      <c r="H1523" s="19"/>
      <c r="I1523" s="19"/>
      <c r="J1523" s="19"/>
      <c r="K1523" s="233"/>
      <c r="L1523" s="19"/>
    </row>
    <row r="1524" spans="1:12" ht="12" customHeight="1">
      <c r="A1524" s="219" t="n" cm="1">
        <f t="array" ref="A1524">IFERROR(INDEX('03.Muestra'!$B$8:$B$42,SMALL(IF("Página Web"='03.Muestra'!$D$8:$D$42,ROW('03.Muestra'!$B$8:$B$42)-MIN(ROW('03.Muestra'!$D$8:$D$42))+1,""),ROW()-1500)),"")</f>
        <v>1.0</v>
      </c>
      <c r="B1524" s="114" t="str" cm="1">
        <f t="array" ref="B1524">IFERROR(INDEX('03.Muestra'!$C$8:$C$42,SMALL(IF("Página Web"='03.Muestra'!$D$8:$D$42,ROW('03.Muestra'!$C$8:$C$42)-MIN(ROW('03.Muestra'!$D$8:$D$42))+1,""),ROW()-1500)),"")</f>
        <v>Home - PortCastelló</v>
      </c>
      <c r="C1524" s="114" t="str" cm="1">
        <f t="array" ref="C1524">IFERROR(INDEX('03.Muestra'!$F$8:$F$42,SMALL(IF("Página Web"='03.Muestra'!$D$8:$D$42,ROW('03.Muestra'!$F$8:$F$42)-MIN(ROW('03.Muestra'!$D$8:$D$42))+1,""),ROW()-1500)),"")</f>
        <v>https://www.portcastello.com/</v>
      </c>
      <c r="D1524" s="130" t="s">
        <v>37</v>
      </c>
      <c r="E1524" s="107" t="str">
        <f t="shared" si="78"/>
        <v/>
      </c>
      <c r="F1524" s="19"/>
      <c r="G1524" s="19"/>
      <c r="H1524" s="19"/>
      <c r="I1524" s="19"/>
      <c r="J1524" s="19"/>
      <c r="K1524" s="233"/>
      <c r="L1524" s="19"/>
    </row>
    <row r="1525" spans="1:12" ht="12" customHeight="1">
      <c r="A1525" s="219" t="n" cm="1">
        <f t="array" ref="A1525">IFERROR(INDEX('03.Muestra'!$B$8:$B$42,SMALL(IF("Página Web"='03.Muestra'!$D$8:$D$42,ROW('03.Muestra'!$B$8:$B$42)-MIN(ROW('03.Muestra'!$D$8:$D$42))+1,""),ROW()-1500)),"")</f>
        <v>1.0</v>
      </c>
      <c r="B1525" s="114" t="str" cm="1">
        <f t="array" ref="B1525">IFERROR(INDEX('03.Muestra'!$C$8:$C$42,SMALL(IF("Página Web"='03.Muestra'!$D$8:$D$42,ROW('03.Muestra'!$C$8:$C$42)-MIN(ROW('03.Muestra'!$D$8:$D$42))+1,""),ROW()-1500)),"")</f>
        <v>Home - PortCastelló</v>
      </c>
      <c r="C1525" s="114" t="str" cm="1">
        <f t="array" ref="C1525">IFERROR(INDEX('03.Muestra'!$F$8:$F$42,SMALL(IF("Página Web"='03.Muestra'!$D$8:$D$42,ROW('03.Muestra'!$F$8:$F$42)-MIN(ROW('03.Muestra'!$D$8:$D$42))+1,""),ROW()-1500)),"")</f>
        <v>https://www.portcastello.com/</v>
      </c>
      <c r="D1525" s="130" t="s">
        <v>37</v>
      </c>
      <c r="E1525" s="107" t="str">
        <f t="shared" si="78"/>
        <v/>
      </c>
      <c r="F1525" s="19"/>
      <c r="G1525" s="19"/>
      <c r="H1525" s="19"/>
      <c r="I1525" s="19"/>
      <c r="J1525" s="19"/>
      <c r="K1525" s="233"/>
      <c r="L1525" s="19"/>
    </row>
    <row r="1526" spans="1:12" ht="12" customHeight="1">
      <c r="A1526" s="219" t="n" cm="1">
        <f t="array" ref="A1526">IFERROR(INDEX('03.Muestra'!$B$8:$B$42,SMALL(IF("Página Web"='03.Muestra'!$D$8:$D$42,ROW('03.Muestra'!$B$8:$B$42)-MIN(ROW('03.Muestra'!$D$8:$D$42))+1,""),ROW()-1500)),"")</f>
        <v>1.0</v>
      </c>
      <c r="B1526" s="114" t="str" cm="1">
        <f t="array" ref="B1526">IFERROR(INDEX('03.Muestra'!$C$8:$C$42,SMALL(IF("Página Web"='03.Muestra'!$D$8:$D$42,ROW('03.Muestra'!$C$8:$C$42)-MIN(ROW('03.Muestra'!$D$8:$D$42))+1,""),ROW()-1500)),"")</f>
        <v>Home - PortCastelló</v>
      </c>
      <c r="C1526" s="114" t="str" cm="1">
        <f t="array" ref="C1526">IFERROR(INDEX('03.Muestra'!$F$8:$F$42,SMALL(IF("Página Web"='03.Muestra'!$D$8:$D$42,ROW('03.Muestra'!$F$8:$F$42)-MIN(ROW('03.Muestra'!$D$8:$D$42))+1,""),ROW()-1500)),"")</f>
        <v>https://www.portcastello.com/</v>
      </c>
      <c r="D1526" s="130" t="s">
        <v>37</v>
      </c>
      <c r="E1526" s="107" t="str">
        <f t="shared" si="78"/>
        <v/>
      </c>
      <c r="F1526" s="19"/>
      <c r="G1526" s="19"/>
      <c r="H1526" s="19"/>
      <c r="I1526" s="19"/>
      <c r="J1526" s="19"/>
      <c r="K1526" s="233"/>
      <c r="L1526" s="19"/>
    </row>
    <row r="1527" spans="1:12" ht="12" customHeight="1">
      <c r="A1527" s="219" t="n" cm="1">
        <f t="array" ref="A1527">IFERROR(INDEX('03.Muestra'!$B$8:$B$42,SMALL(IF("Página Web"='03.Muestra'!$D$8:$D$42,ROW('03.Muestra'!$B$8:$B$42)-MIN(ROW('03.Muestra'!$D$8:$D$42))+1,""),ROW()-1500)),"")</f>
        <v>1.0</v>
      </c>
      <c r="B1527" s="114" t="str" cm="1">
        <f t="array" ref="B1527">IFERROR(INDEX('03.Muestra'!$C$8:$C$42,SMALL(IF("Página Web"='03.Muestra'!$D$8:$D$42,ROW('03.Muestra'!$C$8:$C$42)-MIN(ROW('03.Muestra'!$D$8:$D$42))+1,""),ROW()-1500)),"")</f>
        <v>Home - PortCastelló</v>
      </c>
      <c r="C1527" s="114" t="str" cm="1">
        <f t="array" ref="C1527">IFERROR(INDEX('03.Muestra'!$F$8:$F$42,SMALL(IF("Página Web"='03.Muestra'!$D$8:$D$42,ROW('03.Muestra'!$F$8:$F$42)-MIN(ROW('03.Muestra'!$D$8:$D$42))+1,""),ROW()-1500)),"")</f>
        <v>https://www.portcastello.com/</v>
      </c>
      <c r="D1527" s="130" t="s">
        <v>37</v>
      </c>
      <c r="E1527" s="107" t="str">
        <f t="shared" si="78"/>
        <v/>
      </c>
      <c r="F1527" s="19"/>
      <c r="G1527" s="19"/>
      <c r="H1527" s="19"/>
      <c r="I1527" s="19"/>
      <c r="J1527" s="19"/>
      <c r="K1527" s="233"/>
      <c r="L1527" s="19"/>
    </row>
    <row r="1528" spans="1:12" ht="12" customHeight="1">
      <c r="A1528" s="219" t="n" cm="1">
        <f t="array" ref="A1528">IFERROR(INDEX('03.Muestra'!$B$8:$B$42,SMALL(IF("Página Web"='03.Muestra'!$D$8:$D$42,ROW('03.Muestra'!$B$8:$B$42)-MIN(ROW('03.Muestra'!$D$8:$D$42))+1,""),ROW()-1500)),"")</f>
        <v>1.0</v>
      </c>
      <c r="B1528" s="114" t="str" cm="1">
        <f t="array" ref="B1528">IFERROR(INDEX('03.Muestra'!$C$8:$C$42,SMALL(IF("Página Web"='03.Muestra'!$D$8:$D$42,ROW('03.Muestra'!$C$8:$C$42)-MIN(ROW('03.Muestra'!$D$8:$D$42))+1,""),ROW()-1500)),"")</f>
        <v>Home - PortCastelló</v>
      </c>
      <c r="C1528" s="114" t="str" cm="1">
        <f t="array" ref="C1528">IFERROR(INDEX('03.Muestra'!$F$8:$F$42,SMALL(IF("Página Web"='03.Muestra'!$D$8:$D$42,ROW('03.Muestra'!$F$8:$F$42)-MIN(ROW('03.Muestra'!$D$8:$D$42))+1,""),ROW()-1500)),"")</f>
        <v>https://www.portcastello.com/</v>
      </c>
      <c r="D1528" s="130" t="s">
        <v>37</v>
      </c>
      <c r="E1528" s="107" t="str">
        <f t="shared" si="78"/>
        <v/>
      </c>
      <c r="G1528" s="19"/>
      <c r="H1528" s="19"/>
      <c r="I1528" s="19"/>
      <c r="J1528" s="19"/>
      <c r="K1528" s="233"/>
      <c r="L1528" s="19"/>
    </row>
    <row r="1529" spans="1:12" ht="12" customHeight="1">
      <c r="A1529" s="219" t="n" cm="1">
        <f t="array" ref="A1529">IFERROR(INDEX('03.Muestra'!$B$8:$B$42,SMALL(IF("Página Web"='03.Muestra'!$D$8:$D$42,ROW('03.Muestra'!$B$8:$B$42)-MIN(ROW('03.Muestra'!$D$8:$D$42))+1,""),ROW()-1500)),"")</f>
        <v>1.0</v>
      </c>
      <c r="B1529" s="114" t="str" cm="1">
        <f t="array" ref="B1529">IFERROR(INDEX('03.Muestra'!$C$8:$C$42,SMALL(IF("Página Web"='03.Muestra'!$D$8:$D$42,ROW('03.Muestra'!$C$8:$C$42)-MIN(ROW('03.Muestra'!$D$8:$D$42))+1,""),ROW()-1500)),"")</f>
        <v>Home - PortCastelló</v>
      </c>
      <c r="C1529" s="114" t="str" cm="1">
        <f t="array" ref="C1529">IFERROR(INDEX('03.Muestra'!$F$8:$F$42,SMALL(IF("Página Web"='03.Muestra'!$D$8:$D$42,ROW('03.Muestra'!$F$8:$F$42)-MIN(ROW('03.Muestra'!$D$8:$D$42))+1,""),ROW()-1500)),"")</f>
        <v>https://www.portcastello.com/</v>
      </c>
      <c r="D1529" s="130" t="s">
        <v>37</v>
      </c>
      <c r="E1529" s="107" t="str">
        <f t="shared" si="78"/>
        <v/>
      </c>
      <c r="F1529" s="124"/>
      <c r="G1529" s="19"/>
      <c r="H1529" s="19"/>
      <c r="I1529" s="19"/>
      <c r="J1529" s="19"/>
      <c r="K1529" s="233"/>
      <c r="L1529" s="19"/>
    </row>
    <row r="1530" spans="1:12" ht="12" customHeight="1">
      <c r="A1530" s="219" t="n" cm="1">
        <f t="array" ref="A1530">IFERROR(INDEX('03.Muestra'!$B$8:$B$42,SMALL(IF("Página Web"='03.Muestra'!$D$8:$D$42,ROW('03.Muestra'!$B$8:$B$42)-MIN(ROW('03.Muestra'!$D$8:$D$42))+1,""),ROW()-1500)),"")</f>
        <v>1.0</v>
      </c>
      <c r="B1530" s="114" t="str" cm="1">
        <f t="array" ref="B1530">IFERROR(INDEX('03.Muestra'!$C$8:$C$42,SMALL(IF("Página Web"='03.Muestra'!$D$8:$D$42,ROW('03.Muestra'!$C$8:$C$42)-MIN(ROW('03.Muestra'!$D$8:$D$42))+1,""),ROW()-1500)),"")</f>
        <v>Home - PortCastelló</v>
      </c>
      <c r="C1530" s="114" t="str" cm="1">
        <f t="array" ref="C1530">IFERROR(INDEX('03.Muestra'!$F$8:$F$42,SMALL(IF("Página Web"='03.Muestra'!$D$8:$D$42,ROW('03.Muestra'!$F$8:$F$42)-MIN(ROW('03.Muestra'!$D$8:$D$42))+1,""),ROW()-1500)),"")</f>
        <v>https://www.portcastello.com/</v>
      </c>
      <c r="D1530" s="130" t="s">
        <v>37</v>
      </c>
      <c r="E1530" s="107" t="str">
        <f t="shared" si="78"/>
        <v/>
      </c>
      <c r="F1530" s="124"/>
      <c r="G1530" s="19"/>
      <c r="H1530" s="19"/>
      <c r="I1530" s="19"/>
      <c r="J1530" s="19"/>
      <c r="K1530" s="233"/>
      <c r="L1530" s="19"/>
    </row>
    <row r="1531" spans="1:12" ht="12" customHeight="1">
      <c r="A1531" s="219" t="n" cm="1">
        <f t="array" ref="A1531">IFERROR(INDEX('03.Muestra'!$B$8:$B$42,SMALL(IF("Página Web"='03.Muestra'!$D$8:$D$42,ROW('03.Muestra'!$B$8:$B$42)-MIN(ROW('03.Muestra'!$D$8:$D$42))+1,""),ROW()-1500)),"")</f>
        <v>1.0</v>
      </c>
      <c r="B1531" s="114" t="str" cm="1">
        <f t="array" ref="B1531">IFERROR(INDEX('03.Muestra'!$C$8:$C$42,SMALL(IF("Página Web"='03.Muestra'!$D$8:$D$42,ROW('03.Muestra'!$C$8:$C$42)-MIN(ROW('03.Muestra'!$D$8:$D$42))+1,""),ROW()-1500)),"")</f>
        <v>Home - PortCastelló</v>
      </c>
      <c r="C1531" s="114" t="str" cm="1">
        <f t="array" ref="C1531">IFERROR(INDEX('03.Muestra'!$F$8:$F$42,SMALL(IF("Página Web"='03.Muestra'!$D$8:$D$42,ROW('03.Muestra'!$F$8:$F$42)-MIN(ROW('03.Muestra'!$D$8:$D$42))+1,""),ROW()-1500)),"")</f>
        <v>https://www.portcastello.com/</v>
      </c>
      <c r="D1531" s="130" t="s">
        <v>37</v>
      </c>
      <c r="E1531" s="107" t="str">
        <f t="shared" si="78"/>
        <v/>
      </c>
      <c r="F1531" s="124"/>
      <c r="G1531" s="19"/>
      <c r="H1531" s="19"/>
      <c r="I1531" s="19"/>
      <c r="J1531" s="19"/>
      <c r="K1531" s="233"/>
      <c r="L1531" s="19"/>
    </row>
    <row r="1532" spans="1:12" ht="12" customHeight="1">
      <c r="A1532" s="219" t="n" cm="1">
        <f t="array" ref="A1532">IFERROR(INDEX('03.Muestra'!$B$8:$B$42,SMALL(IF("Página Web"='03.Muestra'!$D$8:$D$42,ROW('03.Muestra'!$B$8:$B$42)-MIN(ROW('03.Muestra'!$D$8:$D$42))+1,""),ROW()-1500)),"")</f>
        <v>1.0</v>
      </c>
      <c r="B1532" s="114" t="str" cm="1">
        <f t="array" ref="B1532">IFERROR(INDEX('03.Muestra'!$C$8:$C$42,SMALL(IF("Página Web"='03.Muestra'!$D$8:$D$42,ROW('03.Muestra'!$C$8:$C$42)-MIN(ROW('03.Muestra'!$D$8:$D$42))+1,""),ROW()-1500)),"")</f>
        <v>Home - PortCastelló</v>
      </c>
      <c r="C1532" s="114" t="str" cm="1">
        <f t="array" ref="C1532">IFERROR(INDEX('03.Muestra'!$F$8:$F$42,SMALL(IF("Página Web"='03.Muestra'!$D$8:$D$42,ROW('03.Muestra'!$F$8:$F$42)-MIN(ROW('03.Muestra'!$D$8:$D$42))+1,""),ROW()-1500)),"")</f>
        <v>https://www.portcastello.com/</v>
      </c>
      <c r="D1532" s="130" t="s">
        <v>37</v>
      </c>
      <c r="E1532" s="107" t="str">
        <f t="shared" si="78"/>
        <v/>
      </c>
      <c r="F1532" s="124"/>
      <c r="G1532" s="19"/>
      <c r="H1532" s="19"/>
      <c r="I1532" s="19"/>
      <c r="J1532" s="19"/>
      <c r="K1532" s="233"/>
      <c r="L1532" s="19"/>
    </row>
    <row r="1533" spans="1:12" ht="12" customHeight="1">
      <c r="A1533" s="219" t="n" cm="1">
        <f t="array" ref="A1533">IFERROR(INDEX('03.Muestra'!$B$8:$B$42,SMALL(IF("Página Web"='03.Muestra'!$D$8:$D$42,ROW('03.Muestra'!$B$8:$B$42)-MIN(ROW('03.Muestra'!$D$8:$D$42))+1,""),ROW()-1500)),"")</f>
        <v>1.0</v>
      </c>
      <c r="B1533" s="114" t="str" cm="1">
        <f t="array" ref="B1533">IFERROR(INDEX('03.Muestra'!$C$8:$C$42,SMALL(IF("Página Web"='03.Muestra'!$D$8:$D$42,ROW('03.Muestra'!$C$8:$C$42)-MIN(ROW('03.Muestra'!$D$8:$D$42))+1,""),ROW()-1500)),"")</f>
        <v>Home - PortCastelló</v>
      </c>
      <c r="C1533" s="114" t="str" cm="1">
        <f t="array" ref="C1533">IFERROR(INDEX('03.Muestra'!$F$8:$F$42,SMALL(IF("Página Web"='03.Muestra'!$D$8:$D$42,ROW('03.Muestra'!$F$8:$F$42)-MIN(ROW('03.Muestra'!$D$8:$D$42))+1,""),ROW()-1500)),"")</f>
        <v>https://www.portcastello.com/</v>
      </c>
      <c r="D1533" s="130" t="s">
        <v>37</v>
      </c>
      <c r="E1533" s="107" t="str">
        <f t="shared" si="78"/>
        <v/>
      </c>
      <c r="F1533" s="124"/>
      <c r="G1533" s="19"/>
      <c r="H1533" s="19"/>
      <c r="I1533" s="19"/>
      <c r="J1533" s="19"/>
      <c r="K1533" s="233"/>
      <c r="L1533" s="19"/>
    </row>
    <row r="1534" spans="1:12" ht="12" customHeight="1">
      <c r="A1534" s="219" t="str" cm="1">
        <f t="array" ref="A1534">IFERROR(INDEX('03.Muestra'!$B$8:$B$42,SMALL(IF("Página Web"='03.Muestra'!$D$8:$D$42,ROW('03.Muestra'!$B$8:$B$42)-MIN(ROW('03.Muestra'!$D$8:$D$42))+1,""),ROW()-1500)),"")</f>
        <v/>
      </c>
      <c r="B1534" s="114" t="str" cm="1">
        <f t="array" ref="B1534">IFERROR(INDEX('03.Muestra'!$C$8:$C$42,SMALL(IF("Página Web"='03.Muestra'!$D$8:$D$42,ROW('03.Muestra'!$C$8:$C$42)-MIN(ROW('03.Muestra'!$D$8:$D$42))+1,""),ROW()-1500)),"")</f>
        <v/>
      </c>
      <c r="C1534" s="114" t="str" cm="1">
        <f t="array" ref="C1534">IFERROR(INDEX('03.Muestra'!$F$8:$F$42,SMALL(IF("Página Web"='03.Muestra'!$D$8:$D$42,ROW('03.Muestra'!$F$8:$F$42)-MIN(ROW('03.Muestra'!$D$8:$D$42))+1,""),ROW()-1500)),"")</f>
        <v/>
      </c>
      <c r="D1534" s="130" t="str">
        <f t="shared" si="79" ref="D1534:D1535">IF(AND(B1534&lt;&gt;"",C1534&lt;&gt;""),"N/T","")</f>
        <v/>
      </c>
      <c r="E1534" s="107" t="str">
        <f t="shared" si="78"/>
        <v/>
      </c>
      <c r="F1534" s="124"/>
      <c r="G1534" s="19"/>
      <c r="H1534" s="19"/>
      <c r="I1534" s="19"/>
      <c r="J1534" s="19"/>
      <c r="K1534" s="233"/>
      <c r="L1534" s="19"/>
    </row>
    <row r="1535" spans="1:12" ht="12" customHeight="1">
      <c r="A1535" s="219" t="str" cm="1">
        <f t="array" ref="A1535">IFERROR(INDEX('03.Muestra'!$B$8:$B$42,SMALL(IF("Página Web"='03.Muestra'!$D$8:$D$42,ROW('03.Muestra'!$B$8:$B$42)-MIN(ROW('03.Muestra'!$D$8:$D$42))+1,""),ROW()-1500)),"")</f>
        <v/>
      </c>
      <c r="B1535" s="114" t="str" cm="1">
        <f t="array" ref="B1535">IFERROR(INDEX('03.Muestra'!$C$8:$C$42,SMALL(IF("Página Web"='03.Muestra'!$D$8:$D$42,ROW('03.Muestra'!$C$8:$C$42)-MIN(ROW('03.Muestra'!$D$8:$D$42))+1,""),ROW()-1500)),"")</f>
        <v/>
      </c>
      <c r="C1535" s="114" t="str" cm="1">
        <f t="array" ref="C1535">IFERROR(INDEX('03.Muestra'!$F$8:$F$42,SMALL(IF("Página Web"='03.Muestra'!$D$8:$D$42,ROW('03.Muestra'!$F$8:$F$42)-MIN(ROW('03.Muestra'!$D$8:$D$42))+1,""),ROW()-1500)),"")</f>
        <v/>
      </c>
      <c r="D1535" s="130" t="str">
        <f t="shared" si="79"/>
        <v/>
      </c>
      <c r="E1535" s="107" t="str">
        <f t="shared" si="78"/>
        <v/>
      </c>
      <c r="F1535" s="19"/>
      <c r="G1535" s="19"/>
      <c r="H1535" s="19"/>
      <c r="I1535" s="19"/>
      <c r="J1535" s="19"/>
      <c r="K1535" s="233"/>
      <c r="L1535" s="19"/>
    </row>
    <row r="1536" spans="1:12" ht="12" customHeight="1">
      <c r="B1536" s="19"/>
      <c r="C1536" s="19"/>
      <c r="D1536" s="19"/>
      <c r="E1536" s="19"/>
      <c r="F1536" s="19"/>
      <c r="G1536" s="19"/>
      <c r="H1536" s="19"/>
      <c r="I1536" s="19"/>
      <c r="J1536" s="19"/>
      <c r="K1536" s="233"/>
      <c r="L1536" s="19"/>
    </row>
    <row r="1537" spans="1:12" ht="12" customHeight="1">
      <c r="B1537" s="19"/>
      <c r="C1537" s="19"/>
      <c r="D1537" s="107"/>
      <c r="E1537" s="112"/>
      <c r="F1537" s="19"/>
      <c r="G1537" s="19"/>
      <c r="H1537" s="19"/>
      <c r="I1537" s="19"/>
      <c r="J1537" s="19"/>
      <c r="K1537" s="233"/>
      <c r="L1537" s="19"/>
    </row>
    <row r="1538" spans="1:12" ht="29.25" customHeight="1">
      <c r="A1538" s="218" t="s">
        <v>268</v>
      </c>
      <c r="B1538" s="24" t="s">
        <v>90</v>
      </c>
      <c r="C1538" s="25" t="s">
        <v>413</v>
      </c>
      <c r="D1538" s="26" t="s">
        <v>32</v>
      </c>
      <c r="E1538" s="123"/>
      <c r="K1538" s="233"/>
      <c r="L1538" s="19"/>
    </row>
    <row r="1539" spans="1:12" ht="12" customHeight="1">
      <c r="A1539" s="219" t="n" cm="1">
        <f t="array" ref="A1539">IFERROR(INDEX('03.Muestra'!$B$8:$B$42,SMALL(IF("Página Web"='03.Muestra'!$D$8:$D$42,ROW('03.Muestra'!$B$8:$B$42)-MIN(ROW('03.Muestra'!$D$8:$D$42))+1,""),ROW()-1538)),"")</f>
        <v>1.0</v>
      </c>
      <c r="B1539" s="114" t="str" cm="1">
        <f t="array" ref="B1539">IFERROR(INDEX('03.Muestra'!$C$8:$C$42,SMALL(IF("Página Web"='03.Muestra'!$D$8:$D$42,ROW('03.Muestra'!$C$8:$C$42)-MIN(ROW('03.Muestra'!$D$8:$D$42))+1,""),ROW()-1538)),"")</f>
        <v>Home - PortCastelló</v>
      </c>
      <c r="C1539" s="114" t="str" cm="1">
        <f t="array" ref="C1539">IFERROR(INDEX('03.Muestra'!$F$8:$F$42,SMALL(IF("Página Web"='03.Muestra'!$D$8:$D$42,ROW('03.Muestra'!$F$8:$F$42)-MIN(ROW('03.Muestra'!$D$8:$D$42))+1,""),ROW()-1538)),"")</f>
        <v>https://www.portcastello.com/</v>
      </c>
      <c r="D1539" s="130" t="s">
        <v>37</v>
      </c>
      <c r="E1539" s="107" t="str">
        <f t="shared" ref="E1539:E1573" si="80">IF(D1539&lt;&gt;"",IF(AND(B1539&lt;&gt;"",C1539&lt;&gt;""),"","ERR"),"")</f>
        <v/>
      </c>
      <c r="F1539" s="115" t="s">
        <v>33</v>
      </c>
      <c r="G1539" s="116" t="s">
        <v>37</v>
      </c>
      <c r="H1539" s="117" t="s">
        <v>35</v>
      </c>
      <c r="I1539" s="118" t="s">
        <v>28</v>
      </c>
      <c r="J1539" s="119" t="s">
        <v>26</v>
      </c>
      <c r="K1539" s="226" t="s">
        <v>474</v>
      </c>
      <c r="L1539" s="19"/>
    </row>
    <row r="1540" spans="1:12" ht="12" customHeight="1">
      <c r="A1540" s="219" t="n" cm="1">
        <f t="array" ref="A1540">IFERROR(INDEX('03.Muestra'!$B$8:$B$42,SMALL(IF("Página Web"='03.Muestra'!$D$8:$D$42,ROW('03.Muestra'!$B$8:$B$42)-MIN(ROW('03.Muestra'!$D$8:$D$42))+1,""),ROW()-1538)),"")</f>
        <v>1.0</v>
      </c>
      <c r="B1540" s="114" t="str" cm="1">
        <f t="array" ref="B1540">IFERROR(INDEX('03.Muestra'!$C$8:$C$42,SMALL(IF("Página Web"='03.Muestra'!$D$8:$D$42,ROW('03.Muestra'!$C$8:$C$42)-MIN(ROW('03.Muestra'!$D$8:$D$42))+1,""),ROW()-1538)),"")</f>
        <v>Home - PortCastelló</v>
      </c>
      <c r="C1540" s="114" t="str" cm="1">
        <f t="array" ref="C1540">IFERROR(INDEX('03.Muestra'!$F$8:$F$42,SMALL(IF("Página Web"='03.Muestra'!$D$8:$D$42,ROW('03.Muestra'!$F$8:$F$42)-MIN(ROW('03.Muestra'!$D$8:$D$42))+1,""),ROW()-1538)),"")</f>
        <v>https://www.portcastello.com/</v>
      </c>
      <c r="D1540" s="130" t="s">
        <v>37</v>
      </c>
      <c r="E1540" s="107" t="str">
        <f t="shared" si="80"/>
        <v/>
      </c>
      <c r="F1540" s="120" t="n">
        <f ca="1">COUNTIF($D1539:INDIRECT("$D" &amp;  SUM(ROW()-1,'03.Muestra'!$D$45)-1),F1539)</f>
        <v>0.0</v>
      </c>
      <c r="G1540" s="120" t="n">
        <f ca="1">COUNTIF($D1539:INDIRECT("$D" &amp;  SUM(ROW()-1,'03.Muestra'!$D$45)-1),G1539)</f>
        <v>33.0</v>
      </c>
      <c r="H1540" s="120" t="n">
        <f ca="1">COUNTIF($D1539:INDIRECT("$D" &amp;  SUM(ROW()-1,'03.Muestra'!$D$45)-1),H1539)</f>
        <v>0.0</v>
      </c>
      <c r="I1540" s="120" t="n">
        <f ca="1">COUNTIF($D1539:INDIRECT("$D" &amp;  SUM(ROW()-1,'03.Muestra'!$D$45)-1),I1539)</f>
        <v>0.0</v>
      </c>
      <c r="J1540" s="120" t="n">
        <f ca="1">COUNTIF($D1539:INDIRECT("$D" &amp;  SUM(ROW()-1,'03.Muestra'!$D$45)-1),J1539)</f>
        <v>0.0</v>
      </c>
      <c r="K1540" s="227" t="n">
        <f ca="1">IF(COUNTIF('03.Muestra'!$D$8:$D$42,"Página Web")=0,0,COUNTBLANK($D1539:INDIRECT("$D" &amp;  SUM(ROW()-1,COUNTIF('03.Muestra'!$D$8:$D$42,"Página Web"))-1)))</f>
        <v>0.0</v>
      </c>
    </row>
    <row r="1541" spans="1:12" ht="12" customHeight="1">
      <c r="A1541" s="219" t="n" cm="1">
        <f t="array" ref="A1541">IFERROR(INDEX('03.Muestra'!$B$8:$B$42,SMALL(IF("Página Web"='03.Muestra'!$D$8:$D$42,ROW('03.Muestra'!$B$8:$B$42)-MIN(ROW('03.Muestra'!$D$8:$D$42))+1,""),ROW()-1538)),"")</f>
        <v>1.0</v>
      </c>
      <c r="B1541" s="114" t="str" cm="1">
        <f t="array" ref="B1541">IFERROR(INDEX('03.Muestra'!$C$8:$C$42,SMALL(IF("Página Web"='03.Muestra'!$D$8:$D$42,ROW('03.Muestra'!$C$8:$C$42)-MIN(ROW('03.Muestra'!$D$8:$D$42))+1,""),ROW()-1538)),"")</f>
        <v>Home - PortCastelló</v>
      </c>
      <c r="C1541" s="114" t="str" cm="1">
        <f t="array" ref="C1541">IFERROR(INDEX('03.Muestra'!$F$8:$F$42,SMALL(IF("Página Web"='03.Muestra'!$D$8:$D$42,ROW('03.Muestra'!$F$8:$F$42)-MIN(ROW('03.Muestra'!$D$8:$D$42))+1,""),ROW()-1538)),"")</f>
        <v>https://www.portcastello.com/</v>
      </c>
      <c r="D1541" s="130" t="s">
        <v>37</v>
      </c>
      <c r="E1541" s="107" t="str">
        <f t="shared" si="80"/>
        <v/>
      </c>
      <c r="G1541" s="19"/>
      <c r="H1541" s="19"/>
      <c r="I1541" s="19"/>
      <c r="J1541" s="19"/>
      <c r="K1541" s="233"/>
    </row>
    <row r="1542" spans="1:12" ht="12" customHeight="1">
      <c r="A1542" s="219" t="n" cm="1">
        <f t="array" ref="A1542">IFERROR(INDEX('03.Muestra'!$B$8:$B$42,SMALL(IF("Página Web"='03.Muestra'!$D$8:$D$42,ROW('03.Muestra'!$B$8:$B$42)-MIN(ROW('03.Muestra'!$D$8:$D$42))+1,""),ROW()-1538)),"")</f>
        <v>1.0</v>
      </c>
      <c r="B1542" s="114" t="str" cm="1">
        <f t="array" ref="B1542">IFERROR(INDEX('03.Muestra'!$C$8:$C$42,SMALL(IF("Página Web"='03.Muestra'!$D$8:$D$42,ROW('03.Muestra'!$C$8:$C$42)-MIN(ROW('03.Muestra'!$D$8:$D$42))+1,""),ROW()-1538)),"")</f>
        <v>Home - PortCastelló</v>
      </c>
      <c r="C1542" s="114" t="str" cm="1">
        <f t="array" ref="C1542">IFERROR(INDEX('03.Muestra'!$F$8:$F$42,SMALL(IF("Página Web"='03.Muestra'!$D$8:$D$42,ROW('03.Muestra'!$F$8:$F$42)-MIN(ROW('03.Muestra'!$D$8:$D$42))+1,""),ROW()-1538)),"")</f>
        <v>https://www.portcastello.com/</v>
      </c>
      <c r="D1542" s="130" t="s">
        <v>37</v>
      </c>
      <c r="E1542" s="107" t="str">
        <f t="shared" si="80"/>
        <v/>
      </c>
      <c r="G1542" s="19"/>
      <c r="H1542" s="19"/>
      <c r="I1542" s="19"/>
      <c r="J1542" s="19"/>
      <c r="K1542" s="233"/>
    </row>
    <row r="1543" spans="1:12" ht="12" customHeight="1">
      <c r="A1543" s="219" t="n" cm="1">
        <f t="array" ref="A1543">IFERROR(INDEX('03.Muestra'!$B$8:$B$42,SMALL(IF("Página Web"='03.Muestra'!$D$8:$D$42,ROW('03.Muestra'!$B$8:$B$42)-MIN(ROW('03.Muestra'!$D$8:$D$42))+1,""),ROW()-1538)),"")</f>
        <v>1.0</v>
      </c>
      <c r="B1543" s="114" t="str" cm="1">
        <f t="array" ref="B1543">IFERROR(INDEX('03.Muestra'!$C$8:$C$42,SMALL(IF("Página Web"='03.Muestra'!$D$8:$D$42,ROW('03.Muestra'!$C$8:$C$42)-MIN(ROW('03.Muestra'!$D$8:$D$42))+1,""),ROW()-1538)),"")</f>
        <v>Home - PortCastelló</v>
      </c>
      <c r="C1543" s="114" t="str" cm="1">
        <f t="array" ref="C1543">IFERROR(INDEX('03.Muestra'!$F$8:$F$42,SMALL(IF("Página Web"='03.Muestra'!$D$8:$D$42,ROW('03.Muestra'!$F$8:$F$42)-MIN(ROW('03.Muestra'!$D$8:$D$42))+1,""),ROW()-1538)),"")</f>
        <v>https://www.portcastello.com/</v>
      </c>
      <c r="D1543" s="130" t="s">
        <v>37</v>
      </c>
      <c r="E1543" s="107" t="str">
        <f t="shared" si="80"/>
        <v/>
      </c>
      <c r="G1543" s="19"/>
      <c r="H1543" s="19"/>
      <c r="I1543" s="19"/>
      <c r="J1543" s="19"/>
      <c r="K1543" s="233"/>
    </row>
    <row r="1544" spans="1:12" ht="12" customHeight="1">
      <c r="A1544" s="219" t="n" cm="1">
        <f t="array" ref="A1544">IFERROR(INDEX('03.Muestra'!$B$8:$B$42,SMALL(IF("Página Web"='03.Muestra'!$D$8:$D$42,ROW('03.Muestra'!$B$8:$B$42)-MIN(ROW('03.Muestra'!$D$8:$D$42))+1,""),ROW()-1538)),"")</f>
        <v>1.0</v>
      </c>
      <c r="B1544" s="114" t="str" cm="1">
        <f t="array" ref="B1544">IFERROR(INDEX('03.Muestra'!$C$8:$C$42,SMALL(IF("Página Web"='03.Muestra'!$D$8:$D$42,ROW('03.Muestra'!$C$8:$C$42)-MIN(ROW('03.Muestra'!$D$8:$D$42))+1,""),ROW()-1538)),"")</f>
        <v>Home - PortCastelló</v>
      </c>
      <c r="C1544" s="114" t="str" cm="1">
        <f t="array" ref="C1544">IFERROR(INDEX('03.Muestra'!$F$8:$F$42,SMALL(IF("Página Web"='03.Muestra'!$D$8:$D$42,ROW('03.Muestra'!$F$8:$F$42)-MIN(ROW('03.Muestra'!$D$8:$D$42))+1,""),ROW()-1538)),"")</f>
        <v>https://www.portcastello.com/</v>
      </c>
      <c r="D1544" s="130" t="s">
        <v>37</v>
      </c>
      <c r="E1544" s="107" t="str">
        <f t="shared" si="80"/>
        <v/>
      </c>
      <c r="G1544" s="19"/>
      <c r="H1544" s="19"/>
      <c r="I1544" s="19"/>
      <c r="J1544" s="19"/>
      <c r="K1544" s="233"/>
    </row>
    <row r="1545" spans="1:12" ht="12" customHeight="1">
      <c r="A1545" s="219" t="n" cm="1">
        <f t="array" ref="A1545">IFERROR(INDEX('03.Muestra'!$B$8:$B$42,SMALL(IF("Página Web"='03.Muestra'!$D$8:$D$42,ROW('03.Muestra'!$B$8:$B$42)-MIN(ROW('03.Muestra'!$D$8:$D$42))+1,""),ROW()-1538)),"")</f>
        <v>1.0</v>
      </c>
      <c r="B1545" s="114" t="str" cm="1">
        <f t="array" ref="B1545">IFERROR(INDEX('03.Muestra'!$C$8:$C$42,SMALL(IF("Página Web"='03.Muestra'!$D$8:$D$42,ROW('03.Muestra'!$C$8:$C$42)-MIN(ROW('03.Muestra'!$D$8:$D$42))+1,""),ROW()-1538)),"")</f>
        <v>Home - PortCastelló</v>
      </c>
      <c r="C1545" s="114" t="str" cm="1">
        <f t="array" ref="C1545">IFERROR(INDEX('03.Muestra'!$F$8:$F$42,SMALL(IF("Página Web"='03.Muestra'!$D$8:$D$42,ROW('03.Muestra'!$F$8:$F$42)-MIN(ROW('03.Muestra'!$D$8:$D$42))+1,""),ROW()-1538)),"")</f>
        <v>https://www.portcastello.com/</v>
      </c>
      <c r="D1545" s="130" t="s">
        <v>37</v>
      </c>
      <c r="E1545" s="107" t="str">
        <f t="shared" si="80"/>
        <v/>
      </c>
      <c r="F1545" s="19"/>
      <c r="G1545" s="19"/>
      <c r="H1545" s="19"/>
      <c r="I1545" s="19"/>
      <c r="J1545" s="19"/>
      <c r="K1545" s="233"/>
    </row>
    <row r="1546" spans="1:12" ht="12" customHeight="1">
      <c r="A1546" s="219" t="n" cm="1">
        <f t="array" ref="A1546">IFERROR(INDEX('03.Muestra'!$B$8:$B$42,SMALL(IF("Página Web"='03.Muestra'!$D$8:$D$42,ROW('03.Muestra'!$B$8:$B$42)-MIN(ROW('03.Muestra'!$D$8:$D$42))+1,""),ROW()-1538)),"")</f>
        <v>1.0</v>
      </c>
      <c r="B1546" s="114" t="str" cm="1">
        <f t="array" ref="B1546">IFERROR(INDEX('03.Muestra'!$C$8:$C$42,SMALL(IF("Página Web"='03.Muestra'!$D$8:$D$42,ROW('03.Muestra'!$C$8:$C$42)-MIN(ROW('03.Muestra'!$D$8:$D$42))+1,""),ROW()-1538)),"")</f>
        <v>Home - PortCastelló</v>
      </c>
      <c r="C1546" s="114" t="str" cm="1">
        <f t="array" ref="C1546">IFERROR(INDEX('03.Muestra'!$F$8:$F$42,SMALL(IF("Página Web"='03.Muestra'!$D$8:$D$42,ROW('03.Muestra'!$F$8:$F$42)-MIN(ROW('03.Muestra'!$D$8:$D$42))+1,""),ROW()-1538)),"")</f>
        <v>https://www.portcastello.com/</v>
      </c>
      <c r="D1546" s="130" t="s">
        <v>37</v>
      </c>
      <c r="E1546" s="107" t="str">
        <f t="shared" si="80"/>
        <v/>
      </c>
      <c r="F1546" s="19"/>
      <c r="G1546" s="19"/>
      <c r="H1546" s="19"/>
      <c r="I1546" s="19"/>
      <c r="J1546" s="19"/>
      <c r="K1546" s="233"/>
      <c r="L1546" s="19"/>
    </row>
    <row r="1547" spans="1:12" ht="12" customHeight="1">
      <c r="A1547" s="219" t="n" cm="1">
        <f t="array" ref="A1547">IFERROR(INDEX('03.Muestra'!$B$8:$B$42,SMALL(IF("Página Web"='03.Muestra'!$D$8:$D$42,ROW('03.Muestra'!$B$8:$B$42)-MIN(ROW('03.Muestra'!$D$8:$D$42))+1,""),ROW()-1538)),"")</f>
        <v>1.0</v>
      </c>
      <c r="B1547" s="114" t="str" cm="1">
        <f t="array" ref="B1547">IFERROR(INDEX('03.Muestra'!$C$8:$C$42,SMALL(IF("Página Web"='03.Muestra'!$D$8:$D$42,ROW('03.Muestra'!$C$8:$C$42)-MIN(ROW('03.Muestra'!$D$8:$D$42))+1,""),ROW()-1538)),"")</f>
        <v>Home - PortCastelló</v>
      </c>
      <c r="C1547" s="114" t="str" cm="1">
        <f t="array" ref="C1547">IFERROR(INDEX('03.Muestra'!$F$8:$F$42,SMALL(IF("Página Web"='03.Muestra'!$D$8:$D$42,ROW('03.Muestra'!$F$8:$F$42)-MIN(ROW('03.Muestra'!$D$8:$D$42))+1,""),ROW()-1538)),"")</f>
        <v>https://www.portcastello.com/</v>
      </c>
      <c r="D1547" s="130" t="s">
        <v>37</v>
      </c>
      <c r="E1547" s="107" t="str">
        <f t="shared" si="80"/>
        <v/>
      </c>
      <c r="F1547" s="19"/>
      <c r="G1547" s="19"/>
      <c r="H1547" s="19"/>
      <c r="I1547" s="19"/>
      <c r="J1547" s="19"/>
      <c r="K1547" s="233"/>
      <c r="L1547" s="19"/>
    </row>
    <row r="1548" spans="1:12" ht="12" customHeight="1">
      <c r="A1548" s="219" t="n" cm="1">
        <f t="array" ref="A1548">IFERROR(INDEX('03.Muestra'!$B$8:$B$42,SMALL(IF("Página Web"='03.Muestra'!$D$8:$D$42,ROW('03.Muestra'!$B$8:$B$42)-MIN(ROW('03.Muestra'!$D$8:$D$42))+1,""),ROW()-1538)),"")</f>
        <v>1.0</v>
      </c>
      <c r="B1548" s="114" t="str" cm="1">
        <f t="array" ref="B1548">IFERROR(INDEX('03.Muestra'!$C$8:$C$42,SMALL(IF("Página Web"='03.Muestra'!$D$8:$D$42,ROW('03.Muestra'!$C$8:$C$42)-MIN(ROW('03.Muestra'!$D$8:$D$42))+1,""),ROW()-1538)),"")</f>
        <v>Home - PortCastelló</v>
      </c>
      <c r="C1548" s="114" t="str" cm="1">
        <f t="array" ref="C1548">IFERROR(INDEX('03.Muestra'!$F$8:$F$42,SMALL(IF("Página Web"='03.Muestra'!$D$8:$D$42,ROW('03.Muestra'!$F$8:$F$42)-MIN(ROW('03.Muestra'!$D$8:$D$42))+1,""),ROW()-1538)),"")</f>
        <v>https://www.portcastello.com/</v>
      </c>
      <c r="D1548" s="130" t="s">
        <v>37</v>
      </c>
      <c r="E1548" s="107" t="str">
        <f t="shared" si="80"/>
        <v/>
      </c>
      <c r="F1548" s="19"/>
      <c r="G1548" s="19"/>
      <c r="H1548" s="19"/>
      <c r="I1548" s="19"/>
      <c r="J1548" s="19"/>
      <c r="K1548" s="233"/>
    </row>
    <row r="1549" spans="1:12" ht="12" customHeight="1">
      <c r="A1549" s="219" t="n" cm="1">
        <f t="array" ref="A1549">IFERROR(INDEX('03.Muestra'!$B$8:$B$42,SMALL(IF("Página Web"='03.Muestra'!$D$8:$D$42,ROW('03.Muestra'!$B$8:$B$42)-MIN(ROW('03.Muestra'!$D$8:$D$42))+1,""),ROW()-1538)),"")</f>
        <v>1.0</v>
      </c>
      <c r="B1549" s="114" t="str" cm="1">
        <f t="array" ref="B1549">IFERROR(INDEX('03.Muestra'!$C$8:$C$42,SMALL(IF("Página Web"='03.Muestra'!$D$8:$D$42,ROW('03.Muestra'!$C$8:$C$42)-MIN(ROW('03.Muestra'!$D$8:$D$42))+1,""),ROW()-1538)),"")</f>
        <v>Home - PortCastelló</v>
      </c>
      <c r="C1549" s="114" t="str" cm="1">
        <f t="array" ref="C1549">IFERROR(INDEX('03.Muestra'!$F$8:$F$42,SMALL(IF("Página Web"='03.Muestra'!$D$8:$D$42,ROW('03.Muestra'!$F$8:$F$42)-MIN(ROW('03.Muestra'!$D$8:$D$42))+1,""),ROW()-1538)),"")</f>
        <v>https://www.portcastello.com/</v>
      </c>
      <c r="D1549" s="130" t="s">
        <v>37</v>
      </c>
      <c r="E1549" s="107" t="str">
        <f t="shared" si="80"/>
        <v/>
      </c>
      <c r="F1549" s="19"/>
      <c r="G1549" s="19"/>
      <c r="H1549" s="19"/>
      <c r="I1549" s="19"/>
      <c r="J1549" s="19"/>
      <c r="K1549" s="233"/>
    </row>
    <row r="1550" spans="1:12" ht="12" customHeight="1">
      <c r="A1550" s="219" t="n" cm="1">
        <f t="array" ref="A1550">IFERROR(INDEX('03.Muestra'!$B$8:$B$42,SMALL(IF("Página Web"='03.Muestra'!$D$8:$D$42,ROW('03.Muestra'!$B$8:$B$42)-MIN(ROW('03.Muestra'!$D$8:$D$42))+1,""),ROW()-1538)),"")</f>
        <v>1.0</v>
      </c>
      <c r="B1550" s="114" t="str" cm="1">
        <f t="array" ref="B1550">IFERROR(INDEX('03.Muestra'!$C$8:$C$42,SMALL(IF("Página Web"='03.Muestra'!$D$8:$D$42,ROW('03.Muestra'!$C$8:$C$42)-MIN(ROW('03.Muestra'!$D$8:$D$42))+1,""),ROW()-1538)),"")</f>
        <v>Home - PortCastelló</v>
      </c>
      <c r="C1550" s="114" t="str" cm="1">
        <f t="array" ref="C1550">IFERROR(INDEX('03.Muestra'!$F$8:$F$42,SMALL(IF("Página Web"='03.Muestra'!$D$8:$D$42,ROW('03.Muestra'!$F$8:$F$42)-MIN(ROW('03.Muestra'!$D$8:$D$42))+1,""),ROW()-1538)),"")</f>
        <v>https://www.portcastello.com/</v>
      </c>
      <c r="D1550" s="130" t="s">
        <v>37</v>
      </c>
      <c r="E1550" s="107" t="str">
        <f t="shared" si="80"/>
        <v/>
      </c>
      <c r="F1550" s="19"/>
      <c r="G1550" s="19"/>
      <c r="H1550" s="19"/>
      <c r="I1550" s="19"/>
      <c r="J1550" s="19"/>
      <c r="K1550" s="233"/>
      <c r="L1550" s="19"/>
    </row>
    <row r="1551" spans="1:12" ht="12" customHeight="1">
      <c r="A1551" s="219" t="n" cm="1">
        <f t="array" ref="A1551">IFERROR(INDEX('03.Muestra'!$B$8:$B$42,SMALL(IF("Página Web"='03.Muestra'!$D$8:$D$42,ROW('03.Muestra'!$B$8:$B$42)-MIN(ROW('03.Muestra'!$D$8:$D$42))+1,""),ROW()-1538)),"")</f>
        <v>1.0</v>
      </c>
      <c r="B1551" s="114" t="str" cm="1">
        <f t="array" ref="B1551">IFERROR(INDEX('03.Muestra'!$C$8:$C$42,SMALL(IF("Página Web"='03.Muestra'!$D$8:$D$42,ROW('03.Muestra'!$C$8:$C$42)-MIN(ROW('03.Muestra'!$D$8:$D$42))+1,""),ROW()-1538)),"")</f>
        <v>Home - PortCastelló</v>
      </c>
      <c r="C1551" s="114" t="str" cm="1">
        <f t="array" ref="C1551">IFERROR(INDEX('03.Muestra'!$F$8:$F$42,SMALL(IF("Página Web"='03.Muestra'!$D$8:$D$42,ROW('03.Muestra'!$F$8:$F$42)-MIN(ROW('03.Muestra'!$D$8:$D$42))+1,""),ROW()-1538)),"")</f>
        <v>https://www.portcastello.com/</v>
      </c>
      <c r="D1551" s="130" t="s">
        <v>37</v>
      </c>
      <c r="E1551" s="107" t="str">
        <f t="shared" si="80"/>
        <v/>
      </c>
      <c r="F1551" s="19"/>
      <c r="G1551" s="19"/>
      <c r="H1551" s="19"/>
      <c r="I1551" s="19"/>
      <c r="J1551" s="19"/>
      <c r="K1551" s="233"/>
      <c r="L1551" s="19"/>
    </row>
    <row r="1552" spans="1:12" ht="12" customHeight="1">
      <c r="A1552" s="219" t="n" cm="1">
        <f t="array" ref="A1552">IFERROR(INDEX('03.Muestra'!$B$8:$B$42,SMALL(IF("Página Web"='03.Muestra'!$D$8:$D$42,ROW('03.Muestra'!$B$8:$B$42)-MIN(ROW('03.Muestra'!$D$8:$D$42))+1,""),ROW()-1538)),"")</f>
        <v>1.0</v>
      </c>
      <c r="B1552" s="114" t="str" cm="1">
        <f t="array" ref="B1552">IFERROR(INDEX('03.Muestra'!$C$8:$C$42,SMALL(IF("Página Web"='03.Muestra'!$D$8:$D$42,ROW('03.Muestra'!$C$8:$C$42)-MIN(ROW('03.Muestra'!$D$8:$D$42))+1,""),ROW()-1538)),"")</f>
        <v>Home - PortCastelló</v>
      </c>
      <c r="C1552" s="114" t="str" cm="1">
        <f t="array" ref="C1552">IFERROR(INDEX('03.Muestra'!$F$8:$F$42,SMALL(IF("Página Web"='03.Muestra'!$D$8:$D$42,ROW('03.Muestra'!$F$8:$F$42)-MIN(ROW('03.Muestra'!$D$8:$D$42))+1,""),ROW()-1538)),"")</f>
        <v>https://www.portcastello.com/</v>
      </c>
      <c r="D1552" s="130" t="s">
        <v>37</v>
      </c>
      <c r="E1552" s="107" t="str">
        <f t="shared" si="80"/>
        <v/>
      </c>
      <c r="F1552" s="19"/>
      <c r="G1552" s="19"/>
      <c r="H1552" s="19"/>
      <c r="I1552" s="19"/>
      <c r="J1552" s="19"/>
      <c r="K1552" s="233"/>
      <c r="L1552" s="19"/>
    </row>
    <row r="1553" spans="1:12" ht="12" customHeight="1">
      <c r="A1553" s="219" t="n" cm="1">
        <f t="array" ref="A1553">IFERROR(INDEX('03.Muestra'!$B$8:$B$42,SMALL(IF("Página Web"='03.Muestra'!$D$8:$D$42,ROW('03.Muestra'!$B$8:$B$42)-MIN(ROW('03.Muestra'!$D$8:$D$42))+1,""),ROW()-1538)),"")</f>
        <v>1.0</v>
      </c>
      <c r="B1553" s="114" t="str" cm="1">
        <f t="array" ref="B1553">IFERROR(INDEX('03.Muestra'!$C$8:$C$42,SMALL(IF("Página Web"='03.Muestra'!$D$8:$D$42,ROW('03.Muestra'!$C$8:$C$42)-MIN(ROW('03.Muestra'!$D$8:$D$42))+1,""),ROW()-1538)),"")</f>
        <v>Home - PortCastelló</v>
      </c>
      <c r="C1553" s="114" t="str" cm="1">
        <f t="array" ref="C1553">IFERROR(INDEX('03.Muestra'!$F$8:$F$42,SMALL(IF("Página Web"='03.Muestra'!$D$8:$D$42,ROW('03.Muestra'!$F$8:$F$42)-MIN(ROW('03.Muestra'!$D$8:$D$42))+1,""),ROW()-1538)),"")</f>
        <v>https://www.portcastello.com/</v>
      </c>
      <c r="D1553" s="130" t="s">
        <v>37</v>
      </c>
      <c r="E1553" s="107" t="str">
        <f t="shared" si="80"/>
        <v/>
      </c>
      <c r="F1553" s="19"/>
      <c r="G1553" s="19"/>
      <c r="H1553" s="19"/>
      <c r="I1553" s="19"/>
      <c r="J1553" s="19"/>
      <c r="K1553" s="233"/>
      <c r="L1553" s="19"/>
    </row>
    <row r="1554" spans="1:12" ht="12" customHeight="1">
      <c r="A1554" s="219" t="n" cm="1">
        <f t="array" ref="A1554">IFERROR(INDEX('03.Muestra'!$B$8:$B$42,SMALL(IF("Página Web"='03.Muestra'!$D$8:$D$42,ROW('03.Muestra'!$B$8:$B$42)-MIN(ROW('03.Muestra'!$D$8:$D$42))+1,""),ROW()-1538)),"")</f>
        <v>1.0</v>
      </c>
      <c r="B1554" s="114" t="str" cm="1">
        <f t="array" ref="B1554">IFERROR(INDEX('03.Muestra'!$C$8:$C$42,SMALL(IF("Página Web"='03.Muestra'!$D$8:$D$42,ROW('03.Muestra'!$C$8:$C$42)-MIN(ROW('03.Muestra'!$D$8:$D$42))+1,""),ROW()-1538)),"")</f>
        <v>Home - PortCastelló</v>
      </c>
      <c r="C1554" s="114" t="str" cm="1">
        <f t="array" ref="C1554">IFERROR(INDEX('03.Muestra'!$F$8:$F$42,SMALL(IF("Página Web"='03.Muestra'!$D$8:$D$42,ROW('03.Muestra'!$F$8:$F$42)-MIN(ROW('03.Muestra'!$D$8:$D$42))+1,""),ROW()-1538)),"")</f>
        <v>https://www.portcastello.com/</v>
      </c>
      <c r="D1554" s="130" t="s">
        <v>37</v>
      </c>
      <c r="E1554" s="107" t="str">
        <f t="shared" si="80"/>
        <v/>
      </c>
      <c r="F1554" s="19"/>
      <c r="G1554" s="19"/>
      <c r="H1554" s="19"/>
      <c r="I1554" s="19"/>
      <c r="J1554" s="19"/>
      <c r="K1554" s="233"/>
      <c r="L1554" s="19"/>
    </row>
    <row r="1555" spans="1:12" ht="12" customHeight="1">
      <c r="A1555" s="219" t="n" cm="1">
        <f t="array" ref="A1555">IFERROR(INDEX('03.Muestra'!$B$8:$B$42,SMALL(IF("Página Web"='03.Muestra'!$D$8:$D$42,ROW('03.Muestra'!$B$8:$B$42)-MIN(ROW('03.Muestra'!$D$8:$D$42))+1,""),ROW()-1538)),"")</f>
        <v>1.0</v>
      </c>
      <c r="B1555" s="114" t="str" cm="1">
        <f t="array" ref="B1555">IFERROR(INDEX('03.Muestra'!$C$8:$C$42,SMALL(IF("Página Web"='03.Muestra'!$D$8:$D$42,ROW('03.Muestra'!$C$8:$C$42)-MIN(ROW('03.Muestra'!$D$8:$D$42))+1,""),ROW()-1538)),"")</f>
        <v>Home - PortCastelló</v>
      </c>
      <c r="C1555" s="114" t="str" cm="1">
        <f t="array" ref="C1555">IFERROR(INDEX('03.Muestra'!$F$8:$F$42,SMALL(IF("Página Web"='03.Muestra'!$D$8:$D$42,ROW('03.Muestra'!$F$8:$F$42)-MIN(ROW('03.Muestra'!$D$8:$D$42))+1,""),ROW()-1538)),"")</f>
        <v>https://www.portcastello.com/</v>
      </c>
      <c r="D1555" s="130" t="s">
        <v>37</v>
      </c>
      <c r="E1555" s="107" t="str">
        <f t="shared" si="80"/>
        <v/>
      </c>
      <c r="F1555" s="19"/>
      <c r="G1555" s="19"/>
      <c r="H1555" s="19"/>
      <c r="I1555" s="19"/>
      <c r="J1555" s="19"/>
      <c r="K1555" s="233"/>
      <c r="L1555" s="19"/>
    </row>
    <row r="1556" spans="1:12" ht="12" customHeight="1">
      <c r="A1556" s="219" t="n" cm="1">
        <f t="array" ref="A1556">IFERROR(INDEX('03.Muestra'!$B$8:$B$42,SMALL(IF("Página Web"='03.Muestra'!$D$8:$D$42,ROW('03.Muestra'!$B$8:$B$42)-MIN(ROW('03.Muestra'!$D$8:$D$42))+1,""),ROW()-1538)),"")</f>
        <v>1.0</v>
      </c>
      <c r="B1556" s="114" t="str" cm="1">
        <f t="array" ref="B1556">IFERROR(INDEX('03.Muestra'!$C$8:$C$42,SMALL(IF("Página Web"='03.Muestra'!$D$8:$D$42,ROW('03.Muestra'!$C$8:$C$42)-MIN(ROW('03.Muestra'!$D$8:$D$42))+1,""),ROW()-1538)),"")</f>
        <v>Home - PortCastelló</v>
      </c>
      <c r="C1556" s="114" t="str" cm="1">
        <f t="array" ref="C1556">IFERROR(INDEX('03.Muestra'!$F$8:$F$42,SMALL(IF("Página Web"='03.Muestra'!$D$8:$D$42,ROW('03.Muestra'!$F$8:$F$42)-MIN(ROW('03.Muestra'!$D$8:$D$42))+1,""),ROW()-1538)),"")</f>
        <v>https://www.portcastello.com/</v>
      </c>
      <c r="D1556" s="130" t="s">
        <v>37</v>
      </c>
      <c r="E1556" s="107" t="str">
        <f t="shared" si="80"/>
        <v/>
      </c>
      <c r="F1556" s="19"/>
      <c r="G1556" s="19"/>
      <c r="H1556" s="19"/>
      <c r="I1556" s="19"/>
      <c r="J1556" s="19"/>
      <c r="K1556" s="233"/>
      <c r="L1556" s="19"/>
    </row>
    <row r="1557" spans="1:12" ht="12" customHeight="1">
      <c r="A1557" s="219" t="n" cm="1">
        <f t="array" ref="A1557">IFERROR(INDEX('03.Muestra'!$B$8:$B$42,SMALL(IF("Página Web"='03.Muestra'!$D$8:$D$42,ROW('03.Muestra'!$B$8:$B$42)-MIN(ROW('03.Muestra'!$D$8:$D$42))+1,""),ROW()-1538)),"")</f>
        <v>1.0</v>
      </c>
      <c r="B1557" s="114" t="str" cm="1">
        <f t="array" ref="B1557">IFERROR(INDEX('03.Muestra'!$C$8:$C$42,SMALL(IF("Página Web"='03.Muestra'!$D$8:$D$42,ROW('03.Muestra'!$C$8:$C$42)-MIN(ROW('03.Muestra'!$D$8:$D$42))+1,""),ROW()-1538)),"")</f>
        <v>Home - PortCastelló</v>
      </c>
      <c r="C1557" s="114" t="str" cm="1">
        <f t="array" ref="C1557">IFERROR(INDEX('03.Muestra'!$F$8:$F$42,SMALL(IF("Página Web"='03.Muestra'!$D$8:$D$42,ROW('03.Muestra'!$F$8:$F$42)-MIN(ROW('03.Muestra'!$D$8:$D$42))+1,""),ROW()-1538)),"")</f>
        <v>https://www.portcastello.com/</v>
      </c>
      <c r="D1557" s="130" t="s">
        <v>37</v>
      </c>
      <c r="E1557" s="107" t="str">
        <f t="shared" si="80"/>
        <v/>
      </c>
      <c r="F1557" s="19"/>
      <c r="G1557" s="19"/>
      <c r="H1557" s="19"/>
      <c r="I1557" s="19"/>
      <c r="J1557" s="19"/>
      <c r="K1557" s="233"/>
      <c r="L1557" s="19"/>
    </row>
    <row r="1558" spans="1:12" ht="12" customHeight="1">
      <c r="A1558" s="219" t="n" cm="1">
        <f t="array" ref="A1558">IFERROR(INDEX('03.Muestra'!$B$8:$B$42,SMALL(IF("Página Web"='03.Muestra'!$D$8:$D$42,ROW('03.Muestra'!$B$8:$B$42)-MIN(ROW('03.Muestra'!$D$8:$D$42))+1,""),ROW()-1538)),"")</f>
        <v>1.0</v>
      </c>
      <c r="B1558" s="114" t="str" cm="1">
        <f t="array" ref="B1558">IFERROR(INDEX('03.Muestra'!$C$8:$C$42,SMALL(IF("Página Web"='03.Muestra'!$D$8:$D$42,ROW('03.Muestra'!$C$8:$C$42)-MIN(ROW('03.Muestra'!$D$8:$D$42))+1,""),ROW()-1538)),"")</f>
        <v>Home - PortCastelló</v>
      </c>
      <c r="C1558" s="114" t="str" cm="1">
        <f t="array" ref="C1558">IFERROR(INDEX('03.Muestra'!$F$8:$F$42,SMALL(IF("Página Web"='03.Muestra'!$D$8:$D$42,ROW('03.Muestra'!$F$8:$F$42)-MIN(ROW('03.Muestra'!$D$8:$D$42))+1,""),ROW()-1538)),"")</f>
        <v>https://www.portcastello.com/</v>
      </c>
      <c r="D1558" s="130" t="s">
        <v>37</v>
      </c>
      <c r="E1558" s="107" t="str">
        <f t="shared" si="80"/>
        <v/>
      </c>
      <c r="F1558" s="19"/>
      <c r="G1558" s="19"/>
      <c r="H1558" s="19"/>
      <c r="I1558" s="19"/>
      <c r="J1558" s="19"/>
      <c r="K1558" s="233"/>
      <c r="L1558" s="19"/>
    </row>
    <row r="1559" spans="1:12" ht="12" customHeight="1">
      <c r="A1559" s="219" t="n" cm="1">
        <f t="array" ref="A1559">IFERROR(INDEX('03.Muestra'!$B$8:$B$42,SMALL(IF("Página Web"='03.Muestra'!$D$8:$D$42,ROW('03.Muestra'!$B$8:$B$42)-MIN(ROW('03.Muestra'!$D$8:$D$42))+1,""),ROW()-1538)),"")</f>
        <v>1.0</v>
      </c>
      <c r="B1559" s="114" t="str" cm="1">
        <f t="array" ref="B1559">IFERROR(INDEX('03.Muestra'!$C$8:$C$42,SMALL(IF("Página Web"='03.Muestra'!$D$8:$D$42,ROW('03.Muestra'!$C$8:$C$42)-MIN(ROW('03.Muestra'!$D$8:$D$42))+1,""),ROW()-1538)),"")</f>
        <v>Home - PortCastelló</v>
      </c>
      <c r="C1559" s="114" t="str" cm="1">
        <f t="array" ref="C1559">IFERROR(INDEX('03.Muestra'!$F$8:$F$42,SMALL(IF("Página Web"='03.Muestra'!$D$8:$D$42,ROW('03.Muestra'!$F$8:$F$42)-MIN(ROW('03.Muestra'!$D$8:$D$42))+1,""),ROW()-1538)),"")</f>
        <v>https://www.portcastello.com/</v>
      </c>
      <c r="D1559" s="130" t="s">
        <v>37</v>
      </c>
      <c r="E1559" s="107" t="str">
        <f t="shared" si="80"/>
        <v/>
      </c>
      <c r="F1559" s="19"/>
      <c r="G1559" s="19"/>
      <c r="H1559" s="19"/>
      <c r="I1559" s="19"/>
      <c r="J1559" s="19"/>
      <c r="K1559" s="233"/>
      <c r="L1559" s="19"/>
    </row>
    <row r="1560" spans="1:12" ht="12" customHeight="1">
      <c r="A1560" s="219" t="n" cm="1">
        <f t="array" ref="A1560">IFERROR(INDEX('03.Muestra'!$B$8:$B$42,SMALL(IF("Página Web"='03.Muestra'!$D$8:$D$42,ROW('03.Muestra'!$B$8:$B$42)-MIN(ROW('03.Muestra'!$D$8:$D$42))+1,""),ROW()-1538)),"")</f>
        <v>1.0</v>
      </c>
      <c r="B1560" s="114" t="str" cm="1">
        <f t="array" ref="B1560">IFERROR(INDEX('03.Muestra'!$C$8:$C$42,SMALL(IF("Página Web"='03.Muestra'!$D$8:$D$42,ROW('03.Muestra'!$C$8:$C$42)-MIN(ROW('03.Muestra'!$D$8:$D$42))+1,""),ROW()-1538)),"")</f>
        <v>Home - PortCastelló</v>
      </c>
      <c r="C1560" s="114" t="str" cm="1">
        <f t="array" ref="C1560">IFERROR(INDEX('03.Muestra'!$F$8:$F$42,SMALL(IF("Página Web"='03.Muestra'!$D$8:$D$42,ROW('03.Muestra'!$F$8:$F$42)-MIN(ROW('03.Muestra'!$D$8:$D$42))+1,""),ROW()-1538)),"")</f>
        <v>https://www.portcastello.com/</v>
      </c>
      <c r="D1560" s="130" t="s">
        <v>37</v>
      </c>
      <c r="E1560" s="107" t="str">
        <f t="shared" si="80"/>
        <v/>
      </c>
      <c r="F1560" s="19"/>
      <c r="G1560" s="19"/>
      <c r="H1560" s="19"/>
      <c r="I1560" s="19"/>
      <c r="J1560" s="19"/>
      <c r="K1560" s="233"/>
      <c r="L1560" s="19"/>
    </row>
    <row r="1561" spans="1:12" ht="12" customHeight="1">
      <c r="A1561" s="219" t="n" cm="1">
        <f t="array" ref="A1561">IFERROR(INDEX('03.Muestra'!$B$8:$B$42,SMALL(IF("Página Web"='03.Muestra'!$D$8:$D$42,ROW('03.Muestra'!$B$8:$B$42)-MIN(ROW('03.Muestra'!$D$8:$D$42))+1,""),ROW()-1538)),"")</f>
        <v>1.0</v>
      </c>
      <c r="B1561" s="114" t="str" cm="1">
        <f t="array" ref="B1561">IFERROR(INDEX('03.Muestra'!$C$8:$C$42,SMALL(IF("Página Web"='03.Muestra'!$D$8:$D$42,ROW('03.Muestra'!$C$8:$C$42)-MIN(ROW('03.Muestra'!$D$8:$D$42))+1,""),ROW()-1538)),"")</f>
        <v>Home - PortCastelló</v>
      </c>
      <c r="C1561" s="114" t="str" cm="1">
        <f t="array" ref="C1561">IFERROR(INDEX('03.Muestra'!$F$8:$F$42,SMALL(IF("Página Web"='03.Muestra'!$D$8:$D$42,ROW('03.Muestra'!$F$8:$F$42)-MIN(ROW('03.Muestra'!$D$8:$D$42))+1,""),ROW()-1538)),"")</f>
        <v>https://www.portcastello.com/</v>
      </c>
      <c r="D1561" s="130" t="s">
        <v>37</v>
      </c>
      <c r="E1561" s="107" t="str">
        <f t="shared" si="80"/>
        <v/>
      </c>
      <c r="F1561" s="19"/>
      <c r="G1561" s="19"/>
      <c r="H1561" s="19"/>
      <c r="I1561" s="19"/>
      <c r="J1561" s="19"/>
      <c r="K1561" s="233"/>
      <c r="L1561" s="19"/>
    </row>
    <row r="1562" spans="1:12" ht="12" customHeight="1">
      <c r="A1562" s="219" t="n" cm="1">
        <f t="array" ref="A1562">IFERROR(INDEX('03.Muestra'!$B$8:$B$42,SMALL(IF("Página Web"='03.Muestra'!$D$8:$D$42,ROW('03.Muestra'!$B$8:$B$42)-MIN(ROW('03.Muestra'!$D$8:$D$42))+1,""),ROW()-1538)),"")</f>
        <v>1.0</v>
      </c>
      <c r="B1562" s="114" t="str" cm="1">
        <f t="array" ref="B1562">IFERROR(INDEX('03.Muestra'!$C$8:$C$42,SMALL(IF("Página Web"='03.Muestra'!$D$8:$D$42,ROW('03.Muestra'!$C$8:$C$42)-MIN(ROW('03.Muestra'!$D$8:$D$42))+1,""),ROW()-1538)),"")</f>
        <v>Home - PortCastelló</v>
      </c>
      <c r="C1562" s="114" t="str" cm="1">
        <f t="array" ref="C1562">IFERROR(INDEX('03.Muestra'!$F$8:$F$42,SMALL(IF("Página Web"='03.Muestra'!$D$8:$D$42,ROW('03.Muestra'!$F$8:$F$42)-MIN(ROW('03.Muestra'!$D$8:$D$42))+1,""),ROW()-1538)),"")</f>
        <v>https://www.portcastello.com/</v>
      </c>
      <c r="D1562" s="130" t="s">
        <v>37</v>
      </c>
      <c r="E1562" s="107" t="str">
        <f t="shared" si="80"/>
        <v/>
      </c>
      <c r="F1562" s="19"/>
      <c r="G1562" s="19"/>
      <c r="H1562" s="19"/>
      <c r="I1562" s="19"/>
      <c r="J1562" s="19"/>
      <c r="K1562" s="233"/>
      <c r="L1562" s="19"/>
    </row>
    <row r="1563" spans="1:12" ht="12" customHeight="1">
      <c r="A1563" s="219" t="n" cm="1">
        <f t="array" ref="A1563">IFERROR(INDEX('03.Muestra'!$B$8:$B$42,SMALL(IF("Página Web"='03.Muestra'!$D$8:$D$42,ROW('03.Muestra'!$B$8:$B$42)-MIN(ROW('03.Muestra'!$D$8:$D$42))+1,""),ROW()-1538)),"")</f>
        <v>1.0</v>
      </c>
      <c r="B1563" s="114" t="str" cm="1">
        <f t="array" ref="B1563">IFERROR(INDEX('03.Muestra'!$C$8:$C$42,SMALL(IF("Página Web"='03.Muestra'!$D$8:$D$42,ROW('03.Muestra'!$C$8:$C$42)-MIN(ROW('03.Muestra'!$D$8:$D$42))+1,""),ROW()-1538)),"")</f>
        <v>Home - PortCastelló</v>
      </c>
      <c r="C1563" s="114" t="str" cm="1">
        <f t="array" ref="C1563">IFERROR(INDEX('03.Muestra'!$F$8:$F$42,SMALL(IF("Página Web"='03.Muestra'!$D$8:$D$42,ROW('03.Muestra'!$F$8:$F$42)-MIN(ROW('03.Muestra'!$D$8:$D$42))+1,""),ROW()-1538)),"")</f>
        <v>https://www.portcastello.com/</v>
      </c>
      <c r="D1563" s="130" t="s">
        <v>37</v>
      </c>
      <c r="E1563" s="107" t="str">
        <f t="shared" si="80"/>
        <v/>
      </c>
      <c r="F1563" s="19"/>
      <c r="G1563" s="19"/>
      <c r="H1563" s="19"/>
      <c r="I1563" s="19"/>
      <c r="J1563" s="19"/>
      <c r="K1563" s="233"/>
      <c r="L1563" s="19"/>
    </row>
    <row r="1564" spans="1:12" ht="12" customHeight="1">
      <c r="A1564" s="219" t="n" cm="1">
        <f t="array" ref="A1564">IFERROR(INDEX('03.Muestra'!$B$8:$B$42,SMALL(IF("Página Web"='03.Muestra'!$D$8:$D$42,ROW('03.Muestra'!$B$8:$B$42)-MIN(ROW('03.Muestra'!$D$8:$D$42))+1,""),ROW()-1538)),"")</f>
        <v>1.0</v>
      </c>
      <c r="B1564" s="114" t="str" cm="1">
        <f t="array" ref="B1564">IFERROR(INDEX('03.Muestra'!$C$8:$C$42,SMALL(IF("Página Web"='03.Muestra'!$D$8:$D$42,ROW('03.Muestra'!$C$8:$C$42)-MIN(ROW('03.Muestra'!$D$8:$D$42))+1,""),ROW()-1538)),"")</f>
        <v>Home - PortCastelló</v>
      </c>
      <c r="C1564" s="114" t="str" cm="1">
        <f t="array" ref="C1564">IFERROR(INDEX('03.Muestra'!$F$8:$F$42,SMALL(IF("Página Web"='03.Muestra'!$D$8:$D$42,ROW('03.Muestra'!$F$8:$F$42)-MIN(ROW('03.Muestra'!$D$8:$D$42))+1,""),ROW()-1538)),"")</f>
        <v>https://www.portcastello.com/</v>
      </c>
      <c r="D1564" s="130" t="s">
        <v>37</v>
      </c>
      <c r="E1564" s="107" t="str">
        <f t="shared" si="80"/>
        <v/>
      </c>
      <c r="F1564" s="19"/>
      <c r="G1564" s="19"/>
      <c r="H1564" s="19"/>
      <c r="I1564" s="19"/>
      <c r="J1564" s="19"/>
      <c r="K1564" s="233"/>
      <c r="L1564" s="19"/>
    </row>
    <row r="1565" spans="1:12" ht="12" customHeight="1">
      <c r="A1565" s="219" t="n" cm="1">
        <f t="array" ref="A1565">IFERROR(INDEX('03.Muestra'!$B$8:$B$42,SMALL(IF("Página Web"='03.Muestra'!$D$8:$D$42,ROW('03.Muestra'!$B$8:$B$42)-MIN(ROW('03.Muestra'!$D$8:$D$42))+1,""),ROW()-1538)),"")</f>
        <v>1.0</v>
      </c>
      <c r="B1565" s="114" t="str" cm="1">
        <f t="array" ref="B1565">IFERROR(INDEX('03.Muestra'!$C$8:$C$42,SMALL(IF("Página Web"='03.Muestra'!$D$8:$D$42,ROW('03.Muestra'!$C$8:$C$42)-MIN(ROW('03.Muestra'!$D$8:$D$42))+1,""),ROW()-1538)),"")</f>
        <v>Home - PortCastelló</v>
      </c>
      <c r="C1565" s="114" t="str" cm="1">
        <f t="array" ref="C1565">IFERROR(INDEX('03.Muestra'!$F$8:$F$42,SMALL(IF("Página Web"='03.Muestra'!$D$8:$D$42,ROW('03.Muestra'!$F$8:$F$42)-MIN(ROW('03.Muestra'!$D$8:$D$42))+1,""),ROW()-1538)),"")</f>
        <v>https://www.portcastello.com/</v>
      </c>
      <c r="D1565" s="130" t="s">
        <v>37</v>
      </c>
      <c r="E1565" s="107" t="str">
        <f t="shared" si="80"/>
        <v/>
      </c>
      <c r="F1565" s="19"/>
      <c r="G1565" s="19"/>
      <c r="H1565" s="19"/>
      <c r="I1565" s="19"/>
      <c r="J1565" s="19"/>
      <c r="K1565" s="233"/>
      <c r="L1565" s="19"/>
    </row>
    <row r="1566" spans="1:12" ht="12" customHeight="1">
      <c r="A1566" s="219" t="n" cm="1">
        <f t="array" ref="A1566">IFERROR(INDEX('03.Muestra'!$B$8:$B$42,SMALL(IF("Página Web"='03.Muestra'!$D$8:$D$42,ROW('03.Muestra'!$B$8:$B$42)-MIN(ROW('03.Muestra'!$D$8:$D$42))+1,""),ROW()-1538)),"")</f>
        <v>1.0</v>
      </c>
      <c r="B1566" s="114" t="str" cm="1">
        <f t="array" ref="B1566">IFERROR(INDEX('03.Muestra'!$C$8:$C$42,SMALL(IF("Página Web"='03.Muestra'!$D$8:$D$42,ROW('03.Muestra'!$C$8:$C$42)-MIN(ROW('03.Muestra'!$D$8:$D$42))+1,""),ROW()-1538)),"")</f>
        <v>Home - PortCastelló</v>
      </c>
      <c r="C1566" s="114" t="str" cm="1">
        <f t="array" ref="C1566">IFERROR(INDEX('03.Muestra'!$F$8:$F$42,SMALL(IF("Página Web"='03.Muestra'!$D$8:$D$42,ROW('03.Muestra'!$F$8:$F$42)-MIN(ROW('03.Muestra'!$D$8:$D$42))+1,""),ROW()-1538)),"")</f>
        <v>https://www.portcastello.com/</v>
      </c>
      <c r="D1566" s="130" t="s">
        <v>37</v>
      </c>
      <c r="E1566" s="107" t="str">
        <f t="shared" si="80"/>
        <v/>
      </c>
      <c r="G1566" s="19"/>
      <c r="H1566" s="19"/>
      <c r="I1566" s="19"/>
      <c r="J1566" s="19"/>
      <c r="K1566" s="233"/>
      <c r="L1566" s="19"/>
    </row>
    <row r="1567" spans="1:12" ht="12" customHeight="1">
      <c r="A1567" s="219" t="n" cm="1">
        <f t="array" ref="A1567">IFERROR(INDEX('03.Muestra'!$B$8:$B$42,SMALL(IF("Página Web"='03.Muestra'!$D$8:$D$42,ROW('03.Muestra'!$B$8:$B$42)-MIN(ROW('03.Muestra'!$D$8:$D$42))+1,""),ROW()-1538)),"")</f>
        <v>1.0</v>
      </c>
      <c r="B1567" s="114" t="str" cm="1">
        <f t="array" ref="B1567">IFERROR(INDEX('03.Muestra'!$C$8:$C$42,SMALL(IF("Página Web"='03.Muestra'!$D$8:$D$42,ROW('03.Muestra'!$C$8:$C$42)-MIN(ROW('03.Muestra'!$D$8:$D$42))+1,""),ROW()-1538)),"")</f>
        <v>Home - PortCastelló</v>
      </c>
      <c r="C1567" s="114" t="str" cm="1">
        <f t="array" ref="C1567">IFERROR(INDEX('03.Muestra'!$F$8:$F$42,SMALL(IF("Página Web"='03.Muestra'!$D$8:$D$42,ROW('03.Muestra'!$F$8:$F$42)-MIN(ROW('03.Muestra'!$D$8:$D$42))+1,""),ROW()-1538)),"")</f>
        <v>https://www.portcastello.com/</v>
      </c>
      <c r="D1567" s="130" t="s">
        <v>37</v>
      </c>
      <c r="E1567" s="107" t="str">
        <f t="shared" si="80"/>
        <v/>
      </c>
      <c r="F1567" s="124"/>
      <c r="G1567" s="19"/>
      <c r="H1567" s="19"/>
      <c r="I1567" s="19"/>
      <c r="J1567" s="19"/>
      <c r="K1567" s="233"/>
      <c r="L1567" s="19"/>
    </row>
    <row r="1568" spans="1:12" ht="12" customHeight="1">
      <c r="A1568" s="219" t="n" cm="1">
        <f t="array" ref="A1568">IFERROR(INDEX('03.Muestra'!$B$8:$B$42,SMALL(IF("Página Web"='03.Muestra'!$D$8:$D$42,ROW('03.Muestra'!$B$8:$B$42)-MIN(ROW('03.Muestra'!$D$8:$D$42))+1,""),ROW()-1538)),"")</f>
        <v>1.0</v>
      </c>
      <c r="B1568" s="114" t="str" cm="1">
        <f t="array" ref="B1568">IFERROR(INDEX('03.Muestra'!$C$8:$C$42,SMALL(IF("Página Web"='03.Muestra'!$D$8:$D$42,ROW('03.Muestra'!$C$8:$C$42)-MIN(ROW('03.Muestra'!$D$8:$D$42))+1,""),ROW()-1538)),"")</f>
        <v>Home - PortCastelló</v>
      </c>
      <c r="C1568" s="114" t="str" cm="1">
        <f t="array" ref="C1568">IFERROR(INDEX('03.Muestra'!$F$8:$F$42,SMALL(IF("Página Web"='03.Muestra'!$D$8:$D$42,ROW('03.Muestra'!$F$8:$F$42)-MIN(ROW('03.Muestra'!$D$8:$D$42))+1,""),ROW()-1538)),"")</f>
        <v>https://www.portcastello.com/</v>
      </c>
      <c r="D1568" s="130" t="s">
        <v>37</v>
      </c>
      <c r="E1568" s="107" t="str">
        <f t="shared" si="80"/>
        <v/>
      </c>
      <c r="F1568" s="124"/>
      <c r="G1568" s="19"/>
      <c r="H1568" s="19"/>
      <c r="I1568" s="19"/>
      <c r="J1568" s="19"/>
      <c r="K1568" s="233"/>
      <c r="L1568" s="19"/>
    </row>
    <row r="1569" spans="1:12" ht="12" customHeight="1">
      <c r="A1569" s="219" t="n" cm="1">
        <f t="array" ref="A1569">IFERROR(INDEX('03.Muestra'!$B$8:$B$42,SMALL(IF("Página Web"='03.Muestra'!$D$8:$D$42,ROW('03.Muestra'!$B$8:$B$42)-MIN(ROW('03.Muestra'!$D$8:$D$42))+1,""),ROW()-1538)),"")</f>
        <v>1.0</v>
      </c>
      <c r="B1569" s="114" t="str" cm="1">
        <f t="array" ref="B1569">IFERROR(INDEX('03.Muestra'!$C$8:$C$42,SMALL(IF("Página Web"='03.Muestra'!$D$8:$D$42,ROW('03.Muestra'!$C$8:$C$42)-MIN(ROW('03.Muestra'!$D$8:$D$42))+1,""),ROW()-1538)),"")</f>
        <v>Home - PortCastelló</v>
      </c>
      <c r="C1569" s="114" t="str" cm="1">
        <f t="array" ref="C1569">IFERROR(INDEX('03.Muestra'!$F$8:$F$42,SMALL(IF("Página Web"='03.Muestra'!$D$8:$D$42,ROW('03.Muestra'!$F$8:$F$42)-MIN(ROW('03.Muestra'!$D$8:$D$42))+1,""),ROW()-1538)),"")</f>
        <v>https://www.portcastello.com/</v>
      </c>
      <c r="D1569" s="130" t="s">
        <v>37</v>
      </c>
      <c r="E1569" s="107" t="str">
        <f t="shared" si="80"/>
        <v/>
      </c>
      <c r="F1569" s="124"/>
      <c r="G1569" s="19"/>
      <c r="H1569" s="19"/>
      <c r="I1569" s="19"/>
      <c r="J1569" s="19"/>
      <c r="K1569" s="233"/>
      <c r="L1569" s="19"/>
    </row>
    <row r="1570" spans="1:12" ht="12" customHeight="1">
      <c r="A1570" s="219" t="n" cm="1">
        <f t="array" ref="A1570">IFERROR(INDEX('03.Muestra'!$B$8:$B$42,SMALL(IF("Página Web"='03.Muestra'!$D$8:$D$42,ROW('03.Muestra'!$B$8:$B$42)-MIN(ROW('03.Muestra'!$D$8:$D$42))+1,""),ROW()-1538)),"")</f>
        <v>1.0</v>
      </c>
      <c r="B1570" s="114" t="str" cm="1">
        <f t="array" ref="B1570">IFERROR(INDEX('03.Muestra'!$C$8:$C$42,SMALL(IF("Página Web"='03.Muestra'!$D$8:$D$42,ROW('03.Muestra'!$C$8:$C$42)-MIN(ROW('03.Muestra'!$D$8:$D$42))+1,""),ROW()-1538)),"")</f>
        <v>Home - PortCastelló</v>
      </c>
      <c r="C1570" s="114" t="str" cm="1">
        <f t="array" ref="C1570">IFERROR(INDEX('03.Muestra'!$F$8:$F$42,SMALL(IF("Página Web"='03.Muestra'!$D$8:$D$42,ROW('03.Muestra'!$F$8:$F$42)-MIN(ROW('03.Muestra'!$D$8:$D$42))+1,""),ROW()-1538)),"")</f>
        <v>https://www.portcastello.com/</v>
      </c>
      <c r="D1570" s="130" t="s">
        <v>37</v>
      </c>
      <c r="E1570" s="107" t="str">
        <f t="shared" si="80"/>
        <v/>
      </c>
      <c r="F1570" s="124"/>
      <c r="G1570" s="19"/>
      <c r="H1570" s="19"/>
      <c r="I1570" s="19"/>
      <c r="J1570" s="19"/>
      <c r="K1570" s="233"/>
      <c r="L1570" s="19"/>
    </row>
    <row r="1571" spans="1:12" ht="12" customHeight="1">
      <c r="A1571" s="219" t="n" cm="1">
        <f t="array" ref="A1571">IFERROR(INDEX('03.Muestra'!$B$8:$B$42,SMALL(IF("Página Web"='03.Muestra'!$D$8:$D$42,ROW('03.Muestra'!$B$8:$B$42)-MIN(ROW('03.Muestra'!$D$8:$D$42))+1,""),ROW()-1538)),"")</f>
        <v>1.0</v>
      </c>
      <c r="B1571" s="114" t="str" cm="1">
        <f t="array" ref="B1571">IFERROR(INDEX('03.Muestra'!$C$8:$C$42,SMALL(IF("Página Web"='03.Muestra'!$D$8:$D$42,ROW('03.Muestra'!$C$8:$C$42)-MIN(ROW('03.Muestra'!$D$8:$D$42))+1,""),ROW()-1538)),"")</f>
        <v>Home - PortCastelló</v>
      </c>
      <c r="C1571" s="114" t="str" cm="1">
        <f t="array" ref="C1571">IFERROR(INDEX('03.Muestra'!$F$8:$F$42,SMALL(IF("Página Web"='03.Muestra'!$D$8:$D$42,ROW('03.Muestra'!$F$8:$F$42)-MIN(ROW('03.Muestra'!$D$8:$D$42))+1,""),ROW()-1538)),"")</f>
        <v>https://www.portcastello.com/</v>
      </c>
      <c r="D1571" s="130" t="s">
        <v>37</v>
      </c>
      <c r="E1571" s="107" t="str">
        <f t="shared" si="80"/>
        <v/>
      </c>
      <c r="F1571" s="124"/>
      <c r="G1571" s="19"/>
      <c r="H1571" s="19"/>
      <c r="I1571" s="19"/>
      <c r="J1571" s="19"/>
      <c r="K1571" s="233"/>
      <c r="L1571" s="19"/>
    </row>
    <row r="1572" spans="1:12" ht="12" customHeight="1">
      <c r="A1572" s="219" t="str" cm="1">
        <f t="array" ref="A1572">IFERROR(INDEX('03.Muestra'!$B$8:$B$42,SMALL(IF("Página Web"='03.Muestra'!$D$8:$D$42,ROW('03.Muestra'!$B$8:$B$42)-MIN(ROW('03.Muestra'!$D$8:$D$42))+1,""),ROW()-1538)),"")</f>
        <v/>
      </c>
      <c r="B1572" s="114" t="str" cm="1">
        <f t="array" ref="B1572">IFERROR(INDEX('03.Muestra'!$C$8:$C$42,SMALL(IF("Página Web"='03.Muestra'!$D$8:$D$42,ROW('03.Muestra'!$C$8:$C$42)-MIN(ROW('03.Muestra'!$D$8:$D$42))+1,""),ROW()-1538)),"")</f>
        <v/>
      </c>
      <c r="C1572" s="114" t="str" cm="1">
        <f t="array" ref="C1572">IFERROR(INDEX('03.Muestra'!$F$8:$F$42,SMALL(IF("Página Web"='03.Muestra'!$D$8:$D$42,ROW('03.Muestra'!$F$8:$F$42)-MIN(ROW('03.Muestra'!$D$8:$D$42))+1,""),ROW()-1538)),"")</f>
        <v/>
      </c>
      <c r="D1572" s="130" t="str">
        <f t="shared" si="81" ref="D1572:D1573">IF(AND(B1572&lt;&gt;"",C1572&lt;&gt;""),"N/T","")</f>
        <v/>
      </c>
      <c r="E1572" s="107" t="str">
        <f t="shared" si="80"/>
        <v/>
      </c>
      <c r="F1572" s="124"/>
      <c r="G1572" s="19"/>
      <c r="H1572" s="19"/>
      <c r="I1572" s="19"/>
      <c r="J1572" s="19"/>
      <c r="K1572" s="233"/>
      <c r="L1572" s="19"/>
    </row>
    <row r="1573" spans="1:12" ht="12" customHeight="1">
      <c r="A1573" s="219" t="str" cm="1">
        <f t="array" ref="A1573">IFERROR(INDEX('03.Muestra'!$B$8:$B$42,SMALL(IF("Página Web"='03.Muestra'!$D$8:$D$42,ROW('03.Muestra'!$B$8:$B$42)-MIN(ROW('03.Muestra'!$D$8:$D$42))+1,""),ROW()-1538)),"")</f>
        <v/>
      </c>
      <c r="B1573" s="114" t="str" cm="1">
        <f t="array" ref="B1573">IFERROR(INDEX('03.Muestra'!$C$8:$C$42,SMALL(IF("Página Web"='03.Muestra'!$D$8:$D$42,ROW('03.Muestra'!$C$8:$C$42)-MIN(ROW('03.Muestra'!$D$8:$D$42))+1,""),ROW()-1538)),"")</f>
        <v/>
      </c>
      <c r="C1573" s="114" t="str" cm="1">
        <f t="array" ref="C1573">IFERROR(INDEX('03.Muestra'!$F$8:$F$42,SMALL(IF("Página Web"='03.Muestra'!$D$8:$D$42,ROW('03.Muestra'!$F$8:$F$42)-MIN(ROW('03.Muestra'!$D$8:$D$42))+1,""),ROW()-1538)),"")</f>
        <v/>
      </c>
      <c r="D1573" s="130" t="str">
        <f t="shared" si="81"/>
        <v/>
      </c>
      <c r="E1573" s="107" t="str">
        <f t="shared" si="80"/>
        <v/>
      </c>
      <c r="F1573" s="19"/>
      <c r="G1573" s="19"/>
      <c r="H1573" s="19"/>
      <c r="I1573" s="19"/>
      <c r="J1573" s="19"/>
      <c r="K1573" s="233"/>
      <c r="L1573" s="19"/>
    </row>
    <row r="1574" spans="1:12" ht="12" customHeight="1">
      <c r="B1574" s="19"/>
      <c r="C1574" s="19"/>
      <c r="D1574" s="107"/>
      <c r="E1574" s="19"/>
      <c r="F1574" s="19"/>
      <c r="G1574" s="19"/>
      <c r="H1574" s="19"/>
      <c r="I1574" s="19"/>
      <c r="J1574" s="19"/>
      <c r="K1574" s="233"/>
      <c r="L1574" s="19"/>
    </row>
    <row r="1575" spans="1:12" ht="12" customHeight="1">
      <c r="B1575" s="19"/>
      <c r="C1575" s="19"/>
      <c r="D1575" s="107"/>
      <c r="E1575" s="112"/>
      <c r="F1575" s="19"/>
      <c r="G1575" s="19"/>
      <c r="H1575" s="19"/>
      <c r="I1575" s="19"/>
      <c r="J1575" s="19"/>
      <c r="K1575" s="233"/>
      <c r="L1575" s="19"/>
    </row>
    <row r="1576" spans="1:12" ht="29.25" customHeight="1">
      <c r="A1576" s="218" t="s">
        <v>268</v>
      </c>
      <c r="B1576" s="24" t="s">
        <v>90</v>
      </c>
      <c r="C1576" s="25" t="s">
        <v>414</v>
      </c>
      <c r="D1576" s="26" t="s">
        <v>32</v>
      </c>
      <c r="E1576" s="123"/>
      <c r="K1576" s="233"/>
      <c r="L1576" s="19"/>
    </row>
    <row r="1577" spans="1:12" ht="12" customHeight="1">
      <c r="A1577" s="219" t="n" cm="1">
        <f t="array" ref="A1577">IFERROR(INDEX('03.Muestra'!$B$8:$B$42,SMALL(IF("Página Web"='03.Muestra'!$D$8:$D$42,ROW('03.Muestra'!$B$8:$B$42)-MIN(ROW('03.Muestra'!$D$8:$D$42))+1,""),ROW()-1576)),"")</f>
        <v>1.0</v>
      </c>
      <c r="B1577" s="114" t="str" cm="1">
        <f t="array" ref="B1577">IFERROR(INDEX('03.Muestra'!$C$8:$C$42,SMALL(IF("Página Web"='03.Muestra'!$D$8:$D$42,ROW('03.Muestra'!$C$8:$C$42)-MIN(ROW('03.Muestra'!$D$8:$D$42))+1,""),ROW()-1576)),"")</f>
        <v>Home - PortCastelló</v>
      </c>
      <c r="C1577" s="114" t="str" cm="1">
        <f t="array" ref="C1577">IFERROR(INDEX('03.Muestra'!$F$8:$F$42,SMALL(IF("Página Web"='03.Muestra'!$D$8:$D$42,ROW('03.Muestra'!$F$8:$F$42)-MIN(ROW('03.Muestra'!$D$8:$D$42))+1,""),ROW()-1576)),"")</f>
        <v>https://www.portcastello.com/</v>
      </c>
      <c r="D1577" s="130" t="str">
        <f>IF(AND(B1577&lt;&gt;"",C1577&lt;&gt;""),"N/T","")</f>
        <v>N/T</v>
      </c>
      <c r="E1577" s="107" t="str">
        <f t="shared" ref="E1577:E1611" si="82">IF(D1577&lt;&gt;"",IF(AND(B1577&lt;&gt;"",C1577&lt;&gt;""),"","ERR"),"")</f>
        <v/>
      </c>
      <c r="F1577" s="115" t="s">
        <v>33</v>
      </c>
      <c r="G1577" s="116" t="s">
        <v>37</v>
      </c>
      <c r="H1577" s="117" t="s">
        <v>35</v>
      </c>
      <c r="I1577" s="118" t="s">
        <v>28</v>
      </c>
      <c r="J1577" s="119" t="s">
        <v>26</v>
      </c>
      <c r="K1577" s="226" t="s">
        <v>474</v>
      </c>
      <c r="L1577" s="19"/>
    </row>
    <row r="1578" spans="1:12" ht="12" customHeight="1">
      <c r="A1578" s="219" t="n" cm="1">
        <f t="array" ref="A1578">IFERROR(INDEX('03.Muestra'!$B$8:$B$42,SMALL(IF("Página Web"='03.Muestra'!$D$8:$D$42,ROW('03.Muestra'!$B$8:$B$42)-MIN(ROW('03.Muestra'!$D$8:$D$42))+1,""),ROW()-1576)),"")</f>
        <v>1.0</v>
      </c>
      <c r="B1578" s="114" t="str" cm="1">
        <f t="array" ref="B1578">IFERROR(INDEX('03.Muestra'!$C$8:$C$42,SMALL(IF("Página Web"='03.Muestra'!$D$8:$D$42,ROW('03.Muestra'!$C$8:$C$42)-MIN(ROW('03.Muestra'!$D$8:$D$42))+1,""),ROW()-1576)),"")</f>
        <v>Home - PortCastelló</v>
      </c>
      <c r="C1578" s="114" t="str" cm="1">
        <f t="array" ref="C1578">IFERROR(INDEX('03.Muestra'!$F$8:$F$42,SMALL(IF("Página Web"='03.Muestra'!$D$8:$D$42,ROW('03.Muestra'!$F$8:$F$42)-MIN(ROW('03.Muestra'!$D$8:$D$42))+1,""),ROW()-1576)),"")</f>
        <v>https://www.portcastello.com/</v>
      </c>
      <c r="D1578" s="130" t="str">
        <f t="shared" ref="D1578:D1611" si="83">IF(AND(B1578&lt;&gt;"",C1578&lt;&gt;""),"N/T","")</f>
        <v>N/T</v>
      </c>
      <c r="E1578" s="107" t="str">
        <f t="shared" si="82"/>
        <v/>
      </c>
      <c r="F1578" s="120" t="n">
        <f ca="1">COUNTIF($D1577:INDIRECT("$D" &amp;  SUM(ROW()-1,'03.Muestra'!$D$45)-1),F1577)</f>
        <v>33.0</v>
      </c>
      <c r="G1578" s="120" t="n">
        <f ca="1">COUNTIF($D1577:INDIRECT("$D" &amp;  SUM(ROW()-1,'03.Muestra'!$D$45)-1),G1577)</f>
        <v>0.0</v>
      </c>
      <c r="H1578" s="120" t="n">
        <f ca="1">COUNTIF($D1577:INDIRECT("$D" &amp;  SUM(ROW()-1,'03.Muestra'!$D$45)-1),H1577)</f>
        <v>0.0</v>
      </c>
      <c r="I1578" s="120" t="n">
        <f ca="1">COUNTIF($D1577:INDIRECT("$D" &amp;  SUM(ROW()-1,'03.Muestra'!$D$45)-1),I1577)</f>
        <v>0.0</v>
      </c>
      <c r="J1578" s="120" t="n">
        <f ca="1">COUNTIF($D1577:INDIRECT("$D" &amp;  SUM(ROW()-1,'03.Muestra'!$D$45)-1),J1577)</f>
        <v>0.0</v>
      </c>
      <c r="K1578" s="227" t="n">
        <f ca="1">IF(COUNTIF('03.Muestra'!$D$8:$D$42,"Página Web")=0,0,COUNTBLANK($D1577:INDIRECT("$D" &amp;  SUM(ROW()-1,COUNTIF('03.Muestra'!$D$8:$D$42,"Página Web"))-1)))</f>
        <v>0.0</v>
      </c>
      <c r="L1578" s="19"/>
    </row>
    <row r="1579" spans="1:12" ht="12" customHeight="1">
      <c r="A1579" s="219" t="n" cm="1">
        <f t="array" ref="A1579">IFERROR(INDEX('03.Muestra'!$B$8:$B$42,SMALL(IF("Página Web"='03.Muestra'!$D$8:$D$42,ROW('03.Muestra'!$B$8:$B$42)-MIN(ROW('03.Muestra'!$D$8:$D$42))+1,""),ROW()-1576)),"")</f>
        <v>1.0</v>
      </c>
      <c r="B1579" s="114" t="str" cm="1">
        <f t="array" ref="B1579">IFERROR(INDEX('03.Muestra'!$C$8:$C$42,SMALL(IF("Página Web"='03.Muestra'!$D$8:$D$42,ROW('03.Muestra'!$C$8:$C$42)-MIN(ROW('03.Muestra'!$D$8:$D$42))+1,""),ROW()-1576)),"")</f>
        <v>Home - PortCastelló</v>
      </c>
      <c r="C1579" s="114" t="str" cm="1">
        <f t="array" ref="C1579">IFERROR(INDEX('03.Muestra'!$F$8:$F$42,SMALL(IF("Página Web"='03.Muestra'!$D$8:$D$42,ROW('03.Muestra'!$F$8:$F$42)-MIN(ROW('03.Muestra'!$D$8:$D$42))+1,""),ROW()-1576)),"")</f>
        <v>https://www.portcastello.com/</v>
      </c>
      <c r="D1579" s="130" t="str">
        <f t="shared" si="83"/>
        <v>N/T</v>
      </c>
      <c r="E1579" s="107" t="str">
        <f t="shared" si="82"/>
        <v/>
      </c>
      <c r="G1579" s="19"/>
      <c r="H1579" s="19"/>
      <c r="I1579" s="19"/>
      <c r="J1579" s="19"/>
      <c r="K1579" s="233"/>
      <c r="L1579" s="19"/>
    </row>
    <row r="1580" spans="1:12" ht="12" customHeight="1">
      <c r="A1580" s="219" t="n" cm="1">
        <f t="array" ref="A1580">IFERROR(INDEX('03.Muestra'!$B$8:$B$42,SMALL(IF("Página Web"='03.Muestra'!$D$8:$D$42,ROW('03.Muestra'!$B$8:$B$42)-MIN(ROW('03.Muestra'!$D$8:$D$42))+1,""),ROW()-1576)),"")</f>
        <v>1.0</v>
      </c>
      <c r="B1580" s="114" t="str" cm="1">
        <f t="array" ref="B1580">IFERROR(INDEX('03.Muestra'!$C$8:$C$42,SMALL(IF("Página Web"='03.Muestra'!$D$8:$D$42,ROW('03.Muestra'!$C$8:$C$42)-MIN(ROW('03.Muestra'!$D$8:$D$42))+1,""),ROW()-1576)),"")</f>
        <v>Home - PortCastelló</v>
      </c>
      <c r="C1580" s="114" t="str" cm="1">
        <f t="array" ref="C1580">IFERROR(INDEX('03.Muestra'!$F$8:$F$42,SMALL(IF("Página Web"='03.Muestra'!$D$8:$D$42,ROW('03.Muestra'!$F$8:$F$42)-MIN(ROW('03.Muestra'!$D$8:$D$42))+1,""),ROW()-1576)),"")</f>
        <v>https://www.portcastello.com/</v>
      </c>
      <c r="D1580" s="130" t="str">
        <f t="shared" si="83"/>
        <v>N/T</v>
      </c>
      <c r="E1580" s="107" t="str">
        <f t="shared" si="82"/>
        <v/>
      </c>
      <c r="G1580" s="19"/>
      <c r="H1580" s="19"/>
      <c r="I1580" s="19"/>
      <c r="J1580" s="19"/>
      <c r="K1580" s="233"/>
      <c r="L1580" s="19"/>
    </row>
    <row r="1581" spans="1:12" ht="12" customHeight="1">
      <c r="A1581" s="219" t="n" cm="1">
        <f t="array" ref="A1581">IFERROR(INDEX('03.Muestra'!$B$8:$B$42,SMALL(IF("Página Web"='03.Muestra'!$D$8:$D$42,ROW('03.Muestra'!$B$8:$B$42)-MIN(ROW('03.Muestra'!$D$8:$D$42))+1,""),ROW()-1576)),"")</f>
        <v>1.0</v>
      </c>
      <c r="B1581" s="114" t="str" cm="1">
        <f t="array" ref="B1581">IFERROR(INDEX('03.Muestra'!$C$8:$C$42,SMALL(IF("Página Web"='03.Muestra'!$D$8:$D$42,ROW('03.Muestra'!$C$8:$C$42)-MIN(ROW('03.Muestra'!$D$8:$D$42))+1,""),ROW()-1576)),"")</f>
        <v>Home - PortCastelló</v>
      </c>
      <c r="C1581" s="114" t="str" cm="1">
        <f t="array" ref="C1581">IFERROR(INDEX('03.Muestra'!$F$8:$F$42,SMALL(IF("Página Web"='03.Muestra'!$D$8:$D$42,ROW('03.Muestra'!$F$8:$F$42)-MIN(ROW('03.Muestra'!$D$8:$D$42))+1,""),ROW()-1576)),"")</f>
        <v>https://www.portcastello.com/</v>
      </c>
      <c r="D1581" s="130" t="str">
        <f t="shared" si="83"/>
        <v>N/T</v>
      </c>
      <c r="E1581" s="107" t="str">
        <f t="shared" si="82"/>
        <v/>
      </c>
      <c r="G1581" s="19"/>
      <c r="H1581" s="19"/>
      <c r="I1581" s="19"/>
      <c r="J1581" s="19"/>
      <c r="K1581" s="233"/>
      <c r="L1581" s="19"/>
    </row>
    <row r="1582" spans="1:12" ht="12" customHeight="1">
      <c r="A1582" s="219" t="n" cm="1">
        <f t="array" ref="A1582">IFERROR(INDEX('03.Muestra'!$B$8:$B$42,SMALL(IF("Página Web"='03.Muestra'!$D$8:$D$42,ROW('03.Muestra'!$B$8:$B$42)-MIN(ROW('03.Muestra'!$D$8:$D$42))+1,""),ROW()-1576)),"")</f>
        <v>1.0</v>
      </c>
      <c r="B1582" s="114" t="str" cm="1">
        <f t="array" ref="B1582">IFERROR(INDEX('03.Muestra'!$C$8:$C$42,SMALL(IF("Página Web"='03.Muestra'!$D$8:$D$42,ROW('03.Muestra'!$C$8:$C$42)-MIN(ROW('03.Muestra'!$D$8:$D$42))+1,""),ROW()-1576)),"")</f>
        <v>Home - PortCastelló</v>
      </c>
      <c r="C1582" s="114" t="str" cm="1">
        <f t="array" ref="C1582">IFERROR(INDEX('03.Muestra'!$F$8:$F$42,SMALL(IF("Página Web"='03.Muestra'!$D$8:$D$42,ROW('03.Muestra'!$F$8:$F$42)-MIN(ROW('03.Muestra'!$D$8:$D$42))+1,""),ROW()-1576)),"")</f>
        <v>https://www.portcastello.com/</v>
      </c>
      <c r="D1582" s="130" t="str">
        <f t="shared" si="83"/>
        <v>N/T</v>
      </c>
      <c r="E1582" s="107" t="str">
        <f t="shared" si="82"/>
        <v/>
      </c>
      <c r="G1582" s="19"/>
      <c r="H1582" s="19"/>
      <c r="I1582" s="19"/>
      <c r="J1582" s="19"/>
      <c r="K1582" s="233"/>
      <c r="L1582" s="19"/>
    </row>
    <row r="1583" spans="1:12" ht="12" customHeight="1">
      <c r="A1583" s="219" t="n" cm="1">
        <f t="array" ref="A1583">IFERROR(INDEX('03.Muestra'!$B$8:$B$42,SMALL(IF("Página Web"='03.Muestra'!$D$8:$D$42,ROW('03.Muestra'!$B$8:$B$42)-MIN(ROW('03.Muestra'!$D$8:$D$42))+1,""),ROW()-1576)),"")</f>
        <v>1.0</v>
      </c>
      <c r="B1583" s="114" t="str" cm="1">
        <f t="array" ref="B1583">IFERROR(INDEX('03.Muestra'!$C$8:$C$42,SMALL(IF("Página Web"='03.Muestra'!$D$8:$D$42,ROW('03.Muestra'!$C$8:$C$42)-MIN(ROW('03.Muestra'!$D$8:$D$42))+1,""),ROW()-1576)),"")</f>
        <v>Home - PortCastelló</v>
      </c>
      <c r="C1583" s="114" t="str" cm="1">
        <f t="array" ref="C1583">IFERROR(INDEX('03.Muestra'!$F$8:$F$42,SMALL(IF("Página Web"='03.Muestra'!$D$8:$D$42,ROW('03.Muestra'!$F$8:$F$42)-MIN(ROW('03.Muestra'!$D$8:$D$42))+1,""),ROW()-1576)),"")</f>
        <v>https://www.portcastello.com/</v>
      </c>
      <c r="D1583" s="130" t="str">
        <f t="shared" si="83"/>
        <v>N/T</v>
      </c>
      <c r="E1583" s="107" t="str">
        <f t="shared" si="82"/>
        <v/>
      </c>
      <c r="F1583" s="19"/>
      <c r="G1583" s="19"/>
      <c r="H1583" s="19"/>
      <c r="I1583" s="19"/>
      <c r="J1583" s="19"/>
      <c r="K1583" s="233"/>
      <c r="L1583" s="19"/>
    </row>
    <row r="1584" spans="1:12" ht="12" customHeight="1">
      <c r="A1584" s="219" t="n" cm="1">
        <f t="array" ref="A1584">IFERROR(INDEX('03.Muestra'!$B$8:$B$42,SMALL(IF("Página Web"='03.Muestra'!$D$8:$D$42,ROW('03.Muestra'!$B$8:$B$42)-MIN(ROW('03.Muestra'!$D$8:$D$42))+1,""),ROW()-1576)),"")</f>
        <v>1.0</v>
      </c>
      <c r="B1584" s="114" t="str" cm="1">
        <f t="array" ref="B1584">IFERROR(INDEX('03.Muestra'!$C$8:$C$42,SMALL(IF("Página Web"='03.Muestra'!$D$8:$D$42,ROW('03.Muestra'!$C$8:$C$42)-MIN(ROW('03.Muestra'!$D$8:$D$42))+1,""),ROW()-1576)),"")</f>
        <v>Home - PortCastelló</v>
      </c>
      <c r="C1584" s="114" t="str" cm="1">
        <f t="array" ref="C1584">IFERROR(INDEX('03.Muestra'!$F$8:$F$42,SMALL(IF("Página Web"='03.Muestra'!$D$8:$D$42,ROW('03.Muestra'!$F$8:$F$42)-MIN(ROW('03.Muestra'!$D$8:$D$42))+1,""),ROW()-1576)),"")</f>
        <v>https://www.portcastello.com/</v>
      </c>
      <c r="D1584" s="130" t="str">
        <f t="shared" si="83"/>
        <v>N/T</v>
      </c>
      <c r="E1584" s="107" t="str">
        <f t="shared" si="82"/>
        <v/>
      </c>
      <c r="F1584" s="19"/>
      <c r="G1584" s="19"/>
      <c r="H1584" s="19"/>
      <c r="I1584" s="19"/>
      <c r="J1584" s="19"/>
      <c r="K1584" s="233"/>
      <c r="L1584" s="19"/>
    </row>
    <row r="1585" spans="1:12" ht="12" customHeight="1">
      <c r="A1585" s="219" t="n" cm="1">
        <f t="array" ref="A1585">IFERROR(INDEX('03.Muestra'!$B$8:$B$42,SMALL(IF("Página Web"='03.Muestra'!$D$8:$D$42,ROW('03.Muestra'!$B$8:$B$42)-MIN(ROW('03.Muestra'!$D$8:$D$42))+1,""),ROW()-1576)),"")</f>
        <v>1.0</v>
      </c>
      <c r="B1585" s="114" t="str" cm="1">
        <f t="array" ref="B1585">IFERROR(INDEX('03.Muestra'!$C$8:$C$42,SMALL(IF("Página Web"='03.Muestra'!$D$8:$D$42,ROW('03.Muestra'!$C$8:$C$42)-MIN(ROW('03.Muestra'!$D$8:$D$42))+1,""),ROW()-1576)),"")</f>
        <v>Home - PortCastelló</v>
      </c>
      <c r="C1585" s="114" t="str" cm="1">
        <f t="array" ref="C1585">IFERROR(INDEX('03.Muestra'!$F$8:$F$42,SMALL(IF("Página Web"='03.Muestra'!$D$8:$D$42,ROW('03.Muestra'!$F$8:$F$42)-MIN(ROW('03.Muestra'!$D$8:$D$42))+1,""),ROW()-1576)),"")</f>
        <v>https://www.portcastello.com/</v>
      </c>
      <c r="D1585" s="130" t="str">
        <f t="shared" si="83"/>
        <v>N/T</v>
      </c>
      <c r="E1585" s="107" t="str">
        <f t="shared" si="82"/>
        <v/>
      </c>
      <c r="F1585" s="19"/>
      <c r="G1585" s="19"/>
      <c r="H1585" s="19"/>
      <c r="I1585" s="19"/>
      <c r="J1585" s="19"/>
      <c r="K1585" s="233"/>
      <c r="L1585" s="19"/>
    </row>
    <row r="1586" spans="1:12" ht="12" customHeight="1">
      <c r="A1586" s="219" t="n" cm="1">
        <f t="array" ref="A1586">IFERROR(INDEX('03.Muestra'!$B$8:$B$42,SMALL(IF("Página Web"='03.Muestra'!$D$8:$D$42,ROW('03.Muestra'!$B$8:$B$42)-MIN(ROW('03.Muestra'!$D$8:$D$42))+1,""),ROW()-1576)),"")</f>
        <v>1.0</v>
      </c>
      <c r="B1586" s="114" t="str" cm="1">
        <f t="array" ref="B1586">IFERROR(INDEX('03.Muestra'!$C$8:$C$42,SMALL(IF("Página Web"='03.Muestra'!$D$8:$D$42,ROW('03.Muestra'!$C$8:$C$42)-MIN(ROW('03.Muestra'!$D$8:$D$42))+1,""),ROW()-1576)),"")</f>
        <v>Home - PortCastelló</v>
      </c>
      <c r="C1586" s="114" t="str" cm="1">
        <f t="array" ref="C1586">IFERROR(INDEX('03.Muestra'!$F$8:$F$42,SMALL(IF("Página Web"='03.Muestra'!$D$8:$D$42,ROW('03.Muestra'!$F$8:$F$42)-MIN(ROW('03.Muestra'!$D$8:$D$42))+1,""),ROW()-1576)),"")</f>
        <v>https://www.portcastello.com/</v>
      </c>
      <c r="D1586" s="130" t="str">
        <f t="shared" si="83"/>
        <v>N/T</v>
      </c>
      <c r="E1586" s="107" t="str">
        <f t="shared" si="82"/>
        <v/>
      </c>
      <c r="F1586" s="19"/>
      <c r="G1586" s="19"/>
      <c r="H1586" s="19"/>
      <c r="I1586" s="19"/>
      <c r="J1586" s="19"/>
      <c r="K1586" s="233"/>
      <c r="L1586" s="19"/>
    </row>
    <row r="1587" spans="1:12" ht="12" customHeight="1">
      <c r="A1587" s="219" t="n" cm="1">
        <f t="array" ref="A1587">IFERROR(INDEX('03.Muestra'!$B$8:$B$42,SMALL(IF("Página Web"='03.Muestra'!$D$8:$D$42,ROW('03.Muestra'!$B$8:$B$42)-MIN(ROW('03.Muestra'!$D$8:$D$42))+1,""),ROW()-1576)),"")</f>
        <v>1.0</v>
      </c>
      <c r="B1587" s="114" t="str" cm="1">
        <f t="array" ref="B1587">IFERROR(INDEX('03.Muestra'!$C$8:$C$42,SMALL(IF("Página Web"='03.Muestra'!$D$8:$D$42,ROW('03.Muestra'!$C$8:$C$42)-MIN(ROW('03.Muestra'!$D$8:$D$42))+1,""),ROW()-1576)),"")</f>
        <v>Home - PortCastelló</v>
      </c>
      <c r="C1587" s="114" t="str" cm="1">
        <f t="array" ref="C1587">IFERROR(INDEX('03.Muestra'!$F$8:$F$42,SMALL(IF("Página Web"='03.Muestra'!$D$8:$D$42,ROW('03.Muestra'!$F$8:$F$42)-MIN(ROW('03.Muestra'!$D$8:$D$42))+1,""),ROW()-1576)),"")</f>
        <v>https://www.portcastello.com/</v>
      </c>
      <c r="D1587" s="130" t="str">
        <f t="shared" si="83"/>
        <v>N/T</v>
      </c>
      <c r="E1587" s="107" t="str">
        <f t="shared" si="82"/>
        <v/>
      </c>
      <c r="F1587" s="19"/>
      <c r="G1587" s="19"/>
      <c r="H1587" s="19"/>
      <c r="I1587" s="19"/>
      <c r="J1587" s="19"/>
      <c r="K1587" s="233"/>
      <c r="L1587" s="19"/>
    </row>
    <row r="1588" spans="1:12" ht="12" customHeight="1">
      <c r="A1588" s="219" t="n" cm="1">
        <f t="array" ref="A1588">IFERROR(INDEX('03.Muestra'!$B$8:$B$42,SMALL(IF("Página Web"='03.Muestra'!$D$8:$D$42,ROW('03.Muestra'!$B$8:$B$42)-MIN(ROW('03.Muestra'!$D$8:$D$42))+1,""),ROW()-1576)),"")</f>
        <v>1.0</v>
      </c>
      <c r="B1588" s="114" t="str" cm="1">
        <f t="array" ref="B1588">IFERROR(INDEX('03.Muestra'!$C$8:$C$42,SMALL(IF("Página Web"='03.Muestra'!$D$8:$D$42,ROW('03.Muestra'!$C$8:$C$42)-MIN(ROW('03.Muestra'!$D$8:$D$42))+1,""),ROW()-1576)),"")</f>
        <v>Home - PortCastelló</v>
      </c>
      <c r="C1588" s="114" t="str" cm="1">
        <f t="array" ref="C1588">IFERROR(INDEX('03.Muestra'!$F$8:$F$42,SMALL(IF("Página Web"='03.Muestra'!$D$8:$D$42,ROW('03.Muestra'!$F$8:$F$42)-MIN(ROW('03.Muestra'!$D$8:$D$42))+1,""),ROW()-1576)),"")</f>
        <v>https://www.portcastello.com/</v>
      </c>
      <c r="D1588" s="130" t="str">
        <f t="shared" si="83"/>
        <v>N/T</v>
      </c>
      <c r="E1588" s="107" t="str">
        <f t="shared" si="82"/>
        <v/>
      </c>
      <c r="F1588" s="19"/>
      <c r="G1588" s="19"/>
      <c r="H1588" s="19"/>
      <c r="I1588" s="19"/>
      <c r="J1588" s="19"/>
      <c r="K1588" s="233"/>
      <c r="L1588" s="19"/>
    </row>
    <row r="1589" spans="1:12" ht="12" customHeight="1">
      <c r="A1589" s="219" t="n" cm="1">
        <f t="array" ref="A1589">IFERROR(INDEX('03.Muestra'!$B$8:$B$42,SMALL(IF("Página Web"='03.Muestra'!$D$8:$D$42,ROW('03.Muestra'!$B$8:$B$42)-MIN(ROW('03.Muestra'!$D$8:$D$42))+1,""),ROW()-1576)),"")</f>
        <v>1.0</v>
      </c>
      <c r="B1589" s="114" t="str" cm="1">
        <f t="array" ref="B1589">IFERROR(INDEX('03.Muestra'!$C$8:$C$42,SMALL(IF("Página Web"='03.Muestra'!$D$8:$D$42,ROW('03.Muestra'!$C$8:$C$42)-MIN(ROW('03.Muestra'!$D$8:$D$42))+1,""),ROW()-1576)),"")</f>
        <v>Home - PortCastelló</v>
      </c>
      <c r="C1589" s="114" t="str" cm="1">
        <f t="array" ref="C1589">IFERROR(INDEX('03.Muestra'!$F$8:$F$42,SMALL(IF("Página Web"='03.Muestra'!$D$8:$D$42,ROW('03.Muestra'!$F$8:$F$42)-MIN(ROW('03.Muestra'!$D$8:$D$42))+1,""),ROW()-1576)),"")</f>
        <v>https://www.portcastello.com/</v>
      </c>
      <c r="D1589" s="130" t="str">
        <f t="shared" si="83"/>
        <v>N/T</v>
      </c>
      <c r="E1589" s="107" t="str">
        <f t="shared" si="82"/>
        <v/>
      </c>
      <c r="F1589" s="19"/>
      <c r="G1589" s="19"/>
      <c r="H1589" s="19"/>
      <c r="I1589" s="19"/>
      <c r="J1589" s="19"/>
      <c r="K1589" s="233"/>
      <c r="L1589" s="19"/>
    </row>
    <row r="1590" spans="1:12" ht="12" customHeight="1">
      <c r="A1590" s="219" t="n" cm="1">
        <f t="array" ref="A1590">IFERROR(INDEX('03.Muestra'!$B$8:$B$42,SMALL(IF("Página Web"='03.Muestra'!$D$8:$D$42,ROW('03.Muestra'!$B$8:$B$42)-MIN(ROW('03.Muestra'!$D$8:$D$42))+1,""),ROW()-1576)),"")</f>
        <v>1.0</v>
      </c>
      <c r="B1590" s="114" t="str" cm="1">
        <f t="array" ref="B1590">IFERROR(INDEX('03.Muestra'!$C$8:$C$42,SMALL(IF("Página Web"='03.Muestra'!$D$8:$D$42,ROW('03.Muestra'!$C$8:$C$42)-MIN(ROW('03.Muestra'!$D$8:$D$42))+1,""),ROW()-1576)),"")</f>
        <v>Home - PortCastelló</v>
      </c>
      <c r="C1590" s="114" t="str" cm="1">
        <f t="array" ref="C1590">IFERROR(INDEX('03.Muestra'!$F$8:$F$42,SMALL(IF("Página Web"='03.Muestra'!$D$8:$D$42,ROW('03.Muestra'!$F$8:$F$42)-MIN(ROW('03.Muestra'!$D$8:$D$42))+1,""),ROW()-1576)),"")</f>
        <v>https://www.portcastello.com/</v>
      </c>
      <c r="D1590" s="130" t="str">
        <f t="shared" si="83"/>
        <v>N/T</v>
      </c>
      <c r="E1590" s="107" t="str">
        <f t="shared" si="82"/>
        <v/>
      </c>
      <c r="F1590" s="19"/>
      <c r="G1590" s="19"/>
      <c r="H1590" s="19"/>
      <c r="I1590" s="19"/>
      <c r="J1590" s="19"/>
      <c r="K1590" s="233"/>
      <c r="L1590" s="19"/>
    </row>
    <row r="1591" spans="1:12" ht="12" customHeight="1">
      <c r="A1591" s="219" t="n" cm="1">
        <f t="array" ref="A1591">IFERROR(INDEX('03.Muestra'!$B$8:$B$42,SMALL(IF("Página Web"='03.Muestra'!$D$8:$D$42,ROW('03.Muestra'!$B$8:$B$42)-MIN(ROW('03.Muestra'!$D$8:$D$42))+1,""),ROW()-1576)),"")</f>
        <v>1.0</v>
      </c>
      <c r="B1591" s="114" t="str" cm="1">
        <f t="array" ref="B1591">IFERROR(INDEX('03.Muestra'!$C$8:$C$42,SMALL(IF("Página Web"='03.Muestra'!$D$8:$D$42,ROW('03.Muestra'!$C$8:$C$42)-MIN(ROW('03.Muestra'!$D$8:$D$42))+1,""),ROW()-1576)),"")</f>
        <v>Home - PortCastelló</v>
      </c>
      <c r="C1591" s="114" t="str" cm="1">
        <f t="array" ref="C1591">IFERROR(INDEX('03.Muestra'!$F$8:$F$42,SMALL(IF("Página Web"='03.Muestra'!$D$8:$D$42,ROW('03.Muestra'!$F$8:$F$42)-MIN(ROW('03.Muestra'!$D$8:$D$42))+1,""),ROW()-1576)),"")</f>
        <v>https://www.portcastello.com/</v>
      </c>
      <c r="D1591" s="130" t="str">
        <f t="shared" si="83"/>
        <v>N/T</v>
      </c>
      <c r="E1591" s="107" t="str">
        <f t="shared" si="82"/>
        <v/>
      </c>
      <c r="F1591" s="19"/>
      <c r="G1591" s="19"/>
      <c r="H1591" s="19"/>
      <c r="I1591" s="19"/>
      <c r="J1591" s="19"/>
      <c r="K1591" s="233"/>
      <c r="L1591" s="19"/>
    </row>
    <row r="1592" spans="1:12" ht="12" customHeight="1">
      <c r="A1592" s="219" t="n" cm="1">
        <f t="array" ref="A1592">IFERROR(INDEX('03.Muestra'!$B$8:$B$42,SMALL(IF("Página Web"='03.Muestra'!$D$8:$D$42,ROW('03.Muestra'!$B$8:$B$42)-MIN(ROW('03.Muestra'!$D$8:$D$42))+1,""),ROW()-1576)),"")</f>
        <v>1.0</v>
      </c>
      <c r="B1592" s="114" t="str" cm="1">
        <f t="array" ref="B1592">IFERROR(INDEX('03.Muestra'!$C$8:$C$42,SMALL(IF("Página Web"='03.Muestra'!$D$8:$D$42,ROW('03.Muestra'!$C$8:$C$42)-MIN(ROW('03.Muestra'!$D$8:$D$42))+1,""),ROW()-1576)),"")</f>
        <v>Home - PortCastelló</v>
      </c>
      <c r="C1592" s="114" t="str" cm="1">
        <f t="array" ref="C1592">IFERROR(INDEX('03.Muestra'!$F$8:$F$42,SMALL(IF("Página Web"='03.Muestra'!$D$8:$D$42,ROW('03.Muestra'!$F$8:$F$42)-MIN(ROW('03.Muestra'!$D$8:$D$42))+1,""),ROW()-1576)),"")</f>
        <v>https://www.portcastello.com/</v>
      </c>
      <c r="D1592" s="130" t="str">
        <f t="shared" si="83"/>
        <v>N/T</v>
      </c>
      <c r="E1592" s="107" t="str">
        <f t="shared" si="82"/>
        <v/>
      </c>
      <c r="F1592" s="19"/>
      <c r="G1592" s="19"/>
      <c r="H1592" s="19"/>
      <c r="I1592" s="19"/>
      <c r="J1592" s="19"/>
      <c r="K1592" s="233"/>
      <c r="L1592" s="19"/>
    </row>
    <row r="1593" spans="1:12" ht="12" customHeight="1">
      <c r="A1593" s="219" t="n" cm="1">
        <f t="array" ref="A1593">IFERROR(INDEX('03.Muestra'!$B$8:$B$42,SMALL(IF("Página Web"='03.Muestra'!$D$8:$D$42,ROW('03.Muestra'!$B$8:$B$42)-MIN(ROW('03.Muestra'!$D$8:$D$42))+1,""),ROW()-1576)),"")</f>
        <v>1.0</v>
      </c>
      <c r="B1593" s="114" t="str" cm="1">
        <f t="array" ref="B1593">IFERROR(INDEX('03.Muestra'!$C$8:$C$42,SMALL(IF("Página Web"='03.Muestra'!$D$8:$D$42,ROW('03.Muestra'!$C$8:$C$42)-MIN(ROW('03.Muestra'!$D$8:$D$42))+1,""),ROW()-1576)),"")</f>
        <v>Home - PortCastelló</v>
      </c>
      <c r="C1593" s="114" t="str" cm="1">
        <f t="array" ref="C1593">IFERROR(INDEX('03.Muestra'!$F$8:$F$42,SMALL(IF("Página Web"='03.Muestra'!$D$8:$D$42,ROW('03.Muestra'!$F$8:$F$42)-MIN(ROW('03.Muestra'!$D$8:$D$42))+1,""),ROW()-1576)),"")</f>
        <v>https://www.portcastello.com/</v>
      </c>
      <c r="D1593" s="130" t="str">
        <f t="shared" si="83"/>
        <v>N/T</v>
      </c>
      <c r="E1593" s="107" t="str">
        <f t="shared" si="82"/>
        <v/>
      </c>
      <c r="F1593" s="19"/>
      <c r="G1593" s="19"/>
      <c r="H1593" s="19"/>
      <c r="I1593" s="19"/>
      <c r="J1593" s="19"/>
      <c r="K1593" s="233"/>
      <c r="L1593" s="19"/>
    </row>
    <row r="1594" spans="1:12" ht="12" customHeight="1">
      <c r="A1594" s="219" t="n" cm="1">
        <f t="array" ref="A1594">IFERROR(INDEX('03.Muestra'!$B$8:$B$42,SMALL(IF("Página Web"='03.Muestra'!$D$8:$D$42,ROW('03.Muestra'!$B$8:$B$42)-MIN(ROW('03.Muestra'!$D$8:$D$42))+1,""),ROW()-1576)),"")</f>
        <v>1.0</v>
      </c>
      <c r="B1594" s="114" t="str" cm="1">
        <f t="array" ref="B1594">IFERROR(INDEX('03.Muestra'!$C$8:$C$42,SMALL(IF("Página Web"='03.Muestra'!$D$8:$D$42,ROW('03.Muestra'!$C$8:$C$42)-MIN(ROW('03.Muestra'!$D$8:$D$42))+1,""),ROW()-1576)),"")</f>
        <v>Home - PortCastelló</v>
      </c>
      <c r="C1594" s="114" t="str" cm="1">
        <f t="array" ref="C1594">IFERROR(INDEX('03.Muestra'!$F$8:$F$42,SMALL(IF("Página Web"='03.Muestra'!$D$8:$D$42,ROW('03.Muestra'!$F$8:$F$42)-MIN(ROW('03.Muestra'!$D$8:$D$42))+1,""),ROW()-1576)),"")</f>
        <v>https://www.portcastello.com/</v>
      </c>
      <c r="D1594" s="130" t="str">
        <f t="shared" si="83"/>
        <v>N/T</v>
      </c>
      <c r="E1594" s="107" t="str">
        <f t="shared" si="82"/>
        <v/>
      </c>
      <c r="F1594" s="19"/>
      <c r="G1594" s="19"/>
      <c r="H1594" s="19"/>
      <c r="I1594" s="19"/>
      <c r="J1594" s="19"/>
      <c r="K1594" s="233"/>
      <c r="L1594" s="19"/>
    </row>
    <row r="1595" spans="1:12" ht="12" customHeight="1">
      <c r="A1595" s="219" t="n" cm="1">
        <f t="array" ref="A1595">IFERROR(INDEX('03.Muestra'!$B$8:$B$42,SMALL(IF("Página Web"='03.Muestra'!$D$8:$D$42,ROW('03.Muestra'!$B$8:$B$42)-MIN(ROW('03.Muestra'!$D$8:$D$42))+1,""),ROW()-1576)),"")</f>
        <v>1.0</v>
      </c>
      <c r="B1595" s="114" t="str" cm="1">
        <f t="array" ref="B1595">IFERROR(INDEX('03.Muestra'!$C$8:$C$42,SMALL(IF("Página Web"='03.Muestra'!$D$8:$D$42,ROW('03.Muestra'!$C$8:$C$42)-MIN(ROW('03.Muestra'!$D$8:$D$42))+1,""),ROW()-1576)),"")</f>
        <v>Home - PortCastelló</v>
      </c>
      <c r="C1595" s="114" t="str" cm="1">
        <f t="array" ref="C1595">IFERROR(INDEX('03.Muestra'!$F$8:$F$42,SMALL(IF("Página Web"='03.Muestra'!$D$8:$D$42,ROW('03.Muestra'!$F$8:$F$42)-MIN(ROW('03.Muestra'!$D$8:$D$42))+1,""),ROW()-1576)),"")</f>
        <v>https://www.portcastello.com/</v>
      </c>
      <c r="D1595" s="130" t="str">
        <f t="shared" si="83"/>
        <v>N/T</v>
      </c>
      <c r="E1595" s="107" t="str">
        <f t="shared" si="82"/>
        <v/>
      </c>
      <c r="F1595" s="19"/>
      <c r="G1595" s="19"/>
      <c r="H1595" s="19"/>
      <c r="I1595" s="19"/>
      <c r="J1595" s="19"/>
      <c r="K1595" s="233"/>
      <c r="L1595" s="19"/>
    </row>
    <row r="1596" spans="1:12" ht="12" customHeight="1">
      <c r="A1596" s="219" t="n" cm="1">
        <f t="array" ref="A1596">IFERROR(INDEX('03.Muestra'!$B$8:$B$42,SMALL(IF("Página Web"='03.Muestra'!$D$8:$D$42,ROW('03.Muestra'!$B$8:$B$42)-MIN(ROW('03.Muestra'!$D$8:$D$42))+1,""),ROW()-1576)),"")</f>
        <v>1.0</v>
      </c>
      <c r="B1596" s="114" t="str" cm="1">
        <f t="array" ref="B1596">IFERROR(INDEX('03.Muestra'!$C$8:$C$42,SMALL(IF("Página Web"='03.Muestra'!$D$8:$D$42,ROW('03.Muestra'!$C$8:$C$42)-MIN(ROW('03.Muestra'!$D$8:$D$42))+1,""),ROW()-1576)),"")</f>
        <v>Home - PortCastelló</v>
      </c>
      <c r="C1596" s="114" t="str" cm="1">
        <f t="array" ref="C1596">IFERROR(INDEX('03.Muestra'!$F$8:$F$42,SMALL(IF("Página Web"='03.Muestra'!$D$8:$D$42,ROW('03.Muestra'!$F$8:$F$42)-MIN(ROW('03.Muestra'!$D$8:$D$42))+1,""),ROW()-1576)),"")</f>
        <v>https://www.portcastello.com/</v>
      </c>
      <c r="D1596" s="130" t="str">
        <f t="shared" si="83"/>
        <v>N/T</v>
      </c>
      <c r="E1596" s="107" t="str">
        <f t="shared" si="82"/>
        <v/>
      </c>
      <c r="F1596" s="19"/>
      <c r="G1596" s="19"/>
      <c r="H1596" s="19"/>
      <c r="I1596" s="19"/>
      <c r="J1596" s="19"/>
      <c r="K1596" s="233"/>
      <c r="L1596" s="19"/>
    </row>
    <row r="1597" spans="1:12" ht="12" customHeight="1">
      <c r="A1597" s="219" t="n" cm="1">
        <f t="array" ref="A1597">IFERROR(INDEX('03.Muestra'!$B$8:$B$42,SMALL(IF("Página Web"='03.Muestra'!$D$8:$D$42,ROW('03.Muestra'!$B$8:$B$42)-MIN(ROW('03.Muestra'!$D$8:$D$42))+1,""),ROW()-1576)),"")</f>
        <v>1.0</v>
      </c>
      <c r="B1597" s="114" t="str" cm="1">
        <f t="array" ref="B1597">IFERROR(INDEX('03.Muestra'!$C$8:$C$42,SMALL(IF("Página Web"='03.Muestra'!$D$8:$D$42,ROW('03.Muestra'!$C$8:$C$42)-MIN(ROW('03.Muestra'!$D$8:$D$42))+1,""),ROW()-1576)),"")</f>
        <v>Home - PortCastelló</v>
      </c>
      <c r="C1597" s="114" t="str" cm="1">
        <f t="array" ref="C1597">IFERROR(INDEX('03.Muestra'!$F$8:$F$42,SMALL(IF("Página Web"='03.Muestra'!$D$8:$D$42,ROW('03.Muestra'!$F$8:$F$42)-MIN(ROW('03.Muestra'!$D$8:$D$42))+1,""),ROW()-1576)),"")</f>
        <v>https://www.portcastello.com/</v>
      </c>
      <c r="D1597" s="130" t="str">
        <f t="shared" si="83"/>
        <v>N/T</v>
      </c>
      <c r="E1597" s="107" t="str">
        <f t="shared" si="82"/>
        <v/>
      </c>
      <c r="F1597" s="19"/>
      <c r="G1597" s="19"/>
      <c r="H1597" s="19"/>
      <c r="I1597" s="19"/>
      <c r="J1597" s="19"/>
      <c r="K1597" s="233"/>
      <c r="L1597" s="19"/>
    </row>
    <row r="1598" spans="1:12" ht="12" customHeight="1">
      <c r="A1598" s="219" t="n" cm="1">
        <f t="array" ref="A1598">IFERROR(INDEX('03.Muestra'!$B$8:$B$42,SMALL(IF("Página Web"='03.Muestra'!$D$8:$D$42,ROW('03.Muestra'!$B$8:$B$42)-MIN(ROW('03.Muestra'!$D$8:$D$42))+1,""),ROW()-1576)),"")</f>
        <v>1.0</v>
      </c>
      <c r="B1598" s="114" t="str" cm="1">
        <f t="array" ref="B1598">IFERROR(INDEX('03.Muestra'!$C$8:$C$42,SMALL(IF("Página Web"='03.Muestra'!$D$8:$D$42,ROW('03.Muestra'!$C$8:$C$42)-MIN(ROW('03.Muestra'!$D$8:$D$42))+1,""),ROW()-1576)),"")</f>
        <v>Home - PortCastelló</v>
      </c>
      <c r="C1598" s="114" t="str" cm="1">
        <f t="array" ref="C1598">IFERROR(INDEX('03.Muestra'!$F$8:$F$42,SMALL(IF("Página Web"='03.Muestra'!$D$8:$D$42,ROW('03.Muestra'!$F$8:$F$42)-MIN(ROW('03.Muestra'!$D$8:$D$42))+1,""),ROW()-1576)),"")</f>
        <v>https://www.portcastello.com/</v>
      </c>
      <c r="D1598" s="130" t="str">
        <f t="shared" si="83"/>
        <v>N/T</v>
      </c>
      <c r="E1598" s="107" t="str">
        <f t="shared" si="82"/>
        <v/>
      </c>
      <c r="F1598" s="19"/>
      <c r="G1598" s="19"/>
      <c r="H1598" s="19"/>
      <c r="I1598" s="19"/>
      <c r="J1598" s="19"/>
      <c r="K1598" s="233"/>
      <c r="L1598" s="19"/>
    </row>
    <row r="1599" spans="1:12" ht="12" customHeight="1">
      <c r="A1599" s="219" t="n" cm="1">
        <f t="array" ref="A1599">IFERROR(INDEX('03.Muestra'!$B$8:$B$42,SMALL(IF("Página Web"='03.Muestra'!$D$8:$D$42,ROW('03.Muestra'!$B$8:$B$42)-MIN(ROW('03.Muestra'!$D$8:$D$42))+1,""),ROW()-1576)),"")</f>
        <v>1.0</v>
      </c>
      <c r="B1599" s="114" t="str" cm="1">
        <f t="array" ref="B1599">IFERROR(INDEX('03.Muestra'!$C$8:$C$42,SMALL(IF("Página Web"='03.Muestra'!$D$8:$D$42,ROW('03.Muestra'!$C$8:$C$42)-MIN(ROW('03.Muestra'!$D$8:$D$42))+1,""),ROW()-1576)),"")</f>
        <v>Home - PortCastelló</v>
      </c>
      <c r="C1599" s="114" t="str" cm="1">
        <f t="array" ref="C1599">IFERROR(INDEX('03.Muestra'!$F$8:$F$42,SMALL(IF("Página Web"='03.Muestra'!$D$8:$D$42,ROW('03.Muestra'!$F$8:$F$42)-MIN(ROW('03.Muestra'!$D$8:$D$42))+1,""),ROW()-1576)),"")</f>
        <v>https://www.portcastello.com/</v>
      </c>
      <c r="D1599" s="130" t="str">
        <f t="shared" si="83"/>
        <v>N/T</v>
      </c>
      <c r="E1599" s="107" t="str">
        <f t="shared" si="82"/>
        <v/>
      </c>
      <c r="F1599" s="19"/>
      <c r="G1599" s="19"/>
      <c r="H1599" s="19"/>
      <c r="I1599" s="19"/>
      <c r="J1599" s="19"/>
      <c r="K1599" s="233"/>
      <c r="L1599" s="19"/>
    </row>
    <row r="1600" spans="1:12" ht="12" customHeight="1">
      <c r="A1600" s="219" t="n" cm="1">
        <f t="array" ref="A1600">IFERROR(INDEX('03.Muestra'!$B$8:$B$42,SMALL(IF("Página Web"='03.Muestra'!$D$8:$D$42,ROW('03.Muestra'!$B$8:$B$42)-MIN(ROW('03.Muestra'!$D$8:$D$42))+1,""),ROW()-1576)),"")</f>
        <v>1.0</v>
      </c>
      <c r="B1600" s="114" t="str" cm="1">
        <f t="array" ref="B1600">IFERROR(INDEX('03.Muestra'!$C$8:$C$42,SMALL(IF("Página Web"='03.Muestra'!$D$8:$D$42,ROW('03.Muestra'!$C$8:$C$42)-MIN(ROW('03.Muestra'!$D$8:$D$42))+1,""),ROW()-1576)),"")</f>
        <v>Home - PortCastelló</v>
      </c>
      <c r="C1600" s="114" t="str" cm="1">
        <f t="array" ref="C1600">IFERROR(INDEX('03.Muestra'!$F$8:$F$42,SMALL(IF("Página Web"='03.Muestra'!$D$8:$D$42,ROW('03.Muestra'!$F$8:$F$42)-MIN(ROW('03.Muestra'!$D$8:$D$42))+1,""),ROW()-1576)),"")</f>
        <v>https://www.portcastello.com/</v>
      </c>
      <c r="D1600" s="130" t="str">
        <f t="shared" si="83"/>
        <v>N/T</v>
      </c>
      <c r="E1600" s="107" t="str">
        <f t="shared" si="82"/>
        <v/>
      </c>
      <c r="F1600" s="19"/>
      <c r="G1600" s="19"/>
      <c r="H1600" s="19"/>
      <c r="I1600" s="19"/>
      <c r="J1600" s="19"/>
      <c r="K1600" s="233"/>
      <c r="L1600" s="19"/>
    </row>
    <row r="1601" spans="1:12" ht="12" customHeight="1">
      <c r="A1601" s="219" t="n" cm="1">
        <f t="array" ref="A1601">IFERROR(INDEX('03.Muestra'!$B$8:$B$42,SMALL(IF("Página Web"='03.Muestra'!$D$8:$D$42,ROW('03.Muestra'!$B$8:$B$42)-MIN(ROW('03.Muestra'!$D$8:$D$42))+1,""),ROW()-1576)),"")</f>
        <v>1.0</v>
      </c>
      <c r="B1601" s="114" t="str" cm="1">
        <f t="array" ref="B1601">IFERROR(INDEX('03.Muestra'!$C$8:$C$42,SMALL(IF("Página Web"='03.Muestra'!$D$8:$D$42,ROW('03.Muestra'!$C$8:$C$42)-MIN(ROW('03.Muestra'!$D$8:$D$42))+1,""),ROW()-1576)),"")</f>
        <v>Home - PortCastelló</v>
      </c>
      <c r="C1601" s="114" t="str" cm="1">
        <f t="array" ref="C1601">IFERROR(INDEX('03.Muestra'!$F$8:$F$42,SMALL(IF("Página Web"='03.Muestra'!$D$8:$D$42,ROW('03.Muestra'!$F$8:$F$42)-MIN(ROW('03.Muestra'!$D$8:$D$42))+1,""),ROW()-1576)),"")</f>
        <v>https://www.portcastello.com/</v>
      </c>
      <c r="D1601" s="130" t="str">
        <f t="shared" si="83"/>
        <v>N/T</v>
      </c>
      <c r="E1601" s="107" t="str">
        <f t="shared" si="82"/>
        <v/>
      </c>
      <c r="F1601" s="19"/>
      <c r="G1601" s="19"/>
      <c r="H1601" s="19"/>
      <c r="I1601" s="19"/>
      <c r="J1601" s="19"/>
      <c r="K1601" s="233"/>
      <c r="L1601" s="19"/>
    </row>
    <row r="1602" spans="1:12" ht="12" customHeight="1">
      <c r="A1602" s="219" t="n" cm="1">
        <f t="array" ref="A1602">IFERROR(INDEX('03.Muestra'!$B$8:$B$42,SMALL(IF("Página Web"='03.Muestra'!$D$8:$D$42,ROW('03.Muestra'!$B$8:$B$42)-MIN(ROW('03.Muestra'!$D$8:$D$42))+1,""),ROW()-1576)),"")</f>
        <v>1.0</v>
      </c>
      <c r="B1602" s="114" t="str" cm="1">
        <f t="array" ref="B1602">IFERROR(INDEX('03.Muestra'!$C$8:$C$42,SMALL(IF("Página Web"='03.Muestra'!$D$8:$D$42,ROW('03.Muestra'!$C$8:$C$42)-MIN(ROW('03.Muestra'!$D$8:$D$42))+1,""),ROW()-1576)),"")</f>
        <v>Home - PortCastelló</v>
      </c>
      <c r="C1602" s="114" t="str" cm="1">
        <f t="array" ref="C1602">IFERROR(INDEX('03.Muestra'!$F$8:$F$42,SMALL(IF("Página Web"='03.Muestra'!$D$8:$D$42,ROW('03.Muestra'!$F$8:$F$42)-MIN(ROW('03.Muestra'!$D$8:$D$42))+1,""),ROW()-1576)),"")</f>
        <v>https://www.portcastello.com/</v>
      </c>
      <c r="D1602" s="130" t="str">
        <f t="shared" si="83"/>
        <v>N/T</v>
      </c>
      <c r="E1602" s="107" t="str">
        <f t="shared" si="82"/>
        <v/>
      </c>
      <c r="F1602" s="19"/>
      <c r="G1602" s="19"/>
      <c r="H1602" s="19"/>
      <c r="I1602" s="19"/>
      <c r="J1602" s="19"/>
      <c r="K1602" s="233"/>
      <c r="L1602" s="19"/>
    </row>
    <row r="1603" spans="1:12" ht="12" customHeight="1">
      <c r="A1603" s="219" t="n" cm="1">
        <f t="array" ref="A1603">IFERROR(INDEX('03.Muestra'!$B$8:$B$42,SMALL(IF("Página Web"='03.Muestra'!$D$8:$D$42,ROW('03.Muestra'!$B$8:$B$42)-MIN(ROW('03.Muestra'!$D$8:$D$42))+1,""),ROW()-1576)),"")</f>
        <v>1.0</v>
      </c>
      <c r="B1603" s="114" t="str" cm="1">
        <f t="array" ref="B1603">IFERROR(INDEX('03.Muestra'!$C$8:$C$42,SMALL(IF("Página Web"='03.Muestra'!$D$8:$D$42,ROW('03.Muestra'!$C$8:$C$42)-MIN(ROW('03.Muestra'!$D$8:$D$42))+1,""),ROW()-1576)),"")</f>
        <v>Home - PortCastelló</v>
      </c>
      <c r="C1603" s="114" t="str" cm="1">
        <f t="array" ref="C1603">IFERROR(INDEX('03.Muestra'!$F$8:$F$42,SMALL(IF("Página Web"='03.Muestra'!$D$8:$D$42,ROW('03.Muestra'!$F$8:$F$42)-MIN(ROW('03.Muestra'!$D$8:$D$42))+1,""),ROW()-1576)),"")</f>
        <v>https://www.portcastello.com/</v>
      </c>
      <c r="D1603" s="130" t="str">
        <f t="shared" si="83"/>
        <v>N/T</v>
      </c>
      <c r="E1603" s="107" t="str">
        <f t="shared" si="82"/>
        <v/>
      </c>
      <c r="F1603" s="19"/>
      <c r="G1603" s="19"/>
      <c r="H1603" s="19"/>
      <c r="I1603" s="19"/>
      <c r="J1603" s="19"/>
      <c r="K1603" s="233"/>
      <c r="L1603" s="19"/>
    </row>
    <row r="1604" spans="1:12" ht="12" customHeight="1">
      <c r="A1604" s="219" t="n" cm="1">
        <f t="array" ref="A1604">IFERROR(INDEX('03.Muestra'!$B$8:$B$42,SMALL(IF("Página Web"='03.Muestra'!$D$8:$D$42,ROW('03.Muestra'!$B$8:$B$42)-MIN(ROW('03.Muestra'!$D$8:$D$42))+1,""),ROW()-1576)),"")</f>
        <v>1.0</v>
      </c>
      <c r="B1604" s="114" t="str" cm="1">
        <f t="array" ref="B1604">IFERROR(INDEX('03.Muestra'!$C$8:$C$42,SMALL(IF("Página Web"='03.Muestra'!$D$8:$D$42,ROW('03.Muestra'!$C$8:$C$42)-MIN(ROW('03.Muestra'!$D$8:$D$42))+1,""),ROW()-1576)),"")</f>
        <v>Home - PortCastelló</v>
      </c>
      <c r="C1604" s="114" t="str" cm="1">
        <f t="array" ref="C1604">IFERROR(INDEX('03.Muestra'!$F$8:$F$42,SMALL(IF("Página Web"='03.Muestra'!$D$8:$D$42,ROW('03.Muestra'!$F$8:$F$42)-MIN(ROW('03.Muestra'!$D$8:$D$42))+1,""),ROW()-1576)),"")</f>
        <v>https://www.portcastello.com/</v>
      </c>
      <c r="D1604" s="130" t="str">
        <f t="shared" si="83"/>
        <v>N/T</v>
      </c>
      <c r="E1604" s="107" t="str">
        <f t="shared" si="82"/>
        <v/>
      </c>
      <c r="G1604" s="19"/>
      <c r="H1604" s="19"/>
      <c r="I1604" s="19"/>
      <c r="J1604" s="19"/>
      <c r="K1604" s="233"/>
      <c r="L1604" s="19"/>
    </row>
    <row r="1605" spans="1:12" ht="12" customHeight="1">
      <c r="A1605" s="219" t="n" cm="1">
        <f t="array" ref="A1605">IFERROR(INDEX('03.Muestra'!$B$8:$B$42,SMALL(IF("Página Web"='03.Muestra'!$D$8:$D$42,ROW('03.Muestra'!$B$8:$B$42)-MIN(ROW('03.Muestra'!$D$8:$D$42))+1,""),ROW()-1576)),"")</f>
        <v>1.0</v>
      </c>
      <c r="B1605" s="114" t="str" cm="1">
        <f t="array" ref="B1605">IFERROR(INDEX('03.Muestra'!$C$8:$C$42,SMALL(IF("Página Web"='03.Muestra'!$D$8:$D$42,ROW('03.Muestra'!$C$8:$C$42)-MIN(ROW('03.Muestra'!$D$8:$D$42))+1,""),ROW()-1576)),"")</f>
        <v>Home - PortCastelló</v>
      </c>
      <c r="C1605" s="114" t="str" cm="1">
        <f t="array" ref="C1605">IFERROR(INDEX('03.Muestra'!$F$8:$F$42,SMALL(IF("Página Web"='03.Muestra'!$D$8:$D$42,ROW('03.Muestra'!$F$8:$F$42)-MIN(ROW('03.Muestra'!$D$8:$D$42))+1,""),ROW()-1576)),"")</f>
        <v>https://www.portcastello.com/</v>
      </c>
      <c r="D1605" s="130" t="str">
        <f t="shared" si="83"/>
        <v>N/T</v>
      </c>
      <c r="E1605" s="107" t="str">
        <f t="shared" si="82"/>
        <v/>
      </c>
      <c r="F1605" s="124"/>
      <c r="G1605" s="19"/>
      <c r="H1605" s="19"/>
      <c r="I1605" s="19"/>
      <c r="J1605" s="19"/>
      <c r="K1605" s="233"/>
      <c r="L1605" s="19"/>
    </row>
    <row r="1606" spans="1:12" ht="12" customHeight="1">
      <c r="A1606" s="219" t="n" cm="1">
        <f t="array" ref="A1606">IFERROR(INDEX('03.Muestra'!$B$8:$B$42,SMALL(IF("Página Web"='03.Muestra'!$D$8:$D$42,ROW('03.Muestra'!$B$8:$B$42)-MIN(ROW('03.Muestra'!$D$8:$D$42))+1,""),ROW()-1576)),"")</f>
        <v>1.0</v>
      </c>
      <c r="B1606" s="114" t="str" cm="1">
        <f t="array" ref="B1606">IFERROR(INDEX('03.Muestra'!$C$8:$C$42,SMALL(IF("Página Web"='03.Muestra'!$D$8:$D$42,ROW('03.Muestra'!$C$8:$C$42)-MIN(ROW('03.Muestra'!$D$8:$D$42))+1,""),ROW()-1576)),"")</f>
        <v>Home - PortCastelló</v>
      </c>
      <c r="C1606" s="114" t="str" cm="1">
        <f t="array" ref="C1606">IFERROR(INDEX('03.Muestra'!$F$8:$F$42,SMALL(IF("Página Web"='03.Muestra'!$D$8:$D$42,ROW('03.Muestra'!$F$8:$F$42)-MIN(ROW('03.Muestra'!$D$8:$D$42))+1,""),ROW()-1576)),"")</f>
        <v>https://www.portcastello.com/</v>
      </c>
      <c r="D1606" s="130" t="str">
        <f t="shared" si="83"/>
        <v>N/T</v>
      </c>
      <c r="E1606" s="107" t="str">
        <f t="shared" si="82"/>
        <v/>
      </c>
      <c r="F1606" s="124"/>
      <c r="G1606" s="19"/>
      <c r="H1606" s="19"/>
      <c r="I1606" s="19"/>
      <c r="J1606" s="19"/>
      <c r="K1606" s="233"/>
      <c r="L1606" s="19"/>
    </row>
    <row r="1607" spans="1:12" ht="12" customHeight="1">
      <c r="A1607" s="219" t="n" cm="1">
        <f t="array" ref="A1607">IFERROR(INDEX('03.Muestra'!$B$8:$B$42,SMALL(IF("Página Web"='03.Muestra'!$D$8:$D$42,ROW('03.Muestra'!$B$8:$B$42)-MIN(ROW('03.Muestra'!$D$8:$D$42))+1,""),ROW()-1576)),"")</f>
        <v>1.0</v>
      </c>
      <c r="B1607" s="114" t="str" cm="1">
        <f t="array" ref="B1607">IFERROR(INDEX('03.Muestra'!$C$8:$C$42,SMALL(IF("Página Web"='03.Muestra'!$D$8:$D$42,ROW('03.Muestra'!$C$8:$C$42)-MIN(ROW('03.Muestra'!$D$8:$D$42))+1,""),ROW()-1576)),"")</f>
        <v>Home - PortCastelló</v>
      </c>
      <c r="C1607" s="114" t="str" cm="1">
        <f t="array" ref="C1607">IFERROR(INDEX('03.Muestra'!$F$8:$F$42,SMALL(IF("Página Web"='03.Muestra'!$D$8:$D$42,ROW('03.Muestra'!$F$8:$F$42)-MIN(ROW('03.Muestra'!$D$8:$D$42))+1,""),ROW()-1576)),"")</f>
        <v>https://www.portcastello.com/</v>
      </c>
      <c r="D1607" s="130" t="str">
        <f t="shared" si="83"/>
        <v>N/T</v>
      </c>
      <c r="E1607" s="107" t="str">
        <f t="shared" si="82"/>
        <v/>
      </c>
      <c r="F1607" s="124"/>
      <c r="G1607" s="19"/>
      <c r="H1607" s="19"/>
      <c r="I1607" s="19"/>
      <c r="J1607" s="19"/>
      <c r="K1607" s="233"/>
      <c r="L1607" s="19"/>
    </row>
    <row r="1608" spans="1:12" ht="12" customHeight="1">
      <c r="A1608" s="219" t="n" cm="1">
        <f t="array" ref="A1608">IFERROR(INDEX('03.Muestra'!$B$8:$B$42,SMALL(IF("Página Web"='03.Muestra'!$D$8:$D$42,ROW('03.Muestra'!$B$8:$B$42)-MIN(ROW('03.Muestra'!$D$8:$D$42))+1,""),ROW()-1576)),"")</f>
        <v>1.0</v>
      </c>
      <c r="B1608" s="114" t="str" cm="1">
        <f t="array" ref="B1608">IFERROR(INDEX('03.Muestra'!$C$8:$C$42,SMALL(IF("Página Web"='03.Muestra'!$D$8:$D$42,ROW('03.Muestra'!$C$8:$C$42)-MIN(ROW('03.Muestra'!$D$8:$D$42))+1,""),ROW()-1576)),"")</f>
        <v>Home - PortCastelló</v>
      </c>
      <c r="C1608" s="114" t="str" cm="1">
        <f t="array" ref="C1608">IFERROR(INDEX('03.Muestra'!$F$8:$F$42,SMALL(IF("Página Web"='03.Muestra'!$D$8:$D$42,ROW('03.Muestra'!$F$8:$F$42)-MIN(ROW('03.Muestra'!$D$8:$D$42))+1,""),ROW()-1576)),"")</f>
        <v>https://www.portcastello.com/</v>
      </c>
      <c r="D1608" s="130" t="str">
        <f t="shared" si="83"/>
        <v>N/T</v>
      </c>
      <c r="E1608" s="107" t="str">
        <f t="shared" si="82"/>
        <v/>
      </c>
      <c r="F1608" s="124"/>
      <c r="G1608" s="19"/>
      <c r="H1608" s="19"/>
      <c r="I1608" s="19"/>
      <c r="J1608" s="19"/>
      <c r="K1608" s="233"/>
      <c r="L1608" s="19"/>
    </row>
    <row r="1609" spans="1:12" ht="12" customHeight="1">
      <c r="A1609" s="219" t="n" cm="1">
        <f t="array" ref="A1609">IFERROR(INDEX('03.Muestra'!$B$8:$B$42,SMALL(IF("Página Web"='03.Muestra'!$D$8:$D$42,ROW('03.Muestra'!$B$8:$B$42)-MIN(ROW('03.Muestra'!$D$8:$D$42))+1,""),ROW()-1576)),"")</f>
        <v>1.0</v>
      </c>
      <c r="B1609" s="114" t="str" cm="1">
        <f t="array" ref="B1609">IFERROR(INDEX('03.Muestra'!$C$8:$C$42,SMALL(IF("Página Web"='03.Muestra'!$D$8:$D$42,ROW('03.Muestra'!$C$8:$C$42)-MIN(ROW('03.Muestra'!$D$8:$D$42))+1,""),ROW()-1576)),"")</f>
        <v>Home - PortCastelló</v>
      </c>
      <c r="C1609" s="114" t="str" cm="1">
        <f t="array" ref="C1609">IFERROR(INDEX('03.Muestra'!$F$8:$F$42,SMALL(IF("Página Web"='03.Muestra'!$D$8:$D$42,ROW('03.Muestra'!$F$8:$F$42)-MIN(ROW('03.Muestra'!$D$8:$D$42))+1,""),ROW()-1576)),"")</f>
        <v>https://www.portcastello.com/</v>
      </c>
      <c r="D1609" s="130" t="str">
        <f t="shared" si="83"/>
        <v>N/T</v>
      </c>
      <c r="E1609" s="107" t="str">
        <f t="shared" si="82"/>
        <v/>
      </c>
      <c r="F1609" s="124"/>
      <c r="G1609" s="19"/>
      <c r="H1609" s="19"/>
      <c r="I1609" s="19"/>
      <c r="J1609" s="19"/>
      <c r="K1609" s="233"/>
      <c r="L1609" s="19"/>
    </row>
    <row r="1610" spans="1:12" ht="12" customHeight="1">
      <c r="A1610" s="219" t="str" cm="1">
        <f t="array" ref="A1610">IFERROR(INDEX('03.Muestra'!$B$8:$B$42,SMALL(IF("Página Web"='03.Muestra'!$D$8:$D$42,ROW('03.Muestra'!$B$8:$B$42)-MIN(ROW('03.Muestra'!$D$8:$D$42))+1,""),ROW()-1576)),"")</f>
        <v/>
      </c>
      <c r="B1610" s="114" t="str" cm="1">
        <f t="array" ref="B1610">IFERROR(INDEX('03.Muestra'!$C$8:$C$42,SMALL(IF("Página Web"='03.Muestra'!$D$8:$D$42,ROW('03.Muestra'!$C$8:$C$42)-MIN(ROW('03.Muestra'!$D$8:$D$42))+1,""),ROW()-1576)),"")</f>
        <v/>
      </c>
      <c r="C1610" s="114" t="str" cm="1">
        <f t="array" ref="C1610">IFERROR(INDEX('03.Muestra'!$F$8:$F$42,SMALL(IF("Página Web"='03.Muestra'!$D$8:$D$42,ROW('03.Muestra'!$F$8:$F$42)-MIN(ROW('03.Muestra'!$D$8:$D$42))+1,""),ROW()-1576)),"")</f>
        <v/>
      </c>
      <c r="D1610" s="130" t="str">
        <f t="shared" si="83"/>
        <v/>
      </c>
      <c r="E1610" s="107" t="str">
        <f t="shared" si="82"/>
        <v/>
      </c>
      <c r="F1610" s="124"/>
      <c r="G1610" s="19"/>
      <c r="H1610" s="19"/>
      <c r="I1610" s="19"/>
      <c r="J1610" s="19"/>
      <c r="K1610" s="233"/>
      <c r="L1610" s="19"/>
    </row>
    <row r="1611" spans="1:12" ht="12" customHeight="1">
      <c r="A1611" s="219" t="str" cm="1">
        <f t="array" ref="A1611">IFERROR(INDEX('03.Muestra'!$B$8:$B$42,SMALL(IF("Página Web"='03.Muestra'!$D$8:$D$42,ROW('03.Muestra'!$B$8:$B$42)-MIN(ROW('03.Muestra'!$D$8:$D$42))+1,""),ROW()-1576)),"")</f>
        <v/>
      </c>
      <c r="B1611" s="114" t="str" cm="1">
        <f t="array" ref="B1611">IFERROR(INDEX('03.Muestra'!$C$8:$C$42,SMALL(IF("Página Web"='03.Muestra'!$D$8:$D$42,ROW('03.Muestra'!$C$8:$C$42)-MIN(ROW('03.Muestra'!$D$8:$D$42))+1,""),ROW()-1576)),"")</f>
        <v/>
      </c>
      <c r="C1611" s="114" t="str" cm="1">
        <f t="array" ref="C1611">IFERROR(INDEX('03.Muestra'!$F$8:$F$42,SMALL(IF("Página Web"='03.Muestra'!$D$8:$D$42,ROW('03.Muestra'!$F$8:$F$42)-MIN(ROW('03.Muestra'!$D$8:$D$42))+1,""),ROW()-1576)),"")</f>
        <v/>
      </c>
      <c r="D1611" s="130" t="str">
        <f t="shared" si="83"/>
        <v/>
      </c>
      <c r="E1611" s="107" t="str">
        <f t="shared" si="82"/>
        <v/>
      </c>
      <c r="F1611" s="19"/>
      <c r="G1611" s="19"/>
      <c r="H1611" s="19"/>
      <c r="I1611" s="19"/>
      <c r="J1611" s="19"/>
      <c r="K1611" s="233"/>
      <c r="L1611" s="19"/>
    </row>
    <row r="1612" spans="1:12" ht="12" customHeight="1">
      <c r="B1612" s="19"/>
      <c r="C1612" s="19"/>
      <c r="D1612" s="107"/>
      <c r="E1612" s="19"/>
      <c r="F1612" s="19"/>
      <c r="G1612" s="19"/>
      <c r="H1612" s="19"/>
      <c r="I1612" s="19"/>
      <c r="J1612" s="19"/>
      <c r="K1612" s="233"/>
      <c r="L1612" s="19"/>
    </row>
    <row r="1613" spans="1:12" ht="12" customHeight="1">
      <c r="B1613" s="19"/>
      <c r="C1613" s="19"/>
      <c r="D1613" s="107"/>
      <c r="E1613" s="112"/>
      <c r="F1613" s="19"/>
      <c r="G1613" s="19"/>
      <c r="H1613" s="19"/>
      <c r="I1613" s="19"/>
      <c r="J1613" s="19"/>
      <c r="K1613" s="233"/>
      <c r="L1613" s="19"/>
    </row>
    <row r="1614" spans="1:12" ht="29.25" customHeight="1">
      <c r="A1614" s="218" t="s">
        <v>268</v>
      </c>
      <c r="B1614" s="24" t="s">
        <v>90</v>
      </c>
      <c r="C1614" s="25" t="s">
        <v>415</v>
      </c>
      <c r="D1614" s="26" t="s">
        <v>32</v>
      </c>
      <c r="E1614" s="123"/>
      <c r="K1614" s="233"/>
      <c r="L1614" s="19"/>
    </row>
    <row r="1615" spans="1:12" ht="12" customHeight="1">
      <c r="A1615" s="219" t="n" cm="1">
        <f t="array" ref="A1615">IFERROR(INDEX('03.Muestra'!$B$8:$B$42,SMALL(IF("Página Web"='03.Muestra'!$D$8:$D$42,ROW('03.Muestra'!$B$8:$B$42)-MIN(ROW('03.Muestra'!$D$8:$D$42))+1,""),ROW()-1614)),"")</f>
        <v>1.0</v>
      </c>
      <c r="B1615" s="114" t="str" cm="1">
        <f t="array" ref="B1615">IFERROR(INDEX('03.Muestra'!$C$8:$C$42,SMALL(IF("Página Web"='03.Muestra'!$D$8:$D$42,ROW('03.Muestra'!$C$8:$C$42)-MIN(ROW('03.Muestra'!$D$8:$D$42))+1,""),ROW()-1614)),"")</f>
        <v>Home - PortCastelló</v>
      </c>
      <c r="C1615" s="114" t="str" cm="1">
        <f t="array" ref="C1615">IFERROR(INDEX('03.Muestra'!$F$8:$F$42,SMALL(IF("Página Web"='03.Muestra'!$D$8:$D$42,ROW('03.Muestra'!$F$8:$F$42)-MIN(ROW('03.Muestra'!$D$8:$D$42))+1,""),ROW()-1614)),"")</f>
        <v>https://www.portcastello.com/</v>
      </c>
      <c r="D1615" s="130" t="str">
        <f>IF(AND(B1615&lt;&gt;"",C1615&lt;&gt;""),"N/T","")</f>
        <v>N/T</v>
      </c>
      <c r="E1615" s="107" t="str">
        <f t="shared" ref="E1615:E1649" si="84">IF(D1615&lt;&gt;"",IF(AND(B1615&lt;&gt;"",C1615&lt;&gt;""),"","ERR"),"")</f>
        <v/>
      </c>
      <c r="F1615" s="115" t="s">
        <v>33</v>
      </c>
      <c r="G1615" s="116" t="s">
        <v>37</v>
      </c>
      <c r="H1615" s="117" t="s">
        <v>35</v>
      </c>
      <c r="I1615" s="118" t="s">
        <v>28</v>
      </c>
      <c r="J1615" s="119" t="s">
        <v>26</v>
      </c>
      <c r="K1615" s="226" t="s">
        <v>474</v>
      </c>
      <c r="L1615" s="19"/>
    </row>
    <row r="1616" spans="1:12" ht="12" customHeight="1">
      <c r="A1616" s="219" t="n" cm="1">
        <f t="array" ref="A1616">IFERROR(INDEX('03.Muestra'!$B$8:$B$42,SMALL(IF("Página Web"='03.Muestra'!$D$8:$D$42,ROW('03.Muestra'!$B$8:$B$42)-MIN(ROW('03.Muestra'!$D$8:$D$42))+1,""),ROW()-1614)),"")</f>
        <v>1.0</v>
      </c>
      <c r="B1616" s="114" t="str" cm="1">
        <f t="array" ref="B1616">IFERROR(INDEX('03.Muestra'!$C$8:$C$42,SMALL(IF("Página Web"='03.Muestra'!$D$8:$D$42,ROW('03.Muestra'!$C$8:$C$42)-MIN(ROW('03.Muestra'!$D$8:$D$42))+1,""),ROW()-1614)),"")</f>
        <v>Home - PortCastelló</v>
      </c>
      <c r="C1616" s="114" t="str" cm="1">
        <f t="array" ref="C1616">IFERROR(INDEX('03.Muestra'!$F$8:$F$42,SMALL(IF("Página Web"='03.Muestra'!$D$8:$D$42,ROW('03.Muestra'!$F$8:$F$42)-MIN(ROW('03.Muestra'!$D$8:$D$42))+1,""),ROW()-1614)),"")</f>
        <v>https://www.portcastello.com/</v>
      </c>
      <c r="D1616" s="130" t="str">
        <f t="shared" ref="D1616:D1649" si="85">IF(AND(B1616&lt;&gt;"",C1616&lt;&gt;""),"N/T","")</f>
        <v>N/T</v>
      </c>
      <c r="E1616" s="107" t="str">
        <f t="shared" si="84"/>
        <v/>
      </c>
      <c r="F1616" s="120" t="n">
        <f ca="1">COUNTIF($D1615:INDIRECT("$D" &amp;  SUM(ROW()-1,'03.Muestra'!$D$45)-1),F1615)</f>
        <v>33.0</v>
      </c>
      <c r="G1616" s="120" t="n">
        <f ca="1">COUNTIF($D1615:INDIRECT("$D" &amp;  SUM(ROW()-1,'03.Muestra'!$D$45)-1),G1615)</f>
        <v>0.0</v>
      </c>
      <c r="H1616" s="120" t="n">
        <f ca="1">COUNTIF($D1615:INDIRECT("$D" &amp;  SUM(ROW()-1,'03.Muestra'!$D$45)-1),H1615)</f>
        <v>0.0</v>
      </c>
      <c r="I1616" s="120" t="n">
        <f ca="1">COUNTIF($D1615:INDIRECT("$D" &amp;  SUM(ROW()-1,'03.Muestra'!$D$45)-1),I1615)</f>
        <v>0.0</v>
      </c>
      <c r="J1616" s="120" t="n">
        <f ca="1">COUNTIF($D1615:INDIRECT("$D" &amp;  SUM(ROW()-1,'03.Muestra'!$D$45)-1),J1615)</f>
        <v>0.0</v>
      </c>
      <c r="K1616" s="227" t="n">
        <f ca="1">IF(COUNTIF('03.Muestra'!$D$8:$D$42,"Página Web")=0,0,COUNTBLANK($D1615:INDIRECT("$D" &amp;  SUM(ROW()-1,COUNTIF('03.Muestra'!$D$8:$D$42,"Página Web"))-1)))</f>
        <v>0.0</v>
      </c>
      <c r="L1616" s="19"/>
    </row>
    <row r="1617" spans="1:11" ht="12" customHeight="1">
      <c r="A1617" s="219" t="n" cm="1">
        <f t="array" ref="A1617">IFERROR(INDEX('03.Muestra'!$B$8:$B$42,SMALL(IF("Página Web"='03.Muestra'!$D$8:$D$42,ROW('03.Muestra'!$B$8:$B$42)-MIN(ROW('03.Muestra'!$D$8:$D$42))+1,""),ROW()-1614)),"")</f>
        <v>1.0</v>
      </c>
      <c r="B1617" s="114" t="str" cm="1">
        <f t="array" ref="B1617">IFERROR(INDEX('03.Muestra'!$C$8:$C$42,SMALL(IF("Página Web"='03.Muestra'!$D$8:$D$42,ROW('03.Muestra'!$C$8:$C$42)-MIN(ROW('03.Muestra'!$D$8:$D$42))+1,""),ROW()-1614)),"")</f>
        <v>Home - PortCastelló</v>
      </c>
      <c r="C1617" s="114" t="str" cm="1">
        <f t="array" ref="C1617">IFERROR(INDEX('03.Muestra'!$F$8:$F$42,SMALL(IF("Página Web"='03.Muestra'!$D$8:$D$42,ROW('03.Muestra'!$F$8:$F$42)-MIN(ROW('03.Muestra'!$D$8:$D$42))+1,""),ROW()-1614)),"")</f>
        <v>https://www.portcastello.com/</v>
      </c>
      <c r="D1617" s="130" t="str">
        <f t="shared" si="85"/>
        <v>N/T</v>
      </c>
      <c r="E1617" s="107" t="str">
        <f t="shared" si="84"/>
        <v/>
      </c>
      <c r="K1617" s="233"/>
    </row>
    <row r="1618" spans="1:11" ht="12" customHeight="1">
      <c r="A1618" s="219" t="n" cm="1">
        <f t="array" ref="A1618">IFERROR(INDEX('03.Muestra'!$B$8:$B$42,SMALL(IF("Página Web"='03.Muestra'!$D$8:$D$42,ROW('03.Muestra'!$B$8:$B$42)-MIN(ROW('03.Muestra'!$D$8:$D$42))+1,""),ROW()-1614)),"")</f>
        <v>1.0</v>
      </c>
      <c r="B1618" s="114" t="str" cm="1">
        <f t="array" ref="B1618">IFERROR(INDEX('03.Muestra'!$C$8:$C$42,SMALL(IF("Página Web"='03.Muestra'!$D$8:$D$42,ROW('03.Muestra'!$C$8:$C$42)-MIN(ROW('03.Muestra'!$D$8:$D$42))+1,""),ROW()-1614)),"")</f>
        <v>Home - PortCastelló</v>
      </c>
      <c r="C1618" s="114" t="str" cm="1">
        <f t="array" ref="C1618">IFERROR(INDEX('03.Muestra'!$F$8:$F$42,SMALL(IF("Página Web"='03.Muestra'!$D$8:$D$42,ROW('03.Muestra'!$F$8:$F$42)-MIN(ROW('03.Muestra'!$D$8:$D$42))+1,""),ROW()-1614)),"")</f>
        <v>https://www.portcastello.com/</v>
      </c>
      <c r="D1618" s="130" t="str">
        <f t="shared" si="85"/>
        <v>N/T</v>
      </c>
      <c r="E1618" s="107" t="str">
        <f t="shared" si="84"/>
        <v/>
      </c>
      <c r="G1618" s="19"/>
      <c r="H1618" s="19"/>
      <c r="I1618" s="19"/>
      <c r="J1618" s="19"/>
      <c r="K1618" s="233"/>
    </row>
    <row r="1619" spans="1:11" ht="12" customHeight="1">
      <c r="A1619" s="219" t="n" cm="1">
        <f t="array" ref="A1619">IFERROR(INDEX('03.Muestra'!$B$8:$B$42,SMALL(IF("Página Web"='03.Muestra'!$D$8:$D$42,ROW('03.Muestra'!$B$8:$B$42)-MIN(ROW('03.Muestra'!$D$8:$D$42))+1,""),ROW()-1614)),"")</f>
        <v>1.0</v>
      </c>
      <c r="B1619" s="114" t="str" cm="1">
        <f t="array" ref="B1619">IFERROR(INDEX('03.Muestra'!$C$8:$C$42,SMALL(IF("Página Web"='03.Muestra'!$D$8:$D$42,ROW('03.Muestra'!$C$8:$C$42)-MIN(ROW('03.Muestra'!$D$8:$D$42))+1,""),ROW()-1614)),"")</f>
        <v>Home - PortCastelló</v>
      </c>
      <c r="C1619" s="114" t="str" cm="1">
        <f t="array" ref="C1619">IFERROR(INDEX('03.Muestra'!$F$8:$F$42,SMALL(IF("Página Web"='03.Muestra'!$D$8:$D$42,ROW('03.Muestra'!$F$8:$F$42)-MIN(ROW('03.Muestra'!$D$8:$D$42))+1,""),ROW()-1614)),"")</f>
        <v>https://www.portcastello.com/</v>
      </c>
      <c r="D1619" s="130" t="str">
        <f t="shared" si="85"/>
        <v>N/T</v>
      </c>
      <c r="E1619" s="107" t="str">
        <f t="shared" si="84"/>
        <v/>
      </c>
      <c r="G1619" s="19"/>
      <c r="H1619" s="19"/>
      <c r="I1619" s="19"/>
      <c r="J1619" s="19"/>
      <c r="K1619" s="233"/>
    </row>
    <row r="1620" spans="1:11" ht="12" customHeight="1">
      <c r="A1620" s="219" t="n" cm="1">
        <f t="array" ref="A1620">IFERROR(INDEX('03.Muestra'!$B$8:$B$42,SMALL(IF("Página Web"='03.Muestra'!$D$8:$D$42,ROW('03.Muestra'!$B$8:$B$42)-MIN(ROW('03.Muestra'!$D$8:$D$42))+1,""),ROW()-1614)),"")</f>
        <v>1.0</v>
      </c>
      <c r="B1620" s="114" t="str" cm="1">
        <f t="array" ref="B1620">IFERROR(INDEX('03.Muestra'!$C$8:$C$42,SMALL(IF("Página Web"='03.Muestra'!$D$8:$D$42,ROW('03.Muestra'!$C$8:$C$42)-MIN(ROW('03.Muestra'!$D$8:$D$42))+1,""),ROW()-1614)),"")</f>
        <v>Home - PortCastelló</v>
      </c>
      <c r="C1620" s="114" t="str" cm="1">
        <f t="array" ref="C1620">IFERROR(INDEX('03.Muestra'!$F$8:$F$42,SMALL(IF("Página Web"='03.Muestra'!$D$8:$D$42,ROW('03.Muestra'!$F$8:$F$42)-MIN(ROW('03.Muestra'!$D$8:$D$42))+1,""),ROW()-1614)),"")</f>
        <v>https://www.portcastello.com/</v>
      </c>
      <c r="D1620" s="130" t="str">
        <f t="shared" si="85"/>
        <v>N/T</v>
      </c>
      <c r="E1620" s="107" t="str">
        <f t="shared" si="84"/>
        <v/>
      </c>
      <c r="G1620" s="19"/>
      <c r="H1620" s="19"/>
      <c r="I1620" s="19"/>
      <c r="J1620" s="19"/>
      <c r="K1620" s="233"/>
    </row>
    <row r="1621" spans="1:11" ht="12" customHeight="1">
      <c r="A1621" s="219" t="n" cm="1">
        <f t="array" ref="A1621">IFERROR(INDEX('03.Muestra'!$B$8:$B$42,SMALL(IF("Página Web"='03.Muestra'!$D$8:$D$42,ROW('03.Muestra'!$B$8:$B$42)-MIN(ROW('03.Muestra'!$D$8:$D$42))+1,""),ROW()-1614)),"")</f>
        <v>1.0</v>
      </c>
      <c r="B1621" s="114" t="str" cm="1">
        <f t="array" ref="B1621">IFERROR(INDEX('03.Muestra'!$C$8:$C$42,SMALL(IF("Página Web"='03.Muestra'!$D$8:$D$42,ROW('03.Muestra'!$C$8:$C$42)-MIN(ROW('03.Muestra'!$D$8:$D$42))+1,""),ROW()-1614)),"")</f>
        <v>Home - PortCastelló</v>
      </c>
      <c r="C1621" s="114" t="str" cm="1">
        <f t="array" ref="C1621">IFERROR(INDEX('03.Muestra'!$F$8:$F$42,SMALL(IF("Página Web"='03.Muestra'!$D$8:$D$42,ROW('03.Muestra'!$F$8:$F$42)-MIN(ROW('03.Muestra'!$D$8:$D$42))+1,""),ROW()-1614)),"")</f>
        <v>https://www.portcastello.com/</v>
      </c>
      <c r="D1621" s="130" t="str">
        <f t="shared" si="85"/>
        <v>N/T</v>
      </c>
      <c r="E1621" s="107" t="str">
        <f t="shared" si="84"/>
        <v/>
      </c>
      <c r="F1621" s="19"/>
      <c r="G1621" s="19"/>
      <c r="H1621" s="19"/>
      <c r="I1621" s="19"/>
      <c r="J1621" s="19"/>
      <c r="K1621" s="233"/>
    </row>
    <row r="1622" spans="1:11" ht="12" customHeight="1">
      <c r="A1622" s="219" t="n" cm="1">
        <f t="array" ref="A1622">IFERROR(INDEX('03.Muestra'!$B$8:$B$42,SMALL(IF("Página Web"='03.Muestra'!$D$8:$D$42,ROW('03.Muestra'!$B$8:$B$42)-MIN(ROW('03.Muestra'!$D$8:$D$42))+1,""),ROW()-1614)),"")</f>
        <v>1.0</v>
      </c>
      <c r="B1622" s="114" t="str" cm="1">
        <f t="array" ref="B1622">IFERROR(INDEX('03.Muestra'!$C$8:$C$42,SMALL(IF("Página Web"='03.Muestra'!$D$8:$D$42,ROW('03.Muestra'!$C$8:$C$42)-MIN(ROW('03.Muestra'!$D$8:$D$42))+1,""),ROW()-1614)),"")</f>
        <v>Home - PortCastelló</v>
      </c>
      <c r="C1622" s="114" t="str" cm="1">
        <f t="array" ref="C1622">IFERROR(INDEX('03.Muestra'!$F$8:$F$42,SMALL(IF("Página Web"='03.Muestra'!$D$8:$D$42,ROW('03.Muestra'!$F$8:$F$42)-MIN(ROW('03.Muestra'!$D$8:$D$42))+1,""),ROW()-1614)),"")</f>
        <v>https://www.portcastello.com/</v>
      </c>
      <c r="D1622" s="130" t="str">
        <f t="shared" si="85"/>
        <v>N/T</v>
      </c>
      <c r="E1622" s="107" t="str">
        <f t="shared" si="84"/>
        <v/>
      </c>
      <c r="F1622" s="19"/>
      <c r="G1622" s="19"/>
      <c r="H1622" s="19"/>
      <c r="I1622" s="19"/>
      <c r="J1622" s="19"/>
      <c r="K1622" s="233"/>
    </row>
    <row r="1623" spans="1:11" ht="12" customHeight="1">
      <c r="A1623" s="219" t="n" cm="1">
        <f t="array" ref="A1623">IFERROR(INDEX('03.Muestra'!$B$8:$B$42,SMALL(IF("Página Web"='03.Muestra'!$D$8:$D$42,ROW('03.Muestra'!$B$8:$B$42)-MIN(ROW('03.Muestra'!$D$8:$D$42))+1,""),ROW()-1614)),"")</f>
        <v>1.0</v>
      </c>
      <c r="B1623" s="114" t="str" cm="1">
        <f t="array" ref="B1623">IFERROR(INDEX('03.Muestra'!$C$8:$C$42,SMALL(IF("Página Web"='03.Muestra'!$D$8:$D$42,ROW('03.Muestra'!$C$8:$C$42)-MIN(ROW('03.Muestra'!$D$8:$D$42))+1,""),ROW()-1614)),"")</f>
        <v>Home - PortCastelló</v>
      </c>
      <c r="C1623" s="114" t="str" cm="1">
        <f t="array" ref="C1623">IFERROR(INDEX('03.Muestra'!$F$8:$F$42,SMALL(IF("Página Web"='03.Muestra'!$D$8:$D$42,ROW('03.Muestra'!$F$8:$F$42)-MIN(ROW('03.Muestra'!$D$8:$D$42))+1,""),ROW()-1614)),"")</f>
        <v>https://www.portcastello.com/</v>
      </c>
      <c r="D1623" s="130" t="str">
        <f t="shared" si="85"/>
        <v>N/T</v>
      </c>
      <c r="E1623" s="107" t="str">
        <f t="shared" si="84"/>
        <v/>
      </c>
      <c r="F1623" s="19"/>
      <c r="G1623" s="19"/>
      <c r="H1623" s="19"/>
      <c r="I1623" s="19"/>
      <c r="J1623" s="19"/>
      <c r="K1623" s="233"/>
    </row>
    <row r="1624" spans="1:11" ht="12" customHeight="1">
      <c r="A1624" s="219" t="n" cm="1">
        <f t="array" ref="A1624">IFERROR(INDEX('03.Muestra'!$B$8:$B$42,SMALL(IF("Página Web"='03.Muestra'!$D$8:$D$42,ROW('03.Muestra'!$B$8:$B$42)-MIN(ROW('03.Muestra'!$D$8:$D$42))+1,""),ROW()-1614)),"")</f>
        <v>1.0</v>
      </c>
      <c r="B1624" s="114" t="str" cm="1">
        <f t="array" ref="B1624">IFERROR(INDEX('03.Muestra'!$C$8:$C$42,SMALL(IF("Página Web"='03.Muestra'!$D$8:$D$42,ROW('03.Muestra'!$C$8:$C$42)-MIN(ROW('03.Muestra'!$D$8:$D$42))+1,""),ROW()-1614)),"")</f>
        <v>Home - PortCastelló</v>
      </c>
      <c r="C1624" s="114" t="str" cm="1">
        <f t="array" ref="C1624">IFERROR(INDEX('03.Muestra'!$F$8:$F$42,SMALL(IF("Página Web"='03.Muestra'!$D$8:$D$42,ROW('03.Muestra'!$F$8:$F$42)-MIN(ROW('03.Muestra'!$D$8:$D$42))+1,""),ROW()-1614)),"")</f>
        <v>https://www.portcastello.com/</v>
      </c>
      <c r="D1624" s="130" t="str">
        <f t="shared" si="85"/>
        <v>N/T</v>
      </c>
      <c r="E1624" s="107" t="str">
        <f t="shared" si="84"/>
        <v/>
      </c>
      <c r="F1624" s="19"/>
      <c r="G1624" s="19"/>
      <c r="H1624" s="19"/>
      <c r="I1624" s="19"/>
      <c r="J1624" s="19"/>
      <c r="K1624" s="233"/>
    </row>
    <row r="1625" spans="1:11" ht="12" customHeight="1">
      <c r="A1625" s="219" t="n" cm="1">
        <f t="array" ref="A1625">IFERROR(INDEX('03.Muestra'!$B$8:$B$42,SMALL(IF("Página Web"='03.Muestra'!$D$8:$D$42,ROW('03.Muestra'!$B$8:$B$42)-MIN(ROW('03.Muestra'!$D$8:$D$42))+1,""),ROW()-1614)),"")</f>
        <v>1.0</v>
      </c>
      <c r="B1625" s="114" t="str" cm="1">
        <f t="array" ref="B1625">IFERROR(INDEX('03.Muestra'!$C$8:$C$42,SMALL(IF("Página Web"='03.Muestra'!$D$8:$D$42,ROW('03.Muestra'!$C$8:$C$42)-MIN(ROW('03.Muestra'!$D$8:$D$42))+1,""),ROW()-1614)),"")</f>
        <v>Home - PortCastelló</v>
      </c>
      <c r="C1625" s="114" t="str" cm="1">
        <f t="array" ref="C1625">IFERROR(INDEX('03.Muestra'!$F$8:$F$42,SMALL(IF("Página Web"='03.Muestra'!$D$8:$D$42,ROW('03.Muestra'!$F$8:$F$42)-MIN(ROW('03.Muestra'!$D$8:$D$42))+1,""),ROW()-1614)),"")</f>
        <v>https://www.portcastello.com/</v>
      </c>
      <c r="D1625" s="130" t="str">
        <f t="shared" si="85"/>
        <v>N/T</v>
      </c>
      <c r="E1625" s="107" t="str">
        <f t="shared" si="84"/>
        <v/>
      </c>
      <c r="F1625" s="19"/>
      <c r="G1625" s="19"/>
      <c r="H1625" s="19"/>
      <c r="I1625" s="19"/>
      <c r="J1625" s="19"/>
      <c r="K1625" s="233"/>
    </row>
    <row r="1626" spans="1:11" ht="12" customHeight="1">
      <c r="A1626" s="219" t="n" cm="1">
        <f t="array" ref="A1626">IFERROR(INDEX('03.Muestra'!$B$8:$B$42,SMALL(IF("Página Web"='03.Muestra'!$D$8:$D$42,ROW('03.Muestra'!$B$8:$B$42)-MIN(ROW('03.Muestra'!$D$8:$D$42))+1,""),ROW()-1614)),"")</f>
        <v>1.0</v>
      </c>
      <c r="B1626" s="114" t="str" cm="1">
        <f t="array" ref="B1626">IFERROR(INDEX('03.Muestra'!$C$8:$C$42,SMALL(IF("Página Web"='03.Muestra'!$D$8:$D$42,ROW('03.Muestra'!$C$8:$C$42)-MIN(ROW('03.Muestra'!$D$8:$D$42))+1,""),ROW()-1614)),"")</f>
        <v>Home - PortCastelló</v>
      </c>
      <c r="C1626" s="114" t="str" cm="1">
        <f t="array" ref="C1626">IFERROR(INDEX('03.Muestra'!$F$8:$F$42,SMALL(IF("Página Web"='03.Muestra'!$D$8:$D$42,ROW('03.Muestra'!$F$8:$F$42)-MIN(ROW('03.Muestra'!$D$8:$D$42))+1,""),ROW()-1614)),"")</f>
        <v>https://www.portcastello.com/</v>
      </c>
      <c r="D1626" s="130" t="str">
        <f t="shared" si="85"/>
        <v>N/T</v>
      </c>
      <c r="E1626" s="107" t="str">
        <f t="shared" si="84"/>
        <v/>
      </c>
      <c r="F1626" s="19"/>
      <c r="G1626" s="19"/>
      <c r="H1626" s="19"/>
      <c r="I1626" s="19"/>
      <c r="J1626" s="19"/>
      <c r="K1626" s="233"/>
    </row>
    <row r="1627" spans="1:11" ht="12" customHeight="1">
      <c r="A1627" s="219" t="n" cm="1">
        <f t="array" ref="A1627">IFERROR(INDEX('03.Muestra'!$B$8:$B$42,SMALL(IF("Página Web"='03.Muestra'!$D$8:$D$42,ROW('03.Muestra'!$B$8:$B$42)-MIN(ROW('03.Muestra'!$D$8:$D$42))+1,""),ROW()-1614)),"")</f>
        <v>1.0</v>
      </c>
      <c r="B1627" s="114" t="str" cm="1">
        <f t="array" ref="B1627">IFERROR(INDEX('03.Muestra'!$C$8:$C$42,SMALL(IF("Página Web"='03.Muestra'!$D$8:$D$42,ROW('03.Muestra'!$C$8:$C$42)-MIN(ROW('03.Muestra'!$D$8:$D$42))+1,""),ROW()-1614)),"")</f>
        <v>Home - PortCastelló</v>
      </c>
      <c r="C1627" s="114" t="str" cm="1">
        <f t="array" ref="C1627">IFERROR(INDEX('03.Muestra'!$F$8:$F$42,SMALL(IF("Página Web"='03.Muestra'!$D$8:$D$42,ROW('03.Muestra'!$F$8:$F$42)-MIN(ROW('03.Muestra'!$D$8:$D$42))+1,""),ROW()-1614)),"")</f>
        <v>https://www.portcastello.com/</v>
      </c>
      <c r="D1627" s="130" t="str">
        <f t="shared" si="85"/>
        <v>N/T</v>
      </c>
      <c r="E1627" s="107" t="str">
        <f t="shared" si="84"/>
        <v/>
      </c>
      <c r="F1627" s="19"/>
      <c r="G1627" s="19"/>
      <c r="H1627" s="19"/>
      <c r="I1627" s="19"/>
      <c r="J1627" s="19"/>
      <c r="K1627" s="233"/>
    </row>
    <row r="1628" spans="1:11" ht="12" customHeight="1">
      <c r="A1628" s="219" t="n" cm="1">
        <f t="array" ref="A1628">IFERROR(INDEX('03.Muestra'!$B$8:$B$42,SMALL(IF("Página Web"='03.Muestra'!$D$8:$D$42,ROW('03.Muestra'!$B$8:$B$42)-MIN(ROW('03.Muestra'!$D$8:$D$42))+1,""),ROW()-1614)),"")</f>
        <v>1.0</v>
      </c>
      <c r="B1628" s="114" t="str" cm="1">
        <f t="array" ref="B1628">IFERROR(INDEX('03.Muestra'!$C$8:$C$42,SMALL(IF("Página Web"='03.Muestra'!$D$8:$D$42,ROW('03.Muestra'!$C$8:$C$42)-MIN(ROW('03.Muestra'!$D$8:$D$42))+1,""),ROW()-1614)),"")</f>
        <v>Home - PortCastelló</v>
      </c>
      <c r="C1628" s="114" t="str" cm="1">
        <f t="array" ref="C1628">IFERROR(INDEX('03.Muestra'!$F$8:$F$42,SMALL(IF("Página Web"='03.Muestra'!$D$8:$D$42,ROW('03.Muestra'!$F$8:$F$42)-MIN(ROW('03.Muestra'!$D$8:$D$42))+1,""),ROW()-1614)),"")</f>
        <v>https://www.portcastello.com/</v>
      </c>
      <c r="D1628" s="130" t="str">
        <f t="shared" si="85"/>
        <v>N/T</v>
      </c>
      <c r="E1628" s="107" t="str">
        <f t="shared" si="84"/>
        <v/>
      </c>
      <c r="F1628" s="19"/>
      <c r="G1628" s="19"/>
      <c r="H1628" s="19"/>
      <c r="I1628" s="19"/>
      <c r="J1628" s="19"/>
      <c r="K1628" s="233"/>
    </row>
    <row r="1629" spans="1:11" ht="12" customHeight="1">
      <c r="A1629" s="219" t="n" cm="1">
        <f t="array" ref="A1629">IFERROR(INDEX('03.Muestra'!$B$8:$B$42,SMALL(IF("Página Web"='03.Muestra'!$D$8:$D$42,ROW('03.Muestra'!$B$8:$B$42)-MIN(ROW('03.Muestra'!$D$8:$D$42))+1,""),ROW()-1614)),"")</f>
        <v>1.0</v>
      </c>
      <c r="B1629" s="114" t="str" cm="1">
        <f t="array" ref="B1629">IFERROR(INDEX('03.Muestra'!$C$8:$C$42,SMALL(IF("Página Web"='03.Muestra'!$D$8:$D$42,ROW('03.Muestra'!$C$8:$C$42)-MIN(ROW('03.Muestra'!$D$8:$D$42))+1,""),ROW()-1614)),"")</f>
        <v>Home - PortCastelló</v>
      </c>
      <c r="C1629" s="114" t="str" cm="1">
        <f t="array" ref="C1629">IFERROR(INDEX('03.Muestra'!$F$8:$F$42,SMALL(IF("Página Web"='03.Muestra'!$D$8:$D$42,ROW('03.Muestra'!$F$8:$F$42)-MIN(ROW('03.Muestra'!$D$8:$D$42))+1,""),ROW()-1614)),"")</f>
        <v>https://www.portcastello.com/</v>
      </c>
      <c r="D1629" s="130" t="str">
        <f t="shared" si="85"/>
        <v>N/T</v>
      </c>
      <c r="E1629" s="107" t="str">
        <f t="shared" si="84"/>
        <v/>
      </c>
      <c r="F1629" s="19"/>
      <c r="G1629" s="19"/>
      <c r="H1629" s="19"/>
      <c r="I1629" s="19"/>
      <c r="J1629" s="19"/>
      <c r="K1629" s="233"/>
    </row>
    <row r="1630" spans="1:11" ht="12" customHeight="1">
      <c r="A1630" s="219" t="n" cm="1">
        <f t="array" ref="A1630">IFERROR(INDEX('03.Muestra'!$B$8:$B$42,SMALL(IF("Página Web"='03.Muestra'!$D$8:$D$42,ROW('03.Muestra'!$B$8:$B$42)-MIN(ROW('03.Muestra'!$D$8:$D$42))+1,""),ROW()-1614)),"")</f>
        <v>1.0</v>
      </c>
      <c r="B1630" s="114" t="str" cm="1">
        <f t="array" ref="B1630">IFERROR(INDEX('03.Muestra'!$C$8:$C$42,SMALL(IF("Página Web"='03.Muestra'!$D$8:$D$42,ROW('03.Muestra'!$C$8:$C$42)-MIN(ROW('03.Muestra'!$D$8:$D$42))+1,""),ROW()-1614)),"")</f>
        <v>Home - PortCastelló</v>
      </c>
      <c r="C1630" s="114" t="str" cm="1">
        <f t="array" ref="C1630">IFERROR(INDEX('03.Muestra'!$F$8:$F$42,SMALL(IF("Página Web"='03.Muestra'!$D$8:$D$42,ROW('03.Muestra'!$F$8:$F$42)-MIN(ROW('03.Muestra'!$D$8:$D$42))+1,""),ROW()-1614)),"")</f>
        <v>https://www.portcastello.com/</v>
      </c>
      <c r="D1630" s="130" t="str">
        <f t="shared" si="85"/>
        <v>N/T</v>
      </c>
      <c r="E1630" s="107" t="str">
        <f t="shared" si="84"/>
        <v/>
      </c>
      <c r="F1630" s="19"/>
      <c r="G1630" s="19"/>
      <c r="H1630" s="19"/>
      <c r="I1630" s="19"/>
      <c r="J1630" s="19"/>
      <c r="K1630" s="233"/>
    </row>
    <row r="1631" spans="1:11" ht="12" customHeight="1">
      <c r="A1631" s="219" t="n" cm="1">
        <f t="array" ref="A1631">IFERROR(INDEX('03.Muestra'!$B$8:$B$42,SMALL(IF("Página Web"='03.Muestra'!$D$8:$D$42,ROW('03.Muestra'!$B$8:$B$42)-MIN(ROW('03.Muestra'!$D$8:$D$42))+1,""),ROW()-1614)),"")</f>
        <v>1.0</v>
      </c>
      <c r="B1631" s="114" t="str" cm="1">
        <f t="array" ref="B1631">IFERROR(INDEX('03.Muestra'!$C$8:$C$42,SMALL(IF("Página Web"='03.Muestra'!$D$8:$D$42,ROW('03.Muestra'!$C$8:$C$42)-MIN(ROW('03.Muestra'!$D$8:$D$42))+1,""),ROW()-1614)),"")</f>
        <v>Home - PortCastelló</v>
      </c>
      <c r="C1631" s="114" t="str" cm="1">
        <f t="array" ref="C1631">IFERROR(INDEX('03.Muestra'!$F$8:$F$42,SMALL(IF("Página Web"='03.Muestra'!$D$8:$D$42,ROW('03.Muestra'!$F$8:$F$42)-MIN(ROW('03.Muestra'!$D$8:$D$42))+1,""),ROW()-1614)),"")</f>
        <v>https://www.portcastello.com/</v>
      </c>
      <c r="D1631" s="130" t="str">
        <f t="shared" si="85"/>
        <v>N/T</v>
      </c>
      <c r="E1631" s="107" t="str">
        <f t="shared" si="84"/>
        <v/>
      </c>
      <c r="F1631" s="19"/>
      <c r="G1631" s="19"/>
      <c r="H1631" s="19"/>
      <c r="I1631" s="19"/>
      <c r="J1631" s="19"/>
      <c r="K1631" s="233"/>
    </row>
    <row r="1632" spans="1:11" ht="12" customHeight="1">
      <c r="A1632" s="219" t="n" cm="1">
        <f t="array" ref="A1632">IFERROR(INDEX('03.Muestra'!$B$8:$B$42,SMALL(IF("Página Web"='03.Muestra'!$D$8:$D$42,ROW('03.Muestra'!$B$8:$B$42)-MIN(ROW('03.Muestra'!$D$8:$D$42))+1,""),ROW()-1614)),"")</f>
        <v>1.0</v>
      </c>
      <c r="B1632" s="114" t="str" cm="1">
        <f t="array" ref="B1632">IFERROR(INDEX('03.Muestra'!$C$8:$C$42,SMALL(IF("Página Web"='03.Muestra'!$D$8:$D$42,ROW('03.Muestra'!$C$8:$C$42)-MIN(ROW('03.Muestra'!$D$8:$D$42))+1,""),ROW()-1614)),"")</f>
        <v>Home - PortCastelló</v>
      </c>
      <c r="C1632" s="114" t="str" cm="1">
        <f t="array" ref="C1632">IFERROR(INDEX('03.Muestra'!$F$8:$F$42,SMALL(IF("Página Web"='03.Muestra'!$D$8:$D$42,ROW('03.Muestra'!$F$8:$F$42)-MIN(ROW('03.Muestra'!$D$8:$D$42))+1,""),ROW()-1614)),"")</f>
        <v>https://www.portcastello.com/</v>
      </c>
      <c r="D1632" s="130" t="str">
        <f t="shared" si="85"/>
        <v>N/T</v>
      </c>
      <c r="E1632" s="107" t="str">
        <f t="shared" si="84"/>
        <v/>
      </c>
      <c r="F1632" s="19"/>
      <c r="G1632" s="19"/>
      <c r="H1632" s="19"/>
      <c r="I1632" s="19"/>
      <c r="J1632" s="19"/>
      <c r="K1632" s="233"/>
    </row>
    <row r="1633" spans="1:11" ht="12" customHeight="1">
      <c r="A1633" s="219" t="n" cm="1">
        <f t="array" ref="A1633">IFERROR(INDEX('03.Muestra'!$B$8:$B$42,SMALL(IF("Página Web"='03.Muestra'!$D$8:$D$42,ROW('03.Muestra'!$B$8:$B$42)-MIN(ROW('03.Muestra'!$D$8:$D$42))+1,""),ROW()-1614)),"")</f>
        <v>1.0</v>
      </c>
      <c r="B1633" s="114" t="str" cm="1">
        <f t="array" ref="B1633">IFERROR(INDEX('03.Muestra'!$C$8:$C$42,SMALL(IF("Página Web"='03.Muestra'!$D$8:$D$42,ROW('03.Muestra'!$C$8:$C$42)-MIN(ROW('03.Muestra'!$D$8:$D$42))+1,""),ROW()-1614)),"")</f>
        <v>Home - PortCastelló</v>
      </c>
      <c r="C1633" s="114" t="str" cm="1">
        <f t="array" ref="C1633">IFERROR(INDEX('03.Muestra'!$F$8:$F$42,SMALL(IF("Página Web"='03.Muestra'!$D$8:$D$42,ROW('03.Muestra'!$F$8:$F$42)-MIN(ROW('03.Muestra'!$D$8:$D$42))+1,""),ROW()-1614)),"")</f>
        <v>https://www.portcastello.com/</v>
      </c>
      <c r="D1633" s="130" t="str">
        <f t="shared" si="85"/>
        <v>N/T</v>
      </c>
      <c r="E1633" s="107" t="str">
        <f t="shared" si="84"/>
        <v/>
      </c>
      <c r="F1633" s="19"/>
      <c r="G1633" s="19"/>
      <c r="H1633" s="19"/>
      <c r="I1633" s="19"/>
      <c r="J1633" s="19"/>
      <c r="K1633" s="233"/>
    </row>
    <row r="1634" spans="1:11" ht="12" customHeight="1">
      <c r="A1634" s="219" t="n" cm="1">
        <f t="array" ref="A1634">IFERROR(INDEX('03.Muestra'!$B$8:$B$42,SMALL(IF("Página Web"='03.Muestra'!$D$8:$D$42,ROW('03.Muestra'!$B$8:$B$42)-MIN(ROW('03.Muestra'!$D$8:$D$42))+1,""),ROW()-1614)),"")</f>
        <v>1.0</v>
      </c>
      <c r="B1634" s="114" t="str" cm="1">
        <f t="array" ref="B1634">IFERROR(INDEX('03.Muestra'!$C$8:$C$42,SMALL(IF("Página Web"='03.Muestra'!$D$8:$D$42,ROW('03.Muestra'!$C$8:$C$42)-MIN(ROW('03.Muestra'!$D$8:$D$42))+1,""),ROW()-1614)),"")</f>
        <v>Home - PortCastelló</v>
      </c>
      <c r="C1634" s="114" t="str" cm="1">
        <f t="array" ref="C1634">IFERROR(INDEX('03.Muestra'!$F$8:$F$42,SMALL(IF("Página Web"='03.Muestra'!$D$8:$D$42,ROW('03.Muestra'!$F$8:$F$42)-MIN(ROW('03.Muestra'!$D$8:$D$42))+1,""),ROW()-1614)),"")</f>
        <v>https://www.portcastello.com/</v>
      </c>
      <c r="D1634" s="130" t="str">
        <f t="shared" si="85"/>
        <v>N/T</v>
      </c>
      <c r="E1634" s="107" t="str">
        <f t="shared" si="84"/>
        <v/>
      </c>
      <c r="F1634" s="19"/>
      <c r="G1634" s="19"/>
      <c r="H1634" s="19"/>
      <c r="I1634" s="19"/>
      <c r="J1634" s="19"/>
      <c r="K1634" s="233"/>
    </row>
    <row r="1635" spans="1:11" ht="12" customHeight="1">
      <c r="A1635" s="219" t="n" cm="1">
        <f t="array" ref="A1635">IFERROR(INDEX('03.Muestra'!$B$8:$B$42,SMALL(IF("Página Web"='03.Muestra'!$D$8:$D$42,ROW('03.Muestra'!$B$8:$B$42)-MIN(ROW('03.Muestra'!$D$8:$D$42))+1,""),ROW()-1614)),"")</f>
        <v>1.0</v>
      </c>
      <c r="B1635" s="114" t="str" cm="1">
        <f t="array" ref="B1635">IFERROR(INDEX('03.Muestra'!$C$8:$C$42,SMALL(IF("Página Web"='03.Muestra'!$D$8:$D$42,ROW('03.Muestra'!$C$8:$C$42)-MIN(ROW('03.Muestra'!$D$8:$D$42))+1,""),ROW()-1614)),"")</f>
        <v>Home - PortCastelló</v>
      </c>
      <c r="C1635" s="114" t="str" cm="1">
        <f t="array" ref="C1635">IFERROR(INDEX('03.Muestra'!$F$8:$F$42,SMALL(IF("Página Web"='03.Muestra'!$D$8:$D$42,ROW('03.Muestra'!$F$8:$F$42)-MIN(ROW('03.Muestra'!$D$8:$D$42))+1,""),ROW()-1614)),"")</f>
        <v>https://www.portcastello.com/</v>
      </c>
      <c r="D1635" s="130" t="str">
        <f t="shared" si="85"/>
        <v>N/T</v>
      </c>
      <c r="E1635" s="107" t="str">
        <f t="shared" si="84"/>
        <v/>
      </c>
      <c r="F1635" s="19"/>
      <c r="G1635" s="19"/>
      <c r="H1635" s="19"/>
      <c r="I1635" s="19"/>
      <c r="J1635" s="19"/>
      <c r="K1635" s="233"/>
    </row>
    <row r="1636" spans="1:11" ht="12" customHeight="1">
      <c r="A1636" s="219" t="n" cm="1">
        <f t="array" ref="A1636">IFERROR(INDEX('03.Muestra'!$B$8:$B$42,SMALL(IF("Página Web"='03.Muestra'!$D$8:$D$42,ROW('03.Muestra'!$B$8:$B$42)-MIN(ROW('03.Muestra'!$D$8:$D$42))+1,""),ROW()-1614)),"")</f>
        <v>1.0</v>
      </c>
      <c r="B1636" s="114" t="str" cm="1">
        <f t="array" ref="B1636">IFERROR(INDEX('03.Muestra'!$C$8:$C$42,SMALL(IF("Página Web"='03.Muestra'!$D$8:$D$42,ROW('03.Muestra'!$C$8:$C$42)-MIN(ROW('03.Muestra'!$D$8:$D$42))+1,""),ROW()-1614)),"")</f>
        <v>Home - PortCastelló</v>
      </c>
      <c r="C1636" s="114" t="str" cm="1">
        <f t="array" ref="C1636">IFERROR(INDEX('03.Muestra'!$F$8:$F$42,SMALL(IF("Página Web"='03.Muestra'!$D$8:$D$42,ROW('03.Muestra'!$F$8:$F$42)-MIN(ROW('03.Muestra'!$D$8:$D$42))+1,""),ROW()-1614)),"")</f>
        <v>https://www.portcastello.com/</v>
      </c>
      <c r="D1636" s="130" t="str">
        <f t="shared" si="85"/>
        <v>N/T</v>
      </c>
      <c r="E1636" s="107" t="str">
        <f t="shared" si="84"/>
        <v/>
      </c>
      <c r="F1636" s="19"/>
      <c r="G1636" s="19"/>
      <c r="H1636" s="19"/>
      <c r="I1636" s="19"/>
      <c r="J1636" s="19"/>
      <c r="K1636" s="233"/>
    </row>
    <row r="1637" spans="1:11" ht="12" customHeight="1">
      <c r="A1637" s="219" t="n" cm="1">
        <f t="array" ref="A1637">IFERROR(INDEX('03.Muestra'!$B$8:$B$42,SMALL(IF("Página Web"='03.Muestra'!$D$8:$D$42,ROW('03.Muestra'!$B$8:$B$42)-MIN(ROW('03.Muestra'!$D$8:$D$42))+1,""),ROW()-1614)),"")</f>
        <v>1.0</v>
      </c>
      <c r="B1637" s="114" t="str" cm="1">
        <f t="array" ref="B1637">IFERROR(INDEX('03.Muestra'!$C$8:$C$42,SMALL(IF("Página Web"='03.Muestra'!$D$8:$D$42,ROW('03.Muestra'!$C$8:$C$42)-MIN(ROW('03.Muestra'!$D$8:$D$42))+1,""),ROW()-1614)),"")</f>
        <v>Home - PortCastelló</v>
      </c>
      <c r="C1637" s="114" t="str" cm="1">
        <f t="array" ref="C1637">IFERROR(INDEX('03.Muestra'!$F$8:$F$42,SMALL(IF("Página Web"='03.Muestra'!$D$8:$D$42,ROW('03.Muestra'!$F$8:$F$42)-MIN(ROW('03.Muestra'!$D$8:$D$42))+1,""),ROW()-1614)),"")</f>
        <v>https://www.portcastello.com/</v>
      </c>
      <c r="D1637" s="130" t="str">
        <f t="shared" si="85"/>
        <v>N/T</v>
      </c>
      <c r="E1637" s="107" t="str">
        <f t="shared" si="84"/>
        <v/>
      </c>
      <c r="F1637" s="19"/>
      <c r="G1637" s="19"/>
      <c r="H1637" s="19"/>
      <c r="I1637" s="19"/>
      <c r="J1637" s="19"/>
      <c r="K1637" s="233"/>
    </row>
    <row r="1638" spans="1:11" ht="12" customHeight="1">
      <c r="A1638" s="219" t="n" cm="1">
        <f t="array" ref="A1638">IFERROR(INDEX('03.Muestra'!$B$8:$B$42,SMALL(IF("Página Web"='03.Muestra'!$D$8:$D$42,ROW('03.Muestra'!$B$8:$B$42)-MIN(ROW('03.Muestra'!$D$8:$D$42))+1,""),ROW()-1614)),"")</f>
        <v>1.0</v>
      </c>
      <c r="B1638" s="114" t="str" cm="1">
        <f t="array" ref="B1638">IFERROR(INDEX('03.Muestra'!$C$8:$C$42,SMALL(IF("Página Web"='03.Muestra'!$D$8:$D$42,ROW('03.Muestra'!$C$8:$C$42)-MIN(ROW('03.Muestra'!$D$8:$D$42))+1,""),ROW()-1614)),"")</f>
        <v>Home - PortCastelló</v>
      </c>
      <c r="C1638" s="114" t="str" cm="1">
        <f t="array" ref="C1638">IFERROR(INDEX('03.Muestra'!$F$8:$F$42,SMALL(IF("Página Web"='03.Muestra'!$D$8:$D$42,ROW('03.Muestra'!$F$8:$F$42)-MIN(ROW('03.Muestra'!$D$8:$D$42))+1,""),ROW()-1614)),"")</f>
        <v>https://www.portcastello.com/</v>
      </c>
      <c r="D1638" s="130" t="str">
        <f t="shared" si="85"/>
        <v>N/T</v>
      </c>
      <c r="E1638" s="107" t="str">
        <f t="shared" si="84"/>
        <v/>
      </c>
      <c r="F1638" s="19"/>
      <c r="G1638" s="19"/>
      <c r="H1638" s="19"/>
      <c r="I1638" s="19"/>
      <c r="J1638" s="19"/>
      <c r="K1638" s="233"/>
    </row>
    <row r="1639" spans="1:11" ht="12" customHeight="1">
      <c r="A1639" s="219" t="n" cm="1">
        <f t="array" ref="A1639">IFERROR(INDEX('03.Muestra'!$B$8:$B$42,SMALL(IF("Página Web"='03.Muestra'!$D$8:$D$42,ROW('03.Muestra'!$B$8:$B$42)-MIN(ROW('03.Muestra'!$D$8:$D$42))+1,""),ROW()-1614)),"")</f>
        <v>1.0</v>
      </c>
      <c r="B1639" s="114" t="str" cm="1">
        <f t="array" ref="B1639">IFERROR(INDEX('03.Muestra'!$C$8:$C$42,SMALL(IF("Página Web"='03.Muestra'!$D$8:$D$42,ROW('03.Muestra'!$C$8:$C$42)-MIN(ROW('03.Muestra'!$D$8:$D$42))+1,""),ROW()-1614)),"")</f>
        <v>Home - PortCastelló</v>
      </c>
      <c r="C1639" s="114" t="str" cm="1">
        <f t="array" ref="C1639">IFERROR(INDEX('03.Muestra'!$F$8:$F$42,SMALL(IF("Página Web"='03.Muestra'!$D$8:$D$42,ROW('03.Muestra'!$F$8:$F$42)-MIN(ROW('03.Muestra'!$D$8:$D$42))+1,""),ROW()-1614)),"")</f>
        <v>https://www.portcastello.com/</v>
      </c>
      <c r="D1639" s="130" t="str">
        <f t="shared" si="85"/>
        <v>N/T</v>
      </c>
      <c r="E1639" s="107" t="str">
        <f t="shared" si="84"/>
        <v/>
      </c>
      <c r="F1639" s="19"/>
      <c r="G1639" s="19"/>
      <c r="H1639" s="19"/>
      <c r="I1639" s="19"/>
      <c r="J1639" s="19"/>
      <c r="K1639" s="233"/>
    </row>
    <row r="1640" spans="1:11" ht="12" customHeight="1">
      <c r="A1640" s="219" t="n" cm="1">
        <f t="array" ref="A1640">IFERROR(INDEX('03.Muestra'!$B$8:$B$42,SMALL(IF("Página Web"='03.Muestra'!$D$8:$D$42,ROW('03.Muestra'!$B$8:$B$42)-MIN(ROW('03.Muestra'!$D$8:$D$42))+1,""),ROW()-1614)),"")</f>
        <v>1.0</v>
      </c>
      <c r="B1640" s="114" t="str" cm="1">
        <f t="array" ref="B1640">IFERROR(INDEX('03.Muestra'!$C$8:$C$42,SMALL(IF("Página Web"='03.Muestra'!$D$8:$D$42,ROW('03.Muestra'!$C$8:$C$42)-MIN(ROW('03.Muestra'!$D$8:$D$42))+1,""),ROW()-1614)),"")</f>
        <v>Home - PortCastelló</v>
      </c>
      <c r="C1640" s="114" t="str" cm="1">
        <f t="array" ref="C1640">IFERROR(INDEX('03.Muestra'!$F$8:$F$42,SMALL(IF("Página Web"='03.Muestra'!$D$8:$D$42,ROW('03.Muestra'!$F$8:$F$42)-MIN(ROW('03.Muestra'!$D$8:$D$42))+1,""),ROW()-1614)),"")</f>
        <v>https://www.portcastello.com/</v>
      </c>
      <c r="D1640" s="130" t="str">
        <f t="shared" si="85"/>
        <v>N/T</v>
      </c>
      <c r="E1640" s="107" t="str">
        <f t="shared" si="84"/>
        <v/>
      </c>
      <c r="F1640" s="19"/>
      <c r="G1640" s="19"/>
      <c r="H1640" s="19"/>
      <c r="I1640" s="19"/>
      <c r="J1640" s="19"/>
      <c r="K1640" s="233"/>
    </row>
    <row r="1641" spans="1:11" ht="12" customHeight="1">
      <c r="A1641" s="219" t="n" cm="1">
        <f t="array" ref="A1641">IFERROR(INDEX('03.Muestra'!$B$8:$B$42,SMALL(IF("Página Web"='03.Muestra'!$D$8:$D$42,ROW('03.Muestra'!$B$8:$B$42)-MIN(ROW('03.Muestra'!$D$8:$D$42))+1,""),ROW()-1614)),"")</f>
        <v>1.0</v>
      </c>
      <c r="B1641" s="114" t="str" cm="1">
        <f t="array" ref="B1641">IFERROR(INDEX('03.Muestra'!$C$8:$C$42,SMALL(IF("Página Web"='03.Muestra'!$D$8:$D$42,ROW('03.Muestra'!$C$8:$C$42)-MIN(ROW('03.Muestra'!$D$8:$D$42))+1,""),ROW()-1614)),"")</f>
        <v>Home - PortCastelló</v>
      </c>
      <c r="C1641" s="114" t="str" cm="1">
        <f t="array" ref="C1641">IFERROR(INDEX('03.Muestra'!$F$8:$F$42,SMALL(IF("Página Web"='03.Muestra'!$D$8:$D$42,ROW('03.Muestra'!$F$8:$F$42)-MIN(ROW('03.Muestra'!$D$8:$D$42))+1,""),ROW()-1614)),"")</f>
        <v>https://www.portcastello.com/</v>
      </c>
      <c r="D1641" s="130" t="str">
        <f t="shared" si="85"/>
        <v>N/T</v>
      </c>
      <c r="E1641" s="107" t="str">
        <f t="shared" si="84"/>
        <v/>
      </c>
      <c r="F1641" s="19"/>
      <c r="G1641" s="19"/>
      <c r="H1641" s="19"/>
      <c r="I1641" s="19"/>
      <c r="J1641" s="19"/>
      <c r="K1641" s="233"/>
    </row>
    <row r="1642" spans="1:11" ht="12" customHeight="1">
      <c r="A1642" s="219" t="n" cm="1">
        <f t="array" ref="A1642">IFERROR(INDEX('03.Muestra'!$B$8:$B$42,SMALL(IF("Página Web"='03.Muestra'!$D$8:$D$42,ROW('03.Muestra'!$B$8:$B$42)-MIN(ROW('03.Muestra'!$D$8:$D$42))+1,""),ROW()-1614)),"")</f>
        <v>1.0</v>
      </c>
      <c r="B1642" s="114" t="str" cm="1">
        <f t="array" ref="B1642">IFERROR(INDEX('03.Muestra'!$C$8:$C$42,SMALL(IF("Página Web"='03.Muestra'!$D$8:$D$42,ROW('03.Muestra'!$C$8:$C$42)-MIN(ROW('03.Muestra'!$D$8:$D$42))+1,""),ROW()-1614)),"")</f>
        <v>Home - PortCastelló</v>
      </c>
      <c r="C1642" s="114" t="str" cm="1">
        <f t="array" ref="C1642">IFERROR(INDEX('03.Muestra'!$F$8:$F$42,SMALL(IF("Página Web"='03.Muestra'!$D$8:$D$42,ROW('03.Muestra'!$F$8:$F$42)-MIN(ROW('03.Muestra'!$D$8:$D$42))+1,""),ROW()-1614)),"")</f>
        <v>https://www.portcastello.com/</v>
      </c>
      <c r="D1642" s="130" t="str">
        <f t="shared" si="85"/>
        <v>N/T</v>
      </c>
      <c r="E1642" s="107" t="str">
        <f t="shared" si="84"/>
        <v/>
      </c>
      <c r="G1642" s="19"/>
      <c r="H1642" s="19"/>
      <c r="I1642" s="19"/>
      <c r="J1642" s="19"/>
      <c r="K1642" s="233"/>
    </row>
    <row r="1643" spans="1:11" ht="12" customHeight="1">
      <c r="A1643" s="219" t="n" cm="1">
        <f t="array" ref="A1643">IFERROR(INDEX('03.Muestra'!$B$8:$B$42,SMALL(IF("Página Web"='03.Muestra'!$D$8:$D$42,ROW('03.Muestra'!$B$8:$B$42)-MIN(ROW('03.Muestra'!$D$8:$D$42))+1,""),ROW()-1614)),"")</f>
        <v>1.0</v>
      </c>
      <c r="B1643" s="114" t="str" cm="1">
        <f t="array" ref="B1643">IFERROR(INDEX('03.Muestra'!$C$8:$C$42,SMALL(IF("Página Web"='03.Muestra'!$D$8:$D$42,ROW('03.Muestra'!$C$8:$C$42)-MIN(ROW('03.Muestra'!$D$8:$D$42))+1,""),ROW()-1614)),"")</f>
        <v>Home - PortCastelló</v>
      </c>
      <c r="C1643" s="114" t="str" cm="1">
        <f t="array" ref="C1643">IFERROR(INDEX('03.Muestra'!$F$8:$F$42,SMALL(IF("Página Web"='03.Muestra'!$D$8:$D$42,ROW('03.Muestra'!$F$8:$F$42)-MIN(ROW('03.Muestra'!$D$8:$D$42))+1,""),ROW()-1614)),"")</f>
        <v>https://www.portcastello.com/</v>
      </c>
      <c r="D1643" s="130" t="str">
        <f t="shared" si="85"/>
        <v>N/T</v>
      </c>
      <c r="E1643" s="107" t="str">
        <f t="shared" si="84"/>
        <v/>
      </c>
      <c r="F1643" s="124"/>
      <c r="G1643" s="19"/>
      <c r="H1643" s="19"/>
      <c r="I1643" s="19"/>
      <c r="J1643" s="19"/>
      <c r="K1643" s="233"/>
    </row>
    <row r="1644" spans="1:11" ht="12" customHeight="1">
      <c r="A1644" s="219" t="n" cm="1">
        <f t="array" ref="A1644">IFERROR(INDEX('03.Muestra'!$B$8:$B$42,SMALL(IF("Página Web"='03.Muestra'!$D$8:$D$42,ROW('03.Muestra'!$B$8:$B$42)-MIN(ROW('03.Muestra'!$D$8:$D$42))+1,""),ROW()-1614)),"")</f>
        <v>1.0</v>
      </c>
      <c r="B1644" s="114" t="str" cm="1">
        <f t="array" ref="B1644">IFERROR(INDEX('03.Muestra'!$C$8:$C$42,SMALL(IF("Página Web"='03.Muestra'!$D$8:$D$42,ROW('03.Muestra'!$C$8:$C$42)-MIN(ROW('03.Muestra'!$D$8:$D$42))+1,""),ROW()-1614)),"")</f>
        <v>Home - PortCastelló</v>
      </c>
      <c r="C1644" s="114" t="str" cm="1">
        <f t="array" ref="C1644">IFERROR(INDEX('03.Muestra'!$F$8:$F$42,SMALL(IF("Página Web"='03.Muestra'!$D$8:$D$42,ROW('03.Muestra'!$F$8:$F$42)-MIN(ROW('03.Muestra'!$D$8:$D$42))+1,""),ROW()-1614)),"")</f>
        <v>https://www.portcastello.com/</v>
      </c>
      <c r="D1644" s="130" t="str">
        <f t="shared" si="85"/>
        <v>N/T</v>
      </c>
      <c r="E1644" s="107" t="str">
        <f t="shared" si="84"/>
        <v/>
      </c>
      <c r="F1644" s="124"/>
      <c r="G1644" s="19"/>
      <c r="H1644" s="19"/>
      <c r="I1644" s="19"/>
      <c r="J1644" s="19"/>
      <c r="K1644" s="233"/>
    </row>
    <row r="1645" spans="1:11" ht="12" customHeight="1">
      <c r="A1645" s="219" t="n" cm="1">
        <f t="array" ref="A1645">IFERROR(INDEX('03.Muestra'!$B$8:$B$42,SMALL(IF("Página Web"='03.Muestra'!$D$8:$D$42,ROW('03.Muestra'!$B$8:$B$42)-MIN(ROW('03.Muestra'!$D$8:$D$42))+1,""),ROW()-1614)),"")</f>
        <v>1.0</v>
      </c>
      <c r="B1645" s="114" t="str" cm="1">
        <f t="array" ref="B1645">IFERROR(INDEX('03.Muestra'!$C$8:$C$42,SMALL(IF("Página Web"='03.Muestra'!$D$8:$D$42,ROW('03.Muestra'!$C$8:$C$42)-MIN(ROW('03.Muestra'!$D$8:$D$42))+1,""),ROW()-1614)),"")</f>
        <v>Home - PortCastelló</v>
      </c>
      <c r="C1645" s="114" t="str" cm="1">
        <f t="array" ref="C1645">IFERROR(INDEX('03.Muestra'!$F$8:$F$42,SMALL(IF("Página Web"='03.Muestra'!$D$8:$D$42,ROW('03.Muestra'!$F$8:$F$42)-MIN(ROW('03.Muestra'!$D$8:$D$42))+1,""),ROW()-1614)),"")</f>
        <v>https://www.portcastello.com/</v>
      </c>
      <c r="D1645" s="130" t="str">
        <f t="shared" si="85"/>
        <v>N/T</v>
      </c>
      <c r="E1645" s="107" t="str">
        <f t="shared" si="84"/>
        <v/>
      </c>
      <c r="F1645" s="124"/>
      <c r="G1645" s="19"/>
      <c r="H1645" s="19"/>
      <c r="I1645" s="19"/>
      <c r="J1645" s="19"/>
      <c r="K1645" s="233"/>
    </row>
    <row r="1646" spans="1:11" ht="12" customHeight="1">
      <c r="A1646" s="219" t="n" cm="1">
        <f t="array" ref="A1646">IFERROR(INDEX('03.Muestra'!$B$8:$B$42,SMALL(IF("Página Web"='03.Muestra'!$D$8:$D$42,ROW('03.Muestra'!$B$8:$B$42)-MIN(ROW('03.Muestra'!$D$8:$D$42))+1,""),ROW()-1614)),"")</f>
        <v>1.0</v>
      </c>
      <c r="B1646" s="114" t="str" cm="1">
        <f t="array" ref="B1646">IFERROR(INDEX('03.Muestra'!$C$8:$C$42,SMALL(IF("Página Web"='03.Muestra'!$D$8:$D$42,ROW('03.Muestra'!$C$8:$C$42)-MIN(ROW('03.Muestra'!$D$8:$D$42))+1,""),ROW()-1614)),"")</f>
        <v>Home - PortCastelló</v>
      </c>
      <c r="C1646" s="114" t="str" cm="1">
        <f t="array" ref="C1646">IFERROR(INDEX('03.Muestra'!$F$8:$F$42,SMALL(IF("Página Web"='03.Muestra'!$D$8:$D$42,ROW('03.Muestra'!$F$8:$F$42)-MIN(ROW('03.Muestra'!$D$8:$D$42))+1,""),ROW()-1614)),"")</f>
        <v>https://www.portcastello.com/</v>
      </c>
      <c r="D1646" s="130" t="str">
        <f t="shared" si="85"/>
        <v>N/T</v>
      </c>
      <c r="E1646" s="107" t="str">
        <f t="shared" si="84"/>
        <v/>
      </c>
      <c r="F1646" s="124"/>
      <c r="G1646" s="19"/>
      <c r="H1646" s="19"/>
      <c r="I1646" s="19"/>
      <c r="J1646" s="19"/>
      <c r="K1646" s="233"/>
    </row>
    <row r="1647" spans="1:11" ht="12" customHeight="1">
      <c r="A1647" s="219" t="n" cm="1">
        <f t="array" ref="A1647">IFERROR(INDEX('03.Muestra'!$B$8:$B$42,SMALL(IF("Página Web"='03.Muestra'!$D$8:$D$42,ROW('03.Muestra'!$B$8:$B$42)-MIN(ROW('03.Muestra'!$D$8:$D$42))+1,""),ROW()-1614)),"")</f>
        <v>1.0</v>
      </c>
      <c r="B1647" s="114" t="str" cm="1">
        <f t="array" ref="B1647">IFERROR(INDEX('03.Muestra'!$C$8:$C$42,SMALL(IF("Página Web"='03.Muestra'!$D$8:$D$42,ROW('03.Muestra'!$C$8:$C$42)-MIN(ROW('03.Muestra'!$D$8:$D$42))+1,""),ROW()-1614)),"")</f>
        <v>Home - PortCastelló</v>
      </c>
      <c r="C1647" s="114" t="str" cm="1">
        <f t="array" ref="C1647">IFERROR(INDEX('03.Muestra'!$F$8:$F$42,SMALL(IF("Página Web"='03.Muestra'!$D$8:$D$42,ROW('03.Muestra'!$F$8:$F$42)-MIN(ROW('03.Muestra'!$D$8:$D$42))+1,""),ROW()-1614)),"")</f>
        <v>https://www.portcastello.com/</v>
      </c>
      <c r="D1647" s="130" t="str">
        <f t="shared" si="85"/>
        <v>N/T</v>
      </c>
      <c r="E1647" s="107" t="str">
        <f t="shared" si="84"/>
        <v/>
      </c>
      <c r="F1647" s="124"/>
      <c r="G1647" s="19"/>
      <c r="H1647" s="19"/>
      <c r="I1647" s="19"/>
      <c r="J1647" s="19"/>
      <c r="K1647" s="233"/>
    </row>
    <row r="1648" spans="1:11" ht="12" customHeight="1">
      <c r="A1648" s="219" t="str" cm="1">
        <f t="array" ref="A1648">IFERROR(INDEX('03.Muestra'!$B$8:$B$42,SMALL(IF("Página Web"='03.Muestra'!$D$8:$D$42,ROW('03.Muestra'!$B$8:$B$42)-MIN(ROW('03.Muestra'!$D$8:$D$42))+1,""),ROW()-1614)),"")</f>
        <v/>
      </c>
      <c r="B1648" s="114" t="str" cm="1">
        <f t="array" ref="B1648">IFERROR(INDEX('03.Muestra'!$C$8:$C$42,SMALL(IF("Página Web"='03.Muestra'!$D$8:$D$42,ROW('03.Muestra'!$C$8:$C$42)-MIN(ROW('03.Muestra'!$D$8:$D$42))+1,""),ROW()-1614)),"")</f>
        <v/>
      </c>
      <c r="C1648" s="114" t="str" cm="1">
        <f t="array" ref="C1648">IFERROR(INDEX('03.Muestra'!$F$8:$F$42,SMALL(IF("Página Web"='03.Muestra'!$D$8:$D$42,ROW('03.Muestra'!$F$8:$F$42)-MIN(ROW('03.Muestra'!$D$8:$D$42))+1,""),ROW()-1614)),"")</f>
        <v/>
      </c>
      <c r="D1648" s="130" t="str">
        <f t="shared" si="85"/>
        <v/>
      </c>
      <c r="E1648" s="107" t="str">
        <f t="shared" si="84"/>
        <v/>
      </c>
      <c r="F1648" s="124"/>
      <c r="G1648" s="19"/>
      <c r="H1648" s="19"/>
      <c r="I1648" s="19"/>
      <c r="J1648" s="19"/>
      <c r="K1648" s="233"/>
    </row>
    <row r="1649" spans="1:11" ht="12" customHeight="1">
      <c r="A1649" s="219" t="str" cm="1">
        <f t="array" ref="A1649">IFERROR(INDEX('03.Muestra'!$B$8:$B$42,SMALL(IF("Página Web"='03.Muestra'!$D$8:$D$42,ROW('03.Muestra'!$B$8:$B$42)-MIN(ROW('03.Muestra'!$D$8:$D$42))+1,""),ROW()-1614)),"")</f>
        <v/>
      </c>
      <c r="B1649" s="114" t="str" cm="1">
        <f t="array" ref="B1649">IFERROR(INDEX('03.Muestra'!$C$8:$C$42,SMALL(IF("Página Web"='03.Muestra'!$D$8:$D$42,ROW('03.Muestra'!$C$8:$C$42)-MIN(ROW('03.Muestra'!$D$8:$D$42))+1,""),ROW()-1614)),"")</f>
        <v/>
      </c>
      <c r="C1649" s="114" t="str" cm="1">
        <f t="array" ref="C1649">IFERROR(INDEX('03.Muestra'!$F$8:$F$42,SMALL(IF("Página Web"='03.Muestra'!$D$8:$D$42,ROW('03.Muestra'!$F$8:$F$42)-MIN(ROW('03.Muestra'!$D$8:$D$42))+1,""),ROW()-1614)),"")</f>
        <v/>
      </c>
      <c r="D1649" s="130" t="str">
        <f t="shared" si="85"/>
        <v/>
      </c>
      <c r="E1649" s="107" t="str">
        <f t="shared" si="84"/>
        <v/>
      </c>
      <c r="F1649" s="19"/>
      <c r="G1649" s="19"/>
      <c r="H1649" s="19"/>
      <c r="I1649" s="19"/>
      <c r="J1649" s="19"/>
      <c r="K1649" s="233"/>
    </row>
    <row r="1650" spans="1:11" ht="12" customHeight="1">
      <c r="B1650" s="19"/>
      <c r="C1650" s="19"/>
      <c r="D1650" s="107"/>
      <c r="E1650" s="19"/>
      <c r="F1650" s="19"/>
      <c r="G1650" s="19"/>
      <c r="H1650" s="19"/>
      <c r="I1650" s="19"/>
      <c r="J1650" s="19"/>
      <c r="K1650" s="233"/>
    </row>
    <row r="1651" spans="1:11" ht="12" customHeight="1">
      <c r="B1651" s="19"/>
      <c r="C1651" s="19"/>
      <c r="D1651" s="107"/>
      <c r="E1651" s="112"/>
      <c r="F1651" s="19"/>
      <c r="G1651" s="19"/>
      <c r="H1651" s="19"/>
      <c r="I1651" s="19"/>
      <c r="J1651" s="19"/>
      <c r="K1651" s="233"/>
    </row>
    <row r="1652" spans="1:11" ht="29.25" customHeight="1">
      <c r="A1652" s="218" t="s">
        <v>268</v>
      </c>
      <c r="B1652" s="24" t="s">
        <v>90</v>
      </c>
      <c r="C1652" s="25" t="s">
        <v>416</v>
      </c>
      <c r="D1652" s="26" t="s">
        <v>32</v>
      </c>
      <c r="E1652" s="123"/>
      <c r="K1652" s="233"/>
    </row>
    <row r="1653" spans="1:11" ht="12" customHeight="1">
      <c r="A1653" s="219" t="n" cm="1">
        <f t="array" ref="A1653">IFERROR(INDEX('03.Muestra'!$B$8:$B$42,SMALL(IF("Página Web"='03.Muestra'!$D$8:$D$42,ROW('03.Muestra'!$B$8:$B$42)-MIN(ROW('03.Muestra'!$D$8:$D$42))+1,""),ROW()-1652)),"")</f>
        <v>1.0</v>
      </c>
      <c r="B1653" s="114" t="str" cm="1">
        <f t="array" ref="B1653">IFERROR(INDEX('03.Muestra'!$C$8:$C$42,SMALL(IF("Página Web"='03.Muestra'!$D$8:$D$42,ROW('03.Muestra'!$C$8:$C$42)-MIN(ROW('03.Muestra'!$D$8:$D$42))+1,""),ROW()-1652)),"")</f>
        <v>Home - PortCastelló</v>
      </c>
      <c r="C1653" s="114" t="str" cm="1">
        <f t="array" ref="C1653">IFERROR(INDEX('03.Muestra'!$F$8:$F$42,SMALL(IF("Página Web"='03.Muestra'!$D$8:$D$42,ROW('03.Muestra'!$F$8:$F$42)-MIN(ROW('03.Muestra'!$D$8:$D$42))+1,""),ROW()-1652)),"")</f>
        <v>https://www.portcastello.com/</v>
      </c>
      <c r="D1653" s="130" t="s">
        <v>37</v>
      </c>
      <c r="E1653" s="107" t="str">
        <f t="shared" ref="E1653:E1687" si="86">IF(D1653&lt;&gt;"",IF(AND(B1653&lt;&gt;"",C1653&lt;&gt;""),"","ERR"),"")</f>
        <v/>
      </c>
      <c r="F1653" s="115" t="s">
        <v>33</v>
      </c>
      <c r="G1653" s="116" t="s">
        <v>37</v>
      </c>
      <c r="H1653" s="117" t="s">
        <v>35</v>
      </c>
      <c r="I1653" s="118" t="s">
        <v>28</v>
      </c>
      <c r="J1653" s="119" t="s">
        <v>26</v>
      </c>
      <c r="K1653" s="226" t="s">
        <v>474</v>
      </c>
    </row>
    <row r="1654" spans="1:11" ht="12" customHeight="1">
      <c r="A1654" s="219" t="n" cm="1">
        <f t="array" ref="A1654">IFERROR(INDEX('03.Muestra'!$B$8:$B$42,SMALL(IF("Página Web"='03.Muestra'!$D$8:$D$42,ROW('03.Muestra'!$B$8:$B$42)-MIN(ROW('03.Muestra'!$D$8:$D$42))+1,""),ROW()-1652)),"")</f>
        <v>1.0</v>
      </c>
      <c r="B1654" s="114" t="str" cm="1">
        <f t="array" ref="B1654">IFERROR(INDEX('03.Muestra'!$C$8:$C$42,SMALL(IF("Página Web"='03.Muestra'!$D$8:$D$42,ROW('03.Muestra'!$C$8:$C$42)-MIN(ROW('03.Muestra'!$D$8:$D$42))+1,""),ROW()-1652)),"")</f>
        <v>Home - PortCastelló</v>
      </c>
      <c r="C1654" s="114" t="str" cm="1">
        <f t="array" ref="C1654">IFERROR(INDEX('03.Muestra'!$F$8:$F$42,SMALL(IF("Página Web"='03.Muestra'!$D$8:$D$42,ROW('03.Muestra'!$F$8:$F$42)-MIN(ROW('03.Muestra'!$D$8:$D$42))+1,""),ROW()-1652)),"")</f>
        <v>https://www.portcastello.com/</v>
      </c>
      <c r="D1654" s="130" t="s">
        <v>37</v>
      </c>
      <c r="E1654" s="107" t="str">
        <f t="shared" si="86"/>
        <v/>
      </c>
      <c r="F1654" s="120" t="n">
        <f ca="1">COUNTIF($D1653:INDIRECT("$D" &amp;  SUM(ROW()-1,'03.Muestra'!$D$45)-1),F1653)</f>
        <v>0.0</v>
      </c>
      <c r="G1654" s="120" t="n">
        <f ca="1">COUNTIF($D1653:INDIRECT("$D" &amp;  SUM(ROW()-1,'03.Muestra'!$D$45)-1),G1653)</f>
        <v>32.0</v>
      </c>
      <c r="H1654" s="120" t="n">
        <f ca="1">COUNTIF($D1653:INDIRECT("$D" &amp;  SUM(ROW()-1,'03.Muestra'!$D$45)-1),H1653)</f>
        <v>0.0</v>
      </c>
      <c r="I1654" s="120" t="n">
        <f ca="1">COUNTIF($D1653:INDIRECT("$D" &amp;  SUM(ROW()-1,'03.Muestra'!$D$45)-1),I1653)</f>
        <v>1.0</v>
      </c>
      <c r="J1654" s="120" t="n">
        <f ca="1">COUNTIF($D1653:INDIRECT("$D" &amp;  SUM(ROW()-1,'03.Muestra'!$D$45)-1),J1653)</f>
        <v>0.0</v>
      </c>
      <c r="K1654" s="227" t="n">
        <f ca="1">IF(COUNTIF('03.Muestra'!$D$8:$D$42,"Página Web")=0,0,COUNTBLANK($D1653:INDIRECT("$D" &amp;  SUM(ROW()-1,COUNTIF('03.Muestra'!$D$8:$D$42,"Página Web"))-1)))</f>
        <v>0.0</v>
      </c>
    </row>
    <row r="1655" spans="1:11" ht="12" customHeight="1">
      <c r="A1655" s="219" t="n" cm="1">
        <f t="array" ref="A1655">IFERROR(INDEX('03.Muestra'!$B$8:$B$42,SMALL(IF("Página Web"='03.Muestra'!$D$8:$D$42,ROW('03.Muestra'!$B$8:$B$42)-MIN(ROW('03.Muestra'!$D$8:$D$42))+1,""),ROW()-1652)),"")</f>
        <v>1.0</v>
      </c>
      <c r="B1655" s="114" t="str" cm="1">
        <f t="array" ref="B1655">IFERROR(INDEX('03.Muestra'!$C$8:$C$42,SMALL(IF("Página Web"='03.Muestra'!$D$8:$D$42,ROW('03.Muestra'!$C$8:$C$42)-MIN(ROW('03.Muestra'!$D$8:$D$42))+1,""),ROW()-1652)),"")</f>
        <v>Home - PortCastelló</v>
      </c>
      <c r="C1655" s="114" t="str" cm="1">
        <f t="array" ref="C1655">IFERROR(INDEX('03.Muestra'!$F$8:$F$42,SMALL(IF("Página Web"='03.Muestra'!$D$8:$D$42,ROW('03.Muestra'!$F$8:$F$42)-MIN(ROW('03.Muestra'!$D$8:$D$42))+1,""),ROW()-1652)),"")</f>
        <v>https://www.portcastello.com/</v>
      </c>
      <c r="D1655" s="130" t="s">
        <v>37</v>
      </c>
      <c r="E1655" s="107" t="str">
        <f t="shared" si="86"/>
        <v/>
      </c>
      <c r="G1655" s="19"/>
      <c r="H1655" s="19"/>
      <c r="I1655" s="19"/>
      <c r="J1655" s="19"/>
      <c r="K1655" s="233"/>
    </row>
    <row r="1656" spans="1:11" ht="12" customHeight="1">
      <c r="A1656" s="219" t="n" cm="1">
        <f t="array" ref="A1656">IFERROR(INDEX('03.Muestra'!$B$8:$B$42,SMALL(IF("Página Web"='03.Muestra'!$D$8:$D$42,ROW('03.Muestra'!$B$8:$B$42)-MIN(ROW('03.Muestra'!$D$8:$D$42))+1,""),ROW()-1652)),"")</f>
        <v>1.0</v>
      </c>
      <c r="B1656" s="114" t="str" cm="1">
        <f t="array" ref="B1656">IFERROR(INDEX('03.Muestra'!$C$8:$C$42,SMALL(IF("Página Web"='03.Muestra'!$D$8:$D$42,ROW('03.Muestra'!$C$8:$C$42)-MIN(ROW('03.Muestra'!$D$8:$D$42))+1,""),ROW()-1652)),"")</f>
        <v>Home - PortCastelló</v>
      </c>
      <c r="C1656" s="114" t="str" cm="1">
        <f t="array" ref="C1656">IFERROR(INDEX('03.Muestra'!$F$8:$F$42,SMALL(IF("Página Web"='03.Muestra'!$D$8:$D$42,ROW('03.Muestra'!$F$8:$F$42)-MIN(ROW('03.Muestra'!$D$8:$D$42))+1,""),ROW()-1652)),"")</f>
        <v>https://www.portcastello.com/</v>
      </c>
      <c r="D1656" s="130" t="s">
        <v>37</v>
      </c>
      <c r="E1656" s="107" t="str">
        <f t="shared" si="86"/>
        <v/>
      </c>
      <c r="G1656" s="19"/>
      <c r="H1656" s="19"/>
      <c r="I1656" s="19"/>
      <c r="J1656" s="19"/>
      <c r="K1656" s="233"/>
    </row>
    <row r="1657" spans="1:11" ht="12" customHeight="1">
      <c r="A1657" s="219" t="n" cm="1">
        <f t="array" ref="A1657">IFERROR(INDEX('03.Muestra'!$B$8:$B$42,SMALL(IF("Página Web"='03.Muestra'!$D$8:$D$42,ROW('03.Muestra'!$B$8:$B$42)-MIN(ROW('03.Muestra'!$D$8:$D$42))+1,""),ROW()-1652)),"")</f>
        <v>1.0</v>
      </c>
      <c r="B1657" s="114" t="str" cm="1">
        <f t="array" ref="B1657">IFERROR(INDEX('03.Muestra'!$C$8:$C$42,SMALL(IF("Página Web"='03.Muestra'!$D$8:$D$42,ROW('03.Muestra'!$C$8:$C$42)-MIN(ROW('03.Muestra'!$D$8:$D$42))+1,""),ROW()-1652)),"")</f>
        <v>Home - PortCastelló</v>
      </c>
      <c r="C1657" s="114" t="str" cm="1">
        <f t="array" ref="C1657">IFERROR(INDEX('03.Muestra'!$F$8:$F$42,SMALL(IF("Página Web"='03.Muestra'!$D$8:$D$42,ROW('03.Muestra'!$F$8:$F$42)-MIN(ROW('03.Muestra'!$D$8:$D$42))+1,""),ROW()-1652)),"")</f>
        <v>https://www.portcastello.com/</v>
      </c>
      <c r="D1657" s="130" t="s">
        <v>37</v>
      </c>
      <c r="E1657" s="107" t="str">
        <f t="shared" si="86"/>
        <v/>
      </c>
      <c r="G1657" s="19"/>
      <c r="H1657" s="19"/>
      <c r="I1657" s="19"/>
      <c r="J1657" s="19"/>
      <c r="K1657" s="233"/>
    </row>
    <row r="1658" spans="1:11" ht="12" customHeight="1">
      <c r="A1658" s="219" t="n" cm="1">
        <f t="array" ref="A1658">IFERROR(INDEX('03.Muestra'!$B$8:$B$42,SMALL(IF("Página Web"='03.Muestra'!$D$8:$D$42,ROW('03.Muestra'!$B$8:$B$42)-MIN(ROW('03.Muestra'!$D$8:$D$42))+1,""),ROW()-1652)),"")</f>
        <v>1.0</v>
      </c>
      <c r="B1658" s="114" t="str" cm="1">
        <f t="array" ref="B1658">IFERROR(INDEX('03.Muestra'!$C$8:$C$42,SMALL(IF("Página Web"='03.Muestra'!$D$8:$D$42,ROW('03.Muestra'!$C$8:$C$42)-MIN(ROW('03.Muestra'!$D$8:$D$42))+1,""),ROW()-1652)),"")</f>
        <v>Home - PortCastelló</v>
      </c>
      <c r="C1658" s="114" t="str" cm="1">
        <f t="array" ref="C1658">IFERROR(INDEX('03.Muestra'!$F$8:$F$42,SMALL(IF("Página Web"='03.Muestra'!$D$8:$D$42,ROW('03.Muestra'!$F$8:$F$42)-MIN(ROW('03.Muestra'!$D$8:$D$42))+1,""),ROW()-1652)),"")</f>
        <v>https://www.portcastello.com/</v>
      </c>
      <c r="D1658" s="130" t="s">
        <v>37</v>
      </c>
      <c r="E1658" s="107" t="str">
        <f t="shared" si="86"/>
        <v/>
      </c>
      <c r="G1658" s="19"/>
      <c r="H1658" s="19"/>
      <c r="I1658" s="19"/>
      <c r="J1658" s="19"/>
      <c r="K1658" s="233"/>
    </row>
    <row r="1659" spans="1:11" ht="12" customHeight="1">
      <c r="A1659" s="219" t="n" cm="1">
        <f t="array" ref="A1659">IFERROR(INDEX('03.Muestra'!$B$8:$B$42,SMALL(IF("Página Web"='03.Muestra'!$D$8:$D$42,ROW('03.Muestra'!$B$8:$B$42)-MIN(ROW('03.Muestra'!$D$8:$D$42))+1,""),ROW()-1652)),"")</f>
        <v>1.0</v>
      </c>
      <c r="B1659" s="114" t="str" cm="1">
        <f t="array" ref="B1659">IFERROR(INDEX('03.Muestra'!$C$8:$C$42,SMALL(IF("Página Web"='03.Muestra'!$D$8:$D$42,ROW('03.Muestra'!$C$8:$C$42)-MIN(ROW('03.Muestra'!$D$8:$D$42))+1,""),ROW()-1652)),"")</f>
        <v>Home - PortCastelló</v>
      </c>
      <c r="C1659" s="114" t="str" cm="1">
        <f t="array" ref="C1659">IFERROR(INDEX('03.Muestra'!$F$8:$F$42,SMALL(IF("Página Web"='03.Muestra'!$D$8:$D$42,ROW('03.Muestra'!$F$8:$F$42)-MIN(ROW('03.Muestra'!$D$8:$D$42))+1,""),ROW()-1652)),"")</f>
        <v>https://www.portcastello.com/</v>
      </c>
      <c r="D1659" s="130" t="s">
        <v>37</v>
      </c>
      <c r="E1659" s="107" t="str">
        <f t="shared" si="86"/>
        <v/>
      </c>
      <c r="F1659" s="19"/>
      <c r="G1659" s="19"/>
      <c r="H1659" s="19"/>
      <c r="I1659" s="19"/>
      <c r="J1659" s="19"/>
      <c r="K1659" s="233"/>
    </row>
    <row r="1660" spans="1:11" ht="12" customHeight="1">
      <c r="A1660" s="219" t="n" cm="1">
        <f t="array" ref="A1660">IFERROR(INDEX('03.Muestra'!$B$8:$B$42,SMALL(IF("Página Web"='03.Muestra'!$D$8:$D$42,ROW('03.Muestra'!$B$8:$B$42)-MIN(ROW('03.Muestra'!$D$8:$D$42))+1,""),ROW()-1652)),"")</f>
        <v>1.0</v>
      </c>
      <c r="B1660" s="114" t="str" cm="1">
        <f t="array" ref="B1660">IFERROR(INDEX('03.Muestra'!$C$8:$C$42,SMALL(IF("Página Web"='03.Muestra'!$D$8:$D$42,ROW('03.Muestra'!$C$8:$C$42)-MIN(ROW('03.Muestra'!$D$8:$D$42))+1,""),ROW()-1652)),"")</f>
        <v>Home - PortCastelló</v>
      </c>
      <c r="C1660" s="114" t="str" cm="1">
        <f t="array" ref="C1660">IFERROR(INDEX('03.Muestra'!$F$8:$F$42,SMALL(IF("Página Web"='03.Muestra'!$D$8:$D$42,ROW('03.Muestra'!$F$8:$F$42)-MIN(ROW('03.Muestra'!$D$8:$D$42))+1,""),ROW()-1652)),"")</f>
        <v>https://www.portcastello.com/</v>
      </c>
      <c r="D1660" s="130" t="s">
        <v>37</v>
      </c>
      <c r="E1660" s="107" t="str">
        <f t="shared" si="86"/>
        <v/>
      </c>
      <c r="F1660" s="19"/>
      <c r="G1660" s="19"/>
      <c r="H1660" s="19"/>
      <c r="I1660" s="19"/>
      <c r="J1660" s="19"/>
      <c r="K1660" s="233"/>
    </row>
    <row r="1661" spans="1:11" ht="12" customHeight="1">
      <c r="A1661" s="219" t="n" cm="1">
        <f t="array" ref="A1661">IFERROR(INDEX('03.Muestra'!$B$8:$B$42,SMALL(IF("Página Web"='03.Muestra'!$D$8:$D$42,ROW('03.Muestra'!$B$8:$B$42)-MIN(ROW('03.Muestra'!$D$8:$D$42))+1,""),ROW()-1652)),"")</f>
        <v>1.0</v>
      </c>
      <c r="B1661" s="114" t="str" cm="1">
        <f t="array" ref="B1661">IFERROR(INDEX('03.Muestra'!$C$8:$C$42,SMALL(IF("Página Web"='03.Muestra'!$D$8:$D$42,ROW('03.Muestra'!$C$8:$C$42)-MIN(ROW('03.Muestra'!$D$8:$D$42))+1,""),ROW()-1652)),"")</f>
        <v>Home - PortCastelló</v>
      </c>
      <c r="C1661" s="114" t="str" cm="1">
        <f t="array" ref="C1661">IFERROR(INDEX('03.Muestra'!$F$8:$F$42,SMALL(IF("Página Web"='03.Muestra'!$D$8:$D$42,ROW('03.Muestra'!$F$8:$F$42)-MIN(ROW('03.Muestra'!$D$8:$D$42))+1,""),ROW()-1652)),"")</f>
        <v>https://www.portcastello.com/</v>
      </c>
      <c r="D1661" s="130" t="s">
        <v>37</v>
      </c>
      <c r="E1661" s="107" t="str">
        <f t="shared" si="86"/>
        <v/>
      </c>
      <c r="F1661" s="19"/>
      <c r="G1661" s="19"/>
      <c r="H1661" s="19"/>
      <c r="I1661" s="19"/>
      <c r="J1661" s="19"/>
      <c r="K1661" s="233"/>
    </row>
    <row r="1662" spans="1:11" ht="12" customHeight="1">
      <c r="A1662" s="219" t="n" cm="1">
        <f t="array" ref="A1662">IFERROR(INDEX('03.Muestra'!$B$8:$B$42,SMALL(IF("Página Web"='03.Muestra'!$D$8:$D$42,ROW('03.Muestra'!$B$8:$B$42)-MIN(ROW('03.Muestra'!$D$8:$D$42))+1,""),ROW()-1652)),"")</f>
        <v>1.0</v>
      </c>
      <c r="B1662" s="114" t="str" cm="1">
        <f t="array" ref="B1662">IFERROR(INDEX('03.Muestra'!$C$8:$C$42,SMALL(IF("Página Web"='03.Muestra'!$D$8:$D$42,ROW('03.Muestra'!$C$8:$C$42)-MIN(ROW('03.Muestra'!$D$8:$D$42))+1,""),ROW()-1652)),"")</f>
        <v>Home - PortCastelló</v>
      </c>
      <c r="C1662" s="114" t="str" cm="1">
        <f t="array" ref="C1662">IFERROR(INDEX('03.Muestra'!$F$8:$F$42,SMALL(IF("Página Web"='03.Muestra'!$D$8:$D$42,ROW('03.Muestra'!$F$8:$F$42)-MIN(ROW('03.Muestra'!$D$8:$D$42))+1,""),ROW()-1652)),"")</f>
        <v>https://www.portcastello.com/</v>
      </c>
      <c r="D1662" s="130" t="s">
        <v>37</v>
      </c>
      <c r="E1662" s="107" t="str">
        <f t="shared" si="86"/>
        <v/>
      </c>
      <c r="F1662" s="19"/>
      <c r="G1662" s="19"/>
      <c r="H1662" s="19"/>
      <c r="I1662" s="19"/>
      <c r="J1662" s="19"/>
      <c r="K1662" s="233"/>
    </row>
    <row r="1663" spans="1:11" ht="12" customHeight="1">
      <c r="A1663" s="219" t="n" cm="1">
        <f t="array" ref="A1663">IFERROR(INDEX('03.Muestra'!$B$8:$B$42,SMALL(IF("Página Web"='03.Muestra'!$D$8:$D$42,ROW('03.Muestra'!$B$8:$B$42)-MIN(ROW('03.Muestra'!$D$8:$D$42))+1,""),ROW()-1652)),"")</f>
        <v>1.0</v>
      </c>
      <c r="B1663" s="114" t="str" cm="1">
        <f t="array" ref="B1663">IFERROR(INDEX('03.Muestra'!$C$8:$C$42,SMALL(IF("Página Web"='03.Muestra'!$D$8:$D$42,ROW('03.Muestra'!$C$8:$C$42)-MIN(ROW('03.Muestra'!$D$8:$D$42))+1,""),ROW()-1652)),"")</f>
        <v>Home - PortCastelló</v>
      </c>
      <c r="C1663" s="114" t="str" cm="1">
        <f t="array" ref="C1663">IFERROR(INDEX('03.Muestra'!$F$8:$F$42,SMALL(IF("Página Web"='03.Muestra'!$D$8:$D$42,ROW('03.Muestra'!$F$8:$F$42)-MIN(ROW('03.Muestra'!$D$8:$D$42))+1,""),ROW()-1652)),"")</f>
        <v>https://www.portcastello.com/</v>
      </c>
      <c r="D1663" s="130" t="s">
        <v>37</v>
      </c>
      <c r="E1663" s="107" t="str">
        <f t="shared" si="86"/>
        <v/>
      </c>
      <c r="F1663" s="19"/>
      <c r="G1663" s="19"/>
      <c r="H1663" s="19"/>
      <c r="I1663" s="19"/>
      <c r="J1663" s="19"/>
      <c r="K1663" s="233"/>
    </row>
    <row r="1664" spans="1:11" ht="12" customHeight="1">
      <c r="A1664" s="219" t="n" cm="1">
        <f t="array" ref="A1664">IFERROR(INDEX('03.Muestra'!$B$8:$B$42,SMALL(IF("Página Web"='03.Muestra'!$D$8:$D$42,ROW('03.Muestra'!$B$8:$B$42)-MIN(ROW('03.Muestra'!$D$8:$D$42))+1,""),ROW()-1652)),"")</f>
        <v>1.0</v>
      </c>
      <c r="B1664" s="114" t="str" cm="1">
        <f t="array" ref="B1664">IFERROR(INDEX('03.Muestra'!$C$8:$C$42,SMALL(IF("Página Web"='03.Muestra'!$D$8:$D$42,ROW('03.Muestra'!$C$8:$C$42)-MIN(ROW('03.Muestra'!$D$8:$D$42))+1,""),ROW()-1652)),"")</f>
        <v>Home - PortCastelló</v>
      </c>
      <c r="C1664" s="114" t="str" cm="1">
        <f t="array" ref="C1664">IFERROR(INDEX('03.Muestra'!$F$8:$F$42,SMALL(IF("Página Web"='03.Muestra'!$D$8:$D$42,ROW('03.Muestra'!$F$8:$F$42)-MIN(ROW('03.Muestra'!$D$8:$D$42))+1,""),ROW()-1652)),"")</f>
        <v>https://www.portcastello.com/</v>
      </c>
      <c r="D1664" s="130" t="s">
        <v>37</v>
      </c>
      <c r="E1664" s="107" t="str">
        <f t="shared" si="86"/>
        <v/>
      </c>
      <c r="F1664" s="19"/>
      <c r="G1664" s="19"/>
      <c r="H1664" s="19"/>
      <c r="I1664" s="19"/>
      <c r="J1664" s="19"/>
      <c r="K1664" s="233"/>
    </row>
    <row r="1665" spans="1:11" ht="12" customHeight="1">
      <c r="A1665" s="219" t="n" cm="1">
        <f t="array" ref="A1665">IFERROR(INDEX('03.Muestra'!$B$8:$B$42,SMALL(IF("Página Web"='03.Muestra'!$D$8:$D$42,ROW('03.Muestra'!$B$8:$B$42)-MIN(ROW('03.Muestra'!$D$8:$D$42))+1,""),ROW()-1652)),"")</f>
        <v>1.0</v>
      </c>
      <c r="B1665" s="114" t="str" cm="1">
        <f t="array" ref="B1665">IFERROR(INDEX('03.Muestra'!$C$8:$C$42,SMALL(IF("Página Web"='03.Muestra'!$D$8:$D$42,ROW('03.Muestra'!$C$8:$C$42)-MIN(ROW('03.Muestra'!$D$8:$D$42))+1,""),ROW()-1652)),"")</f>
        <v>Home - PortCastelló</v>
      </c>
      <c r="C1665" s="114" t="str" cm="1">
        <f t="array" ref="C1665">IFERROR(INDEX('03.Muestra'!$F$8:$F$42,SMALL(IF("Página Web"='03.Muestra'!$D$8:$D$42,ROW('03.Muestra'!$F$8:$F$42)-MIN(ROW('03.Muestra'!$D$8:$D$42))+1,""),ROW()-1652)),"")</f>
        <v>https://www.portcastello.com/</v>
      </c>
      <c r="D1665" s="130" t="s">
        <v>37</v>
      </c>
      <c r="E1665" s="107" t="str">
        <f t="shared" si="86"/>
        <v/>
      </c>
      <c r="F1665" s="19"/>
      <c r="G1665" s="19"/>
      <c r="H1665" s="19"/>
      <c r="I1665" s="19"/>
      <c r="J1665" s="19"/>
      <c r="K1665" s="233"/>
    </row>
    <row r="1666" spans="1:11" ht="12" customHeight="1">
      <c r="A1666" s="219" t="n" cm="1">
        <f t="array" ref="A1666">IFERROR(INDEX('03.Muestra'!$B$8:$B$42,SMALL(IF("Página Web"='03.Muestra'!$D$8:$D$42,ROW('03.Muestra'!$B$8:$B$42)-MIN(ROW('03.Muestra'!$D$8:$D$42))+1,""),ROW()-1652)),"")</f>
        <v>1.0</v>
      </c>
      <c r="B1666" s="114" t="str" cm="1">
        <f t="array" ref="B1666">IFERROR(INDEX('03.Muestra'!$C$8:$C$42,SMALL(IF("Página Web"='03.Muestra'!$D$8:$D$42,ROW('03.Muestra'!$C$8:$C$42)-MIN(ROW('03.Muestra'!$D$8:$D$42))+1,""),ROW()-1652)),"")</f>
        <v>Home - PortCastelló</v>
      </c>
      <c r="C1666" s="114" t="str" cm="1">
        <f t="array" ref="C1666">IFERROR(INDEX('03.Muestra'!$F$8:$F$42,SMALL(IF("Página Web"='03.Muestra'!$D$8:$D$42,ROW('03.Muestra'!$F$8:$F$42)-MIN(ROW('03.Muestra'!$D$8:$D$42))+1,""),ROW()-1652)),"")</f>
        <v>https://www.portcastello.com/</v>
      </c>
      <c r="D1666" s="130" t="s">
        <v>37</v>
      </c>
      <c r="E1666" s="107" t="str">
        <f t="shared" si="86"/>
        <v/>
      </c>
      <c r="F1666" s="19"/>
      <c r="G1666" s="19"/>
      <c r="H1666" s="19"/>
      <c r="I1666" s="19"/>
      <c r="J1666" s="19"/>
      <c r="K1666" s="233"/>
    </row>
    <row r="1667" spans="1:11" ht="12" customHeight="1">
      <c r="A1667" s="219" t="n" cm="1">
        <f t="array" ref="A1667">IFERROR(INDEX('03.Muestra'!$B$8:$B$42,SMALL(IF("Página Web"='03.Muestra'!$D$8:$D$42,ROW('03.Muestra'!$B$8:$B$42)-MIN(ROW('03.Muestra'!$D$8:$D$42))+1,""),ROW()-1652)),"")</f>
        <v>1.0</v>
      </c>
      <c r="B1667" s="114" t="str" cm="1">
        <f t="array" ref="B1667">IFERROR(INDEX('03.Muestra'!$C$8:$C$42,SMALL(IF("Página Web"='03.Muestra'!$D$8:$D$42,ROW('03.Muestra'!$C$8:$C$42)-MIN(ROW('03.Muestra'!$D$8:$D$42))+1,""),ROW()-1652)),"")</f>
        <v>Home - PortCastelló</v>
      </c>
      <c r="C1667" s="114" t="str" cm="1">
        <f t="array" ref="C1667">IFERROR(INDEX('03.Muestra'!$F$8:$F$42,SMALL(IF("Página Web"='03.Muestra'!$D$8:$D$42,ROW('03.Muestra'!$F$8:$F$42)-MIN(ROW('03.Muestra'!$D$8:$D$42))+1,""),ROW()-1652)),"")</f>
        <v>https://www.portcastello.com/</v>
      </c>
      <c r="D1667" s="130" t="s">
        <v>37</v>
      </c>
      <c r="E1667" s="107" t="str">
        <f t="shared" si="86"/>
        <v/>
      </c>
      <c r="F1667" s="19"/>
      <c r="G1667" s="19"/>
      <c r="H1667" s="19"/>
      <c r="I1667" s="19"/>
      <c r="J1667" s="19"/>
      <c r="K1667" s="233"/>
    </row>
    <row r="1668" spans="1:11" ht="12" customHeight="1">
      <c r="A1668" s="219" t="n" cm="1">
        <f t="array" ref="A1668">IFERROR(INDEX('03.Muestra'!$B$8:$B$42,SMALL(IF("Página Web"='03.Muestra'!$D$8:$D$42,ROW('03.Muestra'!$B$8:$B$42)-MIN(ROW('03.Muestra'!$D$8:$D$42))+1,""),ROW()-1652)),"")</f>
        <v>1.0</v>
      </c>
      <c r="B1668" s="114" t="str" cm="1">
        <f t="array" ref="B1668">IFERROR(INDEX('03.Muestra'!$C$8:$C$42,SMALL(IF("Página Web"='03.Muestra'!$D$8:$D$42,ROW('03.Muestra'!$C$8:$C$42)-MIN(ROW('03.Muestra'!$D$8:$D$42))+1,""),ROW()-1652)),"")</f>
        <v>Home - PortCastelló</v>
      </c>
      <c r="C1668" s="114" t="str" cm="1">
        <f t="array" ref="C1668">IFERROR(INDEX('03.Muestra'!$F$8:$F$42,SMALL(IF("Página Web"='03.Muestra'!$D$8:$D$42,ROW('03.Muestra'!$F$8:$F$42)-MIN(ROW('03.Muestra'!$D$8:$D$42))+1,""),ROW()-1652)),"")</f>
        <v>https://www.portcastello.com/</v>
      </c>
      <c r="D1668" s="130" t="s">
        <v>37</v>
      </c>
      <c r="E1668" s="107" t="str">
        <f t="shared" si="86"/>
        <v/>
      </c>
      <c r="F1668" s="19"/>
      <c r="G1668" s="19"/>
      <c r="H1668" s="19"/>
      <c r="I1668" s="19"/>
      <c r="J1668" s="19"/>
      <c r="K1668" s="233"/>
    </row>
    <row r="1669" spans="1:11" ht="12" customHeight="1">
      <c r="A1669" s="219" t="n" cm="1">
        <f t="array" ref="A1669">IFERROR(INDEX('03.Muestra'!$B$8:$B$42,SMALL(IF("Página Web"='03.Muestra'!$D$8:$D$42,ROW('03.Muestra'!$B$8:$B$42)-MIN(ROW('03.Muestra'!$D$8:$D$42))+1,""),ROW()-1652)),"")</f>
        <v>1.0</v>
      </c>
      <c r="B1669" s="114" t="str" cm="1">
        <f t="array" ref="B1669">IFERROR(INDEX('03.Muestra'!$C$8:$C$42,SMALL(IF("Página Web"='03.Muestra'!$D$8:$D$42,ROW('03.Muestra'!$C$8:$C$42)-MIN(ROW('03.Muestra'!$D$8:$D$42))+1,""),ROW()-1652)),"")</f>
        <v>Home - PortCastelló</v>
      </c>
      <c r="C1669" s="114" t="str" cm="1">
        <f t="array" ref="C1669">IFERROR(INDEX('03.Muestra'!$F$8:$F$42,SMALL(IF("Página Web"='03.Muestra'!$D$8:$D$42,ROW('03.Muestra'!$F$8:$F$42)-MIN(ROW('03.Muestra'!$D$8:$D$42))+1,""),ROW()-1652)),"")</f>
        <v>https://www.portcastello.com/</v>
      </c>
      <c r="D1669" s="130" t="s">
        <v>37</v>
      </c>
      <c r="E1669" s="107" t="str">
        <f t="shared" si="86"/>
        <v/>
      </c>
      <c r="F1669" s="19"/>
      <c r="G1669" s="19"/>
      <c r="H1669" s="19"/>
      <c r="I1669" s="19"/>
      <c r="J1669" s="19"/>
      <c r="K1669" s="233"/>
    </row>
    <row r="1670" spans="1:11" ht="12" customHeight="1">
      <c r="A1670" s="219" t="n" cm="1">
        <f t="array" ref="A1670">IFERROR(INDEX('03.Muestra'!$B$8:$B$42,SMALL(IF("Página Web"='03.Muestra'!$D$8:$D$42,ROW('03.Muestra'!$B$8:$B$42)-MIN(ROW('03.Muestra'!$D$8:$D$42))+1,""),ROW()-1652)),"")</f>
        <v>1.0</v>
      </c>
      <c r="B1670" s="114" t="str" cm="1">
        <f t="array" ref="B1670">IFERROR(INDEX('03.Muestra'!$C$8:$C$42,SMALL(IF("Página Web"='03.Muestra'!$D$8:$D$42,ROW('03.Muestra'!$C$8:$C$42)-MIN(ROW('03.Muestra'!$D$8:$D$42))+1,""),ROW()-1652)),"")</f>
        <v>Home - PortCastelló</v>
      </c>
      <c r="C1670" s="114" t="str" cm="1">
        <f t="array" ref="C1670">IFERROR(INDEX('03.Muestra'!$F$8:$F$42,SMALL(IF("Página Web"='03.Muestra'!$D$8:$D$42,ROW('03.Muestra'!$F$8:$F$42)-MIN(ROW('03.Muestra'!$D$8:$D$42))+1,""),ROW()-1652)),"")</f>
        <v>https://www.portcastello.com/</v>
      </c>
      <c r="D1670" s="130" t="s">
        <v>37</v>
      </c>
      <c r="E1670" s="107" t="str">
        <f t="shared" si="86"/>
        <v/>
      </c>
      <c r="F1670" s="19"/>
      <c r="G1670" s="19"/>
      <c r="H1670" s="19"/>
      <c r="I1670" s="19"/>
      <c r="J1670" s="19"/>
      <c r="K1670" s="233"/>
    </row>
    <row r="1671" spans="1:11" ht="12" customHeight="1">
      <c r="A1671" s="219" t="n" cm="1">
        <f t="array" ref="A1671">IFERROR(INDEX('03.Muestra'!$B$8:$B$42,SMALL(IF("Página Web"='03.Muestra'!$D$8:$D$42,ROW('03.Muestra'!$B$8:$B$42)-MIN(ROW('03.Muestra'!$D$8:$D$42))+1,""),ROW()-1652)),"")</f>
        <v>1.0</v>
      </c>
      <c r="B1671" s="114" t="str" cm="1">
        <f t="array" ref="B1671">IFERROR(INDEX('03.Muestra'!$C$8:$C$42,SMALL(IF("Página Web"='03.Muestra'!$D$8:$D$42,ROW('03.Muestra'!$C$8:$C$42)-MIN(ROW('03.Muestra'!$D$8:$D$42))+1,""),ROW()-1652)),"")</f>
        <v>Home - PortCastelló</v>
      </c>
      <c r="C1671" s="114" t="str" cm="1">
        <f t="array" ref="C1671">IFERROR(INDEX('03.Muestra'!$F$8:$F$42,SMALL(IF("Página Web"='03.Muestra'!$D$8:$D$42,ROW('03.Muestra'!$F$8:$F$42)-MIN(ROW('03.Muestra'!$D$8:$D$42))+1,""),ROW()-1652)),"")</f>
        <v>https://www.portcastello.com/</v>
      </c>
      <c r="D1671" s="130" t="s">
        <v>37</v>
      </c>
      <c r="E1671" s="107" t="str">
        <f t="shared" si="86"/>
        <v/>
      </c>
      <c r="F1671" s="19"/>
      <c r="G1671" s="19"/>
      <c r="H1671" s="19"/>
      <c r="I1671" s="19"/>
      <c r="J1671" s="19"/>
      <c r="K1671" s="233"/>
    </row>
    <row r="1672" spans="1:11" ht="12" customHeight="1">
      <c r="A1672" s="219" t="n" cm="1">
        <f t="array" ref="A1672">IFERROR(INDEX('03.Muestra'!$B$8:$B$42,SMALL(IF("Página Web"='03.Muestra'!$D$8:$D$42,ROW('03.Muestra'!$B$8:$B$42)-MIN(ROW('03.Muestra'!$D$8:$D$42))+1,""),ROW()-1652)),"")</f>
        <v>1.0</v>
      </c>
      <c r="B1672" s="114" t="str" cm="1">
        <f t="array" ref="B1672">IFERROR(INDEX('03.Muestra'!$C$8:$C$42,SMALL(IF("Página Web"='03.Muestra'!$D$8:$D$42,ROW('03.Muestra'!$C$8:$C$42)-MIN(ROW('03.Muestra'!$D$8:$D$42))+1,""),ROW()-1652)),"")</f>
        <v>Home - PortCastelló</v>
      </c>
      <c r="C1672" s="114" t="str" cm="1">
        <f t="array" ref="C1672">IFERROR(INDEX('03.Muestra'!$F$8:$F$42,SMALL(IF("Página Web"='03.Muestra'!$D$8:$D$42,ROW('03.Muestra'!$F$8:$F$42)-MIN(ROW('03.Muestra'!$D$8:$D$42))+1,""),ROW()-1652)),"")</f>
        <v>https://www.portcastello.com/</v>
      </c>
      <c r="D1672" s="130" t="s">
        <v>37</v>
      </c>
      <c r="E1672" s="107" t="str">
        <f t="shared" si="86"/>
        <v/>
      </c>
      <c r="F1672" s="19"/>
      <c r="G1672" s="19"/>
      <c r="H1672" s="19"/>
      <c r="I1672" s="19"/>
      <c r="J1672" s="19"/>
      <c r="K1672" s="233"/>
    </row>
    <row r="1673" spans="1:11" ht="12" customHeight="1">
      <c r="A1673" s="219" t="n" cm="1">
        <f t="array" ref="A1673">IFERROR(INDEX('03.Muestra'!$B$8:$B$42,SMALL(IF("Página Web"='03.Muestra'!$D$8:$D$42,ROW('03.Muestra'!$B$8:$B$42)-MIN(ROW('03.Muestra'!$D$8:$D$42))+1,""),ROW()-1652)),"")</f>
        <v>1.0</v>
      </c>
      <c r="B1673" s="114" t="str" cm="1">
        <f t="array" ref="B1673">IFERROR(INDEX('03.Muestra'!$C$8:$C$42,SMALL(IF("Página Web"='03.Muestra'!$D$8:$D$42,ROW('03.Muestra'!$C$8:$C$42)-MIN(ROW('03.Muestra'!$D$8:$D$42))+1,""),ROW()-1652)),"")</f>
        <v>Home - PortCastelló</v>
      </c>
      <c r="C1673" s="114" t="str" cm="1">
        <f t="array" ref="C1673">IFERROR(INDEX('03.Muestra'!$F$8:$F$42,SMALL(IF("Página Web"='03.Muestra'!$D$8:$D$42,ROW('03.Muestra'!$F$8:$F$42)-MIN(ROW('03.Muestra'!$D$8:$D$42))+1,""),ROW()-1652)),"")</f>
        <v>https://www.portcastello.com/</v>
      </c>
      <c r="D1673" s="130" t="s">
        <v>37</v>
      </c>
      <c r="E1673" s="107" t="str">
        <f t="shared" si="86"/>
        <v/>
      </c>
      <c r="F1673" s="19"/>
      <c r="G1673" s="19"/>
      <c r="H1673" s="19"/>
      <c r="I1673" s="19"/>
      <c r="J1673" s="19"/>
      <c r="K1673" s="233"/>
    </row>
    <row r="1674" spans="1:11" ht="12" customHeight="1">
      <c r="A1674" s="219" t="n" cm="1">
        <f t="array" ref="A1674">IFERROR(INDEX('03.Muestra'!$B$8:$B$42,SMALL(IF("Página Web"='03.Muestra'!$D$8:$D$42,ROW('03.Muestra'!$B$8:$B$42)-MIN(ROW('03.Muestra'!$D$8:$D$42))+1,""),ROW()-1652)),"")</f>
        <v>1.0</v>
      </c>
      <c r="B1674" s="114" t="str" cm="1">
        <f t="array" ref="B1674">IFERROR(INDEX('03.Muestra'!$C$8:$C$42,SMALL(IF("Página Web"='03.Muestra'!$D$8:$D$42,ROW('03.Muestra'!$C$8:$C$42)-MIN(ROW('03.Muestra'!$D$8:$D$42))+1,""),ROW()-1652)),"")</f>
        <v>Home - PortCastelló</v>
      </c>
      <c r="C1674" s="114" t="str" cm="1">
        <f t="array" ref="C1674">IFERROR(INDEX('03.Muestra'!$F$8:$F$42,SMALL(IF("Página Web"='03.Muestra'!$D$8:$D$42,ROW('03.Muestra'!$F$8:$F$42)-MIN(ROW('03.Muestra'!$D$8:$D$42))+1,""),ROW()-1652)),"")</f>
        <v>https://www.portcastello.com/</v>
      </c>
      <c r="D1674" s="130" t="s">
        <v>37</v>
      </c>
      <c r="E1674" s="107" t="str">
        <f t="shared" si="86"/>
        <v/>
      </c>
      <c r="F1674" s="19"/>
      <c r="G1674" s="19"/>
      <c r="H1674" s="19"/>
      <c r="I1674" s="19"/>
      <c r="J1674" s="19"/>
      <c r="K1674" s="233"/>
    </row>
    <row r="1675" spans="1:11" ht="12" customHeight="1">
      <c r="A1675" s="219" t="n" cm="1">
        <f t="array" ref="A1675">IFERROR(INDEX('03.Muestra'!$B$8:$B$42,SMALL(IF("Página Web"='03.Muestra'!$D$8:$D$42,ROW('03.Muestra'!$B$8:$B$42)-MIN(ROW('03.Muestra'!$D$8:$D$42))+1,""),ROW()-1652)),"")</f>
        <v>1.0</v>
      </c>
      <c r="B1675" s="114" t="str" cm="1">
        <f t="array" ref="B1675">IFERROR(INDEX('03.Muestra'!$C$8:$C$42,SMALL(IF("Página Web"='03.Muestra'!$D$8:$D$42,ROW('03.Muestra'!$C$8:$C$42)-MIN(ROW('03.Muestra'!$D$8:$D$42))+1,""),ROW()-1652)),"")</f>
        <v>Home - PortCastelló</v>
      </c>
      <c r="C1675" s="114" t="str" cm="1">
        <f t="array" ref="C1675">IFERROR(INDEX('03.Muestra'!$F$8:$F$42,SMALL(IF("Página Web"='03.Muestra'!$D$8:$D$42,ROW('03.Muestra'!$F$8:$F$42)-MIN(ROW('03.Muestra'!$D$8:$D$42))+1,""),ROW()-1652)),"")</f>
        <v>https://www.portcastello.com/</v>
      </c>
      <c r="D1675" s="130" t="s">
        <v>37</v>
      </c>
      <c r="E1675" s="107" t="str">
        <f t="shared" si="86"/>
        <v/>
      </c>
      <c r="F1675" s="19"/>
      <c r="G1675" s="19"/>
      <c r="H1675" s="19"/>
      <c r="I1675" s="19"/>
      <c r="J1675" s="19"/>
      <c r="K1675" s="233"/>
    </row>
    <row r="1676" spans="1:11" ht="12" customHeight="1">
      <c r="A1676" s="219" t="n" cm="1">
        <f t="array" ref="A1676">IFERROR(INDEX('03.Muestra'!$B$8:$B$42,SMALL(IF("Página Web"='03.Muestra'!$D$8:$D$42,ROW('03.Muestra'!$B$8:$B$42)-MIN(ROW('03.Muestra'!$D$8:$D$42))+1,""),ROW()-1652)),"")</f>
        <v>1.0</v>
      </c>
      <c r="B1676" s="114" t="str" cm="1">
        <f t="array" ref="B1676">IFERROR(INDEX('03.Muestra'!$C$8:$C$42,SMALL(IF("Página Web"='03.Muestra'!$D$8:$D$42,ROW('03.Muestra'!$C$8:$C$42)-MIN(ROW('03.Muestra'!$D$8:$D$42))+1,""),ROW()-1652)),"")</f>
        <v>Home - PortCastelló</v>
      </c>
      <c r="C1676" s="114" t="str" cm="1">
        <f t="array" ref="C1676">IFERROR(INDEX('03.Muestra'!$F$8:$F$42,SMALL(IF("Página Web"='03.Muestra'!$D$8:$D$42,ROW('03.Muestra'!$F$8:$F$42)-MIN(ROW('03.Muestra'!$D$8:$D$42))+1,""),ROW()-1652)),"")</f>
        <v>https://www.portcastello.com/</v>
      </c>
      <c r="D1676" s="130" t="s">
        <v>28</v>
      </c>
      <c r="E1676" s="107" t="str">
        <f t="shared" si="86"/>
        <v/>
      </c>
      <c r="F1676" s="19"/>
      <c r="G1676" s="19"/>
      <c r="H1676" s="19"/>
      <c r="I1676" s="19"/>
      <c r="J1676" s="19"/>
      <c r="K1676" s="233"/>
    </row>
    <row r="1677" spans="1:11" ht="12" customHeight="1">
      <c r="A1677" s="219" t="n" cm="1">
        <f t="array" ref="A1677">IFERROR(INDEX('03.Muestra'!$B$8:$B$42,SMALL(IF("Página Web"='03.Muestra'!$D$8:$D$42,ROW('03.Muestra'!$B$8:$B$42)-MIN(ROW('03.Muestra'!$D$8:$D$42))+1,""),ROW()-1652)),"")</f>
        <v>1.0</v>
      </c>
      <c r="B1677" s="114" t="str" cm="1">
        <f t="array" ref="B1677">IFERROR(INDEX('03.Muestra'!$C$8:$C$42,SMALL(IF("Página Web"='03.Muestra'!$D$8:$D$42,ROW('03.Muestra'!$C$8:$C$42)-MIN(ROW('03.Muestra'!$D$8:$D$42))+1,""),ROW()-1652)),"")</f>
        <v>Home - PortCastelló</v>
      </c>
      <c r="C1677" s="114" t="str" cm="1">
        <f t="array" ref="C1677">IFERROR(INDEX('03.Muestra'!$F$8:$F$42,SMALL(IF("Página Web"='03.Muestra'!$D$8:$D$42,ROW('03.Muestra'!$F$8:$F$42)-MIN(ROW('03.Muestra'!$D$8:$D$42))+1,""),ROW()-1652)),"")</f>
        <v>https://www.portcastello.com/</v>
      </c>
      <c r="D1677" s="130" t="s">
        <v>37</v>
      </c>
      <c r="E1677" s="107" t="str">
        <f t="shared" si="86"/>
        <v/>
      </c>
      <c r="F1677" s="19"/>
      <c r="G1677" s="19"/>
      <c r="H1677" s="19"/>
      <c r="I1677" s="19"/>
      <c r="J1677" s="19"/>
      <c r="K1677" s="233"/>
    </row>
    <row r="1678" spans="1:11" ht="12" customHeight="1">
      <c r="A1678" s="219" t="n" cm="1">
        <f t="array" ref="A1678">IFERROR(INDEX('03.Muestra'!$B$8:$B$42,SMALL(IF("Página Web"='03.Muestra'!$D$8:$D$42,ROW('03.Muestra'!$B$8:$B$42)-MIN(ROW('03.Muestra'!$D$8:$D$42))+1,""),ROW()-1652)),"")</f>
        <v>1.0</v>
      </c>
      <c r="B1678" s="114" t="str" cm="1">
        <f t="array" ref="B1678">IFERROR(INDEX('03.Muestra'!$C$8:$C$42,SMALL(IF("Página Web"='03.Muestra'!$D$8:$D$42,ROW('03.Muestra'!$C$8:$C$42)-MIN(ROW('03.Muestra'!$D$8:$D$42))+1,""),ROW()-1652)),"")</f>
        <v>Home - PortCastelló</v>
      </c>
      <c r="C1678" s="114" t="str" cm="1">
        <f t="array" ref="C1678">IFERROR(INDEX('03.Muestra'!$F$8:$F$42,SMALL(IF("Página Web"='03.Muestra'!$D$8:$D$42,ROW('03.Muestra'!$F$8:$F$42)-MIN(ROW('03.Muestra'!$D$8:$D$42))+1,""),ROW()-1652)),"")</f>
        <v>https://www.portcastello.com/</v>
      </c>
      <c r="D1678" s="130" t="s">
        <v>37</v>
      </c>
      <c r="E1678" s="107" t="str">
        <f t="shared" si="86"/>
        <v/>
      </c>
      <c r="F1678" s="19"/>
      <c r="G1678" s="19"/>
      <c r="H1678" s="19"/>
      <c r="I1678" s="19"/>
      <c r="J1678" s="19"/>
      <c r="K1678" s="233"/>
    </row>
    <row r="1679" spans="1:11" ht="12" customHeight="1">
      <c r="A1679" s="219" t="n" cm="1">
        <f t="array" ref="A1679">IFERROR(INDEX('03.Muestra'!$B$8:$B$42,SMALL(IF("Página Web"='03.Muestra'!$D$8:$D$42,ROW('03.Muestra'!$B$8:$B$42)-MIN(ROW('03.Muestra'!$D$8:$D$42))+1,""),ROW()-1652)),"")</f>
        <v>1.0</v>
      </c>
      <c r="B1679" s="114" t="str" cm="1">
        <f t="array" ref="B1679">IFERROR(INDEX('03.Muestra'!$C$8:$C$42,SMALL(IF("Página Web"='03.Muestra'!$D$8:$D$42,ROW('03.Muestra'!$C$8:$C$42)-MIN(ROW('03.Muestra'!$D$8:$D$42))+1,""),ROW()-1652)),"")</f>
        <v>Home - PortCastelló</v>
      </c>
      <c r="C1679" s="114" t="str" cm="1">
        <f t="array" ref="C1679">IFERROR(INDEX('03.Muestra'!$F$8:$F$42,SMALL(IF("Página Web"='03.Muestra'!$D$8:$D$42,ROW('03.Muestra'!$F$8:$F$42)-MIN(ROW('03.Muestra'!$D$8:$D$42))+1,""),ROW()-1652)),"")</f>
        <v>https://www.portcastello.com/</v>
      </c>
      <c r="D1679" s="130" t="s">
        <v>37</v>
      </c>
      <c r="E1679" s="107" t="str">
        <f t="shared" si="86"/>
        <v/>
      </c>
      <c r="F1679" s="19"/>
      <c r="G1679" s="19"/>
      <c r="H1679" s="19"/>
      <c r="I1679" s="19"/>
      <c r="J1679" s="19"/>
      <c r="K1679" s="233"/>
    </row>
    <row r="1680" spans="1:11" ht="12" customHeight="1">
      <c r="A1680" s="219" t="n" cm="1">
        <f t="array" ref="A1680">IFERROR(INDEX('03.Muestra'!$B$8:$B$42,SMALL(IF("Página Web"='03.Muestra'!$D$8:$D$42,ROW('03.Muestra'!$B$8:$B$42)-MIN(ROW('03.Muestra'!$D$8:$D$42))+1,""),ROW()-1652)),"")</f>
        <v>1.0</v>
      </c>
      <c r="B1680" s="114" t="str" cm="1">
        <f t="array" ref="B1680">IFERROR(INDEX('03.Muestra'!$C$8:$C$42,SMALL(IF("Página Web"='03.Muestra'!$D$8:$D$42,ROW('03.Muestra'!$C$8:$C$42)-MIN(ROW('03.Muestra'!$D$8:$D$42))+1,""),ROW()-1652)),"")</f>
        <v>Home - PortCastelló</v>
      </c>
      <c r="C1680" s="114" t="str" cm="1">
        <f t="array" ref="C1680">IFERROR(INDEX('03.Muestra'!$F$8:$F$42,SMALL(IF("Página Web"='03.Muestra'!$D$8:$D$42,ROW('03.Muestra'!$F$8:$F$42)-MIN(ROW('03.Muestra'!$D$8:$D$42))+1,""),ROW()-1652)),"")</f>
        <v>https://www.portcastello.com/</v>
      </c>
      <c r="D1680" s="130" t="s">
        <v>37</v>
      </c>
      <c r="E1680" s="107" t="str">
        <f t="shared" si="86"/>
        <v/>
      </c>
      <c r="G1680" s="19"/>
      <c r="H1680" s="19"/>
      <c r="I1680" s="19"/>
      <c r="J1680" s="19"/>
      <c r="K1680" s="233"/>
    </row>
    <row r="1681" spans="1:11" ht="12" customHeight="1">
      <c r="A1681" s="219" t="n" cm="1">
        <f t="array" ref="A1681">IFERROR(INDEX('03.Muestra'!$B$8:$B$42,SMALL(IF("Página Web"='03.Muestra'!$D$8:$D$42,ROW('03.Muestra'!$B$8:$B$42)-MIN(ROW('03.Muestra'!$D$8:$D$42))+1,""),ROW()-1652)),"")</f>
        <v>1.0</v>
      </c>
      <c r="B1681" s="114" t="str" cm="1">
        <f t="array" ref="B1681">IFERROR(INDEX('03.Muestra'!$C$8:$C$42,SMALL(IF("Página Web"='03.Muestra'!$D$8:$D$42,ROW('03.Muestra'!$C$8:$C$42)-MIN(ROW('03.Muestra'!$D$8:$D$42))+1,""),ROW()-1652)),"")</f>
        <v>Home - PortCastelló</v>
      </c>
      <c r="C1681" s="114" t="str" cm="1">
        <f t="array" ref="C1681">IFERROR(INDEX('03.Muestra'!$F$8:$F$42,SMALL(IF("Página Web"='03.Muestra'!$D$8:$D$42,ROW('03.Muestra'!$F$8:$F$42)-MIN(ROW('03.Muestra'!$D$8:$D$42))+1,""),ROW()-1652)),"")</f>
        <v>https://www.portcastello.com/</v>
      </c>
      <c r="D1681" s="130" t="s">
        <v>37</v>
      </c>
      <c r="E1681" s="107" t="str">
        <f t="shared" si="86"/>
        <v/>
      </c>
      <c r="G1681" s="19"/>
      <c r="H1681" s="19"/>
      <c r="I1681" s="19"/>
      <c r="J1681" s="19"/>
      <c r="K1681" s="233"/>
    </row>
    <row r="1682" spans="1:11" ht="12" customHeight="1">
      <c r="A1682" s="219" t="n" cm="1">
        <f t="array" ref="A1682">IFERROR(INDEX('03.Muestra'!$B$8:$B$42,SMALL(IF("Página Web"='03.Muestra'!$D$8:$D$42,ROW('03.Muestra'!$B$8:$B$42)-MIN(ROW('03.Muestra'!$D$8:$D$42))+1,""),ROW()-1652)),"")</f>
        <v>1.0</v>
      </c>
      <c r="B1682" s="114" t="str" cm="1">
        <f t="array" ref="B1682">IFERROR(INDEX('03.Muestra'!$C$8:$C$42,SMALL(IF("Página Web"='03.Muestra'!$D$8:$D$42,ROW('03.Muestra'!$C$8:$C$42)-MIN(ROW('03.Muestra'!$D$8:$D$42))+1,""),ROW()-1652)),"")</f>
        <v>Home - PortCastelló</v>
      </c>
      <c r="C1682" s="114" t="str" cm="1">
        <f t="array" ref="C1682">IFERROR(INDEX('03.Muestra'!$F$8:$F$42,SMALL(IF("Página Web"='03.Muestra'!$D$8:$D$42,ROW('03.Muestra'!$F$8:$F$42)-MIN(ROW('03.Muestra'!$D$8:$D$42))+1,""),ROW()-1652)),"")</f>
        <v>https://www.portcastello.com/</v>
      </c>
      <c r="D1682" s="130" t="s">
        <v>37</v>
      </c>
      <c r="E1682" s="107" t="str">
        <f t="shared" si="86"/>
        <v/>
      </c>
      <c r="G1682" s="19"/>
      <c r="H1682" s="19"/>
      <c r="I1682" s="19"/>
      <c r="J1682" s="19"/>
      <c r="K1682" s="233"/>
    </row>
    <row r="1683" spans="1:11" ht="12" customHeight="1">
      <c r="A1683" s="219" t="n" cm="1">
        <f t="array" ref="A1683">IFERROR(INDEX('03.Muestra'!$B$8:$B$42,SMALL(IF("Página Web"='03.Muestra'!$D$8:$D$42,ROW('03.Muestra'!$B$8:$B$42)-MIN(ROW('03.Muestra'!$D$8:$D$42))+1,""),ROW()-1652)),"")</f>
        <v>1.0</v>
      </c>
      <c r="B1683" s="114" t="str" cm="1">
        <f t="array" ref="B1683">IFERROR(INDEX('03.Muestra'!$C$8:$C$42,SMALL(IF("Página Web"='03.Muestra'!$D$8:$D$42,ROW('03.Muestra'!$C$8:$C$42)-MIN(ROW('03.Muestra'!$D$8:$D$42))+1,""),ROW()-1652)),"")</f>
        <v>Home - PortCastelló</v>
      </c>
      <c r="C1683" s="114" t="str" cm="1">
        <f t="array" ref="C1683">IFERROR(INDEX('03.Muestra'!$F$8:$F$42,SMALL(IF("Página Web"='03.Muestra'!$D$8:$D$42,ROW('03.Muestra'!$F$8:$F$42)-MIN(ROW('03.Muestra'!$D$8:$D$42))+1,""),ROW()-1652)),"")</f>
        <v>https://www.portcastello.com/</v>
      </c>
      <c r="D1683" s="130" t="s">
        <v>37</v>
      </c>
      <c r="E1683" s="107" t="str">
        <f t="shared" si="86"/>
        <v/>
      </c>
      <c r="F1683" s="124"/>
      <c r="G1683" s="19"/>
      <c r="H1683" s="19"/>
      <c r="I1683" s="19"/>
      <c r="J1683" s="19"/>
      <c r="K1683" s="233"/>
    </row>
    <row r="1684" spans="1:11" ht="12" customHeight="1">
      <c r="A1684" s="219" t="n" cm="1">
        <f t="array" ref="A1684">IFERROR(INDEX('03.Muestra'!$B$8:$B$42,SMALL(IF("Página Web"='03.Muestra'!$D$8:$D$42,ROW('03.Muestra'!$B$8:$B$42)-MIN(ROW('03.Muestra'!$D$8:$D$42))+1,""),ROW()-1652)),"")</f>
        <v>1.0</v>
      </c>
      <c r="B1684" s="114" t="str" cm="1">
        <f t="array" ref="B1684">IFERROR(INDEX('03.Muestra'!$C$8:$C$42,SMALL(IF("Página Web"='03.Muestra'!$D$8:$D$42,ROW('03.Muestra'!$C$8:$C$42)-MIN(ROW('03.Muestra'!$D$8:$D$42))+1,""),ROW()-1652)),"")</f>
        <v>Home - PortCastelló</v>
      </c>
      <c r="C1684" s="114" t="str" cm="1">
        <f t="array" ref="C1684">IFERROR(INDEX('03.Muestra'!$F$8:$F$42,SMALL(IF("Página Web"='03.Muestra'!$D$8:$D$42,ROW('03.Muestra'!$F$8:$F$42)-MIN(ROW('03.Muestra'!$D$8:$D$42))+1,""),ROW()-1652)),"")</f>
        <v>https://www.portcastello.com/</v>
      </c>
      <c r="D1684" s="130" t="s">
        <v>37</v>
      </c>
      <c r="E1684" s="107" t="str">
        <f t="shared" si="86"/>
        <v/>
      </c>
      <c r="F1684" s="124"/>
      <c r="G1684" s="19"/>
      <c r="H1684" s="19"/>
      <c r="I1684" s="19"/>
      <c r="J1684" s="19"/>
      <c r="K1684" s="233"/>
    </row>
    <row r="1685" spans="1:11" ht="12" customHeight="1">
      <c r="A1685" s="219" t="n" cm="1">
        <f t="array" ref="A1685">IFERROR(INDEX('03.Muestra'!$B$8:$B$42,SMALL(IF("Página Web"='03.Muestra'!$D$8:$D$42,ROW('03.Muestra'!$B$8:$B$42)-MIN(ROW('03.Muestra'!$D$8:$D$42))+1,""),ROW()-1652)),"")</f>
        <v>1.0</v>
      </c>
      <c r="B1685" s="114" t="str" cm="1">
        <f t="array" ref="B1685">IFERROR(INDEX('03.Muestra'!$C$8:$C$42,SMALL(IF("Página Web"='03.Muestra'!$D$8:$D$42,ROW('03.Muestra'!$C$8:$C$42)-MIN(ROW('03.Muestra'!$D$8:$D$42))+1,""),ROW()-1652)),"")</f>
        <v>Home - PortCastelló</v>
      </c>
      <c r="C1685" s="114" t="str" cm="1">
        <f t="array" ref="C1685">IFERROR(INDEX('03.Muestra'!$F$8:$F$42,SMALL(IF("Página Web"='03.Muestra'!$D$8:$D$42,ROW('03.Muestra'!$F$8:$F$42)-MIN(ROW('03.Muestra'!$D$8:$D$42))+1,""),ROW()-1652)),"")</f>
        <v>https://www.portcastello.com/</v>
      </c>
      <c r="D1685" s="130" t="s">
        <v>37</v>
      </c>
      <c r="E1685" s="107" t="str">
        <f t="shared" si="86"/>
        <v/>
      </c>
      <c r="F1685" s="124"/>
      <c r="G1685" s="19"/>
      <c r="H1685" s="19"/>
      <c r="I1685" s="19"/>
      <c r="J1685" s="19"/>
      <c r="K1685" s="233"/>
    </row>
    <row r="1686" spans="1:11" ht="12" customHeight="1">
      <c r="A1686" s="219" t="str" cm="1">
        <f t="array" ref="A1686">IFERROR(INDEX('03.Muestra'!$B$8:$B$42,SMALL(IF("Página Web"='03.Muestra'!$D$8:$D$42,ROW('03.Muestra'!$B$8:$B$42)-MIN(ROW('03.Muestra'!$D$8:$D$42))+1,""),ROW()-1652)),"")</f>
        <v/>
      </c>
      <c r="B1686" s="114" t="str" cm="1">
        <f t="array" ref="B1686">IFERROR(INDEX('03.Muestra'!$C$8:$C$42,SMALL(IF("Página Web"='03.Muestra'!$D$8:$D$42,ROW('03.Muestra'!$C$8:$C$42)-MIN(ROW('03.Muestra'!$D$8:$D$42))+1,""),ROW()-1652)),"")</f>
        <v/>
      </c>
      <c r="C1686" s="114" t="str" cm="1">
        <f t="array" ref="C1686">IFERROR(INDEX('03.Muestra'!$F$8:$F$42,SMALL(IF("Página Web"='03.Muestra'!$D$8:$D$42,ROW('03.Muestra'!$F$8:$F$42)-MIN(ROW('03.Muestra'!$D$8:$D$42))+1,""),ROW()-1652)),"")</f>
        <v/>
      </c>
      <c r="D1686" s="130" t="str">
        <f t="shared" si="87" ref="D1686:D1687">IF(AND(B1686&lt;&gt;"",C1686&lt;&gt;""),"N/T","")</f>
        <v/>
      </c>
      <c r="E1686" s="107" t="str">
        <f t="shared" si="86"/>
        <v/>
      </c>
      <c r="F1686" s="124"/>
      <c r="G1686" s="19"/>
      <c r="H1686" s="19"/>
      <c r="I1686" s="19"/>
      <c r="J1686" s="19"/>
      <c r="K1686" s="233"/>
    </row>
    <row r="1687" spans="1:11" ht="12" customHeight="1">
      <c r="A1687" s="219" t="str" cm="1">
        <f t="array" ref="A1687">IFERROR(INDEX('03.Muestra'!$B$8:$B$42,SMALL(IF("Página Web"='03.Muestra'!$D$8:$D$42,ROW('03.Muestra'!$B$8:$B$42)-MIN(ROW('03.Muestra'!$D$8:$D$42))+1,""),ROW()-1652)),"")</f>
        <v/>
      </c>
      <c r="B1687" s="114" t="str" cm="1">
        <f t="array" ref="B1687">IFERROR(INDEX('03.Muestra'!$C$8:$C$42,SMALL(IF("Página Web"='03.Muestra'!$D$8:$D$42,ROW('03.Muestra'!$C$8:$C$42)-MIN(ROW('03.Muestra'!$D$8:$D$42))+1,""),ROW()-1652)),"")</f>
        <v/>
      </c>
      <c r="C1687" s="114" t="str" cm="1">
        <f t="array" ref="C1687">IFERROR(INDEX('03.Muestra'!$F$8:$F$42,SMALL(IF("Página Web"='03.Muestra'!$D$8:$D$42,ROW('03.Muestra'!$F$8:$F$42)-MIN(ROW('03.Muestra'!$D$8:$D$42))+1,""),ROW()-1652)),"")</f>
        <v/>
      </c>
      <c r="D1687" s="130" t="str">
        <f t="shared" si="87"/>
        <v/>
      </c>
      <c r="E1687" s="107" t="str">
        <f t="shared" si="86"/>
        <v/>
      </c>
      <c r="F1687" s="19"/>
      <c r="G1687" s="19"/>
      <c r="H1687" s="19"/>
      <c r="I1687" s="19"/>
      <c r="J1687" s="19"/>
      <c r="K1687" s="233"/>
    </row>
    <row r="1688" spans="1:11" ht="12" customHeight="1">
      <c r="B1688" s="19"/>
      <c r="C1688" s="19"/>
      <c r="D1688" s="107"/>
      <c r="E1688" s="19"/>
      <c r="F1688" s="19"/>
      <c r="G1688" s="19"/>
      <c r="H1688" s="19"/>
      <c r="I1688" s="19"/>
      <c r="J1688" s="19"/>
      <c r="K1688" s="233"/>
    </row>
    <row r="1689" spans="1:11" ht="12" customHeight="1">
      <c r="B1689" s="19"/>
      <c r="C1689" s="19"/>
      <c r="D1689" s="107"/>
      <c r="E1689" s="112"/>
      <c r="F1689" s="19"/>
      <c r="G1689" s="19"/>
      <c r="H1689" s="19"/>
      <c r="I1689" s="19"/>
      <c r="J1689" s="19"/>
      <c r="K1689" s="233"/>
    </row>
    <row r="1690" spans="1:11" ht="29.25" customHeight="1">
      <c r="A1690" s="218" t="s">
        <v>268</v>
      </c>
      <c r="B1690" s="24" t="s">
        <v>90</v>
      </c>
      <c r="C1690" s="25" t="s">
        <v>417</v>
      </c>
      <c r="D1690" s="26" t="s">
        <v>32</v>
      </c>
      <c r="E1690" s="123"/>
      <c r="K1690" s="233"/>
    </row>
    <row r="1691" spans="1:11" ht="12" customHeight="1">
      <c r="A1691" s="219" t="n" cm="1">
        <f t="array" ref="A1691">IFERROR(INDEX('03.Muestra'!$B$8:$B$42,SMALL(IF("Página Web"='03.Muestra'!$D$8:$D$42,ROW('03.Muestra'!$B$8:$B$42)-MIN(ROW('03.Muestra'!$D$8:$D$42))+1,""),ROW()-1690)),"")</f>
        <v>1.0</v>
      </c>
      <c r="B1691" s="114" t="str" cm="1">
        <f t="array" ref="B1691">IFERROR(INDEX('03.Muestra'!$C$8:$C$42,SMALL(IF("Página Web"='03.Muestra'!$D$8:$D$42,ROW('03.Muestra'!$C$8:$C$42)-MIN(ROW('03.Muestra'!$D$8:$D$42))+1,""),ROW()-1690)),"")</f>
        <v>Home - PortCastelló</v>
      </c>
      <c r="C1691" s="114" t="str" cm="1">
        <f t="array" ref="C1691">IFERROR(INDEX('03.Muestra'!$F$8:$F$42,SMALL(IF("Página Web"='03.Muestra'!$D$8:$D$42,ROW('03.Muestra'!$F$8:$F$42)-MIN(ROW('03.Muestra'!$D$8:$D$42))+1,""),ROW()-1690)),"")</f>
        <v>https://www.portcastello.com/</v>
      </c>
      <c r="D1691" s="130" t="str">
        <f>IF(AND(B1691&lt;&gt;"",C1691&lt;&gt;""),"N/T","")</f>
        <v>N/T</v>
      </c>
      <c r="E1691" s="107" t="str">
        <f t="shared" ref="E1691:E1725" si="88">IF(D1691&lt;&gt;"",IF(AND(B1691&lt;&gt;"",C1691&lt;&gt;""),"","ERR"),"")</f>
        <v/>
      </c>
      <c r="F1691" s="115" t="s">
        <v>33</v>
      </c>
      <c r="G1691" s="116" t="s">
        <v>37</v>
      </c>
      <c r="H1691" s="117" t="s">
        <v>35</v>
      </c>
      <c r="I1691" s="118" t="s">
        <v>28</v>
      </c>
      <c r="J1691" s="119" t="s">
        <v>26</v>
      </c>
      <c r="K1691" s="226" t="s">
        <v>474</v>
      </c>
    </row>
    <row r="1692" spans="1:11" ht="12" customHeight="1">
      <c r="A1692" s="219" t="n" cm="1">
        <f t="array" ref="A1692">IFERROR(INDEX('03.Muestra'!$B$8:$B$42,SMALL(IF("Página Web"='03.Muestra'!$D$8:$D$42,ROW('03.Muestra'!$B$8:$B$42)-MIN(ROW('03.Muestra'!$D$8:$D$42))+1,""),ROW()-1690)),"")</f>
        <v>1.0</v>
      </c>
      <c r="B1692" s="114" t="str" cm="1">
        <f t="array" ref="B1692">IFERROR(INDEX('03.Muestra'!$C$8:$C$42,SMALL(IF("Página Web"='03.Muestra'!$D$8:$D$42,ROW('03.Muestra'!$C$8:$C$42)-MIN(ROW('03.Muestra'!$D$8:$D$42))+1,""),ROW()-1690)),"")</f>
        <v>Home - PortCastelló</v>
      </c>
      <c r="C1692" s="114" t="str" cm="1">
        <f t="array" ref="C1692">IFERROR(INDEX('03.Muestra'!$F$8:$F$42,SMALL(IF("Página Web"='03.Muestra'!$D$8:$D$42,ROW('03.Muestra'!$F$8:$F$42)-MIN(ROW('03.Muestra'!$D$8:$D$42))+1,""),ROW()-1690)),"")</f>
        <v>https://www.portcastello.com/</v>
      </c>
      <c r="D1692" s="130" t="str">
        <f t="shared" ref="D1692:D1725" si="89">IF(AND(B1692&lt;&gt;"",C1692&lt;&gt;""),"N/T","")</f>
        <v>N/T</v>
      </c>
      <c r="E1692" s="107" t="str">
        <f t="shared" si="88"/>
        <v/>
      </c>
      <c r="F1692" s="120" t="n">
        <f ca="1">COUNTIF($D1691:INDIRECT("$D" &amp;  SUM(ROW()-1,'03.Muestra'!$D$45)-1),F1691)</f>
        <v>33.0</v>
      </c>
      <c r="G1692" s="120" t="n">
        <f ca="1">COUNTIF($D1691:INDIRECT("$D" &amp;  SUM(ROW()-1,'03.Muestra'!$D$45)-1),G1691)</f>
        <v>0.0</v>
      </c>
      <c r="H1692" s="120" t="n">
        <f ca="1">COUNTIF($D1691:INDIRECT("$D" &amp;  SUM(ROW()-1,'03.Muestra'!$D$45)-1),H1691)</f>
        <v>0.0</v>
      </c>
      <c r="I1692" s="120" t="n">
        <f ca="1">COUNTIF($D1691:INDIRECT("$D" &amp;  SUM(ROW()-1,'03.Muestra'!$D$45)-1),I1691)</f>
        <v>0.0</v>
      </c>
      <c r="J1692" s="120" t="n">
        <f ca="1">COUNTIF($D1691:INDIRECT("$D" &amp;  SUM(ROW()-1,'03.Muestra'!$D$45)-1),J1691)</f>
        <v>0.0</v>
      </c>
      <c r="K1692" s="227" t="n">
        <f ca="1">IF(COUNTIF('03.Muestra'!$D$8:$D$42,"Página Web")=0,0,COUNTBLANK($D1691:INDIRECT("$D" &amp;  SUM(ROW()-1,COUNTIF('03.Muestra'!$D$8:$D$42,"Página Web"))-1)))</f>
        <v>0.0</v>
      </c>
    </row>
    <row r="1693" spans="1:11" ht="12" customHeight="1">
      <c r="A1693" s="219" t="n" cm="1">
        <f t="array" ref="A1693">IFERROR(INDEX('03.Muestra'!$B$8:$B$42,SMALL(IF("Página Web"='03.Muestra'!$D$8:$D$42,ROW('03.Muestra'!$B$8:$B$42)-MIN(ROW('03.Muestra'!$D$8:$D$42))+1,""),ROW()-1690)),"")</f>
        <v>1.0</v>
      </c>
      <c r="B1693" s="114" t="str" cm="1">
        <f t="array" ref="B1693">IFERROR(INDEX('03.Muestra'!$C$8:$C$42,SMALL(IF("Página Web"='03.Muestra'!$D$8:$D$42,ROW('03.Muestra'!$C$8:$C$42)-MIN(ROW('03.Muestra'!$D$8:$D$42))+1,""),ROW()-1690)),"")</f>
        <v>Home - PortCastelló</v>
      </c>
      <c r="C1693" s="114" t="str" cm="1">
        <f t="array" ref="C1693">IFERROR(INDEX('03.Muestra'!$F$8:$F$42,SMALL(IF("Página Web"='03.Muestra'!$D$8:$D$42,ROW('03.Muestra'!$F$8:$F$42)-MIN(ROW('03.Muestra'!$D$8:$D$42))+1,""),ROW()-1690)),"")</f>
        <v>https://www.portcastello.com/</v>
      </c>
      <c r="D1693" s="130" t="str">
        <f t="shared" si="89"/>
        <v>N/T</v>
      </c>
      <c r="E1693" s="107" t="str">
        <f t="shared" si="88"/>
        <v/>
      </c>
      <c r="G1693" s="19"/>
      <c r="H1693" s="19"/>
      <c r="I1693" s="19"/>
      <c r="J1693" s="19"/>
      <c r="K1693" s="233"/>
    </row>
    <row r="1694" spans="1:11" ht="12" customHeight="1">
      <c r="A1694" s="219" t="n" cm="1">
        <f t="array" ref="A1694">IFERROR(INDEX('03.Muestra'!$B$8:$B$42,SMALL(IF("Página Web"='03.Muestra'!$D$8:$D$42,ROW('03.Muestra'!$B$8:$B$42)-MIN(ROW('03.Muestra'!$D$8:$D$42))+1,""),ROW()-1690)),"")</f>
        <v>1.0</v>
      </c>
      <c r="B1694" s="114" t="str" cm="1">
        <f t="array" ref="B1694">IFERROR(INDEX('03.Muestra'!$C$8:$C$42,SMALL(IF("Página Web"='03.Muestra'!$D$8:$D$42,ROW('03.Muestra'!$C$8:$C$42)-MIN(ROW('03.Muestra'!$D$8:$D$42))+1,""),ROW()-1690)),"")</f>
        <v>Home - PortCastelló</v>
      </c>
      <c r="C1694" s="114" t="str" cm="1">
        <f t="array" ref="C1694">IFERROR(INDEX('03.Muestra'!$F$8:$F$42,SMALL(IF("Página Web"='03.Muestra'!$D$8:$D$42,ROW('03.Muestra'!$F$8:$F$42)-MIN(ROW('03.Muestra'!$D$8:$D$42))+1,""),ROW()-1690)),"")</f>
        <v>https://www.portcastello.com/</v>
      </c>
      <c r="D1694" s="130" t="str">
        <f t="shared" si="89"/>
        <v>N/T</v>
      </c>
      <c r="E1694" s="107" t="str">
        <f t="shared" si="88"/>
        <v/>
      </c>
      <c r="G1694" s="19"/>
      <c r="H1694" s="19"/>
      <c r="I1694" s="19"/>
      <c r="J1694" s="19"/>
      <c r="K1694" s="233"/>
    </row>
    <row r="1695" spans="1:11" ht="12" customHeight="1">
      <c r="A1695" s="219" t="n" cm="1">
        <f t="array" ref="A1695">IFERROR(INDEX('03.Muestra'!$B$8:$B$42,SMALL(IF("Página Web"='03.Muestra'!$D$8:$D$42,ROW('03.Muestra'!$B$8:$B$42)-MIN(ROW('03.Muestra'!$D$8:$D$42))+1,""),ROW()-1690)),"")</f>
        <v>1.0</v>
      </c>
      <c r="B1695" s="114" t="str" cm="1">
        <f t="array" ref="B1695">IFERROR(INDEX('03.Muestra'!$C$8:$C$42,SMALL(IF("Página Web"='03.Muestra'!$D$8:$D$42,ROW('03.Muestra'!$C$8:$C$42)-MIN(ROW('03.Muestra'!$D$8:$D$42))+1,""),ROW()-1690)),"")</f>
        <v>Home - PortCastelló</v>
      </c>
      <c r="C1695" s="114" t="str" cm="1">
        <f t="array" ref="C1695">IFERROR(INDEX('03.Muestra'!$F$8:$F$42,SMALL(IF("Página Web"='03.Muestra'!$D$8:$D$42,ROW('03.Muestra'!$F$8:$F$42)-MIN(ROW('03.Muestra'!$D$8:$D$42))+1,""),ROW()-1690)),"")</f>
        <v>https://www.portcastello.com/</v>
      </c>
      <c r="D1695" s="130" t="str">
        <f t="shared" si="89"/>
        <v>N/T</v>
      </c>
      <c r="E1695" s="107" t="str">
        <f t="shared" si="88"/>
        <v/>
      </c>
      <c r="G1695" s="19"/>
      <c r="H1695" s="19"/>
      <c r="I1695" s="19"/>
      <c r="J1695" s="19"/>
      <c r="K1695" s="233"/>
    </row>
    <row r="1696" spans="1:11" ht="12" customHeight="1">
      <c r="A1696" s="219" t="n" cm="1">
        <f t="array" ref="A1696">IFERROR(INDEX('03.Muestra'!$B$8:$B$42,SMALL(IF("Página Web"='03.Muestra'!$D$8:$D$42,ROW('03.Muestra'!$B$8:$B$42)-MIN(ROW('03.Muestra'!$D$8:$D$42))+1,""),ROW()-1690)),"")</f>
        <v>1.0</v>
      </c>
      <c r="B1696" s="114" t="str" cm="1">
        <f t="array" ref="B1696">IFERROR(INDEX('03.Muestra'!$C$8:$C$42,SMALL(IF("Página Web"='03.Muestra'!$D$8:$D$42,ROW('03.Muestra'!$C$8:$C$42)-MIN(ROW('03.Muestra'!$D$8:$D$42))+1,""),ROW()-1690)),"")</f>
        <v>Home - PortCastelló</v>
      </c>
      <c r="C1696" s="114" t="str" cm="1">
        <f t="array" ref="C1696">IFERROR(INDEX('03.Muestra'!$F$8:$F$42,SMALL(IF("Página Web"='03.Muestra'!$D$8:$D$42,ROW('03.Muestra'!$F$8:$F$42)-MIN(ROW('03.Muestra'!$D$8:$D$42))+1,""),ROW()-1690)),"")</f>
        <v>https://www.portcastello.com/</v>
      </c>
      <c r="D1696" s="130" t="str">
        <f t="shared" si="89"/>
        <v>N/T</v>
      </c>
      <c r="E1696" s="107" t="str">
        <f t="shared" si="88"/>
        <v/>
      </c>
      <c r="G1696" s="19"/>
      <c r="H1696" s="19"/>
      <c r="I1696" s="19"/>
      <c r="J1696" s="19"/>
      <c r="K1696" s="233"/>
    </row>
    <row r="1697" spans="1:11" ht="12" customHeight="1">
      <c r="A1697" s="219" t="n" cm="1">
        <f t="array" ref="A1697">IFERROR(INDEX('03.Muestra'!$B$8:$B$42,SMALL(IF("Página Web"='03.Muestra'!$D$8:$D$42,ROW('03.Muestra'!$B$8:$B$42)-MIN(ROW('03.Muestra'!$D$8:$D$42))+1,""),ROW()-1690)),"")</f>
        <v>1.0</v>
      </c>
      <c r="B1697" s="114" t="str" cm="1">
        <f t="array" ref="B1697">IFERROR(INDEX('03.Muestra'!$C$8:$C$42,SMALL(IF("Página Web"='03.Muestra'!$D$8:$D$42,ROW('03.Muestra'!$C$8:$C$42)-MIN(ROW('03.Muestra'!$D$8:$D$42))+1,""),ROW()-1690)),"")</f>
        <v>Home - PortCastelló</v>
      </c>
      <c r="C1697" s="114" t="str" cm="1">
        <f t="array" ref="C1697">IFERROR(INDEX('03.Muestra'!$F$8:$F$42,SMALL(IF("Página Web"='03.Muestra'!$D$8:$D$42,ROW('03.Muestra'!$F$8:$F$42)-MIN(ROW('03.Muestra'!$D$8:$D$42))+1,""),ROW()-1690)),"")</f>
        <v>https://www.portcastello.com/</v>
      </c>
      <c r="D1697" s="130" t="str">
        <f t="shared" si="89"/>
        <v>N/T</v>
      </c>
      <c r="E1697" s="107" t="str">
        <f t="shared" si="88"/>
        <v/>
      </c>
      <c r="F1697" s="19"/>
      <c r="G1697" s="19"/>
      <c r="H1697" s="19"/>
      <c r="I1697" s="19"/>
      <c r="J1697" s="19"/>
      <c r="K1697" s="233"/>
    </row>
    <row r="1698" spans="1:11" ht="12" customHeight="1">
      <c r="A1698" s="219" t="n" cm="1">
        <f t="array" ref="A1698">IFERROR(INDEX('03.Muestra'!$B$8:$B$42,SMALL(IF("Página Web"='03.Muestra'!$D$8:$D$42,ROW('03.Muestra'!$B$8:$B$42)-MIN(ROW('03.Muestra'!$D$8:$D$42))+1,""),ROW()-1690)),"")</f>
        <v>1.0</v>
      </c>
      <c r="B1698" s="114" t="str" cm="1">
        <f t="array" ref="B1698">IFERROR(INDEX('03.Muestra'!$C$8:$C$42,SMALL(IF("Página Web"='03.Muestra'!$D$8:$D$42,ROW('03.Muestra'!$C$8:$C$42)-MIN(ROW('03.Muestra'!$D$8:$D$42))+1,""),ROW()-1690)),"")</f>
        <v>Home - PortCastelló</v>
      </c>
      <c r="C1698" s="114" t="str" cm="1">
        <f t="array" ref="C1698">IFERROR(INDEX('03.Muestra'!$F$8:$F$42,SMALL(IF("Página Web"='03.Muestra'!$D$8:$D$42,ROW('03.Muestra'!$F$8:$F$42)-MIN(ROW('03.Muestra'!$D$8:$D$42))+1,""),ROW()-1690)),"")</f>
        <v>https://www.portcastello.com/</v>
      </c>
      <c r="D1698" s="130" t="str">
        <f t="shared" si="89"/>
        <v>N/T</v>
      </c>
      <c r="E1698" s="107" t="str">
        <f t="shared" si="88"/>
        <v/>
      </c>
      <c r="F1698" s="19"/>
      <c r="G1698" s="19"/>
      <c r="H1698" s="19"/>
      <c r="I1698" s="19"/>
      <c r="J1698" s="19"/>
      <c r="K1698" s="233"/>
    </row>
    <row r="1699" spans="1:11" ht="12" customHeight="1">
      <c r="A1699" s="219" t="n" cm="1">
        <f t="array" ref="A1699">IFERROR(INDEX('03.Muestra'!$B$8:$B$42,SMALL(IF("Página Web"='03.Muestra'!$D$8:$D$42,ROW('03.Muestra'!$B$8:$B$42)-MIN(ROW('03.Muestra'!$D$8:$D$42))+1,""),ROW()-1690)),"")</f>
        <v>1.0</v>
      </c>
      <c r="B1699" s="114" t="str" cm="1">
        <f t="array" ref="B1699">IFERROR(INDEX('03.Muestra'!$C$8:$C$42,SMALL(IF("Página Web"='03.Muestra'!$D$8:$D$42,ROW('03.Muestra'!$C$8:$C$42)-MIN(ROW('03.Muestra'!$D$8:$D$42))+1,""),ROW()-1690)),"")</f>
        <v>Home - PortCastelló</v>
      </c>
      <c r="C1699" s="114" t="str" cm="1">
        <f t="array" ref="C1699">IFERROR(INDEX('03.Muestra'!$F$8:$F$42,SMALL(IF("Página Web"='03.Muestra'!$D$8:$D$42,ROW('03.Muestra'!$F$8:$F$42)-MIN(ROW('03.Muestra'!$D$8:$D$42))+1,""),ROW()-1690)),"")</f>
        <v>https://www.portcastello.com/</v>
      </c>
      <c r="D1699" s="130" t="str">
        <f t="shared" si="89"/>
        <v>N/T</v>
      </c>
      <c r="E1699" s="107" t="str">
        <f t="shared" si="88"/>
        <v/>
      </c>
      <c r="F1699" s="19"/>
      <c r="G1699" s="19"/>
      <c r="H1699" s="19"/>
      <c r="I1699" s="19"/>
      <c r="J1699" s="19"/>
      <c r="K1699" s="233"/>
    </row>
    <row r="1700" spans="1:11" ht="12" customHeight="1">
      <c r="A1700" s="219" t="n" cm="1">
        <f t="array" ref="A1700">IFERROR(INDEX('03.Muestra'!$B$8:$B$42,SMALL(IF("Página Web"='03.Muestra'!$D$8:$D$42,ROW('03.Muestra'!$B$8:$B$42)-MIN(ROW('03.Muestra'!$D$8:$D$42))+1,""),ROW()-1690)),"")</f>
        <v>1.0</v>
      </c>
      <c r="B1700" s="114" t="str" cm="1">
        <f t="array" ref="B1700">IFERROR(INDEX('03.Muestra'!$C$8:$C$42,SMALL(IF("Página Web"='03.Muestra'!$D$8:$D$42,ROW('03.Muestra'!$C$8:$C$42)-MIN(ROW('03.Muestra'!$D$8:$D$42))+1,""),ROW()-1690)),"")</f>
        <v>Home - PortCastelló</v>
      </c>
      <c r="C1700" s="114" t="str" cm="1">
        <f t="array" ref="C1700">IFERROR(INDEX('03.Muestra'!$F$8:$F$42,SMALL(IF("Página Web"='03.Muestra'!$D$8:$D$42,ROW('03.Muestra'!$F$8:$F$42)-MIN(ROW('03.Muestra'!$D$8:$D$42))+1,""),ROW()-1690)),"")</f>
        <v>https://www.portcastello.com/</v>
      </c>
      <c r="D1700" s="130" t="str">
        <f t="shared" si="89"/>
        <v>N/T</v>
      </c>
      <c r="E1700" s="107" t="str">
        <f t="shared" si="88"/>
        <v/>
      </c>
      <c r="F1700" s="19"/>
      <c r="G1700" s="19"/>
      <c r="H1700" s="19"/>
      <c r="I1700" s="19"/>
      <c r="J1700" s="19"/>
      <c r="K1700" s="233"/>
    </row>
    <row r="1701" spans="1:11" ht="12" customHeight="1">
      <c r="A1701" s="219" t="n" cm="1">
        <f t="array" ref="A1701">IFERROR(INDEX('03.Muestra'!$B$8:$B$42,SMALL(IF("Página Web"='03.Muestra'!$D$8:$D$42,ROW('03.Muestra'!$B$8:$B$42)-MIN(ROW('03.Muestra'!$D$8:$D$42))+1,""),ROW()-1690)),"")</f>
        <v>1.0</v>
      </c>
      <c r="B1701" s="114" t="str" cm="1">
        <f t="array" ref="B1701">IFERROR(INDEX('03.Muestra'!$C$8:$C$42,SMALL(IF("Página Web"='03.Muestra'!$D$8:$D$42,ROW('03.Muestra'!$C$8:$C$42)-MIN(ROW('03.Muestra'!$D$8:$D$42))+1,""),ROW()-1690)),"")</f>
        <v>Home - PortCastelló</v>
      </c>
      <c r="C1701" s="114" t="str" cm="1">
        <f t="array" ref="C1701">IFERROR(INDEX('03.Muestra'!$F$8:$F$42,SMALL(IF("Página Web"='03.Muestra'!$D$8:$D$42,ROW('03.Muestra'!$F$8:$F$42)-MIN(ROW('03.Muestra'!$D$8:$D$42))+1,""),ROW()-1690)),"")</f>
        <v>https://www.portcastello.com/</v>
      </c>
      <c r="D1701" s="130" t="str">
        <f t="shared" si="89"/>
        <v>N/T</v>
      </c>
      <c r="E1701" s="107" t="str">
        <f t="shared" si="88"/>
        <v/>
      </c>
      <c r="F1701" s="19"/>
      <c r="G1701" s="19"/>
      <c r="H1701" s="19"/>
      <c r="I1701" s="19"/>
      <c r="J1701" s="19"/>
      <c r="K1701" s="233"/>
    </row>
    <row r="1702" spans="1:11" ht="12" customHeight="1">
      <c r="A1702" s="219" t="n" cm="1">
        <f t="array" ref="A1702">IFERROR(INDEX('03.Muestra'!$B$8:$B$42,SMALL(IF("Página Web"='03.Muestra'!$D$8:$D$42,ROW('03.Muestra'!$B$8:$B$42)-MIN(ROW('03.Muestra'!$D$8:$D$42))+1,""),ROW()-1690)),"")</f>
        <v>1.0</v>
      </c>
      <c r="B1702" s="114" t="str" cm="1">
        <f t="array" ref="B1702">IFERROR(INDEX('03.Muestra'!$C$8:$C$42,SMALL(IF("Página Web"='03.Muestra'!$D$8:$D$42,ROW('03.Muestra'!$C$8:$C$42)-MIN(ROW('03.Muestra'!$D$8:$D$42))+1,""),ROW()-1690)),"")</f>
        <v>Home - PortCastelló</v>
      </c>
      <c r="C1702" s="114" t="str" cm="1">
        <f t="array" ref="C1702">IFERROR(INDEX('03.Muestra'!$F$8:$F$42,SMALL(IF("Página Web"='03.Muestra'!$D$8:$D$42,ROW('03.Muestra'!$F$8:$F$42)-MIN(ROW('03.Muestra'!$D$8:$D$42))+1,""),ROW()-1690)),"")</f>
        <v>https://www.portcastello.com/</v>
      </c>
      <c r="D1702" s="130" t="str">
        <f t="shared" si="89"/>
        <v>N/T</v>
      </c>
      <c r="E1702" s="107" t="str">
        <f t="shared" si="88"/>
        <v/>
      </c>
      <c r="F1702" s="19"/>
      <c r="G1702" s="19"/>
      <c r="H1702" s="19"/>
      <c r="I1702" s="19"/>
      <c r="J1702" s="19"/>
      <c r="K1702" s="233"/>
    </row>
    <row r="1703" spans="1:11" ht="12" customHeight="1">
      <c r="A1703" s="219" t="n" cm="1">
        <f t="array" ref="A1703">IFERROR(INDEX('03.Muestra'!$B$8:$B$42,SMALL(IF("Página Web"='03.Muestra'!$D$8:$D$42,ROW('03.Muestra'!$B$8:$B$42)-MIN(ROW('03.Muestra'!$D$8:$D$42))+1,""),ROW()-1690)),"")</f>
        <v>1.0</v>
      </c>
      <c r="B1703" s="114" t="str" cm="1">
        <f t="array" ref="B1703">IFERROR(INDEX('03.Muestra'!$C$8:$C$42,SMALL(IF("Página Web"='03.Muestra'!$D$8:$D$42,ROW('03.Muestra'!$C$8:$C$42)-MIN(ROW('03.Muestra'!$D$8:$D$42))+1,""),ROW()-1690)),"")</f>
        <v>Home - PortCastelló</v>
      </c>
      <c r="C1703" s="114" t="str" cm="1">
        <f t="array" ref="C1703">IFERROR(INDEX('03.Muestra'!$F$8:$F$42,SMALL(IF("Página Web"='03.Muestra'!$D$8:$D$42,ROW('03.Muestra'!$F$8:$F$42)-MIN(ROW('03.Muestra'!$D$8:$D$42))+1,""),ROW()-1690)),"")</f>
        <v>https://www.portcastello.com/</v>
      </c>
      <c r="D1703" s="130" t="str">
        <f t="shared" si="89"/>
        <v>N/T</v>
      </c>
      <c r="E1703" s="107" t="str">
        <f t="shared" si="88"/>
        <v/>
      </c>
      <c r="F1703" s="19"/>
      <c r="G1703" s="19"/>
      <c r="H1703" s="19"/>
      <c r="I1703" s="19"/>
      <c r="J1703" s="19"/>
      <c r="K1703" s="233"/>
    </row>
    <row r="1704" spans="1:11" ht="12" customHeight="1">
      <c r="A1704" s="219" t="n" cm="1">
        <f t="array" ref="A1704">IFERROR(INDEX('03.Muestra'!$B$8:$B$42,SMALL(IF("Página Web"='03.Muestra'!$D$8:$D$42,ROW('03.Muestra'!$B$8:$B$42)-MIN(ROW('03.Muestra'!$D$8:$D$42))+1,""),ROW()-1690)),"")</f>
        <v>1.0</v>
      </c>
      <c r="B1704" s="114" t="str" cm="1">
        <f t="array" ref="B1704">IFERROR(INDEX('03.Muestra'!$C$8:$C$42,SMALL(IF("Página Web"='03.Muestra'!$D$8:$D$42,ROW('03.Muestra'!$C$8:$C$42)-MIN(ROW('03.Muestra'!$D$8:$D$42))+1,""),ROW()-1690)),"")</f>
        <v>Home - PortCastelló</v>
      </c>
      <c r="C1704" s="114" t="str" cm="1">
        <f t="array" ref="C1704">IFERROR(INDEX('03.Muestra'!$F$8:$F$42,SMALL(IF("Página Web"='03.Muestra'!$D$8:$D$42,ROW('03.Muestra'!$F$8:$F$42)-MIN(ROW('03.Muestra'!$D$8:$D$42))+1,""),ROW()-1690)),"")</f>
        <v>https://www.portcastello.com/</v>
      </c>
      <c r="D1704" s="130" t="str">
        <f t="shared" si="89"/>
        <v>N/T</v>
      </c>
      <c r="E1704" s="107" t="str">
        <f t="shared" si="88"/>
        <v/>
      </c>
      <c r="F1704" s="19"/>
      <c r="G1704" s="19"/>
      <c r="H1704" s="19"/>
      <c r="I1704" s="19"/>
      <c r="J1704" s="19"/>
      <c r="K1704" s="233"/>
    </row>
    <row r="1705" spans="1:11" ht="12" customHeight="1">
      <c r="A1705" s="219" t="n" cm="1">
        <f t="array" ref="A1705">IFERROR(INDEX('03.Muestra'!$B$8:$B$42,SMALL(IF("Página Web"='03.Muestra'!$D$8:$D$42,ROW('03.Muestra'!$B$8:$B$42)-MIN(ROW('03.Muestra'!$D$8:$D$42))+1,""),ROW()-1690)),"")</f>
        <v>1.0</v>
      </c>
      <c r="B1705" s="114" t="str" cm="1">
        <f t="array" ref="B1705">IFERROR(INDEX('03.Muestra'!$C$8:$C$42,SMALL(IF("Página Web"='03.Muestra'!$D$8:$D$42,ROW('03.Muestra'!$C$8:$C$42)-MIN(ROW('03.Muestra'!$D$8:$D$42))+1,""),ROW()-1690)),"")</f>
        <v>Home - PortCastelló</v>
      </c>
      <c r="C1705" s="114" t="str" cm="1">
        <f t="array" ref="C1705">IFERROR(INDEX('03.Muestra'!$F$8:$F$42,SMALL(IF("Página Web"='03.Muestra'!$D$8:$D$42,ROW('03.Muestra'!$F$8:$F$42)-MIN(ROW('03.Muestra'!$D$8:$D$42))+1,""),ROW()-1690)),"")</f>
        <v>https://www.portcastello.com/</v>
      </c>
      <c r="D1705" s="130" t="str">
        <f t="shared" si="89"/>
        <v>N/T</v>
      </c>
      <c r="E1705" s="107" t="str">
        <f t="shared" si="88"/>
        <v/>
      </c>
      <c r="F1705" s="19"/>
      <c r="G1705" s="19"/>
      <c r="H1705" s="19"/>
      <c r="I1705" s="19"/>
      <c r="J1705" s="19"/>
      <c r="K1705" s="233"/>
    </row>
    <row r="1706" spans="1:11" ht="12" customHeight="1">
      <c r="A1706" s="219" t="n" cm="1">
        <f t="array" ref="A1706">IFERROR(INDEX('03.Muestra'!$B$8:$B$42,SMALL(IF("Página Web"='03.Muestra'!$D$8:$D$42,ROW('03.Muestra'!$B$8:$B$42)-MIN(ROW('03.Muestra'!$D$8:$D$42))+1,""),ROW()-1690)),"")</f>
        <v>1.0</v>
      </c>
      <c r="B1706" s="114" t="str" cm="1">
        <f t="array" ref="B1706">IFERROR(INDEX('03.Muestra'!$C$8:$C$42,SMALL(IF("Página Web"='03.Muestra'!$D$8:$D$42,ROW('03.Muestra'!$C$8:$C$42)-MIN(ROW('03.Muestra'!$D$8:$D$42))+1,""),ROW()-1690)),"")</f>
        <v>Home - PortCastelló</v>
      </c>
      <c r="C1706" s="114" t="str" cm="1">
        <f t="array" ref="C1706">IFERROR(INDEX('03.Muestra'!$F$8:$F$42,SMALL(IF("Página Web"='03.Muestra'!$D$8:$D$42,ROW('03.Muestra'!$F$8:$F$42)-MIN(ROW('03.Muestra'!$D$8:$D$42))+1,""),ROW()-1690)),"")</f>
        <v>https://www.portcastello.com/</v>
      </c>
      <c r="D1706" s="130" t="str">
        <f t="shared" si="89"/>
        <v>N/T</v>
      </c>
      <c r="E1706" s="107" t="str">
        <f t="shared" si="88"/>
        <v/>
      </c>
      <c r="F1706" s="19"/>
      <c r="G1706" s="19"/>
      <c r="H1706" s="19"/>
      <c r="I1706" s="19"/>
      <c r="J1706" s="19"/>
      <c r="K1706" s="233"/>
    </row>
    <row r="1707" spans="1:11" ht="12" customHeight="1">
      <c r="A1707" s="219" t="n" cm="1">
        <f t="array" ref="A1707">IFERROR(INDEX('03.Muestra'!$B$8:$B$42,SMALL(IF("Página Web"='03.Muestra'!$D$8:$D$42,ROW('03.Muestra'!$B$8:$B$42)-MIN(ROW('03.Muestra'!$D$8:$D$42))+1,""),ROW()-1690)),"")</f>
        <v>1.0</v>
      </c>
      <c r="B1707" s="114" t="str" cm="1">
        <f t="array" ref="B1707">IFERROR(INDEX('03.Muestra'!$C$8:$C$42,SMALL(IF("Página Web"='03.Muestra'!$D$8:$D$42,ROW('03.Muestra'!$C$8:$C$42)-MIN(ROW('03.Muestra'!$D$8:$D$42))+1,""),ROW()-1690)),"")</f>
        <v>Home - PortCastelló</v>
      </c>
      <c r="C1707" s="114" t="str" cm="1">
        <f t="array" ref="C1707">IFERROR(INDEX('03.Muestra'!$F$8:$F$42,SMALL(IF("Página Web"='03.Muestra'!$D$8:$D$42,ROW('03.Muestra'!$F$8:$F$42)-MIN(ROW('03.Muestra'!$D$8:$D$42))+1,""),ROW()-1690)),"")</f>
        <v>https://www.portcastello.com/</v>
      </c>
      <c r="D1707" s="130" t="str">
        <f t="shared" si="89"/>
        <v>N/T</v>
      </c>
      <c r="E1707" s="107" t="str">
        <f t="shared" si="88"/>
        <v/>
      </c>
      <c r="F1707" s="19"/>
      <c r="G1707" s="19"/>
      <c r="H1707" s="19"/>
      <c r="I1707" s="19"/>
      <c r="J1707" s="19"/>
      <c r="K1707" s="233"/>
    </row>
    <row r="1708" spans="1:11" ht="12" customHeight="1">
      <c r="A1708" s="219" t="n" cm="1">
        <f t="array" ref="A1708">IFERROR(INDEX('03.Muestra'!$B$8:$B$42,SMALL(IF("Página Web"='03.Muestra'!$D$8:$D$42,ROW('03.Muestra'!$B$8:$B$42)-MIN(ROW('03.Muestra'!$D$8:$D$42))+1,""),ROW()-1690)),"")</f>
        <v>1.0</v>
      </c>
      <c r="B1708" s="114" t="str" cm="1">
        <f t="array" ref="B1708">IFERROR(INDEX('03.Muestra'!$C$8:$C$42,SMALL(IF("Página Web"='03.Muestra'!$D$8:$D$42,ROW('03.Muestra'!$C$8:$C$42)-MIN(ROW('03.Muestra'!$D$8:$D$42))+1,""),ROW()-1690)),"")</f>
        <v>Home - PortCastelló</v>
      </c>
      <c r="C1708" s="114" t="str" cm="1">
        <f t="array" ref="C1708">IFERROR(INDEX('03.Muestra'!$F$8:$F$42,SMALL(IF("Página Web"='03.Muestra'!$D$8:$D$42,ROW('03.Muestra'!$F$8:$F$42)-MIN(ROW('03.Muestra'!$D$8:$D$42))+1,""),ROW()-1690)),"")</f>
        <v>https://www.portcastello.com/</v>
      </c>
      <c r="D1708" s="130" t="str">
        <f t="shared" si="89"/>
        <v>N/T</v>
      </c>
      <c r="E1708" s="107" t="str">
        <f t="shared" si="88"/>
        <v/>
      </c>
      <c r="F1708" s="19"/>
      <c r="G1708" s="19"/>
      <c r="H1708" s="19"/>
      <c r="I1708" s="19"/>
      <c r="J1708" s="19"/>
      <c r="K1708" s="233"/>
    </row>
    <row r="1709" spans="1:11" ht="12" customHeight="1">
      <c r="A1709" s="219" t="n" cm="1">
        <f t="array" ref="A1709">IFERROR(INDEX('03.Muestra'!$B$8:$B$42,SMALL(IF("Página Web"='03.Muestra'!$D$8:$D$42,ROW('03.Muestra'!$B$8:$B$42)-MIN(ROW('03.Muestra'!$D$8:$D$42))+1,""),ROW()-1690)),"")</f>
        <v>1.0</v>
      </c>
      <c r="B1709" s="114" t="str" cm="1">
        <f t="array" ref="B1709">IFERROR(INDEX('03.Muestra'!$C$8:$C$42,SMALL(IF("Página Web"='03.Muestra'!$D$8:$D$42,ROW('03.Muestra'!$C$8:$C$42)-MIN(ROW('03.Muestra'!$D$8:$D$42))+1,""),ROW()-1690)),"")</f>
        <v>Home - PortCastelló</v>
      </c>
      <c r="C1709" s="114" t="str" cm="1">
        <f t="array" ref="C1709">IFERROR(INDEX('03.Muestra'!$F$8:$F$42,SMALL(IF("Página Web"='03.Muestra'!$D$8:$D$42,ROW('03.Muestra'!$F$8:$F$42)-MIN(ROW('03.Muestra'!$D$8:$D$42))+1,""),ROW()-1690)),"")</f>
        <v>https://www.portcastello.com/</v>
      </c>
      <c r="D1709" s="130" t="str">
        <f t="shared" si="89"/>
        <v>N/T</v>
      </c>
      <c r="E1709" s="107" t="str">
        <f t="shared" si="88"/>
        <v/>
      </c>
      <c r="F1709" s="19"/>
      <c r="G1709" s="19"/>
      <c r="H1709" s="19"/>
      <c r="I1709" s="19"/>
      <c r="J1709" s="19"/>
      <c r="K1709" s="233"/>
    </row>
    <row r="1710" spans="1:11" ht="12" customHeight="1">
      <c r="A1710" s="219" t="n" cm="1">
        <f t="array" ref="A1710">IFERROR(INDEX('03.Muestra'!$B$8:$B$42,SMALL(IF("Página Web"='03.Muestra'!$D$8:$D$42,ROW('03.Muestra'!$B$8:$B$42)-MIN(ROW('03.Muestra'!$D$8:$D$42))+1,""),ROW()-1690)),"")</f>
        <v>1.0</v>
      </c>
      <c r="B1710" s="114" t="str" cm="1">
        <f t="array" ref="B1710">IFERROR(INDEX('03.Muestra'!$C$8:$C$42,SMALL(IF("Página Web"='03.Muestra'!$D$8:$D$42,ROW('03.Muestra'!$C$8:$C$42)-MIN(ROW('03.Muestra'!$D$8:$D$42))+1,""),ROW()-1690)),"")</f>
        <v>Home - PortCastelló</v>
      </c>
      <c r="C1710" s="114" t="str" cm="1">
        <f t="array" ref="C1710">IFERROR(INDEX('03.Muestra'!$F$8:$F$42,SMALL(IF("Página Web"='03.Muestra'!$D$8:$D$42,ROW('03.Muestra'!$F$8:$F$42)-MIN(ROW('03.Muestra'!$D$8:$D$42))+1,""),ROW()-1690)),"")</f>
        <v>https://www.portcastello.com/</v>
      </c>
      <c r="D1710" s="130" t="str">
        <f t="shared" si="89"/>
        <v>N/T</v>
      </c>
      <c r="E1710" s="107" t="str">
        <f t="shared" si="88"/>
        <v/>
      </c>
      <c r="F1710" s="19"/>
      <c r="G1710" s="19"/>
      <c r="H1710" s="19"/>
      <c r="I1710" s="19"/>
      <c r="J1710" s="19"/>
      <c r="K1710" s="233"/>
    </row>
    <row r="1711" spans="1:11" ht="12" customHeight="1">
      <c r="A1711" s="219" t="n" cm="1">
        <f t="array" ref="A1711">IFERROR(INDEX('03.Muestra'!$B$8:$B$42,SMALL(IF("Página Web"='03.Muestra'!$D$8:$D$42,ROW('03.Muestra'!$B$8:$B$42)-MIN(ROW('03.Muestra'!$D$8:$D$42))+1,""),ROW()-1690)),"")</f>
        <v>1.0</v>
      </c>
      <c r="B1711" s="114" t="str" cm="1">
        <f t="array" ref="B1711">IFERROR(INDEX('03.Muestra'!$C$8:$C$42,SMALL(IF("Página Web"='03.Muestra'!$D$8:$D$42,ROW('03.Muestra'!$C$8:$C$42)-MIN(ROW('03.Muestra'!$D$8:$D$42))+1,""),ROW()-1690)),"")</f>
        <v>Home - PortCastelló</v>
      </c>
      <c r="C1711" s="114" t="str" cm="1">
        <f t="array" ref="C1711">IFERROR(INDEX('03.Muestra'!$F$8:$F$42,SMALL(IF("Página Web"='03.Muestra'!$D$8:$D$42,ROW('03.Muestra'!$F$8:$F$42)-MIN(ROW('03.Muestra'!$D$8:$D$42))+1,""),ROW()-1690)),"")</f>
        <v>https://www.portcastello.com/</v>
      </c>
      <c r="D1711" s="130" t="str">
        <f t="shared" si="89"/>
        <v>N/T</v>
      </c>
      <c r="E1711" s="107" t="str">
        <f t="shared" si="88"/>
        <v/>
      </c>
      <c r="F1711" s="19"/>
      <c r="G1711" s="19"/>
      <c r="H1711" s="19"/>
      <c r="I1711" s="19"/>
      <c r="J1711" s="19"/>
      <c r="K1711" s="233"/>
    </row>
    <row r="1712" spans="1:11" ht="12" customHeight="1">
      <c r="A1712" s="219" t="n" cm="1">
        <f t="array" ref="A1712">IFERROR(INDEX('03.Muestra'!$B$8:$B$42,SMALL(IF("Página Web"='03.Muestra'!$D$8:$D$42,ROW('03.Muestra'!$B$8:$B$42)-MIN(ROW('03.Muestra'!$D$8:$D$42))+1,""),ROW()-1690)),"")</f>
        <v>1.0</v>
      </c>
      <c r="B1712" s="114" t="str" cm="1">
        <f t="array" ref="B1712">IFERROR(INDEX('03.Muestra'!$C$8:$C$42,SMALL(IF("Página Web"='03.Muestra'!$D$8:$D$42,ROW('03.Muestra'!$C$8:$C$42)-MIN(ROW('03.Muestra'!$D$8:$D$42))+1,""),ROW()-1690)),"")</f>
        <v>Home - PortCastelló</v>
      </c>
      <c r="C1712" s="114" t="str" cm="1">
        <f t="array" ref="C1712">IFERROR(INDEX('03.Muestra'!$F$8:$F$42,SMALL(IF("Página Web"='03.Muestra'!$D$8:$D$42,ROW('03.Muestra'!$F$8:$F$42)-MIN(ROW('03.Muestra'!$D$8:$D$42))+1,""),ROW()-1690)),"")</f>
        <v>https://www.portcastello.com/</v>
      </c>
      <c r="D1712" s="130" t="str">
        <f t="shared" si="89"/>
        <v>N/T</v>
      </c>
      <c r="E1712" s="107" t="str">
        <f t="shared" si="88"/>
        <v/>
      </c>
      <c r="F1712" s="19"/>
      <c r="G1712" s="19"/>
      <c r="H1712" s="19"/>
      <c r="I1712" s="19"/>
      <c r="J1712" s="19"/>
      <c r="K1712" s="233"/>
    </row>
    <row r="1713" spans="1:11" ht="12" customHeight="1">
      <c r="A1713" s="219" t="n" cm="1">
        <f t="array" ref="A1713">IFERROR(INDEX('03.Muestra'!$B$8:$B$42,SMALL(IF("Página Web"='03.Muestra'!$D$8:$D$42,ROW('03.Muestra'!$B$8:$B$42)-MIN(ROW('03.Muestra'!$D$8:$D$42))+1,""),ROW()-1690)),"")</f>
        <v>1.0</v>
      </c>
      <c r="B1713" s="114" t="str" cm="1">
        <f t="array" ref="B1713">IFERROR(INDEX('03.Muestra'!$C$8:$C$42,SMALL(IF("Página Web"='03.Muestra'!$D$8:$D$42,ROW('03.Muestra'!$C$8:$C$42)-MIN(ROW('03.Muestra'!$D$8:$D$42))+1,""),ROW()-1690)),"")</f>
        <v>Home - PortCastelló</v>
      </c>
      <c r="C1713" s="114" t="str" cm="1">
        <f t="array" ref="C1713">IFERROR(INDEX('03.Muestra'!$F$8:$F$42,SMALL(IF("Página Web"='03.Muestra'!$D$8:$D$42,ROW('03.Muestra'!$F$8:$F$42)-MIN(ROW('03.Muestra'!$D$8:$D$42))+1,""),ROW()-1690)),"")</f>
        <v>https://www.portcastello.com/</v>
      </c>
      <c r="D1713" s="130" t="str">
        <f t="shared" si="89"/>
        <v>N/T</v>
      </c>
      <c r="E1713" s="107" t="str">
        <f t="shared" si="88"/>
        <v/>
      </c>
      <c r="F1713" s="19"/>
      <c r="G1713" s="19"/>
      <c r="H1713" s="19"/>
      <c r="I1713" s="19"/>
      <c r="J1713" s="19"/>
      <c r="K1713" s="233"/>
    </row>
    <row r="1714" spans="1:11" ht="12" customHeight="1">
      <c r="A1714" s="219" t="n" cm="1">
        <f t="array" ref="A1714">IFERROR(INDEX('03.Muestra'!$B$8:$B$42,SMALL(IF("Página Web"='03.Muestra'!$D$8:$D$42,ROW('03.Muestra'!$B$8:$B$42)-MIN(ROW('03.Muestra'!$D$8:$D$42))+1,""),ROW()-1690)),"")</f>
        <v>1.0</v>
      </c>
      <c r="B1714" s="114" t="str" cm="1">
        <f t="array" ref="B1714">IFERROR(INDEX('03.Muestra'!$C$8:$C$42,SMALL(IF("Página Web"='03.Muestra'!$D$8:$D$42,ROW('03.Muestra'!$C$8:$C$42)-MIN(ROW('03.Muestra'!$D$8:$D$42))+1,""),ROW()-1690)),"")</f>
        <v>Home - PortCastelló</v>
      </c>
      <c r="C1714" s="114" t="str" cm="1">
        <f t="array" ref="C1714">IFERROR(INDEX('03.Muestra'!$F$8:$F$42,SMALL(IF("Página Web"='03.Muestra'!$D$8:$D$42,ROW('03.Muestra'!$F$8:$F$42)-MIN(ROW('03.Muestra'!$D$8:$D$42))+1,""),ROW()-1690)),"")</f>
        <v>https://www.portcastello.com/</v>
      </c>
      <c r="D1714" s="130" t="str">
        <f t="shared" si="89"/>
        <v>N/T</v>
      </c>
      <c r="E1714" s="107" t="str">
        <f t="shared" si="88"/>
        <v/>
      </c>
      <c r="F1714" s="19"/>
      <c r="G1714" s="19"/>
      <c r="H1714" s="19"/>
      <c r="I1714" s="19"/>
      <c r="J1714" s="19"/>
      <c r="K1714" s="233"/>
    </row>
    <row r="1715" spans="1:11" ht="12" customHeight="1">
      <c r="A1715" s="219" t="n" cm="1">
        <f t="array" ref="A1715">IFERROR(INDEX('03.Muestra'!$B$8:$B$42,SMALL(IF("Página Web"='03.Muestra'!$D$8:$D$42,ROW('03.Muestra'!$B$8:$B$42)-MIN(ROW('03.Muestra'!$D$8:$D$42))+1,""),ROW()-1690)),"")</f>
        <v>1.0</v>
      </c>
      <c r="B1715" s="114" t="str" cm="1">
        <f t="array" ref="B1715">IFERROR(INDEX('03.Muestra'!$C$8:$C$42,SMALL(IF("Página Web"='03.Muestra'!$D$8:$D$42,ROW('03.Muestra'!$C$8:$C$42)-MIN(ROW('03.Muestra'!$D$8:$D$42))+1,""),ROW()-1690)),"")</f>
        <v>Home - PortCastelló</v>
      </c>
      <c r="C1715" s="114" t="str" cm="1">
        <f t="array" ref="C1715">IFERROR(INDEX('03.Muestra'!$F$8:$F$42,SMALL(IF("Página Web"='03.Muestra'!$D$8:$D$42,ROW('03.Muestra'!$F$8:$F$42)-MIN(ROW('03.Muestra'!$D$8:$D$42))+1,""),ROW()-1690)),"")</f>
        <v>https://www.portcastello.com/</v>
      </c>
      <c r="D1715" s="130" t="str">
        <f t="shared" si="89"/>
        <v>N/T</v>
      </c>
      <c r="E1715" s="107" t="str">
        <f t="shared" si="88"/>
        <v/>
      </c>
      <c r="F1715" s="19"/>
      <c r="G1715" s="19"/>
      <c r="H1715" s="19"/>
      <c r="I1715" s="19"/>
      <c r="J1715" s="19"/>
      <c r="K1715" s="233"/>
    </row>
    <row r="1716" spans="1:11" ht="12" customHeight="1">
      <c r="A1716" s="219" t="n" cm="1">
        <f t="array" ref="A1716">IFERROR(INDEX('03.Muestra'!$B$8:$B$42,SMALL(IF("Página Web"='03.Muestra'!$D$8:$D$42,ROW('03.Muestra'!$B$8:$B$42)-MIN(ROW('03.Muestra'!$D$8:$D$42))+1,""),ROW()-1690)),"")</f>
        <v>1.0</v>
      </c>
      <c r="B1716" s="114" t="str" cm="1">
        <f t="array" ref="B1716">IFERROR(INDEX('03.Muestra'!$C$8:$C$42,SMALL(IF("Página Web"='03.Muestra'!$D$8:$D$42,ROW('03.Muestra'!$C$8:$C$42)-MIN(ROW('03.Muestra'!$D$8:$D$42))+1,""),ROW()-1690)),"")</f>
        <v>Home - PortCastelló</v>
      </c>
      <c r="C1716" s="114" t="str" cm="1">
        <f t="array" ref="C1716">IFERROR(INDEX('03.Muestra'!$F$8:$F$42,SMALL(IF("Página Web"='03.Muestra'!$D$8:$D$42,ROW('03.Muestra'!$F$8:$F$42)-MIN(ROW('03.Muestra'!$D$8:$D$42))+1,""),ROW()-1690)),"")</f>
        <v>https://www.portcastello.com/</v>
      </c>
      <c r="D1716" s="130" t="str">
        <f t="shared" si="89"/>
        <v>N/T</v>
      </c>
      <c r="E1716" s="107" t="str">
        <f t="shared" si="88"/>
        <v/>
      </c>
      <c r="F1716" s="19"/>
      <c r="G1716" s="19"/>
      <c r="H1716" s="19"/>
      <c r="I1716" s="19"/>
      <c r="J1716" s="19"/>
      <c r="K1716" s="233"/>
    </row>
    <row r="1717" spans="1:11" ht="12" customHeight="1">
      <c r="A1717" s="219" t="n" cm="1">
        <f t="array" ref="A1717">IFERROR(INDEX('03.Muestra'!$B$8:$B$42,SMALL(IF("Página Web"='03.Muestra'!$D$8:$D$42,ROW('03.Muestra'!$B$8:$B$42)-MIN(ROW('03.Muestra'!$D$8:$D$42))+1,""),ROW()-1690)),"")</f>
        <v>1.0</v>
      </c>
      <c r="B1717" s="114" t="str" cm="1">
        <f t="array" ref="B1717">IFERROR(INDEX('03.Muestra'!$C$8:$C$42,SMALL(IF("Página Web"='03.Muestra'!$D$8:$D$42,ROW('03.Muestra'!$C$8:$C$42)-MIN(ROW('03.Muestra'!$D$8:$D$42))+1,""),ROW()-1690)),"")</f>
        <v>Home - PortCastelló</v>
      </c>
      <c r="C1717" s="114" t="str" cm="1">
        <f t="array" ref="C1717">IFERROR(INDEX('03.Muestra'!$F$8:$F$42,SMALL(IF("Página Web"='03.Muestra'!$D$8:$D$42,ROW('03.Muestra'!$F$8:$F$42)-MIN(ROW('03.Muestra'!$D$8:$D$42))+1,""),ROW()-1690)),"")</f>
        <v>https://www.portcastello.com/</v>
      </c>
      <c r="D1717" s="130" t="str">
        <f t="shared" si="89"/>
        <v>N/T</v>
      </c>
      <c r="E1717" s="107" t="str">
        <f t="shared" si="88"/>
        <v/>
      </c>
      <c r="F1717" s="19"/>
      <c r="G1717" s="19"/>
      <c r="H1717" s="19"/>
      <c r="I1717" s="19"/>
      <c r="J1717" s="19"/>
      <c r="K1717" s="233"/>
    </row>
    <row r="1718" spans="1:11" ht="12" customHeight="1">
      <c r="A1718" s="219" t="n" cm="1">
        <f t="array" ref="A1718">IFERROR(INDEX('03.Muestra'!$B$8:$B$42,SMALL(IF("Página Web"='03.Muestra'!$D$8:$D$42,ROW('03.Muestra'!$B$8:$B$42)-MIN(ROW('03.Muestra'!$D$8:$D$42))+1,""),ROW()-1690)),"")</f>
        <v>1.0</v>
      </c>
      <c r="B1718" s="114" t="str" cm="1">
        <f t="array" ref="B1718">IFERROR(INDEX('03.Muestra'!$C$8:$C$42,SMALL(IF("Página Web"='03.Muestra'!$D$8:$D$42,ROW('03.Muestra'!$C$8:$C$42)-MIN(ROW('03.Muestra'!$D$8:$D$42))+1,""),ROW()-1690)),"")</f>
        <v>Home - PortCastelló</v>
      </c>
      <c r="C1718" s="114" t="str" cm="1">
        <f t="array" ref="C1718">IFERROR(INDEX('03.Muestra'!$F$8:$F$42,SMALL(IF("Página Web"='03.Muestra'!$D$8:$D$42,ROW('03.Muestra'!$F$8:$F$42)-MIN(ROW('03.Muestra'!$D$8:$D$42))+1,""),ROW()-1690)),"")</f>
        <v>https://www.portcastello.com/</v>
      </c>
      <c r="D1718" s="130" t="str">
        <f t="shared" si="89"/>
        <v>N/T</v>
      </c>
      <c r="E1718" s="107" t="str">
        <f t="shared" si="88"/>
        <v/>
      </c>
      <c r="G1718" s="19"/>
      <c r="H1718" s="19"/>
      <c r="I1718" s="19"/>
      <c r="J1718" s="19"/>
      <c r="K1718" s="233"/>
    </row>
    <row r="1719" spans="1:11" ht="12" customHeight="1">
      <c r="A1719" s="219" t="n" cm="1">
        <f t="array" ref="A1719">IFERROR(INDEX('03.Muestra'!$B$8:$B$42,SMALL(IF("Página Web"='03.Muestra'!$D$8:$D$42,ROW('03.Muestra'!$B$8:$B$42)-MIN(ROW('03.Muestra'!$D$8:$D$42))+1,""),ROW()-1690)),"")</f>
        <v>1.0</v>
      </c>
      <c r="B1719" s="114" t="str" cm="1">
        <f t="array" ref="B1719">IFERROR(INDEX('03.Muestra'!$C$8:$C$42,SMALL(IF("Página Web"='03.Muestra'!$D$8:$D$42,ROW('03.Muestra'!$C$8:$C$42)-MIN(ROW('03.Muestra'!$D$8:$D$42))+1,""),ROW()-1690)),"")</f>
        <v>Home - PortCastelló</v>
      </c>
      <c r="C1719" s="114" t="str" cm="1">
        <f t="array" ref="C1719">IFERROR(INDEX('03.Muestra'!$F$8:$F$42,SMALL(IF("Página Web"='03.Muestra'!$D$8:$D$42,ROW('03.Muestra'!$F$8:$F$42)-MIN(ROW('03.Muestra'!$D$8:$D$42))+1,""),ROW()-1690)),"")</f>
        <v>https://www.portcastello.com/</v>
      </c>
      <c r="D1719" s="130" t="str">
        <f t="shared" si="89"/>
        <v>N/T</v>
      </c>
      <c r="E1719" s="107" t="str">
        <f t="shared" si="88"/>
        <v/>
      </c>
      <c r="F1719" s="124"/>
      <c r="G1719" s="19"/>
      <c r="H1719" s="19"/>
      <c r="I1719" s="19"/>
      <c r="J1719" s="19"/>
      <c r="K1719" s="233"/>
    </row>
    <row r="1720" spans="1:11" ht="12" customHeight="1">
      <c r="A1720" s="219" t="n" cm="1">
        <f t="array" ref="A1720">IFERROR(INDEX('03.Muestra'!$B$8:$B$42,SMALL(IF("Página Web"='03.Muestra'!$D$8:$D$42,ROW('03.Muestra'!$B$8:$B$42)-MIN(ROW('03.Muestra'!$D$8:$D$42))+1,""),ROW()-1690)),"")</f>
        <v>1.0</v>
      </c>
      <c r="B1720" s="114" t="str" cm="1">
        <f t="array" ref="B1720">IFERROR(INDEX('03.Muestra'!$C$8:$C$42,SMALL(IF("Página Web"='03.Muestra'!$D$8:$D$42,ROW('03.Muestra'!$C$8:$C$42)-MIN(ROW('03.Muestra'!$D$8:$D$42))+1,""),ROW()-1690)),"")</f>
        <v>Home - PortCastelló</v>
      </c>
      <c r="C1720" s="114" t="str" cm="1">
        <f t="array" ref="C1720">IFERROR(INDEX('03.Muestra'!$F$8:$F$42,SMALL(IF("Página Web"='03.Muestra'!$D$8:$D$42,ROW('03.Muestra'!$F$8:$F$42)-MIN(ROW('03.Muestra'!$D$8:$D$42))+1,""),ROW()-1690)),"")</f>
        <v>https://www.portcastello.com/</v>
      </c>
      <c r="D1720" s="130" t="str">
        <f t="shared" si="89"/>
        <v>N/T</v>
      </c>
      <c r="E1720" s="107" t="str">
        <f t="shared" si="88"/>
        <v/>
      </c>
      <c r="F1720" s="124"/>
      <c r="G1720" s="19"/>
      <c r="H1720" s="19"/>
      <c r="I1720" s="19"/>
      <c r="J1720" s="19"/>
      <c r="K1720" s="233"/>
    </row>
    <row r="1721" spans="1:11" ht="12" customHeight="1">
      <c r="A1721" s="219" t="n" cm="1">
        <f t="array" ref="A1721">IFERROR(INDEX('03.Muestra'!$B$8:$B$42,SMALL(IF("Página Web"='03.Muestra'!$D$8:$D$42,ROW('03.Muestra'!$B$8:$B$42)-MIN(ROW('03.Muestra'!$D$8:$D$42))+1,""),ROW()-1690)),"")</f>
        <v>1.0</v>
      </c>
      <c r="B1721" s="114" t="str" cm="1">
        <f t="array" ref="B1721">IFERROR(INDEX('03.Muestra'!$C$8:$C$42,SMALL(IF("Página Web"='03.Muestra'!$D$8:$D$42,ROW('03.Muestra'!$C$8:$C$42)-MIN(ROW('03.Muestra'!$D$8:$D$42))+1,""),ROW()-1690)),"")</f>
        <v>Home - PortCastelló</v>
      </c>
      <c r="C1721" s="114" t="str" cm="1">
        <f t="array" ref="C1721">IFERROR(INDEX('03.Muestra'!$F$8:$F$42,SMALL(IF("Página Web"='03.Muestra'!$D$8:$D$42,ROW('03.Muestra'!$F$8:$F$42)-MIN(ROW('03.Muestra'!$D$8:$D$42))+1,""),ROW()-1690)),"")</f>
        <v>https://www.portcastello.com/</v>
      </c>
      <c r="D1721" s="130" t="str">
        <f t="shared" si="89"/>
        <v>N/T</v>
      </c>
      <c r="E1721" s="107" t="str">
        <f t="shared" si="88"/>
        <v/>
      </c>
      <c r="F1721" s="124"/>
      <c r="G1721" s="19"/>
      <c r="H1721" s="19"/>
      <c r="I1721" s="19"/>
      <c r="J1721" s="19"/>
      <c r="K1721" s="233"/>
    </row>
    <row r="1722" spans="1:11" ht="12" customHeight="1">
      <c r="A1722" s="219" t="n" cm="1">
        <f t="array" ref="A1722">IFERROR(INDEX('03.Muestra'!$B$8:$B$42,SMALL(IF("Página Web"='03.Muestra'!$D$8:$D$42,ROW('03.Muestra'!$B$8:$B$42)-MIN(ROW('03.Muestra'!$D$8:$D$42))+1,""),ROW()-1690)),"")</f>
        <v>1.0</v>
      </c>
      <c r="B1722" s="114" t="str" cm="1">
        <f t="array" ref="B1722">IFERROR(INDEX('03.Muestra'!$C$8:$C$42,SMALL(IF("Página Web"='03.Muestra'!$D$8:$D$42,ROW('03.Muestra'!$C$8:$C$42)-MIN(ROW('03.Muestra'!$D$8:$D$42))+1,""),ROW()-1690)),"")</f>
        <v>Home - PortCastelló</v>
      </c>
      <c r="C1722" s="114" t="str" cm="1">
        <f t="array" ref="C1722">IFERROR(INDEX('03.Muestra'!$F$8:$F$42,SMALL(IF("Página Web"='03.Muestra'!$D$8:$D$42,ROW('03.Muestra'!$F$8:$F$42)-MIN(ROW('03.Muestra'!$D$8:$D$42))+1,""),ROW()-1690)),"")</f>
        <v>https://www.portcastello.com/</v>
      </c>
      <c r="D1722" s="130" t="str">
        <f t="shared" si="89"/>
        <v>N/T</v>
      </c>
      <c r="E1722" s="107" t="str">
        <f t="shared" si="88"/>
        <v/>
      </c>
      <c r="F1722" s="124"/>
      <c r="G1722" s="19"/>
      <c r="H1722" s="19"/>
      <c r="I1722" s="19"/>
      <c r="J1722" s="19"/>
      <c r="K1722" s="233"/>
    </row>
    <row r="1723" spans="1:11" ht="12" customHeight="1">
      <c r="A1723" s="219" t="n" cm="1">
        <f t="array" ref="A1723">IFERROR(INDEX('03.Muestra'!$B$8:$B$42,SMALL(IF("Página Web"='03.Muestra'!$D$8:$D$42,ROW('03.Muestra'!$B$8:$B$42)-MIN(ROW('03.Muestra'!$D$8:$D$42))+1,""),ROW()-1690)),"")</f>
        <v>1.0</v>
      </c>
      <c r="B1723" s="114" t="str" cm="1">
        <f t="array" ref="B1723">IFERROR(INDEX('03.Muestra'!$C$8:$C$42,SMALL(IF("Página Web"='03.Muestra'!$D$8:$D$42,ROW('03.Muestra'!$C$8:$C$42)-MIN(ROW('03.Muestra'!$D$8:$D$42))+1,""),ROW()-1690)),"")</f>
        <v>Home - PortCastelló</v>
      </c>
      <c r="C1723" s="114" t="str" cm="1">
        <f t="array" ref="C1723">IFERROR(INDEX('03.Muestra'!$F$8:$F$42,SMALL(IF("Página Web"='03.Muestra'!$D$8:$D$42,ROW('03.Muestra'!$F$8:$F$42)-MIN(ROW('03.Muestra'!$D$8:$D$42))+1,""),ROW()-1690)),"")</f>
        <v>https://www.portcastello.com/</v>
      </c>
      <c r="D1723" s="130" t="str">
        <f t="shared" si="89"/>
        <v>N/T</v>
      </c>
      <c r="E1723" s="107" t="str">
        <f t="shared" si="88"/>
        <v/>
      </c>
      <c r="F1723" s="124"/>
      <c r="G1723" s="19"/>
      <c r="H1723" s="19"/>
      <c r="I1723" s="19"/>
      <c r="J1723" s="19"/>
      <c r="K1723" s="233"/>
    </row>
    <row r="1724" spans="1:11" ht="12" customHeight="1">
      <c r="A1724" s="219" t="str" cm="1">
        <f t="array" ref="A1724">IFERROR(INDEX('03.Muestra'!$B$8:$B$42,SMALL(IF("Página Web"='03.Muestra'!$D$8:$D$42,ROW('03.Muestra'!$B$8:$B$42)-MIN(ROW('03.Muestra'!$D$8:$D$42))+1,""),ROW()-1690)),"")</f>
        <v/>
      </c>
      <c r="B1724" s="114" t="str" cm="1">
        <f t="array" ref="B1724">IFERROR(INDEX('03.Muestra'!$C$8:$C$42,SMALL(IF("Página Web"='03.Muestra'!$D$8:$D$42,ROW('03.Muestra'!$C$8:$C$42)-MIN(ROW('03.Muestra'!$D$8:$D$42))+1,""),ROW()-1690)),"")</f>
        <v/>
      </c>
      <c r="C1724" s="114" t="str" cm="1">
        <f t="array" ref="C1724">IFERROR(INDEX('03.Muestra'!$F$8:$F$42,SMALL(IF("Página Web"='03.Muestra'!$D$8:$D$42,ROW('03.Muestra'!$F$8:$F$42)-MIN(ROW('03.Muestra'!$D$8:$D$42))+1,""),ROW()-1690)),"")</f>
        <v/>
      </c>
      <c r="D1724" s="130" t="str">
        <f t="shared" si="89"/>
        <v/>
      </c>
      <c r="E1724" s="107" t="str">
        <f t="shared" si="88"/>
        <v/>
      </c>
      <c r="F1724" s="124"/>
      <c r="G1724" s="19"/>
      <c r="H1724" s="19"/>
      <c r="I1724" s="19"/>
      <c r="J1724" s="19"/>
      <c r="K1724" s="233"/>
    </row>
    <row r="1725" spans="1:11" ht="12" customHeight="1">
      <c r="A1725" s="219" t="str" cm="1">
        <f t="array" ref="A1725">IFERROR(INDEX('03.Muestra'!$B$8:$B$42,SMALL(IF("Página Web"='03.Muestra'!$D$8:$D$42,ROW('03.Muestra'!$B$8:$B$42)-MIN(ROW('03.Muestra'!$D$8:$D$42))+1,""),ROW()-1690)),"")</f>
        <v/>
      </c>
      <c r="B1725" s="114" t="str" cm="1">
        <f t="array" ref="B1725">IFERROR(INDEX('03.Muestra'!$C$8:$C$42,SMALL(IF("Página Web"='03.Muestra'!$D$8:$D$42,ROW('03.Muestra'!$C$8:$C$42)-MIN(ROW('03.Muestra'!$D$8:$D$42))+1,""),ROW()-1690)),"")</f>
        <v/>
      </c>
      <c r="C1725" s="114" t="str" cm="1">
        <f t="array" ref="C1725">IFERROR(INDEX('03.Muestra'!$F$8:$F$42,SMALL(IF("Página Web"='03.Muestra'!$D$8:$D$42,ROW('03.Muestra'!$F$8:$F$42)-MIN(ROW('03.Muestra'!$D$8:$D$42))+1,""),ROW()-1690)),"")</f>
        <v/>
      </c>
      <c r="D1725" s="130" t="str">
        <f t="shared" si="89"/>
        <v/>
      </c>
      <c r="E1725" s="107" t="str">
        <f t="shared" si="88"/>
        <v/>
      </c>
      <c r="F1725" s="19"/>
      <c r="G1725" s="19"/>
      <c r="H1725" s="19"/>
      <c r="I1725" s="19"/>
      <c r="J1725" s="19"/>
      <c r="K1725" s="233"/>
    </row>
    <row r="1726" spans="1:11" ht="12" customHeight="1">
      <c r="B1726" s="19"/>
      <c r="C1726" s="19"/>
      <c r="D1726" s="107"/>
      <c r="E1726" s="19"/>
      <c r="F1726" s="19"/>
      <c r="G1726" s="19"/>
      <c r="H1726" s="19"/>
      <c r="I1726" s="19"/>
      <c r="J1726" s="19"/>
      <c r="K1726" s="233"/>
    </row>
    <row r="1727" spans="1:11" ht="12" customHeight="1">
      <c r="B1727" s="19"/>
      <c r="C1727" s="19"/>
      <c r="D1727" s="107"/>
      <c r="E1727" s="112"/>
      <c r="F1727" s="19"/>
      <c r="G1727" s="19"/>
      <c r="H1727" s="19"/>
      <c r="I1727" s="19"/>
      <c r="J1727" s="19"/>
      <c r="K1727" s="233"/>
    </row>
    <row r="1728" spans="1:11" ht="29.25" customHeight="1">
      <c r="A1728" s="218" t="s">
        <v>268</v>
      </c>
      <c r="B1728" s="24" t="s">
        <v>90</v>
      </c>
      <c r="C1728" s="25" t="s">
        <v>418</v>
      </c>
      <c r="D1728" s="26" t="s">
        <v>32</v>
      </c>
      <c r="E1728" s="123"/>
      <c r="K1728" s="233"/>
    </row>
    <row r="1729" spans="1:11" ht="12" customHeight="1">
      <c r="A1729" s="219" t="n" cm="1">
        <f t="array" ref="A1729">IFERROR(INDEX('03.Muestra'!$B$8:$B$42,SMALL(IF("Página Web"='03.Muestra'!$D$8:$D$42,ROW('03.Muestra'!$B$8:$B$42)-MIN(ROW('03.Muestra'!$D$8:$D$42))+1,""),ROW()-1728)),"")</f>
        <v>1.0</v>
      </c>
      <c r="B1729" s="114" t="str" cm="1">
        <f t="array" ref="B1729">IFERROR(INDEX('03.Muestra'!$C$8:$C$42,SMALL(IF("Página Web"='03.Muestra'!$D$8:$D$42,ROW('03.Muestra'!$C$8:$C$42)-MIN(ROW('03.Muestra'!$D$8:$D$42))+1,""),ROW()-1728)),"")</f>
        <v>Home - PortCastelló</v>
      </c>
      <c r="C1729" s="114" t="str" cm="1">
        <f t="array" ref="C1729">IFERROR(INDEX('03.Muestra'!$F$8:$F$42,SMALL(IF("Página Web"='03.Muestra'!$D$8:$D$42,ROW('03.Muestra'!$F$8:$F$42)-MIN(ROW('03.Muestra'!$D$8:$D$42))+1,""),ROW()-1728)),"")</f>
        <v>https://www.portcastello.com/</v>
      </c>
      <c r="D1729" s="130" t="str">
        <f>IF(AND(B1729&lt;&gt;"",C1729&lt;&gt;""),"N/T","")</f>
        <v>N/T</v>
      </c>
      <c r="E1729" s="107" t="str">
        <f t="shared" ref="E1729:E1763" si="90">IF(D1729&lt;&gt;"",IF(AND(B1729&lt;&gt;"",C1729&lt;&gt;""),"","ERR"),"")</f>
        <v/>
      </c>
      <c r="F1729" s="115" t="s">
        <v>33</v>
      </c>
      <c r="G1729" s="116" t="s">
        <v>37</v>
      </c>
      <c r="H1729" s="117" t="s">
        <v>35</v>
      </c>
      <c r="I1729" s="118" t="s">
        <v>28</v>
      </c>
      <c r="J1729" s="119" t="s">
        <v>26</v>
      </c>
      <c r="K1729" s="226" t="s">
        <v>474</v>
      </c>
    </row>
    <row r="1730" spans="1:11" ht="12" customHeight="1">
      <c r="A1730" s="219" t="n" cm="1">
        <f t="array" ref="A1730">IFERROR(INDEX('03.Muestra'!$B$8:$B$42,SMALL(IF("Página Web"='03.Muestra'!$D$8:$D$42,ROW('03.Muestra'!$B$8:$B$42)-MIN(ROW('03.Muestra'!$D$8:$D$42))+1,""),ROW()-1728)),"")</f>
        <v>1.0</v>
      </c>
      <c r="B1730" s="114" t="str" cm="1">
        <f t="array" ref="B1730">IFERROR(INDEX('03.Muestra'!$C$8:$C$42,SMALL(IF("Página Web"='03.Muestra'!$D$8:$D$42,ROW('03.Muestra'!$C$8:$C$42)-MIN(ROW('03.Muestra'!$D$8:$D$42))+1,""),ROW()-1728)),"")</f>
        <v>Home - PortCastelló</v>
      </c>
      <c r="C1730" s="114" t="str" cm="1">
        <f t="array" ref="C1730">IFERROR(INDEX('03.Muestra'!$F$8:$F$42,SMALL(IF("Página Web"='03.Muestra'!$D$8:$D$42,ROW('03.Muestra'!$F$8:$F$42)-MIN(ROW('03.Muestra'!$D$8:$D$42))+1,""),ROW()-1728)),"")</f>
        <v>https://www.portcastello.com/</v>
      </c>
      <c r="D1730" s="130" t="str">
        <f t="shared" ref="D1730:D1763" si="91">IF(AND(B1730&lt;&gt;"",C1730&lt;&gt;""),"N/T","")</f>
        <v>N/T</v>
      </c>
      <c r="E1730" s="107" t="str">
        <f t="shared" si="90"/>
        <v/>
      </c>
      <c r="F1730" s="120" t="n">
        <f ca="1">COUNTIF($D1729:INDIRECT("$D" &amp;  SUM(ROW()-1,'03.Muestra'!$D$45)-1),F1729)</f>
        <v>33.0</v>
      </c>
      <c r="G1730" s="120" t="n">
        <f ca="1">COUNTIF($D1729:INDIRECT("$D" &amp;  SUM(ROW()-1,'03.Muestra'!$D$45)-1),G1729)</f>
        <v>0.0</v>
      </c>
      <c r="H1730" s="120" t="n">
        <f ca="1">COUNTIF($D1729:INDIRECT("$D" &amp;  SUM(ROW()-1,'03.Muestra'!$D$45)-1),H1729)</f>
        <v>0.0</v>
      </c>
      <c r="I1730" s="120" t="n">
        <f ca="1">COUNTIF($D1729:INDIRECT("$D" &amp;  SUM(ROW()-1,'03.Muestra'!$D$45)-1),I1729)</f>
        <v>0.0</v>
      </c>
      <c r="J1730" s="120" t="n">
        <f ca="1">COUNTIF($D1729:INDIRECT("$D" &amp;  SUM(ROW()-1,'03.Muestra'!$D$45)-1),J1729)</f>
        <v>0.0</v>
      </c>
      <c r="K1730" s="227" t="n">
        <f ca="1">IF(COUNTIF('03.Muestra'!$D$8:$D$42,"Página Web")=0,0,COUNTBLANK($D1729:INDIRECT("$D" &amp;  SUM(ROW()-1,COUNTIF('03.Muestra'!$D$8:$D$42,"Página Web"))-1)))</f>
        <v>0.0</v>
      </c>
    </row>
    <row r="1731" spans="1:11" ht="12" customHeight="1">
      <c r="A1731" s="219" t="n" cm="1">
        <f t="array" ref="A1731">IFERROR(INDEX('03.Muestra'!$B$8:$B$42,SMALL(IF("Página Web"='03.Muestra'!$D$8:$D$42,ROW('03.Muestra'!$B$8:$B$42)-MIN(ROW('03.Muestra'!$D$8:$D$42))+1,""),ROW()-1728)),"")</f>
        <v>1.0</v>
      </c>
      <c r="B1731" s="114" t="str" cm="1">
        <f t="array" ref="B1731">IFERROR(INDEX('03.Muestra'!$C$8:$C$42,SMALL(IF("Página Web"='03.Muestra'!$D$8:$D$42,ROW('03.Muestra'!$C$8:$C$42)-MIN(ROW('03.Muestra'!$D$8:$D$42))+1,""),ROW()-1728)),"")</f>
        <v>Home - PortCastelló</v>
      </c>
      <c r="C1731" s="114" t="str" cm="1">
        <f t="array" ref="C1731">IFERROR(INDEX('03.Muestra'!$F$8:$F$42,SMALL(IF("Página Web"='03.Muestra'!$D$8:$D$42,ROW('03.Muestra'!$F$8:$F$42)-MIN(ROW('03.Muestra'!$D$8:$D$42))+1,""),ROW()-1728)),"")</f>
        <v>https://www.portcastello.com/</v>
      </c>
      <c r="D1731" s="130" t="str">
        <f t="shared" si="91"/>
        <v>N/T</v>
      </c>
      <c r="E1731" s="107" t="str">
        <f t="shared" si="90"/>
        <v/>
      </c>
      <c r="G1731" s="19"/>
      <c r="H1731" s="19"/>
      <c r="I1731" s="19"/>
      <c r="J1731" s="19"/>
      <c r="K1731" s="233"/>
    </row>
    <row r="1732" spans="1:11" ht="12" customHeight="1">
      <c r="A1732" s="219" t="n" cm="1">
        <f t="array" ref="A1732">IFERROR(INDEX('03.Muestra'!$B$8:$B$42,SMALL(IF("Página Web"='03.Muestra'!$D$8:$D$42,ROW('03.Muestra'!$B$8:$B$42)-MIN(ROW('03.Muestra'!$D$8:$D$42))+1,""),ROW()-1728)),"")</f>
        <v>1.0</v>
      </c>
      <c r="B1732" s="114" t="str" cm="1">
        <f t="array" ref="B1732">IFERROR(INDEX('03.Muestra'!$C$8:$C$42,SMALL(IF("Página Web"='03.Muestra'!$D$8:$D$42,ROW('03.Muestra'!$C$8:$C$42)-MIN(ROW('03.Muestra'!$D$8:$D$42))+1,""),ROW()-1728)),"")</f>
        <v>Home - PortCastelló</v>
      </c>
      <c r="C1732" s="114" t="str" cm="1">
        <f t="array" ref="C1732">IFERROR(INDEX('03.Muestra'!$F$8:$F$42,SMALL(IF("Página Web"='03.Muestra'!$D$8:$D$42,ROW('03.Muestra'!$F$8:$F$42)-MIN(ROW('03.Muestra'!$D$8:$D$42))+1,""),ROW()-1728)),"")</f>
        <v>https://www.portcastello.com/</v>
      </c>
      <c r="D1732" s="130" t="str">
        <f t="shared" si="91"/>
        <v>N/T</v>
      </c>
      <c r="E1732" s="107" t="str">
        <f t="shared" si="90"/>
        <v/>
      </c>
      <c r="G1732" s="19"/>
      <c r="H1732" s="19"/>
      <c r="I1732" s="19"/>
      <c r="J1732" s="19"/>
      <c r="K1732" s="233"/>
    </row>
    <row r="1733" spans="1:11" ht="12" customHeight="1">
      <c r="A1733" s="219" t="n" cm="1">
        <f t="array" ref="A1733">IFERROR(INDEX('03.Muestra'!$B$8:$B$42,SMALL(IF("Página Web"='03.Muestra'!$D$8:$D$42,ROW('03.Muestra'!$B$8:$B$42)-MIN(ROW('03.Muestra'!$D$8:$D$42))+1,""),ROW()-1728)),"")</f>
        <v>1.0</v>
      </c>
      <c r="B1733" s="114" t="str" cm="1">
        <f t="array" ref="B1733">IFERROR(INDEX('03.Muestra'!$C$8:$C$42,SMALL(IF("Página Web"='03.Muestra'!$D$8:$D$42,ROW('03.Muestra'!$C$8:$C$42)-MIN(ROW('03.Muestra'!$D$8:$D$42))+1,""),ROW()-1728)),"")</f>
        <v>Home - PortCastelló</v>
      </c>
      <c r="C1733" s="114" t="str" cm="1">
        <f t="array" ref="C1733">IFERROR(INDEX('03.Muestra'!$F$8:$F$42,SMALL(IF("Página Web"='03.Muestra'!$D$8:$D$42,ROW('03.Muestra'!$F$8:$F$42)-MIN(ROW('03.Muestra'!$D$8:$D$42))+1,""),ROW()-1728)),"")</f>
        <v>https://www.portcastello.com/</v>
      </c>
      <c r="D1733" s="130" t="str">
        <f t="shared" si="91"/>
        <v>N/T</v>
      </c>
      <c r="E1733" s="107" t="str">
        <f t="shared" si="90"/>
        <v/>
      </c>
      <c r="G1733" s="19"/>
      <c r="H1733" s="19"/>
      <c r="I1733" s="19"/>
      <c r="J1733" s="19"/>
      <c r="K1733" s="233"/>
    </row>
    <row r="1734" spans="1:11" ht="12" customHeight="1">
      <c r="A1734" s="219" t="n" cm="1">
        <f t="array" ref="A1734">IFERROR(INDEX('03.Muestra'!$B$8:$B$42,SMALL(IF("Página Web"='03.Muestra'!$D$8:$D$42,ROW('03.Muestra'!$B$8:$B$42)-MIN(ROW('03.Muestra'!$D$8:$D$42))+1,""),ROW()-1728)),"")</f>
        <v>1.0</v>
      </c>
      <c r="B1734" s="114" t="str" cm="1">
        <f t="array" ref="B1734">IFERROR(INDEX('03.Muestra'!$C$8:$C$42,SMALL(IF("Página Web"='03.Muestra'!$D$8:$D$42,ROW('03.Muestra'!$C$8:$C$42)-MIN(ROW('03.Muestra'!$D$8:$D$42))+1,""),ROW()-1728)),"")</f>
        <v>Home - PortCastelló</v>
      </c>
      <c r="C1734" s="114" t="str" cm="1">
        <f t="array" ref="C1734">IFERROR(INDEX('03.Muestra'!$F$8:$F$42,SMALL(IF("Página Web"='03.Muestra'!$D$8:$D$42,ROW('03.Muestra'!$F$8:$F$42)-MIN(ROW('03.Muestra'!$D$8:$D$42))+1,""),ROW()-1728)),"")</f>
        <v>https://www.portcastello.com/</v>
      </c>
      <c r="D1734" s="130" t="str">
        <f t="shared" si="91"/>
        <v>N/T</v>
      </c>
      <c r="E1734" s="107" t="str">
        <f t="shared" si="90"/>
        <v/>
      </c>
      <c r="G1734" s="19"/>
      <c r="H1734" s="19"/>
      <c r="I1734" s="19"/>
      <c r="J1734" s="19"/>
      <c r="K1734" s="233"/>
    </row>
    <row r="1735" spans="1:11" ht="12" customHeight="1">
      <c r="A1735" s="219" t="n" cm="1">
        <f t="array" ref="A1735">IFERROR(INDEX('03.Muestra'!$B$8:$B$42,SMALL(IF("Página Web"='03.Muestra'!$D$8:$D$42,ROW('03.Muestra'!$B$8:$B$42)-MIN(ROW('03.Muestra'!$D$8:$D$42))+1,""),ROW()-1728)),"")</f>
        <v>1.0</v>
      </c>
      <c r="B1735" s="114" t="str" cm="1">
        <f t="array" ref="B1735">IFERROR(INDEX('03.Muestra'!$C$8:$C$42,SMALL(IF("Página Web"='03.Muestra'!$D$8:$D$42,ROW('03.Muestra'!$C$8:$C$42)-MIN(ROW('03.Muestra'!$D$8:$D$42))+1,""),ROW()-1728)),"")</f>
        <v>Home - PortCastelló</v>
      </c>
      <c r="C1735" s="114" t="str" cm="1">
        <f t="array" ref="C1735">IFERROR(INDEX('03.Muestra'!$F$8:$F$42,SMALL(IF("Página Web"='03.Muestra'!$D$8:$D$42,ROW('03.Muestra'!$F$8:$F$42)-MIN(ROW('03.Muestra'!$D$8:$D$42))+1,""),ROW()-1728)),"")</f>
        <v>https://www.portcastello.com/</v>
      </c>
      <c r="D1735" s="130" t="str">
        <f t="shared" si="91"/>
        <v>N/T</v>
      </c>
      <c r="E1735" s="107" t="str">
        <f t="shared" si="90"/>
        <v/>
      </c>
      <c r="F1735" s="19"/>
      <c r="G1735" s="19"/>
      <c r="H1735" s="19"/>
      <c r="I1735" s="19"/>
      <c r="J1735" s="19"/>
      <c r="K1735" s="233"/>
    </row>
    <row r="1736" spans="1:11" ht="12" customHeight="1">
      <c r="A1736" s="219" t="n" cm="1">
        <f t="array" ref="A1736">IFERROR(INDEX('03.Muestra'!$B$8:$B$42,SMALL(IF("Página Web"='03.Muestra'!$D$8:$D$42,ROW('03.Muestra'!$B$8:$B$42)-MIN(ROW('03.Muestra'!$D$8:$D$42))+1,""),ROW()-1728)),"")</f>
        <v>1.0</v>
      </c>
      <c r="B1736" s="114" t="str" cm="1">
        <f t="array" ref="B1736">IFERROR(INDEX('03.Muestra'!$C$8:$C$42,SMALL(IF("Página Web"='03.Muestra'!$D$8:$D$42,ROW('03.Muestra'!$C$8:$C$42)-MIN(ROW('03.Muestra'!$D$8:$D$42))+1,""),ROW()-1728)),"")</f>
        <v>Home - PortCastelló</v>
      </c>
      <c r="C1736" s="114" t="str" cm="1">
        <f t="array" ref="C1736">IFERROR(INDEX('03.Muestra'!$F$8:$F$42,SMALL(IF("Página Web"='03.Muestra'!$D$8:$D$42,ROW('03.Muestra'!$F$8:$F$42)-MIN(ROW('03.Muestra'!$D$8:$D$42))+1,""),ROW()-1728)),"")</f>
        <v>https://www.portcastello.com/</v>
      </c>
      <c r="D1736" s="130" t="str">
        <f t="shared" si="91"/>
        <v>N/T</v>
      </c>
      <c r="E1736" s="107" t="str">
        <f t="shared" si="90"/>
        <v/>
      </c>
      <c r="F1736" s="19"/>
      <c r="G1736" s="19"/>
      <c r="H1736" s="19"/>
      <c r="I1736" s="19"/>
      <c r="J1736" s="19"/>
      <c r="K1736" s="233"/>
    </row>
    <row r="1737" spans="1:11" ht="12" customHeight="1">
      <c r="A1737" s="219" t="n" cm="1">
        <f t="array" ref="A1737">IFERROR(INDEX('03.Muestra'!$B$8:$B$42,SMALL(IF("Página Web"='03.Muestra'!$D$8:$D$42,ROW('03.Muestra'!$B$8:$B$42)-MIN(ROW('03.Muestra'!$D$8:$D$42))+1,""),ROW()-1728)),"")</f>
        <v>1.0</v>
      </c>
      <c r="B1737" s="114" t="str" cm="1">
        <f t="array" ref="B1737">IFERROR(INDEX('03.Muestra'!$C$8:$C$42,SMALL(IF("Página Web"='03.Muestra'!$D$8:$D$42,ROW('03.Muestra'!$C$8:$C$42)-MIN(ROW('03.Muestra'!$D$8:$D$42))+1,""),ROW()-1728)),"")</f>
        <v>Home - PortCastelló</v>
      </c>
      <c r="C1737" s="114" t="str" cm="1">
        <f t="array" ref="C1737">IFERROR(INDEX('03.Muestra'!$F$8:$F$42,SMALL(IF("Página Web"='03.Muestra'!$D$8:$D$42,ROW('03.Muestra'!$F$8:$F$42)-MIN(ROW('03.Muestra'!$D$8:$D$42))+1,""),ROW()-1728)),"")</f>
        <v>https://www.portcastello.com/</v>
      </c>
      <c r="D1737" s="130" t="str">
        <f t="shared" si="91"/>
        <v>N/T</v>
      </c>
      <c r="E1737" s="107" t="str">
        <f t="shared" si="90"/>
        <v/>
      </c>
      <c r="F1737" s="19"/>
      <c r="G1737" s="19"/>
      <c r="H1737" s="19"/>
      <c r="I1737" s="19"/>
      <c r="J1737" s="19"/>
      <c r="K1737" s="233"/>
    </row>
    <row r="1738" spans="1:11" ht="12" customHeight="1">
      <c r="A1738" s="219" t="n" cm="1">
        <f t="array" ref="A1738">IFERROR(INDEX('03.Muestra'!$B$8:$B$42,SMALL(IF("Página Web"='03.Muestra'!$D$8:$D$42,ROW('03.Muestra'!$B$8:$B$42)-MIN(ROW('03.Muestra'!$D$8:$D$42))+1,""),ROW()-1728)),"")</f>
        <v>1.0</v>
      </c>
      <c r="B1738" s="114" t="str" cm="1">
        <f t="array" ref="B1738">IFERROR(INDEX('03.Muestra'!$C$8:$C$42,SMALL(IF("Página Web"='03.Muestra'!$D$8:$D$42,ROW('03.Muestra'!$C$8:$C$42)-MIN(ROW('03.Muestra'!$D$8:$D$42))+1,""),ROW()-1728)),"")</f>
        <v>Home - PortCastelló</v>
      </c>
      <c r="C1738" s="114" t="str" cm="1">
        <f t="array" ref="C1738">IFERROR(INDEX('03.Muestra'!$F$8:$F$42,SMALL(IF("Página Web"='03.Muestra'!$D$8:$D$42,ROW('03.Muestra'!$F$8:$F$42)-MIN(ROW('03.Muestra'!$D$8:$D$42))+1,""),ROW()-1728)),"")</f>
        <v>https://www.portcastello.com/</v>
      </c>
      <c r="D1738" s="130" t="str">
        <f t="shared" si="91"/>
        <v>N/T</v>
      </c>
      <c r="E1738" s="107" t="str">
        <f t="shared" si="90"/>
        <v/>
      </c>
      <c r="F1738" s="19"/>
      <c r="G1738" s="19"/>
      <c r="H1738" s="19"/>
      <c r="I1738" s="19"/>
      <c r="J1738" s="19"/>
      <c r="K1738" s="233"/>
    </row>
    <row r="1739" spans="1:11" ht="12" customHeight="1">
      <c r="A1739" s="219" t="n" cm="1">
        <f t="array" ref="A1739">IFERROR(INDEX('03.Muestra'!$B$8:$B$42,SMALL(IF("Página Web"='03.Muestra'!$D$8:$D$42,ROW('03.Muestra'!$B$8:$B$42)-MIN(ROW('03.Muestra'!$D$8:$D$42))+1,""),ROW()-1728)),"")</f>
        <v>1.0</v>
      </c>
      <c r="B1739" s="114" t="str" cm="1">
        <f t="array" ref="B1739">IFERROR(INDEX('03.Muestra'!$C$8:$C$42,SMALL(IF("Página Web"='03.Muestra'!$D$8:$D$42,ROW('03.Muestra'!$C$8:$C$42)-MIN(ROW('03.Muestra'!$D$8:$D$42))+1,""),ROW()-1728)),"")</f>
        <v>Home - PortCastelló</v>
      </c>
      <c r="C1739" s="114" t="str" cm="1">
        <f t="array" ref="C1739">IFERROR(INDEX('03.Muestra'!$F$8:$F$42,SMALL(IF("Página Web"='03.Muestra'!$D$8:$D$42,ROW('03.Muestra'!$F$8:$F$42)-MIN(ROW('03.Muestra'!$D$8:$D$42))+1,""),ROW()-1728)),"")</f>
        <v>https://www.portcastello.com/</v>
      </c>
      <c r="D1739" s="130" t="str">
        <f t="shared" si="91"/>
        <v>N/T</v>
      </c>
      <c r="E1739" s="107" t="str">
        <f t="shared" si="90"/>
        <v/>
      </c>
      <c r="F1739" s="19"/>
      <c r="G1739" s="19"/>
      <c r="H1739" s="19"/>
      <c r="I1739" s="19"/>
      <c r="J1739" s="19"/>
      <c r="K1739" s="233"/>
    </row>
    <row r="1740" spans="1:11" ht="12" customHeight="1">
      <c r="A1740" s="219" t="n" cm="1">
        <f t="array" ref="A1740">IFERROR(INDEX('03.Muestra'!$B$8:$B$42,SMALL(IF("Página Web"='03.Muestra'!$D$8:$D$42,ROW('03.Muestra'!$B$8:$B$42)-MIN(ROW('03.Muestra'!$D$8:$D$42))+1,""),ROW()-1728)),"")</f>
        <v>1.0</v>
      </c>
      <c r="B1740" s="114" t="str" cm="1">
        <f t="array" ref="B1740">IFERROR(INDEX('03.Muestra'!$C$8:$C$42,SMALL(IF("Página Web"='03.Muestra'!$D$8:$D$42,ROW('03.Muestra'!$C$8:$C$42)-MIN(ROW('03.Muestra'!$D$8:$D$42))+1,""),ROW()-1728)),"")</f>
        <v>Home - PortCastelló</v>
      </c>
      <c r="C1740" s="114" t="str" cm="1">
        <f t="array" ref="C1740">IFERROR(INDEX('03.Muestra'!$F$8:$F$42,SMALL(IF("Página Web"='03.Muestra'!$D$8:$D$42,ROW('03.Muestra'!$F$8:$F$42)-MIN(ROW('03.Muestra'!$D$8:$D$42))+1,""),ROW()-1728)),"")</f>
        <v>https://www.portcastello.com/</v>
      </c>
      <c r="D1740" s="130" t="str">
        <f t="shared" si="91"/>
        <v>N/T</v>
      </c>
      <c r="E1740" s="107" t="str">
        <f t="shared" si="90"/>
        <v/>
      </c>
      <c r="F1740" s="19"/>
      <c r="G1740" s="19"/>
      <c r="H1740" s="19"/>
      <c r="I1740" s="19"/>
      <c r="J1740" s="19"/>
      <c r="K1740" s="233"/>
    </row>
    <row r="1741" spans="1:11" ht="12" customHeight="1">
      <c r="A1741" s="219" t="n" cm="1">
        <f t="array" ref="A1741">IFERROR(INDEX('03.Muestra'!$B$8:$B$42,SMALL(IF("Página Web"='03.Muestra'!$D$8:$D$42,ROW('03.Muestra'!$B$8:$B$42)-MIN(ROW('03.Muestra'!$D$8:$D$42))+1,""),ROW()-1728)),"")</f>
        <v>1.0</v>
      </c>
      <c r="B1741" s="114" t="str" cm="1">
        <f t="array" ref="B1741">IFERROR(INDEX('03.Muestra'!$C$8:$C$42,SMALL(IF("Página Web"='03.Muestra'!$D$8:$D$42,ROW('03.Muestra'!$C$8:$C$42)-MIN(ROW('03.Muestra'!$D$8:$D$42))+1,""),ROW()-1728)),"")</f>
        <v>Home - PortCastelló</v>
      </c>
      <c r="C1741" s="114" t="str" cm="1">
        <f t="array" ref="C1741">IFERROR(INDEX('03.Muestra'!$F$8:$F$42,SMALL(IF("Página Web"='03.Muestra'!$D$8:$D$42,ROW('03.Muestra'!$F$8:$F$42)-MIN(ROW('03.Muestra'!$D$8:$D$42))+1,""),ROW()-1728)),"")</f>
        <v>https://www.portcastello.com/</v>
      </c>
      <c r="D1741" s="130" t="str">
        <f t="shared" si="91"/>
        <v>N/T</v>
      </c>
      <c r="E1741" s="107" t="str">
        <f t="shared" si="90"/>
        <v/>
      </c>
      <c r="F1741" s="19"/>
      <c r="G1741" s="19"/>
      <c r="H1741" s="19"/>
      <c r="I1741" s="19"/>
      <c r="J1741" s="19"/>
      <c r="K1741" s="233"/>
    </row>
    <row r="1742" spans="1:11" ht="12" customHeight="1">
      <c r="A1742" s="219" t="n" cm="1">
        <f t="array" ref="A1742">IFERROR(INDEX('03.Muestra'!$B$8:$B$42,SMALL(IF("Página Web"='03.Muestra'!$D$8:$D$42,ROW('03.Muestra'!$B$8:$B$42)-MIN(ROW('03.Muestra'!$D$8:$D$42))+1,""),ROW()-1728)),"")</f>
        <v>1.0</v>
      </c>
      <c r="B1742" s="114" t="str" cm="1">
        <f t="array" ref="B1742">IFERROR(INDEX('03.Muestra'!$C$8:$C$42,SMALL(IF("Página Web"='03.Muestra'!$D$8:$D$42,ROW('03.Muestra'!$C$8:$C$42)-MIN(ROW('03.Muestra'!$D$8:$D$42))+1,""),ROW()-1728)),"")</f>
        <v>Home - PortCastelló</v>
      </c>
      <c r="C1742" s="114" t="str" cm="1">
        <f t="array" ref="C1742">IFERROR(INDEX('03.Muestra'!$F$8:$F$42,SMALL(IF("Página Web"='03.Muestra'!$D$8:$D$42,ROW('03.Muestra'!$F$8:$F$42)-MIN(ROW('03.Muestra'!$D$8:$D$42))+1,""),ROW()-1728)),"")</f>
        <v>https://www.portcastello.com/</v>
      </c>
      <c r="D1742" s="130" t="str">
        <f t="shared" si="91"/>
        <v>N/T</v>
      </c>
      <c r="E1742" s="107" t="str">
        <f t="shared" si="90"/>
        <v/>
      </c>
      <c r="F1742" s="19"/>
      <c r="G1742" s="19"/>
      <c r="H1742" s="19"/>
      <c r="I1742" s="19"/>
      <c r="J1742" s="19"/>
      <c r="K1742" s="233"/>
    </row>
    <row r="1743" spans="1:11" ht="12" customHeight="1">
      <c r="A1743" s="219" t="n" cm="1">
        <f t="array" ref="A1743">IFERROR(INDEX('03.Muestra'!$B$8:$B$42,SMALL(IF("Página Web"='03.Muestra'!$D$8:$D$42,ROW('03.Muestra'!$B$8:$B$42)-MIN(ROW('03.Muestra'!$D$8:$D$42))+1,""),ROW()-1728)),"")</f>
        <v>1.0</v>
      </c>
      <c r="B1743" s="114" t="str" cm="1">
        <f t="array" ref="B1743">IFERROR(INDEX('03.Muestra'!$C$8:$C$42,SMALL(IF("Página Web"='03.Muestra'!$D$8:$D$42,ROW('03.Muestra'!$C$8:$C$42)-MIN(ROW('03.Muestra'!$D$8:$D$42))+1,""),ROW()-1728)),"")</f>
        <v>Home - PortCastelló</v>
      </c>
      <c r="C1743" s="114" t="str" cm="1">
        <f t="array" ref="C1743">IFERROR(INDEX('03.Muestra'!$F$8:$F$42,SMALL(IF("Página Web"='03.Muestra'!$D$8:$D$42,ROW('03.Muestra'!$F$8:$F$42)-MIN(ROW('03.Muestra'!$D$8:$D$42))+1,""),ROW()-1728)),"")</f>
        <v>https://www.portcastello.com/</v>
      </c>
      <c r="D1743" s="130" t="str">
        <f t="shared" si="91"/>
        <v>N/T</v>
      </c>
      <c r="E1743" s="107" t="str">
        <f t="shared" si="90"/>
        <v/>
      </c>
      <c r="F1743" s="19"/>
      <c r="G1743" s="19"/>
      <c r="H1743" s="19"/>
      <c r="I1743" s="19"/>
      <c r="J1743" s="19"/>
      <c r="K1743" s="233"/>
    </row>
    <row r="1744" spans="1:11" ht="12" customHeight="1">
      <c r="A1744" s="219" t="n" cm="1">
        <f t="array" ref="A1744">IFERROR(INDEX('03.Muestra'!$B$8:$B$42,SMALL(IF("Página Web"='03.Muestra'!$D$8:$D$42,ROW('03.Muestra'!$B$8:$B$42)-MIN(ROW('03.Muestra'!$D$8:$D$42))+1,""),ROW()-1728)),"")</f>
        <v>1.0</v>
      </c>
      <c r="B1744" s="114" t="str" cm="1">
        <f t="array" ref="B1744">IFERROR(INDEX('03.Muestra'!$C$8:$C$42,SMALL(IF("Página Web"='03.Muestra'!$D$8:$D$42,ROW('03.Muestra'!$C$8:$C$42)-MIN(ROW('03.Muestra'!$D$8:$D$42))+1,""),ROW()-1728)),"")</f>
        <v>Home - PortCastelló</v>
      </c>
      <c r="C1744" s="114" t="str" cm="1">
        <f t="array" ref="C1744">IFERROR(INDEX('03.Muestra'!$F$8:$F$42,SMALL(IF("Página Web"='03.Muestra'!$D$8:$D$42,ROW('03.Muestra'!$F$8:$F$42)-MIN(ROW('03.Muestra'!$D$8:$D$42))+1,""),ROW()-1728)),"")</f>
        <v>https://www.portcastello.com/</v>
      </c>
      <c r="D1744" s="130" t="str">
        <f t="shared" si="91"/>
        <v>N/T</v>
      </c>
      <c r="E1744" s="107" t="str">
        <f t="shared" si="90"/>
        <v/>
      </c>
      <c r="F1744" s="19"/>
      <c r="G1744" s="19"/>
      <c r="H1744" s="19"/>
      <c r="I1744" s="19"/>
      <c r="J1744" s="19"/>
      <c r="K1744" s="233"/>
    </row>
    <row r="1745" spans="1:11" ht="12" customHeight="1">
      <c r="A1745" s="219" t="n" cm="1">
        <f t="array" ref="A1745">IFERROR(INDEX('03.Muestra'!$B$8:$B$42,SMALL(IF("Página Web"='03.Muestra'!$D$8:$D$42,ROW('03.Muestra'!$B$8:$B$42)-MIN(ROW('03.Muestra'!$D$8:$D$42))+1,""),ROW()-1728)),"")</f>
        <v>1.0</v>
      </c>
      <c r="B1745" s="114" t="str" cm="1">
        <f t="array" ref="B1745">IFERROR(INDEX('03.Muestra'!$C$8:$C$42,SMALL(IF("Página Web"='03.Muestra'!$D$8:$D$42,ROW('03.Muestra'!$C$8:$C$42)-MIN(ROW('03.Muestra'!$D$8:$D$42))+1,""),ROW()-1728)),"")</f>
        <v>Home - PortCastelló</v>
      </c>
      <c r="C1745" s="114" t="str" cm="1">
        <f t="array" ref="C1745">IFERROR(INDEX('03.Muestra'!$F$8:$F$42,SMALL(IF("Página Web"='03.Muestra'!$D$8:$D$42,ROW('03.Muestra'!$F$8:$F$42)-MIN(ROW('03.Muestra'!$D$8:$D$42))+1,""),ROW()-1728)),"")</f>
        <v>https://www.portcastello.com/</v>
      </c>
      <c r="D1745" s="130" t="str">
        <f t="shared" si="91"/>
        <v>N/T</v>
      </c>
      <c r="E1745" s="107" t="str">
        <f t="shared" si="90"/>
        <v/>
      </c>
      <c r="F1745" s="19"/>
      <c r="G1745" s="19"/>
      <c r="H1745" s="19"/>
      <c r="I1745" s="19"/>
      <c r="J1745" s="19"/>
      <c r="K1745" s="233"/>
    </row>
    <row r="1746" spans="1:11" ht="12" customHeight="1">
      <c r="A1746" s="219" t="n" cm="1">
        <f t="array" ref="A1746">IFERROR(INDEX('03.Muestra'!$B$8:$B$42,SMALL(IF("Página Web"='03.Muestra'!$D$8:$D$42,ROW('03.Muestra'!$B$8:$B$42)-MIN(ROW('03.Muestra'!$D$8:$D$42))+1,""),ROW()-1728)),"")</f>
        <v>1.0</v>
      </c>
      <c r="B1746" s="114" t="str" cm="1">
        <f t="array" ref="B1746">IFERROR(INDEX('03.Muestra'!$C$8:$C$42,SMALL(IF("Página Web"='03.Muestra'!$D$8:$D$42,ROW('03.Muestra'!$C$8:$C$42)-MIN(ROW('03.Muestra'!$D$8:$D$42))+1,""),ROW()-1728)),"")</f>
        <v>Home - PortCastelló</v>
      </c>
      <c r="C1746" s="114" t="str" cm="1">
        <f t="array" ref="C1746">IFERROR(INDEX('03.Muestra'!$F$8:$F$42,SMALL(IF("Página Web"='03.Muestra'!$D$8:$D$42,ROW('03.Muestra'!$F$8:$F$42)-MIN(ROW('03.Muestra'!$D$8:$D$42))+1,""),ROW()-1728)),"")</f>
        <v>https://www.portcastello.com/</v>
      </c>
      <c r="D1746" s="130" t="str">
        <f t="shared" si="91"/>
        <v>N/T</v>
      </c>
      <c r="E1746" s="107" t="str">
        <f t="shared" si="90"/>
        <v/>
      </c>
      <c r="F1746" s="19"/>
      <c r="G1746" s="19"/>
      <c r="H1746" s="19"/>
      <c r="I1746" s="19"/>
      <c r="J1746" s="19"/>
      <c r="K1746" s="233"/>
    </row>
    <row r="1747" spans="1:11" ht="12" customHeight="1">
      <c r="A1747" s="219" t="n" cm="1">
        <f t="array" ref="A1747">IFERROR(INDEX('03.Muestra'!$B$8:$B$42,SMALL(IF("Página Web"='03.Muestra'!$D$8:$D$42,ROW('03.Muestra'!$B$8:$B$42)-MIN(ROW('03.Muestra'!$D$8:$D$42))+1,""),ROW()-1728)),"")</f>
        <v>1.0</v>
      </c>
      <c r="B1747" s="114" t="str" cm="1">
        <f t="array" ref="B1747">IFERROR(INDEX('03.Muestra'!$C$8:$C$42,SMALL(IF("Página Web"='03.Muestra'!$D$8:$D$42,ROW('03.Muestra'!$C$8:$C$42)-MIN(ROW('03.Muestra'!$D$8:$D$42))+1,""),ROW()-1728)),"")</f>
        <v>Home - PortCastelló</v>
      </c>
      <c r="C1747" s="114" t="str" cm="1">
        <f t="array" ref="C1747">IFERROR(INDEX('03.Muestra'!$F$8:$F$42,SMALL(IF("Página Web"='03.Muestra'!$D$8:$D$42,ROW('03.Muestra'!$F$8:$F$42)-MIN(ROW('03.Muestra'!$D$8:$D$42))+1,""),ROW()-1728)),"")</f>
        <v>https://www.portcastello.com/</v>
      </c>
      <c r="D1747" s="130" t="str">
        <f t="shared" si="91"/>
        <v>N/T</v>
      </c>
      <c r="E1747" s="107" t="str">
        <f t="shared" si="90"/>
        <v/>
      </c>
      <c r="F1747" s="19"/>
      <c r="G1747" s="19"/>
      <c r="H1747" s="19"/>
      <c r="I1747" s="19"/>
      <c r="J1747" s="19"/>
      <c r="K1747" s="233"/>
    </row>
    <row r="1748" spans="1:11" ht="12" customHeight="1">
      <c r="A1748" s="219" t="n" cm="1">
        <f t="array" ref="A1748">IFERROR(INDEX('03.Muestra'!$B$8:$B$42,SMALL(IF("Página Web"='03.Muestra'!$D$8:$D$42,ROW('03.Muestra'!$B$8:$B$42)-MIN(ROW('03.Muestra'!$D$8:$D$42))+1,""),ROW()-1728)),"")</f>
        <v>1.0</v>
      </c>
      <c r="B1748" s="114" t="str" cm="1">
        <f t="array" ref="B1748">IFERROR(INDEX('03.Muestra'!$C$8:$C$42,SMALL(IF("Página Web"='03.Muestra'!$D$8:$D$42,ROW('03.Muestra'!$C$8:$C$42)-MIN(ROW('03.Muestra'!$D$8:$D$42))+1,""),ROW()-1728)),"")</f>
        <v>Home - PortCastelló</v>
      </c>
      <c r="C1748" s="114" t="str" cm="1">
        <f t="array" ref="C1748">IFERROR(INDEX('03.Muestra'!$F$8:$F$42,SMALL(IF("Página Web"='03.Muestra'!$D$8:$D$42,ROW('03.Muestra'!$F$8:$F$42)-MIN(ROW('03.Muestra'!$D$8:$D$42))+1,""),ROW()-1728)),"")</f>
        <v>https://www.portcastello.com/</v>
      </c>
      <c r="D1748" s="130" t="str">
        <f t="shared" si="91"/>
        <v>N/T</v>
      </c>
      <c r="E1748" s="107" t="str">
        <f t="shared" si="90"/>
        <v/>
      </c>
      <c r="F1748" s="19"/>
      <c r="G1748" s="19"/>
      <c r="H1748" s="19"/>
      <c r="I1748" s="19"/>
      <c r="J1748" s="19"/>
      <c r="K1748" s="233"/>
    </row>
    <row r="1749" spans="1:11" ht="12" customHeight="1">
      <c r="A1749" s="219" t="n" cm="1">
        <f t="array" ref="A1749">IFERROR(INDEX('03.Muestra'!$B$8:$B$42,SMALL(IF("Página Web"='03.Muestra'!$D$8:$D$42,ROW('03.Muestra'!$B$8:$B$42)-MIN(ROW('03.Muestra'!$D$8:$D$42))+1,""),ROW()-1728)),"")</f>
        <v>1.0</v>
      </c>
      <c r="B1749" s="114" t="str" cm="1">
        <f t="array" ref="B1749">IFERROR(INDEX('03.Muestra'!$C$8:$C$42,SMALL(IF("Página Web"='03.Muestra'!$D$8:$D$42,ROW('03.Muestra'!$C$8:$C$42)-MIN(ROW('03.Muestra'!$D$8:$D$42))+1,""),ROW()-1728)),"")</f>
        <v>Home - PortCastelló</v>
      </c>
      <c r="C1749" s="114" t="str" cm="1">
        <f t="array" ref="C1749">IFERROR(INDEX('03.Muestra'!$F$8:$F$42,SMALL(IF("Página Web"='03.Muestra'!$D$8:$D$42,ROW('03.Muestra'!$F$8:$F$42)-MIN(ROW('03.Muestra'!$D$8:$D$42))+1,""),ROW()-1728)),"")</f>
        <v>https://www.portcastello.com/</v>
      </c>
      <c r="D1749" s="130" t="str">
        <f t="shared" si="91"/>
        <v>N/T</v>
      </c>
      <c r="E1749" s="107" t="str">
        <f t="shared" si="90"/>
        <v/>
      </c>
      <c r="F1749" s="19"/>
      <c r="G1749" s="19"/>
      <c r="H1749" s="19"/>
      <c r="I1749" s="19"/>
      <c r="J1749" s="19"/>
      <c r="K1749" s="233"/>
    </row>
    <row r="1750" spans="1:11" ht="12" customHeight="1">
      <c r="A1750" s="219" t="n" cm="1">
        <f t="array" ref="A1750">IFERROR(INDEX('03.Muestra'!$B$8:$B$42,SMALL(IF("Página Web"='03.Muestra'!$D$8:$D$42,ROW('03.Muestra'!$B$8:$B$42)-MIN(ROW('03.Muestra'!$D$8:$D$42))+1,""),ROW()-1728)),"")</f>
        <v>1.0</v>
      </c>
      <c r="B1750" s="114" t="str" cm="1">
        <f t="array" ref="B1750">IFERROR(INDEX('03.Muestra'!$C$8:$C$42,SMALL(IF("Página Web"='03.Muestra'!$D$8:$D$42,ROW('03.Muestra'!$C$8:$C$42)-MIN(ROW('03.Muestra'!$D$8:$D$42))+1,""),ROW()-1728)),"")</f>
        <v>Home - PortCastelló</v>
      </c>
      <c r="C1750" s="114" t="str" cm="1">
        <f t="array" ref="C1750">IFERROR(INDEX('03.Muestra'!$F$8:$F$42,SMALL(IF("Página Web"='03.Muestra'!$D$8:$D$42,ROW('03.Muestra'!$F$8:$F$42)-MIN(ROW('03.Muestra'!$D$8:$D$42))+1,""),ROW()-1728)),"")</f>
        <v>https://www.portcastello.com/</v>
      </c>
      <c r="D1750" s="130" t="str">
        <f t="shared" si="91"/>
        <v>N/T</v>
      </c>
      <c r="E1750" s="107" t="str">
        <f t="shared" si="90"/>
        <v/>
      </c>
      <c r="F1750" s="19"/>
      <c r="G1750" s="19"/>
      <c r="H1750" s="19"/>
      <c r="I1750" s="19"/>
      <c r="J1750" s="19"/>
      <c r="K1750" s="233"/>
    </row>
    <row r="1751" spans="1:11" ht="12" customHeight="1">
      <c r="A1751" s="219" t="n" cm="1">
        <f t="array" ref="A1751">IFERROR(INDEX('03.Muestra'!$B$8:$B$42,SMALL(IF("Página Web"='03.Muestra'!$D$8:$D$42,ROW('03.Muestra'!$B$8:$B$42)-MIN(ROW('03.Muestra'!$D$8:$D$42))+1,""),ROW()-1728)),"")</f>
        <v>1.0</v>
      </c>
      <c r="B1751" s="114" t="str" cm="1">
        <f t="array" ref="B1751">IFERROR(INDEX('03.Muestra'!$C$8:$C$42,SMALL(IF("Página Web"='03.Muestra'!$D$8:$D$42,ROW('03.Muestra'!$C$8:$C$42)-MIN(ROW('03.Muestra'!$D$8:$D$42))+1,""),ROW()-1728)),"")</f>
        <v>Home - PortCastelló</v>
      </c>
      <c r="C1751" s="114" t="str" cm="1">
        <f t="array" ref="C1751">IFERROR(INDEX('03.Muestra'!$F$8:$F$42,SMALL(IF("Página Web"='03.Muestra'!$D$8:$D$42,ROW('03.Muestra'!$F$8:$F$42)-MIN(ROW('03.Muestra'!$D$8:$D$42))+1,""),ROW()-1728)),"")</f>
        <v>https://www.portcastello.com/</v>
      </c>
      <c r="D1751" s="130" t="str">
        <f t="shared" si="91"/>
        <v>N/T</v>
      </c>
      <c r="E1751" s="107" t="str">
        <f t="shared" si="90"/>
        <v/>
      </c>
      <c r="F1751" s="19"/>
      <c r="G1751" s="19"/>
      <c r="H1751" s="19"/>
      <c r="I1751" s="19"/>
      <c r="J1751" s="19"/>
      <c r="K1751" s="233"/>
    </row>
    <row r="1752" spans="1:11" ht="12" customHeight="1">
      <c r="A1752" s="219" t="n" cm="1">
        <f t="array" ref="A1752">IFERROR(INDEX('03.Muestra'!$B$8:$B$42,SMALL(IF("Página Web"='03.Muestra'!$D$8:$D$42,ROW('03.Muestra'!$B$8:$B$42)-MIN(ROW('03.Muestra'!$D$8:$D$42))+1,""),ROW()-1728)),"")</f>
        <v>1.0</v>
      </c>
      <c r="B1752" s="114" t="str" cm="1">
        <f t="array" ref="B1752">IFERROR(INDEX('03.Muestra'!$C$8:$C$42,SMALL(IF("Página Web"='03.Muestra'!$D$8:$D$42,ROW('03.Muestra'!$C$8:$C$42)-MIN(ROW('03.Muestra'!$D$8:$D$42))+1,""),ROW()-1728)),"")</f>
        <v>Home - PortCastelló</v>
      </c>
      <c r="C1752" s="114" t="str" cm="1">
        <f t="array" ref="C1752">IFERROR(INDEX('03.Muestra'!$F$8:$F$42,SMALL(IF("Página Web"='03.Muestra'!$D$8:$D$42,ROW('03.Muestra'!$F$8:$F$42)-MIN(ROW('03.Muestra'!$D$8:$D$42))+1,""),ROW()-1728)),"")</f>
        <v>https://www.portcastello.com/</v>
      </c>
      <c r="D1752" s="130" t="str">
        <f t="shared" si="91"/>
        <v>N/T</v>
      </c>
      <c r="E1752" s="107" t="str">
        <f t="shared" si="90"/>
        <v/>
      </c>
      <c r="F1752" s="19"/>
      <c r="G1752" s="19"/>
      <c r="H1752" s="19"/>
      <c r="I1752" s="19"/>
      <c r="J1752" s="19"/>
      <c r="K1752" s="233"/>
    </row>
    <row r="1753" spans="1:11" ht="12" customHeight="1">
      <c r="A1753" s="219" t="n" cm="1">
        <f t="array" ref="A1753">IFERROR(INDEX('03.Muestra'!$B$8:$B$42,SMALL(IF("Página Web"='03.Muestra'!$D$8:$D$42,ROW('03.Muestra'!$B$8:$B$42)-MIN(ROW('03.Muestra'!$D$8:$D$42))+1,""),ROW()-1728)),"")</f>
        <v>1.0</v>
      </c>
      <c r="B1753" s="114" t="str" cm="1">
        <f t="array" ref="B1753">IFERROR(INDEX('03.Muestra'!$C$8:$C$42,SMALL(IF("Página Web"='03.Muestra'!$D$8:$D$42,ROW('03.Muestra'!$C$8:$C$42)-MIN(ROW('03.Muestra'!$D$8:$D$42))+1,""),ROW()-1728)),"")</f>
        <v>Home - PortCastelló</v>
      </c>
      <c r="C1753" s="114" t="str" cm="1">
        <f t="array" ref="C1753">IFERROR(INDEX('03.Muestra'!$F$8:$F$42,SMALL(IF("Página Web"='03.Muestra'!$D$8:$D$42,ROW('03.Muestra'!$F$8:$F$42)-MIN(ROW('03.Muestra'!$D$8:$D$42))+1,""),ROW()-1728)),"")</f>
        <v>https://www.portcastello.com/</v>
      </c>
      <c r="D1753" s="130" t="str">
        <f t="shared" si="91"/>
        <v>N/T</v>
      </c>
      <c r="E1753" s="107" t="str">
        <f t="shared" si="90"/>
        <v/>
      </c>
      <c r="F1753" s="19"/>
      <c r="G1753" s="19"/>
      <c r="H1753" s="19"/>
      <c r="I1753" s="19"/>
      <c r="J1753" s="19"/>
      <c r="K1753" s="233"/>
    </row>
    <row r="1754" spans="1:11" ht="12" customHeight="1">
      <c r="A1754" s="219" t="n" cm="1">
        <f t="array" ref="A1754">IFERROR(INDEX('03.Muestra'!$B$8:$B$42,SMALL(IF("Página Web"='03.Muestra'!$D$8:$D$42,ROW('03.Muestra'!$B$8:$B$42)-MIN(ROW('03.Muestra'!$D$8:$D$42))+1,""),ROW()-1728)),"")</f>
        <v>1.0</v>
      </c>
      <c r="B1754" s="114" t="str" cm="1">
        <f t="array" ref="B1754">IFERROR(INDEX('03.Muestra'!$C$8:$C$42,SMALL(IF("Página Web"='03.Muestra'!$D$8:$D$42,ROW('03.Muestra'!$C$8:$C$42)-MIN(ROW('03.Muestra'!$D$8:$D$42))+1,""),ROW()-1728)),"")</f>
        <v>Home - PortCastelló</v>
      </c>
      <c r="C1754" s="114" t="str" cm="1">
        <f t="array" ref="C1754">IFERROR(INDEX('03.Muestra'!$F$8:$F$42,SMALL(IF("Página Web"='03.Muestra'!$D$8:$D$42,ROW('03.Muestra'!$F$8:$F$42)-MIN(ROW('03.Muestra'!$D$8:$D$42))+1,""),ROW()-1728)),"")</f>
        <v>https://www.portcastello.com/</v>
      </c>
      <c r="D1754" s="130" t="str">
        <f t="shared" si="91"/>
        <v>N/T</v>
      </c>
      <c r="E1754" s="107" t="str">
        <f t="shared" si="90"/>
        <v/>
      </c>
      <c r="F1754" s="19"/>
      <c r="G1754" s="19"/>
      <c r="H1754" s="19"/>
      <c r="I1754" s="19"/>
      <c r="J1754" s="19"/>
      <c r="K1754" s="233"/>
    </row>
    <row r="1755" spans="1:11" ht="12" customHeight="1">
      <c r="A1755" s="219" t="n" cm="1">
        <f t="array" ref="A1755">IFERROR(INDEX('03.Muestra'!$B$8:$B$42,SMALL(IF("Página Web"='03.Muestra'!$D$8:$D$42,ROW('03.Muestra'!$B$8:$B$42)-MIN(ROW('03.Muestra'!$D$8:$D$42))+1,""),ROW()-1728)),"")</f>
        <v>1.0</v>
      </c>
      <c r="B1755" s="114" t="str" cm="1">
        <f t="array" ref="B1755">IFERROR(INDEX('03.Muestra'!$C$8:$C$42,SMALL(IF("Página Web"='03.Muestra'!$D$8:$D$42,ROW('03.Muestra'!$C$8:$C$42)-MIN(ROW('03.Muestra'!$D$8:$D$42))+1,""),ROW()-1728)),"")</f>
        <v>Home - PortCastelló</v>
      </c>
      <c r="C1755" s="114" t="str" cm="1">
        <f t="array" ref="C1755">IFERROR(INDEX('03.Muestra'!$F$8:$F$42,SMALL(IF("Página Web"='03.Muestra'!$D$8:$D$42,ROW('03.Muestra'!$F$8:$F$42)-MIN(ROW('03.Muestra'!$D$8:$D$42))+1,""),ROW()-1728)),"")</f>
        <v>https://www.portcastello.com/</v>
      </c>
      <c r="D1755" s="130" t="str">
        <f t="shared" si="91"/>
        <v>N/T</v>
      </c>
      <c r="E1755" s="107" t="str">
        <f t="shared" si="90"/>
        <v/>
      </c>
      <c r="F1755" s="19"/>
      <c r="G1755" s="19"/>
      <c r="H1755" s="19"/>
      <c r="I1755" s="19"/>
      <c r="J1755" s="19"/>
      <c r="K1755" s="233"/>
    </row>
    <row r="1756" spans="1:11" ht="12" customHeight="1">
      <c r="A1756" s="219" t="n" cm="1">
        <f t="array" ref="A1756">IFERROR(INDEX('03.Muestra'!$B$8:$B$42,SMALL(IF("Página Web"='03.Muestra'!$D$8:$D$42,ROW('03.Muestra'!$B$8:$B$42)-MIN(ROW('03.Muestra'!$D$8:$D$42))+1,""),ROW()-1728)),"")</f>
        <v>1.0</v>
      </c>
      <c r="B1756" s="114" t="str" cm="1">
        <f t="array" ref="B1756">IFERROR(INDEX('03.Muestra'!$C$8:$C$42,SMALL(IF("Página Web"='03.Muestra'!$D$8:$D$42,ROW('03.Muestra'!$C$8:$C$42)-MIN(ROW('03.Muestra'!$D$8:$D$42))+1,""),ROW()-1728)),"")</f>
        <v>Home - PortCastelló</v>
      </c>
      <c r="C1756" s="114" t="str" cm="1">
        <f t="array" ref="C1756">IFERROR(INDEX('03.Muestra'!$F$8:$F$42,SMALL(IF("Página Web"='03.Muestra'!$D$8:$D$42,ROW('03.Muestra'!$F$8:$F$42)-MIN(ROW('03.Muestra'!$D$8:$D$42))+1,""),ROW()-1728)),"")</f>
        <v>https://www.portcastello.com/</v>
      </c>
      <c r="D1756" s="130" t="str">
        <f t="shared" si="91"/>
        <v>N/T</v>
      </c>
      <c r="E1756" s="107" t="str">
        <f t="shared" si="90"/>
        <v/>
      </c>
      <c r="G1756" s="19"/>
      <c r="H1756" s="19"/>
      <c r="I1756" s="19"/>
      <c r="J1756" s="19"/>
      <c r="K1756" s="233"/>
    </row>
    <row r="1757" spans="1:11" ht="12" customHeight="1">
      <c r="A1757" s="219" t="n" cm="1">
        <f t="array" ref="A1757">IFERROR(INDEX('03.Muestra'!$B$8:$B$42,SMALL(IF("Página Web"='03.Muestra'!$D$8:$D$42,ROW('03.Muestra'!$B$8:$B$42)-MIN(ROW('03.Muestra'!$D$8:$D$42))+1,""),ROW()-1728)),"")</f>
        <v>1.0</v>
      </c>
      <c r="B1757" s="114" t="str" cm="1">
        <f t="array" ref="B1757">IFERROR(INDEX('03.Muestra'!$C$8:$C$42,SMALL(IF("Página Web"='03.Muestra'!$D$8:$D$42,ROW('03.Muestra'!$C$8:$C$42)-MIN(ROW('03.Muestra'!$D$8:$D$42))+1,""),ROW()-1728)),"")</f>
        <v>Home - PortCastelló</v>
      </c>
      <c r="C1757" s="114" t="str" cm="1">
        <f t="array" ref="C1757">IFERROR(INDEX('03.Muestra'!$F$8:$F$42,SMALL(IF("Página Web"='03.Muestra'!$D$8:$D$42,ROW('03.Muestra'!$F$8:$F$42)-MIN(ROW('03.Muestra'!$D$8:$D$42))+1,""),ROW()-1728)),"")</f>
        <v>https://www.portcastello.com/</v>
      </c>
      <c r="D1757" s="130" t="str">
        <f t="shared" si="91"/>
        <v>N/T</v>
      </c>
      <c r="E1757" s="107" t="str">
        <f t="shared" si="90"/>
        <v/>
      </c>
      <c r="F1757" s="124"/>
      <c r="G1757" s="19"/>
      <c r="H1757" s="19"/>
      <c r="I1757" s="19"/>
      <c r="J1757" s="19"/>
      <c r="K1757" s="233"/>
    </row>
    <row r="1758" spans="1:11" ht="12" customHeight="1">
      <c r="A1758" s="219" t="n" cm="1">
        <f t="array" ref="A1758">IFERROR(INDEX('03.Muestra'!$B$8:$B$42,SMALL(IF("Página Web"='03.Muestra'!$D$8:$D$42,ROW('03.Muestra'!$B$8:$B$42)-MIN(ROW('03.Muestra'!$D$8:$D$42))+1,""),ROW()-1728)),"")</f>
        <v>1.0</v>
      </c>
      <c r="B1758" s="114" t="str" cm="1">
        <f t="array" ref="B1758">IFERROR(INDEX('03.Muestra'!$C$8:$C$42,SMALL(IF("Página Web"='03.Muestra'!$D$8:$D$42,ROW('03.Muestra'!$C$8:$C$42)-MIN(ROW('03.Muestra'!$D$8:$D$42))+1,""),ROW()-1728)),"")</f>
        <v>Home - PortCastelló</v>
      </c>
      <c r="C1758" s="114" t="str" cm="1">
        <f t="array" ref="C1758">IFERROR(INDEX('03.Muestra'!$F$8:$F$42,SMALL(IF("Página Web"='03.Muestra'!$D$8:$D$42,ROW('03.Muestra'!$F$8:$F$42)-MIN(ROW('03.Muestra'!$D$8:$D$42))+1,""),ROW()-1728)),"")</f>
        <v>https://www.portcastello.com/</v>
      </c>
      <c r="D1758" s="130" t="str">
        <f t="shared" si="91"/>
        <v>N/T</v>
      </c>
      <c r="E1758" s="107" t="str">
        <f t="shared" si="90"/>
        <v/>
      </c>
      <c r="F1758" s="124"/>
      <c r="G1758" s="19"/>
      <c r="H1758" s="19"/>
      <c r="I1758" s="19"/>
      <c r="J1758" s="19"/>
      <c r="K1758" s="233"/>
    </row>
    <row r="1759" spans="1:11" ht="12" customHeight="1">
      <c r="A1759" s="219" t="n" cm="1">
        <f t="array" ref="A1759">IFERROR(INDEX('03.Muestra'!$B$8:$B$42,SMALL(IF("Página Web"='03.Muestra'!$D$8:$D$42,ROW('03.Muestra'!$B$8:$B$42)-MIN(ROW('03.Muestra'!$D$8:$D$42))+1,""),ROW()-1728)),"")</f>
        <v>1.0</v>
      </c>
      <c r="B1759" s="114" t="str" cm="1">
        <f t="array" ref="B1759">IFERROR(INDEX('03.Muestra'!$C$8:$C$42,SMALL(IF("Página Web"='03.Muestra'!$D$8:$D$42,ROW('03.Muestra'!$C$8:$C$42)-MIN(ROW('03.Muestra'!$D$8:$D$42))+1,""),ROW()-1728)),"")</f>
        <v>Home - PortCastelló</v>
      </c>
      <c r="C1759" s="114" t="str" cm="1">
        <f t="array" ref="C1759">IFERROR(INDEX('03.Muestra'!$F$8:$F$42,SMALL(IF("Página Web"='03.Muestra'!$D$8:$D$42,ROW('03.Muestra'!$F$8:$F$42)-MIN(ROW('03.Muestra'!$D$8:$D$42))+1,""),ROW()-1728)),"")</f>
        <v>https://www.portcastello.com/</v>
      </c>
      <c r="D1759" s="130" t="str">
        <f t="shared" si="91"/>
        <v>N/T</v>
      </c>
      <c r="E1759" s="107" t="str">
        <f t="shared" si="90"/>
        <v/>
      </c>
      <c r="F1759" s="124"/>
      <c r="G1759" s="19"/>
      <c r="H1759" s="19"/>
      <c r="I1759" s="19"/>
      <c r="J1759" s="19"/>
      <c r="K1759" s="233"/>
    </row>
    <row r="1760" spans="1:11" ht="12" customHeight="1">
      <c r="A1760" s="219" t="n" cm="1">
        <f t="array" ref="A1760">IFERROR(INDEX('03.Muestra'!$B$8:$B$42,SMALL(IF("Página Web"='03.Muestra'!$D$8:$D$42,ROW('03.Muestra'!$B$8:$B$42)-MIN(ROW('03.Muestra'!$D$8:$D$42))+1,""),ROW()-1728)),"")</f>
        <v>1.0</v>
      </c>
      <c r="B1760" s="114" t="str" cm="1">
        <f t="array" ref="B1760">IFERROR(INDEX('03.Muestra'!$C$8:$C$42,SMALL(IF("Página Web"='03.Muestra'!$D$8:$D$42,ROW('03.Muestra'!$C$8:$C$42)-MIN(ROW('03.Muestra'!$D$8:$D$42))+1,""),ROW()-1728)),"")</f>
        <v>Home - PortCastelló</v>
      </c>
      <c r="C1760" s="114" t="str" cm="1">
        <f t="array" ref="C1760">IFERROR(INDEX('03.Muestra'!$F$8:$F$42,SMALL(IF("Página Web"='03.Muestra'!$D$8:$D$42,ROW('03.Muestra'!$F$8:$F$42)-MIN(ROW('03.Muestra'!$D$8:$D$42))+1,""),ROW()-1728)),"")</f>
        <v>https://www.portcastello.com/</v>
      </c>
      <c r="D1760" s="130" t="str">
        <f t="shared" si="91"/>
        <v>N/T</v>
      </c>
      <c r="E1760" s="107" t="str">
        <f t="shared" si="90"/>
        <v/>
      </c>
      <c r="F1760" s="124"/>
      <c r="G1760" s="19"/>
      <c r="H1760" s="19"/>
      <c r="I1760" s="19"/>
      <c r="J1760" s="19"/>
      <c r="K1760" s="233"/>
    </row>
    <row r="1761" spans="1:11" ht="12" customHeight="1">
      <c r="A1761" s="219" t="n" cm="1">
        <f t="array" ref="A1761">IFERROR(INDEX('03.Muestra'!$B$8:$B$42,SMALL(IF("Página Web"='03.Muestra'!$D$8:$D$42,ROW('03.Muestra'!$B$8:$B$42)-MIN(ROW('03.Muestra'!$D$8:$D$42))+1,""),ROW()-1728)),"")</f>
        <v>1.0</v>
      </c>
      <c r="B1761" s="114" t="str" cm="1">
        <f t="array" ref="B1761">IFERROR(INDEX('03.Muestra'!$C$8:$C$42,SMALL(IF("Página Web"='03.Muestra'!$D$8:$D$42,ROW('03.Muestra'!$C$8:$C$42)-MIN(ROW('03.Muestra'!$D$8:$D$42))+1,""),ROW()-1728)),"")</f>
        <v>Home - PortCastelló</v>
      </c>
      <c r="C1761" s="114" t="str" cm="1">
        <f t="array" ref="C1761">IFERROR(INDEX('03.Muestra'!$F$8:$F$42,SMALL(IF("Página Web"='03.Muestra'!$D$8:$D$42,ROW('03.Muestra'!$F$8:$F$42)-MIN(ROW('03.Muestra'!$D$8:$D$42))+1,""),ROW()-1728)),"")</f>
        <v>https://www.portcastello.com/</v>
      </c>
      <c r="D1761" s="130" t="str">
        <f t="shared" si="91"/>
        <v>N/T</v>
      </c>
      <c r="E1761" s="107" t="str">
        <f t="shared" si="90"/>
        <v/>
      </c>
      <c r="F1761" s="124"/>
      <c r="G1761" s="19"/>
      <c r="H1761" s="19"/>
      <c r="I1761" s="19"/>
      <c r="J1761" s="19"/>
      <c r="K1761" s="233"/>
    </row>
    <row r="1762" spans="1:11" ht="12" customHeight="1">
      <c r="A1762" s="219" t="str" cm="1">
        <f t="array" ref="A1762">IFERROR(INDEX('03.Muestra'!$B$8:$B$42,SMALL(IF("Página Web"='03.Muestra'!$D$8:$D$42,ROW('03.Muestra'!$B$8:$B$42)-MIN(ROW('03.Muestra'!$D$8:$D$42))+1,""),ROW()-1728)),"")</f>
        <v/>
      </c>
      <c r="B1762" s="114" t="str" cm="1">
        <f t="array" ref="B1762">IFERROR(INDEX('03.Muestra'!$C$8:$C$42,SMALL(IF("Página Web"='03.Muestra'!$D$8:$D$42,ROW('03.Muestra'!$C$8:$C$42)-MIN(ROW('03.Muestra'!$D$8:$D$42))+1,""),ROW()-1728)),"")</f>
        <v/>
      </c>
      <c r="C1762" s="114" t="str" cm="1">
        <f t="array" ref="C1762">IFERROR(INDEX('03.Muestra'!$F$8:$F$42,SMALL(IF("Página Web"='03.Muestra'!$D$8:$D$42,ROW('03.Muestra'!$F$8:$F$42)-MIN(ROW('03.Muestra'!$D$8:$D$42))+1,""),ROW()-1728)),"")</f>
        <v/>
      </c>
      <c r="D1762" s="130" t="str">
        <f t="shared" si="91"/>
        <v/>
      </c>
      <c r="E1762" s="107" t="str">
        <f t="shared" si="90"/>
        <v/>
      </c>
      <c r="F1762" s="124"/>
      <c r="G1762" s="19"/>
      <c r="H1762" s="19"/>
      <c r="I1762" s="19"/>
      <c r="J1762" s="19"/>
      <c r="K1762" s="233"/>
    </row>
    <row r="1763" spans="1:11" ht="12" customHeight="1">
      <c r="A1763" s="219" t="str" cm="1">
        <f t="array" ref="A1763">IFERROR(INDEX('03.Muestra'!$B$8:$B$42,SMALL(IF("Página Web"='03.Muestra'!$D$8:$D$42,ROW('03.Muestra'!$B$8:$B$42)-MIN(ROW('03.Muestra'!$D$8:$D$42))+1,""),ROW()-1728)),"")</f>
        <v/>
      </c>
      <c r="B1763" s="114" t="str" cm="1">
        <f t="array" ref="B1763">IFERROR(INDEX('03.Muestra'!$C$8:$C$42,SMALL(IF("Página Web"='03.Muestra'!$D$8:$D$42,ROW('03.Muestra'!$C$8:$C$42)-MIN(ROW('03.Muestra'!$D$8:$D$42))+1,""),ROW()-1728)),"")</f>
        <v/>
      </c>
      <c r="C1763" s="114" t="str" cm="1">
        <f t="array" ref="C1763">IFERROR(INDEX('03.Muestra'!$F$8:$F$42,SMALL(IF("Página Web"='03.Muestra'!$D$8:$D$42,ROW('03.Muestra'!$F$8:$F$42)-MIN(ROW('03.Muestra'!$D$8:$D$42))+1,""),ROW()-1728)),"")</f>
        <v/>
      </c>
      <c r="D1763" s="130" t="str">
        <f t="shared" si="91"/>
        <v/>
      </c>
      <c r="E1763" s="107" t="str">
        <f t="shared" si="90"/>
        <v/>
      </c>
      <c r="F1763" s="19"/>
      <c r="G1763" s="19"/>
      <c r="H1763" s="19"/>
      <c r="I1763" s="19"/>
      <c r="J1763" s="19"/>
      <c r="K1763" s="233"/>
    </row>
    <row r="1764" spans="1:11" ht="12" customHeight="1">
      <c r="B1764" s="19"/>
      <c r="C1764" s="19"/>
      <c r="D1764" s="107"/>
      <c r="E1764" s="19"/>
      <c r="F1764" s="19"/>
      <c r="G1764" s="19"/>
      <c r="H1764" s="19"/>
      <c r="I1764" s="19"/>
      <c r="J1764" s="19"/>
      <c r="K1764" s="233"/>
    </row>
    <row r="1765" spans="1:11" ht="12" customHeight="1">
      <c r="B1765" s="19"/>
      <c r="C1765" s="19"/>
      <c r="D1765" s="107"/>
      <c r="E1765" s="112"/>
      <c r="K1765" s="233"/>
    </row>
    <row r="1766" spans="1:11" ht="29.25" customHeight="1">
      <c r="A1766" s="218" t="s">
        <v>268</v>
      </c>
      <c r="B1766" s="24" t="s">
        <v>90</v>
      </c>
      <c r="C1766" s="25" t="s">
        <v>419</v>
      </c>
      <c r="D1766" s="26" t="s">
        <v>32</v>
      </c>
      <c r="E1766" s="123"/>
      <c r="K1766" s="233"/>
    </row>
    <row r="1767" spans="1:11" ht="12" customHeight="1">
      <c r="A1767" s="219" t="n" cm="1">
        <f t="array" ref="A1767">IFERROR(INDEX('03.Muestra'!$B$8:$B$42,SMALL(IF("Página Web"='03.Muestra'!$D$8:$D$42,ROW('03.Muestra'!$B$8:$B$42)-MIN(ROW('03.Muestra'!$D$8:$D$42))+1,""),ROW()-1766)),"")</f>
        <v>1.0</v>
      </c>
      <c r="B1767" s="114" t="str" cm="1">
        <f t="array" ref="B1767">IFERROR(INDEX('03.Muestra'!$C$8:$C$42,SMALL(IF("Página Web"='03.Muestra'!$D$8:$D$42,ROW('03.Muestra'!$C$8:$C$42)-MIN(ROW('03.Muestra'!$D$8:$D$42))+1,""),ROW()-1766)),"")</f>
        <v>Home - PortCastelló</v>
      </c>
      <c r="C1767" s="114" t="str" cm="1">
        <f t="array" ref="C1767">IFERROR(INDEX('03.Muestra'!$F$8:$F$42,SMALL(IF("Página Web"='03.Muestra'!$D$8:$D$42,ROW('03.Muestra'!$F$8:$F$42)-MIN(ROW('03.Muestra'!$D$8:$D$42))+1,""),ROW()-1766)),"")</f>
        <v>https://www.portcastello.com/</v>
      </c>
      <c r="D1767" s="130" t="str">
        <f>IF(AND(B1767&lt;&gt;"",C1767&lt;&gt;""),"N/T","")</f>
        <v>N/T</v>
      </c>
      <c r="E1767" s="107" t="str">
        <f t="shared" ref="E1767:E1801" si="92">IF(D1767&lt;&gt;"",IF(AND(B1767&lt;&gt;"",C1767&lt;&gt;""),"","ERR"),"")</f>
        <v/>
      </c>
      <c r="F1767" s="115" t="s">
        <v>33</v>
      </c>
      <c r="G1767" s="116" t="s">
        <v>37</v>
      </c>
      <c r="H1767" s="117" t="s">
        <v>35</v>
      </c>
      <c r="I1767" s="118" t="s">
        <v>28</v>
      </c>
      <c r="J1767" s="119" t="s">
        <v>26</v>
      </c>
      <c r="K1767" s="226" t="s">
        <v>474</v>
      </c>
    </row>
    <row r="1768" spans="1:11" ht="12" customHeight="1">
      <c r="A1768" s="219" t="n" cm="1">
        <f t="array" ref="A1768">IFERROR(INDEX('03.Muestra'!$B$8:$B$42,SMALL(IF("Página Web"='03.Muestra'!$D$8:$D$42,ROW('03.Muestra'!$B$8:$B$42)-MIN(ROW('03.Muestra'!$D$8:$D$42))+1,""),ROW()-1766)),"")</f>
        <v>1.0</v>
      </c>
      <c r="B1768" s="114" t="str" cm="1">
        <f t="array" ref="B1768">IFERROR(INDEX('03.Muestra'!$C$8:$C$42,SMALL(IF("Página Web"='03.Muestra'!$D$8:$D$42,ROW('03.Muestra'!$C$8:$C$42)-MIN(ROW('03.Muestra'!$D$8:$D$42))+1,""),ROW()-1766)),"")</f>
        <v>Home - PortCastelló</v>
      </c>
      <c r="C1768" s="114" t="str" cm="1">
        <f t="array" ref="C1768">IFERROR(INDEX('03.Muestra'!$F$8:$F$42,SMALL(IF("Página Web"='03.Muestra'!$D$8:$D$42,ROW('03.Muestra'!$F$8:$F$42)-MIN(ROW('03.Muestra'!$D$8:$D$42))+1,""),ROW()-1766)),"")</f>
        <v>https://www.portcastello.com/</v>
      </c>
      <c r="D1768" s="130" t="str">
        <f t="shared" ref="D1768:D1801" si="93">IF(AND(B1768&lt;&gt;"",C1768&lt;&gt;""),"N/T","")</f>
        <v>N/T</v>
      </c>
      <c r="E1768" s="107" t="str">
        <f t="shared" si="92"/>
        <v/>
      </c>
      <c r="F1768" s="120" t="n">
        <f ca="1">COUNTIF($D1767:INDIRECT("$D" &amp;  SUM(ROW()-1,'03.Muestra'!$D$45)-1),F1767)</f>
        <v>33.0</v>
      </c>
      <c r="G1768" s="120" t="n">
        <f ca="1">COUNTIF($D1767:INDIRECT("$D" &amp;  SUM(ROW()-1,'03.Muestra'!$D$45)-1),G1767)</f>
        <v>0.0</v>
      </c>
      <c r="H1768" s="120" t="n">
        <f ca="1">COUNTIF($D1767:INDIRECT("$D" &amp;  SUM(ROW()-1,'03.Muestra'!$D$45)-1),H1767)</f>
        <v>0.0</v>
      </c>
      <c r="I1768" s="120" t="n">
        <f ca="1">COUNTIF($D1767:INDIRECT("$D" &amp;  SUM(ROW()-1,'03.Muestra'!$D$45)-1),I1767)</f>
        <v>0.0</v>
      </c>
      <c r="J1768" s="120" t="n">
        <f ca="1">COUNTIF($D1767:INDIRECT("$D" &amp;  SUM(ROW()-1,'03.Muestra'!$D$45)-1),J1767)</f>
        <v>0.0</v>
      </c>
      <c r="K1768" s="227" t="n">
        <f ca="1">IF(COUNTIF('03.Muestra'!$D$8:$D$42,"Página Web")=0,0,COUNTBLANK($D1767:INDIRECT("$D" &amp;  SUM(ROW()-1,COUNTIF('03.Muestra'!$D$8:$D$42,"Página Web"))-1)))</f>
        <v>0.0</v>
      </c>
    </row>
    <row r="1769" spans="1:11" ht="12" customHeight="1">
      <c r="A1769" s="219" t="n" cm="1">
        <f t="array" ref="A1769">IFERROR(INDEX('03.Muestra'!$B$8:$B$42,SMALL(IF("Página Web"='03.Muestra'!$D$8:$D$42,ROW('03.Muestra'!$B$8:$B$42)-MIN(ROW('03.Muestra'!$D$8:$D$42))+1,""),ROW()-1766)),"")</f>
        <v>1.0</v>
      </c>
      <c r="B1769" s="114" t="str" cm="1">
        <f t="array" ref="B1769">IFERROR(INDEX('03.Muestra'!$C$8:$C$42,SMALL(IF("Página Web"='03.Muestra'!$D$8:$D$42,ROW('03.Muestra'!$C$8:$C$42)-MIN(ROW('03.Muestra'!$D$8:$D$42))+1,""),ROW()-1766)),"")</f>
        <v>Home - PortCastelló</v>
      </c>
      <c r="C1769" s="114" t="str" cm="1">
        <f t="array" ref="C1769">IFERROR(INDEX('03.Muestra'!$F$8:$F$42,SMALL(IF("Página Web"='03.Muestra'!$D$8:$D$42,ROW('03.Muestra'!$F$8:$F$42)-MIN(ROW('03.Muestra'!$D$8:$D$42))+1,""),ROW()-1766)),"")</f>
        <v>https://www.portcastello.com/</v>
      </c>
      <c r="D1769" s="130" t="str">
        <f t="shared" si="93"/>
        <v>N/T</v>
      </c>
      <c r="E1769" s="107" t="str">
        <f t="shared" si="92"/>
        <v/>
      </c>
      <c r="F1769" s="19"/>
      <c r="G1769" s="19"/>
      <c r="H1769" s="19"/>
      <c r="I1769" s="19"/>
      <c r="J1769" s="19"/>
      <c r="K1769" s="233"/>
    </row>
    <row r="1770" spans="1:11" ht="12" customHeight="1">
      <c r="A1770" s="219" t="n" cm="1">
        <f t="array" ref="A1770">IFERROR(INDEX('03.Muestra'!$B$8:$B$42,SMALL(IF("Página Web"='03.Muestra'!$D$8:$D$42,ROW('03.Muestra'!$B$8:$B$42)-MIN(ROW('03.Muestra'!$D$8:$D$42))+1,""),ROW()-1766)),"")</f>
        <v>1.0</v>
      </c>
      <c r="B1770" s="114" t="str" cm="1">
        <f t="array" ref="B1770">IFERROR(INDEX('03.Muestra'!$C$8:$C$42,SMALL(IF("Página Web"='03.Muestra'!$D$8:$D$42,ROW('03.Muestra'!$C$8:$C$42)-MIN(ROW('03.Muestra'!$D$8:$D$42))+1,""),ROW()-1766)),"")</f>
        <v>Home - PortCastelló</v>
      </c>
      <c r="C1770" s="114" t="str" cm="1">
        <f t="array" ref="C1770">IFERROR(INDEX('03.Muestra'!$F$8:$F$42,SMALL(IF("Página Web"='03.Muestra'!$D$8:$D$42,ROW('03.Muestra'!$F$8:$F$42)-MIN(ROW('03.Muestra'!$D$8:$D$42))+1,""),ROW()-1766)),"")</f>
        <v>https://www.portcastello.com/</v>
      </c>
      <c r="D1770" s="130" t="str">
        <f t="shared" si="93"/>
        <v>N/T</v>
      </c>
      <c r="E1770" s="107" t="str">
        <f t="shared" si="92"/>
        <v/>
      </c>
      <c r="F1770" s="19"/>
      <c r="G1770" s="19"/>
      <c r="H1770" s="19"/>
      <c r="I1770" s="19"/>
      <c r="J1770" s="19"/>
      <c r="K1770" s="234"/>
    </row>
    <row r="1771" spans="1:11" ht="12" customHeight="1">
      <c r="A1771" s="219" t="n" cm="1">
        <f t="array" ref="A1771">IFERROR(INDEX('03.Muestra'!$B$8:$B$42,SMALL(IF("Página Web"='03.Muestra'!$D$8:$D$42,ROW('03.Muestra'!$B$8:$B$42)-MIN(ROW('03.Muestra'!$D$8:$D$42))+1,""),ROW()-1766)),"")</f>
        <v>1.0</v>
      </c>
      <c r="B1771" s="114" t="str" cm="1">
        <f t="array" ref="B1771">IFERROR(INDEX('03.Muestra'!$C$8:$C$42,SMALL(IF("Página Web"='03.Muestra'!$D$8:$D$42,ROW('03.Muestra'!$C$8:$C$42)-MIN(ROW('03.Muestra'!$D$8:$D$42))+1,""),ROW()-1766)),"")</f>
        <v>Home - PortCastelló</v>
      </c>
      <c r="C1771" s="114" t="str" cm="1">
        <f t="array" ref="C1771">IFERROR(INDEX('03.Muestra'!$F$8:$F$42,SMALL(IF("Página Web"='03.Muestra'!$D$8:$D$42,ROW('03.Muestra'!$F$8:$F$42)-MIN(ROW('03.Muestra'!$D$8:$D$42))+1,""),ROW()-1766)),"")</f>
        <v>https://www.portcastello.com/</v>
      </c>
      <c r="D1771" s="130" t="str">
        <f t="shared" si="93"/>
        <v>N/T</v>
      </c>
      <c r="E1771" s="107" t="str">
        <f t="shared" si="92"/>
        <v/>
      </c>
      <c r="F1771" s="122"/>
      <c r="G1771" s="19"/>
      <c r="H1771" s="19"/>
      <c r="I1771" s="19"/>
      <c r="J1771" s="19"/>
      <c r="K1771" s="234"/>
    </row>
    <row r="1772" spans="1:11" ht="12" customHeight="1">
      <c r="A1772" s="219" t="n" cm="1">
        <f t="array" ref="A1772">IFERROR(INDEX('03.Muestra'!$B$8:$B$42,SMALL(IF("Página Web"='03.Muestra'!$D$8:$D$42,ROW('03.Muestra'!$B$8:$B$42)-MIN(ROW('03.Muestra'!$D$8:$D$42))+1,""),ROW()-1766)),"")</f>
        <v>1.0</v>
      </c>
      <c r="B1772" s="114" t="str" cm="1">
        <f t="array" ref="B1772">IFERROR(INDEX('03.Muestra'!$C$8:$C$42,SMALL(IF("Página Web"='03.Muestra'!$D$8:$D$42,ROW('03.Muestra'!$C$8:$C$42)-MIN(ROW('03.Muestra'!$D$8:$D$42))+1,""),ROW()-1766)),"")</f>
        <v>Home - PortCastelló</v>
      </c>
      <c r="C1772" s="114" t="str" cm="1">
        <f t="array" ref="C1772">IFERROR(INDEX('03.Muestra'!$F$8:$F$42,SMALL(IF("Página Web"='03.Muestra'!$D$8:$D$42,ROW('03.Muestra'!$F$8:$F$42)-MIN(ROW('03.Muestra'!$D$8:$D$42))+1,""),ROW()-1766)),"")</f>
        <v>https://www.portcastello.com/</v>
      </c>
      <c r="D1772" s="130" t="str">
        <f t="shared" si="93"/>
        <v>N/T</v>
      </c>
      <c r="E1772" s="107" t="str">
        <f t="shared" si="92"/>
        <v/>
      </c>
      <c r="F1772" s="19"/>
      <c r="G1772" s="19"/>
      <c r="H1772" s="19"/>
      <c r="I1772" s="19"/>
      <c r="J1772" s="19"/>
      <c r="K1772" s="234"/>
    </row>
    <row r="1773" spans="1:11" ht="12" customHeight="1">
      <c r="A1773" s="219" t="n" cm="1">
        <f t="array" ref="A1773">IFERROR(INDEX('03.Muestra'!$B$8:$B$42,SMALL(IF("Página Web"='03.Muestra'!$D$8:$D$42,ROW('03.Muestra'!$B$8:$B$42)-MIN(ROW('03.Muestra'!$D$8:$D$42))+1,""),ROW()-1766)),"")</f>
        <v>1.0</v>
      </c>
      <c r="B1773" s="114" t="str" cm="1">
        <f t="array" ref="B1773">IFERROR(INDEX('03.Muestra'!$C$8:$C$42,SMALL(IF("Página Web"='03.Muestra'!$D$8:$D$42,ROW('03.Muestra'!$C$8:$C$42)-MIN(ROW('03.Muestra'!$D$8:$D$42))+1,""),ROW()-1766)),"")</f>
        <v>Home - PortCastelló</v>
      </c>
      <c r="C1773" s="114" t="str" cm="1">
        <f t="array" ref="C1773">IFERROR(INDEX('03.Muestra'!$F$8:$F$42,SMALL(IF("Página Web"='03.Muestra'!$D$8:$D$42,ROW('03.Muestra'!$F$8:$F$42)-MIN(ROW('03.Muestra'!$D$8:$D$42))+1,""),ROW()-1766)),"")</f>
        <v>https://www.portcastello.com/</v>
      </c>
      <c r="D1773" s="130" t="str">
        <f t="shared" si="93"/>
        <v>N/T</v>
      </c>
      <c r="E1773" s="107" t="str">
        <f t="shared" si="92"/>
        <v/>
      </c>
      <c r="F1773" s="19"/>
      <c r="G1773" s="19"/>
      <c r="H1773" s="19"/>
      <c r="I1773" s="19"/>
      <c r="J1773" s="19"/>
      <c r="K1773" s="233"/>
    </row>
    <row r="1774" spans="1:11" ht="12" customHeight="1">
      <c r="A1774" s="219" t="n" cm="1">
        <f t="array" ref="A1774">IFERROR(INDEX('03.Muestra'!$B$8:$B$42,SMALL(IF("Página Web"='03.Muestra'!$D$8:$D$42,ROW('03.Muestra'!$B$8:$B$42)-MIN(ROW('03.Muestra'!$D$8:$D$42))+1,""),ROW()-1766)),"")</f>
        <v>1.0</v>
      </c>
      <c r="B1774" s="114" t="str" cm="1">
        <f t="array" ref="B1774">IFERROR(INDEX('03.Muestra'!$C$8:$C$42,SMALL(IF("Página Web"='03.Muestra'!$D$8:$D$42,ROW('03.Muestra'!$C$8:$C$42)-MIN(ROW('03.Muestra'!$D$8:$D$42))+1,""),ROW()-1766)),"")</f>
        <v>Home - PortCastelló</v>
      </c>
      <c r="C1774" s="114" t="str" cm="1">
        <f t="array" ref="C1774">IFERROR(INDEX('03.Muestra'!$F$8:$F$42,SMALL(IF("Página Web"='03.Muestra'!$D$8:$D$42,ROW('03.Muestra'!$F$8:$F$42)-MIN(ROW('03.Muestra'!$D$8:$D$42))+1,""),ROW()-1766)),"")</f>
        <v>https://www.portcastello.com/</v>
      </c>
      <c r="D1774" s="130" t="str">
        <f t="shared" si="93"/>
        <v>N/T</v>
      </c>
      <c r="E1774" s="107" t="str">
        <f t="shared" si="92"/>
        <v/>
      </c>
      <c r="F1774" s="19"/>
      <c r="G1774" s="19"/>
      <c r="H1774" s="19"/>
      <c r="I1774" s="19"/>
      <c r="J1774" s="19"/>
      <c r="K1774" s="233"/>
    </row>
    <row r="1775" spans="1:11" ht="12" customHeight="1">
      <c r="A1775" s="219" t="n" cm="1">
        <f t="array" ref="A1775">IFERROR(INDEX('03.Muestra'!$B$8:$B$42,SMALL(IF("Página Web"='03.Muestra'!$D$8:$D$42,ROW('03.Muestra'!$B$8:$B$42)-MIN(ROW('03.Muestra'!$D$8:$D$42))+1,""),ROW()-1766)),"")</f>
        <v>1.0</v>
      </c>
      <c r="B1775" s="114" t="str" cm="1">
        <f t="array" ref="B1775">IFERROR(INDEX('03.Muestra'!$C$8:$C$42,SMALL(IF("Página Web"='03.Muestra'!$D$8:$D$42,ROW('03.Muestra'!$C$8:$C$42)-MIN(ROW('03.Muestra'!$D$8:$D$42))+1,""),ROW()-1766)),"")</f>
        <v>Home - PortCastelló</v>
      </c>
      <c r="C1775" s="114" t="str" cm="1">
        <f t="array" ref="C1775">IFERROR(INDEX('03.Muestra'!$F$8:$F$42,SMALL(IF("Página Web"='03.Muestra'!$D$8:$D$42,ROW('03.Muestra'!$F$8:$F$42)-MIN(ROW('03.Muestra'!$D$8:$D$42))+1,""),ROW()-1766)),"")</f>
        <v>https://www.portcastello.com/</v>
      </c>
      <c r="D1775" s="130" t="str">
        <f t="shared" si="93"/>
        <v>N/T</v>
      </c>
      <c r="E1775" s="107" t="str">
        <f t="shared" si="92"/>
        <v/>
      </c>
      <c r="F1775" s="19"/>
      <c r="G1775" s="19"/>
      <c r="H1775" s="19"/>
      <c r="I1775" s="19"/>
      <c r="J1775" s="19"/>
      <c r="K1775" s="233"/>
    </row>
    <row r="1776" spans="1:11" ht="12" customHeight="1">
      <c r="A1776" s="219" t="n" cm="1">
        <f t="array" ref="A1776">IFERROR(INDEX('03.Muestra'!$B$8:$B$42,SMALL(IF("Página Web"='03.Muestra'!$D$8:$D$42,ROW('03.Muestra'!$B$8:$B$42)-MIN(ROW('03.Muestra'!$D$8:$D$42))+1,""),ROW()-1766)),"")</f>
        <v>1.0</v>
      </c>
      <c r="B1776" s="114" t="str" cm="1">
        <f t="array" ref="B1776">IFERROR(INDEX('03.Muestra'!$C$8:$C$42,SMALL(IF("Página Web"='03.Muestra'!$D$8:$D$42,ROW('03.Muestra'!$C$8:$C$42)-MIN(ROW('03.Muestra'!$D$8:$D$42))+1,""),ROW()-1766)),"")</f>
        <v>Home - PortCastelló</v>
      </c>
      <c r="C1776" s="114" t="str" cm="1">
        <f t="array" ref="C1776">IFERROR(INDEX('03.Muestra'!$F$8:$F$42,SMALL(IF("Página Web"='03.Muestra'!$D$8:$D$42,ROW('03.Muestra'!$F$8:$F$42)-MIN(ROW('03.Muestra'!$D$8:$D$42))+1,""),ROW()-1766)),"")</f>
        <v>https://www.portcastello.com/</v>
      </c>
      <c r="D1776" s="130" t="str">
        <f t="shared" si="93"/>
        <v>N/T</v>
      </c>
      <c r="E1776" s="107" t="str">
        <f t="shared" si="92"/>
        <v/>
      </c>
      <c r="F1776" s="19"/>
      <c r="G1776" s="19"/>
      <c r="H1776" s="19"/>
      <c r="I1776" s="19"/>
      <c r="J1776" s="19"/>
      <c r="K1776" s="233"/>
    </row>
    <row r="1777" spans="1:11" ht="12" customHeight="1">
      <c r="A1777" s="219" t="n" cm="1">
        <f t="array" ref="A1777">IFERROR(INDEX('03.Muestra'!$B$8:$B$42,SMALL(IF("Página Web"='03.Muestra'!$D$8:$D$42,ROW('03.Muestra'!$B$8:$B$42)-MIN(ROW('03.Muestra'!$D$8:$D$42))+1,""),ROW()-1766)),"")</f>
        <v>1.0</v>
      </c>
      <c r="B1777" s="114" t="str" cm="1">
        <f t="array" ref="B1777">IFERROR(INDEX('03.Muestra'!$C$8:$C$42,SMALL(IF("Página Web"='03.Muestra'!$D$8:$D$42,ROW('03.Muestra'!$C$8:$C$42)-MIN(ROW('03.Muestra'!$D$8:$D$42))+1,""),ROW()-1766)),"")</f>
        <v>Home - PortCastelló</v>
      </c>
      <c r="C1777" s="114" t="str" cm="1">
        <f t="array" ref="C1777">IFERROR(INDEX('03.Muestra'!$F$8:$F$42,SMALL(IF("Página Web"='03.Muestra'!$D$8:$D$42,ROW('03.Muestra'!$F$8:$F$42)-MIN(ROW('03.Muestra'!$D$8:$D$42))+1,""),ROW()-1766)),"")</f>
        <v>https://www.portcastello.com/</v>
      </c>
      <c r="D1777" s="130" t="str">
        <f t="shared" si="93"/>
        <v>N/T</v>
      </c>
      <c r="E1777" s="107" t="str">
        <f t="shared" si="92"/>
        <v/>
      </c>
      <c r="F1777" s="19"/>
      <c r="G1777" s="19"/>
      <c r="H1777" s="19"/>
      <c r="I1777" s="19"/>
      <c r="J1777" s="19"/>
      <c r="K1777" s="233"/>
    </row>
    <row r="1778" spans="1:11" ht="12" customHeight="1">
      <c r="A1778" s="219" t="n" cm="1">
        <f t="array" ref="A1778">IFERROR(INDEX('03.Muestra'!$B$8:$B$42,SMALL(IF("Página Web"='03.Muestra'!$D$8:$D$42,ROW('03.Muestra'!$B$8:$B$42)-MIN(ROW('03.Muestra'!$D$8:$D$42))+1,""),ROW()-1766)),"")</f>
        <v>1.0</v>
      </c>
      <c r="B1778" s="114" t="str" cm="1">
        <f t="array" ref="B1778">IFERROR(INDEX('03.Muestra'!$C$8:$C$42,SMALL(IF("Página Web"='03.Muestra'!$D$8:$D$42,ROW('03.Muestra'!$C$8:$C$42)-MIN(ROW('03.Muestra'!$D$8:$D$42))+1,""),ROW()-1766)),"")</f>
        <v>Home - PortCastelló</v>
      </c>
      <c r="C1778" s="114" t="str" cm="1">
        <f t="array" ref="C1778">IFERROR(INDEX('03.Muestra'!$F$8:$F$42,SMALL(IF("Página Web"='03.Muestra'!$D$8:$D$42,ROW('03.Muestra'!$F$8:$F$42)-MIN(ROW('03.Muestra'!$D$8:$D$42))+1,""),ROW()-1766)),"")</f>
        <v>https://www.portcastello.com/</v>
      </c>
      <c r="D1778" s="130" t="str">
        <f t="shared" si="93"/>
        <v>N/T</v>
      </c>
      <c r="E1778" s="107" t="str">
        <f t="shared" si="92"/>
        <v/>
      </c>
      <c r="F1778" s="19"/>
      <c r="G1778" s="19"/>
      <c r="H1778" s="19"/>
      <c r="I1778" s="19"/>
      <c r="J1778" s="19"/>
      <c r="K1778" s="233"/>
    </row>
    <row r="1779" spans="1:11" ht="12" customHeight="1">
      <c r="A1779" s="219" t="n" cm="1">
        <f t="array" ref="A1779">IFERROR(INDEX('03.Muestra'!$B$8:$B$42,SMALL(IF("Página Web"='03.Muestra'!$D$8:$D$42,ROW('03.Muestra'!$B$8:$B$42)-MIN(ROW('03.Muestra'!$D$8:$D$42))+1,""),ROW()-1766)),"")</f>
        <v>1.0</v>
      </c>
      <c r="B1779" s="114" t="str" cm="1">
        <f t="array" ref="B1779">IFERROR(INDEX('03.Muestra'!$C$8:$C$42,SMALL(IF("Página Web"='03.Muestra'!$D$8:$D$42,ROW('03.Muestra'!$C$8:$C$42)-MIN(ROW('03.Muestra'!$D$8:$D$42))+1,""),ROW()-1766)),"")</f>
        <v>Home - PortCastelló</v>
      </c>
      <c r="C1779" s="114" t="str" cm="1">
        <f t="array" ref="C1779">IFERROR(INDEX('03.Muestra'!$F$8:$F$42,SMALL(IF("Página Web"='03.Muestra'!$D$8:$D$42,ROW('03.Muestra'!$F$8:$F$42)-MIN(ROW('03.Muestra'!$D$8:$D$42))+1,""),ROW()-1766)),"")</f>
        <v>https://www.portcastello.com/</v>
      </c>
      <c r="D1779" s="130" t="str">
        <f t="shared" si="93"/>
        <v>N/T</v>
      </c>
      <c r="E1779" s="107" t="str">
        <f t="shared" si="92"/>
        <v/>
      </c>
      <c r="F1779" s="19"/>
      <c r="G1779" s="19"/>
      <c r="H1779" s="19"/>
      <c r="I1779" s="19"/>
      <c r="J1779" s="19"/>
      <c r="K1779" s="233"/>
    </row>
    <row r="1780" spans="1:11" ht="12" customHeight="1">
      <c r="A1780" s="219" t="n" cm="1">
        <f t="array" ref="A1780">IFERROR(INDEX('03.Muestra'!$B$8:$B$42,SMALL(IF("Página Web"='03.Muestra'!$D$8:$D$42,ROW('03.Muestra'!$B$8:$B$42)-MIN(ROW('03.Muestra'!$D$8:$D$42))+1,""),ROW()-1766)),"")</f>
        <v>1.0</v>
      </c>
      <c r="B1780" s="114" t="str" cm="1">
        <f t="array" ref="B1780">IFERROR(INDEX('03.Muestra'!$C$8:$C$42,SMALL(IF("Página Web"='03.Muestra'!$D$8:$D$42,ROW('03.Muestra'!$C$8:$C$42)-MIN(ROW('03.Muestra'!$D$8:$D$42))+1,""),ROW()-1766)),"")</f>
        <v>Home - PortCastelló</v>
      </c>
      <c r="C1780" s="114" t="str" cm="1">
        <f t="array" ref="C1780">IFERROR(INDEX('03.Muestra'!$F$8:$F$42,SMALL(IF("Página Web"='03.Muestra'!$D$8:$D$42,ROW('03.Muestra'!$F$8:$F$42)-MIN(ROW('03.Muestra'!$D$8:$D$42))+1,""),ROW()-1766)),"")</f>
        <v>https://www.portcastello.com/</v>
      </c>
      <c r="D1780" s="130" t="str">
        <f t="shared" si="93"/>
        <v>N/T</v>
      </c>
      <c r="E1780" s="107" t="str">
        <f t="shared" si="92"/>
        <v/>
      </c>
      <c r="F1780" s="19"/>
      <c r="G1780" s="19"/>
      <c r="H1780" s="19"/>
      <c r="I1780" s="19"/>
      <c r="J1780" s="19"/>
      <c r="K1780" s="233"/>
    </row>
    <row r="1781" spans="1:11" ht="12" customHeight="1">
      <c r="A1781" s="219" t="n" cm="1">
        <f t="array" ref="A1781">IFERROR(INDEX('03.Muestra'!$B$8:$B$42,SMALL(IF("Página Web"='03.Muestra'!$D$8:$D$42,ROW('03.Muestra'!$B$8:$B$42)-MIN(ROW('03.Muestra'!$D$8:$D$42))+1,""),ROW()-1766)),"")</f>
        <v>1.0</v>
      </c>
      <c r="B1781" s="114" t="str" cm="1">
        <f t="array" ref="B1781">IFERROR(INDEX('03.Muestra'!$C$8:$C$42,SMALL(IF("Página Web"='03.Muestra'!$D$8:$D$42,ROW('03.Muestra'!$C$8:$C$42)-MIN(ROW('03.Muestra'!$D$8:$D$42))+1,""),ROW()-1766)),"")</f>
        <v>Home - PortCastelló</v>
      </c>
      <c r="C1781" s="114" t="str" cm="1">
        <f t="array" ref="C1781">IFERROR(INDEX('03.Muestra'!$F$8:$F$42,SMALL(IF("Página Web"='03.Muestra'!$D$8:$D$42,ROW('03.Muestra'!$F$8:$F$42)-MIN(ROW('03.Muestra'!$D$8:$D$42))+1,""),ROW()-1766)),"")</f>
        <v>https://www.portcastello.com/</v>
      </c>
      <c r="D1781" s="130" t="str">
        <f t="shared" si="93"/>
        <v>N/T</v>
      </c>
      <c r="E1781" s="107" t="str">
        <f t="shared" si="92"/>
        <v/>
      </c>
      <c r="F1781" s="19"/>
      <c r="G1781" s="19"/>
      <c r="H1781" s="19"/>
      <c r="I1781" s="19"/>
      <c r="J1781" s="19"/>
      <c r="K1781" s="233"/>
    </row>
    <row r="1782" spans="1:11" ht="12" customHeight="1">
      <c r="A1782" s="219" t="n" cm="1">
        <f t="array" ref="A1782">IFERROR(INDEX('03.Muestra'!$B$8:$B$42,SMALL(IF("Página Web"='03.Muestra'!$D$8:$D$42,ROW('03.Muestra'!$B$8:$B$42)-MIN(ROW('03.Muestra'!$D$8:$D$42))+1,""),ROW()-1766)),"")</f>
        <v>1.0</v>
      </c>
      <c r="B1782" s="114" t="str" cm="1">
        <f t="array" ref="B1782">IFERROR(INDEX('03.Muestra'!$C$8:$C$42,SMALL(IF("Página Web"='03.Muestra'!$D$8:$D$42,ROW('03.Muestra'!$C$8:$C$42)-MIN(ROW('03.Muestra'!$D$8:$D$42))+1,""),ROW()-1766)),"")</f>
        <v>Home - PortCastelló</v>
      </c>
      <c r="C1782" s="114" t="str" cm="1">
        <f t="array" ref="C1782">IFERROR(INDEX('03.Muestra'!$F$8:$F$42,SMALL(IF("Página Web"='03.Muestra'!$D$8:$D$42,ROW('03.Muestra'!$F$8:$F$42)-MIN(ROW('03.Muestra'!$D$8:$D$42))+1,""),ROW()-1766)),"")</f>
        <v>https://www.portcastello.com/</v>
      </c>
      <c r="D1782" s="130" t="str">
        <f t="shared" si="93"/>
        <v>N/T</v>
      </c>
      <c r="E1782" s="107" t="str">
        <f t="shared" si="92"/>
        <v/>
      </c>
      <c r="F1782" s="19"/>
      <c r="G1782" s="19"/>
      <c r="H1782" s="19"/>
      <c r="I1782" s="19"/>
      <c r="J1782" s="19"/>
      <c r="K1782" s="233"/>
    </row>
    <row r="1783" spans="1:11" ht="12" customHeight="1">
      <c r="A1783" s="219" t="n" cm="1">
        <f t="array" ref="A1783">IFERROR(INDEX('03.Muestra'!$B$8:$B$42,SMALL(IF("Página Web"='03.Muestra'!$D$8:$D$42,ROW('03.Muestra'!$B$8:$B$42)-MIN(ROW('03.Muestra'!$D$8:$D$42))+1,""),ROW()-1766)),"")</f>
        <v>1.0</v>
      </c>
      <c r="B1783" s="114" t="str" cm="1">
        <f t="array" ref="B1783">IFERROR(INDEX('03.Muestra'!$C$8:$C$42,SMALL(IF("Página Web"='03.Muestra'!$D$8:$D$42,ROW('03.Muestra'!$C$8:$C$42)-MIN(ROW('03.Muestra'!$D$8:$D$42))+1,""),ROW()-1766)),"")</f>
        <v>Home - PortCastelló</v>
      </c>
      <c r="C1783" s="114" t="str" cm="1">
        <f t="array" ref="C1783">IFERROR(INDEX('03.Muestra'!$F$8:$F$42,SMALL(IF("Página Web"='03.Muestra'!$D$8:$D$42,ROW('03.Muestra'!$F$8:$F$42)-MIN(ROW('03.Muestra'!$D$8:$D$42))+1,""),ROW()-1766)),"")</f>
        <v>https://www.portcastello.com/</v>
      </c>
      <c r="D1783" s="130" t="str">
        <f t="shared" si="93"/>
        <v>N/T</v>
      </c>
      <c r="E1783" s="107" t="str">
        <f t="shared" si="92"/>
        <v/>
      </c>
      <c r="F1783" s="19"/>
      <c r="G1783" s="19"/>
      <c r="H1783" s="19"/>
      <c r="I1783" s="19"/>
      <c r="J1783" s="19"/>
      <c r="K1783" s="233"/>
    </row>
    <row r="1784" spans="1:11" ht="12" customHeight="1">
      <c r="A1784" s="219" t="n" cm="1">
        <f t="array" ref="A1784">IFERROR(INDEX('03.Muestra'!$B$8:$B$42,SMALL(IF("Página Web"='03.Muestra'!$D$8:$D$42,ROW('03.Muestra'!$B$8:$B$42)-MIN(ROW('03.Muestra'!$D$8:$D$42))+1,""),ROW()-1766)),"")</f>
        <v>1.0</v>
      </c>
      <c r="B1784" s="114" t="str" cm="1">
        <f t="array" ref="B1784">IFERROR(INDEX('03.Muestra'!$C$8:$C$42,SMALL(IF("Página Web"='03.Muestra'!$D$8:$D$42,ROW('03.Muestra'!$C$8:$C$42)-MIN(ROW('03.Muestra'!$D$8:$D$42))+1,""),ROW()-1766)),"")</f>
        <v>Home - PortCastelló</v>
      </c>
      <c r="C1784" s="114" t="str" cm="1">
        <f t="array" ref="C1784">IFERROR(INDEX('03.Muestra'!$F$8:$F$42,SMALL(IF("Página Web"='03.Muestra'!$D$8:$D$42,ROW('03.Muestra'!$F$8:$F$42)-MIN(ROW('03.Muestra'!$D$8:$D$42))+1,""),ROW()-1766)),"")</f>
        <v>https://www.portcastello.com/</v>
      </c>
      <c r="D1784" s="130" t="str">
        <f t="shared" si="93"/>
        <v>N/T</v>
      </c>
      <c r="E1784" s="107" t="str">
        <f t="shared" si="92"/>
        <v/>
      </c>
      <c r="F1784" s="19"/>
      <c r="G1784" s="19"/>
      <c r="H1784" s="19"/>
      <c r="I1784" s="19"/>
      <c r="J1784" s="19"/>
      <c r="K1784" s="233"/>
    </row>
    <row r="1785" spans="1:11" ht="12" customHeight="1">
      <c r="A1785" s="219" t="n" cm="1">
        <f t="array" ref="A1785">IFERROR(INDEX('03.Muestra'!$B$8:$B$42,SMALL(IF("Página Web"='03.Muestra'!$D$8:$D$42,ROW('03.Muestra'!$B$8:$B$42)-MIN(ROW('03.Muestra'!$D$8:$D$42))+1,""),ROW()-1766)),"")</f>
        <v>1.0</v>
      </c>
      <c r="B1785" s="114" t="str" cm="1">
        <f t="array" ref="B1785">IFERROR(INDEX('03.Muestra'!$C$8:$C$42,SMALL(IF("Página Web"='03.Muestra'!$D$8:$D$42,ROW('03.Muestra'!$C$8:$C$42)-MIN(ROW('03.Muestra'!$D$8:$D$42))+1,""),ROW()-1766)),"")</f>
        <v>Home - PortCastelló</v>
      </c>
      <c r="C1785" s="114" t="str" cm="1">
        <f t="array" ref="C1785">IFERROR(INDEX('03.Muestra'!$F$8:$F$42,SMALL(IF("Página Web"='03.Muestra'!$D$8:$D$42,ROW('03.Muestra'!$F$8:$F$42)-MIN(ROW('03.Muestra'!$D$8:$D$42))+1,""),ROW()-1766)),"")</f>
        <v>https://www.portcastello.com/</v>
      </c>
      <c r="D1785" s="130" t="str">
        <f t="shared" si="93"/>
        <v>N/T</v>
      </c>
      <c r="E1785" s="107" t="str">
        <f t="shared" si="92"/>
        <v/>
      </c>
      <c r="F1785" s="19"/>
      <c r="G1785" s="19"/>
      <c r="H1785" s="19"/>
      <c r="I1785" s="19"/>
      <c r="J1785" s="19"/>
      <c r="K1785" s="233"/>
    </row>
    <row r="1786" spans="1:11" ht="12" customHeight="1">
      <c r="A1786" s="219" t="n" cm="1">
        <f t="array" ref="A1786">IFERROR(INDEX('03.Muestra'!$B$8:$B$42,SMALL(IF("Página Web"='03.Muestra'!$D$8:$D$42,ROW('03.Muestra'!$B$8:$B$42)-MIN(ROW('03.Muestra'!$D$8:$D$42))+1,""),ROW()-1766)),"")</f>
        <v>1.0</v>
      </c>
      <c r="B1786" s="114" t="str" cm="1">
        <f t="array" ref="B1786">IFERROR(INDEX('03.Muestra'!$C$8:$C$42,SMALL(IF("Página Web"='03.Muestra'!$D$8:$D$42,ROW('03.Muestra'!$C$8:$C$42)-MIN(ROW('03.Muestra'!$D$8:$D$42))+1,""),ROW()-1766)),"")</f>
        <v>Home - PortCastelló</v>
      </c>
      <c r="C1786" s="114" t="str" cm="1">
        <f t="array" ref="C1786">IFERROR(INDEX('03.Muestra'!$F$8:$F$42,SMALL(IF("Página Web"='03.Muestra'!$D$8:$D$42,ROW('03.Muestra'!$F$8:$F$42)-MIN(ROW('03.Muestra'!$D$8:$D$42))+1,""),ROW()-1766)),"")</f>
        <v>https://www.portcastello.com/</v>
      </c>
      <c r="D1786" s="130" t="str">
        <f t="shared" si="93"/>
        <v>N/T</v>
      </c>
      <c r="E1786" s="107" t="str">
        <f t="shared" si="92"/>
        <v/>
      </c>
      <c r="F1786" s="19"/>
      <c r="G1786" s="19"/>
      <c r="H1786" s="19"/>
      <c r="I1786" s="19"/>
      <c r="J1786" s="19"/>
      <c r="K1786" s="233"/>
    </row>
    <row r="1787" spans="1:11" ht="12" customHeight="1">
      <c r="A1787" s="219" t="n" cm="1">
        <f t="array" ref="A1787">IFERROR(INDEX('03.Muestra'!$B$8:$B$42,SMALL(IF("Página Web"='03.Muestra'!$D$8:$D$42,ROW('03.Muestra'!$B$8:$B$42)-MIN(ROW('03.Muestra'!$D$8:$D$42))+1,""),ROW()-1766)),"")</f>
        <v>1.0</v>
      </c>
      <c r="B1787" s="114" t="str" cm="1">
        <f t="array" ref="B1787">IFERROR(INDEX('03.Muestra'!$C$8:$C$42,SMALL(IF("Página Web"='03.Muestra'!$D$8:$D$42,ROW('03.Muestra'!$C$8:$C$42)-MIN(ROW('03.Muestra'!$D$8:$D$42))+1,""),ROW()-1766)),"")</f>
        <v>Home - PortCastelló</v>
      </c>
      <c r="C1787" s="114" t="str" cm="1">
        <f t="array" ref="C1787">IFERROR(INDEX('03.Muestra'!$F$8:$F$42,SMALL(IF("Página Web"='03.Muestra'!$D$8:$D$42,ROW('03.Muestra'!$F$8:$F$42)-MIN(ROW('03.Muestra'!$D$8:$D$42))+1,""),ROW()-1766)),"")</f>
        <v>https://www.portcastello.com/</v>
      </c>
      <c r="D1787" s="130" t="str">
        <f t="shared" si="93"/>
        <v>N/T</v>
      </c>
      <c r="E1787" s="107" t="str">
        <f t="shared" si="92"/>
        <v/>
      </c>
      <c r="F1787" s="19"/>
      <c r="G1787" s="19"/>
      <c r="H1787" s="19"/>
      <c r="I1787" s="19"/>
      <c r="J1787" s="19"/>
      <c r="K1787" s="233"/>
    </row>
    <row r="1788" spans="1:11" ht="12" customHeight="1">
      <c r="A1788" s="219" t="n" cm="1">
        <f t="array" ref="A1788">IFERROR(INDEX('03.Muestra'!$B$8:$B$42,SMALL(IF("Página Web"='03.Muestra'!$D$8:$D$42,ROW('03.Muestra'!$B$8:$B$42)-MIN(ROW('03.Muestra'!$D$8:$D$42))+1,""),ROW()-1766)),"")</f>
        <v>1.0</v>
      </c>
      <c r="B1788" s="114" t="str" cm="1">
        <f t="array" ref="B1788">IFERROR(INDEX('03.Muestra'!$C$8:$C$42,SMALL(IF("Página Web"='03.Muestra'!$D$8:$D$42,ROW('03.Muestra'!$C$8:$C$42)-MIN(ROW('03.Muestra'!$D$8:$D$42))+1,""),ROW()-1766)),"")</f>
        <v>Home - PortCastelló</v>
      </c>
      <c r="C1788" s="114" t="str" cm="1">
        <f t="array" ref="C1788">IFERROR(INDEX('03.Muestra'!$F$8:$F$42,SMALL(IF("Página Web"='03.Muestra'!$D$8:$D$42,ROW('03.Muestra'!$F$8:$F$42)-MIN(ROW('03.Muestra'!$D$8:$D$42))+1,""),ROW()-1766)),"")</f>
        <v>https://www.portcastello.com/</v>
      </c>
      <c r="D1788" s="130" t="str">
        <f t="shared" si="93"/>
        <v>N/T</v>
      </c>
      <c r="E1788" s="107" t="str">
        <f t="shared" si="92"/>
        <v/>
      </c>
      <c r="F1788" s="19"/>
      <c r="G1788" s="19"/>
      <c r="H1788" s="19"/>
      <c r="I1788" s="19"/>
      <c r="J1788" s="19"/>
      <c r="K1788" s="233"/>
    </row>
    <row r="1789" spans="1:11" ht="12" customHeight="1">
      <c r="A1789" s="219" t="n" cm="1">
        <f t="array" ref="A1789">IFERROR(INDEX('03.Muestra'!$B$8:$B$42,SMALL(IF("Página Web"='03.Muestra'!$D$8:$D$42,ROW('03.Muestra'!$B$8:$B$42)-MIN(ROW('03.Muestra'!$D$8:$D$42))+1,""),ROW()-1766)),"")</f>
        <v>1.0</v>
      </c>
      <c r="B1789" s="114" t="str" cm="1">
        <f t="array" ref="B1789">IFERROR(INDEX('03.Muestra'!$C$8:$C$42,SMALL(IF("Página Web"='03.Muestra'!$D$8:$D$42,ROW('03.Muestra'!$C$8:$C$42)-MIN(ROW('03.Muestra'!$D$8:$D$42))+1,""),ROW()-1766)),"")</f>
        <v>Home - PortCastelló</v>
      </c>
      <c r="C1789" s="114" t="str" cm="1">
        <f t="array" ref="C1789">IFERROR(INDEX('03.Muestra'!$F$8:$F$42,SMALL(IF("Página Web"='03.Muestra'!$D$8:$D$42,ROW('03.Muestra'!$F$8:$F$42)-MIN(ROW('03.Muestra'!$D$8:$D$42))+1,""),ROW()-1766)),"")</f>
        <v>https://www.portcastello.com/</v>
      </c>
      <c r="D1789" s="130" t="str">
        <f t="shared" si="93"/>
        <v>N/T</v>
      </c>
      <c r="E1789" s="107" t="str">
        <f t="shared" si="92"/>
        <v/>
      </c>
      <c r="F1789" s="19"/>
      <c r="G1789" s="19"/>
      <c r="H1789" s="19"/>
      <c r="I1789" s="19"/>
      <c r="J1789" s="19"/>
      <c r="K1789" s="233"/>
    </row>
    <row r="1790" spans="1:11" ht="12" customHeight="1">
      <c r="A1790" s="219" t="n" cm="1">
        <f t="array" ref="A1790">IFERROR(INDEX('03.Muestra'!$B$8:$B$42,SMALL(IF("Página Web"='03.Muestra'!$D$8:$D$42,ROW('03.Muestra'!$B$8:$B$42)-MIN(ROW('03.Muestra'!$D$8:$D$42))+1,""),ROW()-1766)),"")</f>
        <v>1.0</v>
      </c>
      <c r="B1790" s="114" t="str" cm="1">
        <f t="array" ref="B1790">IFERROR(INDEX('03.Muestra'!$C$8:$C$42,SMALL(IF("Página Web"='03.Muestra'!$D$8:$D$42,ROW('03.Muestra'!$C$8:$C$42)-MIN(ROW('03.Muestra'!$D$8:$D$42))+1,""),ROW()-1766)),"")</f>
        <v>Home - PortCastelló</v>
      </c>
      <c r="C1790" s="114" t="str" cm="1">
        <f t="array" ref="C1790">IFERROR(INDEX('03.Muestra'!$F$8:$F$42,SMALL(IF("Página Web"='03.Muestra'!$D$8:$D$42,ROW('03.Muestra'!$F$8:$F$42)-MIN(ROW('03.Muestra'!$D$8:$D$42))+1,""),ROW()-1766)),"")</f>
        <v>https://www.portcastello.com/</v>
      </c>
      <c r="D1790" s="130" t="str">
        <f t="shared" si="93"/>
        <v>N/T</v>
      </c>
      <c r="E1790" s="107" t="str">
        <f t="shared" si="92"/>
        <v/>
      </c>
      <c r="F1790" s="19"/>
      <c r="G1790" s="19"/>
      <c r="H1790" s="19"/>
      <c r="I1790" s="19"/>
      <c r="J1790" s="19"/>
      <c r="K1790" s="233"/>
    </row>
    <row r="1791" spans="1:11" ht="12" customHeight="1">
      <c r="A1791" s="219" t="n" cm="1">
        <f t="array" ref="A1791">IFERROR(INDEX('03.Muestra'!$B$8:$B$42,SMALL(IF("Página Web"='03.Muestra'!$D$8:$D$42,ROW('03.Muestra'!$B$8:$B$42)-MIN(ROW('03.Muestra'!$D$8:$D$42))+1,""),ROW()-1766)),"")</f>
        <v>1.0</v>
      </c>
      <c r="B1791" s="114" t="str" cm="1">
        <f t="array" ref="B1791">IFERROR(INDEX('03.Muestra'!$C$8:$C$42,SMALL(IF("Página Web"='03.Muestra'!$D$8:$D$42,ROW('03.Muestra'!$C$8:$C$42)-MIN(ROW('03.Muestra'!$D$8:$D$42))+1,""),ROW()-1766)),"")</f>
        <v>Home - PortCastelló</v>
      </c>
      <c r="C1791" s="114" t="str" cm="1">
        <f t="array" ref="C1791">IFERROR(INDEX('03.Muestra'!$F$8:$F$42,SMALL(IF("Página Web"='03.Muestra'!$D$8:$D$42,ROW('03.Muestra'!$F$8:$F$42)-MIN(ROW('03.Muestra'!$D$8:$D$42))+1,""),ROW()-1766)),"")</f>
        <v>https://www.portcastello.com/</v>
      </c>
      <c r="D1791" s="130" t="str">
        <f t="shared" si="93"/>
        <v>N/T</v>
      </c>
      <c r="E1791" s="107" t="str">
        <f t="shared" si="92"/>
        <v/>
      </c>
      <c r="F1791" s="19"/>
      <c r="G1791" s="19"/>
      <c r="H1791" s="19"/>
      <c r="I1791" s="19"/>
      <c r="J1791" s="19"/>
      <c r="K1791" s="233"/>
    </row>
    <row r="1792" spans="1:11" ht="12" customHeight="1">
      <c r="A1792" s="219" t="n" cm="1">
        <f t="array" ref="A1792">IFERROR(INDEX('03.Muestra'!$B$8:$B$42,SMALL(IF("Página Web"='03.Muestra'!$D$8:$D$42,ROW('03.Muestra'!$B$8:$B$42)-MIN(ROW('03.Muestra'!$D$8:$D$42))+1,""),ROW()-1766)),"")</f>
        <v>1.0</v>
      </c>
      <c r="B1792" s="114" t="str" cm="1">
        <f t="array" ref="B1792">IFERROR(INDEX('03.Muestra'!$C$8:$C$42,SMALL(IF("Página Web"='03.Muestra'!$D$8:$D$42,ROW('03.Muestra'!$C$8:$C$42)-MIN(ROW('03.Muestra'!$D$8:$D$42))+1,""),ROW()-1766)),"")</f>
        <v>Home - PortCastelló</v>
      </c>
      <c r="C1792" s="114" t="str" cm="1">
        <f t="array" ref="C1792">IFERROR(INDEX('03.Muestra'!$F$8:$F$42,SMALL(IF("Página Web"='03.Muestra'!$D$8:$D$42,ROW('03.Muestra'!$F$8:$F$42)-MIN(ROW('03.Muestra'!$D$8:$D$42))+1,""),ROW()-1766)),"")</f>
        <v>https://www.portcastello.com/</v>
      </c>
      <c r="D1792" s="130" t="str">
        <f t="shared" si="93"/>
        <v>N/T</v>
      </c>
      <c r="E1792" s="107" t="str">
        <f t="shared" si="92"/>
        <v/>
      </c>
      <c r="F1792" s="19"/>
      <c r="G1792" s="19"/>
      <c r="H1792" s="19"/>
      <c r="I1792" s="19"/>
      <c r="J1792" s="19"/>
      <c r="K1792" s="233"/>
    </row>
    <row r="1793" spans="1:11" ht="12" customHeight="1">
      <c r="A1793" s="219" t="n" cm="1">
        <f t="array" ref="A1793">IFERROR(INDEX('03.Muestra'!$B$8:$B$42,SMALL(IF("Página Web"='03.Muestra'!$D$8:$D$42,ROW('03.Muestra'!$B$8:$B$42)-MIN(ROW('03.Muestra'!$D$8:$D$42))+1,""),ROW()-1766)),"")</f>
        <v>1.0</v>
      </c>
      <c r="B1793" s="114" t="str" cm="1">
        <f t="array" ref="B1793">IFERROR(INDEX('03.Muestra'!$C$8:$C$42,SMALL(IF("Página Web"='03.Muestra'!$D$8:$D$42,ROW('03.Muestra'!$C$8:$C$42)-MIN(ROW('03.Muestra'!$D$8:$D$42))+1,""),ROW()-1766)),"")</f>
        <v>Home - PortCastelló</v>
      </c>
      <c r="C1793" s="114" t="str" cm="1">
        <f t="array" ref="C1793">IFERROR(INDEX('03.Muestra'!$F$8:$F$42,SMALL(IF("Página Web"='03.Muestra'!$D$8:$D$42,ROW('03.Muestra'!$F$8:$F$42)-MIN(ROW('03.Muestra'!$D$8:$D$42))+1,""),ROW()-1766)),"")</f>
        <v>https://www.portcastello.com/</v>
      </c>
      <c r="D1793" s="130" t="str">
        <f t="shared" si="93"/>
        <v>N/T</v>
      </c>
      <c r="E1793" s="107" t="str">
        <f t="shared" si="92"/>
        <v/>
      </c>
      <c r="F1793" s="19"/>
      <c r="G1793" s="19"/>
      <c r="H1793" s="19"/>
      <c r="I1793" s="19"/>
      <c r="J1793" s="19"/>
      <c r="K1793" s="233"/>
    </row>
    <row r="1794" spans="1:11" ht="12" customHeight="1">
      <c r="A1794" s="219" t="n" cm="1">
        <f t="array" ref="A1794">IFERROR(INDEX('03.Muestra'!$B$8:$B$42,SMALL(IF("Página Web"='03.Muestra'!$D$8:$D$42,ROW('03.Muestra'!$B$8:$B$42)-MIN(ROW('03.Muestra'!$D$8:$D$42))+1,""),ROW()-1766)),"")</f>
        <v>1.0</v>
      </c>
      <c r="B1794" s="114" t="str" cm="1">
        <f t="array" ref="B1794">IFERROR(INDEX('03.Muestra'!$C$8:$C$42,SMALL(IF("Página Web"='03.Muestra'!$D$8:$D$42,ROW('03.Muestra'!$C$8:$C$42)-MIN(ROW('03.Muestra'!$D$8:$D$42))+1,""),ROW()-1766)),"")</f>
        <v>Home - PortCastelló</v>
      </c>
      <c r="C1794" s="114" t="str" cm="1">
        <f t="array" ref="C1794">IFERROR(INDEX('03.Muestra'!$F$8:$F$42,SMALL(IF("Página Web"='03.Muestra'!$D$8:$D$42,ROW('03.Muestra'!$F$8:$F$42)-MIN(ROW('03.Muestra'!$D$8:$D$42))+1,""),ROW()-1766)),"")</f>
        <v>https://www.portcastello.com/</v>
      </c>
      <c r="D1794" s="130" t="str">
        <f t="shared" si="93"/>
        <v>N/T</v>
      </c>
      <c r="E1794" s="107" t="str">
        <f t="shared" si="92"/>
        <v/>
      </c>
      <c r="F1794" s="19"/>
      <c r="G1794" s="19"/>
      <c r="H1794" s="19"/>
      <c r="I1794" s="19"/>
      <c r="J1794" s="19"/>
      <c r="K1794" s="233"/>
    </row>
    <row r="1795" spans="1:11" ht="12" customHeight="1">
      <c r="A1795" s="219" t="n" cm="1">
        <f t="array" ref="A1795">IFERROR(INDEX('03.Muestra'!$B$8:$B$42,SMALL(IF("Página Web"='03.Muestra'!$D$8:$D$42,ROW('03.Muestra'!$B$8:$B$42)-MIN(ROW('03.Muestra'!$D$8:$D$42))+1,""),ROW()-1766)),"")</f>
        <v>1.0</v>
      </c>
      <c r="B1795" s="114" t="str" cm="1">
        <f t="array" ref="B1795">IFERROR(INDEX('03.Muestra'!$C$8:$C$42,SMALL(IF("Página Web"='03.Muestra'!$D$8:$D$42,ROW('03.Muestra'!$C$8:$C$42)-MIN(ROW('03.Muestra'!$D$8:$D$42))+1,""),ROW()-1766)),"")</f>
        <v>Home - PortCastelló</v>
      </c>
      <c r="C1795" s="114" t="str" cm="1">
        <f t="array" ref="C1795">IFERROR(INDEX('03.Muestra'!$F$8:$F$42,SMALL(IF("Página Web"='03.Muestra'!$D$8:$D$42,ROW('03.Muestra'!$F$8:$F$42)-MIN(ROW('03.Muestra'!$D$8:$D$42))+1,""),ROW()-1766)),"")</f>
        <v>https://www.portcastello.com/</v>
      </c>
      <c r="D1795" s="130" t="str">
        <f t="shared" si="93"/>
        <v>N/T</v>
      </c>
      <c r="E1795" s="107" t="str">
        <f t="shared" si="92"/>
        <v/>
      </c>
      <c r="F1795" s="19"/>
      <c r="G1795" s="19"/>
      <c r="H1795" s="19"/>
      <c r="I1795" s="19"/>
      <c r="J1795" s="19"/>
      <c r="K1795" s="233"/>
    </row>
    <row r="1796" spans="1:11" ht="12" customHeight="1">
      <c r="A1796" s="219" t="n" cm="1">
        <f t="array" ref="A1796">IFERROR(INDEX('03.Muestra'!$B$8:$B$42,SMALL(IF("Página Web"='03.Muestra'!$D$8:$D$42,ROW('03.Muestra'!$B$8:$B$42)-MIN(ROW('03.Muestra'!$D$8:$D$42))+1,""),ROW()-1766)),"")</f>
        <v>1.0</v>
      </c>
      <c r="B1796" s="114" t="str" cm="1">
        <f t="array" ref="B1796">IFERROR(INDEX('03.Muestra'!$C$8:$C$42,SMALL(IF("Página Web"='03.Muestra'!$D$8:$D$42,ROW('03.Muestra'!$C$8:$C$42)-MIN(ROW('03.Muestra'!$D$8:$D$42))+1,""),ROW()-1766)),"")</f>
        <v>Home - PortCastelló</v>
      </c>
      <c r="C1796" s="114" t="str" cm="1">
        <f t="array" ref="C1796">IFERROR(INDEX('03.Muestra'!$F$8:$F$42,SMALL(IF("Página Web"='03.Muestra'!$D$8:$D$42,ROW('03.Muestra'!$F$8:$F$42)-MIN(ROW('03.Muestra'!$D$8:$D$42))+1,""),ROW()-1766)),"")</f>
        <v>https://www.portcastello.com/</v>
      </c>
      <c r="D1796" s="130" t="str">
        <f t="shared" si="93"/>
        <v>N/T</v>
      </c>
      <c r="E1796" s="107" t="str">
        <f t="shared" si="92"/>
        <v/>
      </c>
      <c r="F1796" s="19"/>
      <c r="G1796" s="19"/>
      <c r="H1796" s="19"/>
      <c r="I1796" s="19"/>
      <c r="J1796" s="19"/>
      <c r="K1796" s="233"/>
    </row>
    <row r="1797" spans="1:11" ht="12" customHeight="1">
      <c r="A1797" s="219" t="n" cm="1">
        <f t="array" ref="A1797">IFERROR(INDEX('03.Muestra'!$B$8:$B$42,SMALL(IF("Página Web"='03.Muestra'!$D$8:$D$42,ROW('03.Muestra'!$B$8:$B$42)-MIN(ROW('03.Muestra'!$D$8:$D$42))+1,""),ROW()-1766)),"")</f>
        <v>1.0</v>
      </c>
      <c r="B1797" s="114" t="str" cm="1">
        <f t="array" ref="B1797">IFERROR(INDEX('03.Muestra'!$C$8:$C$42,SMALL(IF("Página Web"='03.Muestra'!$D$8:$D$42,ROW('03.Muestra'!$C$8:$C$42)-MIN(ROW('03.Muestra'!$D$8:$D$42))+1,""),ROW()-1766)),"")</f>
        <v>Home - PortCastelló</v>
      </c>
      <c r="C1797" s="114" t="str" cm="1">
        <f t="array" ref="C1797">IFERROR(INDEX('03.Muestra'!$F$8:$F$42,SMALL(IF("Página Web"='03.Muestra'!$D$8:$D$42,ROW('03.Muestra'!$F$8:$F$42)-MIN(ROW('03.Muestra'!$D$8:$D$42))+1,""),ROW()-1766)),"")</f>
        <v>https://www.portcastello.com/</v>
      </c>
      <c r="D1797" s="130" t="str">
        <f t="shared" si="93"/>
        <v>N/T</v>
      </c>
      <c r="E1797" s="107" t="str">
        <f t="shared" si="92"/>
        <v/>
      </c>
      <c r="F1797" s="19"/>
      <c r="G1797" s="19"/>
      <c r="H1797" s="19"/>
      <c r="I1797" s="19"/>
      <c r="J1797" s="19"/>
      <c r="K1797" s="233"/>
    </row>
    <row r="1798" spans="1:11" ht="12" customHeight="1">
      <c r="A1798" s="219" t="n" cm="1">
        <f t="array" ref="A1798">IFERROR(INDEX('03.Muestra'!$B$8:$B$42,SMALL(IF("Página Web"='03.Muestra'!$D$8:$D$42,ROW('03.Muestra'!$B$8:$B$42)-MIN(ROW('03.Muestra'!$D$8:$D$42))+1,""),ROW()-1766)),"")</f>
        <v>1.0</v>
      </c>
      <c r="B1798" s="114" t="str" cm="1">
        <f t="array" ref="B1798">IFERROR(INDEX('03.Muestra'!$C$8:$C$42,SMALL(IF("Página Web"='03.Muestra'!$D$8:$D$42,ROW('03.Muestra'!$C$8:$C$42)-MIN(ROW('03.Muestra'!$D$8:$D$42))+1,""),ROW()-1766)),"")</f>
        <v>Home - PortCastelló</v>
      </c>
      <c r="C1798" s="114" t="str" cm="1">
        <f t="array" ref="C1798">IFERROR(INDEX('03.Muestra'!$F$8:$F$42,SMALL(IF("Página Web"='03.Muestra'!$D$8:$D$42,ROW('03.Muestra'!$F$8:$F$42)-MIN(ROW('03.Muestra'!$D$8:$D$42))+1,""),ROW()-1766)),"")</f>
        <v>https://www.portcastello.com/</v>
      </c>
      <c r="D1798" s="130" t="str">
        <f t="shared" si="93"/>
        <v>N/T</v>
      </c>
      <c r="E1798" s="107" t="str">
        <f t="shared" si="92"/>
        <v/>
      </c>
      <c r="F1798" s="19"/>
      <c r="G1798" s="19"/>
      <c r="H1798" s="19"/>
      <c r="I1798" s="19"/>
      <c r="J1798" s="19"/>
      <c r="K1798" s="233"/>
    </row>
    <row r="1799" spans="1:11" ht="12" customHeight="1">
      <c r="A1799" s="219" t="n" cm="1">
        <f t="array" ref="A1799">IFERROR(INDEX('03.Muestra'!$B$8:$B$42,SMALL(IF("Página Web"='03.Muestra'!$D$8:$D$42,ROW('03.Muestra'!$B$8:$B$42)-MIN(ROW('03.Muestra'!$D$8:$D$42))+1,""),ROW()-1766)),"")</f>
        <v>1.0</v>
      </c>
      <c r="B1799" s="114" t="str" cm="1">
        <f t="array" ref="B1799">IFERROR(INDEX('03.Muestra'!$C$8:$C$42,SMALL(IF("Página Web"='03.Muestra'!$D$8:$D$42,ROW('03.Muestra'!$C$8:$C$42)-MIN(ROW('03.Muestra'!$D$8:$D$42))+1,""),ROW()-1766)),"")</f>
        <v>Home - PortCastelló</v>
      </c>
      <c r="C1799" s="114" t="str" cm="1">
        <f t="array" ref="C1799">IFERROR(INDEX('03.Muestra'!$F$8:$F$42,SMALL(IF("Página Web"='03.Muestra'!$D$8:$D$42,ROW('03.Muestra'!$F$8:$F$42)-MIN(ROW('03.Muestra'!$D$8:$D$42))+1,""),ROW()-1766)),"")</f>
        <v>https://www.portcastello.com/</v>
      </c>
      <c r="D1799" s="130" t="str">
        <f t="shared" si="93"/>
        <v>N/T</v>
      </c>
      <c r="E1799" s="107" t="str">
        <f t="shared" si="92"/>
        <v/>
      </c>
      <c r="F1799" s="19"/>
      <c r="G1799" s="19"/>
      <c r="H1799" s="19"/>
      <c r="I1799" s="19"/>
      <c r="J1799" s="19"/>
      <c r="K1799" s="233"/>
    </row>
    <row r="1800" spans="1:11" ht="12" customHeight="1">
      <c r="A1800" s="219" t="str" cm="1">
        <f t="array" ref="A1800">IFERROR(INDEX('03.Muestra'!$B$8:$B$42,SMALL(IF("Página Web"='03.Muestra'!$D$8:$D$42,ROW('03.Muestra'!$B$8:$B$42)-MIN(ROW('03.Muestra'!$D$8:$D$42))+1,""),ROW()-1766)),"")</f>
        <v/>
      </c>
      <c r="B1800" s="114" t="str" cm="1">
        <f t="array" ref="B1800">IFERROR(INDEX('03.Muestra'!$C$8:$C$42,SMALL(IF("Página Web"='03.Muestra'!$D$8:$D$42,ROW('03.Muestra'!$C$8:$C$42)-MIN(ROW('03.Muestra'!$D$8:$D$42))+1,""),ROW()-1766)),"")</f>
        <v/>
      </c>
      <c r="C1800" s="114" t="str" cm="1">
        <f t="array" ref="C1800">IFERROR(INDEX('03.Muestra'!$F$8:$F$42,SMALL(IF("Página Web"='03.Muestra'!$D$8:$D$42,ROW('03.Muestra'!$F$8:$F$42)-MIN(ROW('03.Muestra'!$D$8:$D$42))+1,""),ROW()-1766)),"")</f>
        <v/>
      </c>
      <c r="D1800" s="130" t="str">
        <f t="shared" si="93"/>
        <v/>
      </c>
      <c r="E1800" s="107" t="str">
        <f t="shared" si="92"/>
        <v/>
      </c>
      <c r="F1800" s="19"/>
      <c r="G1800" s="19"/>
      <c r="H1800" s="19"/>
      <c r="I1800" s="19"/>
      <c r="J1800" s="19"/>
      <c r="K1800" s="233"/>
    </row>
    <row r="1801" spans="1:11" ht="12" customHeight="1">
      <c r="A1801" s="219" t="str" cm="1">
        <f t="array" ref="A1801">IFERROR(INDEX('03.Muestra'!$B$8:$B$42,SMALL(IF("Página Web"='03.Muestra'!$D$8:$D$42,ROW('03.Muestra'!$B$8:$B$42)-MIN(ROW('03.Muestra'!$D$8:$D$42))+1,""),ROW()-1766)),"")</f>
        <v/>
      </c>
      <c r="B1801" s="114" t="str" cm="1">
        <f t="array" ref="B1801">IFERROR(INDEX('03.Muestra'!$C$8:$C$42,SMALL(IF("Página Web"='03.Muestra'!$D$8:$D$42,ROW('03.Muestra'!$C$8:$C$42)-MIN(ROW('03.Muestra'!$D$8:$D$42))+1,""),ROW()-1766)),"")</f>
        <v/>
      </c>
      <c r="C1801" s="114" t="str" cm="1">
        <f t="array" ref="C1801">IFERROR(INDEX('03.Muestra'!$F$8:$F$42,SMALL(IF("Página Web"='03.Muestra'!$D$8:$D$42,ROW('03.Muestra'!$F$8:$F$42)-MIN(ROW('03.Muestra'!$D$8:$D$42))+1,""),ROW()-1766)),"")</f>
        <v/>
      </c>
      <c r="D1801" s="130" t="str">
        <f t="shared" si="93"/>
        <v/>
      </c>
      <c r="E1801" s="107" t="str">
        <f t="shared" si="92"/>
        <v/>
      </c>
      <c r="F1801" s="19"/>
      <c r="G1801" s="19"/>
      <c r="H1801" s="19"/>
      <c r="I1801" s="19"/>
      <c r="J1801" s="19"/>
      <c r="K1801" s="233"/>
    </row>
    <row r="1802" spans="1:11" ht="12" customHeight="1">
      <c r="B1802" s="19"/>
      <c r="C1802" s="19"/>
      <c r="D1802" s="107"/>
      <c r="E1802" s="19"/>
      <c r="F1802" s="19"/>
      <c r="G1802" s="19"/>
      <c r="H1802" s="19"/>
      <c r="I1802" s="19"/>
      <c r="J1802" s="19"/>
      <c r="K1802" s="233"/>
    </row>
    <row r="1803" spans="1:11" ht="12" customHeight="1">
      <c r="B1803" s="19"/>
      <c r="C1803" s="19"/>
      <c r="D1803" s="107"/>
      <c r="E1803" s="112"/>
      <c r="F1803" s="19"/>
      <c r="G1803" s="19"/>
      <c r="H1803" s="19"/>
      <c r="I1803" s="19"/>
      <c r="J1803" s="19"/>
      <c r="K1803" s="233"/>
    </row>
    <row r="1804" spans="1:11" ht="29.25" customHeight="1">
      <c r="A1804" s="218" t="s">
        <v>268</v>
      </c>
      <c r="B1804" s="24" t="s">
        <v>90</v>
      </c>
      <c r="C1804" s="25" t="s">
        <v>420</v>
      </c>
      <c r="D1804" s="26" t="s">
        <v>32</v>
      </c>
      <c r="E1804" s="123"/>
      <c r="K1804" s="233"/>
    </row>
    <row r="1805" spans="1:11" ht="12" customHeight="1">
      <c r="A1805" s="219" t="n" cm="1">
        <f t="array" ref="A1805">IFERROR(INDEX('03.Muestra'!$B$8:$B$42,SMALL(IF("Página Web"='03.Muestra'!$D$8:$D$42,ROW('03.Muestra'!$B$8:$B$42)-MIN(ROW('03.Muestra'!$D$8:$D$42))+1,""),ROW()-1804)),"")</f>
        <v>1.0</v>
      </c>
      <c r="B1805" s="114" t="str" cm="1">
        <f t="array" ref="B1805">IFERROR(INDEX('03.Muestra'!$C$8:$C$42,SMALL(IF("Página Web"='03.Muestra'!$D$8:$D$42,ROW('03.Muestra'!$C$8:$C$42)-MIN(ROW('03.Muestra'!$D$8:$D$42))+1,""),ROW()-1804)),"")</f>
        <v>Home - PortCastelló</v>
      </c>
      <c r="C1805" s="114" t="str" cm="1">
        <f t="array" ref="C1805">IFERROR(INDEX('03.Muestra'!$F$8:$F$42,SMALL(IF("Página Web"='03.Muestra'!$D$8:$D$42,ROW('03.Muestra'!$F$8:$F$42)-MIN(ROW('03.Muestra'!$D$8:$D$42))+1,""),ROW()-1804)),"")</f>
        <v>https://www.portcastello.com/</v>
      </c>
      <c r="D1805" s="130" t="s">
        <v>37</v>
      </c>
      <c r="E1805" s="107" t="str">
        <f t="shared" ref="E1805:E1839" si="94">IF(D1805&lt;&gt;"",IF(AND(B1805&lt;&gt;"",C1805&lt;&gt;""),"","ERR"),"")</f>
        <v/>
      </c>
      <c r="F1805" s="115" t="s">
        <v>33</v>
      </c>
      <c r="G1805" s="116" t="s">
        <v>37</v>
      </c>
      <c r="H1805" s="117" t="s">
        <v>35</v>
      </c>
      <c r="I1805" s="118" t="s">
        <v>28</v>
      </c>
      <c r="J1805" s="119" t="s">
        <v>26</v>
      </c>
      <c r="K1805" s="226" t="s">
        <v>474</v>
      </c>
    </row>
    <row r="1806" spans="1:11" ht="12" customHeight="1">
      <c r="A1806" s="219" t="n" cm="1">
        <f t="array" ref="A1806">IFERROR(INDEX('03.Muestra'!$B$8:$B$42,SMALL(IF("Página Web"='03.Muestra'!$D$8:$D$42,ROW('03.Muestra'!$B$8:$B$42)-MIN(ROW('03.Muestra'!$D$8:$D$42))+1,""),ROW()-1804)),"")</f>
        <v>1.0</v>
      </c>
      <c r="B1806" s="114" t="str" cm="1">
        <f t="array" ref="B1806">IFERROR(INDEX('03.Muestra'!$C$8:$C$42,SMALL(IF("Página Web"='03.Muestra'!$D$8:$D$42,ROW('03.Muestra'!$C$8:$C$42)-MIN(ROW('03.Muestra'!$D$8:$D$42))+1,""),ROW()-1804)),"")</f>
        <v>Home - PortCastelló</v>
      </c>
      <c r="C1806" s="114" t="str" cm="1">
        <f t="array" ref="C1806">IFERROR(INDEX('03.Muestra'!$F$8:$F$42,SMALL(IF("Página Web"='03.Muestra'!$D$8:$D$42,ROW('03.Muestra'!$F$8:$F$42)-MIN(ROW('03.Muestra'!$D$8:$D$42))+1,""),ROW()-1804)),"")</f>
        <v>https://www.portcastello.com/</v>
      </c>
      <c r="D1806" s="130" t="s">
        <v>37</v>
      </c>
      <c r="E1806" s="107" t="str">
        <f t="shared" si="94"/>
        <v/>
      </c>
      <c r="F1806" s="120" t="n">
        <f ca="1">COUNTIF($D1805:INDIRECT("$D" &amp;  SUM(ROW()-1,'03.Muestra'!$D$45)-1),F1805)</f>
        <v>0.0</v>
      </c>
      <c r="G1806" s="120" t="n">
        <f ca="1">COUNTIF($D1805:INDIRECT("$D" &amp;  SUM(ROW()-1,'03.Muestra'!$D$45)-1),G1805)</f>
        <v>33.0</v>
      </c>
      <c r="H1806" s="120" t="n">
        <f ca="1">COUNTIF($D1805:INDIRECT("$D" &amp;  SUM(ROW()-1,'03.Muestra'!$D$45)-1),H1805)</f>
        <v>0.0</v>
      </c>
      <c r="I1806" s="120" t="n">
        <f ca="1">COUNTIF($D1805:INDIRECT("$D" &amp;  SUM(ROW()-1,'03.Muestra'!$D$45)-1),I1805)</f>
        <v>0.0</v>
      </c>
      <c r="J1806" s="120" t="n">
        <f ca="1">COUNTIF($D1805:INDIRECT("$D" &amp;  SUM(ROW()-1,'03.Muestra'!$D$45)-1),J1805)</f>
        <v>0.0</v>
      </c>
      <c r="K1806" s="227" t="n">
        <f ca="1">IF(COUNTIF('03.Muestra'!$D$8:$D$42,"Página Web")=0,0,COUNTBLANK($D1805:INDIRECT("$D" &amp;  SUM(ROW()-1,COUNTIF('03.Muestra'!$D$8:$D$42,"Página Web"))-1)))</f>
        <v>0.0</v>
      </c>
    </row>
    <row r="1807" spans="1:11" ht="12" customHeight="1">
      <c r="A1807" s="219" t="n" cm="1">
        <f t="array" ref="A1807">IFERROR(INDEX('03.Muestra'!$B$8:$B$42,SMALL(IF("Página Web"='03.Muestra'!$D$8:$D$42,ROW('03.Muestra'!$B$8:$B$42)-MIN(ROW('03.Muestra'!$D$8:$D$42))+1,""),ROW()-1804)),"")</f>
        <v>1.0</v>
      </c>
      <c r="B1807" s="114" t="str" cm="1">
        <f t="array" ref="B1807">IFERROR(INDEX('03.Muestra'!$C$8:$C$42,SMALL(IF("Página Web"='03.Muestra'!$D$8:$D$42,ROW('03.Muestra'!$C$8:$C$42)-MIN(ROW('03.Muestra'!$D$8:$D$42))+1,""),ROW()-1804)),"")</f>
        <v>Home - PortCastelló</v>
      </c>
      <c r="C1807" s="114" t="str" cm="1">
        <f t="array" ref="C1807">IFERROR(INDEX('03.Muestra'!$F$8:$F$42,SMALL(IF("Página Web"='03.Muestra'!$D$8:$D$42,ROW('03.Muestra'!$F$8:$F$42)-MIN(ROW('03.Muestra'!$D$8:$D$42))+1,""),ROW()-1804)),"")</f>
        <v>https://www.portcastello.com/</v>
      </c>
      <c r="D1807" s="130" t="s">
        <v>37</v>
      </c>
      <c r="E1807" s="107" t="str">
        <f t="shared" si="94"/>
        <v/>
      </c>
      <c r="G1807" s="19"/>
      <c r="H1807" s="19"/>
      <c r="I1807" s="19"/>
      <c r="J1807" s="19"/>
      <c r="K1807" s="233"/>
    </row>
    <row r="1808" spans="1:11" ht="12" customHeight="1">
      <c r="A1808" s="219" t="n" cm="1">
        <f t="array" ref="A1808">IFERROR(INDEX('03.Muestra'!$B$8:$B$42,SMALL(IF("Página Web"='03.Muestra'!$D$8:$D$42,ROW('03.Muestra'!$B$8:$B$42)-MIN(ROW('03.Muestra'!$D$8:$D$42))+1,""),ROW()-1804)),"")</f>
        <v>1.0</v>
      </c>
      <c r="B1808" s="114" t="str" cm="1">
        <f t="array" ref="B1808">IFERROR(INDEX('03.Muestra'!$C$8:$C$42,SMALL(IF("Página Web"='03.Muestra'!$D$8:$D$42,ROW('03.Muestra'!$C$8:$C$42)-MIN(ROW('03.Muestra'!$D$8:$D$42))+1,""),ROW()-1804)),"")</f>
        <v>Home - PortCastelló</v>
      </c>
      <c r="C1808" s="114" t="str" cm="1">
        <f t="array" ref="C1808">IFERROR(INDEX('03.Muestra'!$F$8:$F$42,SMALL(IF("Página Web"='03.Muestra'!$D$8:$D$42,ROW('03.Muestra'!$F$8:$F$42)-MIN(ROW('03.Muestra'!$D$8:$D$42))+1,""),ROW()-1804)),"")</f>
        <v>https://www.portcastello.com/</v>
      </c>
      <c r="D1808" s="130" t="s">
        <v>37</v>
      </c>
      <c r="E1808" s="107" t="str">
        <f t="shared" si="94"/>
        <v/>
      </c>
      <c r="G1808" s="19"/>
      <c r="H1808" s="19"/>
      <c r="I1808" s="19"/>
      <c r="J1808" s="19"/>
      <c r="K1808" s="233"/>
    </row>
    <row r="1809" spans="1:11" ht="12" customHeight="1">
      <c r="A1809" s="219" t="n" cm="1">
        <f t="array" ref="A1809">IFERROR(INDEX('03.Muestra'!$B$8:$B$42,SMALL(IF("Página Web"='03.Muestra'!$D$8:$D$42,ROW('03.Muestra'!$B$8:$B$42)-MIN(ROW('03.Muestra'!$D$8:$D$42))+1,""),ROW()-1804)),"")</f>
        <v>1.0</v>
      </c>
      <c r="B1809" s="114" t="str" cm="1">
        <f t="array" ref="B1809">IFERROR(INDEX('03.Muestra'!$C$8:$C$42,SMALL(IF("Página Web"='03.Muestra'!$D$8:$D$42,ROW('03.Muestra'!$C$8:$C$42)-MIN(ROW('03.Muestra'!$D$8:$D$42))+1,""),ROW()-1804)),"")</f>
        <v>Home - PortCastelló</v>
      </c>
      <c r="C1809" s="114" t="str" cm="1">
        <f t="array" ref="C1809">IFERROR(INDEX('03.Muestra'!$F$8:$F$42,SMALL(IF("Página Web"='03.Muestra'!$D$8:$D$42,ROW('03.Muestra'!$F$8:$F$42)-MIN(ROW('03.Muestra'!$D$8:$D$42))+1,""),ROW()-1804)),"")</f>
        <v>https://www.portcastello.com/</v>
      </c>
      <c r="D1809" s="130" t="s">
        <v>37</v>
      </c>
      <c r="E1809" s="107" t="str">
        <f t="shared" si="94"/>
        <v/>
      </c>
      <c r="G1809" s="19"/>
      <c r="H1809" s="19"/>
      <c r="I1809" s="19"/>
      <c r="J1809" s="19"/>
      <c r="K1809" s="233"/>
    </row>
    <row r="1810" spans="1:11" ht="12" customHeight="1">
      <c r="A1810" s="219" t="n" cm="1">
        <f t="array" ref="A1810">IFERROR(INDEX('03.Muestra'!$B$8:$B$42,SMALL(IF("Página Web"='03.Muestra'!$D$8:$D$42,ROW('03.Muestra'!$B$8:$B$42)-MIN(ROW('03.Muestra'!$D$8:$D$42))+1,""),ROW()-1804)),"")</f>
        <v>1.0</v>
      </c>
      <c r="B1810" s="114" t="str" cm="1">
        <f t="array" ref="B1810">IFERROR(INDEX('03.Muestra'!$C$8:$C$42,SMALL(IF("Página Web"='03.Muestra'!$D$8:$D$42,ROW('03.Muestra'!$C$8:$C$42)-MIN(ROW('03.Muestra'!$D$8:$D$42))+1,""),ROW()-1804)),"")</f>
        <v>Home - PortCastelló</v>
      </c>
      <c r="C1810" s="114" t="str" cm="1">
        <f t="array" ref="C1810">IFERROR(INDEX('03.Muestra'!$F$8:$F$42,SMALL(IF("Página Web"='03.Muestra'!$D$8:$D$42,ROW('03.Muestra'!$F$8:$F$42)-MIN(ROW('03.Muestra'!$D$8:$D$42))+1,""),ROW()-1804)),"")</f>
        <v>https://www.portcastello.com/</v>
      </c>
      <c r="D1810" s="130" t="s">
        <v>37</v>
      </c>
      <c r="E1810" s="107" t="str">
        <f t="shared" si="94"/>
        <v/>
      </c>
      <c r="G1810" s="19"/>
      <c r="H1810" s="19"/>
      <c r="I1810" s="19"/>
      <c r="J1810" s="19"/>
      <c r="K1810" s="233"/>
    </row>
    <row r="1811" spans="1:11" ht="12" customHeight="1">
      <c r="A1811" s="219" t="n" cm="1">
        <f t="array" ref="A1811">IFERROR(INDEX('03.Muestra'!$B$8:$B$42,SMALL(IF("Página Web"='03.Muestra'!$D$8:$D$42,ROW('03.Muestra'!$B$8:$B$42)-MIN(ROW('03.Muestra'!$D$8:$D$42))+1,""),ROW()-1804)),"")</f>
        <v>1.0</v>
      </c>
      <c r="B1811" s="114" t="str" cm="1">
        <f t="array" ref="B1811">IFERROR(INDEX('03.Muestra'!$C$8:$C$42,SMALL(IF("Página Web"='03.Muestra'!$D$8:$D$42,ROW('03.Muestra'!$C$8:$C$42)-MIN(ROW('03.Muestra'!$D$8:$D$42))+1,""),ROW()-1804)),"")</f>
        <v>Home - PortCastelló</v>
      </c>
      <c r="C1811" s="114" t="str" cm="1">
        <f t="array" ref="C1811">IFERROR(INDEX('03.Muestra'!$F$8:$F$42,SMALL(IF("Página Web"='03.Muestra'!$D$8:$D$42,ROW('03.Muestra'!$F$8:$F$42)-MIN(ROW('03.Muestra'!$D$8:$D$42))+1,""),ROW()-1804)),"")</f>
        <v>https://www.portcastello.com/</v>
      </c>
      <c r="D1811" s="130" t="s">
        <v>37</v>
      </c>
      <c r="E1811" s="107" t="str">
        <f t="shared" si="94"/>
        <v/>
      </c>
      <c r="F1811" s="19"/>
      <c r="G1811" s="19"/>
      <c r="H1811" s="19"/>
      <c r="I1811" s="19"/>
      <c r="J1811" s="19"/>
      <c r="K1811" s="233"/>
    </row>
    <row r="1812" spans="1:11" ht="12" customHeight="1">
      <c r="A1812" s="219" t="n" cm="1">
        <f t="array" ref="A1812">IFERROR(INDEX('03.Muestra'!$B$8:$B$42,SMALL(IF("Página Web"='03.Muestra'!$D$8:$D$42,ROW('03.Muestra'!$B$8:$B$42)-MIN(ROW('03.Muestra'!$D$8:$D$42))+1,""),ROW()-1804)),"")</f>
        <v>1.0</v>
      </c>
      <c r="B1812" s="114" t="str" cm="1">
        <f t="array" ref="B1812">IFERROR(INDEX('03.Muestra'!$C$8:$C$42,SMALL(IF("Página Web"='03.Muestra'!$D$8:$D$42,ROW('03.Muestra'!$C$8:$C$42)-MIN(ROW('03.Muestra'!$D$8:$D$42))+1,""),ROW()-1804)),"")</f>
        <v>Home - PortCastelló</v>
      </c>
      <c r="C1812" s="114" t="str" cm="1">
        <f t="array" ref="C1812">IFERROR(INDEX('03.Muestra'!$F$8:$F$42,SMALL(IF("Página Web"='03.Muestra'!$D$8:$D$42,ROW('03.Muestra'!$F$8:$F$42)-MIN(ROW('03.Muestra'!$D$8:$D$42))+1,""),ROW()-1804)),"")</f>
        <v>https://www.portcastello.com/</v>
      </c>
      <c r="D1812" s="130" t="s">
        <v>37</v>
      </c>
      <c r="E1812" s="107" t="str">
        <f t="shared" si="94"/>
        <v/>
      </c>
      <c r="F1812" s="19"/>
      <c r="G1812" s="19"/>
      <c r="H1812" s="19"/>
      <c r="I1812" s="19"/>
      <c r="J1812" s="19"/>
      <c r="K1812" s="233"/>
    </row>
    <row r="1813" spans="1:11" ht="12" customHeight="1">
      <c r="A1813" s="219" t="n" cm="1">
        <f t="array" ref="A1813">IFERROR(INDEX('03.Muestra'!$B$8:$B$42,SMALL(IF("Página Web"='03.Muestra'!$D$8:$D$42,ROW('03.Muestra'!$B$8:$B$42)-MIN(ROW('03.Muestra'!$D$8:$D$42))+1,""),ROW()-1804)),"")</f>
        <v>1.0</v>
      </c>
      <c r="B1813" s="114" t="str" cm="1">
        <f t="array" ref="B1813">IFERROR(INDEX('03.Muestra'!$C$8:$C$42,SMALL(IF("Página Web"='03.Muestra'!$D$8:$D$42,ROW('03.Muestra'!$C$8:$C$42)-MIN(ROW('03.Muestra'!$D$8:$D$42))+1,""),ROW()-1804)),"")</f>
        <v>Home - PortCastelló</v>
      </c>
      <c r="C1813" s="114" t="str" cm="1">
        <f t="array" ref="C1813">IFERROR(INDEX('03.Muestra'!$F$8:$F$42,SMALL(IF("Página Web"='03.Muestra'!$D$8:$D$42,ROW('03.Muestra'!$F$8:$F$42)-MIN(ROW('03.Muestra'!$D$8:$D$42))+1,""),ROW()-1804)),"")</f>
        <v>https://www.portcastello.com/</v>
      </c>
      <c r="D1813" s="130" t="s">
        <v>37</v>
      </c>
      <c r="E1813" s="107" t="str">
        <f t="shared" si="94"/>
        <v/>
      </c>
      <c r="F1813" s="19"/>
      <c r="G1813" s="19"/>
      <c r="H1813" s="19"/>
      <c r="I1813" s="19"/>
      <c r="J1813" s="19"/>
      <c r="K1813" s="233"/>
    </row>
    <row r="1814" spans="1:11" ht="12" customHeight="1">
      <c r="A1814" s="219" t="n" cm="1">
        <f t="array" ref="A1814">IFERROR(INDEX('03.Muestra'!$B$8:$B$42,SMALL(IF("Página Web"='03.Muestra'!$D$8:$D$42,ROW('03.Muestra'!$B$8:$B$42)-MIN(ROW('03.Muestra'!$D$8:$D$42))+1,""),ROW()-1804)),"")</f>
        <v>1.0</v>
      </c>
      <c r="B1814" s="114" t="str" cm="1">
        <f t="array" ref="B1814">IFERROR(INDEX('03.Muestra'!$C$8:$C$42,SMALL(IF("Página Web"='03.Muestra'!$D$8:$D$42,ROW('03.Muestra'!$C$8:$C$42)-MIN(ROW('03.Muestra'!$D$8:$D$42))+1,""),ROW()-1804)),"")</f>
        <v>Home - PortCastelló</v>
      </c>
      <c r="C1814" s="114" t="str" cm="1">
        <f t="array" ref="C1814">IFERROR(INDEX('03.Muestra'!$F$8:$F$42,SMALL(IF("Página Web"='03.Muestra'!$D$8:$D$42,ROW('03.Muestra'!$F$8:$F$42)-MIN(ROW('03.Muestra'!$D$8:$D$42))+1,""),ROW()-1804)),"")</f>
        <v>https://www.portcastello.com/</v>
      </c>
      <c r="D1814" s="130" t="s">
        <v>37</v>
      </c>
      <c r="E1814" s="107" t="str">
        <f t="shared" si="94"/>
        <v/>
      </c>
      <c r="F1814" s="19"/>
      <c r="G1814" s="19"/>
      <c r="H1814" s="19"/>
      <c r="I1814" s="19"/>
      <c r="J1814" s="19"/>
      <c r="K1814" s="233"/>
    </row>
    <row r="1815" spans="1:11" ht="12" customHeight="1">
      <c r="A1815" s="219" t="n" cm="1">
        <f t="array" ref="A1815">IFERROR(INDEX('03.Muestra'!$B$8:$B$42,SMALL(IF("Página Web"='03.Muestra'!$D$8:$D$42,ROW('03.Muestra'!$B$8:$B$42)-MIN(ROW('03.Muestra'!$D$8:$D$42))+1,""),ROW()-1804)),"")</f>
        <v>1.0</v>
      </c>
      <c r="B1815" s="114" t="str" cm="1">
        <f t="array" ref="B1815">IFERROR(INDEX('03.Muestra'!$C$8:$C$42,SMALL(IF("Página Web"='03.Muestra'!$D$8:$D$42,ROW('03.Muestra'!$C$8:$C$42)-MIN(ROW('03.Muestra'!$D$8:$D$42))+1,""),ROW()-1804)),"")</f>
        <v>Home - PortCastelló</v>
      </c>
      <c r="C1815" s="114" t="str" cm="1">
        <f t="array" ref="C1815">IFERROR(INDEX('03.Muestra'!$F$8:$F$42,SMALL(IF("Página Web"='03.Muestra'!$D$8:$D$42,ROW('03.Muestra'!$F$8:$F$42)-MIN(ROW('03.Muestra'!$D$8:$D$42))+1,""),ROW()-1804)),"")</f>
        <v>https://www.portcastello.com/</v>
      </c>
      <c r="D1815" s="130" t="s">
        <v>37</v>
      </c>
      <c r="E1815" s="107" t="str">
        <f t="shared" si="94"/>
        <v/>
      </c>
      <c r="F1815" s="19"/>
      <c r="G1815" s="19"/>
      <c r="H1815" s="19"/>
      <c r="I1815" s="19"/>
      <c r="J1815" s="19"/>
      <c r="K1815" s="233"/>
    </row>
    <row r="1816" spans="1:11" ht="12" customHeight="1">
      <c r="A1816" s="219" t="n" cm="1">
        <f t="array" ref="A1816">IFERROR(INDEX('03.Muestra'!$B$8:$B$42,SMALL(IF("Página Web"='03.Muestra'!$D$8:$D$42,ROW('03.Muestra'!$B$8:$B$42)-MIN(ROW('03.Muestra'!$D$8:$D$42))+1,""),ROW()-1804)),"")</f>
        <v>1.0</v>
      </c>
      <c r="B1816" s="114" t="str" cm="1">
        <f t="array" ref="B1816">IFERROR(INDEX('03.Muestra'!$C$8:$C$42,SMALL(IF("Página Web"='03.Muestra'!$D$8:$D$42,ROW('03.Muestra'!$C$8:$C$42)-MIN(ROW('03.Muestra'!$D$8:$D$42))+1,""),ROW()-1804)),"")</f>
        <v>Home - PortCastelló</v>
      </c>
      <c r="C1816" s="114" t="str" cm="1">
        <f t="array" ref="C1816">IFERROR(INDEX('03.Muestra'!$F$8:$F$42,SMALL(IF("Página Web"='03.Muestra'!$D$8:$D$42,ROW('03.Muestra'!$F$8:$F$42)-MIN(ROW('03.Muestra'!$D$8:$D$42))+1,""),ROW()-1804)),"")</f>
        <v>https://www.portcastello.com/</v>
      </c>
      <c r="D1816" s="130" t="s">
        <v>37</v>
      </c>
      <c r="E1816" s="107" t="str">
        <f t="shared" si="94"/>
        <v/>
      </c>
      <c r="F1816" s="19"/>
      <c r="G1816" s="19"/>
      <c r="H1816" s="19"/>
      <c r="I1816" s="19"/>
      <c r="J1816" s="19"/>
      <c r="K1816" s="233"/>
    </row>
    <row r="1817" spans="1:11" ht="12" customHeight="1">
      <c r="A1817" s="219" t="n" cm="1">
        <f t="array" ref="A1817">IFERROR(INDEX('03.Muestra'!$B$8:$B$42,SMALL(IF("Página Web"='03.Muestra'!$D$8:$D$42,ROW('03.Muestra'!$B$8:$B$42)-MIN(ROW('03.Muestra'!$D$8:$D$42))+1,""),ROW()-1804)),"")</f>
        <v>1.0</v>
      </c>
      <c r="B1817" s="114" t="str" cm="1">
        <f t="array" ref="B1817">IFERROR(INDEX('03.Muestra'!$C$8:$C$42,SMALL(IF("Página Web"='03.Muestra'!$D$8:$D$42,ROW('03.Muestra'!$C$8:$C$42)-MIN(ROW('03.Muestra'!$D$8:$D$42))+1,""),ROW()-1804)),"")</f>
        <v>Home - PortCastelló</v>
      </c>
      <c r="C1817" s="114" t="str" cm="1">
        <f t="array" ref="C1817">IFERROR(INDEX('03.Muestra'!$F$8:$F$42,SMALL(IF("Página Web"='03.Muestra'!$D$8:$D$42,ROW('03.Muestra'!$F$8:$F$42)-MIN(ROW('03.Muestra'!$D$8:$D$42))+1,""),ROW()-1804)),"")</f>
        <v>https://www.portcastello.com/</v>
      </c>
      <c r="D1817" s="130" t="s">
        <v>37</v>
      </c>
      <c r="E1817" s="107" t="str">
        <f t="shared" si="94"/>
        <v/>
      </c>
      <c r="F1817" s="19"/>
      <c r="G1817" s="19"/>
      <c r="H1817" s="19"/>
      <c r="I1817" s="19"/>
      <c r="J1817" s="19"/>
      <c r="K1817" s="233"/>
    </row>
    <row r="1818" spans="1:11" ht="12" customHeight="1">
      <c r="A1818" s="219" t="n" cm="1">
        <f t="array" ref="A1818">IFERROR(INDEX('03.Muestra'!$B$8:$B$42,SMALL(IF("Página Web"='03.Muestra'!$D$8:$D$42,ROW('03.Muestra'!$B$8:$B$42)-MIN(ROW('03.Muestra'!$D$8:$D$42))+1,""),ROW()-1804)),"")</f>
        <v>1.0</v>
      </c>
      <c r="B1818" s="114" t="str" cm="1">
        <f t="array" ref="B1818">IFERROR(INDEX('03.Muestra'!$C$8:$C$42,SMALL(IF("Página Web"='03.Muestra'!$D$8:$D$42,ROW('03.Muestra'!$C$8:$C$42)-MIN(ROW('03.Muestra'!$D$8:$D$42))+1,""),ROW()-1804)),"")</f>
        <v>Home - PortCastelló</v>
      </c>
      <c r="C1818" s="114" t="str" cm="1">
        <f t="array" ref="C1818">IFERROR(INDEX('03.Muestra'!$F$8:$F$42,SMALL(IF("Página Web"='03.Muestra'!$D$8:$D$42,ROW('03.Muestra'!$F$8:$F$42)-MIN(ROW('03.Muestra'!$D$8:$D$42))+1,""),ROW()-1804)),"")</f>
        <v>https://www.portcastello.com/</v>
      </c>
      <c r="D1818" s="130" t="s">
        <v>37</v>
      </c>
      <c r="E1818" s="107" t="str">
        <f t="shared" si="94"/>
        <v/>
      </c>
      <c r="F1818" s="19"/>
      <c r="G1818" s="19"/>
      <c r="H1818" s="19"/>
      <c r="I1818" s="19"/>
      <c r="J1818" s="19"/>
      <c r="K1818" s="233"/>
    </row>
    <row r="1819" spans="1:11" ht="12" customHeight="1">
      <c r="A1819" s="219" t="n" cm="1">
        <f t="array" ref="A1819">IFERROR(INDEX('03.Muestra'!$B$8:$B$42,SMALL(IF("Página Web"='03.Muestra'!$D$8:$D$42,ROW('03.Muestra'!$B$8:$B$42)-MIN(ROW('03.Muestra'!$D$8:$D$42))+1,""),ROW()-1804)),"")</f>
        <v>1.0</v>
      </c>
      <c r="B1819" s="114" t="str" cm="1">
        <f t="array" ref="B1819">IFERROR(INDEX('03.Muestra'!$C$8:$C$42,SMALL(IF("Página Web"='03.Muestra'!$D$8:$D$42,ROW('03.Muestra'!$C$8:$C$42)-MIN(ROW('03.Muestra'!$D$8:$D$42))+1,""),ROW()-1804)),"")</f>
        <v>Home - PortCastelló</v>
      </c>
      <c r="C1819" s="114" t="str" cm="1">
        <f t="array" ref="C1819">IFERROR(INDEX('03.Muestra'!$F$8:$F$42,SMALL(IF("Página Web"='03.Muestra'!$D$8:$D$42,ROW('03.Muestra'!$F$8:$F$42)-MIN(ROW('03.Muestra'!$D$8:$D$42))+1,""),ROW()-1804)),"")</f>
        <v>https://www.portcastello.com/</v>
      </c>
      <c r="D1819" s="130" t="s">
        <v>37</v>
      </c>
      <c r="E1819" s="107" t="str">
        <f t="shared" si="94"/>
        <v/>
      </c>
      <c r="F1819" s="19"/>
      <c r="G1819" s="19"/>
      <c r="H1819" s="19"/>
      <c r="I1819" s="19"/>
      <c r="J1819" s="19"/>
      <c r="K1819" s="233"/>
    </row>
    <row r="1820" spans="1:11" ht="12" customHeight="1">
      <c r="A1820" s="219" t="n" cm="1">
        <f t="array" ref="A1820">IFERROR(INDEX('03.Muestra'!$B$8:$B$42,SMALL(IF("Página Web"='03.Muestra'!$D$8:$D$42,ROW('03.Muestra'!$B$8:$B$42)-MIN(ROW('03.Muestra'!$D$8:$D$42))+1,""),ROW()-1804)),"")</f>
        <v>1.0</v>
      </c>
      <c r="B1820" s="114" t="str" cm="1">
        <f t="array" ref="B1820">IFERROR(INDEX('03.Muestra'!$C$8:$C$42,SMALL(IF("Página Web"='03.Muestra'!$D$8:$D$42,ROW('03.Muestra'!$C$8:$C$42)-MIN(ROW('03.Muestra'!$D$8:$D$42))+1,""),ROW()-1804)),"")</f>
        <v>Home - PortCastelló</v>
      </c>
      <c r="C1820" s="114" t="str" cm="1">
        <f t="array" ref="C1820">IFERROR(INDEX('03.Muestra'!$F$8:$F$42,SMALL(IF("Página Web"='03.Muestra'!$D$8:$D$42,ROW('03.Muestra'!$F$8:$F$42)-MIN(ROW('03.Muestra'!$D$8:$D$42))+1,""),ROW()-1804)),"")</f>
        <v>https://www.portcastello.com/</v>
      </c>
      <c r="D1820" s="130" t="s">
        <v>37</v>
      </c>
      <c r="E1820" s="107" t="str">
        <f t="shared" si="94"/>
        <v/>
      </c>
      <c r="F1820" s="19"/>
      <c r="G1820" s="19"/>
      <c r="H1820" s="19"/>
      <c r="I1820" s="19"/>
      <c r="J1820" s="19"/>
      <c r="K1820" s="233"/>
    </row>
    <row r="1821" spans="1:11" ht="12" customHeight="1">
      <c r="A1821" s="219" t="n" cm="1">
        <f t="array" ref="A1821">IFERROR(INDEX('03.Muestra'!$B$8:$B$42,SMALL(IF("Página Web"='03.Muestra'!$D$8:$D$42,ROW('03.Muestra'!$B$8:$B$42)-MIN(ROW('03.Muestra'!$D$8:$D$42))+1,""),ROW()-1804)),"")</f>
        <v>1.0</v>
      </c>
      <c r="B1821" s="114" t="str" cm="1">
        <f t="array" ref="B1821">IFERROR(INDEX('03.Muestra'!$C$8:$C$42,SMALL(IF("Página Web"='03.Muestra'!$D$8:$D$42,ROW('03.Muestra'!$C$8:$C$42)-MIN(ROW('03.Muestra'!$D$8:$D$42))+1,""),ROW()-1804)),"")</f>
        <v>Home - PortCastelló</v>
      </c>
      <c r="C1821" s="114" t="str" cm="1">
        <f t="array" ref="C1821">IFERROR(INDEX('03.Muestra'!$F$8:$F$42,SMALL(IF("Página Web"='03.Muestra'!$D$8:$D$42,ROW('03.Muestra'!$F$8:$F$42)-MIN(ROW('03.Muestra'!$D$8:$D$42))+1,""),ROW()-1804)),"")</f>
        <v>https://www.portcastello.com/</v>
      </c>
      <c r="D1821" s="130" t="s">
        <v>37</v>
      </c>
      <c r="E1821" s="107" t="str">
        <f t="shared" si="94"/>
        <v/>
      </c>
      <c r="F1821" s="19"/>
      <c r="G1821" s="19"/>
      <c r="H1821" s="19"/>
      <c r="I1821" s="19"/>
      <c r="J1821" s="19"/>
      <c r="K1821" s="233"/>
    </row>
    <row r="1822" spans="1:11" ht="12" customHeight="1">
      <c r="A1822" s="219" t="n" cm="1">
        <f t="array" ref="A1822">IFERROR(INDEX('03.Muestra'!$B$8:$B$42,SMALL(IF("Página Web"='03.Muestra'!$D$8:$D$42,ROW('03.Muestra'!$B$8:$B$42)-MIN(ROW('03.Muestra'!$D$8:$D$42))+1,""),ROW()-1804)),"")</f>
        <v>1.0</v>
      </c>
      <c r="B1822" s="114" t="str" cm="1">
        <f t="array" ref="B1822">IFERROR(INDEX('03.Muestra'!$C$8:$C$42,SMALL(IF("Página Web"='03.Muestra'!$D$8:$D$42,ROW('03.Muestra'!$C$8:$C$42)-MIN(ROW('03.Muestra'!$D$8:$D$42))+1,""),ROW()-1804)),"")</f>
        <v>Home - PortCastelló</v>
      </c>
      <c r="C1822" s="114" t="str" cm="1">
        <f t="array" ref="C1822">IFERROR(INDEX('03.Muestra'!$F$8:$F$42,SMALL(IF("Página Web"='03.Muestra'!$D$8:$D$42,ROW('03.Muestra'!$F$8:$F$42)-MIN(ROW('03.Muestra'!$D$8:$D$42))+1,""),ROW()-1804)),"")</f>
        <v>https://www.portcastello.com/</v>
      </c>
      <c r="D1822" s="130" t="s">
        <v>37</v>
      </c>
      <c r="E1822" s="107" t="str">
        <f t="shared" si="94"/>
        <v/>
      </c>
      <c r="F1822" s="19"/>
      <c r="G1822" s="19"/>
      <c r="H1822" s="19"/>
      <c r="I1822" s="19"/>
      <c r="J1822" s="19"/>
      <c r="K1822" s="233"/>
    </row>
    <row r="1823" spans="1:11" ht="12" customHeight="1">
      <c r="A1823" s="219" t="n" cm="1">
        <f t="array" ref="A1823">IFERROR(INDEX('03.Muestra'!$B$8:$B$42,SMALL(IF("Página Web"='03.Muestra'!$D$8:$D$42,ROW('03.Muestra'!$B$8:$B$42)-MIN(ROW('03.Muestra'!$D$8:$D$42))+1,""),ROW()-1804)),"")</f>
        <v>1.0</v>
      </c>
      <c r="B1823" s="114" t="str" cm="1">
        <f t="array" ref="B1823">IFERROR(INDEX('03.Muestra'!$C$8:$C$42,SMALL(IF("Página Web"='03.Muestra'!$D$8:$D$42,ROW('03.Muestra'!$C$8:$C$42)-MIN(ROW('03.Muestra'!$D$8:$D$42))+1,""),ROW()-1804)),"")</f>
        <v>Home - PortCastelló</v>
      </c>
      <c r="C1823" s="114" t="str" cm="1">
        <f t="array" ref="C1823">IFERROR(INDEX('03.Muestra'!$F$8:$F$42,SMALL(IF("Página Web"='03.Muestra'!$D$8:$D$42,ROW('03.Muestra'!$F$8:$F$42)-MIN(ROW('03.Muestra'!$D$8:$D$42))+1,""),ROW()-1804)),"")</f>
        <v>https://www.portcastello.com/</v>
      </c>
      <c r="D1823" s="130" t="s">
        <v>37</v>
      </c>
      <c r="E1823" s="107" t="str">
        <f t="shared" si="94"/>
        <v/>
      </c>
      <c r="F1823" s="19"/>
      <c r="G1823" s="19"/>
      <c r="H1823" s="19"/>
      <c r="I1823" s="19"/>
      <c r="J1823" s="19"/>
      <c r="K1823" s="233"/>
    </row>
    <row r="1824" spans="1:11" ht="12" customHeight="1">
      <c r="A1824" s="219" t="n" cm="1">
        <f t="array" ref="A1824">IFERROR(INDEX('03.Muestra'!$B$8:$B$42,SMALL(IF("Página Web"='03.Muestra'!$D$8:$D$42,ROW('03.Muestra'!$B$8:$B$42)-MIN(ROW('03.Muestra'!$D$8:$D$42))+1,""),ROW()-1804)),"")</f>
        <v>1.0</v>
      </c>
      <c r="B1824" s="114" t="str" cm="1">
        <f t="array" ref="B1824">IFERROR(INDEX('03.Muestra'!$C$8:$C$42,SMALL(IF("Página Web"='03.Muestra'!$D$8:$D$42,ROW('03.Muestra'!$C$8:$C$42)-MIN(ROW('03.Muestra'!$D$8:$D$42))+1,""),ROW()-1804)),"")</f>
        <v>Home - PortCastelló</v>
      </c>
      <c r="C1824" s="114" t="str" cm="1">
        <f t="array" ref="C1824">IFERROR(INDEX('03.Muestra'!$F$8:$F$42,SMALL(IF("Página Web"='03.Muestra'!$D$8:$D$42,ROW('03.Muestra'!$F$8:$F$42)-MIN(ROW('03.Muestra'!$D$8:$D$42))+1,""),ROW()-1804)),"")</f>
        <v>https://www.portcastello.com/</v>
      </c>
      <c r="D1824" s="130" t="s">
        <v>37</v>
      </c>
      <c r="E1824" s="107" t="str">
        <f t="shared" si="94"/>
        <v/>
      </c>
      <c r="F1824" s="19"/>
      <c r="G1824" s="19"/>
      <c r="H1824" s="19"/>
      <c r="I1824" s="19"/>
      <c r="J1824" s="19"/>
      <c r="K1824" s="233"/>
    </row>
    <row r="1825" spans="1:11" ht="12" customHeight="1">
      <c r="A1825" s="219" t="n" cm="1">
        <f t="array" ref="A1825">IFERROR(INDEX('03.Muestra'!$B$8:$B$42,SMALL(IF("Página Web"='03.Muestra'!$D$8:$D$42,ROW('03.Muestra'!$B$8:$B$42)-MIN(ROW('03.Muestra'!$D$8:$D$42))+1,""),ROW()-1804)),"")</f>
        <v>1.0</v>
      </c>
      <c r="B1825" s="114" t="str" cm="1">
        <f t="array" ref="B1825">IFERROR(INDEX('03.Muestra'!$C$8:$C$42,SMALL(IF("Página Web"='03.Muestra'!$D$8:$D$42,ROW('03.Muestra'!$C$8:$C$42)-MIN(ROW('03.Muestra'!$D$8:$D$42))+1,""),ROW()-1804)),"")</f>
        <v>Home - PortCastelló</v>
      </c>
      <c r="C1825" s="114" t="str" cm="1">
        <f t="array" ref="C1825">IFERROR(INDEX('03.Muestra'!$F$8:$F$42,SMALL(IF("Página Web"='03.Muestra'!$D$8:$D$42,ROW('03.Muestra'!$F$8:$F$42)-MIN(ROW('03.Muestra'!$D$8:$D$42))+1,""),ROW()-1804)),"")</f>
        <v>https://www.portcastello.com/</v>
      </c>
      <c r="D1825" s="130" t="s">
        <v>37</v>
      </c>
      <c r="E1825" s="107" t="str">
        <f t="shared" si="94"/>
        <v/>
      </c>
      <c r="F1825" s="19"/>
      <c r="G1825" s="19"/>
      <c r="H1825" s="19"/>
      <c r="I1825" s="19"/>
      <c r="J1825" s="19"/>
      <c r="K1825" s="233"/>
    </row>
    <row r="1826" spans="1:11" ht="12" customHeight="1">
      <c r="A1826" s="219" t="n" cm="1">
        <f t="array" ref="A1826">IFERROR(INDEX('03.Muestra'!$B$8:$B$42,SMALL(IF("Página Web"='03.Muestra'!$D$8:$D$42,ROW('03.Muestra'!$B$8:$B$42)-MIN(ROW('03.Muestra'!$D$8:$D$42))+1,""),ROW()-1804)),"")</f>
        <v>1.0</v>
      </c>
      <c r="B1826" s="114" t="str" cm="1">
        <f t="array" ref="B1826">IFERROR(INDEX('03.Muestra'!$C$8:$C$42,SMALL(IF("Página Web"='03.Muestra'!$D$8:$D$42,ROW('03.Muestra'!$C$8:$C$42)-MIN(ROW('03.Muestra'!$D$8:$D$42))+1,""),ROW()-1804)),"")</f>
        <v>Home - PortCastelló</v>
      </c>
      <c r="C1826" s="114" t="str" cm="1">
        <f t="array" ref="C1826">IFERROR(INDEX('03.Muestra'!$F$8:$F$42,SMALL(IF("Página Web"='03.Muestra'!$D$8:$D$42,ROW('03.Muestra'!$F$8:$F$42)-MIN(ROW('03.Muestra'!$D$8:$D$42))+1,""),ROW()-1804)),"")</f>
        <v>https://www.portcastello.com/</v>
      </c>
      <c r="D1826" s="130" t="s">
        <v>37</v>
      </c>
      <c r="E1826" s="107" t="str">
        <f t="shared" si="94"/>
        <v/>
      </c>
      <c r="F1826" s="19"/>
      <c r="G1826" s="19"/>
      <c r="H1826" s="19"/>
      <c r="I1826" s="19"/>
      <c r="J1826" s="19"/>
      <c r="K1826" s="233"/>
    </row>
    <row r="1827" spans="1:11" ht="12" customHeight="1">
      <c r="A1827" s="219" t="n" cm="1">
        <f t="array" ref="A1827">IFERROR(INDEX('03.Muestra'!$B$8:$B$42,SMALL(IF("Página Web"='03.Muestra'!$D$8:$D$42,ROW('03.Muestra'!$B$8:$B$42)-MIN(ROW('03.Muestra'!$D$8:$D$42))+1,""),ROW()-1804)),"")</f>
        <v>1.0</v>
      </c>
      <c r="B1827" s="114" t="str" cm="1">
        <f t="array" ref="B1827">IFERROR(INDEX('03.Muestra'!$C$8:$C$42,SMALL(IF("Página Web"='03.Muestra'!$D$8:$D$42,ROW('03.Muestra'!$C$8:$C$42)-MIN(ROW('03.Muestra'!$D$8:$D$42))+1,""),ROW()-1804)),"")</f>
        <v>Home - PortCastelló</v>
      </c>
      <c r="C1827" s="114" t="str" cm="1">
        <f t="array" ref="C1827">IFERROR(INDEX('03.Muestra'!$F$8:$F$42,SMALL(IF("Página Web"='03.Muestra'!$D$8:$D$42,ROW('03.Muestra'!$F$8:$F$42)-MIN(ROW('03.Muestra'!$D$8:$D$42))+1,""),ROW()-1804)),"")</f>
        <v>https://www.portcastello.com/</v>
      </c>
      <c r="D1827" s="130" t="s">
        <v>37</v>
      </c>
      <c r="E1827" s="107" t="str">
        <f t="shared" si="94"/>
        <v/>
      </c>
      <c r="F1827" s="19"/>
      <c r="G1827" s="19"/>
      <c r="H1827" s="19"/>
      <c r="I1827" s="19"/>
      <c r="J1827" s="19"/>
      <c r="K1827" s="233"/>
    </row>
    <row r="1828" spans="1:11" ht="12" customHeight="1">
      <c r="A1828" s="219" t="n" cm="1">
        <f t="array" ref="A1828">IFERROR(INDEX('03.Muestra'!$B$8:$B$42,SMALL(IF("Página Web"='03.Muestra'!$D$8:$D$42,ROW('03.Muestra'!$B$8:$B$42)-MIN(ROW('03.Muestra'!$D$8:$D$42))+1,""),ROW()-1804)),"")</f>
        <v>1.0</v>
      </c>
      <c r="B1828" s="114" t="str" cm="1">
        <f t="array" ref="B1828">IFERROR(INDEX('03.Muestra'!$C$8:$C$42,SMALL(IF("Página Web"='03.Muestra'!$D$8:$D$42,ROW('03.Muestra'!$C$8:$C$42)-MIN(ROW('03.Muestra'!$D$8:$D$42))+1,""),ROW()-1804)),"")</f>
        <v>Home - PortCastelló</v>
      </c>
      <c r="C1828" s="114" t="str" cm="1">
        <f t="array" ref="C1828">IFERROR(INDEX('03.Muestra'!$F$8:$F$42,SMALL(IF("Página Web"='03.Muestra'!$D$8:$D$42,ROW('03.Muestra'!$F$8:$F$42)-MIN(ROW('03.Muestra'!$D$8:$D$42))+1,""),ROW()-1804)),"")</f>
        <v>https://www.portcastello.com/</v>
      </c>
      <c r="D1828" s="130" t="s">
        <v>37</v>
      </c>
      <c r="E1828" s="107" t="str">
        <f t="shared" si="94"/>
        <v/>
      </c>
      <c r="F1828" s="19"/>
      <c r="G1828" s="19"/>
      <c r="H1828" s="19"/>
      <c r="I1828" s="19"/>
      <c r="J1828" s="19"/>
      <c r="K1828" s="233"/>
    </row>
    <row r="1829" spans="1:11" ht="12" customHeight="1">
      <c r="A1829" s="219" t="n" cm="1">
        <f t="array" ref="A1829">IFERROR(INDEX('03.Muestra'!$B$8:$B$42,SMALL(IF("Página Web"='03.Muestra'!$D$8:$D$42,ROW('03.Muestra'!$B$8:$B$42)-MIN(ROW('03.Muestra'!$D$8:$D$42))+1,""),ROW()-1804)),"")</f>
        <v>1.0</v>
      </c>
      <c r="B1829" s="114" t="str" cm="1">
        <f t="array" ref="B1829">IFERROR(INDEX('03.Muestra'!$C$8:$C$42,SMALL(IF("Página Web"='03.Muestra'!$D$8:$D$42,ROW('03.Muestra'!$C$8:$C$42)-MIN(ROW('03.Muestra'!$D$8:$D$42))+1,""),ROW()-1804)),"")</f>
        <v>Home - PortCastelló</v>
      </c>
      <c r="C1829" s="114" t="str" cm="1">
        <f t="array" ref="C1829">IFERROR(INDEX('03.Muestra'!$F$8:$F$42,SMALL(IF("Página Web"='03.Muestra'!$D$8:$D$42,ROW('03.Muestra'!$F$8:$F$42)-MIN(ROW('03.Muestra'!$D$8:$D$42))+1,""),ROW()-1804)),"")</f>
        <v>https://www.portcastello.com/</v>
      </c>
      <c r="D1829" s="130" t="s">
        <v>37</v>
      </c>
      <c r="E1829" s="107" t="str">
        <f t="shared" si="94"/>
        <v/>
      </c>
      <c r="F1829" s="19"/>
      <c r="G1829" s="19"/>
      <c r="H1829" s="19"/>
      <c r="I1829" s="19"/>
      <c r="J1829" s="19"/>
      <c r="K1829" s="233"/>
    </row>
    <row r="1830" spans="1:11" ht="12" customHeight="1">
      <c r="A1830" s="219" t="n" cm="1">
        <f t="array" ref="A1830">IFERROR(INDEX('03.Muestra'!$B$8:$B$42,SMALL(IF("Página Web"='03.Muestra'!$D$8:$D$42,ROW('03.Muestra'!$B$8:$B$42)-MIN(ROW('03.Muestra'!$D$8:$D$42))+1,""),ROW()-1804)),"")</f>
        <v>1.0</v>
      </c>
      <c r="B1830" s="114" t="str" cm="1">
        <f t="array" ref="B1830">IFERROR(INDEX('03.Muestra'!$C$8:$C$42,SMALL(IF("Página Web"='03.Muestra'!$D$8:$D$42,ROW('03.Muestra'!$C$8:$C$42)-MIN(ROW('03.Muestra'!$D$8:$D$42))+1,""),ROW()-1804)),"")</f>
        <v>Home - PortCastelló</v>
      </c>
      <c r="C1830" s="114" t="str" cm="1">
        <f t="array" ref="C1830">IFERROR(INDEX('03.Muestra'!$F$8:$F$42,SMALL(IF("Página Web"='03.Muestra'!$D$8:$D$42,ROW('03.Muestra'!$F$8:$F$42)-MIN(ROW('03.Muestra'!$D$8:$D$42))+1,""),ROW()-1804)),"")</f>
        <v>https://www.portcastello.com/</v>
      </c>
      <c r="D1830" s="130" t="s">
        <v>37</v>
      </c>
      <c r="E1830" s="107" t="str">
        <f t="shared" si="94"/>
        <v/>
      </c>
      <c r="F1830" s="19"/>
      <c r="G1830" s="19"/>
      <c r="H1830" s="19"/>
      <c r="I1830" s="19"/>
      <c r="J1830" s="19"/>
      <c r="K1830" s="233"/>
    </row>
    <row r="1831" spans="1:11" ht="12" customHeight="1">
      <c r="A1831" s="219" t="n" cm="1">
        <f t="array" ref="A1831">IFERROR(INDEX('03.Muestra'!$B$8:$B$42,SMALL(IF("Página Web"='03.Muestra'!$D$8:$D$42,ROW('03.Muestra'!$B$8:$B$42)-MIN(ROW('03.Muestra'!$D$8:$D$42))+1,""),ROW()-1804)),"")</f>
        <v>1.0</v>
      </c>
      <c r="B1831" s="114" t="str" cm="1">
        <f t="array" ref="B1831">IFERROR(INDEX('03.Muestra'!$C$8:$C$42,SMALL(IF("Página Web"='03.Muestra'!$D$8:$D$42,ROW('03.Muestra'!$C$8:$C$42)-MIN(ROW('03.Muestra'!$D$8:$D$42))+1,""),ROW()-1804)),"")</f>
        <v>Home - PortCastelló</v>
      </c>
      <c r="C1831" s="114" t="str" cm="1">
        <f t="array" ref="C1831">IFERROR(INDEX('03.Muestra'!$F$8:$F$42,SMALL(IF("Página Web"='03.Muestra'!$D$8:$D$42,ROW('03.Muestra'!$F$8:$F$42)-MIN(ROW('03.Muestra'!$D$8:$D$42))+1,""),ROW()-1804)),"")</f>
        <v>https://www.portcastello.com/</v>
      </c>
      <c r="D1831" s="130" t="s">
        <v>37</v>
      </c>
      <c r="E1831" s="107" t="str">
        <f t="shared" si="94"/>
        <v/>
      </c>
      <c r="F1831" s="19"/>
      <c r="G1831" s="19"/>
      <c r="H1831" s="19"/>
      <c r="I1831" s="19"/>
      <c r="J1831" s="19"/>
      <c r="K1831" s="233"/>
    </row>
    <row r="1832" spans="1:11" ht="12" customHeight="1">
      <c r="A1832" s="219" t="n" cm="1">
        <f t="array" ref="A1832">IFERROR(INDEX('03.Muestra'!$B$8:$B$42,SMALL(IF("Página Web"='03.Muestra'!$D$8:$D$42,ROW('03.Muestra'!$B$8:$B$42)-MIN(ROW('03.Muestra'!$D$8:$D$42))+1,""),ROW()-1804)),"")</f>
        <v>1.0</v>
      </c>
      <c r="B1832" s="114" t="str" cm="1">
        <f t="array" ref="B1832">IFERROR(INDEX('03.Muestra'!$C$8:$C$42,SMALL(IF("Página Web"='03.Muestra'!$D$8:$D$42,ROW('03.Muestra'!$C$8:$C$42)-MIN(ROW('03.Muestra'!$D$8:$D$42))+1,""),ROW()-1804)),"")</f>
        <v>Home - PortCastelló</v>
      </c>
      <c r="C1832" s="114" t="str" cm="1">
        <f t="array" ref="C1832">IFERROR(INDEX('03.Muestra'!$F$8:$F$42,SMALL(IF("Página Web"='03.Muestra'!$D$8:$D$42,ROW('03.Muestra'!$F$8:$F$42)-MIN(ROW('03.Muestra'!$D$8:$D$42))+1,""),ROW()-1804)),"")</f>
        <v>https://www.portcastello.com/</v>
      </c>
      <c r="D1832" s="130" t="s">
        <v>37</v>
      </c>
      <c r="E1832" s="107" t="str">
        <f t="shared" si="94"/>
        <v/>
      </c>
      <c r="G1832" s="19"/>
      <c r="H1832" s="19"/>
      <c r="I1832" s="19"/>
      <c r="J1832" s="19"/>
      <c r="K1832" s="233"/>
    </row>
    <row r="1833" spans="1:11" ht="12" customHeight="1">
      <c r="A1833" s="219" t="n" cm="1">
        <f t="array" ref="A1833">IFERROR(INDEX('03.Muestra'!$B$8:$B$42,SMALL(IF("Página Web"='03.Muestra'!$D$8:$D$42,ROW('03.Muestra'!$B$8:$B$42)-MIN(ROW('03.Muestra'!$D$8:$D$42))+1,""),ROW()-1804)),"")</f>
        <v>1.0</v>
      </c>
      <c r="B1833" s="114" t="str" cm="1">
        <f t="array" ref="B1833">IFERROR(INDEX('03.Muestra'!$C$8:$C$42,SMALL(IF("Página Web"='03.Muestra'!$D$8:$D$42,ROW('03.Muestra'!$C$8:$C$42)-MIN(ROW('03.Muestra'!$D$8:$D$42))+1,""),ROW()-1804)),"")</f>
        <v>Home - PortCastelló</v>
      </c>
      <c r="C1833" s="114" t="str" cm="1">
        <f t="array" ref="C1833">IFERROR(INDEX('03.Muestra'!$F$8:$F$42,SMALL(IF("Página Web"='03.Muestra'!$D$8:$D$42,ROW('03.Muestra'!$F$8:$F$42)-MIN(ROW('03.Muestra'!$D$8:$D$42))+1,""),ROW()-1804)),"")</f>
        <v>https://www.portcastello.com/</v>
      </c>
      <c r="D1833" s="130" t="s">
        <v>37</v>
      </c>
      <c r="E1833" s="107" t="str">
        <f t="shared" si="94"/>
        <v/>
      </c>
      <c r="G1833" s="19"/>
      <c r="H1833" s="19"/>
      <c r="I1833" s="19"/>
      <c r="J1833" s="19"/>
      <c r="K1833" s="233"/>
    </row>
    <row r="1834" spans="1:11" ht="12" customHeight="1">
      <c r="A1834" s="219" t="n" cm="1">
        <f t="array" ref="A1834">IFERROR(INDEX('03.Muestra'!$B$8:$B$42,SMALL(IF("Página Web"='03.Muestra'!$D$8:$D$42,ROW('03.Muestra'!$B$8:$B$42)-MIN(ROW('03.Muestra'!$D$8:$D$42))+1,""),ROW()-1804)),"")</f>
        <v>1.0</v>
      </c>
      <c r="B1834" s="114" t="str" cm="1">
        <f t="array" ref="B1834">IFERROR(INDEX('03.Muestra'!$C$8:$C$42,SMALL(IF("Página Web"='03.Muestra'!$D$8:$D$42,ROW('03.Muestra'!$C$8:$C$42)-MIN(ROW('03.Muestra'!$D$8:$D$42))+1,""),ROW()-1804)),"")</f>
        <v>Home - PortCastelló</v>
      </c>
      <c r="C1834" s="114" t="str" cm="1">
        <f t="array" ref="C1834">IFERROR(INDEX('03.Muestra'!$F$8:$F$42,SMALL(IF("Página Web"='03.Muestra'!$D$8:$D$42,ROW('03.Muestra'!$F$8:$F$42)-MIN(ROW('03.Muestra'!$D$8:$D$42))+1,""),ROW()-1804)),"")</f>
        <v>https://www.portcastello.com/</v>
      </c>
      <c r="D1834" s="130" t="s">
        <v>37</v>
      </c>
      <c r="E1834" s="107" t="str">
        <f t="shared" si="94"/>
        <v/>
      </c>
      <c r="G1834" s="19"/>
      <c r="H1834" s="19"/>
      <c r="I1834" s="19"/>
      <c r="J1834" s="19"/>
      <c r="K1834" s="233"/>
    </row>
    <row r="1835" spans="1:11" ht="12" customHeight="1">
      <c r="A1835" s="219" t="n" cm="1">
        <f t="array" ref="A1835">IFERROR(INDEX('03.Muestra'!$B$8:$B$42,SMALL(IF("Página Web"='03.Muestra'!$D$8:$D$42,ROW('03.Muestra'!$B$8:$B$42)-MIN(ROW('03.Muestra'!$D$8:$D$42))+1,""),ROW()-1804)),"")</f>
        <v>1.0</v>
      </c>
      <c r="B1835" s="114" t="str" cm="1">
        <f t="array" ref="B1835">IFERROR(INDEX('03.Muestra'!$C$8:$C$42,SMALL(IF("Página Web"='03.Muestra'!$D$8:$D$42,ROW('03.Muestra'!$C$8:$C$42)-MIN(ROW('03.Muestra'!$D$8:$D$42))+1,""),ROW()-1804)),"")</f>
        <v>Home - PortCastelló</v>
      </c>
      <c r="C1835" s="114" t="str" cm="1">
        <f t="array" ref="C1835">IFERROR(INDEX('03.Muestra'!$F$8:$F$42,SMALL(IF("Página Web"='03.Muestra'!$D$8:$D$42,ROW('03.Muestra'!$F$8:$F$42)-MIN(ROW('03.Muestra'!$D$8:$D$42))+1,""),ROW()-1804)),"")</f>
        <v>https://www.portcastello.com/</v>
      </c>
      <c r="D1835" s="130" t="s">
        <v>37</v>
      </c>
      <c r="E1835" s="107" t="str">
        <f t="shared" si="94"/>
        <v/>
      </c>
      <c r="F1835" s="124"/>
      <c r="G1835" s="19"/>
      <c r="H1835" s="19"/>
      <c r="I1835" s="19"/>
      <c r="J1835" s="19"/>
      <c r="K1835" s="233"/>
    </row>
    <row r="1836" spans="1:11" ht="12" customHeight="1">
      <c r="A1836" s="219" t="n" cm="1">
        <f t="array" ref="A1836">IFERROR(INDEX('03.Muestra'!$B$8:$B$42,SMALL(IF("Página Web"='03.Muestra'!$D$8:$D$42,ROW('03.Muestra'!$B$8:$B$42)-MIN(ROW('03.Muestra'!$D$8:$D$42))+1,""),ROW()-1804)),"")</f>
        <v>1.0</v>
      </c>
      <c r="B1836" s="114" t="str" cm="1">
        <f t="array" ref="B1836">IFERROR(INDEX('03.Muestra'!$C$8:$C$42,SMALL(IF("Página Web"='03.Muestra'!$D$8:$D$42,ROW('03.Muestra'!$C$8:$C$42)-MIN(ROW('03.Muestra'!$D$8:$D$42))+1,""),ROW()-1804)),"")</f>
        <v>Home - PortCastelló</v>
      </c>
      <c r="C1836" s="114" t="str" cm="1">
        <f t="array" ref="C1836">IFERROR(INDEX('03.Muestra'!$F$8:$F$42,SMALL(IF("Página Web"='03.Muestra'!$D$8:$D$42,ROW('03.Muestra'!$F$8:$F$42)-MIN(ROW('03.Muestra'!$D$8:$D$42))+1,""),ROW()-1804)),"")</f>
        <v>https://www.portcastello.com/</v>
      </c>
      <c r="D1836" s="130" t="s">
        <v>37</v>
      </c>
      <c r="E1836" s="107" t="str">
        <f t="shared" si="94"/>
        <v/>
      </c>
      <c r="F1836" s="124"/>
      <c r="G1836" s="19"/>
      <c r="H1836" s="19"/>
      <c r="I1836" s="19"/>
      <c r="J1836" s="19"/>
      <c r="K1836" s="233"/>
    </row>
    <row r="1837" spans="1:11" ht="12" customHeight="1">
      <c r="A1837" s="219" t="n" cm="1">
        <f t="array" ref="A1837">IFERROR(INDEX('03.Muestra'!$B$8:$B$42,SMALL(IF("Página Web"='03.Muestra'!$D$8:$D$42,ROW('03.Muestra'!$B$8:$B$42)-MIN(ROW('03.Muestra'!$D$8:$D$42))+1,""),ROW()-1804)),"")</f>
        <v>1.0</v>
      </c>
      <c r="B1837" s="114" t="str" cm="1">
        <f t="array" ref="B1837">IFERROR(INDEX('03.Muestra'!$C$8:$C$42,SMALL(IF("Página Web"='03.Muestra'!$D$8:$D$42,ROW('03.Muestra'!$C$8:$C$42)-MIN(ROW('03.Muestra'!$D$8:$D$42))+1,""),ROW()-1804)),"")</f>
        <v>Home - PortCastelló</v>
      </c>
      <c r="C1837" s="114" t="str" cm="1">
        <f t="array" ref="C1837">IFERROR(INDEX('03.Muestra'!$F$8:$F$42,SMALL(IF("Página Web"='03.Muestra'!$D$8:$D$42,ROW('03.Muestra'!$F$8:$F$42)-MIN(ROW('03.Muestra'!$D$8:$D$42))+1,""),ROW()-1804)),"")</f>
        <v>https://www.portcastello.com/</v>
      </c>
      <c r="D1837" s="130" t="s">
        <v>37</v>
      </c>
      <c r="E1837" s="107" t="str">
        <f t="shared" si="94"/>
        <v/>
      </c>
      <c r="F1837" s="124"/>
      <c r="G1837" s="19"/>
      <c r="H1837" s="19"/>
      <c r="I1837" s="19"/>
      <c r="J1837" s="19"/>
      <c r="K1837" s="233"/>
    </row>
    <row r="1838" spans="1:11" ht="12" customHeight="1">
      <c r="A1838" s="219" t="str" cm="1">
        <f t="array" ref="A1838">IFERROR(INDEX('03.Muestra'!$B$8:$B$42,SMALL(IF("Página Web"='03.Muestra'!$D$8:$D$42,ROW('03.Muestra'!$B$8:$B$42)-MIN(ROW('03.Muestra'!$D$8:$D$42))+1,""),ROW()-1804)),"")</f>
        <v/>
      </c>
      <c r="B1838" s="114" t="str" cm="1">
        <f t="array" ref="B1838">IFERROR(INDEX('03.Muestra'!$C$8:$C$42,SMALL(IF("Página Web"='03.Muestra'!$D$8:$D$42,ROW('03.Muestra'!$C$8:$C$42)-MIN(ROW('03.Muestra'!$D$8:$D$42))+1,""),ROW()-1804)),"")</f>
        <v/>
      </c>
      <c r="C1838" s="114" t="str" cm="1">
        <f t="array" ref="C1838">IFERROR(INDEX('03.Muestra'!$F$8:$F$42,SMALL(IF("Página Web"='03.Muestra'!$D$8:$D$42,ROW('03.Muestra'!$F$8:$F$42)-MIN(ROW('03.Muestra'!$D$8:$D$42))+1,""),ROW()-1804)),"")</f>
        <v/>
      </c>
      <c r="D1838" s="130" t="str">
        <f t="shared" si="95" ref="D1838:D1839">IF(AND(B1838&lt;&gt;"",C1838&lt;&gt;""),"N/T","")</f>
        <v/>
      </c>
      <c r="E1838" s="107" t="str">
        <f t="shared" si="94"/>
        <v/>
      </c>
      <c r="F1838" s="124"/>
      <c r="G1838" s="19"/>
      <c r="H1838" s="19"/>
      <c r="I1838" s="19"/>
      <c r="J1838" s="19"/>
      <c r="K1838" s="233"/>
    </row>
    <row r="1839" spans="1:11" ht="12" customHeight="1">
      <c r="A1839" s="219" t="str" cm="1">
        <f t="array" ref="A1839">IFERROR(INDEX('03.Muestra'!$B$8:$B$42,SMALL(IF("Página Web"='03.Muestra'!$D$8:$D$42,ROW('03.Muestra'!$B$8:$B$42)-MIN(ROW('03.Muestra'!$D$8:$D$42))+1,""),ROW()-1804)),"")</f>
        <v/>
      </c>
      <c r="B1839" s="114" t="str" cm="1">
        <f t="array" ref="B1839">IFERROR(INDEX('03.Muestra'!$C$8:$C$42,SMALL(IF("Página Web"='03.Muestra'!$D$8:$D$42,ROW('03.Muestra'!$C$8:$C$42)-MIN(ROW('03.Muestra'!$D$8:$D$42))+1,""),ROW()-1804)),"")</f>
        <v/>
      </c>
      <c r="C1839" s="114" t="str" cm="1">
        <f t="array" ref="C1839">IFERROR(INDEX('03.Muestra'!$F$8:$F$42,SMALL(IF("Página Web"='03.Muestra'!$D$8:$D$42,ROW('03.Muestra'!$F$8:$F$42)-MIN(ROW('03.Muestra'!$D$8:$D$42))+1,""),ROW()-1804)),"")</f>
        <v/>
      </c>
      <c r="D1839" s="130" t="str">
        <f t="shared" si="95"/>
        <v/>
      </c>
      <c r="E1839" s="107" t="str">
        <f t="shared" si="94"/>
        <v/>
      </c>
      <c r="F1839" s="19"/>
      <c r="G1839" s="19"/>
      <c r="H1839" s="19"/>
      <c r="I1839" s="19"/>
      <c r="J1839" s="19"/>
      <c r="K1839" s="233"/>
    </row>
    <row r="1840" spans="1:11" ht="12" customHeight="1">
      <c r="B1840" s="19"/>
      <c r="C1840" s="19"/>
      <c r="D1840" s="107"/>
      <c r="E1840" s="19"/>
      <c r="F1840" s="19"/>
      <c r="G1840" s="19"/>
      <c r="H1840" s="19"/>
      <c r="I1840" s="19"/>
      <c r="J1840" s="19"/>
      <c r="K1840" s="233"/>
    </row>
    <row r="1841" spans="1:11" ht="12" customHeight="1">
      <c r="B1841" s="19"/>
      <c r="C1841" s="19"/>
      <c r="D1841" s="107"/>
      <c r="E1841" s="112"/>
      <c r="F1841" s="19"/>
      <c r="G1841" s="19"/>
      <c r="H1841" s="19"/>
      <c r="I1841" s="19"/>
      <c r="J1841" s="19"/>
      <c r="K1841" s="233"/>
    </row>
    <row r="1842" spans="1:11" ht="29.25" customHeight="1">
      <c r="A1842" s="218" t="s">
        <v>268</v>
      </c>
      <c r="B1842" s="24" t="s">
        <v>90</v>
      </c>
      <c r="C1842" s="25" t="s">
        <v>421</v>
      </c>
      <c r="D1842" s="26" t="s">
        <v>32</v>
      </c>
      <c r="E1842" s="123"/>
      <c r="K1842" s="233"/>
    </row>
    <row r="1843" spans="1:11" ht="12" customHeight="1">
      <c r="A1843" s="219" t="n" cm="1">
        <f t="array" ref="A1843">IFERROR(INDEX('03.Muestra'!$B$8:$B$42,SMALL(IF("Página Web"='03.Muestra'!$D$8:$D$42,ROW('03.Muestra'!$B$8:$B$42)-MIN(ROW('03.Muestra'!$D$8:$D$42))+1,""),ROW()-1842)),"")</f>
        <v>1.0</v>
      </c>
      <c r="B1843" s="114" t="str" cm="1">
        <f t="array" ref="B1843">IFERROR(INDEX('03.Muestra'!$C$8:$C$42,SMALL(IF("Página Web"='03.Muestra'!$D$8:$D$42,ROW('03.Muestra'!$C$8:$C$42)-MIN(ROW('03.Muestra'!$D$8:$D$42))+1,""),ROW()-1842)),"")</f>
        <v>Home - PortCastelló</v>
      </c>
      <c r="C1843" s="114" t="str" cm="1">
        <f t="array" ref="C1843">IFERROR(INDEX('03.Muestra'!$F$8:$F$42,SMALL(IF("Página Web"='03.Muestra'!$D$8:$D$42,ROW('03.Muestra'!$F$8:$F$42)-MIN(ROW('03.Muestra'!$D$8:$D$42))+1,""),ROW()-1842)),"")</f>
        <v>https://www.portcastello.com/</v>
      </c>
      <c r="D1843" s="130" t="str">
        <f>IF(AND(B1843&lt;&gt;"",C1843&lt;&gt;""),"N/T","")</f>
        <v>N/T</v>
      </c>
      <c r="E1843" s="107" t="str">
        <f t="shared" ref="E1843:E1877" si="96">IF(D1843&lt;&gt;"",IF(AND(B1843&lt;&gt;"",C1843&lt;&gt;""),"","ERR"),"")</f>
        <v/>
      </c>
      <c r="F1843" s="115" t="s">
        <v>33</v>
      </c>
      <c r="G1843" s="116" t="s">
        <v>37</v>
      </c>
      <c r="H1843" s="117" t="s">
        <v>35</v>
      </c>
      <c r="I1843" s="118" t="s">
        <v>28</v>
      </c>
      <c r="J1843" s="119" t="s">
        <v>26</v>
      </c>
      <c r="K1843" s="226" t="s">
        <v>474</v>
      </c>
    </row>
    <row r="1844" spans="1:11" ht="12" customHeight="1">
      <c r="A1844" s="219" t="n" cm="1">
        <f t="array" ref="A1844">IFERROR(INDEX('03.Muestra'!$B$8:$B$42,SMALL(IF("Página Web"='03.Muestra'!$D$8:$D$42,ROW('03.Muestra'!$B$8:$B$42)-MIN(ROW('03.Muestra'!$D$8:$D$42))+1,""),ROW()-1842)),"")</f>
        <v>1.0</v>
      </c>
      <c r="B1844" s="114" t="str" cm="1">
        <f t="array" ref="B1844">IFERROR(INDEX('03.Muestra'!$C$8:$C$42,SMALL(IF("Página Web"='03.Muestra'!$D$8:$D$42,ROW('03.Muestra'!$C$8:$C$42)-MIN(ROW('03.Muestra'!$D$8:$D$42))+1,""),ROW()-1842)),"")</f>
        <v>Home - PortCastelló</v>
      </c>
      <c r="C1844" s="114" t="str" cm="1">
        <f t="array" ref="C1844">IFERROR(INDEX('03.Muestra'!$F$8:$F$42,SMALL(IF("Página Web"='03.Muestra'!$D$8:$D$42,ROW('03.Muestra'!$F$8:$F$42)-MIN(ROW('03.Muestra'!$D$8:$D$42))+1,""),ROW()-1842)),"")</f>
        <v>https://www.portcastello.com/</v>
      </c>
      <c r="D1844" s="130" t="str">
        <f t="shared" ref="D1844:D1877" si="97">IF(AND(B1844&lt;&gt;"",C1844&lt;&gt;""),"N/T","")</f>
        <v>N/T</v>
      </c>
      <c r="E1844" s="107" t="str">
        <f t="shared" si="96"/>
        <v/>
      </c>
      <c r="F1844" s="120" t="n">
        <f ca="1">COUNTIF($D1843:INDIRECT("$D" &amp;  SUM(ROW()-1,'03.Muestra'!$D$45)-1),F1843)</f>
        <v>33.0</v>
      </c>
      <c r="G1844" s="120" t="n">
        <f ca="1">COUNTIF($D1843:INDIRECT("$D" &amp;  SUM(ROW()-1,'03.Muestra'!$D$45)-1),G1843)</f>
        <v>0.0</v>
      </c>
      <c r="H1844" s="120" t="n">
        <f ca="1">COUNTIF($D1843:INDIRECT("$D" &amp;  SUM(ROW()-1,'03.Muestra'!$D$45)-1),H1843)</f>
        <v>0.0</v>
      </c>
      <c r="I1844" s="120" t="n">
        <f ca="1">COUNTIF($D1843:INDIRECT("$D" &amp;  SUM(ROW()-1,'03.Muestra'!$D$45)-1),I1843)</f>
        <v>0.0</v>
      </c>
      <c r="J1844" s="120" t="n">
        <f ca="1">COUNTIF($D1843:INDIRECT("$D" &amp;  SUM(ROW()-1,'03.Muestra'!$D$45)-1),J1843)</f>
        <v>0.0</v>
      </c>
      <c r="K1844" s="227" t="n">
        <f ca="1">IF(COUNTIF('03.Muestra'!$D$8:$D$42,"Página Web")=0,0,COUNTBLANK($D1843:INDIRECT("$D" &amp;  SUM(ROW()-1,COUNTIF('03.Muestra'!$D$8:$D$42,"Página Web"))-1)))</f>
        <v>0.0</v>
      </c>
    </row>
    <row r="1845" spans="1:11" ht="12" customHeight="1">
      <c r="A1845" s="219" t="n" cm="1">
        <f t="array" ref="A1845">IFERROR(INDEX('03.Muestra'!$B$8:$B$42,SMALL(IF("Página Web"='03.Muestra'!$D$8:$D$42,ROW('03.Muestra'!$B$8:$B$42)-MIN(ROW('03.Muestra'!$D$8:$D$42))+1,""),ROW()-1842)),"")</f>
        <v>1.0</v>
      </c>
      <c r="B1845" s="114" t="str" cm="1">
        <f t="array" ref="B1845">IFERROR(INDEX('03.Muestra'!$C$8:$C$42,SMALL(IF("Página Web"='03.Muestra'!$D$8:$D$42,ROW('03.Muestra'!$C$8:$C$42)-MIN(ROW('03.Muestra'!$D$8:$D$42))+1,""),ROW()-1842)),"")</f>
        <v>Home - PortCastelló</v>
      </c>
      <c r="C1845" s="114" t="str" cm="1">
        <f t="array" ref="C1845">IFERROR(INDEX('03.Muestra'!$F$8:$F$42,SMALL(IF("Página Web"='03.Muestra'!$D$8:$D$42,ROW('03.Muestra'!$F$8:$F$42)-MIN(ROW('03.Muestra'!$D$8:$D$42))+1,""),ROW()-1842)),"")</f>
        <v>https://www.portcastello.com/</v>
      </c>
      <c r="D1845" s="130" t="str">
        <f t="shared" si="97"/>
        <v>N/T</v>
      </c>
      <c r="E1845" s="107" t="str">
        <f t="shared" si="96"/>
        <v/>
      </c>
      <c r="G1845" s="19"/>
      <c r="H1845" s="19"/>
      <c r="I1845" s="19"/>
      <c r="J1845" s="19"/>
      <c r="K1845" s="233"/>
    </row>
    <row r="1846" spans="1:11" ht="12" customHeight="1">
      <c r="A1846" s="219" t="n" cm="1">
        <f t="array" ref="A1846">IFERROR(INDEX('03.Muestra'!$B$8:$B$42,SMALL(IF("Página Web"='03.Muestra'!$D$8:$D$42,ROW('03.Muestra'!$B$8:$B$42)-MIN(ROW('03.Muestra'!$D$8:$D$42))+1,""),ROW()-1842)),"")</f>
        <v>1.0</v>
      </c>
      <c r="B1846" s="114" t="str" cm="1">
        <f t="array" ref="B1846">IFERROR(INDEX('03.Muestra'!$C$8:$C$42,SMALL(IF("Página Web"='03.Muestra'!$D$8:$D$42,ROW('03.Muestra'!$C$8:$C$42)-MIN(ROW('03.Muestra'!$D$8:$D$42))+1,""),ROW()-1842)),"")</f>
        <v>Home - PortCastelló</v>
      </c>
      <c r="C1846" s="114" t="str" cm="1">
        <f t="array" ref="C1846">IFERROR(INDEX('03.Muestra'!$F$8:$F$42,SMALL(IF("Página Web"='03.Muestra'!$D$8:$D$42,ROW('03.Muestra'!$F$8:$F$42)-MIN(ROW('03.Muestra'!$D$8:$D$42))+1,""),ROW()-1842)),"")</f>
        <v>https://www.portcastello.com/</v>
      </c>
      <c r="D1846" s="130" t="str">
        <f t="shared" si="97"/>
        <v>N/T</v>
      </c>
      <c r="E1846" s="107" t="str">
        <f t="shared" si="96"/>
        <v/>
      </c>
      <c r="G1846" s="19"/>
      <c r="H1846" s="19"/>
      <c r="I1846" s="19"/>
      <c r="J1846" s="19"/>
      <c r="K1846" s="233"/>
    </row>
    <row r="1847" spans="1:11" ht="12" customHeight="1">
      <c r="A1847" s="219" t="n" cm="1">
        <f t="array" ref="A1847">IFERROR(INDEX('03.Muestra'!$B$8:$B$42,SMALL(IF("Página Web"='03.Muestra'!$D$8:$D$42,ROW('03.Muestra'!$B$8:$B$42)-MIN(ROW('03.Muestra'!$D$8:$D$42))+1,""),ROW()-1842)),"")</f>
        <v>1.0</v>
      </c>
      <c r="B1847" s="114" t="str" cm="1">
        <f t="array" ref="B1847">IFERROR(INDEX('03.Muestra'!$C$8:$C$42,SMALL(IF("Página Web"='03.Muestra'!$D$8:$D$42,ROW('03.Muestra'!$C$8:$C$42)-MIN(ROW('03.Muestra'!$D$8:$D$42))+1,""),ROW()-1842)),"")</f>
        <v>Home - PortCastelló</v>
      </c>
      <c r="C1847" s="114" t="str" cm="1">
        <f t="array" ref="C1847">IFERROR(INDEX('03.Muestra'!$F$8:$F$42,SMALL(IF("Página Web"='03.Muestra'!$D$8:$D$42,ROW('03.Muestra'!$F$8:$F$42)-MIN(ROW('03.Muestra'!$D$8:$D$42))+1,""),ROW()-1842)),"")</f>
        <v>https://www.portcastello.com/</v>
      </c>
      <c r="D1847" s="130" t="str">
        <f t="shared" si="97"/>
        <v>N/T</v>
      </c>
      <c r="E1847" s="107" t="str">
        <f t="shared" si="96"/>
        <v/>
      </c>
      <c r="G1847" s="19"/>
      <c r="H1847" s="19"/>
      <c r="I1847" s="19"/>
      <c r="J1847" s="19"/>
      <c r="K1847" s="233"/>
    </row>
    <row r="1848" spans="1:11" ht="12" customHeight="1">
      <c r="A1848" s="219" t="n" cm="1">
        <f t="array" ref="A1848">IFERROR(INDEX('03.Muestra'!$B$8:$B$42,SMALL(IF("Página Web"='03.Muestra'!$D$8:$D$42,ROW('03.Muestra'!$B$8:$B$42)-MIN(ROW('03.Muestra'!$D$8:$D$42))+1,""),ROW()-1842)),"")</f>
        <v>1.0</v>
      </c>
      <c r="B1848" s="114" t="str" cm="1">
        <f t="array" ref="B1848">IFERROR(INDEX('03.Muestra'!$C$8:$C$42,SMALL(IF("Página Web"='03.Muestra'!$D$8:$D$42,ROW('03.Muestra'!$C$8:$C$42)-MIN(ROW('03.Muestra'!$D$8:$D$42))+1,""),ROW()-1842)),"")</f>
        <v>Home - PortCastelló</v>
      </c>
      <c r="C1848" s="114" t="str" cm="1">
        <f t="array" ref="C1848">IFERROR(INDEX('03.Muestra'!$F$8:$F$42,SMALL(IF("Página Web"='03.Muestra'!$D$8:$D$42,ROW('03.Muestra'!$F$8:$F$42)-MIN(ROW('03.Muestra'!$D$8:$D$42))+1,""),ROW()-1842)),"")</f>
        <v>https://www.portcastello.com/</v>
      </c>
      <c r="D1848" s="130" t="str">
        <f t="shared" si="97"/>
        <v>N/T</v>
      </c>
      <c r="E1848" s="107" t="str">
        <f t="shared" si="96"/>
        <v/>
      </c>
      <c r="G1848" s="19"/>
      <c r="H1848" s="19"/>
      <c r="I1848" s="19"/>
      <c r="J1848" s="19"/>
      <c r="K1848" s="233"/>
    </row>
    <row r="1849" spans="1:11" ht="12" customHeight="1">
      <c r="A1849" s="219" t="n" cm="1">
        <f t="array" ref="A1849">IFERROR(INDEX('03.Muestra'!$B$8:$B$42,SMALL(IF("Página Web"='03.Muestra'!$D$8:$D$42,ROW('03.Muestra'!$B$8:$B$42)-MIN(ROW('03.Muestra'!$D$8:$D$42))+1,""),ROW()-1842)),"")</f>
        <v>1.0</v>
      </c>
      <c r="B1849" s="114" t="str" cm="1">
        <f t="array" ref="B1849">IFERROR(INDEX('03.Muestra'!$C$8:$C$42,SMALL(IF("Página Web"='03.Muestra'!$D$8:$D$42,ROW('03.Muestra'!$C$8:$C$42)-MIN(ROW('03.Muestra'!$D$8:$D$42))+1,""),ROW()-1842)),"")</f>
        <v>Home - PortCastelló</v>
      </c>
      <c r="C1849" s="114" t="str" cm="1">
        <f t="array" ref="C1849">IFERROR(INDEX('03.Muestra'!$F$8:$F$42,SMALL(IF("Página Web"='03.Muestra'!$D$8:$D$42,ROW('03.Muestra'!$F$8:$F$42)-MIN(ROW('03.Muestra'!$D$8:$D$42))+1,""),ROW()-1842)),"")</f>
        <v>https://www.portcastello.com/</v>
      </c>
      <c r="D1849" s="130" t="str">
        <f t="shared" si="97"/>
        <v>N/T</v>
      </c>
      <c r="E1849" s="107" t="str">
        <f t="shared" si="96"/>
        <v/>
      </c>
      <c r="F1849" s="19"/>
      <c r="G1849" s="19"/>
      <c r="H1849" s="19"/>
      <c r="I1849" s="19"/>
      <c r="J1849" s="19"/>
      <c r="K1849" s="233"/>
    </row>
    <row r="1850" spans="1:11" ht="12" customHeight="1">
      <c r="A1850" s="219" t="n" cm="1">
        <f t="array" ref="A1850">IFERROR(INDEX('03.Muestra'!$B$8:$B$42,SMALL(IF("Página Web"='03.Muestra'!$D$8:$D$42,ROW('03.Muestra'!$B$8:$B$42)-MIN(ROW('03.Muestra'!$D$8:$D$42))+1,""),ROW()-1842)),"")</f>
        <v>1.0</v>
      </c>
      <c r="B1850" s="114" t="str" cm="1">
        <f t="array" ref="B1850">IFERROR(INDEX('03.Muestra'!$C$8:$C$42,SMALL(IF("Página Web"='03.Muestra'!$D$8:$D$42,ROW('03.Muestra'!$C$8:$C$42)-MIN(ROW('03.Muestra'!$D$8:$D$42))+1,""),ROW()-1842)),"")</f>
        <v>Home - PortCastelló</v>
      </c>
      <c r="C1850" s="114" t="str" cm="1">
        <f t="array" ref="C1850">IFERROR(INDEX('03.Muestra'!$F$8:$F$42,SMALL(IF("Página Web"='03.Muestra'!$D$8:$D$42,ROW('03.Muestra'!$F$8:$F$42)-MIN(ROW('03.Muestra'!$D$8:$D$42))+1,""),ROW()-1842)),"")</f>
        <v>https://www.portcastello.com/</v>
      </c>
      <c r="D1850" s="130" t="str">
        <f t="shared" si="97"/>
        <v>N/T</v>
      </c>
      <c r="E1850" s="107" t="str">
        <f t="shared" si="96"/>
        <v/>
      </c>
      <c r="F1850" s="19"/>
      <c r="G1850" s="19"/>
      <c r="H1850" s="19"/>
      <c r="I1850" s="19"/>
      <c r="J1850" s="19"/>
      <c r="K1850" s="233"/>
    </row>
    <row r="1851" spans="1:11" ht="12" customHeight="1">
      <c r="A1851" s="219" t="n" cm="1">
        <f t="array" ref="A1851">IFERROR(INDEX('03.Muestra'!$B$8:$B$42,SMALL(IF("Página Web"='03.Muestra'!$D$8:$D$42,ROW('03.Muestra'!$B$8:$B$42)-MIN(ROW('03.Muestra'!$D$8:$D$42))+1,""),ROW()-1842)),"")</f>
        <v>1.0</v>
      </c>
      <c r="B1851" s="114" t="str" cm="1">
        <f t="array" ref="B1851">IFERROR(INDEX('03.Muestra'!$C$8:$C$42,SMALL(IF("Página Web"='03.Muestra'!$D$8:$D$42,ROW('03.Muestra'!$C$8:$C$42)-MIN(ROW('03.Muestra'!$D$8:$D$42))+1,""),ROW()-1842)),"")</f>
        <v>Home - PortCastelló</v>
      </c>
      <c r="C1851" s="114" t="str" cm="1">
        <f t="array" ref="C1851">IFERROR(INDEX('03.Muestra'!$F$8:$F$42,SMALL(IF("Página Web"='03.Muestra'!$D$8:$D$42,ROW('03.Muestra'!$F$8:$F$42)-MIN(ROW('03.Muestra'!$D$8:$D$42))+1,""),ROW()-1842)),"")</f>
        <v>https://www.portcastello.com/</v>
      </c>
      <c r="D1851" s="130" t="str">
        <f t="shared" si="97"/>
        <v>N/T</v>
      </c>
      <c r="E1851" s="107" t="str">
        <f t="shared" si="96"/>
        <v/>
      </c>
      <c r="F1851" s="19"/>
      <c r="G1851" s="19"/>
      <c r="H1851" s="19"/>
      <c r="I1851" s="19"/>
      <c r="J1851" s="19"/>
      <c r="K1851" s="233"/>
    </row>
    <row r="1852" spans="1:11" ht="12" customHeight="1">
      <c r="A1852" s="219" t="n" cm="1">
        <f t="array" ref="A1852">IFERROR(INDEX('03.Muestra'!$B$8:$B$42,SMALL(IF("Página Web"='03.Muestra'!$D$8:$D$42,ROW('03.Muestra'!$B$8:$B$42)-MIN(ROW('03.Muestra'!$D$8:$D$42))+1,""),ROW()-1842)),"")</f>
        <v>1.0</v>
      </c>
      <c r="B1852" s="114" t="str" cm="1">
        <f t="array" ref="B1852">IFERROR(INDEX('03.Muestra'!$C$8:$C$42,SMALL(IF("Página Web"='03.Muestra'!$D$8:$D$42,ROW('03.Muestra'!$C$8:$C$42)-MIN(ROW('03.Muestra'!$D$8:$D$42))+1,""),ROW()-1842)),"")</f>
        <v>Home - PortCastelló</v>
      </c>
      <c r="C1852" s="114" t="str" cm="1">
        <f t="array" ref="C1852">IFERROR(INDEX('03.Muestra'!$F$8:$F$42,SMALL(IF("Página Web"='03.Muestra'!$D$8:$D$42,ROW('03.Muestra'!$F$8:$F$42)-MIN(ROW('03.Muestra'!$D$8:$D$42))+1,""),ROW()-1842)),"")</f>
        <v>https://www.portcastello.com/</v>
      </c>
      <c r="D1852" s="130" t="str">
        <f t="shared" si="97"/>
        <v>N/T</v>
      </c>
      <c r="E1852" s="107" t="str">
        <f t="shared" si="96"/>
        <v/>
      </c>
      <c r="F1852" s="19"/>
      <c r="G1852" s="19"/>
      <c r="H1852" s="19"/>
      <c r="I1852" s="19"/>
      <c r="J1852" s="19"/>
      <c r="K1852" s="233"/>
    </row>
    <row r="1853" spans="1:11" ht="12" customHeight="1">
      <c r="A1853" s="219" t="n" cm="1">
        <f t="array" ref="A1853">IFERROR(INDEX('03.Muestra'!$B$8:$B$42,SMALL(IF("Página Web"='03.Muestra'!$D$8:$D$42,ROW('03.Muestra'!$B$8:$B$42)-MIN(ROW('03.Muestra'!$D$8:$D$42))+1,""),ROW()-1842)),"")</f>
        <v>1.0</v>
      </c>
      <c r="B1853" s="114" t="str" cm="1">
        <f t="array" ref="B1853">IFERROR(INDEX('03.Muestra'!$C$8:$C$42,SMALL(IF("Página Web"='03.Muestra'!$D$8:$D$42,ROW('03.Muestra'!$C$8:$C$42)-MIN(ROW('03.Muestra'!$D$8:$D$42))+1,""),ROW()-1842)),"")</f>
        <v>Home - PortCastelló</v>
      </c>
      <c r="C1853" s="114" t="str" cm="1">
        <f t="array" ref="C1853">IFERROR(INDEX('03.Muestra'!$F$8:$F$42,SMALL(IF("Página Web"='03.Muestra'!$D$8:$D$42,ROW('03.Muestra'!$F$8:$F$42)-MIN(ROW('03.Muestra'!$D$8:$D$42))+1,""),ROW()-1842)),"")</f>
        <v>https://www.portcastello.com/</v>
      </c>
      <c r="D1853" s="130" t="str">
        <f t="shared" si="97"/>
        <v>N/T</v>
      </c>
      <c r="E1853" s="107" t="str">
        <f t="shared" si="96"/>
        <v/>
      </c>
      <c r="F1853" s="19"/>
      <c r="G1853" s="19"/>
      <c r="H1853" s="19"/>
      <c r="I1853" s="19"/>
      <c r="J1853" s="19"/>
      <c r="K1853" s="233"/>
    </row>
    <row r="1854" spans="1:11" ht="12" customHeight="1">
      <c r="A1854" s="219" t="n" cm="1">
        <f t="array" ref="A1854">IFERROR(INDEX('03.Muestra'!$B$8:$B$42,SMALL(IF("Página Web"='03.Muestra'!$D$8:$D$42,ROW('03.Muestra'!$B$8:$B$42)-MIN(ROW('03.Muestra'!$D$8:$D$42))+1,""),ROW()-1842)),"")</f>
        <v>1.0</v>
      </c>
      <c r="B1854" s="114" t="str" cm="1">
        <f t="array" ref="B1854">IFERROR(INDEX('03.Muestra'!$C$8:$C$42,SMALL(IF("Página Web"='03.Muestra'!$D$8:$D$42,ROW('03.Muestra'!$C$8:$C$42)-MIN(ROW('03.Muestra'!$D$8:$D$42))+1,""),ROW()-1842)),"")</f>
        <v>Home - PortCastelló</v>
      </c>
      <c r="C1854" s="114" t="str" cm="1">
        <f t="array" ref="C1854">IFERROR(INDEX('03.Muestra'!$F$8:$F$42,SMALL(IF("Página Web"='03.Muestra'!$D$8:$D$42,ROW('03.Muestra'!$F$8:$F$42)-MIN(ROW('03.Muestra'!$D$8:$D$42))+1,""),ROW()-1842)),"")</f>
        <v>https://www.portcastello.com/</v>
      </c>
      <c r="D1854" s="130" t="str">
        <f t="shared" si="97"/>
        <v>N/T</v>
      </c>
      <c r="E1854" s="107" t="str">
        <f t="shared" si="96"/>
        <v/>
      </c>
      <c r="F1854" s="19"/>
      <c r="G1854" s="19"/>
      <c r="H1854" s="19"/>
      <c r="I1854" s="19"/>
      <c r="J1854" s="19"/>
      <c r="K1854" s="233"/>
    </row>
    <row r="1855" spans="1:11" ht="12" customHeight="1">
      <c r="A1855" s="219" t="n" cm="1">
        <f t="array" ref="A1855">IFERROR(INDEX('03.Muestra'!$B$8:$B$42,SMALL(IF("Página Web"='03.Muestra'!$D$8:$D$42,ROW('03.Muestra'!$B$8:$B$42)-MIN(ROW('03.Muestra'!$D$8:$D$42))+1,""),ROW()-1842)),"")</f>
        <v>1.0</v>
      </c>
      <c r="B1855" s="114" t="str" cm="1">
        <f t="array" ref="B1855">IFERROR(INDEX('03.Muestra'!$C$8:$C$42,SMALL(IF("Página Web"='03.Muestra'!$D$8:$D$42,ROW('03.Muestra'!$C$8:$C$42)-MIN(ROW('03.Muestra'!$D$8:$D$42))+1,""),ROW()-1842)),"")</f>
        <v>Home - PortCastelló</v>
      </c>
      <c r="C1855" s="114" t="str" cm="1">
        <f t="array" ref="C1855">IFERROR(INDEX('03.Muestra'!$F$8:$F$42,SMALL(IF("Página Web"='03.Muestra'!$D$8:$D$42,ROW('03.Muestra'!$F$8:$F$42)-MIN(ROW('03.Muestra'!$D$8:$D$42))+1,""),ROW()-1842)),"")</f>
        <v>https://www.portcastello.com/</v>
      </c>
      <c r="D1855" s="130" t="str">
        <f t="shared" si="97"/>
        <v>N/T</v>
      </c>
      <c r="E1855" s="107" t="str">
        <f t="shared" si="96"/>
        <v/>
      </c>
      <c r="F1855" s="19"/>
      <c r="G1855" s="19"/>
      <c r="H1855" s="19"/>
      <c r="I1855" s="19"/>
      <c r="J1855" s="19"/>
      <c r="K1855" s="233"/>
    </row>
    <row r="1856" spans="1:11" ht="12" customHeight="1">
      <c r="A1856" s="219" t="n" cm="1">
        <f t="array" ref="A1856">IFERROR(INDEX('03.Muestra'!$B$8:$B$42,SMALL(IF("Página Web"='03.Muestra'!$D$8:$D$42,ROW('03.Muestra'!$B$8:$B$42)-MIN(ROW('03.Muestra'!$D$8:$D$42))+1,""),ROW()-1842)),"")</f>
        <v>1.0</v>
      </c>
      <c r="B1856" s="114" t="str" cm="1">
        <f t="array" ref="B1856">IFERROR(INDEX('03.Muestra'!$C$8:$C$42,SMALL(IF("Página Web"='03.Muestra'!$D$8:$D$42,ROW('03.Muestra'!$C$8:$C$42)-MIN(ROW('03.Muestra'!$D$8:$D$42))+1,""),ROW()-1842)),"")</f>
        <v>Home - PortCastelló</v>
      </c>
      <c r="C1856" s="114" t="str" cm="1">
        <f t="array" ref="C1856">IFERROR(INDEX('03.Muestra'!$F$8:$F$42,SMALL(IF("Página Web"='03.Muestra'!$D$8:$D$42,ROW('03.Muestra'!$F$8:$F$42)-MIN(ROW('03.Muestra'!$D$8:$D$42))+1,""),ROW()-1842)),"")</f>
        <v>https://www.portcastello.com/</v>
      </c>
      <c r="D1856" s="130" t="str">
        <f t="shared" si="97"/>
        <v>N/T</v>
      </c>
      <c r="E1856" s="107" t="str">
        <f t="shared" si="96"/>
        <v/>
      </c>
      <c r="F1856" s="19"/>
      <c r="G1856" s="19"/>
      <c r="H1856" s="19"/>
      <c r="I1856" s="19"/>
      <c r="J1856" s="19"/>
      <c r="K1856" s="233"/>
    </row>
    <row r="1857" spans="1:11" ht="12" customHeight="1">
      <c r="A1857" s="219" t="n" cm="1">
        <f t="array" ref="A1857">IFERROR(INDEX('03.Muestra'!$B$8:$B$42,SMALL(IF("Página Web"='03.Muestra'!$D$8:$D$42,ROW('03.Muestra'!$B$8:$B$42)-MIN(ROW('03.Muestra'!$D$8:$D$42))+1,""),ROW()-1842)),"")</f>
        <v>1.0</v>
      </c>
      <c r="B1857" s="114" t="str" cm="1">
        <f t="array" ref="B1857">IFERROR(INDEX('03.Muestra'!$C$8:$C$42,SMALL(IF("Página Web"='03.Muestra'!$D$8:$D$42,ROW('03.Muestra'!$C$8:$C$42)-MIN(ROW('03.Muestra'!$D$8:$D$42))+1,""),ROW()-1842)),"")</f>
        <v>Home - PortCastelló</v>
      </c>
      <c r="C1857" s="114" t="str" cm="1">
        <f t="array" ref="C1857">IFERROR(INDEX('03.Muestra'!$F$8:$F$42,SMALL(IF("Página Web"='03.Muestra'!$D$8:$D$42,ROW('03.Muestra'!$F$8:$F$42)-MIN(ROW('03.Muestra'!$D$8:$D$42))+1,""),ROW()-1842)),"")</f>
        <v>https://www.portcastello.com/</v>
      </c>
      <c r="D1857" s="130" t="str">
        <f t="shared" si="97"/>
        <v>N/T</v>
      </c>
      <c r="E1857" s="107" t="str">
        <f t="shared" si="96"/>
        <v/>
      </c>
      <c r="F1857" s="19"/>
      <c r="G1857" s="19"/>
      <c r="H1857" s="19"/>
      <c r="I1857" s="19"/>
      <c r="J1857" s="19"/>
      <c r="K1857" s="233"/>
    </row>
    <row r="1858" spans="1:11" ht="12" customHeight="1">
      <c r="A1858" s="219" t="n" cm="1">
        <f t="array" ref="A1858">IFERROR(INDEX('03.Muestra'!$B$8:$B$42,SMALL(IF("Página Web"='03.Muestra'!$D$8:$D$42,ROW('03.Muestra'!$B$8:$B$42)-MIN(ROW('03.Muestra'!$D$8:$D$42))+1,""),ROW()-1842)),"")</f>
        <v>1.0</v>
      </c>
      <c r="B1858" s="114" t="str" cm="1">
        <f t="array" ref="B1858">IFERROR(INDEX('03.Muestra'!$C$8:$C$42,SMALL(IF("Página Web"='03.Muestra'!$D$8:$D$42,ROW('03.Muestra'!$C$8:$C$42)-MIN(ROW('03.Muestra'!$D$8:$D$42))+1,""),ROW()-1842)),"")</f>
        <v>Home - PortCastelló</v>
      </c>
      <c r="C1858" s="114" t="str" cm="1">
        <f t="array" ref="C1858">IFERROR(INDEX('03.Muestra'!$F$8:$F$42,SMALL(IF("Página Web"='03.Muestra'!$D$8:$D$42,ROW('03.Muestra'!$F$8:$F$42)-MIN(ROW('03.Muestra'!$D$8:$D$42))+1,""),ROW()-1842)),"")</f>
        <v>https://www.portcastello.com/</v>
      </c>
      <c r="D1858" s="130" t="str">
        <f t="shared" si="97"/>
        <v>N/T</v>
      </c>
      <c r="E1858" s="107" t="str">
        <f t="shared" si="96"/>
        <v/>
      </c>
      <c r="F1858" s="19"/>
      <c r="G1858" s="19"/>
      <c r="H1858" s="19"/>
      <c r="I1858" s="19"/>
      <c r="J1858" s="19"/>
      <c r="K1858" s="233"/>
    </row>
    <row r="1859" spans="1:11" ht="12" customHeight="1">
      <c r="A1859" s="219" t="n" cm="1">
        <f t="array" ref="A1859">IFERROR(INDEX('03.Muestra'!$B$8:$B$42,SMALL(IF("Página Web"='03.Muestra'!$D$8:$D$42,ROW('03.Muestra'!$B$8:$B$42)-MIN(ROW('03.Muestra'!$D$8:$D$42))+1,""),ROW()-1842)),"")</f>
        <v>1.0</v>
      </c>
      <c r="B1859" s="114" t="str" cm="1">
        <f t="array" ref="B1859">IFERROR(INDEX('03.Muestra'!$C$8:$C$42,SMALL(IF("Página Web"='03.Muestra'!$D$8:$D$42,ROW('03.Muestra'!$C$8:$C$42)-MIN(ROW('03.Muestra'!$D$8:$D$42))+1,""),ROW()-1842)),"")</f>
        <v>Home - PortCastelló</v>
      </c>
      <c r="C1859" s="114" t="str" cm="1">
        <f t="array" ref="C1859">IFERROR(INDEX('03.Muestra'!$F$8:$F$42,SMALL(IF("Página Web"='03.Muestra'!$D$8:$D$42,ROW('03.Muestra'!$F$8:$F$42)-MIN(ROW('03.Muestra'!$D$8:$D$42))+1,""),ROW()-1842)),"")</f>
        <v>https://www.portcastello.com/</v>
      </c>
      <c r="D1859" s="130" t="str">
        <f t="shared" si="97"/>
        <v>N/T</v>
      </c>
      <c r="E1859" s="107" t="str">
        <f t="shared" si="96"/>
        <v/>
      </c>
      <c r="F1859" s="19"/>
      <c r="G1859" s="19"/>
      <c r="H1859" s="19"/>
      <c r="I1859" s="19"/>
      <c r="J1859" s="19"/>
      <c r="K1859" s="233"/>
    </row>
    <row r="1860" spans="1:11" ht="12" customHeight="1">
      <c r="A1860" s="219" t="n" cm="1">
        <f t="array" ref="A1860">IFERROR(INDEX('03.Muestra'!$B$8:$B$42,SMALL(IF("Página Web"='03.Muestra'!$D$8:$D$42,ROW('03.Muestra'!$B$8:$B$42)-MIN(ROW('03.Muestra'!$D$8:$D$42))+1,""),ROW()-1842)),"")</f>
        <v>1.0</v>
      </c>
      <c r="B1860" s="114" t="str" cm="1">
        <f t="array" ref="B1860">IFERROR(INDEX('03.Muestra'!$C$8:$C$42,SMALL(IF("Página Web"='03.Muestra'!$D$8:$D$42,ROW('03.Muestra'!$C$8:$C$42)-MIN(ROW('03.Muestra'!$D$8:$D$42))+1,""),ROW()-1842)),"")</f>
        <v>Home - PortCastelló</v>
      </c>
      <c r="C1860" s="114" t="str" cm="1">
        <f t="array" ref="C1860">IFERROR(INDEX('03.Muestra'!$F$8:$F$42,SMALL(IF("Página Web"='03.Muestra'!$D$8:$D$42,ROW('03.Muestra'!$F$8:$F$42)-MIN(ROW('03.Muestra'!$D$8:$D$42))+1,""),ROW()-1842)),"")</f>
        <v>https://www.portcastello.com/</v>
      </c>
      <c r="D1860" s="130" t="str">
        <f t="shared" si="97"/>
        <v>N/T</v>
      </c>
      <c r="E1860" s="107" t="str">
        <f t="shared" si="96"/>
        <v/>
      </c>
      <c r="F1860" s="19"/>
      <c r="G1860" s="19"/>
      <c r="H1860" s="19"/>
      <c r="I1860" s="19"/>
      <c r="J1860" s="19"/>
      <c r="K1860" s="233"/>
    </row>
    <row r="1861" spans="1:11" ht="12" customHeight="1">
      <c r="A1861" s="219" t="n" cm="1">
        <f t="array" ref="A1861">IFERROR(INDEX('03.Muestra'!$B$8:$B$42,SMALL(IF("Página Web"='03.Muestra'!$D$8:$D$42,ROW('03.Muestra'!$B$8:$B$42)-MIN(ROW('03.Muestra'!$D$8:$D$42))+1,""),ROW()-1842)),"")</f>
        <v>1.0</v>
      </c>
      <c r="B1861" s="114" t="str" cm="1">
        <f t="array" ref="B1861">IFERROR(INDEX('03.Muestra'!$C$8:$C$42,SMALL(IF("Página Web"='03.Muestra'!$D$8:$D$42,ROW('03.Muestra'!$C$8:$C$42)-MIN(ROW('03.Muestra'!$D$8:$D$42))+1,""),ROW()-1842)),"")</f>
        <v>Home - PortCastelló</v>
      </c>
      <c r="C1861" s="114" t="str" cm="1">
        <f t="array" ref="C1861">IFERROR(INDEX('03.Muestra'!$F$8:$F$42,SMALL(IF("Página Web"='03.Muestra'!$D$8:$D$42,ROW('03.Muestra'!$F$8:$F$42)-MIN(ROW('03.Muestra'!$D$8:$D$42))+1,""),ROW()-1842)),"")</f>
        <v>https://www.portcastello.com/</v>
      </c>
      <c r="D1861" s="130" t="str">
        <f t="shared" si="97"/>
        <v>N/T</v>
      </c>
      <c r="E1861" s="107" t="str">
        <f t="shared" si="96"/>
        <v/>
      </c>
      <c r="F1861" s="19"/>
      <c r="G1861" s="19"/>
      <c r="H1861" s="19"/>
      <c r="I1861" s="19"/>
      <c r="J1861" s="19"/>
      <c r="K1861" s="233"/>
    </row>
    <row r="1862" spans="1:11" ht="12" customHeight="1">
      <c r="A1862" s="219" t="n" cm="1">
        <f t="array" ref="A1862">IFERROR(INDEX('03.Muestra'!$B$8:$B$42,SMALL(IF("Página Web"='03.Muestra'!$D$8:$D$42,ROW('03.Muestra'!$B$8:$B$42)-MIN(ROW('03.Muestra'!$D$8:$D$42))+1,""),ROW()-1842)),"")</f>
        <v>1.0</v>
      </c>
      <c r="B1862" s="114" t="str" cm="1">
        <f t="array" ref="B1862">IFERROR(INDEX('03.Muestra'!$C$8:$C$42,SMALL(IF("Página Web"='03.Muestra'!$D$8:$D$42,ROW('03.Muestra'!$C$8:$C$42)-MIN(ROW('03.Muestra'!$D$8:$D$42))+1,""),ROW()-1842)),"")</f>
        <v>Home - PortCastelló</v>
      </c>
      <c r="C1862" s="114" t="str" cm="1">
        <f t="array" ref="C1862">IFERROR(INDEX('03.Muestra'!$F$8:$F$42,SMALL(IF("Página Web"='03.Muestra'!$D$8:$D$42,ROW('03.Muestra'!$F$8:$F$42)-MIN(ROW('03.Muestra'!$D$8:$D$42))+1,""),ROW()-1842)),"")</f>
        <v>https://www.portcastello.com/</v>
      </c>
      <c r="D1862" s="130" t="str">
        <f t="shared" si="97"/>
        <v>N/T</v>
      </c>
      <c r="E1862" s="107" t="str">
        <f t="shared" si="96"/>
        <v/>
      </c>
      <c r="F1862" s="19"/>
      <c r="G1862" s="19"/>
      <c r="H1862" s="19"/>
      <c r="I1862" s="19"/>
      <c r="J1862" s="19"/>
      <c r="K1862" s="233"/>
    </row>
    <row r="1863" spans="1:11" ht="12" customHeight="1">
      <c r="A1863" s="219" t="n" cm="1">
        <f t="array" ref="A1863">IFERROR(INDEX('03.Muestra'!$B$8:$B$42,SMALL(IF("Página Web"='03.Muestra'!$D$8:$D$42,ROW('03.Muestra'!$B$8:$B$42)-MIN(ROW('03.Muestra'!$D$8:$D$42))+1,""),ROW()-1842)),"")</f>
        <v>1.0</v>
      </c>
      <c r="B1863" s="114" t="str" cm="1">
        <f t="array" ref="B1863">IFERROR(INDEX('03.Muestra'!$C$8:$C$42,SMALL(IF("Página Web"='03.Muestra'!$D$8:$D$42,ROW('03.Muestra'!$C$8:$C$42)-MIN(ROW('03.Muestra'!$D$8:$D$42))+1,""),ROW()-1842)),"")</f>
        <v>Home - PortCastelló</v>
      </c>
      <c r="C1863" s="114" t="str" cm="1">
        <f t="array" ref="C1863">IFERROR(INDEX('03.Muestra'!$F$8:$F$42,SMALL(IF("Página Web"='03.Muestra'!$D$8:$D$42,ROW('03.Muestra'!$F$8:$F$42)-MIN(ROW('03.Muestra'!$D$8:$D$42))+1,""),ROW()-1842)),"")</f>
        <v>https://www.portcastello.com/</v>
      </c>
      <c r="D1863" s="130" t="str">
        <f t="shared" si="97"/>
        <v>N/T</v>
      </c>
      <c r="E1863" s="107" t="str">
        <f t="shared" si="96"/>
        <v/>
      </c>
      <c r="F1863" s="19"/>
      <c r="G1863" s="19"/>
      <c r="H1863" s="19"/>
      <c r="I1863" s="19"/>
      <c r="J1863" s="19"/>
      <c r="K1863" s="233"/>
    </row>
    <row r="1864" spans="1:11" ht="12" customHeight="1">
      <c r="A1864" s="219" t="n" cm="1">
        <f t="array" ref="A1864">IFERROR(INDEX('03.Muestra'!$B$8:$B$42,SMALL(IF("Página Web"='03.Muestra'!$D$8:$D$42,ROW('03.Muestra'!$B$8:$B$42)-MIN(ROW('03.Muestra'!$D$8:$D$42))+1,""),ROW()-1842)),"")</f>
        <v>1.0</v>
      </c>
      <c r="B1864" s="114" t="str" cm="1">
        <f t="array" ref="B1864">IFERROR(INDEX('03.Muestra'!$C$8:$C$42,SMALL(IF("Página Web"='03.Muestra'!$D$8:$D$42,ROW('03.Muestra'!$C$8:$C$42)-MIN(ROW('03.Muestra'!$D$8:$D$42))+1,""),ROW()-1842)),"")</f>
        <v>Home - PortCastelló</v>
      </c>
      <c r="C1864" s="114" t="str" cm="1">
        <f t="array" ref="C1864">IFERROR(INDEX('03.Muestra'!$F$8:$F$42,SMALL(IF("Página Web"='03.Muestra'!$D$8:$D$42,ROW('03.Muestra'!$F$8:$F$42)-MIN(ROW('03.Muestra'!$D$8:$D$42))+1,""),ROW()-1842)),"")</f>
        <v>https://www.portcastello.com/</v>
      </c>
      <c r="D1864" s="130" t="str">
        <f t="shared" si="97"/>
        <v>N/T</v>
      </c>
      <c r="E1864" s="107" t="str">
        <f t="shared" si="96"/>
        <v/>
      </c>
      <c r="F1864" s="19"/>
      <c r="G1864" s="19"/>
      <c r="H1864" s="19"/>
      <c r="I1864" s="19"/>
      <c r="J1864" s="19"/>
      <c r="K1864" s="233"/>
    </row>
    <row r="1865" spans="1:11" ht="12" customHeight="1">
      <c r="A1865" s="219" t="n" cm="1">
        <f t="array" ref="A1865">IFERROR(INDEX('03.Muestra'!$B$8:$B$42,SMALL(IF("Página Web"='03.Muestra'!$D$8:$D$42,ROW('03.Muestra'!$B$8:$B$42)-MIN(ROW('03.Muestra'!$D$8:$D$42))+1,""),ROW()-1842)),"")</f>
        <v>1.0</v>
      </c>
      <c r="B1865" s="114" t="str" cm="1">
        <f t="array" ref="B1865">IFERROR(INDEX('03.Muestra'!$C$8:$C$42,SMALL(IF("Página Web"='03.Muestra'!$D$8:$D$42,ROW('03.Muestra'!$C$8:$C$42)-MIN(ROW('03.Muestra'!$D$8:$D$42))+1,""),ROW()-1842)),"")</f>
        <v>Home - PortCastelló</v>
      </c>
      <c r="C1865" s="114" t="str" cm="1">
        <f t="array" ref="C1865">IFERROR(INDEX('03.Muestra'!$F$8:$F$42,SMALL(IF("Página Web"='03.Muestra'!$D$8:$D$42,ROW('03.Muestra'!$F$8:$F$42)-MIN(ROW('03.Muestra'!$D$8:$D$42))+1,""),ROW()-1842)),"")</f>
        <v>https://www.portcastello.com/</v>
      </c>
      <c r="D1865" s="130" t="str">
        <f t="shared" si="97"/>
        <v>N/T</v>
      </c>
      <c r="E1865" s="107" t="str">
        <f t="shared" si="96"/>
        <v/>
      </c>
      <c r="F1865" s="19"/>
      <c r="G1865" s="19"/>
      <c r="H1865" s="19"/>
      <c r="I1865" s="19"/>
      <c r="J1865" s="19"/>
      <c r="K1865" s="233"/>
    </row>
    <row r="1866" spans="1:11" ht="12" customHeight="1">
      <c r="A1866" s="219" t="n" cm="1">
        <f t="array" ref="A1866">IFERROR(INDEX('03.Muestra'!$B$8:$B$42,SMALL(IF("Página Web"='03.Muestra'!$D$8:$D$42,ROW('03.Muestra'!$B$8:$B$42)-MIN(ROW('03.Muestra'!$D$8:$D$42))+1,""),ROW()-1842)),"")</f>
        <v>1.0</v>
      </c>
      <c r="B1866" s="114" t="str" cm="1">
        <f t="array" ref="B1866">IFERROR(INDEX('03.Muestra'!$C$8:$C$42,SMALL(IF("Página Web"='03.Muestra'!$D$8:$D$42,ROW('03.Muestra'!$C$8:$C$42)-MIN(ROW('03.Muestra'!$D$8:$D$42))+1,""),ROW()-1842)),"")</f>
        <v>Home - PortCastelló</v>
      </c>
      <c r="C1866" s="114" t="str" cm="1">
        <f t="array" ref="C1866">IFERROR(INDEX('03.Muestra'!$F$8:$F$42,SMALL(IF("Página Web"='03.Muestra'!$D$8:$D$42,ROW('03.Muestra'!$F$8:$F$42)-MIN(ROW('03.Muestra'!$D$8:$D$42))+1,""),ROW()-1842)),"")</f>
        <v>https://www.portcastello.com/</v>
      </c>
      <c r="D1866" s="130" t="str">
        <f t="shared" si="97"/>
        <v>N/T</v>
      </c>
      <c r="E1866" s="107" t="str">
        <f t="shared" si="96"/>
        <v/>
      </c>
      <c r="F1866" s="19"/>
      <c r="G1866" s="19"/>
      <c r="H1866" s="19"/>
      <c r="I1866" s="19"/>
      <c r="J1866" s="19"/>
      <c r="K1866" s="233"/>
    </row>
    <row r="1867" spans="1:11" ht="12" customHeight="1">
      <c r="A1867" s="219" t="n" cm="1">
        <f t="array" ref="A1867">IFERROR(INDEX('03.Muestra'!$B$8:$B$42,SMALL(IF("Página Web"='03.Muestra'!$D$8:$D$42,ROW('03.Muestra'!$B$8:$B$42)-MIN(ROW('03.Muestra'!$D$8:$D$42))+1,""),ROW()-1842)),"")</f>
        <v>1.0</v>
      </c>
      <c r="B1867" s="114" t="str" cm="1">
        <f t="array" ref="B1867">IFERROR(INDEX('03.Muestra'!$C$8:$C$42,SMALL(IF("Página Web"='03.Muestra'!$D$8:$D$42,ROW('03.Muestra'!$C$8:$C$42)-MIN(ROW('03.Muestra'!$D$8:$D$42))+1,""),ROW()-1842)),"")</f>
        <v>Home - PortCastelló</v>
      </c>
      <c r="C1867" s="114" t="str" cm="1">
        <f t="array" ref="C1867">IFERROR(INDEX('03.Muestra'!$F$8:$F$42,SMALL(IF("Página Web"='03.Muestra'!$D$8:$D$42,ROW('03.Muestra'!$F$8:$F$42)-MIN(ROW('03.Muestra'!$D$8:$D$42))+1,""),ROW()-1842)),"")</f>
        <v>https://www.portcastello.com/</v>
      </c>
      <c r="D1867" s="130" t="str">
        <f t="shared" si="97"/>
        <v>N/T</v>
      </c>
      <c r="E1867" s="107" t="str">
        <f t="shared" si="96"/>
        <v/>
      </c>
      <c r="F1867" s="19"/>
      <c r="G1867" s="19"/>
      <c r="H1867" s="19"/>
      <c r="I1867" s="19"/>
      <c r="J1867" s="19"/>
      <c r="K1867" s="233"/>
    </row>
    <row r="1868" spans="1:11" ht="12" customHeight="1">
      <c r="A1868" s="219" t="n" cm="1">
        <f t="array" ref="A1868">IFERROR(INDEX('03.Muestra'!$B$8:$B$42,SMALL(IF("Página Web"='03.Muestra'!$D$8:$D$42,ROW('03.Muestra'!$B$8:$B$42)-MIN(ROW('03.Muestra'!$D$8:$D$42))+1,""),ROW()-1842)),"")</f>
        <v>1.0</v>
      </c>
      <c r="B1868" s="114" t="str" cm="1">
        <f t="array" ref="B1868">IFERROR(INDEX('03.Muestra'!$C$8:$C$42,SMALL(IF("Página Web"='03.Muestra'!$D$8:$D$42,ROW('03.Muestra'!$C$8:$C$42)-MIN(ROW('03.Muestra'!$D$8:$D$42))+1,""),ROW()-1842)),"")</f>
        <v>Home - PortCastelló</v>
      </c>
      <c r="C1868" s="114" t="str" cm="1">
        <f t="array" ref="C1868">IFERROR(INDEX('03.Muestra'!$F$8:$F$42,SMALL(IF("Página Web"='03.Muestra'!$D$8:$D$42,ROW('03.Muestra'!$F$8:$F$42)-MIN(ROW('03.Muestra'!$D$8:$D$42))+1,""),ROW()-1842)),"")</f>
        <v>https://www.portcastello.com/</v>
      </c>
      <c r="D1868" s="130" t="str">
        <f t="shared" si="97"/>
        <v>N/T</v>
      </c>
      <c r="E1868" s="107" t="str">
        <f t="shared" si="96"/>
        <v/>
      </c>
      <c r="F1868" s="19"/>
      <c r="G1868" s="19"/>
      <c r="H1868" s="19"/>
      <c r="I1868" s="19"/>
      <c r="J1868" s="19"/>
      <c r="K1868" s="233"/>
    </row>
    <row r="1869" spans="1:11" ht="12" customHeight="1">
      <c r="A1869" s="219" t="n" cm="1">
        <f t="array" ref="A1869">IFERROR(INDEX('03.Muestra'!$B$8:$B$42,SMALL(IF("Página Web"='03.Muestra'!$D$8:$D$42,ROW('03.Muestra'!$B$8:$B$42)-MIN(ROW('03.Muestra'!$D$8:$D$42))+1,""),ROW()-1842)),"")</f>
        <v>1.0</v>
      </c>
      <c r="B1869" s="114" t="str" cm="1">
        <f t="array" ref="B1869">IFERROR(INDEX('03.Muestra'!$C$8:$C$42,SMALL(IF("Página Web"='03.Muestra'!$D$8:$D$42,ROW('03.Muestra'!$C$8:$C$42)-MIN(ROW('03.Muestra'!$D$8:$D$42))+1,""),ROW()-1842)),"")</f>
        <v>Home - PortCastelló</v>
      </c>
      <c r="C1869" s="114" t="str" cm="1">
        <f t="array" ref="C1869">IFERROR(INDEX('03.Muestra'!$F$8:$F$42,SMALL(IF("Página Web"='03.Muestra'!$D$8:$D$42,ROW('03.Muestra'!$F$8:$F$42)-MIN(ROW('03.Muestra'!$D$8:$D$42))+1,""),ROW()-1842)),"")</f>
        <v>https://www.portcastello.com/</v>
      </c>
      <c r="D1869" s="130" t="str">
        <f t="shared" si="97"/>
        <v>N/T</v>
      </c>
      <c r="E1869" s="107" t="str">
        <f t="shared" si="96"/>
        <v/>
      </c>
      <c r="F1869" s="19"/>
      <c r="G1869" s="19"/>
      <c r="H1869" s="19"/>
      <c r="I1869" s="19"/>
      <c r="J1869" s="19"/>
      <c r="K1869" s="233"/>
    </row>
    <row r="1870" spans="1:11" ht="12" customHeight="1">
      <c r="A1870" s="219" t="n" cm="1">
        <f t="array" ref="A1870">IFERROR(INDEX('03.Muestra'!$B$8:$B$42,SMALL(IF("Página Web"='03.Muestra'!$D$8:$D$42,ROW('03.Muestra'!$B$8:$B$42)-MIN(ROW('03.Muestra'!$D$8:$D$42))+1,""),ROW()-1842)),"")</f>
        <v>1.0</v>
      </c>
      <c r="B1870" s="114" t="str" cm="1">
        <f t="array" ref="B1870">IFERROR(INDEX('03.Muestra'!$C$8:$C$42,SMALL(IF("Página Web"='03.Muestra'!$D$8:$D$42,ROW('03.Muestra'!$C$8:$C$42)-MIN(ROW('03.Muestra'!$D$8:$D$42))+1,""),ROW()-1842)),"")</f>
        <v>Home - PortCastelló</v>
      </c>
      <c r="C1870" s="114" t="str" cm="1">
        <f t="array" ref="C1870">IFERROR(INDEX('03.Muestra'!$F$8:$F$42,SMALL(IF("Página Web"='03.Muestra'!$D$8:$D$42,ROW('03.Muestra'!$F$8:$F$42)-MIN(ROW('03.Muestra'!$D$8:$D$42))+1,""),ROW()-1842)),"")</f>
        <v>https://www.portcastello.com/</v>
      </c>
      <c r="D1870" s="130" t="str">
        <f t="shared" si="97"/>
        <v>N/T</v>
      </c>
      <c r="E1870" s="107" t="str">
        <f t="shared" si="96"/>
        <v/>
      </c>
      <c r="G1870" s="19"/>
      <c r="H1870" s="19"/>
      <c r="I1870" s="19"/>
      <c r="J1870" s="19"/>
      <c r="K1870" s="233"/>
    </row>
    <row r="1871" spans="1:11" ht="12" customHeight="1">
      <c r="A1871" s="219" t="n" cm="1">
        <f t="array" ref="A1871">IFERROR(INDEX('03.Muestra'!$B$8:$B$42,SMALL(IF("Página Web"='03.Muestra'!$D$8:$D$42,ROW('03.Muestra'!$B$8:$B$42)-MIN(ROW('03.Muestra'!$D$8:$D$42))+1,""),ROW()-1842)),"")</f>
        <v>1.0</v>
      </c>
      <c r="B1871" s="114" t="str" cm="1">
        <f t="array" ref="B1871">IFERROR(INDEX('03.Muestra'!$C$8:$C$42,SMALL(IF("Página Web"='03.Muestra'!$D$8:$D$42,ROW('03.Muestra'!$C$8:$C$42)-MIN(ROW('03.Muestra'!$D$8:$D$42))+1,""),ROW()-1842)),"")</f>
        <v>Home - PortCastelló</v>
      </c>
      <c r="C1871" s="114" t="str" cm="1">
        <f t="array" ref="C1871">IFERROR(INDEX('03.Muestra'!$F$8:$F$42,SMALL(IF("Página Web"='03.Muestra'!$D$8:$D$42,ROW('03.Muestra'!$F$8:$F$42)-MIN(ROW('03.Muestra'!$D$8:$D$42))+1,""),ROW()-1842)),"")</f>
        <v>https://www.portcastello.com/</v>
      </c>
      <c r="D1871" s="130" t="str">
        <f t="shared" si="97"/>
        <v>N/T</v>
      </c>
      <c r="E1871" s="107" t="str">
        <f t="shared" si="96"/>
        <v/>
      </c>
      <c r="F1871" s="124"/>
      <c r="G1871" s="19"/>
      <c r="H1871" s="19"/>
      <c r="I1871" s="19"/>
      <c r="J1871" s="19"/>
      <c r="K1871" s="233"/>
    </row>
    <row r="1872" spans="1:11" ht="12" customHeight="1">
      <c r="A1872" s="219" t="n" cm="1">
        <f t="array" ref="A1872">IFERROR(INDEX('03.Muestra'!$B$8:$B$42,SMALL(IF("Página Web"='03.Muestra'!$D$8:$D$42,ROW('03.Muestra'!$B$8:$B$42)-MIN(ROW('03.Muestra'!$D$8:$D$42))+1,""),ROW()-1842)),"")</f>
        <v>1.0</v>
      </c>
      <c r="B1872" s="114" t="str" cm="1">
        <f t="array" ref="B1872">IFERROR(INDEX('03.Muestra'!$C$8:$C$42,SMALL(IF("Página Web"='03.Muestra'!$D$8:$D$42,ROW('03.Muestra'!$C$8:$C$42)-MIN(ROW('03.Muestra'!$D$8:$D$42))+1,""),ROW()-1842)),"")</f>
        <v>Home - PortCastelló</v>
      </c>
      <c r="C1872" s="114" t="str" cm="1">
        <f t="array" ref="C1872">IFERROR(INDEX('03.Muestra'!$F$8:$F$42,SMALL(IF("Página Web"='03.Muestra'!$D$8:$D$42,ROW('03.Muestra'!$F$8:$F$42)-MIN(ROW('03.Muestra'!$D$8:$D$42))+1,""),ROW()-1842)),"")</f>
        <v>https://www.portcastello.com/</v>
      </c>
      <c r="D1872" s="130" t="str">
        <f t="shared" si="97"/>
        <v>N/T</v>
      </c>
      <c r="E1872" s="107" t="str">
        <f t="shared" si="96"/>
        <v/>
      </c>
      <c r="F1872" s="124"/>
      <c r="G1872" s="19"/>
      <c r="H1872" s="19"/>
      <c r="I1872" s="19"/>
      <c r="J1872" s="19"/>
      <c r="K1872" s="233"/>
    </row>
    <row r="1873" spans="1:11" ht="12" customHeight="1">
      <c r="A1873" s="219" t="n" cm="1">
        <f t="array" ref="A1873">IFERROR(INDEX('03.Muestra'!$B$8:$B$42,SMALL(IF("Página Web"='03.Muestra'!$D$8:$D$42,ROW('03.Muestra'!$B$8:$B$42)-MIN(ROW('03.Muestra'!$D$8:$D$42))+1,""),ROW()-1842)),"")</f>
        <v>1.0</v>
      </c>
      <c r="B1873" s="114" t="str" cm="1">
        <f t="array" ref="B1873">IFERROR(INDEX('03.Muestra'!$C$8:$C$42,SMALL(IF("Página Web"='03.Muestra'!$D$8:$D$42,ROW('03.Muestra'!$C$8:$C$42)-MIN(ROW('03.Muestra'!$D$8:$D$42))+1,""),ROW()-1842)),"")</f>
        <v>Home - PortCastelló</v>
      </c>
      <c r="C1873" s="114" t="str" cm="1">
        <f t="array" ref="C1873">IFERROR(INDEX('03.Muestra'!$F$8:$F$42,SMALL(IF("Página Web"='03.Muestra'!$D$8:$D$42,ROW('03.Muestra'!$F$8:$F$42)-MIN(ROW('03.Muestra'!$D$8:$D$42))+1,""),ROW()-1842)),"")</f>
        <v>https://www.portcastello.com/</v>
      </c>
      <c r="D1873" s="130" t="str">
        <f t="shared" si="97"/>
        <v>N/T</v>
      </c>
      <c r="E1873" s="107" t="str">
        <f t="shared" si="96"/>
        <v/>
      </c>
      <c r="F1873" s="124"/>
      <c r="G1873" s="19"/>
      <c r="H1873" s="19"/>
      <c r="I1873" s="19"/>
      <c r="J1873" s="19"/>
      <c r="K1873" s="233"/>
    </row>
    <row r="1874" spans="1:11" ht="12" customHeight="1">
      <c r="A1874" s="219" t="n" cm="1">
        <f t="array" ref="A1874">IFERROR(INDEX('03.Muestra'!$B$8:$B$42,SMALL(IF("Página Web"='03.Muestra'!$D$8:$D$42,ROW('03.Muestra'!$B$8:$B$42)-MIN(ROW('03.Muestra'!$D$8:$D$42))+1,""),ROW()-1842)),"")</f>
        <v>1.0</v>
      </c>
      <c r="B1874" s="114" t="str" cm="1">
        <f t="array" ref="B1874">IFERROR(INDEX('03.Muestra'!$C$8:$C$42,SMALL(IF("Página Web"='03.Muestra'!$D$8:$D$42,ROW('03.Muestra'!$C$8:$C$42)-MIN(ROW('03.Muestra'!$D$8:$D$42))+1,""),ROW()-1842)),"")</f>
        <v>Home - PortCastelló</v>
      </c>
      <c r="C1874" s="114" t="str" cm="1">
        <f t="array" ref="C1874">IFERROR(INDEX('03.Muestra'!$F$8:$F$42,SMALL(IF("Página Web"='03.Muestra'!$D$8:$D$42,ROW('03.Muestra'!$F$8:$F$42)-MIN(ROW('03.Muestra'!$D$8:$D$42))+1,""),ROW()-1842)),"")</f>
        <v>https://www.portcastello.com/</v>
      </c>
      <c r="D1874" s="130" t="str">
        <f t="shared" si="97"/>
        <v>N/T</v>
      </c>
      <c r="E1874" s="107" t="str">
        <f t="shared" si="96"/>
        <v/>
      </c>
      <c r="F1874" s="124"/>
      <c r="G1874" s="19"/>
      <c r="H1874" s="19"/>
      <c r="I1874" s="19"/>
      <c r="J1874" s="19"/>
      <c r="K1874" s="233"/>
    </row>
    <row r="1875" spans="1:11" ht="12" customHeight="1">
      <c r="A1875" s="219" t="n" cm="1">
        <f t="array" ref="A1875">IFERROR(INDEX('03.Muestra'!$B$8:$B$42,SMALL(IF("Página Web"='03.Muestra'!$D$8:$D$42,ROW('03.Muestra'!$B$8:$B$42)-MIN(ROW('03.Muestra'!$D$8:$D$42))+1,""),ROW()-1842)),"")</f>
        <v>1.0</v>
      </c>
      <c r="B1875" s="114" t="str" cm="1">
        <f t="array" ref="B1875">IFERROR(INDEX('03.Muestra'!$C$8:$C$42,SMALL(IF("Página Web"='03.Muestra'!$D$8:$D$42,ROW('03.Muestra'!$C$8:$C$42)-MIN(ROW('03.Muestra'!$D$8:$D$42))+1,""),ROW()-1842)),"")</f>
        <v>Home - PortCastelló</v>
      </c>
      <c r="C1875" s="114" t="str" cm="1">
        <f t="array" ref="C1875">IFERROR(INDEX('03.Muestra'!$F$8:$F$42,SMALL(IF("Página Web"='03.Muestra'!$D$8:$D$42,ROW('03.Muestra'!$F$8:$F$42)-MIN(ROW('03.Muestra'!$D$8:$D$42))+1,""),ROW()-1842)),"")</f>
        <v>https://www.portcastello.com/</v>
      </c>
      <c r="D1875" s="130" t="str">
        <f t="shared" si="97"/>
        <v>N/T</v>
      </c>
      <c r="E1875" s="107" t="str">
        <f t="shared" si="96"/>
        <v/>
      </c>
      <c r="F1875" s="124"/>
      <c r="G1875" s="19"/>
      <c r="H1875" s="19"/>
      <c r="I1875" s="19"/>
      <c r="J1875" s="19"/>
      <c r="K1875" s="233"/>
    </row>
    <row r="1876" spans="1:11" ht="12" customHeight="1">
      <c r="A1876" s="219" t="str" cm="1">
        <f t="array" ref="A1876">IFERROR(INDEX('03.Muestra'!$B$8:$B$42,SMALL(IF("Página Web"='03.Muestra'!$D$8:$D$42,ROW('03.Muestra'!$B$8:$B$42)-MIN(ROW('03.Muestra'!$D$8:$D$42))+1,""),ROW()-1842)),"")</f>
        <v/>
      </c>
      <c r="B1876" s="114" t="str" cm="1">
        <f t="array" ref="B1876">IFERROR(INDEX('03.Muestra'!$C$8:$C$42,SMALL(IF("Página Web"='03.Muestra'!$D$8:$D$42,ROW('03.Muestra'!$C$8:$C$42)-MIN(ROW('03.Muestra'!$D$8:$D$42))+1,""),ROW()-1842)),"")</f>
        <v/>
      </c>
      <c r="C1876" s="114" t="str" cm="1">
        <f t="array" ref="C1876">IFERROR(INDEX('03.Muestra'!$F$8:$F$42,SMALL(IF("Página Web"='03.Muestra'!$D$8:$D$42,ROW('03.Muestra'!$F$8:$F$42)-MIN(ROW('03.Muestra'!$D$8:$D$42))+1,""),ROW()-1842)),"")</f>
        <v/>
      </c>
      <c r="D1876" s="130" t="str">
        <f t="shared" si="97"/>
        <v/>
      </c>
      <c r="E1876" s="107" t="str">
        <f t="shared" si="96"/>
        <v/>
      </c>
      <c r="F1876" s="124"/>
      <c r="G1876" s="19"/>
      <c r="H1876" s="19"/>
      <c r="I1876" s="19"/>
      <c r="J1876" s="19"/>
      <c r="K1876" s="233"/>
    </row>
    <row r="1877" spans="1:11" ht="12" customHeight="1">
      <c r="A1877" s="219" t="str" cm="1">
        <f t="array" ref="A1877">IFERROR(INDEX('03.Muestra'!$B$8:$B$42,SMALL(IF("Página Web"='03.Muestra'!$D$8:$D$42,ROW('03.Muestra'!$B$8:$B$42)-MIN(ROW('03.Muestra'!$D$8:$D$42))+1,""),ROW()-1842)),"")</f>
        <v/>
      </c>
      <c r="B1877" s="114" t="str" cm="1">
        <f t="array" ref="B1877">IFERROR(INDEX('03.Muestra'!$C$8:$C$42,SMALL(IF("Página Web"='03.Muestra'!$D$8:$D$42,ROW('03.Muestra'!$C$8:$C$42)-MIN(ROW('03.Muestra'!$D$8:$D$42))+1,""),ROW()-1842)),"")</f>
        <v/>
      </c>
      <c r="C1877" s="114" t="str" cm="1">
        <f t="array" ref="C1877">IFERROR(INDEX('03.Muestra'!$F$8:$F$42,SMALL(IF("Página Web"='03.Muestra'!$D$8:$D$42,ROW('03.Muestra'!$F$8:$F$42)-MIN(ROW('03.Muestra'!$D$8:$D$42))+1,""),ROW()-1842)),"")</f>
        <v/>
      </c>
      <c r="D1877" s="130" t="str">
        <f t="shared" si="97"/>
        <v/>
      </c>
      <c r="E1877" s="107" t="str">
        <f t="shared" si="96"/>
        <v/>
      </c>
      <c r="F1877" s="19"/>
      <c r="G1877" s="19"/>
      <c r="H1877" s="19"/>
      <c r="I1877" s="19"/>
      <c r="J1877" s="19"/>
      <c r="K1877" s="233"/>
    </row>
    <row r="1878" spans="1:11" ht="15">
      <c r="B1878" s="19"/>
      <c r="C1878" s="19"/>
      <c r="D1878" s="107"/>
      <c r="E1878" s="19"/>
      <c r="F1878" s="19"/>
      <c r="G1878" s="19"/>
      <c r="H1878" s="19"/>
      <c r="I1878" s="19"/>
      <c r="J1878" s="19"/>
      <c r="K1878" s="233"/>
    </row>
    <row r="1879" spans="1:11" ht="12" customHeight="1">
      <c r="B1879" s="19"/>
      <c r="C1879" s="19"/>
      <c r="D1879" s="107"/>
      <c r="E1879" s="112"/>
      <c r="F1879" s="19"/>
      <c r="G1879" s="19"/>
      <c r="H1879" s="19"/>
      <c r="I1879" s="19"/>
      <c r="J1879" s="19"/>
      <c r="K1879" s="233"/>
    </row>
    <row r="1880" spans="1:11" ht="29.25" customHeight="1">
      <c r="A1880" s="218" t="s">
        <v>268</v>
      </c>
      <c r="B1880" s="24" t="s">
        <v>90</v>
      </c>
      <c r="C1880" s="25" t="s">
        <v>468</v>
      </c>
      <c r="D1880" s="26" t="s">
        <v>32</v>
      </c>
      <c r="E1880" s="123"/>
      <c r="K1880" s="233"/>
    </row>
    <row r="1881" spans="1:11" ht="12" customHeight="1">
      <c r="A1881" s="219" t="n" cm="1">
        <f t="array" ref="A1881">IFERROR(INDEX('03.Muestra'!$B$8:$B$42,SMALL(IF("Página Web"='03.Muestra'!$D$8:$D$42,ROW('03.Muestra'!$B$8:$B$42)-MIN(ROW('03.Muestra'!$D$8:$D$42))+1,""),ROW()-1880)),"")</f>
        <v>1.0</v>
      </c>
      <c r="B1881" s="114" t="str" cm="1">
        <f t="array" ref="B1881">IFERROR(INDEX('03.Muestra'!$C$8:$C$42,SMALL(IF("Página Web"='03.Muestra'!$D$8:$D$42,ROW('03.Muestra'!$C$8:$C$42)-MIN(ROW('03.Muestra'!$D$8:$D$42))+1,""),ROW()-1880)),"")</f>
        <v>Home - PortCastelló</v>
      </c>
      <c r="C1881" s="114" t="str" cm="1">
        <f t="array" ref="C1881">IFERROR(INDEX('03.Muestra'!$F$8:$F$42,SMALL(IF("Página Web"='03.Muestra'!$D$8:$D$42,ROW('03.Muestra'!$F$8:$F$42)-MIN(ROW('03.Muestra'!$D$8:$D$42))+1,""),ROW()-1880)),"")</f>
        <v>https://www.portcastello.com/</v>
      </c>
      <c r="D1881" s="130" t="str">
        <f>IF(AND(B1881&lt;&gt;"",C1881&lt;&gt;""),"N/T","")</f>
        <v>N/T</v>
      </c>
      <c r="E1881" s="107" t="str">
        <f t="shared" ref="E1881:E1915" si="98">IF(D1881&lt;&gt;"",IF(AND(B1881&lt;&gt;"",C1881&lt;&gt;""),"","ERR"),"")</f>
        <v/>
      </c>
      <c r="F1881" s="115" t="s">
        <v>33</v>
      </c>
      <c r="G1881" s="116" t="s">
        <v>37</v>
      </c>
      <c r="H1881" s="117" t="s">
        <v>35</v>
      </c>
      <c r="I1881" s="118" t="s">
        <v>28</v>
      </c>
      <c r="J1881" s="119" t="s">
        <v>26</v>
      </c>
      <c r="K1881" s="226" t="s">
        <v>474</v>
      </c>
    </row>
    <row r="1882" spans="1:11" ht="12" customHeight="1">
      <c r="A1882" s="219" t="n" cm="1">
        <f t="array" ref="A1882">IFERROR(INDEX('03.Muestra'!$B$8:$B$42,SMALL(IF("Página Web"='03.Muestra'!$D$8:$D$42,ROW('03.Muestra'!$B$8:$B$42)-MIN(ROW('03.Muestra'!$D$8:$D$42))+1,""),ROW()-1880)),"")</f>
        <v>1.0</v>
      </c>
      <c r="B1882" s="114" t="str" cm="1">
        <f t="array" ref="B1882">IFERROR(INDEX('03.Muestra'!$C$8:$C$42,SMALL(IF("Página Web"='03.Muestra'!$D$8:$D$42,ROW('03.Muestra'!$C$8:$C$42)-MIN(ROW('03.Muestra'!$D$8:$D$42))+1,""),ROW()-1880)),"")</f>
        <v>Home - PortCastelló</v>
      </c>
      <c r="C1882" s="114" t="str" cm="1">
        <f t="array" ref="C1882">IFERROR(INDEX('03.Muestra'!$F$8:$F$42,SMALL(IF("Página Web"='03.Muestra'!$D$8:$D$42,ROW('03.Muestra'!$F$8:$F$42)-MIN(ROW('03.Muestra'!$D$8:$D$42))+1,""),ROW()-1880)),"")</f>
        <v>https://www.portcastello.com/</v>
      </c>
      <c r="D1882" s="130" t="str">
        <f t="shared" ref="D1882:D1915" si="99">IF(AND(B1882&lt;&gt;"",C1882&lt;&gt;""),"N/T","")</f>
        <v>N/T</v>
      </c>
      <c r="E1882" s="107" t="str">
        <f t="shared" si="98"/>
        <v/>
      </c>
      <c r="F1882" s="120" t="n">
        <f ca="1">COUNTIF($D1881:INDIRECT("$D" &amp;  SUM(ROW()-1,'03.Muestra'!$D$45)-1),F1881)</f>
        <v>33.0</v>
      </c>
      <c r="G1882" s="120" t="n">
        <f ca="1">COUNTIF($D1881:INDIRECT("$D" &amp;  SUM(ROW()-1,'03.Muestra'!$D$45)-1),G1881)</f>
        <v>0.0</v>
      </c>
      <c r="H1882" s="120" t="n">
        <f ca="1">COUNTIF($D1881:INDIRECT("$D" &amp;  SUM(ROW()-1,'03.Muestra'!$D$45)-1),H1881)</f>
        <v>0.0</v>
      </c>
      <c r="I1882" s="120" t="n">
        <f ca="1">COUNTIF($D1881:INDIRECT("$D" &amp;  SUM(ROW()-1,'03.Muestra'!$D$45)-1),I1881)</f>
        <v>0.0</v>
      </c>
      <c r="J1882" s="120" t="n">
        <f ca="1">COUNTIF($D1881:INDIRECT("$D" &amp;  SUM(ROW()-1,'03.Muestra'!$D$45)-1),J1881)</f>
        <v>0.0</v>
      </c>
      <c r="K1882" s="227" t="n">
        <f ca="1">IF(COUNTIF('03.Muestra'!$D$8:$D$42,"Página Web")=0,0,COUNTBLANK($D1881:INDIRECT("$D" &amp;  SUM(ROW()-1,COUNTIF('03.Muestra'!$D$8:$D$42,"Página Web"))-1)))</f>
        <v>0.0</v>
      </c>
    </row>
    <row r="1883" spans="1:11" ht="12" customHeight="1">
      <c r="A1883" s="219" t="n" cm="1">
        <f t="array" ref="A1883">IFERROR(INDEX('03.Muestra'!$B$8:$B$42,SMALL(IF("Página Web"='03.Muestra'!$D$8:$D$42,ROW('03.Muestra'!$B$8:$B$42)-MIN(ROW('03.Muestra'!$D$8:$D$42))+1,""),ROW()-1880)),"")</f>
        <v>1.0</v>
      </c>
      <c r="B1883" s="114" t="str" cm="1">
        <f t="array" ref="B1883">IFERROR(INDEX('03.Muestra'!$C$8:$C$42,SMALL(IF("Página Web"='03.Muestra'!$D$8:$D$42,ROW('03.Muestra'!$C$8:$C$42)-MIN(ROW('03.Muestra'!$D$8:$D$42))+1,""),ROW()-1880)),"")</f>
        <v>Home - PortCastelló</v>
      </c>
      <c r="C1883" s="114" t="str" cm="1">
        <f t="array" ref="C1883">IFERROR(INDEX('03.Muestra'!$F$8:$F$42,SMALL(IF("Página Web"='03.Muestra'!$D$8:$D$42,ROW('03.Muestra'!$F$8:$F$42)-MIN(ROW('03.Muestra'!$D$8:$D$42))+1,""),ROW()-1880)),"")</f>
        <v>https://www.portcastello.com/</v>
      </c>
      <c r="D1883" s="130" t="str">
        <f t="shared" si="99"/>
        <v>N/T</v>
      </c>
      <c r="E1883" s="107" t="str">
        <f t="shared" si="98"/>
        <v/>
      </c>
      <c r="G1883" s="19"/>
      <c r="H1883" s="19"/>
      <c r="I1883" s="19"/>
      <c r="J1883" s="19"/>
      <c r="K1883" s="233"/>
    </row>
    <row r="1884" spans="1:11" ht="12" customHeight="1">
      <c r="A1884" s="219" t="n" cm="1">
        <f t="array" ref="A1884">IFERROR(INDEX('03.Muestra'!$B$8:$B$42,SMALL(IF("Página Web"='03.Muestra'!$D$8:$D$42,ROW('03.Muestra'!$B$8:$B$42)-MIN(ROW('03.Muestra'!$D$8:$D$42))+1,""),ROW()-1880)),"")</f>
        <v>1.0</v>
      </c>
      <c r="B1884" s="114" t="str" cm="1">
        <f t="array" ref="B1884">IFERROR(INDEX('03.Muestra'!$C$8:$C$42,SMALL(IF("Página Web"='03.Muestra'!$D$8:$D$42,ROW('03.Muestra'!$C$8:$C$42)-MIN(ROW('03.Muestra'!$D$8:$D$42))+1,""),ROW()-1880)),"")</f>
        <v>Home - PortCastelló</v>
      </c>
      <c r="C1884" s="114" t="str" cm="1">
        <f t="array" ref="C1884">IFERROR(INDEX('03.Muestra'!$F$8:$F$42,SMALL(IF("Página Web"='03.Muestra'!$D$8:$D$42,ROW('03.Muestra'!$F$8:$F$42)-MIN(ROW('03.Muestra'!$D$8:$D$42))+1,""),ROW()-1880)),"")</f>
        <v>https://www.portcastello.com/</v>
      </c>
      <c r="D1884" s="130" t="str">
        <f t="shared" si="99"/>
        <v>N/T</v>
      </c>
      <c r="E1884" s="107" t="str">
        <f t="shared" si="98"/>
        <v/>
      </c>
      <c r="G1884" s="19"/>
      <c r="H1884" s="19"/>
      <c r="I1884" s="19"/>
      <c r="J1884" s="19"/>
      <c r="K1884" s="233"/>
    </row>
    <row r="1885" spans="1:11" ht="12" customHeight="1">
      <c r="A1885" s="219" t="n" cm="1">
        <f t="array" ref="A1885">IFERROR(INDEX('03.Muestra'!$B$8:$B$42,SMALL(IF("Página Web"='03.Muestra'!$D$8:$D$42,ROW('03.Muestra'!$B$8:$B$42)-MIN(ROW('03.Muestra'!$D$8:$D$42))+1,""),ROW()-1880)),"")</f>
        <v>1.0</v>
      </c>
      <c r="B1885" s="114" t="str" cm="1">
        <f t="array" ref="B1885">IFERROR(INDEX('03.Muestra'!$C$8:$C$42,SMALL(IF("Página Web"='03.Muestra'!$D$8:$D$42,ROW('03.Muestra'!$C$8:$C$42)-MIN(ROW('03.Muestra'!$D$8:$D$42))+1,""),ROW()-1880)),"")</f>
        <v>Home - PortCastelló</v>
      </c>
      <c r="C1885" s="114" t="str" cm="1">
        <f t="array" ref="C1885">IFERROR(INDEX('03.Muestra'!$F$8:$F$42,SMALL(IF("Página Web"='03.Muestra'!$D$8:$D$42,ROW('03.Muestra'!$F$8:$F$42)-MIN(ROW('03.Muestra'!$D$8:$D$42))+1,""),ROW()-1880)),"")</f>
        <v>https://www.portcastello.com/</v>
      </c>
      <c r="D1885" s="130" t="str">
        <f t="shared" si="99"/>
        <v>N/T</v>
      </c>
      <c r="E1885" s="107" t="str">
        <f t="shared" si="98"/>
        <v/>
      </c>
      <c r="G1885" s="19"/>
      <c r="H1885" s="19"/>
      <c r="I1885" s="19"/>
      <c r="J1885" s="19"/>
      <c r="K1885" s="233"/>
    </row>
    <row r="1886" spans="1:11" ht="12" customHeight="1">
      <c r="A1886" s="219" t="n" cm="1">
        <f t="array" ref="A1886">IFERROR(INDEX('03.Muestra'!$B$8:$B$42,SMALL(IF("Página Web"='03.Muestra'!$D$8:$D$42,ROW('03.Muestra'!$B$8:$B$42)-MIN(ROW('03.Muestra'!$D$8:$D$42))+1,""),ROW()-1880)),"")</f>
        <v>1.0</v>
      </c>
      <c r="B1886" s="114" t="str" cm="1">
        <f t="array" ref="B1886">IFERROR(INDEX('03.Muestra'!$C$8:$C$42,SMALL(IF("Página Web"='03.Muestra'!$D$8:$D$42,ROW('03.Muestra'!$C$8:$C$42)-MIN(ROW('03.Muestra'!$D$8:$D$42))+1,""),ROW()-1880)),"")</f>
        <v>Home - PortCastelló</v>
      </c>
      <c r="C1886" s="114" t="str" cm="1">
        <f t="array" ref="C1886">IFERROR(INDEX('03.Muestra'!$F$8:$F$42,SMALL(IF("Página Web"='03.Muestra'!$D$8:$D$42,ROW('03.Muestra'!$F$8:$F$42)-MIN(ROW('03.Muestra'!$D$8:$D$42))+1,""),ROW()-1880)),"")</f>
        <v>https://www.portcastello.com/</v>
      </c>
      <c r="D1886" s="130" t="str">
        <f t="shared" si="99"/>
        <v>N/T</v>
      </c>
      <c r="E1886" s="107" t="str">
        <f t="shared" si="98"/>
        <v/>
      </c>
      <c r="G1886" s="19"/>
      <c r="H1886" s="19"/>
      <c r="I1886" s="19"/>
      <c r="J1886" s="19"/>
      <c r="K1886" s="233"/>
    </row>
    <row r="1887" spans="1:11" ht="12" customHeight="1">
      <c r="A1887" s="219" t="n" cm="1">
        <f t="array" ref="A1887">IFERROR(INDEX('03.Muestra'!$B$8:$B$42,SMALL(IF("Página Web"='03.Muestra'!$D$8:$D$42,ROW('03.Muestra'!$B$8:$B$42)-MIN(ROW('03.Muestra'!$D$8:$D$42))+1,""),ROW()-1880)),"")</f>
        <v>1.0</v>
      </c>
      <c r="B1887" s="114" t="str" cm="1">
        <f t="array" ref="B1887">IFERROR(INDEX('03.Muestra'!$C$8:$C$42,SMALL(IF("Página Web"='03.Muestra'!$D$8:$D$42,ROW('03.Muestra'!$C$8:$C$42)-MIN(ROW('03.Muestra'!$D$8:$D$42))+1,""),ROW()-1880)),"")</f>
        <v>Home - PortCastelló</v>
      </c>
      <c r="C1887" s="114" t="str" cm="1">
        <f t="array" ref="C1887">IFERROR(INDEX('03.Muestra'!$F$8:$F$42,SMALL(IF("Página Web"='03.Muestra'!$D$8:$D$42,ROW('03.Muestra'!$F$8:$F$42)-MIN(ROW('03.Muestra'!$D$8:$D$42))+1,""),ROW()-1880)),"")</f>
        <v>https://www.portcastello.com/</v>
      </c>
      <c r="D1887" s="130" t="str">
        <f t="shared" si="99"/>
        <v>N/T</v>
      </c>
      <c r="E1887" s="107" t="str">
        <f t="shared" si="98"/>
        <v/>
      </c>
      <c r="F1887" s="19"/>
      <c r="G1887" s="19"/>
      <c r="H1887" s="19"/>
      <c r="I1887" s="19"/>
      <c r="J1887" s="19"/>
      <c r="K1887" s="233"/>
    </row>
    <row r="1888" spans="1:11" ht="12" customHeight="1">
      <c r="A1888" s="219" t="n" cm="1">
        <f t="array" ref="A1888">IFERROR(INDEX('03.Muestra'!$B$8:$B$42,SMALL(IF("Página Web"='03.Muestra'!$D$8:$D$42,ROW('03.Muestra'!$B$8:$B$42)-MIN(ROW('03.Muestra'!$D$8:$D$42))+1,""),ROW()-1880)),"")</f>
        <v>1.0</v>
      </c>
      <c r="B1888" s="114" t="str" cm="1">
        <f t="array" ref="B1888">IFERROR(INDEX('03.Muestra'!$C$8:$C$42,SMALL(IF("Página Web"='03.Muestra'!$D$8:$D$42,ROW('03.Muestra'!$C$8:$C$42)-MIN(ROW('03.Muestra'!$D$8:$D$42))+1,""),ROW()-1880)),"")</f>
        <v>Home - PortCastelló</v>
      </c>
      <c r="C1888" s="114" t="str" cm="1">
        <f t="array" ref="C1888">IFERROR(INDEX('03.Muestra'!$F$8:$F$42,SMALL(IF("Página Web"='03.Muestra'!$D$8:$D$42,ROW('03.Muestra'!$F$8:$F$42)-MIN(ROW('03.Muestra'!$D$8:$D$42))+1,""),ROW()-1880)),"")</f>
        <v>https://www.portcastello.com/</v>
      </c>
      <c r="D1888" s="130" t="str">
        <f t="shared" si="99"/>
        <v>N/T</v>
      </c>
      <c r="E1888" s="107" t="str">
        <f t="shared" si="98"/>
        <v/>
      </c>
      <c r="F1888" s="19"/>
      <c r="G1888" s="19"/>
      <c r="H1888" s="19"/>
      <c r="I1888" s="19"/>
      <c r="J1888" s="19"/>
      <c r="K1888" s="233"/>
    </row>
    <row r="1889" spans="1:11" ht="12" customHeight="1">
      <c r="A1889" s="219" t="n" cm="1">
        <f t="array" ref="A1889">IFERROR(INDEX('03.Muestra'!$B$8:$B$42,SMALL(IF("Página Web"='03.Muestra'!$D$8:$D$42,ROW('03.Muestra'!$B$8:$B$42)-MIN(ROW('03.Muestra'!$D$8:$D$42))+1,""),ROW()-1880)),"")</f>
        <v>1.0</v>
      </c>
      <c r="B1889" s="114" t="str" cm="1">
        <f t="array" ref="B1889">IFERROR(INDEX('03.Muestra'!$C$8:$C$42,SMALL(IF("Página Web"='03.Muestra'!$D$8:$D$42,ROW('03.Muestra'!$C$8:$C$42)-MIN(ROW('03.Muestra'!$D$8:$D$42))+1,""),ROW()-1880)),"")</f>
        <v>Home - PortCastelló</v>
      </c>
      <c r="C1889" s="114" t="str" cm="1">
        <f t="array" ref="C1889">IFERROR(INDEX('03.Muestra'!$F$8:$F$42,SMALL(IF("Página Web"='03.Muestra'!$D$8:$D$42,ROW('03.Muestra'!$F$8:$F$42)-MIN(ROW('03.Muestra'!$D$8:$D$42))+1,""),ROW()-1880)),"")</f>
        <v>https://www.portcastello.com/</v>
      </c>
      <c r="D1889" s="130" t="str">
        <f t="shared" si="99"/>
        <v>N/T</v>
      </c>
      <c r="E1889" s="107" t="str">
        <f t="shared" si="98"/>
        <v/>
      </c>
      <c r="F1889" s="19"/>
      <c r="G1889" s="19"/>
      <c r="H1889" s="19"/>
      <c r="I1889" s="19"/>
      <c r="J1889" s="19"/>
      <c r="K1889" s="233"/>
    </row>
    <row r="1890" spans="1:11" ht="12" customHeight="1">
      <c r="A1890" s="219" t="n" cm="1">
        <f t="array" ref="A1890">IFERROR(INDEX('03.Muestra'!$B$8:$B$42,SMALL(IF("Página Web"='03.Muestra'!$D$8:$D$42,ROW('03.Muestra'!$B$8:$B$42)-MIN(ROW('03.Muestra'!$D$8:$D$42))+1,""),ROW()-1880)),"")</f>
        <v>1.0</v>
      </c>
      <c r="B1890" s="114" t="str" cm="1">
        <f t="array" ref="B1890">IFERROR(INDEX('03.Muestra'!$C$8:$C$42,SMALL(IF("Página Web"='03.Muestra'!$D$8:$D$42,ROW('03.Muestra'!$C$8:$C$42)-MIN(ROW('03.Muestra'!$D$8:$D$42))+1,""),ROW()-1880)),"")</f>
        <v>Home - PortCastelló</v>
      </c>
      <c r="C1890" s="114" t="str" cm="1">
        <f t="array" ref="C1890">IFERROR(INDEX('03.Muestra'!$F$8:$F$42,SMALL(IF("Página Web"='03.Muestra'!$D$8:$D$42,ROW('03.Muestra'!$F$8:$F$42)-MIN(ROW('03.Muestra'!$D$8:$D$42))+1,""),ROW()-1880)),"")</f>
        <v>https://www.portcastello.com/</v>
      </c>
      <c r="D1890" s="130" t="str">
        <f t="shared" si="99"/>
        <v>N/T</v>
      </c>
      <c r="E1890" s="107" t="str">
        <f t="shared" si="98"/>
        <v/>
      </c>
      <c r="F1890" s="19"/>
      <c r="G1890" s="19"/>
      <c r="H1890" s="19"/>
      <c r="I1890" s="19"/>
      <c r="J1890" s="19"/>
      <c r="K1890" s="233"/>
    </row>
    <row r="1891" spans="1:11" ht="12" customHeight="1">
      <c r="A1891" s="219" t="n" cm="1">
        <f t="array" ref="A1891">IFERROR(INDEX('03.Muestra'!$B$8:$B$42,SMALL(IF("Página Web"='03.Muestra'!$D$8:$D$42,ROW('03.Muestra'!$B$8:$B$42)-MIN(ROW('03.Muestra'!$D$8:$D$42))+1,""),ROW()-1880)),"")</f>
        <v>1.0</v>
      </c>
      <c r="B1891" s="114" t="str" cm="1">
        <f t="array" ref="B1891">IFERROR(INDEX('03.Muestra'!$C$8:$C$42,SMALL(IF("Página Web"='03.Muestra'!$D$8:$D$42,ROW('03.Muestra'!$C$8:$C$42)-MIN(ROW('03.Muestra'!$D$8:$D$42))+1,""),ROW()-1880)),"")</f>
        <v>Home - PortCastelló</v>
      </c>
      <c r="C1891" s="114" t="str" cm="1">
        <f t="array" ref="C1891">IFERROR(INDEX('03.Muestra'!$F$8:$F$42,SMALL(IF("Página Web"='03.Muestra'!$D$8:$D$42,ROW('03.Muestra'!$F$8:$F$42)-MIN(ROW('03.Muestra'!$D$8:$D$42))+1,""),ROW()-1880)),"")</f>
        <v>https://www.portcastello.com/</v>
      </c>
      <c r="D1891" s="130" t="str">
        <f t="shared" si="99"/>
        <v>N/T</v>
      </c>
      <c r="E1891" s="107" t="str">
        <f t="shared" si="98"/>
        <v/>
      </c>
      <c r="F1891" s="19"/>
      <c r="G1891" s="19"/>
      <c r="H1891" s="19"/>
      <c r="I1891" s="19"/>
      <c r="J1891" s="19"/>
      <c r="K1891" s="233"/>
    </row>
    <row r="1892" spans="1:11" ht="12" customHeight="1">
      <c r="A1892" s="219" t="n" cm="1">
        <f t="array" ref="A1892">IFERROR(INDEX('03.Muestra'!$B$8:$B$42,SMALL(IF("Página Web"='03.Muestra'!$D$8:$D$42,ROW('03.Muestra'!$B$8:$B$42)-MIN(ROW('03.Muestra'!$D$8:$D$42))+1,""),ROW()-1880)),"")</f>
        <v>1.0</v>
      </c>
      <c r="B1892" s="114" t="str" cm="1">
        <f t="array" ref="B1892">IFERROR(INDEX('03.Muestra'!$C$8:$C$42,SMALL(IF("Página Web"='03.Muestra'!$D$8:$D$42,ROW('03.Muestra'!$C$8:$C$42)-MIN(ROW('03.Muestra'!$D$8:$D$42))+1,""),ROW()-1880)),"")</f>
        <v>Home - PortCastelló</v>
      </c>
      <c r="C1892" s="114" t="str" cm="1">
        <f t="array" ref="C1892">IFERROR(INDEX('03.Muestra'!$F$8:$F$42,SMALL(IF("Página Web"='03.Muestra'!$D$8:$D$42,ROW('03.Muestra'!$F$8:$F$42)-MIN(ROW('03.Muestra'!$D$8:$D$42))+1,""),ROW()-1880)),"")</f>
        <v>https://www.portcastello.com/</v>
      </c>
      <c r="D1892" s="130" t="str">
        <f t="shared" si="99"/>
        <v>N/T</v>
      </c>
      <c r="E1892" s="107" t="str">
        <f t="shared" si="98"/>
        <v/>
      </c>
      <c r="F1892" s="19"/>
      <c r="G1892" s="19"/>
      <c r="H1892" s="19"/>
      <c r="I1892" s="19"/>
      <c r="J1892" s="19"/>
      <c r="K1892" s="233"/>
    </row>
    <row r="1893" spans="1:11" ht="12" customHeight="1">
      <c r="A1893" s="219" t="n" cm="1">
        <f t="array" ref="A1893">IFERROR(INDEX('03.Muestra'!$B$8:$B$42,SMALL(IF("Página Web"='03.Muestra'!$D$8:$D$42,ROW('03.Muestra'!$B$8:$B$42)-MIN(ROW('03.Muestra'!$D$8:$D$42))+1,""),ROW()-1880)),"")</f>
        <v>1.0</v>
      </c>
      <c r="B1893" s="114" t="str" cm="1">
        <f t="array" ref="B1893">IFERROR(INDEX('03.Muestra'!$C$8:$C$42,SMALL(IF("Página Web"='03.Muestra'!$D$8:$D$42,ROW('03.Muestra'!$C$8:$C$42)-MIN(ROW('03.Muestra'!$D$8:$D$42))+1,""),ROW()-1880)),"")</f>
        <v>Home - PortCastelló</v>
      </c>
      <c r="C1893" s="114" t="str" cm="1">
        <f t="array" ref="C1893">IFERROR(INDEX('03.Muestra'!$F$8:$F$42,SMALL(IF("Página Web"='03.Muestra'!$D$8:$D$42,ROW('03.Muestra'!$F$8:$F$42)-MIN(ROW('03.Muestra'!$D$8:$D$42))+1,""),ROW()-1880)),"")</f>
        <v>https://www.portcastello.com/</v>
      </c>
      <c r="D1893" s="130" t="str">
        <f t="shared" si="99"/>
        <v>N/T</v>
      </c>
      <c r="E1893" s="107" t="str">
        <f t="shared" si="98"/>
        <v/>
      </c>
      <c r="F1893" s="19"/>
      <c r="G1893" s="19"/>
      <c r="H1893" s="19"/>
      <c r="I1893" s="19"/>
      <c r="J1893" s="19"/>
      <c r="K1893" s="233"/>
    </row>
    <row r="1894" spans="1:11" ht="12" customHeight="1">
      <c r="A1894" s="219" t="n" cm="1">
        <f t="array" ref="A1894">IFERROR(INDEX('03.Muestra'!$B$8:$B$42,SMALL(IF("Página Web"='03.Muestra'!$D$8:$D$42,ROW('03.Muestra'!$B$8:$B$42)-MIN(ROW('03.Muestra'!$D$8:$D$42))+1,""),ROW()-1880)),"")</f>
        <v>1.0</v>
      </c>
      <c r="B1894" s="114" t="str" cm="1">
        <f t="array" ref="B1894">IFERROR(INDEX('03.Muestra'!$C$8:$C$42,SMALL(IF("Página Web"='03.Muestra'!$D$8:$D$42,ROW('03.Muestra'!$C$8:$C$42)-MIN(ROW('03.Muestra'!$D$8:$D$42))+1,""),ROW()-1880)),"")</f>
        <v>Home - PortCastelló</v>
      </c>
      <c r="C1894" s="114" t="str" cm="1">
        <f t="array" ref="C1894">IFERROR(INDEX('03.Muestra'!$F$8:$F$42,SMALL(IF("Página Web"='03.Muestra'!$D$8:$D$42,ROW('03.Muestra'!$F$8:$F$42)-MIN(ROW('03.Muestra'!$D$8:$D$42))+1,""),ROW()-1880)),"")</f>
        <v>https://www.portcastello.com/</v>
      </c>
      <c r="D1894" s="130" t="str">
        <f t="shared" si="99"/>
        <v>N/T</v>
      </c>
      <c r="E1894" s="107" t="str">
        <f t="shared" si="98"/>
        <v/>
      </c>
      <c r="F1894" s="19"/>
      <c r="G1894" s="19"/>
      <c r="H1894" s="19"/>
      <c r="I1894" s="19"/>
      <c r="J1894" s="19"/>
      <c r="K1894" s="233"/>
    </row>
    <row r="1895" spans="1:11" ht="12" customHeight="1">
      <c r="A1895" s="219" t="n" cm="1">
        <f t="array" ref="A1895">IFERROR(INDEX('03.Muestra'!$B$8:$B$42,SMALL(IF("Página Web"='03.Muestra'!$D$8:$D$42,ROW('03.Muestra'!$B$8:$B$42)-MIN(ROW('03.Muestra'!$D$8:$D$42))+1,""),ROW()-1880)),"")</f>
        <v>1.0</v>
      </c>
      <c r="B1895" s="114" t="str" cm="1">
        <f t="array" ref="B1895">IFERROR(INDEX('03.Muestra'!$C$8:$C$42,SMALL(IF("Página Web"='03.Muestra'!$D$8:$D$42,ROW('03.Muestra'!$C$8:$C$42)-MIN(ROW('03.Muestra'!$D$8:$D$42))+1,""),ROW()-1880)),"")</f>
        <v>Home - PortCastelló</v>
      </c>
      <c r="C1895" s="114" t="str" cm="1">
        <f t="array" ref="C1895">IFERROR(INDEX('03.Muestra'!$F$8:$F$42,SMALL(IF("Página Web"='03.Muestra'!$D$8:$D$42,ROW('03.Muestra'!$F$8:$F$42)-MIN(ROW('03.Muestra'!$D$8:$D$42))+1,""),ROW()-1880)),"")</f>
        <v>https://www.portcastello.com/</v>
      </c>
      <c r="D1895" s="130" t="str">
        <f t="shared" si="99"/>
        <v>N/T</v>
      </c>
      <c r="E1895" s="107" t="str">
        <f t="shared" si="98"/>
        <v/>
      </c>
      <c r="F1895" s="19"/>
      <c r="G1895" s="19"/>
      <c r="H1895" s="19"/>
      <c r="I1895" s="19"/>
      <c r="J1895" s="19"/>
      <c r="K1895" s="233"/>
    </row>
    <row r="1896" spans="1:11" ht="12" customHeight="1">
      <c r="A1896" s="219" t="n" cm="1">
        <f t="array" ref="A1896">IFERROR(INDEX('03.Muestra'!$B$8:$B$42,SMALL(IF("Página Web"='03.Muestra'!$D$8:$D$42,ROW('03.Muestra'!$B$8:$B$42)-MIN(ROW('03.Muestra'!$D$8:$D$42))+1,""),ROW()-1880)),"")</f>
        <v>1.0</v>
      </c>
      <c r="B1896" s="114" t="str" cm="1">
        <f t="array" ref="B1896">IFERROR(INDEX('03.Muestra'!$C$8:$C$42,SMALL(IF("Página Web"='03.Muestra'!$D$8:$D$42,ROW('03.Muestra'!$C$8:$C$42)-MIN(ROW('03.Muestra'!$D$8:$D$42))+1,""),ROW()-1880)),"")</f>
        <v>Home - PortCastelló</v>
      </c>
      <c r="C1896" s="114" t="str" cm="1">
        <f t="array" ref="C1896">IFERROR(INDEX('03.Muestra'!$F$8:$F$42,SMALL(IF("Página Web"='03.Muestra'!$D$8:$D$42,ROW('03.Muestra'!$F$8:$F$42)-MIN(ROW('03.Muestra'!$D$8:$D$42))+1,""),ROW()-1880)),"")</f>
        <v>https://www.portcastello.com/</v>
      </c>
      <c r="D1896" s="130" t="str">
        <f t="shared" si="99"/>
        <v>N/T</v>
      </c>
      <c r="E1896" s="107" t="str">
        <f t="shared" si="98"/>
        <v/>
      </c>
      <c r="F1896" s="19"/>
      <c r="G1896" s="19"/>
      <c r="H1896" s="19"/>
      <c r="I1896" s="19"/>
      <c r="J1896" s="19"/>
      <c r="K1896" s="233"/>
    </row>
    <row r="1897" spans="1:11" ht="12" customHeight="1">
      <c r="A1897" s="219" t="n" cm="1">
        <f t="array" ref="A1897">IFERROR(INDEX('03.Muestra'!$B$8:$B$42,SMALL(IF("Página Web"='03.Muestra'!$D$8:$D$42,ROW('03.Muestra'!$B$8:$B$42)-MIN(ROW('03.Muestra'!$D$8:$D$42))+1,""),ROW()-1880)),"")</f>
        <v>1.0</v>
      </c>
      <c r="B1897" s="114" t="str" cm="1">
        <f t="array" ref="B1897">IFERROR(INDEX('03.Muestra'!$C$8:$C$42,SMALL(IF("Página Web"='03.Muestra'!$D$8:$D$42,ROW('03.Muestra'!$C$8:$C$42)-MIN(ROW('03.Muestra'!$D$8:$D$42))+1,""),ROW()-1880)),"")</f>
        <v>Home - PortCastelló</v>
      </c>
      <c r="C1897" s="114" t="str" cm="1">
        <f t="array" ref="C1897">IFERROR(INDEX('03.Muestra'!$F$8:$F$42,SMALL(IF("Página Web"='03.Muestra'!$D$8:$D$42,ROW('03.Muestra'!$F$8:$F$42)-MIN(ROW('03.Muestra'!$D$8:$D$42))+1,""),ROW()-1880)),"")</f>
        <v>https://www.portcastello.com/</v>
      </c>
      <c r="D1897" s="130" t="str">
        <f t="shared" si="99"/>
        <v>N/T</v>
      </c>
      <c r="E1897" s="107" t="str">
        <f t="shared" si="98"/>
        <v/>
      </c>
      <c r="F1897" s="19"/>
      <c r="G1897" s="19"/>
      <c r="H1897" s="19"/>
      <c r="I1897" s="19"/>
      <c r="J1897" s="19"/>
      <c r="K1897" s="233"/>
    </row>
    <row r="1898" spans="1:11" ht="12" customHeight="1">
      <c r="A1898" s="219" t="n" cm="1">
        <f t="array" ref="A1898">IFERROR(INDEX('03.Muestra'!$B$8:$B$42,SMALL(IF("Página Web"='03.Muestra'!$D$8:$D$42,ROW('03.Muestra'!$B$8:$B$42)-MIN(ROW('03.Muestra'!$D$8:$D$42))+1,""),ROW()-1880)),"")</f>
        <v>1.0</v>
      </c>
      <c r="B1898" s="114" t="str" cm="1">
        <f t="array" ref="B1898">IFERROR(INDEX('03.Muestra'!$C$8:$C$42,SMALL(IF("Página Web"='03.Muestra'!$D$8:$D$42,ROW('03.Muestra'!$C$8:$C$42)-MIN(ROW('03.Muestra'!$D$8:$D$42))+1,""),ROW()-1880)),"")</f>
        <v>Home - PortCastelló</v>
      </c>
      <c r="C1898" s="114" t="str" cm="1">
        <f t="array" ref="C1898">IFERROR(INDEX('03.Muestra'!$F$8:$F$42,SMALL(IF("Página Web"='03.Muestra'!$D$8:$D$42,ROW('03.Muestra'!$F$8:$F$42)-MIN(ROW('03.Muestra'!$D$8:$D$42))+1,""),ROW()-1880)),"")</f>
        <v>https://www.portcastello.com/</v>
      </c>
      <c r="D1898" s="130" t="str">
        <f t="shared" si="99"/>
        <v>N/T</v>
      </c>
      <c r="E1898" s="107" t="str">
        <f t="shared" si="98"/>
        <v/>
      </c>
      <c r="F1898" s="19"/>
      <c r="G1898" s="19"/>
      <c r="H1898" s="19"/>
      <c r="I1898" s="19"/>
      <c r="J1898" s="19"/>
      <c r="K1898" s="233"/>
    </row>
    <row r="1899" spans="1:11" ht="12" customHeight="1">
      <c r="A1899" s="219" t="n" cm="1">
        <f t="array" ref="A1899">IFERROR(INDEX('03.Muestra'!$B$8:$B$42,SMALL(IF("Página Web"='03.Muestra'!$D$8:$D$42,ROW('03.Muestra'!$B$8:$B$42)-MIN(ROW('03.Muestra'!$D$8:$D$42))+1,""),ROW()-1880)),"")</f>
        <v>1.0</v>
      </c>
      <c r="B1899" s="114" t="str" cm="1">
        <f t="array" ref="B1899">IFERROR(INDEX('03.Muestra'!$C$8:$C$42,SMALL(IF("Página Web"='03.Muestra'!$D$8:$D$42,ROW('03.Muestra'!$C$8:$C$42)-MIN(ROW('03.Muestra'!$D$8:$D$42))+1,""),ROW()-1880)),"")</f>
        <v>Home - PortCastelló</v>
      </c>
      <c r="C1899" s="114" t="str" cm="1">
        <f t="array" ref="C1899">IFERROR(INDEX('03.Muestra'!$F$8:$F$42,SMALL(IF("Página Web"='03.Muestra'!$D$8:$D$42,ROW('03.Muestra'!$F$8:$F$42)-MIN(ROW('03.Muestra'!$D$8:$D$42))+1,""),ROW()-1880)),"")</f>
        <v>https://www.portcastello.com/</v>
      </c>
      <c r="D1899" s="130" t="str">
        <f t="shared" si="99"/>
        <v>N/T</v>
      </c>
      <c r="E1899" s="107" t="str">
        <f t="shared" si="98"/>
        <v/>
      </c>
      <c r="F1899" s="19"/>
      <c r="G1899" s="19"/>
      <c r="H1899" s="19"/>
      <c r="I1899" s="19"/>
      <c r="J1899" s="19"/>
      <c r="K1899" s="233"/>
    </row>
    <row r="1900" spans="1:11" ht="12" customHeight="1">
      <c r="A1900" s="219" t="n" cm="1">
        <f t="array" ref="A1900">IFERROR(INDEX('03.Muestra'!$B$8:$B$42,SMALL(IF("Página Web"='03.Muestra'!$D$8:$D$42,ROW('03.Muestra'!$B$8:$B$42)-MIN(ROW('03.Muestra'!$D$8:$D$42))+1,""),ROW()-1880)),"")</f>
        <v>1.0</v>
      </c>
      <c r="B1900" s="114" t="str" cm="1">
        <f t="array" ref="B1900">IFERROR(INDEX('03.Muestra'!$C$8:$C$42,SMALL(IF("Página Web"='03.Muestra'!$D$8:$D$42,ROW('03.Muestra'!$C$8:$C$42)-MIN(ROW('03.Muestra'!$D$8:$D$42))+1,""),ROW()-1880)),"")</f>
        <v>Home - PortCastelló</v>
      </c>
      <c r="C1900" s="114" t="str" cm="1">
        <f t="array" ref="C1900">IFERROR(INDEX('03.Muestra'!$F$8:$F$42,SMALL(IF("Página Web"='03.Muestra'!$D$8:$D$42,ROW('03.Muestra'!$F$8:$F$42)-MIN(ROW('03.Muestra'!$D$8:$D$42))+1,""),ROW()-1880)),"")</f>
        <v>https://www.portcastello.com/</v>
      </c>
      <c r="D1900" s="130" t="str">
        <f t="shared" si="99"/>
        <v>N/T</v>
      </c>
      <c r="E1900" s="107" t="str">
        <f t="shared" si="98"/>
        <v/>
      </c>
      <c r="F1900" s="19"/>
      <c r="G1900" s="19"/>
      <c r="H1900" s="19"/>
      <c r="I1900" s="19"/>
      <c r="J1900" s="19"/>
      <c r="K1900" s="233"/>
    </row>
    <row r="1901" spans="1:11" ht="12" customHeight="1">
      <c r="A1901" s="219" t="n" cm="1">
        <f t="array" ref="A1901">IFERROR(INDEX('03.Muestra'!$B$8:$B$42,SMALL(IF("Página Web"='03.Muestra'!$D$8:$D$42,ROW('03.Muestra'!$B$8:$B$42)-MIN(ROW('03.Muestra'!$D$8:$D$42))+1,""),ROW()-1880)),"")</f>
        <v>1.0</v>
      </c>
      <c r="B1901" s="114" t="str" cm="1">
        <f t="array" ref="B1901">IFERROR(INDEX('03.Muestra'!$C$8:$C$42,SMALL(IF("Página Web"='03.Muestra'!$D$8:$D$42,ROW('03.Muestra'!$C$8:$C$42)-MIN(ROW('03.Muestra'!$D$8:$D$42))+1,""),ROW()-1880)),"")</f>
        <v>Home - PortCastelló</v>
      </c>
      <c r="C1901" s="114" t="str" cm="1">
        <f t="array" ref="C1901">IFERROR(INDEX('03.Muestra'!$F$8:$F$42,SMALL(IF("Página Web"='03.Muestra'!$D$8:$D$42,ROW('03.Muestra'!$F$8:$F$42)-MIN(ROW('03.Muestra'!$D$8:$D$42))+1,""),ROW()-1880)),"")</f>
        <v>https://www.portcastello.com/</v>
      </c>
      <c r="D1901" s="130" t="str">
        <f t="shared" si="99"/>
        <v>N/T</v>
      </c>
      <c r="E1901" s="107" t="str">
        <f t="shared" si="98"/>
        <v/>
      </c>
      <c r="F1901" s="19"/>
      <c r="G1901" s="19"/>
      <c r="H1901" s="19"/>
      <c r="I1901" s="19"/>
      <c r="J1901" s="19"/>
      <c r="K1901" s="233"/>
    </row>
    <row r="1902" spans="1:11" ht="12" customHeight="1">
      <c r="A1902" s="219" t="n" cm="1">
        <f t="array" ref="A1902">IFERROR(INDEX('03.Muestra'!$B$8:$B$42,SMALL(IF("Página Web"='03.Muestra'!$D$8:$D$42,ROW('03.Muestra'!$B$8:$B$42)-MIN(ROW('03.Muestra'!$D$8:$D$42))+1,""),ROW()-1880)),"")</f>
        <v>1.0</v>
      </c>
      <c r="B1902" s="114" t="str" cm="1">
        <f t="array" ref="B1902">IFERROR(INDEX('03.Muestra'!$C$8:$C$42,SMALL(IF("Página Web"='03.Muestra'!$D$8:$D$42,ROW('03.Muestra'!$C$8:$C$42)-MIN(ROW('03.Muestra'!$D$8:$D$42))+1,""),ROW()-1880)),"")</f>
        <v>Home - PortCastelló</v>
      </c>
      <c r="C1902" s="114" t="str" cm="1">
        <f t="array" ref="C1902">IFERROR(INDEX('03.Muestra'!$F$8:$F$42,SMALL(IF("Página Web"='03.Muestra'!$D$8:$D$42,ROW('03.Muestra'!$F$8:$F$42)-MIN(ROW('03.Muestra'!$D$8:$D$42))+1,""),ROW()-1880)),"")</f>
        <v>https://www.portcastello.com/</v>
      </c>
      <c r="D1902" s="130" t="str">
        <f t="shared" si="99"/>
        <v>N/T</v>
      </c>
      <c r="E1902" s="107" t="str">
        <f t="shared" si="98"/>
        <v/>
      </c>
      <c r="F1902" s="19"/>
      <c r="G1902" s="19"/>
      <c r="H1902" s="19"/>
      <c r="I1902" s="19"/>
      <c r="J1902" s="19"/>
      <c r="K1902" s="233"/>
    </row>
    <row r="1903" spans="1:11" ht="12" customHeight="1">
      <c r="A1903" s="219" t="n" cm="1">
        <f t="array" ref="A1903">IFERROR(INDEX('03.Muestra'!$B$8:$B$42,SMALL(IF("Página Web"='03.Muestra'!$D$8:$D$42,ROW('03.Muestra'!$B$8:$B$42)-MIN(ROW('03.Muestra'!$D$8:$D$42))+1,""),ROW()-1880)),"")</f>
        <v>1.0</v>
      </c>
      <c r="B1903" s="114" t="str" cm="1">
        <f t="array" ref="B1903">IFERROR(INDEX('03.Muestra'!$C$8:$C$42,SMALL(IF("Página Web"='03.Muestra'!$D$8:$D$42,ROW('03.Muestra'!$C$8:$C$42)-MIN(ROW('03.Muestra'!$D$8:$D$42))+1,""),ROW()-1880)),"")</f>
        <v>Home - PortCastelló</v>
      </c>
      <c r="C1903" s="114" t="str" cm="1">
        <f t="array" ref="C1903">IFERROR(INDEX('03.Muestra'!$F$8:$F$42,SMALL(IF("Página Web"='03.Muestra'!$D$8:$D$42,ROW('03.Muestra'!$F$8:$F$42)-MIN(ROW('03.Muestra'!$D$8:$D$42))+1,""),ROW()-1880)),"")</f>
        <v>https://www.portcastello.com/</v>
      </c>
      <c r="D1903" s="130" t="str">
        <f t="shared" si="99"/>
        <v>N/T</v>
      </c>
      <c r="E1903" s="107" t="str">
        <f t="shared" si="98"/>
        <v/>
      </c>
      <c r="F1903" s="19"/>
      <c r="G1903" s="19"/>
      <c r="H1903" s="19"/>
      <c r="I1903" s="19"/>
      <c r="J1903" s="19"/>
      <c r="K1903" s="233"/>
    </row>
    <row r="1904" spans="1:11" ht="12" customHeight="1">
      <c r="A1904" s="219" t="n" cm="1">
        <f t="array" ref="A1904">IFERROR(INDEX('03.Muestra'!$B$8:$B$42,SMALL(IF("Página Web"='03.Muestra'!$D$8:$D$42,ROW('03.Muestra'!$B$8:$B$42)-MIN(ROW('03.Muestra'!$D$8:$D$42))+1,""),ROW()-1880)),"")</f>
        <v>1.0</v>
      </c>
      <c r="B1904" s="114" t="str" cm="1">
        <f t="array" ref="B1904">IFERROR(INDEX('03.Muestra'!$C$8:$C$42,SMALL(IF("Página Web"='03.Muestra'!$D$8:$D$42,ROW('03.Muestra'!$C$8:$C$42)-MIN(ROW('03.Muestra'!$D$8:$D$42))+1,""),ROW()-1880)),"")</f>
        <v>Home - PortCastelló</v>
      </c>
      <c r="C1904" s="114" t="str" cm="1">
        <f t="array" ref="C1904">IFERROR(INDEX('03.Muestra'!$F$8:$F$42,SMALL(IF("Página Web"='03.Muestra'!$D$8:$D$42,ROW('03.Muestra'!$F$8:$F$42)-MIN(ROW('03.Muestra'!$D$8:$D$42))+1,""),ROW()-1880)),"")</f>
        <v>https://www.portcastello.com/</v>
      </c>
      <c r="D1904" s="130" t="str">
        <f t="shared" si="99"/>
        <v>N/T</v>
      </c>
      <c r="E1904" s="107" t="str">
        <f t="shared" si="98"/>
        <v/>
      </c>
      <c r="F1904" s="19"/>
      <c r="G1904" s="19"/>
      <c r="H1904" s="19"/>
      <c r="I1904" s="19"/>
      <c r="J1904" s="19"/>
      <c r="K1904" s="233"/>
    </row>
    <row r="1905" spans="1:11" ht="12" customHeight="1">
      <c r="A1905" s="219" t="n" cm="1">
        <f t="array" ref="A1905">IFERROR(INDEX('03.Muestra'!$B$8:$B$42,SMALL(IF("Página Web"='03.Muestra'!$D$8:$D$42,ROW('03.Muestra'!$B$8:$B$42)-MIN(ROW('03.Muestra'!$D$8:$D$42))+1,""),ROW()-1880)),"")</f>
        <v>1.0</v>
      </c>
      <c r="B1905" s="114" t="str" cm="1">
        <f t="array" ref="B1905">IFERROR(INDEX('03.Muestra'!$C$8:$C$42,SMALL(IF("Página Web"='03.Muestra'!$D$8:$D$42,ROW('03.Muestra'!$C$8:$C$42)-MIN(ROW('03.Muestra'!$D$8:$D$42))+1,""),ROW()-1880)),"")</f>
        <v>Home - PortCastelló</v>
      </c>
      <c r="C1905" s="114" t="str" cm="1">
        <f t="array" ref="C1905">IFERROR(INDEX('03.Muestra'!$F$8:$F$42,SMALL(IF("Página Web"='03.Muestra'!$D$8:$D$42,ROW('03.Muestra'!$F$8:$F$42)-MIN(ROW('03.Muestra'!$D$8:$D$42))+1,""),ROW()-1880)),"")</f>
        <v>https://www.portcastello.com/</v>
      </c>
      <c r="D1905" s="130" t="str">
        <f t="shared" si="99"/>
        <v>N/T</v>
      </c>
      <c r="E1905" s="107" t="str">
        <f t="shared" si="98"/>
        <v/>
      </c>
      <c r="F1905" s="19"/>
      <c r="G1905" s="19"/>
      <c r="H1905" s="19"/>
      <c r="I1905" s="19"/>
      <c r="J1905" s="19"/>
      <c r="K1905" s="233"/>
    </row>
    <row r="1906" spans="1:11" ht="12" customHeight="1">
      <c r="A1906" s="219" t="n" cm="1">
        <f t="array" ref="A1906">IFERROR(INDEX('03.Muestra'!$B$8:$B$42,SMALL(IF("Página Web"='03.Muestra'!$D$8:$D$42,ROW('03.Muestra'!$B$8:$B$42)-MIN(ROW('03.Muestra'!$D$8:$D$42))+1,""),ROW()-1880)),"")</f>
        <v>1.0</v>
      </c>
      <c r="B1906" s="114" t="str" cm="1">
        <f t="array" ref="B1906">IFERROR(INDEX('03.Muestra'!$C$8:$C$42,SMALL(IF("Página Web"='03.Muestra'!$D$8:$D$42,ROW('03.Muestra'!$C$8:$C$42)-MIN(ROW('03.Muestra'!$D$8:$D$42))+1,""),ROW()-1880)),"")</f>
        <v>Home - PortCastelló</v>
      </c>
      <c r="C1906" s="114" t="str" cm="1">
        <f t="array" ref="C1906">IFERROR(INDEX('03.Muestra'!$F$8:$F$42,SMALL(IF("Página Web"='03.Muestra'!$D$8:$D$42,ROW('03.Muestra'!$F$8:$F$42)-MIN(ROW('03.Muestra'!$D$8:$D$42))+1,""),ROW()-1880)),"")</f>
        <v>https://www.portcastello.com/</v>
      </c>
      <c r="D1906" s="130" t="str">
        <f t="shared" si="99"/>
        <v>N/T</v>
      </c>
      <c r="E1906" s="107" t="str">
        <f t="shared" si="98"/>
        <v/>
      </c>
      <c r="F1906" s="19"/>
      <c r="G1906" s="19"/>
      <c r="H1906" s="19"/>
      <c r="I1906" s="19"/>
      <c r="J1906" s="19"/>
      <c r="K1906" s="233"/>
    </row>
    <row r="1907" spans="1:11" ht="12" customHeight="1">
      <c r="A1907" s="219" t="n" cm="1">
        <f t="array" ref="A1907">IFERROR(INDEX('03.Muestra'!$B$8:$B$42,SMALL(IF("Página Web"='03.Muestra'!$D$8:$D$42,ROW('03.Muestra'!$B$8:$B$42)-MIN(ROW('03.Muestra'!$D$8:$D$42))+1,""),ROW()-1880)),"")</f>
        <v>1.0</v>
      </c>
      <c r="B1907" s="114" t="str" cm="1">
        <f t="array" ref="B1907">IFERROR(INDEX('03.Muestra'!$C$8:$C$42,SMALL(IF("Página Web"='03.Muestra'!$D$8:$D$42,ROW('03.Muestra'!$C$8:$C$42)-MIN(ROW('03.Muestra'!$D$8:$D$42))+1,""),ROW()-1880)),"")</f>
        <v>Home - PortCastelló</v>
      </c>
      <c r="C1907" s="114" t="str" cm="1">
        <f t="array" ref="C1907">IFERROR(INDEX('03.Muestra'!$F$8:$F$42,SMALL(IF("Página Web"='03.Muestra'!$D$8:$D$42,ROW('03.Muestra'!$F$8:$F$42)-MIN(ROW('03.Muestra'!$D$8:$D$42))+1,""),ROW()-1880)),"")</f>
        <v>https://www.portcastello.com/</v>
      </c>
      <c r="D1907" s="130" t="str">
        <f t="shared" si="99"/>
        <v>N/T</v>
      </c>
      <c r="E1907" s="107" t="str">
        <f t="shared" si="98"/>
        <v/>
      </c>
      <c r="F1907" s="19"/>
      <c r="G1907" s="19"/>
      <c r="H1907" s="19"/>
      <c r="I1907" s="19"/>
      <c r="J1907" s="19"/>
      <c r="K1907" s="233"/>
    </row>
    <row r="1908" spans="1:11" ht="12" customHeight="1">
      <c r="A1908" s="219" t="n" cm="1">
        <f t="array" ref="A1908">IFERROR(INDEX('03.Muestra'!$B$8:$B$42,SMALL(IF("Página Web"='03.Muestra'!$D$8:$D$42,ROW('03.Muestra'!$B$8:$B$42)-MIN(ROW('03.Muestra'!$D$8:$D$42))+1,""),ROW()-1880)),"")</f>
        <v>1.0</v>
      </c>
      <c r="B1908" s="114" t="str" cm="1">
        <f t="array" ref="B1908">IFERROR(INDEX('03.Muestra'!$C$8:$C$42,SMALL(IF("Página Web"='03.Muestra'!$D$8:$D$42,ROW('03.Muestra'!$C$8:$C$42)-MIN(ROW('03.Muestra'!$D$8:$D$42))+1,""),ROW()-1880)),"")</f>
        <v>Home - PortCastelló</v>
      </c>
      <c r="C1908" s="114" t="str" cm="1">
        <f t="array" ref="C1908">IFERROR(INDEX('03.Muestra'!$F$8:$F$42,SMALL(IF("Página Web"='03.Muestra'!$D$8:$D$42,ROW('03.Muestra'!$F$8:$F$42)-MIN(ROW('03.Muestra'!$D$8:$D$42))+1,""),ROW()-1880)),"")</f>
        <v>https://www.portcastello.com/</v>
      </c>
      <c r="D1908" s="130" t="str">
        <f t="shared" si="99"/>
        <v>N/T</v>
      </c>
      <c r="E1908" s="107" t="str">
        <f t="shared" si="98"/>
        <v/>
      </c>
      <c r="G1908" s="19"/>
      <c r="H1908" s="19"/>
      <c r="I1908" s="19"/>
      <c r="J1908" s="19"/>
      <c r="K1908" s="233"/>
    </row>
    <row r="1909" spans="1:11" ht="12" customHeight="1">
      <c r="A1909" s="219" t="n" cm="1">
        <f t="array" ref="A1909">IFERROR(INDEX('03.Muestra'!$B$8:$B$42,SMALL(IF("Página Web"='03.Muestra'!$D$8:$D$42,ROW('03.Muestra'!$B$8:$B$42)-MIN(ROW('03.Muestra'!$D$8:$D$42))+1,""),ROW()-1880)),"")</f>
        <v>1.0</v>
      </c>
      <c r="B1909" s="114" t="str" cm="1">
        <f t="array" ref="B1909">IFERROR(INDEX('03.Muestra'!$C$8:$C$42,SMALL(IF("Página Web"='03.Muestra'!$D$8:$D$42,ROW('03.Muestra'!$C$8:$C$42)-MIN(ROW('03.Muestra'!$D$8:$D$42))+1,""),ROW()-1880)),"")</f>
        <v>Home - PortCastelló</v>
      </c>
      <c r="C1909" s="114" t="str" cm="1">
        <f t="array" ref="C1909">IFERROR(INDEX('03.Muestra'!$F$8:$F$42,SMALL(IF("Página Web"='03.Muestra'!$D$8:$D$42,ROW('03.Muestra'!$F$8:$F$42)-MIN(ROW('03.Muestra'!$D$8:$D$42))+1,""),ROW()-1880)),"")</f>
        <v>https://www.portcastello.com/</v>
      </c>
      <c r="D1909" s="130" t="str">
        <f t="shared" si="99"/>
        <v>N/T</v>
      </c>
      <c r="E1909" s="107" t="str">
        <f t="shared" si="98"/>
        <v/>
      </c>
      <c r="F1909" s="124"/>
      <c r="G1909" s="19"/>
      <c r="H1909" s="19"/>
      <c r="I1909" s="19"/>
      <c r="J1909" s="19"/>
      <c r="K1909" s="233"/>
    </row>
    <row r="1910" spans="1:11" ht="12" customHeight="1">
      <c r="A1910" s="219" t="n" cm="1">
        <f t="array" ref="A1910">IFERROR(INDEX('03.Muestra'!$B$8:$B$42,SMALL(IF("Página Web"='03.Muestra'!$D$8:$D$42,ROW('03.Muestra'!$B$8:$B$42)-MIN(ROW('03.Muestra'!$D$8:$D$42))+1,""),ROW()-1880)),"")</f>
        <v>1.0</v>
      </c>
      <c r="B1910" s="114" t="str" cm="1">
        <f t="array" ref="B1910">IFERROR(INDEX('03.Muestra'!$C$8:$C$42,SMALL(IF("Página Web"='03.Muestra'!$D$8:$D$42,ROW('03.Muestra'!$C$8:$C$42)-MIN(ROW('03.Muestra'!$D$8:$D$42))+1,""),ROW()-1880)),"")</f>
        <v>Home - PortCastelló</v>
      </c>
      <c r="C1910" s="114" t="str" cm="1">
        <f t="array" ref="C1910">IFERROR(INDEX('03.Muestra'!$F$8:$F$42,SMALL(IF("Página Web"='03.Muestra'!$D$8:$D$42,ROW('03.Muestra'!$F$8:$F$42)-MIN(ROW('03.Muestra'!$D$8:$D$42))+1,""),ROW()-1880)),"")</f>
        <v>https://www.portcastello.com/</v>
      </c>
      <c r="D1910" s="130" t="str">
        <f t="shared" si="99"/>
        <v>N/T</v>
      </c>
      <c r="E1910" s="107" t="str">
        <f t="shared" si="98"/>
        <v/>
      </c>
      <c r="F1910" s="124"/>
      <c r="G1910" s="19"/>
      <c r="H1910" s="19"/>
      <c r="I1910" s="19"/>
      <c r="J1910" s="19"/>
      <c r="K1910" s="233"/>
    </row>
    <row r="1911" spans="1:11" ht="12" customHeight="1">
      <c r="A1911" s="219" t="n" cm="1">
        <f t="array" ref="A1911">IFERROR(INDEX('03.Muestra'!$B$8:$B$42,SMALL(IF("Página Web"='03.Muestra'!$D$8:$D$42,ROW('03.Muestra'!$B$8:$B$42)-MIN(ROW('03.Muestra'!$D$8:$D$42))+1,""),ROW()-1880)),"")</f>
        <v>1.0</v>
      </c>
      <c r="B1911" s="114" t="str" cm="1">
        <f t="array" ref="B1911">IFERROR(INDEX('03.Muestra'!$C$8:$C$42,SMALL(IF("Página Web"='03.Muestra'!$D$8:$D$42,ROW('03.Muestra'!$C$8:$C$42)-MIN(ROW('03.Muestra'!$D$8:$D$42))+1,""),ROW()-1880)),"")</f>
        <v>Home - PortCastelló</v>
      </c>
      <c r="C1911" s="114" t="str" cm="1">
        <f t="array" ref="C1911">IFERROR(INDEX('03.Muestra'!$F$8:$F$42,SMALL(IF("Página Web"='03.Muestra'!$D$8:$D$42,ROW('03.Muestra'!$F$8:$F$42)-MIN(ROW('03.Muestra'!$D$8:$D$42))+1,""),ROW()-1880)),"")</f>
        <v>https://www.portcastello.com/</v>
      </c>
      <c r="D1911" s="130" t="str">
        <f t="shared" si="99"/>
        <v>N/T</v>
      </c>
      <c r="E1911" s="107" t="str">
        <f t="shared" si="98"/>
        <v/>
      </c>
      <c r="F1911" s="124"/>
      <c r="G1911" s="19"/>
      <c r="H1911" s="19"/>
      <c r="I1911" s="19"/>
      <c r="J1911" s="19"/>
      <c r="K1911" s="233"/>
    </row>
    <row r="1912" spans="1:11" ht="12" customHeight="1">
      <c r="A1912" s="219" t="n" cm="1">
        <f t="array" ref="A1912">IFERROR(INDEX('03.Muestra'!$B$8:$B$42,SMALL(IF("Página Web"='03.Muestra'!$D$8:$D$42,ROW('03.Muestra'!$B$8:$B$42)-MIN(ROW('03.Muestra'!$D$8:$D$42))+1,""),ROW()-1880)),"")</f>
        <v>1.0</v>
      </c>
      <c r="B1912" s="114" t="str" cm="1">
        <f t="array" ref="B1912">IFERROR(INDEX('03.Muestra'!$C$8:$C$42,SMALL(IF("Página Web"='03.Muestra'!$D$8:$D$42,ROW('03.Muestra'!$C$8:$C$42)-MIN(ROW('03.Muestra'!$D$8:$D$42))+1,""),ROW()-1880)),"")</f>
        <v>Home - PortCastelló</v>
      </c>
      <c r="C1912" s="114" t="str" cm="1">
        <f t="array" ref="C1912">IFERROR(INDEX('03.Muestra'!$F$8:$F$42,SMALL(IF("Página Web"='03.Muestra'!$D$8:$D$42,ROW('03.Muestra'!$F$8:$F$42)-MIN(ROW('03.Muestra'!$D$8:$D$42))+1,""),ROW()-1880)),"")</f>
        <v>https://www.portcastello.com/</v>
      </c>
      <c r="D1912" s="130" t="str">
        <f t="shared" si="99"/>
        <v>N/T</v>
      </c>
      <c r="E1912" s="107" t="str">
        <f t="shared" si="98"/>
        <v/>
      </c>
      <c r="F1912" s="124"/>
      <c r="G1912" s="19"/>
      <c r="H1912" s="19"/>
      <c r="I1912" s="19"/>
      <c r="J1912" s="19"/>
      <c r="K1912" s="233"/>
    </row>
    <row r="1913" spans="1:11" ht="12" customHeight="1">
      <c r="A1913" s="219" t="n" cm="1">
        <f t="array" ref="A1913">IFERROR(INDEX('03.Muestra'!$B$8:$B$42,SMALL(IF("Página Web"='03.Muestra'!$D$8:$D$42,ROW('03.Muestra'!$B$8:$B$42)-MIN(ROW('03.Muestra'!$D$8:$D$42))+1,""),ROW()-1880)),"")</f>
        <v>1.0</v>
      </c>
      <c r="B1913" s="114" t="str" cm="1">
        <f t="array" ref="B1913">IFERROR(INDEX('03.Muestra'!$C$8:$C$42,SMALL(IF("Página Web"='03.Muestra'!$D$8:$D$42,ROW('03.Muestra'!$C$8:$C$42)-MIN(ROW('03.Muestra'!$D$8:$D$42))+1,""),ROW()-1880)),"")</f>
        <v>Home - PortCastelló</v>
      </c>
      <c r="C1913" s="114" t="str" cm="1">
        <f t="array" ref="C1913">IFERROR(INDEX('03.Muestra'!$F$8:$F$42,SMALL(IF("Página Web"='03.Muestra'!$D$8:$D$42,ROW('03.Muestra'!$F$8:$F$42)-MIN(ROW('03.Muestra'!$D$8:$D$42))+1,""),ROW()-1880)),"")</f>
        <v>https://www.portcastello.com/</v>
      </c>
      <c r="D1913" s="130" t="str">
        <f t="shared" si="99"/>
        <v>N/T</v>
      </c>
      <c r="E1913" s="107" t="str">
        <f t="shared" si="98"/>
        <v/>
      </c>
      <c r="F1913" s="124"/>
      <c r="G1913" s="19"/>
      <c r="H1913" s="19"/>
      <c r="I1913" s="19"/>
      <c r="J1913" s="19"/>
      <c r="K1913" s="233"/>
    </row>
    <row r="1914" spans="1:11" ht="12" customHeight="1">
      <c r="A1914" s="219" t="str" cm="1">
        <f t="array" ref="A1914">IFERROR(INDEX('03.Muestra'!$B$8:$B$42,SMALL(IF("Página Web"='03.Muestra'!$D$8:$D$42,ROW('03.Muestra'!$B$8:$B$42)-MIN(ROW('03.Muestra'!$D$8:$D$42))+1,""),ROW()-1880)),"")</f>
        <v/>
      </c>
      <c r="B1914" s="114" t="str" cm="1">
        <f t="array" ref="B1914">IFERROR(INDEX('03.Muestra'!$C$8:$C$42,SMALL(IF("Página Web"='03.Muestra'!$D$8:$D$42,ROW('03.Muestra'!$C$8:$C$42)-MIN(ROW('03.Muestra'!$D$8:$D$42))+1,""),ROW()-1880)),"")</f>
        <v/>
      </c>
      <c r="C1914" s="114" t="str" cm="1">
        <f t="array" ref="C1914">IFERROR(INDEX('03.Muestra'!$F$8:$F$42,SMALL(IF("Página Web"='03.Muestra'!$D$8:$D$42,ROW('03.Muestra'!$F$8:$F$42)-MIN(ROW('03.Muestra'!$D$8:$D$42))+1,""),ROW()-1880)),"")</f>
        <v/>
      </c>
      <c r="D1914" s="130" t="str">
        <f t="shared" si="99"/>
        <v/>
      </c>
      <c r="E1914" s="107" t="str">
        <f t="shared" si="98"/>
        <v/>
      </c>
      <c r="F1914" s="124"/>
      <c r="G1914" s="19"/>
      <c r="H1914" s="19"/>
      <c r="I1914" s="19"/>
      <c r="J1914" s="19"/>
      <c r="K1914" s="233"/>
    </row>
    <row r="1915" spans="1:11" ht="12" customHeight="1">
      <c r="A1915" s="219" t="str" cm="1">
        <f t="array" ref="A1915">IFERROR(INDEX('03.Muestra'!$B$8:$B$42,SMALL(IF("Página Web"='03.Muestra'!$D$8:$D$42,ROW('03.Muestra'!$B$8:$B$42)-MIN(ROW('03.Muestra'!$D$8:$D$42))+1,""),ROW()-1880)),"")</f>
        <v/>
      </c>
      <c r="B1915" s="114" t="str" cm="1">
        <f t="array" ref="B1915">IFERROR(INDEX('03.Muestra'!$C$8:$C$42,SMALL(IF("Página Web"='03.Muestra'!$D$8:$D$42,ROW('03.Muestra'!$C$8:$C$42)-MIN(ROW('03.Muestra'!$D$8:$D$42))+1,""),ROW()-1880)),"")</f>
        <v/>
      </c>
      <c r="C1915" s="114" t="str" cm="1">
        <f t="array" ref="C1915">IFERROR(INDEX('03.Muestra'!$F$8:$F$42,SMALL(IF("Página Web"='03.Muestra'!$D$8:$D$42,ROW('03.Muestra'!$F$8:$F$42)-MIN(ROW('03.Muestra'!$D$8:$D$42))+1,""),ROW()-1880)),"")</f>
        <v/>
      </c>
      <c r="D1915" s="130" t="str">
        <f t="shared" si="99"/>
        <v/>
      </c>
      <c r="E1915" s="107" t="str">
        <f t="shared" si="98"/>
        <v/>
      </c>
      <c r="F1915" s="19"/>
      <c r="G1915" s="19"/>
      <c r="H1915" s="19"/>
      <c r="I1915" s="19"/>
      <c r="J1915" s="19"/>
      <c r="K1915" s="233"/>
    </row>
    <row r="1916" spans="1:11" ht="15">
      <c r="B1916" s="19"/>
      <c r="C1916" s="19"/>
      <c r="D1916" s="107"/>
      <c r="E1916" s="19"/>
      <c r="F1916" s="19"/>
      <c r="G1916" s="19"/>
      <c r="H1916" s="19"/>
      <c r="I1916" s="19"/>
      <c r="J1916" s="19"/>
      <c r="K1916" s="233"/>
    </row>
    <row r="1917" spans="1:11">
      <c r="K1917" s="234"/>
    </row>
    <row r="1918" spans="1:11">
      <c r="K1918" s="234"/>
    </row>
    <row r="1919" spans="1:11">
      <c r="K1919" s="234"/>
    </row>
    <row r="1920" spans="1:11">
      <c r="K1920" s="234"/>
    </row>
    <row r="1921" spans="11:11">
      <c r="K1921" s="234"/>
    </row>
    <row r="1922" spans="11:11">
      <c r="K1922" s="234"/>
    </row>
    <row r="1923" spans="11:11">
      <c r="K1923" s="234"/>
    </row>
    <row r="1924" spans="11:11">
      <c r="K1924" s="234"/>
    </row>
    <row r="1925" spans="11:11">
      <c r="K1925" s="234"/>
    </row>
    <row r="1926" spans="11:11">
      <c r="K1926" s="234"/>
    </row>
    <row r="1927" spans="11:11">
      <c r="K1927" s="234"/>
    </row>
    <row r="1928" spans="11:11">
      <c r="K1928" s="234"/>
    </row>
    <row r="1929" spans="11:11">
      <c r="K1929" s="234"/>
    </row>
    <row r="1930" spans="11:11">
      <c r="K1930" s="234"/>
    </row>
    <row r="1931" spans="11:11">
      <c r="K1931" s="234"/>
    </row>
    <row r="1932" spans="11:11">
      <c r="K1932" s="234"/>
    </row>
    <row r="1933" spans="11:11">
      <c r="K1933" s="234"/>
    </row>
    <row r="1934" spans="11:11">
      <c r="K1934" s="234"/>
    </row>
    <row r="1935" spans="11:11">
      <c r="K1935" s="234"/>
    </row>
    <row r="1936" spans="11:11">
      <c r="K1936" s="234"/>
    </row>
    <row r="1937" spans="11:11">
      <c r="K1937" s="234"/>
    </row>
    <row r="1938" spans="11:11">
      <c r="K1938" s="234"/>
    </row>
    <row r="1939" spans="11:11">
      <c r="K1939" s="234"/>
    </row>
    <row r="1940" spans="11:11">
      <c r="K1940" s="234"/>
    </row>
    <row r="1941" spans="11:11">
      <c r="K1941" s="234"/>
    </row>
    <row r="1942" spans="11:11">
      <c r="K1942" s="234"/>
    </row>
    <row r="1943" spans="11:11">
      <c r="K1943" s="234"/>
    </row>
    <row r="1944" spans="11:11">
      <c r="K1944" s="234"/>
    </row>
    <row r="1945" spans="11:11">
      <c r="K1945" s="234"/>
    </row>
    <row r="1946" spans="11:11">
      <c r="K1946" s="234"/>
    </row>
    <row r="1947" spans="11:11">
      <c r="K1947" s="234"/>
    </row>
    <row r="1948" spans="11:11">
      <c r="K1948" s="234"/>
    </row>
    <row r="1949" spans="11:11">
      <c r="K1949" s="234"/>
    </row>
    <row r="1950" spans="11:11">
      <c r="K1950" s="234"/>
    </row>
    <row r="1951" spans="11:11">
      <c r="K1951" s="234"/>
    </row>
    <row r="1952" spans="11:11">
      <c r="K1952" s="234"/>
    </row>
    <row r="1953" spans="11:11">
      <c r="K1953" s="234"/>
    </row>
    <row r="1954" spans="11:11">
      <c r="K1954" s="234"/>
    </row>
    <row r="1955" spans="11:11">
      <c r="K1955" s="234"/>
    </row>
    <row r="1956" spans="11:11">
      <c r="K1956" s="234"/>
    </row>
    <row r="1957" spans="11:11">
      <c r="K1957" s="234"/>
    </row>
    <row r="1958" spans="11:11">
      <c r="K1958" s="234"/>
    </row>
    <row r="1959" spans="11:11">
      <c r="K1959" s="234"/>
    </row>
    <row r="1960" spans="11:11">
      <c r="K1960" s="234"/>
    </row>
    <row r="1961" spans="11:11">
      <c r="K1961" s="234"/>
    </row>
    <row r="1962" spans="11:11">
      <c r="K1962" s="234"/>
    </row>
    <row r="1963" spans="11:11">
      <c r="K1963" s="234"/>
    </row>
    <row r="1964" spans="11:11">
      <c r="K1964" s="234"/>
    </row>
    <row r="1965" spans="11:11">
      <c r="K1965" s="234"/>
    </row>
    <row r="1966" spans="11:11">
      <c r="K1966" s="234"/>
    </row>
    <row r="1967" spans="11:11">
      <c r="K1967" s="234"/>
    </row>
    <row r="1968" spans="11:11">
      <c r="K1968" s="234"/>
    </row>
    <row r="1969" spans="11:11">
      <c r="K1969" s="234"/>
    </row>
    <row r="1970" spans="11:11">
      <c r="K1970" s="234"/>
    </row>
    <row r="1971" spans="11:11">
      <c r="K1971" s="234"/>
    </row>
    <row r="1972" spans="11:11">
      <c r="K1972" s="234"/>
    </row>
    <row r="1973" spans="11:11">
      <c r="K1973" s="234"/>
    </row>
    <row r="1974" spans="11:11">
      <c r="K1974" s="234"/>
    </row>
    <row r="1975" spans="11:11">
      <c r="K1975" s="234"/>
    </row>
    <row r="1976" spans="11:11">
      <c r="K1976" s="234"/>
    </row>
    <row r="1977" spans="11:11">
      <c r="K1977" s="234"/>
    </row>
    <row r="1978" spans="11:11">
      <c r="K1978" s="234"/>
    </row>
    <row r="1979" spans="11:11">
      <c r="K1979" s="234"/>
    </row>
    <row r="1980" spans="11:11">
      <c r="K1980" s="234"/>
    </row>
    <row r="1981" spans="11:11">
      <c r="K1981" s="234"/>
    </row>
    <row r="1982" spans="11:11">
      <c r="K1982" s="234"/>
    </row>
  </sheetData>
  <sheetCalcPr fullCalcOnLoad="true"/>
  <sheetProtection password="DC4E" sheet="true" scenarios="true" objects="true"/>
  <mergeCells count="2">
    <mergeCell ref="B11:C11"/>
    <mergeCell ref="B9:M9"/>
  </mergeCells>
  <conditionalFormatting sqref="E665:E699 E57:E91 E95:E129 E133:E167 E171:E205 E209:E243 E247:E281 E285:E319 E323:E357 E361:E395 E399:E433 E437:E471 E475:E509 E513:E547 E551:E585 E589:E623 E627:E661 E703:E737 E19:E53">
    <cfRule type="cellIs" dxfId="953" priority="733" stopIfTrue="1" operator="equal">
      <formula>"ERR"</formula>
    </cfRule>
  </conditionalFormatting>
  <conditionalFormatting sqref="F19:J19 F57:J57 F95:J95 F133:J133 F171:J171 F209:J209 F247:J247 F285:J285 F323:J323 F361:J361 F399:J399 F437:J437 F475:J475 F513:J513 F551:J551 F589:J589 F627:J627 F665:J665 F703:J703 F1349:J1349 F741:J741 F779:J779 F817:J817 F855:J855 F893:J893 F931:J931 F1045:J1045 F1083:J1083 F1159:J1159 F1197:J1197 F1235:J1235 F1273:J1273 F1311:J1311 F1387:J1387 F1463:J1463 F1501:J1501 F1615:J1615 F1653:J1653 F1691:J1691 F1729:J1729 F1767:J1767 F1805:J1805 F969:J969 F1007:J1007 F1121:J1121 F1425:J1425 F1539:J1539 F1577:J1577 F1843:J1843 F1881:J1881">
    <cfRule type="expression" dxfId="952" priority="727" stopIfTrue="1">
      <formula>ISBLANK(F19)</formula>
    </cfRule>
    <cfRule type="cellIs" dxfId="951" priority="728" stopIfTrue="1" operator="equal">
      <formula>"Pasa"</formula>
    </cfRule>
    <cfRule type="cellIs" dxfId="950" priority="729" stopIfTrue="1" operator="equal">
      <formula>"Falla"</formula>
    </cfRule>
    <cfRule type="cellIs" dxfId="949" priority="730" stopIfTrue="1" operator="equal">
      <formula>"N/A"</formula>
    </cfRule>
    <cfRule type="cellIs" dxfId="948" priority="731" stopIfTrue="1" operator="equal">
      <formula>"N/T"</formula>
    </cfRule>
    <cfRule type="cellIs" dxfId="947" priority="732" stopIfTrue="1" operator="equal">
      <formula>"N/D"</formula>
    </cfRule>
  </conditionalFormatting>
  <conditionalFormatting sqref="E741:E775 E779:E813 E817:E851 E855:E889 E893:E927 E931:E965 E1045:E1079 E1083:E1117 E1159:E1193 E1197:E1231 E1235:E1269 E1273:E1307 E1311:E1345 E1349:E1383">
    <cfRule type="cellIs" dxfId="946" priority="612" stopIfTrue="1" operator="equal">
      <formula>"ERR"</formula>
    </cfRule>
  </conditionalFormatting>
  <conditionalFormatting sqref="E1387:E1421 E1463:E1497 E1501:E1535 E1615:E1649 E1653:E1687 E1691:E1725 E1729:E1763">
    <cfRule type="cellIs" dxfId="945" priority="521" operator="equal">
      <formula>"ERR"</formula>
    </cfRule>
  </conditionalFormatting>
  <conditionalFormatting sqref="E1767:E1801 E1805:E1839">
    <cfRule type="cellIs" dxfId="944" priority="472" stopIfTrue="1" operator="equal">
      <formula>"ERR"</formula>
    </cfRule>
  </conditionalFormatting>
  <conditionalFormatting sqref="E969:E1003 E1007:E1042">
    <cfRule type="cellIs" dxfId="943" priority="453" stopIfTrue="1" operator="equal">
      <formula>"ERR"</formula>
    </cfRule>
  </conditionalFormatting>
  <conditionalFormatting sqref="D1042">
    <cfRule type="expression" dxfId="942" priority="447" stopIfTrue="1">
      <formula>ISBLANK(D1042)</formula>
    </cfRule>
    <cfRule type="cellIs" dxfId="941" priority="448" stopIfTrue="1" operator="equal">
      <formula>"Pasa"</formula>
    </cfRule>
    <cfRule type="cellIs" dxfId="940" priority="449" stopIfTrue="1" operator="equal">
      <formula>"Falla"</formula>
    </cfRule>
    <cfRule type="cellIs" dxfId="939" priority="450" stopIfTrue="1" operator="equal">
      <formula>"N/A"</formula>
    </cfRule>
    <cfRule type="cellIs" dxfId="938" priority="451" stopIfTrue="1" operator="equal">
      <formula>"N/T"</formula>
    </cfRule>
    <cfRule type="cellIs" dxfId="937" priority="452" stopIfTrue="1" operator="equal">
      <formula>"N/D"</formula>
    </cfRule>
  </conditionalFormatting>
  <conditionalFormatting sqref="E1121:E1155">
    <cfRule type="cellIs" dxfId="936" priority="434" stopIfTrue="1" operator="equal">
      <formula>"ERR"</formula>
    </cfRule>
  </conditionalFormatting>
  <conditionalFormatting sqref="E1425:E1459">
    <cfRule type="cellIs" dxfId="935" priority="421" operator="equal">
      <formula>"ERR"</formula>
    </cfRule>
  </conditionalFormatting>
  <conditionalFormatting sqref="E1539:E1573 E1577:E1611">
    <cfRule type="cellIs" dxfId="934" priority="408" operator="equal">
      <formula>"ERR"</formula>
    </cfRule>
  </conditionalFormatting>
  <conditionalFormatting sqref="E1843:E1877">
    <cfRule type="cellIs" dxfId="933" priority="389" stopIfTrue="1" operator="equal">
      <formula>"ERR"</formula>
    </cfRule>
  </conditionalFormatting>
  <conditionalFormatting sqref="D19:D53">
    <cfRule type="expression" dxfId="932" priority="371" stopIfTrue="1">
      <formula>ISBLANK(D19)</formula>
    </cfRule>
    <cfRule type="cellIs" dxfId="931" priority="372" stopIfTrue="1" operator="equal">
      <formula>"Pasa"</formula>
    </cfRule>
    <cfRule type="cellIs" dxfId="930" priority="373" stopIfTrue="1" operator="equal">
      <formula>"Falla"</formula>
    </cfRule>
    <cfRule type="cellIs" dxfId="929" priority="374" stopIfTrue="1" operator="equal">
      <formula>"N/A"</formula>
    </cfRule>
    <cfRule type="cellIs" dxfId="928" priority="375" stopIfTrue="1" operator="equal">
      <formula>"N/T"</formula>
    </cfRule>
    <cfRule type="cellIs" dxfId="927" priority="376" stopIfTrue="1" operator="equal">
      <formula>"N/D"</formula>
    </cfRule>
  </conditionalFormatting>
  <conditionalFormatting sqref="D19:D53">
    <cfRule type="cellIs" dxfId="926" priority="370" stopIfTrue="1" operator="equal">
      <formula>"-"</formula>
    </cfRule>
  </conditionalFormatting>
  <conditionalFormatting sqref="D57:D91">
    <cfRule type="expression" dxfId="925" priority="364" stopIfTrue="1">
      <formula>ISBLANK(D57)</formula>
    </cfRule>
    <cfRule type="cellIs" dxfId="924" priority="365" stopIfTrue="1" operator="equal">
      <formula>"Pasa"</formula>
    </cfRule>
    <cfRule type="cellIs" dxfId="923" priority="366" stopIfTrue="1" operator="equal">
      <formula>"Falla"</formula>
    </cfRule>
    <cfRule type="cellIs" dxfId="922" priority="367" stopIfTrue="1" operator="equal">
      <formula>"N/A"</formula>
    </cfRule>
    <cfRule type="cellIs" dxfId="921" priority="368" stopIfTrue="1" operator="equal">
      <formula>"N/T"</formula>
    </cfRule>
    <cfRule type="cellIs" dxfId="920" priority="369" stopIfTrue="1" operator="equal">
      <formula>"N/D"</formula>
    </cfRule>
  </conditionalFormatting>
  <conditionalFormatting sqref="D57:D91">
    <cfRule type="cellIs" dxfId="919" priority="363" stopIfTrue="1" operator="equal">
      <formula>"-"</formula>
    </cfRule>
  </conditionalFormatting>
  <conditionalFormatting sqref="D95:D129">
    <cfRule type="expression" dxfId="918" priority="357" stopIfTrue="1">
      <formula>ISBLANK(D95)</formula>
    </cfRule>
    <cfRule type="cellIs" dxfId="917" priority="358" stopIfTrue="1" operator="equal">
      <formula>"Pasa"</formula>
    </cfRule>
    <cfRule type="cellIs" dxfId="916" priority="359" stopIfTrue="1" operator="equal">
      <formula>"Falla"</formula>
    </cfRule>
    <cfRule type="cellIs" dxfId="915" priority="360" stopIfTrue="1" operator="equal">
      <formula>"N/A"</formula>
    </cfRule>
    <cfRule type="cellIs" dxfId="914" priority="361" stopIfTrue="1" operator="equal">
      <formula>"N/T"</formula>
    </cfRule>
    <cfRule type="cellIs" dxfId="913" priority="362" stopIfTrue="1" operator="equal">
      <formula>"N/D"</formula>
    </cfRule>
  </conditionalFormatting>
  <conditionalFormatting sqref="D95:D129">
    <cfRule type="cellIs" dxfId="912" priority="356" stopIfTrue="1" operator="equal">
      <formula>"-"</formula>
    </cfRule>
  </conditionalFormatting>
  <conditionalFormatting sqref="D133:D167">
    <cfRule type="expression" dxfId="911" priority="350" stopIfTrue="1">
      <formula>ISBLANK(D133)</formula>
    </cfRule>
    <cfRule type="cellIs" dxfId="910" priority="351" stopIfTrue="1" operator="equal">
      <formula>"Pasa"</formula>
    </cfRule>
    <cfRule type="cellIs" dxfId="909" priority="352" stopIfTrue="1" operator="equal">
      <formula>"Falla"</formula>
    </cfRule>
    <cfRule type="cellIs" dxfId="908" priority="353" stopIfTrue="1" operator="equal">
      <formula>"N/A"</formula>
    </cfRule>
    <cfRule type="cellIs" dxfId="907" priority="354" stopIfTrue="1" operator="equal">
      <formula>"N/T"</formula>
    </cfRule>
    <cfRule type="cellIs" dxfId="906" priority="355" stopIfTrue="1" operator="equal">
      <formula>"N/D"</formula>
    </cfRule>
  </conditionalFormatting>
  <conditionalFormatting sqref="D133:D167">
    <cfRule type="cellIs" dxfId="905" priority="349" stopIfTrue="1" operator="equal">
      <formula>"-"</formula>
    </cfRule>
  </conditionalFormatting>
  <conditionalFormatting sqref="D171:D205">
    <cfRule type="expression" dxfId="904" priority="336" stopIfTrue="1">
      <formula>ISBLANK(D171)</formula>
    </cfRule>
    <cfRule type="cellIs" dxfId="903" priority="337" stopIfTrue="1" operator="equal">
      <formula>"Pasa"</formula>
    </cfRule>
    <cfRule type="cellIs" dxfId="902" priority="338" stopIfTrue="1" operator="equal">
      <formula>"Falla"</formula>
    </cfRule>
    <cfRule type="cellIs" dxfId="901" priority="339" stopIfTrue="1" operator="equal">
      <formula>"N/A"</formula>
    </cfRule>
    <cfRule type="cellIs" dxfId="900" priority="340" stopIfTrue="1" operator="equal">
      <formula>"N/T"</formula>
    </cfRule>
    <cfRule type="cellIs" dxfId="899" priority="341" stopIfTrue="1" operator="equal">
      <formula>"N/D"</formula>
    </cfRule>
  </conditionalFormatting>
  <conditionalFormatting sqref="D171:D205">
    <cfRule type="cellIs" dxfId="898" priority="335" stopIfTrue="1" operator="equal">
      <formula>"-"</formula>
    </cfRule>
  </conditionalFormatting>
  <conditionalFormatting sqref="D209:D243">
    <cfRule type="expression" dxfId="897" priority="329" stopIfTrue="1">
      <formula>ISBLANK(D209)</formula>
    </cfRule>
    <cfRule type="cellIs" dxfId="896" priority="330" stopIfTrue="1" operator="equal">
      <formula>"Pasa"</formula>
    </cfRule>
    <cfRule type="cellIs" dxfId="895" priority="331" stopIfTrue="1" operator="equal">
      <formula>"Falla"</formula>
    </cfRule>
    <cfRule type="cellIs" dxfId="894" priority="332" stopIfTrue="1" operator="equal">
      <formula>"N/A"</formula>
    </cfRule>
    <cfRule type="cellIs" dxfId="893" priority="333" stopIfTrue="1" operator="equal">
      <formula>"N/T"</formula>
    </cfRule>
    <cfRule type="cellIs" dxfId="892" priority="334" stopIfTrue="1" operator="equal">
      <formula>"N/D"</formula>
    </cfRule>
  </conditionalFormatting>
  <conditionalFormatting sqref="D209:D243">
    <cfRule type="cellIs" dxfId="891" priority="328" stopIfTrue="1" operator="equal">
      <formula>"-"</formula>
    </cfRule>
  </conditionalFormatting>
  <conditionalFormatting sqref="D247:D281">
    <cfRule type="expression" dxfId="890" priority="322" stopIfTrue="1">
      <formula>ISBLANK(D247)</formula>
    </cfRule>
    <cfRule type="cellIs" dxfId="889" priority="323" stopIfTrue="1" operator="equal">
      <formula>"Pasa"</formula>
    </cfRule>
    <cfRule type="cellIs" dxfId="888" priority="324" stopIfTrue="1" operator="equal">
      <formula>"Falla"</formula>
    </cfRule>
    <cfRule type="cellIs" dxfId="887" priority="325" stopIfTrue="1" operator="equal">
      <formula>"N/A"</formula>
    </cfRule>
    <cfRule type="cellIs" dxfId="886" priority="326" stopIfTrue="1" operator="equal">
      <formula>"N/T"</formula>
    </cfRule>
    <cfRule type="cellIs" dxfId="885" priority="327" stopIfTrue="1" operator="equal">
      <formula>"N/D"</formula>
    </cfRule>
  </conditionalFormatting>
  <conditionalFormatting sqref="D247:D281">
    <cfRule type="cellIs" dxfId="884" priority="321" stopIfTrue="1" operator="equal">
      <formula>"-"</formula>
    </cfRule>
  </conditionalFormatting>
  <conditionalFormatting sqref="D285:D319">
    <cfRule type="expression" dxfId="883" priority="315" stopIfTrue="1">
      <formula>ISBLANK(D285)</formula>
    </cfRule>
    <cfRule type="cellIs" dxfId="882" priority="316" stopIfTrue="1" operator="equal">
      <formula>"Pasa"</formula>
    </cfRule>
    <cfRule type="cellIs" dxfId="881" priority="317" stopIfTrue="1" operator="equal">
      <formula>"Falla"</formula>
    </cfRule>
    <cfRule type="cellIs" dxfId="880" priority="318" stopIfTrue="1" operator="equal">
      <formula>"N/A"</formula>
    </cfRule>
    <cfRule type="cellIs" dxfId="879" priority="319" stopIfTrue="1" operator="equal">
      <formula>"N/T"</formula>
    </cfRule>
    <cfRule type="cellIs" dxfId="878" priority="320" stopIfTrue="1" operator="equal">
      <formula>"N/D"</formula>
    </cfRule>
  </conditionalFormatting>
  <conditionalFormatting sqref="D285:D319">
    <cfRule type="cellIs" dxfId="877" priority="314" stopIfTrue="1" operator="equal">
      <formula>"-"</formula>
    </cfRule>
  </conditionalFormatting>
  <conditionalFormatting sqref="D323:D357">
    <cfRule type="expression" dxfId="876" priority="308" stopIfTrue="1">
      <formula>ISBLANK(D323)</formula>
    </cfRule>
    <cfRule type="cellIs" dxfId="875" priority="309" stopIfTrue="1" operator="equal">
      <formula>"Pasa"</formula>
    </cfRule>
    <cfRule type="cellIs" dxfId="874" priority="310" stopIfTrue="1" operator="equal">
      <formula>"Falla"</formula>
    </cfRule>
    <cfRule type="cellIs" dxfId="873" priority="311" stopIfTrue="1" operator="equal">
      <formula>"N/A"</formula>
    </cfRule>
    <cfRule type="cellIs" dxfId="872" priority="312" stopIfTrue="1" operator="equal">
      <formula>"N/T"</formula>
    </cfRule>
    <cfRule type="cellIs" dxfId="871" priority="313" stopIfTrue="1" operator="equal">
      <formula>"N/D"</formula>
    </cfRule>
  </conditionalFormatting>
  <conditionalFormatting sqref="D323:D357">
    <cfRule type="cellIs" dxfId="870" priority="307" stopIfTrue="1" operator="equal">
      <formula>"-"</formula>
    </cfRule>
  </conditionalFormatting>
  <conditionalFormatting sqref="D361:D395">
    <cfRule type="expression" dxfId="869" priority="301" stopIfTrue="1">
      <formula>ISBLANK(D361)</formula>
    </cfRule>
    <cfRule type="cellIs" dxfId="868" priority="302" stopIfTrue="1" operator="equal">
      <formula>"Pasa"</formula>
    </cfRule>
    <cfRule type="cellIs" dxfId="867" priority="303" stopIfTrue="1" operator="equal">
      <formula>"Falla"</formula>
    </cfRule>
    <cfRule type="cellIs" dxfId="866" priority="304" stopIfTrue="1" operator="equal">
      <formula>"N/A"</formula>
    </cfRule>
    <cfRule type="cellIs" dxfId="865" priority="305" stopIfTrue="1" operator="equal">
      <formula>"N/T"</formula>
    </cfRule>
    <cfRule type="cellIs" dxfId="864" priority="306" stopIfTrue="1" operator="equal">
      <formula>"N/D"</formula>
    </cfRule>
  </conditionalFormatting>
  <conditionalFormatting sqref="D361:D395">
    <cfRule type="cellIs" dxfId="863" priority="300" stopIfTrue="1" operator="equal">
      <formula>"-"</formula>
    </cfRule>
  </conditionalFormatting>
  <conditionalFormatting sqref="D399:D433">
    <cfRule type="expression" dxfId="862" priority="294" stopIfTrue="1">
      <formula>ISBLANK(D399)</formula>
    </cfRule>
    <cfRule type="cellIs" dxfId="861" priority="295" stopIfTrue="1" operator="equal">
      <formula>"Pasa"</formula>
    </cfRule>
    <cfRule type="cellIs" dxfId="860" priority="296" stopIfTrue="1" operator="equal">
      <formula>"Falla"</formula>
    </cfRule>
    <cfRule type="cellIs" dxfId="859" priority="297" stopIfTrue="1" operator="equal">
      <formula>"N/A"</formula>
    </cfRule>
    <cfRule type="cellIs" dxfId="858" priority="298" stopIfTrue="1" operator="equal">
      <formula>"N/T"</formula>
    </cfRule>
    <cfRule type="cellIs" dxfId="857" priority="299" stopIfTrue="1" operator="equal">
      <formula>"N/D"</formula>
    </cfRule>
  </conditionalFormatting>
  <conditionalFormatting sqref="D399:D433">
    <cfRule type="cellIs" dxfId="856" priority="293" stopIfTrue="1" operator="equal">
      <formula>"-"</formula>
    </cfRule>
  </conditionalFormatting>
  <conditionalFormatting sqref="D437:D471">
    <cfRule type="expression" dxfId="855" priority="287" stopIfTrue="1">
      <formula>ISBLANK(D437)</formula>
    </cfRule>
    <cfRule type="cellIs" dxfId="854" priority="288" stopIfTrue="1" operator="equal">
      <formula>"Pasa"</formula>
    </cfRule>
    <cfRule type="cellIs" dxfId="853" priority="289" stopIfTrue="1" operator="equal">
      <formula>"Falla"</formula>
    </cfRule>
    <cfRule type="cellIs" dxfId="852" priority="290" stopIfTrue="1" operator="equal">
      <formula>"N/A"</formula>
    </cfRule>
    <cfRule type="cellIs" dxfId="851" priority="291" stopIfTrue="1" operator="equal">
      <formula>"N/T"</formula>
    </cfRule>
    <cfRule type="cellIs" dxfId="850" priority="292" stopIfTrue="1" operator="equal">
      <formula>"N/D"</formula>
    </cfRule>
  </conditionalFormatting>
  <conditionalFormatting sqref="D437:D471">
    <cfRule type="cellIs" dxfId="849" priority="286" stopIfTrue="1" operator="equal">
      <formula>"-"</formula>
    </cfRule>
  </conditionalFormatting>
  <conditionalFormatting sqref="D475:D509">
    <cfRule type="expression" dxfId="848" priority="280" stopIfTrue="1">
      <formula>ISBLANK(D475)</formula>
    </cfRule>
    <cfRule type="cellIs" dxfId="847" priority="281" stopIfTrue="1" operator="equal">
      <formula>"Pasa"</formula>
    </cfRule>
    <cfRule type="cellIs" dxfId="846" priority="282" stopIfTrue="1" operator="equal">
      <formula>"Falla"</formula>
    </cfRule>
    <cfRule type="cellIs" dxfId="845" priority="283" stopIfTrue="1" operator="equal">
      <formula>"N/A"</formula>
    </cfRule>
    <cfRule type="cellIs" dxfId="844" priority="284" stopIfTrue="1" operator="equal">
      <formula>"N/T"</formula>
    </cfRule>
    <cfRule type="cellIs" dxfId="843" priority="285" stopIfTrue="1" operator="equal">
      <formula>"N/D"</formula>
    </cfRule>
  </conditionalFormatting>
  <conditionalFormatting sqref="D475:D509">
    <cfRule type="cellIs" dxfId="842" priority="279" stopIfTrue="1" operator="equal">
      <formula>"-"</formula>
    </cfRule>
  </conditionalFormatting>
  <conditionalFormatting sqref="D513:D547">
    <cfRule type="expression" dxfId="841" priority="273" stopIfTrue="1">
      <formula>ISBLANK(D513)</formula>
    </cfRule>
    <cfRule type="cellIs" dxfId="840" priority="274" stopIfTrue="1" operator="equal">
      <formula>"Pasa"</formula>
    </cfRule>
    <cfRule type="cellIs" dxfId="839" priority="275" stopIfTrue="1" operator="equal">
      <formula>"Falla"</formula>
    </cfRule>
    <cfRule type="cellIs" dxfId="838" priority="276" stopIfTrue="1" operator="equal">
      <formula>"N/A"</formula>
    </cfRule>
    <cfRule type="cellIs" dxfId="837" priority="277" stopIfTrue="1" operator="equal">
      <formula>"N/T"</formula>
    </cfRule>
    <cfRule type="cellIs" dxfId="836" priority="278" stopIfTrue="1" operator="equal">
      <formula>"N/D"</formula>
    </cfRule>
  </conditionalFormatting>
  <conditionalFormatting sqref="D513:D547">
    <cfRule type="cellIs" dxfId="835" priority="272" stopIfTrue="1" operator="equal">
      <formula>"-"</formula>
    </cfRule>
  </conditionalFormatting>
  <conditionalFormatting sqref="D551:D585">
    <cfRule type="expression" dxfId="834" priority="266" stopIfTrue="1">
      <formula>ISBLANK(D551)</formula>
    </cfRule>
    <cfRule type="cellIs" dxfId="833" priority="267" stopIfTrue="1" operator="equal">
      <formula>"Pasa"</formula>
    </cfRule>
    <cfRule type="cellIs" dxfId="832" priority="268" stopIfTrue="1" operator="equal">
      <formula>"Falla"</formula>
    </cfRule>
    <cfRule type="cellIs" dxfId="831" priority="269" stopIfTrue="1" operator="equal">
      <formula>"N/A"</formula>
    </cfRule>
    <cfRule type="cellIs" dxfId="830" priority="270" stopIfTrue="1" operator="equal">
      <formula>"N/T"</formula>
    </cfRule>
    <cfRule type="cellIs" dxfId="829" priority="271" stopIfTrue="1" operator="equal">
      <formula>"N/D"</formula>
    </cfRule>
  </conditionalFormatting>
  <conditionalFormatting sqref="D551:D585">
    <cfRule type="cellIs" dxfId="828" priority="265" stopIfTrue="1" operator="equal">
      <formula>"-"</formula>
    </cfRule>
  </conditionalFormatting>
  <conditionalFormatting sqref="D589:D623">
    <cfRule type="expression" dxfId="827" priority="259" stopIfTrue="1">
      <formula>ISBLANK(D589)</formula>
    </cfRule>
    <cfRule type="cellIs" dxfId="826" priority="260" stopIfTrue="1" operator="equal">
      <formula>"Pasa"</formula>
    </cfRule>
    <cfRule type="cellIs" dxfId="825" priority="261" stopIfTrue="1" operator="equal">
      <formula>"Falla"</formula>
    </cfRule>
    <cfRule type="cellIs" dxfId="824" priority="262" stopIfTrue="1" operator="equal">
      <formula>"N/A"</formula>
    </cfRule>
    <cfRule type="cellIs" dxfId="823" priority="263" stopIfTrue="1" operator="equal">
      <formula>"N/T"</formula>
    </cfRule>
    <cfRule type="cellIs" dxfId="822" priority="264" stopIfTrue="1" operator="equal">
      <formula>"N/D"</formula>
    </cfRule>
  </conditionalFormatting>
  <conditionalFormatting sqref="D589:D623">
    <cfRule type="cellIs" dxfId="821" priority="258" stopIfTrue="1" operator="equal">
      <formula>"-"</formula>
    </cfRule>
  </conditionalFormatting>
  <conditionalFormatting sqref="D627:D661">
    <cfRule type="expression" dxfId="820" priority="252" stopIfTrue="1">
      <formula>ISBLANK(D627)</formula>
    </cfRule>
    <cfRule type="cellIs" dxfId="819" priority="253" stopIfTrue="1" operator="equal">
      <formula>"Pasa"</formula>
    </cfRule>
    <cfRule type="cellIs" dxfId="818" priority="254" stopIfTrue="1" operator="equal">
      <formula>"Falla"</formula>
    </cfRule>
    <cfRule type="cellIs" dxfId="817" priority="255" stopIfTrue="1" operator="equal">
      <formula>"N/A"</formula>
    </cfRule>
    <cfRule type="cellIs" dxfId="816" priority="256" stopIfTrue="1" operator="equal">
      <formula>"N/T"</formula>
    </cfRule>
    <cfRule type="cellIs" dxfId="815" priority="257" stopIfTrue="1" operator="equal">
      <formula>"N/D"</formula>
    </cfRule>
  </conditionalFormatting>
  <conditionalFormatting sqref="D627:D661">
    <cfRule type="cellIs" dxfId="814" priority="251" stopIfTrue="1" operator="equal">
      <formula>"-"</formula>
    </cfRule>
  </conditionalFormatting>
  <conditionalFormatting sqref="D665:D699">
    <cfRule type="expression" dxfId="813" priority="245" stopIfTrue="1">
      <formula>ISBLANK(D665)</formula>
    </cfRule>
    <cfRule type="cellIs" dxfId="812" priority="246" stopIfTrue="1" operator="equal">
      <formula>"Pasa"</formula>
    </cfRule>
    <cfRule type="cellIs" dxfId="811" priority="247" stopIfTrue="1" operator="equal">
      <formula>"Falla"</formula>
    </cfRule>
    <cfRule type="cellIs" dxfId="810" priority="248" stopIfTrue="1" operator="equal">
      <formula>"N/A"</formula>
    </cfRule>
    <cfRule type="cellIs" dxfId="809" priority="249" stopIfTrue="1" operator="equal">
      <formula>"N/T"</formula>
    </cfRule>
    <cfRule type="cellIs" dxfId="808" priority="250" stopIfTrue="1" operator="equal">
      <formula>"N/D"</formula>
    </cfRule>
  </conditionalFormatting>
  <conditionalFormatting sqref="D665:D699">
    <cfRule type="cellIs" dxfId="807" priority="244" stopIfTrue="1" operator="equal">
      <formula>"-"</formula>
    </cfRule>
  </conditionalFormatting>
  <conditionalFormatting sqref="D703:D737">
    <cfRule type="expression" dxfId="806" priority="238" stopIfTrue="1">
      <formula>ISBLANK(D703)</formula>
    </cfRule>
    <cfRule type="cellIs" dxfId="805" priority="239" stopIfTrue="1" operator="equal">
      <formula>"Pasa"</formula>
    </cfRule>
    <cfRule type="cellIs" dxfId="804" priority="240" stopIfTrue="1" operator="equal">
      <formula>"Falla"</formula>
    </cfRule>
    <cfRule type="cellIs" dxfId="803" priority="241" stopIfTrue="1" operator="equal">
      <formula>"N/A"</formula>
    </cfRule>
    <cfRule type="cellIs" dxfId="802" priority="242" stopIfTrue="1" operator="equal">
      <formula>"N/T"</formula>
    </cfRule>
    <cfRule type="cellIs" dxfId="801" priority="243" stopIfTrue="1" operator="equal">
      <formula>"N/D"</formula>
    </cfRule>
  </conditionalFormatting>
  <conditionalFormatting sqref="D703:D737">
    <cfRule type="cellIs" dxfId="800" priority="237" stopIfTrue="1" operator="equal">
      <formula>"-"</formula>
    </cfRule>
  </conditionalFormatting>
  <conditionalFormatting sqref="D741:D775">
    <cfRule type="expression" dxfId="799" priority="231" stopIfTrue="1">
      <formula>ISBLANK(D741)</formula>
    </cfRule>
    <cfRule type="cellIs" dxfId="798" priority="232" stopIfTrue="1" operator="equal">
      <formula>"Pasa"</formula>
    </cfRule>
    <cfRule type="cellIs" dxfId="797" priority="233" stopIfTrue="1" operator="equal">
      <formula>"Falla"</formula>
    </cfRule>
    <cfRule type="cellIs" dxfId="796" priority="234" stopIfTrue="1" operator="equal">
      <formula>"N/A"</formula>
    </cfRule>
    <cfRule type="cellIs" dxfId="795" priority="235" stopIfTrue="1" operator="equal">
      <formula>"N/T"</formula>
    </cfRule>
    <cfRule type="cellIs" dxfId="794" priority="236" stopIfTrue="1" operator="equal">
      <formula>"N/D"</formula>
    </cfRule>
  </conditionalFormatting>
  <conditionalFormatting sqref="D741:D775">
    <cfRule type="cellIs" dxfId="793" priority="230" stopIfTrue="1" operator="equal">
      <formula>"-"</formula>
    </cfRule>
  </conditionalFormatting>
  <conditionalFormatting sqref="D779:D813">
    <cfRule type="expression" dxfId="792" priority="224" stopIfTrue="1">
      <formula>ISBLANK(D779)</formula>
    </cfRule>
    <cfRule type="cellIs" dxfId="791" priority="225" stopIfTrue="1" operator="equal">
      <formula>"Pasa"</formula>
    </cfRule>
    <cfRule type="cellIs" dxfId="790" priority="226" stopIfTrue="1" operator="equal">
      <formula>"Falla"</formula>
    </cfRule>
    <cfRule type="cellIs" dxfId="789" priority="227" stopIfTrue="1" operator="equal">
      <formula>"N/A"</formula>
    </cfRule>
    <cfRule type="cellIs" dxfId="788" priority="228" stopIfTrue="1" operator="equal">
      <formula>"N/T"</formula>
    </cfRule>
    <cfRule type="cellIs" dxfId="787" priority="229" stopIfTrue="1" operator="equal">
      <formula>"N/D"</formula>
    </cfRule>
  </conditionalFormatting>
  <conditionalFormatting sqref="D779:D813">
    <cfRule type="cellIs" dxfId="786" priority="223" stopIfTrue="1" operator="equal">
      <formula>"-"</formula>
    </cfRule>
  </conditionalFormatting>
  <conditionalFormatting sqref="D817:D851">
    <cfRule type="expression" dxfId="785" priority="217" stopIfTrue="1">
      <formula>ISBLANK(D817)</formula>
    </cfRule>
    <cfRule type="cellIs" dxfId="784" priority="218" stopIfTrue="1" operator="equal">
      <formula>"Pasa"</formula>
    </cfRule>
    <cfRule type="cellIs" dxfId="783" priority="219" stopIfTrue="1" operator="equal">
      <formula>"Falla"</formula>
    </cfRule>
    <cfRule type="cellIs" dxfId="782" priority="220" stopIfTrue="1" operator="equal">
      <formula>"N/A"</formula>
    </cfRule>
    <cfRule type="cellIs" dxfId="781" priority="221" stopIfTrue="1" operator="equal">
      <formula>"N/T"</formula>
    </cfRule>
    <cfRule type="cellIs" dxfId="780" priority="222" stopIfTrue="1" operator="equal">
      <formula>"N/D"</formula>
    </cfRule>
  </conditionalFormatting>
  <conditionalFormatting sqref="D817:D851">
    <cfRule type="cellIs" dxfId="779" priority="216" stopIfTrue="1" operator="equal">
      <formula>"-"</formula>
    </cfRule>
  </conditionalFormatting>
  <conditionalFormatting sqref="D855:D889">
    <cfRule type="expression" dxfId="778" priority="210" stopIfTrue="1">
      <formula>ISBLANK(D855)</formula>
    </cfRule>
    <cfRule type="cellIs" dxfId="777" priority="211" stopIfTrue="1" operator="equal">
      <formula>"Pasa"</formula>
    </cfRule>
    <cfRule type="cellIs" dxfId="776" priority="212" stopIfTrue="1" operator="equal">
      <formula>"Falla"</formula>
    </cfRule>
    <cfRule type="cellIs" dxfId="775" priority="213" stopIfTrue="1" operator="equal">
      <formula>"N/A"</formula>
    </cfRule>
    <cfRule type="cellIs" dxfId="774" priority="214" stopIfTrue="1" operator="equal">
      <formula>"N/T"</formula>
    </cfRule>
    <cfRule type="cellIs" dxfId="773" priority="215" stopIfTrue="1" operator="equal">
      <formula>"N/D"</formula>
    </cfRule>
  </conditionalFormatting>
  <conditionalFormatting sqref="D855:D889">
    <cfRule type="cellIs" dxfId="772" priority="209" stopIfTrue="1" operator="equal">
      <formula>"-"</formula>
    </cfRule>
  </conditionalFormatting>
  <conditionalFormatting sqref="D893:D927">
    <cfRule type="expression" dxfId="771" priority="203" stopIfTrue="1">
      <formula>ISBLANK(D893)</formula>
    </cfRule>
    <cfRule type="cellIs" dxfId="770" priority="204" stopIfTrue="1" operator="equal">
      <formula>"Pasa"</formula>
    </cfRule>
    <cfRule type="cellIs" dxfId="769" priority="205" stopIfTrue="1" operator="equal">
      <formula>"Falla"</formula>
    </cfRule>
    <cfRule type="cellIs" dxfId="768" priority="206" stopIfTrue="1" operator="equal">
      <formula>"N/A"</formula>
    </cfRule>
    <cfRule type="cellIs" dxfId="767" priority="207" stopIfTrue="1" operator="equal">
      <formula>"N/T"</formula>
    </cfRule>
    <cfRule type="cellIs" dxfId="766" priority="208" stopIfTrue="1" operator="equal">
      <formula>"N/D"</formula>
    </cfRule>
  </conditionalFormatting>
  <conditionalFormatting sqref="D893:D927">
    <cfRule type="cellIs" dxfId="765" priority="202" stopIfTrue="1" operator="equal">
      <formula>"-"</formula>
    </cfRule>
  </conditionalFormatting>
  <conditionalFormatting sqref="D931:D965">
    <cfRule type="expression" dxfId="764" priority="196" stopIfTrue="1">
      <formula>ISBLANK(D931)</formula>
    </cfRule>
    <cfRule type="cellIs" dxfId="763" priority="197" stopIfTrue="1" operator="equal">
      <formula>"Pasa"</formula>
    </cfRule>
    <cfRule type="cellIs" dxfId="762" priority="198" stopIfTrue="1" operator="equal">
      <formula>"Falla"</formula>
    </cfRule>
    <cfRule type="cellIs" dxfId="761" priority="199" stopIfTrue="1" operator="equal">
      <formula>"N/A"</formula>
    </cfRule>
    <cfRule type="cellIs" dxfId="760" priority="200" stopIfTrue="1" operator="equal">
      <formula>"N/T"</formula>
    </cfRule>
    <cfRule type="cellIs" dxfId="759" priority="201" stopIfTrue="1" operator="equal">
      <formula>"N/D"</formula>
    </cfRule>
  </conditionalFormatting>
  <conditionalFormatting sqref="D931:D965">
    <cfRule type="cellIs" dxfId="758" priority="195" stopIfTrue="1" operator="equal">
      <formula>"-"</formula>
    </cfRule>
  </conditionalFormatting>
  <conditionalFormatting sqref="D969:D1003">
    <cfRule type="expression" dxfId="757" priority="189" stopIfTrue="1">
      <formula>ISBLANK(D969)</formula>
    </cfRule>
    <cfRule type="cellIs" dxfId="756" priority="190" stopIfTrue="1" operator="equal">
      <formula>"Pasa"</formula>
    </cfRule>
    <cfRule type="cellIs" dxfId="755" priority="191" stopIfTrue="1" operator="equal">
      <formula>"Falla"</formula>
    </cfRule>
    <cfRule type="cellIs" dxfId="754" priority="192" stopIfTrue="1" operator="equal">
      <formula>"N/A"</formula>
    </cfRule>
    <cfRule type="cellIs" dxfId="753" priority="193" stopIfTrue="1" operator="equal">
      <formula>"N/T"</formula>
    </cfRule>
    <cfRule type="cellIs" dxfId="752" priority="194" stopIfTrue="1" operator="equal">
      <formula>"N/D"</formula>
    </cfRule>
  </conditionalFormatting>
  <conditionalFormatting sqref="D969:D1003">
    <cfRule type="cellIs" dxfId="751" priority="188" stopIfTrue="1" operator="equal">
      <formula>"-"</formula>
    </cfRule>
  </conditionalFormatting>
  <conditionalFormatting sqref="D1007:D1041">
    <cfRule type="expression" dxfId="750" priority="182" stopIfTrue="1">
      <formula>ISBLANK(D1007)</formula>
    </cfRule>
    <cfRule type="cellIs" dxfId="749" priority="183" stopIfTrue="1" operator="equal">
      <formula>"Pasa"</formula>
    </cfRule>
    <cfRule type="cellIs" dxfId="748" priority="184" stopIfTrue="1" operator="equal">
      <formula>"Falla"</formula>
    </cfRule>
    <cfRule type="cellIs" dxfId="747" priority="185" stopIfTrue="1" operator="equal">
      <formula>"N/A"</formula>
    </cfRule>
    <cfRule type="cellIs" dxfId="746" priority="186" stopIfTrue="1" operator="equal">
      <formula>"N/T"</formula>
    </cfRule>
    <cfRule type="cellIs" dxfId="745" priority="187" stopIfTrue="1" operator="equal">
      <formula>"N/D"</formula>
    </cfRule>
  </conditionalFormatting>
  <conditionalFormatting sqref="D1007:D1041">
    <cfRule type="cellIs" dxfId="744" priority="181" stopIfTrue="1" operator="equal">
      <formula>"-"</formula>
    </cfRule>
  </conditionalFormatting>
  <conditionalFormatting sqref="D1045:D1079">
    <cfRule type="expression" dxfId="743" priority="175" stopIfTrue="1">
      <formula>ISBLANK(D1045)</formula>
    </cfRule>
    <cfRule type="cellIs" dxfId="742" priority="176" stopIfTrue="1" operator="equal">
      <formula>"Pasa"</formula>
    </cfRule>
    <cfRule type="cellIs" dxfId="741" priority="177" stopIfTrue="1" operator="equal">
      <formula>"Falla"</formula>
    </cfRule>
    <cfRule type="cellIs" dxfId="740" priority="178" stopIfTrue="1" operator="equal">
      <formula>"N/A"</formula>
    </cfRule>
    <cfRule type="cellIs" dxfId="739" priority="179" stopIfTrue="1" operator="equal">
      <formula>"N/T"</formula>
    </cfRule>
    <cfRule type="cellIs" dxfId="738" priority="180" stopIfTrue="1" operator="equal">
      <formula>"N/D"</formula>
    </cfRule>
  </conditionalFormatting>
  <conditionalFormatting sqref="D1045:D1079">
    <cfRule type="cellIs" dxfId="737" priority="174" stopIfTrue="1" operator="equal">
      <formula>"-"</formula>
    </cfRule>
  </conditionalFormatting>
  <conditionalFormatting sqref="D1083:D1117">
    <cfRule type="expression" dxfId="736" priority="168" stopIfTrue="1">
      <formula>ISBLANK(D1083)</formula>
    </cfRule>
    <cfRule type="cellIs" dxfId="735" priority="169" stopIfTrue="1" operator="equal">
      <formula>"Pasa"</formula>
    </cfRule>
    <cfRule type="cellIs" dxfId="734" priority="170" stopIfTrue="1" operator="equal">
      <formula>"Falla"</formula>
    </cfRule>
    <cfRule type="cellIs" dxfId="733" priority="171" stopIfTrue="1" operator="equal">
      <formula>"N/A"</formula>
    </cfRule>
    <cfRule type="cellIs" dxfId="732" priority="172" stopIfTrue="1" operator="equal">
      <formula>"N/T"</formula>
    </cfRule>
    <cfRule type="cellIs" dxfId="731" priority="173" stopIfTrue="1" operator="equal">
      <formula>"N/D"</formula>
    </cfRule>
  </conditionalFormatting>
  <conditionalFormatting sqref="D1083:D1117">
    <cfRule type="cellIs" dxfId="730" priority="167" stopIfTrue="1" operator="equal">
      <formula>"-"</formula>
    </cfRule>
  </conditionalFormatting>
  <conditionalFormatting sqref="D1121:D1155">
    <cfRule type="expression" dxfId="729" priority="161" stopIfTrue="1">
      <formula>ISBLANK(D1121)</formula>
    </cfRule>
    <cfRule type="cellIs" dxfId="728" priority="162" stopIfTrue="1" operator="equal">
      <formula>"Pasa"</formula>
    </cfRule>
    <cfRule type="cellIs" dxfId="727" priority="163" stopIfTrue="1" operator="equal">
      <formula>"Falla"</formula>
    </cfRule>
    <cfRule type="cellIs" dxfId="726" priority="164" stopIfTrue="1" operator="equal">
      <formula>"N/A"</formula>
    </cfRule>
    <cfRule type="cellIs" dxfId="725" priority="165" stopIfTrue="1" operator="equal">
      <formula>"N/T"</formula>
    </cfRule>
    <cfRule type="cellIs" dxfId="724" priority="166" stopIfTrue="1" operator="equal">
      <formula>"N/D"</formula>
    </cfRule>
  </conditionalFormatting>
  <conditionalFormatting sqref="D1121:D1155">
    <cfRule type="cellIs" dxfId="723" priority="160" stopIfTrue="1" operator="equal">
      <formula>"-"</formula>
    </cfRule>
  </conditionalFormatting>
  <conditionalFormatting sqref="D1159:D1193">
    <cfRule type="expression" dxfId="722" priority="154" stopIfTrue="1">
      <formula>ISBLANK(D1159)</formula>
    </cfRule>
    <cfRule type="cellIs" dxfId="721" priority="155" stopIfTrue="1" operator="equal">
      <formula>"Pasa"</formula>
    </cfRule>
    <cfRule type="cellIs" dxfId="720" priority="156" stopIfTrue="1" operator="equal">
      <formula>"Falla"</formula>
    </cfRule>
    <cfRule type="cellIs" dxfId="719" priority="157" stopIfTrue="1" operator="equal">
      <formula>"N/A"</formula>
    </cfRule>
    <cfRule type="cellIs" dxfId="718" priority="158" stopIfTrue="1" operator="equal">
      <formula>"N/T"</formula>
    </cfRule>
    <cfRule type="cellIs" dxfId="717" priority="159" stopIfTrue="1" operator="equal">
      <formula>"N/D"</formula>
    </cfRule>
  </conditionalFormatting>
  <conditionalFormatting sqref="D1159:D1193">
    <cfRule type="cellIs" dxfId="716" priority="153" stopIfTrue="1" operator="equal">
      <formula>"-"</formula>
    </cfRule>
  </conditionalFormatting>
  <conditionalFormatting sqref="D1197:D1231">
    <cfRule type="expression" dxfId="715" priority="147" stopIfTrue="1">
      <formula>ISBLANK(D1197)</formula>
    </cfRule>
    <cfRule type="cellIs" dxfId="714" priority="148" stopIfTrue="1" operator="equal">
      <formula>"Pasa"</formula>
    </cfRule>
    <cfRule type="cellIs" dxfId="713" priority="149" stopIfTrue="1" operator="equal">
      <formula>"Falla"</formula>
    </cfRule>
    <cfRule type="cellIs" dxfId="712" priority="150" stopIfTrue="1" operator="equal">
      <formula>"N/A"</formula>
    </cfRule>
    <cfRule type="cellIs" dxfId="711" priority="151" stopIfTrue="1" operator="equal">
      <formula>"N/T"</formula>
    </cfRule>
    <cfRule type="cellIs" dxfId="710" priority="152" stopIfTrue="1" operator="equal">
      <formula>"N/D"</formula>
    </cfRule>
  </conditionalFormatting>
  <conditionalFormatting sqref="D1197:D1231">
    <cfRule type="cellIs" dxfId="709" priority="146" stopIfTrue="1" operator="equal">
      <formula>"-"</formula>
    </cfRule>
  </conditionalFormatting>
  <conditionalFormatting sqref="D1235:D1269">
    <cfRule type="expression" dxfId="708" priority="140" stopIfTrue="1">
      <formula>ISBLANK(D1235)</formula>
    </cfRule>
    <cfRule type="cellIs" dxfId="707" priority="141" stopIfTrue="1" operator="equal">
      <formula>"Pasa"</formula>
    </cfRule>
    <cfRule type="cellIs" dxfId="706" priority="142" stopIfTrue="1" operator="equal">
      <formula>"Falla"</formula>
    </cfRule>
    <cfRule type="cellIs" dxfId="705" priority="143" stopIfTrue="1" operator="equal">
      <formula>"N/A"</formula>
    </cfRule>
    <cfRule type="cellIs" dxfId="704" priority="144" stopIfTrue="1" operator="equal">
      <formula>"N/T"</formula>
    </cfRule>
    <cfRule type="cellIs" dxfId="703" priority="145" stopIfTrue="1" operator="equal">
      <formula>"N/D"</formula>
    </cfRule>
  </conditionalFormatting>
  <conditionalFormatting sqref="D1235:D1269">
    <cfRule type="cellIs" dxfId="702" priority="139" stopIfTrue="1" operator="equal">
      <formula>"-"</formula>
    </cfRule>
  </conditionalFormatting>
  <conditionalFormatting sqref="D1273:D1307">
    <cfRule type="expression" dxfId="701" priority="133" stopIfTrue="1">
      <formula>ISBLANK(D1273)</formula>
    </cfRule>
    <cfRule type="cellIs" dxfId="700" priority="134" stopIfTrue="1" operator="equal">
      <formula>"Pasa"</formula>
    </cfRule>
    <cfRule type="cellIs" dxfId="699" priority="135" stopIfTrue="1" operator="equal">
      <formula>"Falla"</formula>
    </cfRule>
    <cfRule type="cellIs" dxfId="698" priority="136" stopIfTrue="1" operator="equal">
      <formula>"N/A"</formula>
    </cfRule>
    <cfRule type="cellIs" dxfId="697" priority="137" stopIfTrue="1" operator="equal">
      <formula>"N/T"</formula>
    </cfRule>
    <cfRule type="cellIs" dxfId="696" priority="138" stopIfTrue="1" operator="equal">
      <formula>"N/D"</formula>
    </cfRule>
  </conditionalFormatting>
  <conditionalFormatting sqref="D1273:D1307">
    <cfRule type="cellIs" dxfId="695" priority="132" stopIfTrue="1" operator="equal">
      <formula>"-"</formula>
    </cfRule>
  </conditionalFormatting>
  <conditionalFormatting sqref="D1311:D1345">
    <cfRule type="expression" dxfId="694" priority="126" stopIfTrue="1">
      <formula>ISBLANK(D1311)</formula>
    </cfRule>
    <cfRule type="cellIs" dxfId="693" priority="127" stopIfTrue="1" operator="equal">
      <formula>"Pasa"</formula>
    </cfRule>
    <cfRule type="cellIs" dxfId="692" priority="128" stopIfTrue="1" operator="equal">
      <formula>"Falla"</formula>
    </cfRule>
    <cfRule type="cellIs" dxfId="691" priority="129" stopIfTrue="1" operator="equal">
      <formula>"N/A"</formula>
    </cfRule>
    <cfRule type="cellIs" dxfId="690" priority="130" stopIfTrue="1" operator="equal">
      <formula>"N/T"</formula>
    </cfRule>
    <cfRule type="cellIs" dxfId="689" priority="131" stopIfTrue="1" operator="equal">
      <formula>"N/D"</formula>
    </cfRule>
  </conditionalFormatting>
  <conditionalFormatting sqref="D1311:D1345">
    <cfRule type="cellIs" dxfId="688" priority="125" stopIfTrue="1" operator="equal">
      <formula>"-"</formula>
    </cfRule>
  </conditionalFormatting>
  <conditionalFormatting sqref="D1349:D1383">
    <cfRule type="expression" dxfId="687" priority="119" stopIfTrue="1">
      <formula>ISBLANK(D1349)</formula>
    </cfRule>
    <cfRule type="cellIs" dxfId="686" priority="120" stopIfTrue="1" operator="equal">
      <formula>"Pasa"</formula>
    </cfRule>
    <cfRule type="cellIs" dxfId="685" priority="121" stopIfTrue="1" operator="equal">
      <formula>"Falla"</formula>
    </cfRule>
    <cfRule type="cellIs" dxfId="684" priority="122" stopIfTrue="1" operator="equal">
      <formula>"N/A"</formula>
    </cfRule>
    <cfRule type="cellIs" dxfId="683" priority="123" stopIfTrue="1" operator="equal">
      <formula>"N/T"</formula>
    </cfRule>
    <cfRule type="cellIs" dxfId="682" priority="124" stopIfTrue="1" operator="equal">
      <formula>"N/D"</formula>
    </cfRule>
  </conditionalFormatting>
  <conditionalFormatting sqref="D1349:D1383">
    <cfRule type="cellIs" dxfId="681" priority="118" stopIfTrue="1" operator="equal">
      <formula>"-"</formula>
    </cfRule>
  </conditionalFormatting>
  <conditionalFormatting sqref="D1387:D1421">
    <cfRule type="expression" dxfId="680" priority="112" stopIfTrue="1">
      <formula>ISBLANK(D1387)</formula>
    </cfRule>
    <cfRule type="cellIs" dxfId="679" priority="113" stopIfTrue="1" operator="equal">
      <formula>"Pasa"</formula>
    </cfRule>
    <cfRule type="cellIs" dxfId="678" priority="114" stopIfTrue="1" operator="equal">
      <formula>"Falla"</formula>
    </cfRule>
    <cfRule type="cellIs" dxfId="677" priority="115" stopIfTrue="1" operator="equal">
      <formula>"N/A"</formula>
    </cfRule>
    <cfRule type="cellIs" dxfId="676" priority="116" stopIfTrue="1" operator="equal">
      <formula>"N/T"</formula>
    </cfRule>
    <cfRule type="cellIs" dxfId="675" priority="117" stopIfTrue="1" operator="equal">
      <formula>"N/D"</formula>
    </cfRule>
  </conditionalFormatting>
  <conditionalFormatting sqref="D1387:D1421">
    <cfRule type="cellIs" dxfId="674" priority="111" stopIfTrue="1" operator="equal">
      <formula>"-"</formula>
    </cfRule>
  </conditionalFormatting>
  <conditionalFormatting sqref="D1425:D1459">
    <cfRule type="expression" dxfId="673" priority="105" stopIfTrue="1">
      <formula>ISBLANK(D1425)</formula>
    </cfRule>
    <cfRule type="cellIs" dxfId="672" priority="106" stopIfTrue="1" operator="equal">
      <formula>"Pasa"</formula>
    </cfRule>
    <cfRule type="cellIs" dxfId="671" priority="107" stopIfTrue="1" operator="equal">
      <formula>"Falla"</formula>
    </cfRule>
    <cfRule type="cellIs" dxfId="670" priority="108" stopIfTrue="1" operator="equal">
      <formula>"N/A"</formula>
    </cfRule>
    <cfRule type="cellIs" dxfId="669" priority="109" stopIfTrue="1" operator="equal">
      <formula>"N/T"</formula>
    </cfRule>
    <cfRule type="cellIs" dxfId="668" priority="110" stopIfTrue="1" operator="equal">
      <formula>"N/D"</formula>
    </cfRule>
  </conditionalFormatting>
  <conditionalFormatting sqref="D1425:D1459">
    <cfRule type="cellIs" dxfId="667" priority="104" stopIfTrue="1" operator="equal">
      <formula>"-"</formula>
    </cfRule>
  </conditionalFormatting>
  <conditionalFormatting sqref="D1463:D1497">
    <cfRule type="expression" dxfId="666" priority="98" stopIfTrue="1">
      <formula>ISBLANK(D1463)</formula>
    </cfRule>
    <cfRule type="cellIs" dxfId="665" priority="99" stopIfTrue="1" operator="equal">
      <formula>"Pasa"</formula>
    </cfRule>
    <cfRule type="cellIs" dxfId="664" priority="100" stopIfTrue="1" operator="equal">
      <formula>"Falla"</formula>
    </cfRule>
    <cfRule type="cellIs" dxfId="663" priority="101" stopIfTrue="1" operator="equal">
      <formula>"N/A"</formula>
    </cfRule>
    <cfRule type="cellIs" dxfId="662" priority="102" stopIfTrue="1" operator="equal">
      <formula>"N/T"</formula>
    </cfRule>
    <cfRule type="cellIs" dxfId="661" priority="103" stopIfTrue="1" operator="equal">
      <formula>"N/D"</formula>
    </cfRule>
  </conditionalFormatting>
  <conditionalFormatting sqref="D1463:D1497">
    <cfRule type="cellIs" dxfId="660" priority="97" stopIfTrue="1" operator="equal">
      <formula>"-"</formula>
    </cfRule>
  </conditionalFormatting>
  <conditionalFormatting sqref="D1501:D1535">
    <cfRule type="expression" dxfId="659" priority="91" stopIfTrue="1">
      <formula>ISBLANK(D1501)</formula>
    </cfRule>
    <cfRule type="cellIs" dxfId="658" priority="92" stopIfTrue="1" operator="equal">
      <formula>"Pasa"</formula>
    </cfRule>
    <cfRule type="cellIs" dxfId="657" priority="93" stopIfTrue="1" operator="equal">
      <formula>"Falla"</formula>
    </cfRule>
    <cfRule type="cellIs" dxfId="656" priority="94" stopIfTrue="1" operator="equal">
      <formula>"N/A"</formula>
    </cfRule>
    <cfRule type="cellIs" dxfId="655" priority="95" stopIfTrue="1" operator="equal">
      <formula>"N/T"</formula>
    </cfRule>
    <cfRule type="cellIs" dxfId="654" priority="96" stopIfTrue="1" operator="equal">
      <formula>"N/D"</formula>
    </cfRule>
  </conditionalFormatting>
  <conditionalFormatting sqref="D1501:D1535">
    <cfRule type="cellIs" dxfId="653" priority="90" stopIfTrue="1" operator="equal">
      <formula>"-"</formula>
    </cfRule>
  </conditionalFormatting>
  <conditionalFormatting sqref="D1539:D1573">
    <cfRule type="expression" dxfId="652" priority="84" stopIfTrue="1">
      <formula>ISBLANK(D1539)</formula>
    </cfRule>
    <cfRule type="cellIs" dxfId="651" priority="85" stopIfTrue="1" operator="equal">
      <formula>"Pasa"</formula>
    </cfRule>
    <cfRule type="cellIs" dxfId="650" priority="86" stopIfTrue="1" operator="equal">
      <formula>"Falla"</formula>
    </cfRule>
    <cfRule type="cellIs" dxfId="649" priority="87" stopIfTrue="1" operator="equal">
      <formula>"N/A"</formula>
    </cfRule>
    <cfRule type="cellIs" dxfId="648" priority="88" stopIfTrue="1" operator="equal">
      <formula>"N/T"</formula>
    </cfRule>
    <cfRule type="cellIs" dxfId="647" priority="89" stopIfTrue="1" operator="equal">
      <formula>"N/D"</formula>
    </cfRule>
  </conditionalFormatting>
  <conditionalFormatting sqref="D1539:D1573">
    <cfRule type="cellIs" dxfId="646" priority="83" stopIfTrue="1" operator="equal">
      <formula>"-"</formula>
    </cfRule>
  </conditionalFormatting>
  <conditionalFormatting sqref="D1577:D1611">
    <cfRule type="expression" dxfId="645" priority="77" stopIfTrue="1">
      <formula>ISBLANK(D1577)</formula>
    </cfRule>
    <cfRule type="cellIs" dxfId="644" priority="78" stopIfTrue="1" operator="equal">
      <formula>"Pasa"</formula>
    </cfRule>
    <cfRule type="cellIs" dxfId="643" priority="79" stopIfTrue="1" operator="equal">
      <formula>"Falla"</formula>
    </cfRule>
    <cfRule type="cellIs" dxfId="642" priority="80" stopIfTrue="1" operator="equal">
      <formula>"N/A"</formula>
    </cfRule>
    <cfRule type="cellIs" dxfId="641" priority="81" stopIfTrue="1" operator="equal">
      <formula>"N/T"</formula>
    </cfRule>
    <cfRule type="cellIs" dxfId="640" priority="82" stopIfTrue="1" operator="equal">
      <formula>"N/D"</formula>
    </cfRule>
  </conditionalFormatting>
  <conditionalFormatting sqref="D1577:D1611">
    <cfRule type="cellIs" dxfId="639" priority="76" stopIfTrue="1" operator="equal">
      <formula>"-"</formula>
    </cfRule>
  </conditionalFormatting>
  <conditionalFormatting sqref="D1615:D1649">
    <cfRule type="expression" dxfId="638" priority="70" stopIfTrue="1">
      <formula>ISBLANK(D1615)</formula>
    </cfRule>
    <cfRule type="cellIs" dxfId="637" priority="71" stopIfTrue="1" operator="equal">
      <formula>"Pasa"</formula>
    </cfRule>
    <cfRule type="cellIs" dxfId="636" priority="72" stopIfTrue="1" operator="equal">
      <formula>"Falla"</formula>
    </cfRule>
    <cfRule type="cellIs" dxfId="635" priority="73" stopIfTrue="1" operator="equal">
      <formula>"N/A"</formula>
    </cfRule>
    <cfRule type="cellIs" dxfId="634" priority="74" stopIfTrue="1" operator="equal">
      <formula>"N/T"</formula>
    </cfRule>
    <cfRule type="cellIs" dxfId="633" priority="75" stopIfTrue="1" operator="equal">
      <formula>"N/D"</formula>
    </cfRule>
  </conditionalFormatting>
  <conditionalFormatting sqref="D1615:D1649">
    <cfRule type="cellIs" dxfId="632" priority="69" stopIfTrue="1" operator="equal">
      <formula>"-"</formula>
    </cfRule>
  </conditionalFormatting>
  <conditionalFormatting sqref="D1653:D1687">
    <cfRule type="expression" dxfId="631" priority="63" stopIfTrue="1">
      <formula>ISBLANK(D1653)</formula>
    </cfRule>
    <cfRule type="cellIs" dxfId="630" priority="64" stopIfTrue="1" operator="equal">
      <formula>"Pasa"</formula>
    </cfRule>
    <cfRule type="cellIs" dxfId="629" priority="65" stopIfTrue="1" operator="equal">
      <formula>"Falla"</formula>
    </cfRule>
    <cfRule type="cellIs" dxfId="628" priority="66" stopIfTrue="1" operator="equal">
      <formula>"N/A"</formula>
    </cfRule>
    <cfRule type="cellIs" dxfId="627" priority="67" stopIfTrue="1" operator="equal">
      <formula>"N/T"</formula>
    </cfRule>
    <cfRule type="cellIs" dxfId="626" priority="68" stopIfTrue="1" operator="equal">
      <formula>"N/D"</formula>
    </cfRule>
  </conditionalFormatting>
  <conditionalFormatting sqref="D1653:D1687">
    <cfRule type="cellIs" dxfId="625" priority="62" stopIfTrue="1" operator="equal">
      <formula>"-"</formula>
    </cfRule>
  </conditionalFormatting>
  <conditionalFormatting sqref="D1691:D1725">
    <cfRule type="expression" dxfId="624" priority="56" stopIfTrue="1">
      <formula>ISBLANK(D1691)</formula>
    </cfRule>
    <cfRule type="cellIs" dxfId="623" priority="57" stopIfTrue="1" operator="equal">
      <formula>"Pasa"</formula>
    </cfRule>
    <cfRule type="cellIs" dxfId="622" priority="58" stopIfTrue="1" operator="equal">
      <formula>"Falla"</formula>
    </cfRule>
    <cfRule type="cellIs" dxfId="621" priority="59" stopIfTrue="1" operator="equal">
      <formula>"N/A"</formula>
    </cfRule>
    <cfRule type="cellIs" dxfId="620" priority="60" stopIfTrue="1" operator="equal">
      <formula>"N/T"</formula>
    </cfRule>
    <cfRule type="cellIs" dxfId="619" priority="61" stopIfTrue="1" operator="equal">
      <formula>"N/D"</formula>
    </cfRule>
  </conditionalFormatting>
  <conditionalFormatting sqref="D1691:D1725">
    <cfRule type="cellIs" dxfId="618" priority="55" stopIfTrue="1" operator="equal">
      <formula>"-"</formula>
    </cfRule>
  </conditionalFormatting>
  <conditionalFormatting sqref="D1729:D1763">
    <cfRule type="expression" dxfId="617" priority="49" stopIfTrue="1">
      <formula>ISBLANK(D1729)</formula>
    </cfRule>
    <cfRule type="cellIs" dxfId="616" priority="50" stopIfTrue="1" operator="equal">
      <formula>"Pasa"</formula>
    </cfRule>
    <cfRule type="cellIs" dxfId="615" priority="51" stopIfTrue="1" operator="equal">
      <formula>"Falla"</formula>
    </cfRule>
    <cfRule type="cellIs" dxfId="614" priority="52" stopIfTrue="1" operator="equal">
      <formula>"N/A"</formula>
    </cfRule>
    <cfRule type="cellIs" dxfId="613" priority="53" stopIfTrue="1" operator="equal">
      <formula>"N/T"</formula>
    </cfRule>
    <cfRule type="cellIs" dxfId="612" priority="54" stopIfTrue="1" operator="equal">
      <formula>"N/D"</formula>
    </cfRule>
  </conditionalFormatting>
  <conditionalFormatting sqref="D1729:D1763">
    <cfRule type="cellIs" dxfId="611" priority="48" stopIfTrue="1" operator="equal">
      <formula>"-"</formula>
    </cfRule>
  </conditionalFormatting>
  <conditionalFormatting sqref="D1767:D1801">
    <cfRule type="expression" dxfId="610" priority="42" stopIfTrue="1">
      <formula>ISBLANK(D1767)</formula>
    </cfRule>
    <cfRule type="cellIs" dxfId="609" priority="43" stopIfTrue="1" operator="equal">
      <formula>"Pasa"</formula>
    </cfRule>
    <cfRule type="cellIs" dxfId="608" priority="44" stopIfTrue="1" operator="equal">
      <formula>"Falla"</formula>
    </cfRule>
    <cfRule type="cellIs" dxfId="607" priority="45" stopIfTrue="1" operator="equal">
      <formula>"N/A"</formula>
    </cfRule>
    <cfRule type="cellIs" dxfId="606" priority="46" stopIfTrue="1" operator="equal">
      <formula>"N/T"</formula>
    </cfRule>
    <cfRule type="cellIs" dxfId="605" priority="47" stopIfTrue="1" operator="equal">
      <formula>"N/D"</formula>
    </cfRule>
  </conditionalFormatting>
  <conditionalFormatting sqref="D1767:D1801">
    <cfRule type="cellIs" dxfId="604" priority="41" stopIfTrue="1" operator="equal">
      <formula>"-"</formula>
    </cfRule>
  </conditionalFormatting>
  <conditionalFormatting sqref="D1805:D1839">
    <cfRule type="expression" dxfId="603" priority="35" stopIfTrue="1">
      <formula>ISBLANK(D1805)</formula>
    </cfRule>
    <cfRule type="cellIs" dxfId="602" priority="36" stopIfTrue="1" operator="equal">
      <formula>"Pasa"</formula>
    </cfRule>
    <cfRule type="cellIs" dxfId="601" priority="37" stopIfTrue="1" operator="equal">
      <formula>"Falla"</formula>
    </cfRule>
    <cfRule type="cellIs" dxfId="600" priority="38" stopIfTrue="1" operator="equal">
      <formula>"N/A"</formula>
    </cfRule>
    <cfRule type="cellIs" dxfId="599" priority="39" stopIfTrue="1" operator="equal">
      <formula>"N/T"</formula>
    </cfRule>
    <cfRule type="cellIs" dxfId="598" priority="40" stopIfTrue="1" operator="equal">
      <formula>"N/D"</formula>
    </cfRule>
  </conditionalFormatting>
  <conditionalFormatting sqref="D1805:D1839">
    <cfRule type="cellIs" dxfId="597" priority="34" stopIfTrue="1" operator="equal">
      <formula>"-"</formula>
    </cfRule>
  </conditionalFormatting>
  <conditionalFormatting sqref="D1843:D1877">
    <cfRule type="expression" dxfId="596" priority="28" stopIfTrue="1">
      <formula>ISBLANK(D1843)</formula>
    </cfRule>
    <cfRule type="cellIs" dxfId="595" priority="29" stopIfTrue="1" operator="equal">
      <formula>"Pasa"</formula>
    </cfRule>
    <cfRule type="cellIs" dxfId="594" priority="30" stopIfTrue="1" operator="equal">
      <formula>"Falla"</formula>
    </cfRule>
    <cfRule type="cellIs" dxfId="593" priority="31" stopIfTrue="1" operator="equal">
      <formula>"N/A"</formula>
    </cfRule>
    <cfRule type="cellIs" dxfId="592" priority="32" stopIfTrue="1" operator="equal">
      <formula>"N/T"</formula>
    </cfRule>
    <cfRule type="cellIs" dxfId="591" priority="33" stopIfTrue="1" operator="equal">
      <formula>"N/D"</formula>
    </cfRule>
  </conditionalFormatting>
  <conditionalFormatting sqref="D1843:D1877">
    <cfRule type="cellIs" dxfId="590" priority="27" stopIfTrue="1" operator="equal">
      <formula>"-"</formula>
    </cfRule>
  </conditionalFormatting>
  <conditionalFormatting sqref="K23">
    <cfRule type="expression" dxfId="589" priority="21" stopIfTrue="1">
      <formula>ISBLANK(K23)</formula>
    </cfRule>
    <cfRule type="cellIs" dxfId="588" priority="22" stopIfTrue="1" operator="equal">
      <formula>"Pasa"</formula>
    </cfRule>
    <cfRule type="cellIs" dxfId="587" priority="23" stopIfTrue="1" operator="equal">
      <formula>"Falla"</formula>
    </cfRule>
    <cfRule type="cellIs" dxfId="586" priority="24" stopIfTrue="1" operator="equal">
      <formula>"N/A"</formula>
    </cfRule>
    <cfRule type="cellIs" dxfId="585" priority="25" stopIfTrue="1" operator="equal">
      <formula>"N/T"</formula>
    </cfRule>
    <cfRule type="cellIs" dxfId="584" priority="26" stopIfTrue="1" operator="equal">
      <formula>"N/D"</formula>
    </cfRule>
  </conditionalFormatting>
  <conditionalFormatting sqref="K24">
    <cfRule type="expression" dxfId="583" priority="15" stopIfTrue="1">
      <formula>ISBLANK(K24)</formula>
    </cfRule>
    <cfRule type="cellIs" dxfId="582" priority="16" stopIfTrue="1" operator="equal">
      <formula>"Pasa"</formula>
    </cfRule>
    <cfRule type="cellIs" dxfId="581" priority="17" stopIfTrue="1" operator="equal">
      <formula>"Falla"</formula>
    </cfRule>
    <cfRule type="cellIs" dxfId="580" priority="18" stopIfTrue="1" operator="equal">
      <formula>"N/A"</formula>
    </cfRule>
    <cfRule type="cellIs" dxfId="579" priority="19" stopIfTrue="1" operator="equal">
      <formula>"N/T"</formula>
    </cfRule>
    <cfRule type="cellIs" dxfId="578" priority="20" stopIfTrue="1" operator="equal">
      <formula>"N/D"</formula>
    </cfRule>
  </conditionalFormatting>
  <conditionalFormatting sqref="E1881:E1915">
    <cfRule type="cellIs" dxfId="577" priority="8" stopIfTrue="1" operator="equal">
      <formula>"ERR"</formula>
    </cfRule>
  </conditionalFormatting>
  <conditionalFormatting sqref="D1881:D1915">
    <cfRule type="expression" dxfId="576" priority="2" stopIfTrue="1">
      <formula>ISBLANK(D1881)</formula>
    </cfRule>
    <cfRule type="cellIs" dxfId="575" priority="3" stopIfTrue="1" operator="equal">
      <formula>"Pasa"</formula>
    </cfRule>
    <cfRule type="cellIs" dxfId="574" priority="4" stopIfTrue="1" operator="equal">
      <formula>"Falla"</formula>
    </cfRule>
    <cfRule type="cellIs" dxfId="573" priority="5" stopIfTrue="1" operator="equal">
      <formula>"N/A"</formula>
    </cfRule>
    <cfRule type="cellIs" dxfId="572" priority="6" stopIfTrue="1" operator="equal">
      <formula>"N/T"</formula>
    </cfRule>
    <cfRule type="cellIs" dxfId="571" priority="7" stopIfTrue="1" operator="equal">
      <formula>"N/D"</formula>
    </cfRule>
  </conditionalFormatting>
  <conditionalFormatting sqref="D1881:D1915">
    <cfRule type="cellIs" dxfId="570" priority="1" stopIfTrue="1" operator="equal">
      <formula>"-"</formula>
    </cfRule>
  </conditionalFormatting>
  <pageMargins left="0.7" right="0.7" top="0.75" bottom="0.75" header="0.51180555555555496" footer="0.51180555555555496"/>
  <pageSetup firstPageNumber="0" orientation="portrait" horizontalDpi="300" verticalDpi="300" r:id="rId1"/>
  <drawing r:id="rId2"/>
  <legacyDrawing r:id="rId3"/>
  <extLst>
    <ext uri="{CCE6A557-97BC-4b89-ADB6-D9C93CAAB3DF}">
      <x14:dataValidations xmlns:xm="http://schemas.microsoft.com/office/excel/2006/main" count="1">
        <x14:dataValidation type="list" operator="equal" showErrorMessage="1">
          <x14:formula1>
            <xm:f>'DATA - Oculta'!$U$9:$U$13</xm:f>
          </x14:formula1>
          <xm:sqref>D589:D623 D665:D699 D1805:D1839 D133:D167 D19:D53 D57:D91 D95:D129 D171:D205 D209:D243 D247:D281 D285:D319 D323:D357 D361:D395 D399:D433 D437:D471 D475:D509 D513:D547 D551:D585 D627:D661 D703:D737 D741:D775 D779:D813 D817:D851 D855:D889 D893:D927 D931:D965 D969:D1003 D1007:D1041 D1045:D1079 D1083:D1117 D1121:D1155 D1159:D1193 D1197:D1231 D1235:D1269 D1273:D1307 D1311:D1345 D1349:D1383 D1387:D1421 D1425:D1459 D1463:D1497 D1501:D1535 D1539:D1573 D1577:D1611 D1615:D1649 D1653:D1687 D1691:D1725 D1729:D1763 D1767:D1801 D1843:D1877 D1881:D1915</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7">
    <tabColor theme="2" tint="-0.499984740745262"/>
  </sheetPr>
  <dimension ref="A1:BL1755"/>
  <sheetViews>
    <sheetView topLeftCell="C1120" zoomScale="90" zoomScaleNormal="90" workbookViewId="0">
      <selection activeCell="D1137" sqref="D1137"/>
    </sheetView>
  </sheetViews>
  <sheetFormatPr baseColWidth="10" defaultColWidth="11.5703125" defaultRowHeight="12.75"/>
  <cols>
    <col min="1" max="1" customWidth="true" style="14" width="7.85546875" collapsed="false"/>
    <col min="2" max="2" customWidth="true" style="14" width="16.140625" collapsed="false"/>
    <col min="3" max="3" customWidth="true" style="14" width="56.0" collapsed="false"/>
    <col min="4" max="4" customWidth="true" style="113" width="18.28515625" collapsed="false"/>
    <col min="5" max="5" customWidth="true" style="113" width="5.5703125" collapsed="false"/>
    <col min="6" max="6" bestFit="true" customWidth="true" style="14" width="16.42578125" collapsed="false"/>
    <col min="7" max="7" customWidth="true" style="14" width="14.7109375" collapsed="false"/>
    <col min="8" max="8" customWidth="true" style="14" width="12.5703125" collapsed="false"/>
    <col min="9" max="9" customWidth="true" style="14" width="11.7109375" collapsed="false"/>
    <col min="10" max="10" bestFit="true" customWidth="true" style="14" width="17.28515625" collapsed="false"/>
    <col min="11" max="11" customWidth="true" style="14" width="14.5703125" collapsed="false"/>
    <col min="12" max="12" customWidth="true" style="14" width="12.5703125" collapsed="false"/>
    <col min="13" max="13" customWidth="true" style="14" width="19.85546875" collapsed="false"/>
    <col min="14" max="15" customWidth="true" style="14" width="12.5703125" collapsed="false"/>
    <col min="16" max="16" customWidth="true" style="14" width="19.5703125" collapsed="false"/>
    <col min="17" max="17" customWidth="true" style="14" width="6.85546875" collapsed="false"/>
    <col min="18" max="18" customWidth="true" style="14" width="4.7109375" collapsed="false"/>
    <col min="19" max="19" customWidth="true" style="14" width="12.85546875" collapsed="false"/>
    <col min="20" max="20" customWidth="true" style="14" width="12.140625" collapsed="false"/>
    <col min="21" max="21" customWidth="true" style="14" width="6.7109375" collapsed="false"/>
    <col min="22" max="22" customWidth="true" style="14" width="5.5703125" collapsed="false"/>
    <col min="23" max="23" customWidth="true" style="14" width="12.0" collapsed="false"/>
    <col min="24" max="24" customWidth="true" style="14" width="11.85546875" collapsed="false"/>
    <col min="25" max="25" customWidth="true" style="14" width="7.28515625" collapsed="false"/>
    <col min="26" max="64" customWidth="true" style="14" width="14.42578125" collapsed="false"/>
    <col min="65" max="16384" style="14" width="11.5703125" collapsed="false"/>
  </cols>
  <sheetData>
    <row r="1" spans="1:64" ht="14.1" customHeight="1">
      <c r="A1" s="28"/>
      <c r="B1" s="21"/>
      <c r="C1" s="21"/>
      <c r="D1" s="106"/>
      <c r="E1" s="107"/>
      <c r="F1" s="19"/>
      <c r="G1" s="19"/>
      <c r="H1" s="19"/>
      <c r="I1" s="19"/>
      <c r="J1" s="19"/>
      <c r="K1" s="19"/>
      <c r="L1" s="19"/>
      <c r="M1" s="19"/>
      <c r="N1" s="19"/>
      <c r="O1" s="19"/>
      <c r="P1" s="19"/>
      <c r="Q1" s="19"/>
      <c r="R1" s="19"/>
      <c r="S1" s="19"/>
      <c r="T1" s="19"/>
      <c r="U1" s="19"/>
      <c r="V1" s="19"/>
      <c r="W1" s="19"/>
      <c r="X1" s="19"/>
      <c r="Y1" s="19"/>
      <c r="Z1" s="19"/>
    </row>
    <row r="2" spans="1:64" ht="27" customHeight="1">
      <c r="A2" s="28"/>
      <c r="B2" s="64" t="s">
        <v>0</v>
      </c>
      <c r="C2" s="28"/>
      <c r="D2" s="106"/>
      <c r="E2" s="107"/>
      <c r="P2" s="19"/>
      <c r="Q2" s="19"/>
      <c r="R2" s="19"/>
      <c r="S2" s="19"/>
      <c r="T2" s="19"/>
      <c r="U2" s="19"/>
      <c r="V2" s="19"/>
      <c r="W2" s="19"/>
      <c r="X2" s="19"/>
      <c r="Y2" s="19"/>
      <c r="Z2" s="19"/>
    </row>
    <row r="3" spans="1:64" ht="26.1" customHeight="1">
      <c r="A3" s="28"/>
      <c r="B3" s="65" t="s">
        <v>278</v>
      </c>
      <c r="C3" s="28"/>
      <c r="D3" s="106"/>
      <c r="E3" s="107"/>
    </row>
    <row r="4" spans="1:64" ht="26.1" customHeight="1">
      <c r="B4" s="27"/>
      <c r="C4" s="66"/>
      <c r="D4" s="14"/>
      <c r="E4" s="14"/>
      <c r="K4" s="19"/>
      <c r="N4" s="19"/>
      <c r="O4" s="19"/>
    </row>
    <row r="5" spans="1:64" ht="27.95" customHeight="1">
      <c r="B5" s="159" t="s">
        <v>22</v>
      </c>
      <c r="C5" s="159"/>
      <c r="D5" s="78"/>
      <c r="E5" s="108"/>
      <c r="F5" s="78"/>
      <c r="G5" s="78"/>
      <c r="H5" s="78"/>
      <c r="I5" s="78"/>
      <c r="J5" s="78"/>
      <c r="K5" s="78"/>
      <c r="L5" s="78"/>
      <c r="M5" s="78"/>
      <c r="N5" s="67"/>
      <c r="O5" s="67"/>
      <c r="AA5" s="68"/>
      <c r="AB5" s="68"/>
      <c r="AC5" s="68"/>
      <c r="AD5" s="68"/>
      <c r="AE5" s="68"/>
      <c r="AF5" s="68"/>
      <c r="AG5" s="68"/>
      <c r="AH5" s="68"/>
      <c r="AI5" s="68"/>
      <c r="AJ5" s="68"/>
      <c r="AK5" s="68"/>
      <c r="AL5" s="68"/>
      <c r="AM5" s="68"/>
      <c r="AN5" s="68"/>
      <c r="AO5" s="68"/>
      <c r="AP5" s="68"/>
      <c r="AQ5" s="68"/>
      <c r="AR5" s="68"/>
      <c r="AS5" s="68"/>
      <c r="AT5" s="68"/>
      <c r="AU5" s="68"/>
      <c r="AV5" s="68"/>
      <c r="AW5" s="68"/>
      <c r="AX5" s="68"/>
      <c r="AY5" s="68"/>
      <c r="AZ5" s="68"/>
      <c r="BA5" s="68"/>
      <c r="BB5" s="68"/>
      <c r="BC5" s="68"/>
      <c r="BD5" s="68"/>
      <c r="BE5" s="68"/>
      <c r="BF5" s="68"/>
      <c r="BG5" s="68"/>
      <c r="BH5" s="68"/>
      <c r="BI5" s="68"/>
      <c r="BJ5" s="68"/>
      <c r="BK5" s="68"/>
      <c r="BL5" s="68"/>
    </row>
    <row r="6" spans="1:64" ht="11.65" customHeight="1">
      <c r="B6" s="173"/>
      <c r="C6" s="173"/>
      <c r="D6" s="173"/>
      <c r="E6" s="174"/>
      <c r="F6" s="173"/>
      <c r="G6" s="173"/>
      <c r="H6" s="173"/>
      <c r="I6" s="173"/>
      <c r="J6" s="173"/>
      <c r="K6" s="173"/>
      <c r="L6" s="173"/>
      <c r="M6" s="173"/>
      <c r="N6" s="19"/>
      <c r="O6" s="19"/>
    </row>
    <row r="7" spans="1:64" ht="12.6" customHeight="1">
      <c r="B7" s="19"/>
      <c r="C7" s="19"/>
      <c r="D7" s="19"/>
      <c r="E7" s="107"/>
      <c r="F7" s="19"/>
      <c r="G7" s="19"/>
      <c r="H7" s="19"/>
      <c r="I7" s="19"/>
      <c r="J7" s="19"/>
      <c r="K7" s="19"/>
      <c r="L7" s="19"/>
      <c r="M7" s="19"/>
      <c r="N7" s="19"/>
      <c r="O7" s="19"/>
    </row>
    <row r="8" spans="1:64" ht="18.95" customHeight="1">
      <c r="B8" s="265" t="s">
        <v>271</v>
      </c>
      <c r="C8" s="265"/>
      <c r="D8" s="265"/>
      <c r="E8" s="265"/>
      <c r="F8" s="265"/>
      <c r="G8" s="265"/>
      <c r="H8" s="265"/>
      <c r="I8" s="265"/>
      <c r="J8" s="265"/>
      <c r="K8" s="265"/>
      <c r="L8" s="265"/>
      <c r="M8" s="265"/>
      <c r="N8" s="19"/>
      <c r="O8" s="19"/>
    </row>
    <row r="9" spans="1:64" ht="24" customHeight="1">
      <c r="B9" s="264" t="s">
        <v>472</v>
      </c>
      <c r="C9" s="264"/>
      <c r="D9" s="264"/>
      <c r="E9" s="264"/>
      <c r="F9" s="264"/>
      <c r="G9" s="264"/>
      <c r="H9" s="264"/>
      <c r="I9" s="264"/>
      <c r="J9" s="264"/>
      <c r="K9" s="264"/>
      <c r="L9" s="264"/>
      <c r="M9" s="264"/>
      <c r="N9" s="19"/>
      <c r="O9" s="19"/>
    </row>
    <row r="10" spans="1:64" ht="17.100000000000001" customHeight="1" thickBot="1">
      <c r="B10" s="19"/>
      <c r="C10" s="19"/>
      <c r="D10" s="107"/>
      <c r="E10" s="107"/>
      <c r="K10" s="19"/>
      <c r="L10" s="19"/>
      <c r="M10" s="19"/>
      <c r="N10" s="19"/>
      <c r="O10" s="19"/>
      <c r="P10" s="19"/>
      <c r="Q10" s="19"/>
      <c r="R10" s="19"/>
      <c r="U10" s="19"/>
      <c r="V10" s="19"/>
      <c r="W10" s="19"/>
      <c r="X10" s="19"/>
      <c r="Y10" s="19"/>
    </row>
    <row r="11" spans="1:64" ht="25.35" customHeight="1">
      <c r="B11" s="262" t="s">
        <v>152</v>
      </c>
      <c r="C11" s="263"/>
      <c r="D11" s="28"/>
      <c r="E11" s="14"/>
      <c r="F11" s="160" t="s">
        <v>23</v>
      </c>
      <c r="G11" s="136" t="s">
        <v>359</v>
      </c>
      <c r="H11" s="161" t="s">
        <v>24</v>
      </c>
      <c r="I11" s="23"/>
      <c r="J11" s="160" t="s">
        <v>25</v>
      </c>
      <c r="K11" s="136" t="s">
        <v>359</v>
      </c>
      <c r="L11" s="161" t="s">
        <v>24</v>
      </c>
      <c r="M11" s="19"/>
      <c r="N11" s="19"/>
      <c r="O11" s="19"/>
      <c r="P11" s="19"/>
      <c r="Q11" s="19"/>
      <c r="R11" s="19"/>
      <c r="U11" s="19"/>
      <c r="V11" s="19"/>
      <c r="W11" s="19"/>
      <c r="X11" s="19"/>
      <c r="Y11" s="19"/>
    </row>
    <row r="12" spans="1:64" ht="12" customHeight="1">
      <c r="B12" s="143" t="s">
        <v>90</v>
      </c>
      <c r="C12" s="57" t="n">
        <f>COUNTIF($B$18:$B$3922,B12)</f>
        <v>45.0</v>
      </c>
      <c r="D12" s="28"/>
      <c r="E12" s="14"/>
      <c r="F12" s="62" t="s">
        <v>26</v>
      </c>
      <c r="G12" s="61" t="n">
        <f ca="1">J20+J58+J96+J134+J172+J210+J248+J286+J324+J362+J400+J438+J476+J514+J552+J590+J628+J666+J704+J742+J780+J818+J856+J894+J932+J970+J1008+J1046+J1084+J1122+J1160+J1198+J1236+J1274+J1312+J1350+J1388+J1426+J1464+J1502+J1540+J1578+J1616+J1654+J1692</f>
        <v>0.0</v>
      </c>
      <c r="H12" s="53" t="n">
        <f ca="1">IF(($G$15+$K$15)=0,0,G12/($G$15+$K$15))</f>
        <v>0.0</v>
      </c>
      <c r="I12" s="28"/>
      <c r="J12" s="60" t="s">
        <v>27</v>
      </c>
      <c r="K12" s="61" t="n">
        <f ca="1">G20+G58+G96+G134+G172+G210+G248+G286+G324+G362+G400+G438+G476+G514+G552+G590+G628+G666+G704+G742+G780+G818+G856+G894+G932+G970+G1008+G1046+G1084+G1122+G1160+G1198+G1236+G1274+G1312+G1350+G1388+G1426+G1464+G1502+G1540+G1578+G1616+G1654+G1692</f>
        <v>4.0</v>
      </c>
      <c r="L12" s="53" t="n">
        <f ca="1">IF(($G$15+$K$15)=0,0,K12/($G$15+$K$15))</f>
        <v>0.044444444444444446</v>
      </c>
      <c r="M12" s="19"/>
      <c r="N12" s="19"/>
      <c r="O12" s="19"/>
      <c r="P12" s="19"/>
      <c r="Q12" s="19"/>
      <c r="R12" s="19"/>
      <c r="U12" s="19"/>
      <c r="V12" s="19"/>
      <c r="W12" s="19"/>
      <c r="X12" s="19"/>
      <c r="Y12" s="19"/>
    </row>
    <row r="13" spans="1:64" ht="12" customHeight="1">
      <c r="B13" s="56"/>
      <c r="C13" s="57"/>
      <c r="D13" s="28"/>
      <c r="E13" s="14"/>
      <c r="F13" s="62" t="s">
        <v>28</v>
      </c>
      <c r="G13" s="61" t="n">
        <f ca="1">I20+I58+I96+I134+I172+I210+I248+I286+I324+I362+I400+I438+I476+I514+I552+I590+I628+I666+I704+I742+I780+I818+I856+I894+I932+I970+I1008+I1046+I1084+I1122+I1160+I1198+I1236+I1274+I1312+I1350+I1388+I1426+I1464+I1502+I1540+I1578+I1616+I1654+I1692</f>
        <v>6.0</v>
      </c>
      <c r="H13" s="53" t="n">
        <f ca="1">IF(($G$15+$K$15)=0,0,G13/($G$15+$K$15))</f>
        <v>0.06666666666666667</v>
      </c>
      <c r="I13" s="28"/>
      <c r="J13" s="60" t="s">
        <v>29</v>
      </c>
      <c r="K13" s="61" t="n">
        <f ca="1">F20+F58+F96+F134+F172+F210+F248+F286+F324+F362+F400+F438+F476+F514+F552+F590+F628+F666+F704+F742+F780+F818+F856+F894+F932+F970+F1008+F1046+F1084+F1122+F1160+F1198+F1236+F1274+F1312+F1350+F1388+F1426+F1464+F1502+F1540+F1578+F1616+F1654+F1692</f>
        <v>80.0</v>
      </c>
      <c r="L13" s="53" t="n">
        <f ca="1">IF(($G$15+$K$15)=0,0,K13/($G$15+$K$15))</f>
        <v>0.8888888888888888</v>
      </c>
      <c r="M13" s="19"/>
      <c r="N13" s="19"/>
      <c r="O13" s="19"/>
      <c r="P13" s="19"/>
      <c r="Q13" s="19"/>
      <c r="R13" s="19"/>
      <c r="U13" s="19"/>
      <c r="V13" s="19"/>
      <c r="W13" s="19"/>
      <c r="X13" s="19"/>
      <c r="Y13" s="19"/>
    </row>
    <row r="14" spans="1:64" ht="12" customHeight="1" thickBot="1">
      <c r="B14" s="58" t="s">
        <v>30</v>
      </c>
      <c r="C14" s="59" t="n">
        <f>C12+C13</f>
        <v>45.0</v>
      </c>
      <c r="D14" s="28"/>
      <c r="E14" s="14"/>
      <c r="F14" s="62" t="s">
        <v>31</v>
      </c>
      <c r="G14" s="61" t="n">
        <f ca="1">H20+H58+H96+H134+H172+H210+H248+H286+H324+H362+H400+H438+H476+H514+H552+H590+H628+H666+H704+H742+H780+H818+H856+H894+H932+H970+H1008+H1046+H1084+H1122+H1160+H1198+H1236+H1274+H1312+H1350+H1388+H1426+H1464+H1502+H1540+H1578+H1616+H1654+H1692</f>
        <v>0.0</v>
      </c>
      <c r="H14" s="53" t="n">
        <f ca="1">IF(($G$15+$K$15)=0,0,G14/($G$15+$K$15))</f>
        <v>0.0</v>
      </c>
      <c r="I14" s="28"/>
      <c r="J14" s="231" t="s">
        <v>474</v>
      </c>
      <c r="K14" s="232" t="n">
        <f ca="1">K20+K58+K96+K134+K172+K210+K248+K286+K324+K362+K400+K438+K476+K514+K552+K590+K628+K666+K704+K742+K780+K818+K856+K894+K932+K970+K1008+K1046+K1084+K1122+K1160+K1198+K1236+K1274+K1312+K1350+K1388+K1426+K1464+K1502+K1540+K1578+K1616+K1654+K1692</f>
        <v>0.0</v>
      </c>
      <c r="L14" s="53" t="n">
        <f ca="1">IF(($G$15+$K$15)=0,0,K14/($G$15+$K$15))</f>
        <v>0.0</v>
      </c>
      <c r="M14" s="19"/>
      <c r="N14" s="19"/>
      <c r="O14" s="19"/>
      <c r="P14" s="19"/>
      <c r="Q14" s="19"/>
      <c r="R14" s="19"/>
      <c r="U14" s="19"/>
      <c r="V14" s="19"/>
      <c r="W14" s="19"/>
      <c r="X14" s="19"/>
      <c r="Y14" s="19"/>
    </row>
    <row r="15" spans="1:64" ht="12" customHeight="1" thickBot="1">
      <c r="B15" s="23"/>
      <c r="C15" s="28"/>
      <c r="D15" s="28"/>
      <c r="E15" s="14"/>
      <c r="F15" s="58" t="s">
        <v>30</v>
      </c>
      <c r="G15" s="49" t="n">
        <f ca="1">SUM(G12:G14)</f>
        <v>6.0</v>
      </c>
      <c r="H15" s="55" t="n">
        <f ca="1">SUM(H12:H14)</f>
        <v>0.06666666666666667</v>
      </c>
      <c r="I15" s="28"/>
      <c r="J15" s="58" t="s">
        <v>30</v>
      </c>
      <c r="K15" s="49" t="n">
        <f ca="1">SUM(K12:K13)</f>
        <v>84.0</v>
      </c>
      <c r="L15" s="55" t="n">
        <f ca="1">SUM(L12:L13)</f>
        <v>0.9333333333333332</v>
      </c>
      <c r="M15" s="19"/>
      <c r="N15" s="19"/>
      <c r="O15" s="19"/>
      <c r="P15" s="19"/>
      <c r="Q15" s="19"/>
      <c r="R15" s="19"/>
      <c r="U15" s="19"/>
      <c r="V15" s="19"/>
      <c r="W15" s="19"/>
      <c r="X15" s="19"/>
      <c r="Y15" s="19"/>
    </row>
    <row r="16" spans="1:64" ht="12" customHeight="1">
      <c r="B16" s="19"/>
      <c r="C16" s="19"/>
      <c r="D16" s="28"/>
      <c r="E16" s="28"/>
      <c r="F16" s="28"/>
      <c r="G16" s="28"/>
      <c r="H16" s="28"/>
      <c r="I16" s="28"/>
      <c r="J16" s="28"/>
      <c r="K16" s="28"/>
      <c r="L16" s="19"/>
      <c r="M16" s="19"/>
      <c r="N16" s="19"/>
      <c r="O16" s="19"/>
      <c r="P16" s="19"/>
      <c r="Q16" s="19"/>
      <c r="R16" s="19"/>
      <c r="U16" s="19"/>
      <c r="V16" s="19"/>
      <c r="W16" s="19"/>
      <c r="X16" s="19"/>
      <c r="Y16" s="19"/>
    </row>
    <row r="17" spans="1:30" ht="12" customHeight="1">
      <c r="B17" s="19"/>
      <c r="C17" s="19"/>
      <c r="D17" s="107"/>
      <c r="E17" s="112"/>
      <c r="K17" s="19"/>
      <c r="L17" s="19"/>
      <c r="M17" s="19"/>
    </row>
    <row r="18" spans="1:30" ht="29.85" customHeight="1">
      <c r="A18" s="218" t="s">
        <v>268</v>
      </c>
      <c r="B18" s="24" t="s">
        <v>90</v>
      </c>
      <c r="C18" s="25" t="s">
        <v>422</v>
      </c>
      <c r="D18" s="26" t="s">
        <v>32</v>
      </c>
      <c r="K18" s="19"/>
      <c r="L18" s="19"/>
    </row>
    <row r="19" spans="1:30" ht="12" customHeight="1">
      <c r="A19" s="219" t="n" cm="1">
        <f t="array" ref="A19">IFERROR(INDEX('03.Muestra'!$B$8:$B$42,SMALL(IF("Documento no web"='03.Muestra'!$D$8:$D$42,ROW('03.Muestra'!$B$8:$B$42)-MIN(ROW('03.Muestra'!$D$8:$D$42))+1,""),ROW()-18)),"")</f>
        <v>1.0</v>
      </c>
      <c r="B19" s="114" t="str" cm="1">
        <f t="array" ref="B19">IFERROR(INDEX('03.Muestra'!$C$8:$C$42,SMALL(IF("Documento no web"='03.Muestra'!$D$8:$D$42,ROW('03.Muestra'!$C$8:$C$42)-MIN(ROW('03.Muestra'!$D$8:$D$42))+1,""),ROW()-18)),"")</f>
        <v>Home - PortCastelló</v>
      </c>
      <c r="C19" s="114" t="str" cm="1">
        <f t="array" ref="C19">IFERROR(INDEX('03.Muestra'!$F$8:$F$42,SMALL(IF("Documento no web"='03.Muestra'!$D$8:$D$42,ROW('03.Muestra'!$F$8:$F$42)-MIN(ROW('03.Muestra'!$D$8:$D$42))+1,""),ROW()-18)),"")</f>
        <v>https://www.portcastello.com/</v>
      </c>
      <c r="D19" s="130" t="s">
        <v>37</v>
      </c>
      <c r="E19" s="107" t="str">
        <f t="shared" ref="E19:E53" si="0">IF(D19&lt;&gt;"",IF(AND(B19&lt;&gt;"",C19&lt;&gt;""),"","ERR"),"")</f>
        <v/>
      </c>
      <c r="F19" s="115" t="s">
        <v>33</v>
      </c>
      <c r="G19" s="116" t="s">
        <v>37</v>
      </c>
      <c r="H19" s="117" t="s">
        <v>35</v>
      </c>
      <c r="I19" s="118" t="s">
        <v>28</v>
      </c>
      <c r="J19" s="119" t="s">
        <v>26</v>
      </c>
      <c r="K19" s="226" t="s">
        <v>474</v>
      </c>
      <c r="L19" s="19"/>
    </row>
    <row r="20" spans="1:30" ht="12" customHeight="1">
      <c r="A20" s="219" t="n" cm="1">
        <f t="array" ref="A20">IFERROR(INDEX('03.Muestra'!$B$8:$B$42,SMALL(IF("Documento no web"='03.Muestra'!$D$8:$D$42,ROW('03.Muestra'!$B$8:$B$42)-MIN(ROW('03.Muestra'!$D$8:$D$42))+1,""),ROW()-18)),"")</f>
        <v>1.0</v>
      </c>
      <c r="B20" s="114" t="str" cm="1">
        <f t="array" ref="B20">IFERROR(INDEX('03.Muestra'!$C$8:$C$42,SMALL(IF("Documento no web"='03.Muestra'!$D$8:$D$42,ROW('03.Muestra'!$C$8:$C$42)-MIN(ROW('03.Muestra'!$D$8:$D$42))+1,""),ROW()-18)),"")</f>
        <v>Home - PortCastelló</v>
      </c>
      <c r="C20" s="114" t="str" cm="1">
        <f t="array" ref="C20">IFERROR(INDEX('03.Muestra'!$F$8:$F$42,SMALL(IF("Documento no web"='03.Muestra'!$D$8:$D$42,ROW('03.Muestra'!$F$8:$F$42)-MIN(ROW('03.Muestra'!$D$8:$D$42))+1,""),ROW()-18)),"")</f>
        <v>https://www.portcastello.com/</v>
      </c>
      <c r="D20" s="130" t="s">
        <v>37</v>
      </c>
      <c r="E20" s="107" t="str">
        <f t="shared" si="0"/>
        <v/>
      </c>
      <c r="F20" s="120" t="n">
        <f ca="1">COUNTIF($D19:INDIRECT("$D" &amp;  SUM(ROW()-1,'03.Muestra'!$D$45)-1),F19)</f>
        <v>0.0</v>
      </c>
      <c r="G20" s="120" t="n">
        <f ca="1">COUNTIF($D19:INDIRECT("$D" &amp;  SUM(ROW()-1,'03.Muestra'!$D$45)-1),G19)</f>
        <v>2.0</v>
      </c>
      <c r="H20" s="120" t="n">
        <f ca="1">COUNTIF($D19:INDIRECT("$D" &amp;  SUM(ROW()-1,'03.Muestra'!$D$45)-1),H19)</f>
        <v>0.0</v>
      </c>
      <c r="I20" s="120" t="n">
        <f ca="1">COUNTIF($D19:INDIRECT("$D" &amp;  SUM(ROW()-1,'03.Muestra'!$D$45)-1),I19)</f>
        <v>0.0</v>
      </c>
      <c r="J20" s="120" t="n">
        <f ca="1">COUNTIF($D19:INDIRECT("$D" &amp;  SUM(ROW()-1,'03.Muestra'!$D$45)-1),J19)</f>
        <v>0.0</v>
      </c>
      <c r="K20" s="227" t="n">
        <f ca="1">IF(COUNTIF('03.Muestra'!$D$8:$D$42,"Documento no web")=0,0,COUNTBLANK($D19:INDIRECT("$D" &amp;  SUM(ROW()-1,COUNTIF('03.Muestra'!$D$8:$D$42,"Documento no web"))-1)))</f>
        <v>0.0</v>
      </c>
      <c r="L20" s="19"/>
    </row>
    <row r="21" spans="1:30" ht="12" customHeight="1">
      <c r="A21" s="219" t="str" cm="1">
        <f t="array" ref="A21">IFERROR(INDEX('03.Muestra'!$B$8:$B$42,SMALL(IF("Documento no web"='03.Muestra'!$D$8:$D$42,ROW('03.Muestra'!$B$8:$B$42)-MIN(ROW('03.Muestra'!$D$8:$D$42))+1,""),ROW()-18)),"")</f>
        <v/>
      </c>
      <c r="B21" s="114" t="str" cm="1">
        <f t="array" ref="B21">IFERROR(INDEX('03.Muestra'!$C$8:$C$42,SMALL(IF("Documento no web"='03.Muestra'!$D$8:$D$42,ROW('03.Muestra'!$C$8:$C$42)-MIN(ROW('03.Muestra'!$D$8:$D$42))+1,""),ROW()-18)),"")</f>
        <v/>
      </c>
      <c r="C21" s="114" t="str" cm="1">
        <f t="array" ref="C21">IFERROR(INDEX('03.Muestra'!$F$8:$F$42,SMALL(IF("Documento no web"='03.Muestra'!$D$8:$D$42,ROW('03.Muestra'!$F$8:$F$42)-MIN(ROW('03.Muestra'!$D$8:$D$42))+1,""),ROW()-18)),"")</f>
        <v/>
      </c>
      <c r="D21" s="130" t="str">
        <f t="shared" si="1" ref="D21:D53">IF(AND(B21&lt;&gt;"",C21&lt;&gt;""),"N/T","")</f>
        <v/>
      </c>
      <c r="E21" s="107" t="str">
        <f t="shared" si="0"/>
        <v/>
      </c>
      <c r="F21" s="19"/>
      <c r="G21" s="19"/>
      <c r="H21" s="19"/>
      <c r="I21" s="19"/>
      <c r="J21" s="19"/>
      <c r="K21" s="19"/>
    </row>
    <row r="22" spans="1:30" ht="12" customHeight="1">
      <c r="A22" s="219" t="str" cm="1">
        <f t="array" ref="A22">IFERROR(INDEX('03.Muestra'!$B$8:$B$42,SMALL(IF("Documento no web"='03.Muestra'!$D$8:$D$42,ROW('03.Muestra'!$B$8:$B$42)-MIN(ROW('03.Muestra'!$D$8:$D$42))+1,""),ROW()-18)),"")</f>
        <v/>
      </c>
      <c r="B22" s="114" t="str" cm="1">
        <f t="array" ref="B22">IFERROR(INDEX('03.Muestra'!$C$8:$C$42,SMALL(IF("Documento no web"='03.Muestra'!$D$8:$D$42,ROW('03.Muestra'!$C$8:$C$42)-MIN(ROW('03.Muestra'!$D$8:$D$42))+1,""),ROW()-18)),"")</f>
        <v/>
      </c>
      <c r="C22" s="114" t="str" cm="1">
        <f t="array" ref="C22">IFERROR(INDEX('03.Muestra'!$F$8:$F$42,SMALL(IF("Documento no web"='03.Muestra'!$D$8:$D$42,ROW('03.Muestra'!$F$8:$F$42)-MIN(ROW('03.Muestra'!$D$8:$D$42))+1,""),ROW()-18)),"")</f>
        <v/>
      </c>
      <c r="D22" s="130" t="str">
        <f t="shared" si="1"/>
        <v/>
      </c>
      <c r="E22" s="107" t="str">
        <f t="shared" si="0"/>
        <v/>
      </c>
      <c r="F22" s="19"/>
      <c r="G22" s="19"/>
      <c r="H22" s="19"/>
      <c r="I22" s="19"/>
      <c r="K22" s="214" t="s">
        <v>33</v>
      </c>
      <c r="L22" s="121" t="s">
        <v>34</v>
      </c>
    </row>
    <row r="23" spans="1:30" ht="12" customHeight="1">
      <c r="A23" s="219" t="str" cm="1">
        <f t="array" ref="A23">IFERROR(INDEX('03.Muestra'!$B$8:$B$42,SMALL(IF("Documento no web"='03.Muestra'!$D$8:$D$42,ROW('03.Muestra'!$B$8:$B$42)-MIN(ROW('03.Muestra'!$D$8:$D$42))+1,""),ROW()-18)),"")</f>
        <v/>
      </c>
      <c r="B23" s="114" t="str" cm="1">
        <f t="array" ref="B23">IFERROR(INDEX('03.Muestra'!$C$8:$C$42,SMALL(IF("Documento no web"='03.Muestra'!$D$8:$D$42,ROW('03.Muestra'!$C$8:$C$42)-MIN(ROW('03.Muestra'!$D$8:$D$42))+1,""),ROW()-18)),"")</f>
        <v/>
      </c>
      <c r="C23" s="114" t="str" cm="1">
        <f t="array" ref="C23">IFERROR(INDEX('03.Muestra'!$F$8:$F$42,SMALL(IF("Documento no web"='03.Muestra'!$D$8:$D$42,ROW('03.Muestra'!$F$8:$F$42)-MIN(ROW('03.Muestra'!$D$8:$D$42))+1,""),ROW()-18)),"")</f>
        <v/>
      </c>
      <c r="D23" s="130" t="str">
        <f t="shared" si="1"/>
        <v/>
      </c>
      <c r="E23" s="107" t="str">
        <f t="shared" si="0"/>
        <v/>
      </c>
      <c r="F23" s="122"/>
      <c r="G23" s="19"/>
      <c r="H23" s="19"/>
      <c r="I23" s="19"/>
      <c r="K23" s="117" t="s">
        <v>35</v>
      </c>
      <c r="L23" s="121" t="s">
        <v>36</v>
      </c>
    </row>
    <row r="24" spans="1:30" ht="12" customHeight="1">
      <c r="A24" s="219" t="str" cm="1">
        <f t="array" ref="A24">IFERROR(INDEX('03.Muestra'!$B$8:$B$42,SMALL(IF("Documento no web"='03.Muestra'!$D$8:$D$42,ROW('03.Muestra'!$B$8:$B$42)-MIN(ROW('03.Muestra'!$D$8:$D$42))+1,""),ROW()-18)),"")</f>
        <v/>
      </c>
      <c r="B24" s="114" t="str" cm="1">
        <f t="array" ref="B24">IFERROR(INDEX('03.Muestra'!$C$8:$C$42,SMALL(IF("Documento no web"='03.Muestra'!$D$8:$D$42,ROW('03.Muestra'!$C$8:$C$42)-MIN(ROW('03.Muestra'!$D$8:$D$42))+1,""),ROW()-18)),"")</f>
        <v/>
      </c>
      <c r="C24" s="114" t="str" cm="1">
        <f t="array" ref="C24">IFERROR(INDEX('03.Muestra'!$F$8:$F$42,SMALL(IF("Documento no web"='03.Muestra'!$D$8:$D$42,ROW('03.Muestra'!$F$8:$F$42)-MIN(ROW('03.Muestra'!$D$8:$D$42))+1,""),ROW()-18)),"")</f>
        <v/>
      </c>
      <c r="D24" s="130" t="str">
        <f t="shared" si="1"/>
        <v/>
      </c>
      <c r="E24" s="107" t="str">
        <f t="shared" si="0"/>
        <v/>
      </c>
      <c r="F24" s="19"/>
      <c r="G24" s="19"/>
      <c r="H24" s="19"/>
      <c r="I24" s="19"/>
      <c r="K24" s="116" t="s">
        <v>37</v>
      </c>
      <c r="L24" s="121" t="s">
        <v>38</v>
      </c>
      <c r="AD24" s="19"/>
    </row>
    <row r="25" spans="1:30" ht="12" customHeight="1">
      <c r="A25" s="219" t="str" cm="1">
        <f t="array" ref="A25">IFERROR(INDEX('03.Muestra'!$B$8:$B$42,SMALL(IF("Documento no web"='03.Muestra'!$D$8:$D$42,ROW('03.Muestra'!$B$8:$B$42)-MIN(ROW('03.Muestra'!$D$8:$D$42))+1,""),ROW()-18)),"")</f>
        <v/>
      </c>
      <c r="B25" s="114" t="str" cm="1">
        <f t="array" ref="B25">IFERROR(INDEX('03.Muestra'!$C$8:$C$42,SMALL(IF("Documento no web"='03.Muestra'!$D$8:$D$42,ROW('03.Muestra'!$C$8:$C$42)-MIN(ROW('03.Muestra'!$D$8:$D$42))+1,""),ROW()-18)),"")</f>
        <v/>
      </c>
      <c r="C25" s="114" t="str" cm="1">
        <f t="array" ref="C25">IFERROR(INDEX('03.Muestra'!$F$8:$F$42,SMALL(IF("Documento no web"='03.Muestra'!$D$8:$D$42,ROW('03.Muestra'!$F$8:$F$42)-MIN(ROW('03.Muestra'!$D$8:$D$42))+1,""),ROW()-18)),"")</f>
        <v/>
      </c>
      <c r="D25" s="130" t="str">
        <f t="shared" si="1"/>
        <v/>
      </c>
      <c r="E25" s="107" t="str">
        <f t="shared" si="0"/>
        <v/>
      </c>
      <c r="F25" s="19"/>
      <c r="G25" s="19"/>
      <c r="H25" s="19"/>
      <c r="I25" s="19"/>
      <c r="J25" s="19"/>
      <c r="L25" s="121"/>
      <c r="AD25" s="19"/>
    </row>
    <row r="26" spans="1:30" ht="12" customHeight="1">
      <c r="A26" s="219" t="str" cm="1">
        <f t="array" ref="A26">IFERROR(INDEX('03.Muestra'!$B$8:$B$42,SMALL(IF("Documento no web"='03.Muestra'!$D$8:$D$42,ROW('03.Muestra'!$B$8:$B$42)-MIN(ROW('03.Muestra'!$D$8:$D$42))+1,""),ROW()-18)),"")</f>
        <v/>
      </c>
      <c r="B26" s="114" t="str" cm="1">
        <f t="array" ref="B26">IFERROR(INDEX('03.Muestra'!$C$8:$C$42,SMALL(IF("Documento no web"='03.Muestra'!$D$8:$D$42,ROW('03.Muestra'!$C$8:$C$42)-MIN(ROW('03.Muestra'!$D$8:$D$42))+1,""),ROW()-18)),"")</f>
        <v/>
      </c>
      <c r="C26" s="114" t="str" cm="1">
        <f t="array" ref="C26">IFERROR(INDEX('03.Muestra'!$F$8:$F$42,SMALL(IF("Documento no web"='03.Muestra'!$D$8:$D$42,ROW('03.Muestra'!$F$8:$F$42)-MIN(ROW('03.Muestra'!$D$8:$D$42))+1,""),ROW()-18)),"")</f>
        <v/>
      </c>
      <c r="D26" s="130" t="str">
        <f t="shared" si="1"/>
        <v/>
      </c>
      <c r="E26" s="107" t="str">
        <f t="shared" si="0"/>
        <v/>
      </c>
      <c r="F26" s="19"/>
      <c r="G26" s="19"/>
      <c r="H26" s="19"/>
      <c r="I26" s="19"/>
      <c r="J26" s="19"/>
      <c r="K26" s="19"/>
      <c r="L26" s="19"/>
      <c r="AD26" s="19"/>
    </row>
    <row r="27" spans="1:30" ht="12" customHeight="1">
      <c r="A27" s="219" t="str" cm="1">
        <f t="array" ref="A27">IFERROR(INDEX('03.Muestra'!$B$8:$B$42,SMALL(IF("Documento no web"='03.Muestra'!$D$8:$D$42,ROW('03.Muestra'!$B$8:$B$42)-MIN(ROW('03.Muestra'!$D$8:$D$42))+1,""),ROW()-18)),"")</f>
        <v/>
      </c>
      <c r="B27" s="114" t="str" cm="1">
        <f t="array" ref="B27">IFERROR(INDEX('03.Muestra'!$C$8:$C$42,SMALL(IF("Documento no web"='03.Muestra'!$D$8:$D$42,ROW('03.Muestra'!$C$8:$C$42)-MIN(ROW('03.Muestra'!$D$8:$D$42))+1,""),ROW()-18)),"")</f>
        <v/>
      </c>
      <c r="C27" s="114" t="str" cm="1">
        <f t="array" ref="C27">IFERROR(INDEX('03.Muestra'!$F$8:$F$42,SMALL(IF("Documento no web"='03.Muestra'!$D$8:$D$42,ROW('03.Muestra'!$F$8:$F$42)-MIN(ROW('03.Muestra'!$D$8:$D$42))+1,""),ROW()-18)),"")</f>
        <v/>
      </c>
      <c r="D27" s="130" t="str">
        <f t="shared" si="1"/>
        <v/>
      </c>
      <c r="E27" s="107" t="str">
        <f t="shared" si="0"/>
        <v/>
      </c>
      <c r="F27" s="19"/>
      <c r="G27" s="19"/>
      <c r="H27" s="19"/>
      <c r="I27" s="19"/>
      <c r="J27" s="19"/>
      <c r="Q27" s="19"/>
      <c r="R27" s="19"/>
      <c r="S27" s="19"/>
      <c r="T27" s="19"/>
      <c r="U27" s="19"/>
      <c r="AD27" s="19"/>
    </row>
    <row r="28" spans="1:30" ht="12" customHeight="1">
      <c r="A28" s="219" t="str" cm="1">
        <f t="array" ref="A28">IFERROR(INDEX('03.Muestra'!$B$8:$B$42,SMALL(IF("Documento no web"='03.Muestra'!$D$8:$D$42,ROW('03.Muestra'!$B$8:$B$42)-MIN(ROW('03.Muestra'!$D$8:$D$42))+1,""),ROW()-18)),"")</f>
        <v/>
      </c>
      <c r="B28" s="114" t="str" cm="1">
        <f t="array" ref="B28">IFERROR(INDEX('03.Muestra'!$C$8:$C$42,SMALL(IF("Documento no web"='03.Muestra'!$D$8:$D$42,ROW('03.Muestra'!$C$8:$C$42)-MIN(ROW('03.Muestra'!$D$8:$D$42))+1,""),ROW()-18)),"")</f>
        <v/>
      </c>
      <c r="C28" s="114" t="str" cm="1">
        <f t="array" ref="C28">IFERROR(INDEX('03.Muestra'!$F$8:$F$42,SMALL(IF("Documento no web"='03.Muestra'!$D$8:$D$42,ROW('03.Muestra'!$F$8:$F$42)-MIN(ROW('03.Muestra'!$D$8:$D$42))+1,""),ROW()-18)),"")</f>
        <v/>
      </c>
      <c r="D28" s="130" t="str">
        <f t="shared" si="1"/>
        <v/>
      </c>
      <c r="E28" s="107" t="str">
        <f t="shared" si="0"/>
        <v/>
      </c>
      <c r="F28" s="19"/>
      <c r="G28" s="19"/>
      <c r="H28" s="19"/>
      <c r="I28" s="19"/>
      <c r="J28" s="19"/>
      <c r="N28" s="19"/>
      <c r="O28" s="19"/>
      <c r="P28" s="19"/>
      <c r="Q28" s="19"/>
      <c r="R28" s="19"/>
      <c r="S28" s="19"/>
      <c r="T28" s="19"/>
      <c r="U28" s="19"/>
      <c r="AD28" s="19"/>
    </row>
    <row r="29" spans="1:30" ht="12" customHeight="1">
      <c r="A29" s="219" t="str" cm="1">
        <f t="array" ref="A29">IFERROR(INDEX('03.Muestra'!$B$8:$B$42,SMALL(IF("Documento no web"='03.Muestra'!$D$8:$D$42,ROW('03.Muestra'!$B$8:$B$42)-MIN(ROW('03.Muestra'!$D$8:$D$42))+1,""),ROW()-18)),"")</f>
        <v/>
      </c>
      <c r="B29" s="114" t="str" cm="1">
        <f t="array" ref="B29">IFERROR(INDEX('03.Muestra'!$C$8:$C$42,SMALL(IF("Documento no web"='03.Muestra'!$D$8:$D$42,ROW('03.Muestra'!$C$8:$C$42)-MIN(ROW('03.Muestra'!$D$8:$D$42))+1,""),ROW()-18)),"")</f>
        <v/>
      </c>
      <c r="C29" s="114" t="str" cm="1">
        <f t="array" ref="C29">IFERROR(INDEX('03.Muestra'!$F$8:$F$42,SMALL(IF("Documento no web"='03.Muestra'!$D$8:$D$42,ROW('03.Muestra'!$F$8:$F$42)-MIN(ROW('03.Muestra'!$D$8:$D$42))+1,""),ROW()-18)),"")</f>
        <v/>
      </c>
      <c r="D29" s="130" t="str">
        <f t="shared" si="1"/>
        <v/>
      </c>
      <c r="E29" s="107" t="str">
        <f t="shared" si="0"/>
        <v/>
      </c>
      <c r="F29" s="19"/>
      <c r="G29" s="19"/>
      <c r="H29" s="19"/>
      <c r="I29" s="19"/>
      <c r="J29" s="19"/>
      <c r="P29" s="19"/>
      <c r="Q29" s="121"/>
      <c r="R29" s="121"/>
      <c r="S29" s="19"/>
      <c r="T29" s="19"/>
      <c r="U29" s="19"/>
      <c r="V29" s="19"/>
      <c r="W29" s="19"/>
      <c r="X29" s="19"/>
      <c r="Y29" s="19"/>
    </row>
    <row r="30" spans="1:30" ht="12" customHeight="1">
      <c r="A30" s="219" t="str" cm="1">
        <f t="array" ref="A30">IFERROR(INDEX('03.Muestra'!$B$8:$B$42,SMALL(IF("Documento no web"='03.Muestra'!$D$8:$D$42,ROW('03.Muestra'!$B$8:$B$42)-MIN(ROW('03.Muestra'!$D$8:$D$42))+1,""),ROW()-18)),"")</f>
        <v/>
      </c>
      <c r="B30" s="114" t="str" cm="1">
        <f t="array" ref="B30">IFERROR(INDEX('03.Muestra'!$C$8:$C$42,SMALL(IF("Documento no web"='03.Muestra'!$D$8:$D$42,ROW('03.Muestra'!$C$8:$C$42)-MIN(ROW('03.Muestra'!$D$8:$D$42))+1,""),ROW()-18)),"")</f>
        <v/>
      </c>
      <c r="C30" s="114" t="str" cm="1">
        <f t="array" ref="C30">IFERROR(INDEX('03.Muestra'!$F$8:$F$42,SMALL(IF("Documento no web"='03.Muestra'!$D$8:$D$42,ROW('03.Muestra'!$F$8:$F$42)-MIN(ROW('03.Muestra'!$D$8:$D$42))+1,""),ROW()-18)),"")</f>
        <v/>
      </c>
      <c r="D30" s="130" t="str">
        <f t="shared" si="1"/>
        <v/>
      </c>
      <c r="E30" s="107" t="str">
        <f t="shared" si="0"/>
        <v/>
      </c>
      <c r="F30" s="19"/>
      <c r="G30" s="19"/>
      <c r="H30" s="19"/>
      <c r="I30" s="19"/>
      <c r="J30" s="19"/>
      <c r="K30" s="19"/>
      <c r="L30" s="19"/>
      <c r="O30" s="19"/>
      <c r="P30" s="19"/>
      <c r="Q30" s="19"/>
      <c r="R30" s="19"/>
      <c r="S30" s="19"/>
      <c r="T30" s="19"/>
      <c r="U30" s="19"/>
      <c r="V30" s="19"/>
      <c r="W30" s="19"/>
      <c r="X30" s="19"/>
      <c r="Y30" s="19"/>
    </row>
    <row r="31" spans="1:30" ht="12" customHeight="1">
      <c r="A31" s="219" t="str" cm="1">
        <f t="array" ref="A31">IFERROR(INDEX('03.Muestra'!$B$8:$B$42,SMALL(IF("Documento no web"='03.Muestra'!$D$8:$D$42,ROW('03.Muestra'!$B$8:$B$42)-MIN(ROW('03.Muestra'!$D$8:$D$42))+1,""),ROW()-18)),"")</f>
        <v/>
      </c>
      <c r="B31" s="114" t="str" cm="1">
        <f t="array" ref="B31">IFERROR(INDEX('03.Muestra'!$C$8:$C$42,SMALL(IF("Documento no web"='03.Muestra'!$D$8:$D$42,ROW('03.Muestra'!$C$8:$C$42)-MIN(ROW('03.Muestra'!$D$8:$D$42))+1,""),ROW()-18)),"")</f>
        <v/>
      </c>
      <c r="C31" s="114" t="str" cm="1">
        <f t="array" ref="C31">IFERROR(INDEX('03.Muestra'!$F$8:$F$42,SMALL(IF("Documento no web"='03.Muestra'!$D$8:$D$42,ROW('03.Muestra'!$F$8:$F$42)-MIN(ROW('03.Muestra'!$D$8:$D$42))+1,""),ROW()-18)),"")</f>
        <v/>
      </c>
      <c r="D31" s="130" t="str">
        <f t="shared" si="1"/>
        <v/>
      </c>
      <c r="E31" s="107" t="str">
        <f t="shared" si="0"/>
        <v/>
      </c>
      <c r="F31" s="19"/>
      <c r="G31" s="19"/>
      <c r="H31" s="19"/>
      <c r="I31" s="19"/>
      <c r="J31" s="19"/>
      <c r="K31" s="19"/>
      <c r="L31" s="19"/>
      <c r="O31" s="19"/>
      <c r="P31" s="19"/>
      <c r="Q31" s="19"/>
      <c r="R31" s="19"/>
      <c r="S31" s="19"/>
      <c r="T31" s="19"/>
      <c r="U31" s="19"/>
      <c r="V31" s="19"/>
      <c r="W31" s="19"/>
      <c r="X31" s="19"/>
      <c r="Y31" s="19"/>
    </row>
    <row r="32" spans="1:30" ht="12" customHeight="1">
      <c r="A32" s="219" t="str" cm="1">
        <f t="array" ref="A32">IFERROR(INDEX('03.Muestra'!$B$8:$B$42,SMALL(IF("Documento no web"='03.Muestra'!$D$8:$D$42,ROW('03.Muestra'!$B$8:$B$42)-MIN(ROW('03.Muestra'!$D$8:$D$42))+1,""),ROW()-18)),"")</f>
        <v/>
      </c>
      <c r="B32" s="114" t="str" cm="1">
        <f t="array" ref="B32">IFERROR(INDEX('03.Muestra'!$C$8:$C$42,SMALL(IF("Documento no web"='03.Muestra'!$D$8:$D$42,ROW('03.Muestra'!$C$8:$C$42)-MIN(ROW('03.Muestra'!$D$8:$D$42))+1,""),ROW()-18)),"")</f>
        <v/>
      </c>
      <c r="C32" s="114" t="str" cm="1">
        <f t="array" ref="C32">IFERROR(INDEX('03.Muestra'!$F$8:$F$42,SMALL(IF("Documento no web"='03.Muestra'!$D$8:$D$42,ROW('03.Muestra'!$F$8:$F$42)-MIN(ROW('03.Muestra'!$D$8:$D$42))+1,""),ROW()-18)),"")</f>
        <v/>
      </c>
      <c r="D32" s="130" t="str">
        <f t="shared" si="1"/>
        <v/>
      </c>
      <c r="E32" s="107" t="str">
        <f t="shared" si="0"/>
        <v/>
      </c>
      <c r="F32" s="19"/>
      <c r="G32" s="19"/>
      <c r="H32" s="19"/>
      <c r="I32" s="19"/>
      <c r="J32" s="19"/>
      <c r="K32" s="19"/>
      <c r="L32" s="19"/>
      <c r="O32" s="19"/>
      <c r="P32" s="19"/>
      <c r="Q32" s="19"/>
      <c r="R32" s="19"/>
      <c r="S32" s="19"/>
      <c r="T32" s="19"/>
      <c r="U32" s="19"/>
      <c r="V32" s="19"/>
      <c r="W32" s="19"/>
      <c r="X32" s="19"/>
      <c r="Y32" s="19"/>
    </row>
    <row r="33" spans="1:25" ht="12" customHeight="1">
      <c r="A33" s="219" t="str" cm="1">
        <f t="array" ref="A33">IFERROR(INDEX('03.Muestra'!$B$8:$B$42,SMALL(IF("Documento no web"='03.Muestra'!$D$8:$D$42,ROW('03.Muestra'!$B$8:$B$42)-MIN(ROW('03.Muestra'!$D$8:$D$42))+1,""),ROW()-18)),"")</f>
        <v/>
      </c>
      <c r="B33" s="114" t="str" cm="1">
        <f t="array" ref="B33">IFERROR(INDEX('03.Muestra'!$C$8:$C$42,SMALL(IF("Documento no web"='03.Muestra'!$D$8:$D$42,ROW('03.Muestra'!$C$8:$C$42)-MIN(ROW('03.Muestra'!$D$8:$D$42))+1,""),ROW()-18)),"")</f>
        <v/>
      </c>
      <c r="C33" s="114" t="str" cm="1">
        <f t="array" ref="C33">IFERROR(INDEX('03.Muestra'!$F$8:$F$42,SMALL(IF("Documento no web"='03.Muestra'!$D$8:$D$42,ROW('03.Muestra'!$F$8:$F$42)-MIN(ROW('03.Muestra'!$D$8:$D$42))+1,""),ROW()-18)),"")</f>
        <v/>
      </c>
      <c r="D33" s="130" t="str">
        <f t="shared" si="1"/>
        <v/>
      </c>
      <c r="E33" s="107" t="str">
        <f t="shared" si="0"/>
        <v/>
      </c>
      <c r="F33" s="19"/>
      <c r="G33" s="19"/>
      <c r="H33" s="19"/>
      <c r="I33" s="19"/>
      <c r="J33" s="19"/>
      <c r="K33" s="19"/>
      <c r="L33" s="19"/>
      <c r="N33" s="19"/>
      <c r="O33" s="19"/>
      <c r="P33" s="19"/>
      <c r="Q33" s="19"/>
      <c r="R33" s="19"/>
      <c r="S33" s="19"/>
      <c r="T33" s="19"/>
      <c r="U33" s="19"/>
      <c r="V33" s="19"/>
      <c r="W33" s="19"/>
      <c r="X33" s="19"/>
      <c r="Y33" s="19"/>
    </row>
    <row r="34" spans="1:25" ht="12" customHeight="1">
      <c r="A34" s="219" t="str" cm="1">
        <f t="array" ref="A34">IFERROR(INDEX('03.Muestra'!$B$8:$B$42,SMALL(IF("Documento no web"='03.Muestra'!$D$8:$D$42,ROW('03.Muestra'!$B$8:$B$42)-MIN(ROW('03.Muestra'!$D$8:$D$42))+1,""),ROW()-18)),"")</f>
        <v/>
      </c>
      <c r="B34" s="114" t="str" cm="1">
        <f t="array" ref="B34">IFERROR(INDEX('03.Muestra'!$C$8:$C$42,SMALL(IF("Documento no web"='03.Muestra'!$D$8:$D$42,ROW('03.Muestra'!$C$8:$C$42)-MIN(ROW('03.Muestra'!$D$8:$D$42))+1,""),ROW()-18)),"")</f>
        <v/>
      </c>
      <c r="C34" s="114" t="str" cm="1">
        <f t="array" ref="C34">IFERROR(INDEX('03.Muestra'!$F$8:$F$42,SMALL(IF("Documento no web"='03.Muestra'!$D$8:$D$42,ROW('03.Muestra'!$F$8:$F$42)-MIN(ROW('03.Muestra'!$D$8:$D$42))+1,""),ROW()-18)),"")</f>
        <v/>
      </c>
      <c r="D34" s="130" t="str">
        <f t="shared" si="1"/>
        <v/>
      </c>
      <c r="E34" s="107" t="str">
        <f t="shared" si="0"/>
        <v/>
      </c>
      <c r="F34" s="19"/>
      <c r="G34" s="19"/>
      <c r="H34" s="19"/>
      <c r="I34" s="19"/>
      <c r="J34" s="19"/>
      <c r="K34" s="19"/>
      <c r="W34" s="19"/>
      <c r="X34" s="19"/>
      <c r="Y34" s="19"/>
    </row>
    <row r="35" spans="1:25" ht="12" customHeight="1">
      <c r="A35" s="219" t="str" cm="1">
        <f t="array" ref="A35">IFERROR(INDEX('03.Muestra'!$B$8:$B$42,SMALL(IF("Documento no web"='03.Muestra'!$D$8:$D$42,ROW('03.Muestra'!$B$8:$B$42)-MIN(ROW('03.Muestra'!$D$8:$D$42))+1,""),ROW()-18)),"")</f>
        <v/>
      </c>
      <c r="B35" s="114" t="str" cm="1">
        <f t="array" ref="B35">IFERROR(INDEX('03.Muestra'!$C$8:$C$42,SMALL(IF("Documento no web"='03.Muestra'!$D$8:$D$42,ROW('03.Muestra'!$C$8:$C$42)-MIN(ROW('03.Muestra'!$D$8:$D$42))+1,""),ROW()-18)),"")</f>
        <v/>
      </c>
      <c r="C35" s="114" t="str" cm="1">
        <f t="array" ref="C35">IFERROR(INDEX('03.Muestra'!$F$8:$F$42,SMALL(IF("Documento no web"='03.Muestra'!$D$8:$D$42,ROW('03.Muestra'!$F$8:$F$42)-MIN(ROW('03.Muestra'!$D$8:$D$42))+1,""),ROW()-18)),"")</f>
        <v/>
      </c>
      <c r="D35" s="130" t="str">
        <f t="shared" si="1"/>
        <v/>
      </c>
      <c r="E35" s="107" t="str">
        <f t="shared" si="0"/>
        <v/>
      </c>
      <c r="F35" s="19"/>
      <c r="G35" s="19"/>
      <c r="H35" s="19"/>
      <c r="I35" s="19"/>
      <c r="J35" s="19"/>
      <c r="K35" s="19"/>
      <c r="W35" s="19"/>
      <c r="X35" s="19"/>
      <c r="Y35" s="19"/>
    </row>
    <row r="36" spans="1:25" ht="12" customHeight="1">
      <c r="A36" s="219" t="str" cm="1">
        <f t="array" ref="A36">IFERROR(INDEX('03.Muestra'!$B$8:$B$42,SMALL(IF("Documento no web"='03.Muestra'!$D$8:$D$42,ROW('03.Muestra'!$B$8:$B$42)-MIN(ROW('03.Muestra'!$D$8:$D$42))+1,""),ROW()-18)),"")</f>
        <v/>
      </c>
      <c r="B36" s="114" t="str" cm="1">
        <f t="array" ref="B36">IFERROR(INDEX('03.Muestra'!$C$8:$C$42,SMALL(IF("Documento no web"='03.Muestra'!$D$8:$D$42,ROW('03.Muestra'!$C$8:$C$42)-MIN(ROW('03.Muestra'!$D$8:$D$42))+1,""),ROW()-18)),"")</f>
        <v/>
      </c>
      <c r="C36" s="114" t="str" cm="1">
        <f t="array" ref="C36">IFERROR(INDEX('03.Muestra'!$F$8:$F$42,SMALL(IF("Documento no web"='03.Muestra'!$D$8:$D$42,ROW('03.Muestra'!$F$8:$F$42)-MIN(ROW('03.Muestra'!$D$8:$D$42))+1,""),ROW()-18)),"")</f>
        <v/>
      </c>
      <c r="D36" s="130" t="str">
        <f t="shared" si="1"/>
        <v/>
      </c>
      <c r="E36" s="107" t="str">
        <f t="shared" si="0"/>
        <v/>
      </c>
      <c r="F36" s="19"/>
      <c r="G36" s="19"/>
      <c r="H36" s="19"/>
      <c r="I36" s="19"/>
      <c r="J36" s="19"/>
      <c r="K36" s="19"/>
      <c r="W36" s="19"/>
      <c r="X36" s="19"/>
      <c r="Y36" s="19"/>
    </row>
    <row r="37" spans="1:25" ht="12" customHeight="1">
      <c r="A37" s="219" t="str" cm="1">
        <f t="array" ref="A37">IFERROR(INDEX('03.Muestra'!$B$8:$B$42,SMALL(IF("Documento no web"='03.Muestra'!$D$8:$D$42,ROW('03.Muestra'!$B$8:$B$42)-MIN(ROW('03.Muestra'!$D$8:$D$42))+1,""),ROW()-18)),"")</f>
        <v/>
      </c>
      <c r="B37" s="114" t="str" cm="1">
        <f t="array" ref="B37">IFERROR(INDEX('03.Muestra'!$C$8:$C$42,SMALL(IF("Documento no web"='03.Muestra'!$D$8:$D$42,ROW('03.Muestra'!$C$8:$C$42)-MIN(ROW('03.Muestra'!$D$8:$D$42))+1,""),ROW()-18)),"")</f>
        <v/>
      </c>
      <c r="C37" s="114" t="str" cm="1">
        <f t="array" ref="C37">IFERROR(INDEX('03.Muestra'!$F$8:$F$42,SMALL(IF("Documento no web"='03.Muestra'!$D$8:$D$42,ROW('03.Muestra'!$F$8:$F$42)-MIN(ROW('03.Muestra'!$D$8:$D$42))+1,""),ROW()-18)),"")</f>
        <v/>
      </c>
      <c r="D37" s="130" t="str">
        <f t="shared" si="1"/>
        <v/>
      </c>
      <c r="E37" s="107" t="str">
        <f t="shared" si="0"/>
        <v/>
      </c>
      <c r="F37" s="19"/>
      <c r="G37" s="19"/>
      <c r="H37" s="19"/>
      <c r="I37" s="19"/>
      <c r="J37" s="19"/>
      <c r="K37" s="19"/>
      <c r="L37" s="19"/>
      <c r="Q37" s="19"/>
      <c r="W37" s="19"/>
      <c r="X37" s="19"/>
      <c r="Y37" s="19"/>
    </row>
    <row r="38" spans="1:25" ht="12" customHeight="1">
      <c r="A38" s="219" t="str" cm="1">
        <f t="array" ref="A38">IFERROR(INDEX('03.Muestra'!$B$8:$B$42,SMALL(IF("Documento no web"='03.Muestra'!$D$8:$D$42,ROW('03.Muestra'!$B$8:$B$42)-MIN(ROW('03.Muestra'!$D$8:$D$42))+1,""),ROW()-18)),"")</f>
        <v/>
      </c>
      <c r="B38" s="114" t="str" cm="1">
        <f t="array" ref="B38">IFERROR(INDEX('03.Muestra'!$C$8:$C$42,SMALL(IF("Documento no web"='03.Muestra'!$D$8:$D$42,ROW('03.Muestra'!$C$8:$C$42)-MIN(ROW('03.Muestra'!$D$8:$D$42))+1,""),ROW()-18)),"")</f>
        <v/>
      </c>
      <c r="C38" s="114" t="str" cm="1">
        <f t="array" ref="C38">IFERROR(INDEX('03.Muestra'!$F$8:$F$42,SMALL(IF("Documento no web"='03.Muestra'!$D$8:$D$42,ROW('03.Muestra'!$F$8:$F$42)-MIN(ROW('03.Muestra'!$D$8:$D$42))+1,""),ROW()-18)),"")</f>
        <v/>
      </c>
      <c r="D38" s="130" t="str">
        <f t="shared" si="1"/>
        <v/>
      </c>
      <c r="E38" s="107" t="str">
        <f t="shared" si="0"/>
        <v/>
      </c>
      <c r="F38" s="19"/>
      <c r="G38" s="19"/>
      <c r="H38" s="19"/>
      <c r="I38" s="19"/>
      <c r="J38" s="19"/>
      <c r="K38" s="19"/>
      <c r="L38" s="19"/>
      <c r="Q38" s="19"/>
      <c r="W38" s="19"/>
      <c r="X38" s="19"/>
      <c r="Y38" s="19"/>
    </row>
    <row r="39" spans="1:25" ht="12" customHeight="1">
      <c r="A39" s="219" t="str" cm="1">
        <f t="array" ref="A39">IFERROR(INDEX('03.Muestra'!$B$8:$B$42,SMALL(IF("Documento no web"='03.Muestra'!$D$8:$D$42,ROW('03.Muestra'!$B$8:$B$42)-MIN(ROW('03.Muestra'!$D$8:$D$42))+1,""),ROW()-18)),"")</f>
        <v/>
      </c>
      <c r="B39" s="114" t="str" cm="1">
        <f t="array" ref="B39">IFERROR(INDEX('03.Muestra'!$C$8:$C$42,SMALL(IF("Documento no web"='03.Muestra'!$D$8:$D$42,ROW('03.Muestra'!$C$8:$C$42)-MIN(ROW('03.Muestra'!$D$8:$D$42))+1,""),ROW()-18)),"")</f>
        <v/>
      </c>
      <c r="C39" s="114" t="str" cm="1">
        <f t="array" ref="C39">IFERROR(INDEX('03.Muestra'!$F$8:$F$42,SMALL(IF("Documento no web"='03.Muestra'!$D$8:$D$42,ROW('03.Muestra'!$F$8:$F$42)-MIN(ROW('03.Muestra'!$D$8:$D$42))+1,""),ROW()-18)),"")</f>
        <v/>
      </c>
      <c r="D39" s="130" t="str">
        <f t="shared" si="1"/>
        <v/>
      </c>
      <c r="E39" s="107" t="str">
        <f t="shared" si="0"/>
        <v/>
      </c>
      <c r="F39" s="19"/>
      <c r="G39" s="19"/>
      <c r="H39" s="19"/>
      <c r="I39" s="19"/>
      <c r="J39" s="19"/>
      <c r="K39" s="19"/>
      <c r="L39" s="19"/>
      <c r="Q39" s="19"/>
      <c r="W39" s="19"/>
      <c r="X39" s="19"/>
      <c r="Y39" s="19"/>
    </row>
    <row r="40" spans="1:25" ht="12" customHeight="1">
      <c r="A40" s="219" t="str" cm="1">
        <f t="array" ref="A40">IFERROR(INDEX('03.Muestra'!$B$8:$B$42,SMALL(IF("Documento no web"='03.Muestra'!$D$8:$D$42,ROW('03.Muestra'!$B$8:$B$42)-MIN(ROW('03.Muestra'!$D$8:$D$42))+1,""),ROW()-18)),"")</f>
        <v/>
      </c>
      <c r="B40" s="114" t="str" cm="1">
        <f t="array" ref="B40">IFERROR(INDEX('03.Muestra'!$C$8:$C$42,SMALL(IF("Documento no web"='03.Muestra'!$D$8:$D$42,ROW('03.Muestra'!$C$8:$C$42)-MIN(ROW('03.Muestra'!$D$8:$D$42))+1,""),ROW()-18)),"")</f>
        <v/>
      </c>
      <c r="C40" s="114" t="str" cm="1">
        <f t="array" ref="C40">IFERROR(INDEX('03.Muestra'!$F$8:$F$42,SMALL(IF("Documento no web"='03.Muestra'!$D$8:$D$42,ROW('03.Muestra'!$F$8:$F$42)-MIN(ROW('03.Muestra'!$D$8:$D$42))+1,""),ROW()-18)),"")</f>
        <v/>
      </c>
      <c r="D40" s="130" t="str">
        <f t="shared" si="1"/>
        <v/>
      </c>
      <c r="E40" s="107" t="str">
        <f t="shared" si="0"/>
        <v/>
      </c>
      <c r="F40" s="19"/>
      <c r="G40" s="19"/>
      <c r="H40" s="19"/>
      <c r="I40" s="19"/>
      <c r="J40" s="19"/>
      <c r="K40" s="19"/>
      <c r="L40" s="19"/>
      <c r="Q40" s="19"/>
      <c r="R40" s="19"/>
      <c r="T40" s="19"/>
      <c r="U40" s="19"/>
      <c r="V40" s="19"/>
      <c r="W40" s="19"/>
      <c r="X40" s="19"/>
      <c r="Y40" s="19"/>
    </row>
    <row r="41" spans="1:25" ht="12" customHeight="1">
      <c r="A41" s="219" t="str" cm="1">
        <f t="array" ref="A41">IFERROR(INDEX('03.Muestra'!$B$8:$B$42,SMALL(IF("Documento no web"='03.Muestra'!$D$8:$D$42,ROW('03.Muestra'!$B$8:$B$42)-MIN(ROW('03.Muestra'!$D$8:$D$42))+1,""),ROW()-18)),"")</f>
        <v/>
      </c>
      <c r="B41" s="114" t="str" cm="1">
        <f t="array" ref="B41">IFERROR(INDEX('03.Muestra'!$C$8:$C$42,SMALL(IF("Documento no web"='03.Muestra'!$D$8:$D$42,ROW('03.Muestra'!$C$8:$C$42)-MIN(ROW('03.Muestra'!$D$8:$D$42))+1,""),ROW()-18)),"")</f>
        <v/>
      </c>
      <c r="C41" s="114" t="str" cm="1">
        <f t="array" ref="C41">IFERROR(INDEX('03.Muestra'!$F$8:$F$42,SMALL(IF("Documento no web"='03.Muestra'!$D$8:$D$42,ROW('03.Muestra'!$F$8:$F$42)-MIN(ROW('03.Muestra'!$D$8:$D$42))+1,""),ROW()-18)),"")</f>
        <v/>
      </c>
      <c r="D41" s="130" t="str">
        <f t="shared" si="1"/>
        <v/>
      </c>
      <c r="E41" s="107" t="str">
        <f t="shared" si="0"/>
        <v/>
      </c>
      <c r="F41" s="19"/>
      <c r="G41" s="19"/>
      <c r="H41" s="19"/>
      <c r="I41" s="19"/>
      <c r="J41" s="19"/>
      <c r="K41" s="19"/>
      <c r="L41" s="19"/>
      <c r="Y41" s="19"/>
    </row>
    <row r="42" spans="1:25" ht="12" customHeight="1">
      <c r="A42" s="219" t="str" cm="1">
        <f t="array" ref="A42">IFERROR(INDEX('03.Muestra'!$B$8:$B$42,SMALL(IF("Documento no web"='03.Muestra'!$D$8:$D$42,ROW('03.Muestra'!$B$8:$B$42)-MIN(ROW('03.Muestra'!$D$8:$D$42))+1,""),ROW()-18)),"")</f>
        <v/>
      </c>
      <c r="B42" s="114" t="str" cm="1">
        <f t="array" ref="B42">IFERROR(INDEX('03.Muestra'!$C$8:$C$42,SMALL(IF("Documento no web"='03.Muestra'!$D$8:$D$42,ROW('03.Muestra'!$C$8:$C$42)-MIN(ROW('03.Muestra'!$D$8:$D$42))+1,""),ROW()-18)),"")</f>
        <v/>
      </c>
      <c r="C42" s="114" t="str" cm="1">
        <f t="array" ref="C42">IFERROR(INDEX('03.Muestra'!$F$8:$F$42,SMALL(IF("Documento no web"='03.Muestra'!$D$8:$D$42,ROW('03.Muestra'!$F$8:$F$42)-MIN(ROW('03.Muestra'!$D$8:$D$42))+1,""),ROW()-18)),"")</f>
        <v/>
      </c>
      <c r="D42" s="130" t="str">
        <f t="shared" si="1"/>
        <v/>
      </c>
      <c r="E42" s="107" t="str">
        <f t="shared" si="0"/>
        <v/>
      </c>
      <c r="F42" s="19"/>
      <c r="G42" s="19"/>
      <c r="H42" s="19"/>
      <c r="I42" s="19"/>
      <c r="J42" s="19"/>
      <c r="K42" s="19"/>
      <c r="L42" s="19"/>
      <c r="Y42" s="19"/>
    </row>
    <row r="43" spans="1:25" ht="12" customHeight="1">
      <c r="A43" s="219" t="str" cm="1">
        <f t="array" ref="A43">IFERROR(INDEX('03.Muestra'!$B$8:$B$42,SMALL(IF("Documento no web"='03.Muestra'!$D$8:$D$42,ROW('03.Muestra'!$B$8:$B$42)-MIN(ROW('03.Muestra'!$D$8:$D$42))+1,""),ROW()-18)),"")</f>
        <v/>
      </c>
      <c r="B43" s="114" t="str" cm="1">
        <f t="array" ref="B43">IFERROR(INDEX('03.Muestra'!$C$8:$C$42,SMALL(IF("Documento no web"='03.Muestra'!$D$8:$D$42,ROW('03.Muestra'!$C$8:$C$42)-MIN(ROW('03.Muestra'!$D$8:$D$42))+1,""),ROW()-18)),"")</f>
        <v/>
      </c>
      <c r="C43" s="114" t="str" cm="1">
        <f t="array" ref="C43">IFERROR(INDEX('03.Muestra'!$F$8:$F$42,SMALL(IF("Documento no web"='03.Muestra'!$D$8:$D$42,ROW('03.Muestra'!$F$8:$F$42)-MIN(ROW('03.Muestra'!$D$8:$D$42))+1,""),ROW()-18)),"")</f>
        <v/>
      </c>
      <c r="D43" s="130" t="str">
        <f t="shared" si="1"/>
        <v/>
      </c>
      <c r="E43" s="107" t="str">
        <f t="shared" si="0"/>
        <v/>
      </c>
      <c r="F43" s="19"/>
      <c r="G43" s="19"/>
      <c r="H43" s="19"/>
      <c r="I43" s="19"/>
      <c r="J43" s="19"/>
      <c r="K43" s="19"/>
      <c r="L43" s="19"/>
      <c r="Y43" s="19"/>
    </row>
    <row r="44" spans="1:25" ht="12" customHeight="1">
      <c r="A44" s="219" t="str" cm="1">
        <f t="array" ref="A44">IFERROR(INDEX('03.Muestra'!$B$8:$B$42,SMALL(IF("Documento no web"='03.Muestra'!$D$8:$D$42,ROW('03.Muestra'!$B$8:$B$42)-MIN(ROW('03.Muestra'!$D$8:$D$42))+1,""),ROW()-18)),"")</f>
        <v/>
      </c>
      <c r="B44" s="114" t="str" cm="1">
        <f t="array" ref="B44">IFERROR(INDEX('03.Muestra'!$C$8:$C$42,SMALL(IF("Documento no web"='03.Muestra'!$D$8:$D$42,ROW('03.Muestra'!$C$8:$C$42)-MIN(ROW('03.Muestra'!$D$8:$D$42))+1,""),ROW()-18)),"")</f>
        <v/>
      </c>
      <c r="C44" s="114" t="str" cm="1">
        <f t="array" ref="C44">IFERROR(INDEX('03.Muestra'!$F$8:$F$42,SMALL(IF("Documento no web"='03.Muestra'!$D$8:$D$42,ROW('03.Muestra'!$F$8:$F$42)-MIN(ROW('03.Muestra'!$D$8:$D$42))+1,""),ROW()-18)),"")</f>
        <v/>
      </c>
      <c r="D44" s="130" t="str">
        <f t="shared" si="1"/>
        <v/>
      </c>
      <c r="E44" s="107" t="str">
        <f t="shared" si="0"/>
        <v/>
      </c>
      <c r="F44" s="19"/>
      <c r="G44" s="19"/>
      <c r="H44" s="19"/>
      <c r="I44" s="19"/>
      <c r="J44" s="19"/>
      <c r="K44" s="19"/>
      <c r="L44" s="19"/>
      <c r="Q44" s="19"/>
      <c r="R44" s="19"/>
      <c r="T44" s="19"/>
      <c r="U44" s="19"/>
      <c r="V44" s="19"/>
      <c r="W44" s="19"/>
      <c r="X44" s="19"/>
      <c r="Y44" s="19"/>
    </row>
    <row r="45" spans="1:25" ht="12" customHeight="1">
      <c r="A45" s="219" t="str" cm="1">
        <f t="array" ref="A45">IFERROR(INDEX('03.Muestra'!$B$8:$B$42,SMALL(IF("Documento no web"='03.Muestra'!$D$8:$D$42,ROW('03.Muestra'!$B$8:$B$42)-MIN(ROW('03.Muestra'!$D$8:$D$42))+1,""),ROW()-18)),"")</f>
        <v/>
      </c>
      <c r="B45" s="114" t="str" cm="1">
        <f t="array" ref="B45">IFERROR(INDEX('03.Muestra'!$C$8:$C$42,SMALL(IF("Documento no web"='03.Muestra'!$D$8:$D$42,ROW('03.Muestra'!$C$8:$C$42)-MIN(ROW('03.Muestra'!$D$8:$D$42))+1,""),ROW()-18)),"")</f>
        <v/>
      </c>
      <c r="C45" s="114" t="str" cm="1">
        <f t="array" ref="C45">IFERROR(INDEX('03.Muestra'!$F$8:$F$42,SMALL(IF("Documento no web"='03.Muestra'!$D$8:$D$42,ROW('03.Muestra'!$F$8:$F$42)-MIN(ROW('03.Muestra'!$D$8:$D$42))+1,""),ROW()-18)),"")</f>
        <v/>
      </c>
      <c r="D45" s="130" t="str">
        <f t="shared" si="1"/>
        <v/>
      </c>
      <c r="E45" s="107" t="str">
        <f t="shared" si="0"/>
        <v/>
      </c>
      <c r="F45" s="19"/>
      <c r="G45" s="19"/>
      <c r="H45" s="19"/>
      <c r="I45" s="19"/>
      <c r="J45" s="19"/>
      <c r="K45" s="19"/>
      <c r="L45" s="19"/>
      <c r="Q45" s="19"/>
      <c r="R45" s="19"/>
      <c r="T45" s="19"/>
      <c r="U45" s="19"/>
      <c r="V45" s="19"/>
      <c r="W45" s="19"/>
      <c r="X45" s="19"/>
      <c r="Y45" s="19"/>
    </row>
    <row r="46" spans="1:25" ht="12" customHeight="1">
      <c r="A46" s="219" t="str" cm="1">
        <f t="array" ref="A46">IFERROR(INDEX('03.Muestra'!$B$8:$B$42,SMALL(IF("Documento no web"='03.Muestra'!$D$8:$D$42,ROW('03.Muestra'!$B$8:$B$42)-MIN(ROW('03.Muestra'!$D$8:$D$42))+1,""),ROW()-18)),"")</f>
        <v/>
      </c>
      <c r="B46" s="114" t="str" cm="1">
        <f t="array" ref="B46">IFERROR(INDEX('03.Muestra'!$C$8:$C$42,SMALL(IF("Documento no web"='03.Muestra'!$D$8:$D$42,ROW('03.Muestra'!$C$8:$C$42)-MIN(ROW('03.Muestra'!$D$8:$D$42))+1,""),ROW()-18)),"")</f>
        <v/>
      </c>
      <c r="C46" s="114" t="str" cm="1">
        <f t="array" ref="C46">IFERROR(INDEX('03.Muestra'!$F$8:$F$42,SMALL(IF("Documento no web"='03.Muestra'!$D$8:$D$42,ROW('03.Muestra'!$F$8:$F$42)-MIN(ROW('03.Muestra'!$D$8:$D$42))+1,""),ROW()-18)),"")</f>
        <v/>
      </c>
      <c r="D46" s="130" t="str">
        <f t="shared" si="1"/>
        <v/>
      </c>
      <c r="E46" s="107" t="str">
        <f t="shared" si="0"/>
        <v/>
      </c>
      <c r="I46" s="19"/>
      <c r="J46" s="19"/>
      <c r="K46" s="19"/>
      <c r="L46" s="19"/>
      <c r="Q46" s="19"/>
      <c r="R46" s="19"/>
      <c r="T46" s="19"/>
      <c r="U46" s="19"/>
      <c r="V46" s="19"/>
      <c r="W46" s="19"/>
      <c r="X46" s="19"/>
      <c r="Y46" s="19"/>
    </row>
    <row r="47" spans="1:25" ht="12" customHeight="1">
      <c r="A47" s="219" t="str" cm="1">
        <f t="array" ref="A47">IFERROR(INDEX('03.Muestra'!$B$8:$B$42,SMALL(IF("Documento no web"='03.Muestra'!$D$8:$D$42,ROW('03.Muestra'!$B$8:$B$42)-MIN(ROW('03.Muestra'!$D$8:$D$42))+1,""),ROW()-18)),"")</f>
        <v/>
      </c>
      <c r="B47" s="114" t="str" cm="1">
        <f t="array" ref="B47">IFERROR(INDEX('03.Muestra'!$C$8:$C$42,SMALL(IF("Documento no web"='03.Muestra'!$D$8:$D$42,ROW('03.Muestra'!$C$8:$C$42)-MIN(ROW('03.Muestra'!$D$8:$D$42))+1,""),ROW()-18)),"")</f>
        <v/>
      </c>
      <c r="C47" s="114" t="str" cm="1">
        <f t="array" ref="C47">IFERROR(INDEX('03.Muestra'!$F$8:$F$42,SMALL(IF("Documento no web"='03.Muestra'!$D$8:$D$42,ROW('03.Muestra'!$F$8:$F$42)-MIN(ROW('03.Muestra'!$D$8:$D$42))+1,""),ROW()-18)),"")</f>
        <v/>
      </c>
      <c r="D47" s="130" t="str">
        <f t="shared" si="1"/>
        <v/>
      </c>
      <c r="E47" s="107" t="str">
        <f t="shared" si="0"/>
        <v/>
      </c>
      <c r="I47" s="19"/>
      <c r="J47" s="19"/>
      <c r="K47" s="19"/>
      <c r="L47" s="19"/>
      <c r="Q47" s="19"/>
      <c r="R47" s="19"/>
      <c r="T47" s="19"/>
      <c r="U47" s="19"/>
      <c r="V47" s="19"/>
      <c r="W47" s="19"/>
      <c r="X47" s="19"/>
      <c r="Y47" s="19"/>
    </row>
    <row r="48" spans="1:25" ht="12" customHeight="1">
      <c r="A48" s="219" t="str" cm="1">
        <f t="array" ref="A48">IFERROR(INDEX('03.Muestra'!$B$8:$B$42,SMALL(IF("Documento no web"='03.Muestra'!$D$8:$D$42,ROW('03.Muestra'!$B$8:$B$42)-MIN(ROW('03.Muestra'!$D$8:$D$42))+1,""),ROW()-18)),"")</f>
        <v/>
      </c>
      <c r="B48" s="114" t="str" cm="1">
        <f t="array" ref="B48">IFERROR(INDEX('03.Muestra'!$C$8:$C$42,SMALL(IF("Documento no web"='03.Muestra'!$D$8:$D$42,ROW('03.Muestra'!$C$8:$C$42)-MIN(ROW('03.Muestra'!$D$8:$D$42))+1,""),ROW()-18)),"")</f>
        <v/>
      </c>
      <c r="C48" s="114" t="str" cm="1">
        <f t="array" ref="C48">IFERROR(INDEX('03.Muestra'!$F$8:$F$42,SMALL(IF("Documento no web"='03.Muestra'!$D$8:$D$42,ROW('03.Muestra'!$F$8:$F$42)-MIN(ROW('03.Muestra'!$D$8:$D$42))+1,""),ROW()-18)),"")</f>
        <v/>
      </c>
      <c r="D48" s="130" t="str">
        <f t="shared" si="1"/>
        <v/>
      </c>
      <c r="E48" s="107" t="str">
        <f t="shared" si="0"/>
        <v/>
      </c>
      <c r="I48" s="19"/>
      <c r="J48" s="19"/>
      <c r="K48" s="19"/>
      <c r="L48" s="19"/>
      <c r="Q48" s="19"/>
      <c r="R48" s="19"/>
      <c r="T48" s="19"/>
      <c r="U48" s="19"/>
      <c r="V48" s="19"/>
      <c r="W48" s="19"/>
      <c r="X48" s="19"/>
      <c r="Y48" s="19"/>
    </row>
    <row r="49" spans="1:25" ht="12" customHeight="1">
      <c r="A49" s="219" t="str" cm="1">
        <f t="array" ref="A49">IFERROR(INDEX('03.Muestra'!$B$8:$B$42,SMALL(IF("Documento no web"='03.Muestra'!$D$8:$D$42,ROW('03.Muestra'!$B$8:$B$42)-MIN(ROW('03.Muestra'!$D$8:$D$42))+1,""),ROW()-18)),"")</f>
        <v/>
      </c>
      <c r="B49" s="114" t="str" cm="1">
        <f t="array" ref="B49">IFERROR(INDEX('03.Muestra'!$C$8:$C$42,SMALL(IF("Documento no web"='03.Muestra'!$D$8:$D$42,ROW('03.Muestra'!$C$8:$C$42)-MIN(ROW('03.Muestra'!$D$8:$D$42))+1,""),ROW()-18)),"")</f>
        <v/>
      </c>
      <c r="C49" s="114" t="str" cm="1">
        <f t="array" ref="C49">IFERROR(INDEX('03.Muestra'!$F$8:$F$42,SMALL(IF("Documento no web"='03.Muestra'!$D$8:$D$42,ROW('03.Muestra'!$F$8:$F$42)-MIN(ROW('03.Muestra'!$D$8:$D$42))+1,""),ROW()-18)),"")</f>
        <v/>
      </c>
      <c r="D49" s="130" t="str">
        <f t="shared" si="1"/>
        <v/>
      </c>
      <c r="E49" s="107" t="str">
        <f t="shared" si="0"/>
        <v/>
      </c>
      <c r="I49" s="19"/>
      <c r="J49" s="19"/>
      <c r="K49" s="19"/>
      <c r="L49" s="19"/>
      <c r="Q49" s="19"/>
      <c r="R49" s="19"/>
      <c r="T49" s="19"/>
      <c r="U49" s="19"/>
      <c r="V49" s="19"/>
      <c r="W49" s="19"/>
      <c r="X49" s="19"/>
      <c r="Y49" s="19"/>
    </row>
    <row r="50" spans="1:25" ht="12" customHeight="1">
      <c r="A50" s="219" t="str" cm="1">
        <f t="array" ref="A50">IFERROR(INDEX('03.Muestra'!$B$8:$B$42,SMALL(IF("Documento no web"='03.Muestra'!$D$8:$D$42,ROW('03.Muestra'!$B$8:$B$42)-MIN(ROW('03.Muestra'!$D$8:$D$42))+1,""),ROW()-18)),"")</f>
        <v/>
      </c>
      <c r="B50" s="114" t="str" cm="1">
        <f t="array" ref="B50">IFERROR(INDEX('03.Muestra'!$C$8:$C$42,SMALL(IF("Documento no web"='03.Muestra'!$D$8:$D$42,ROW('03.Muestra'!$C$8:$C$42)-MIN(ROW('03.Muestra'!$D$8:$D$42))+1,""),ROW()-18)),"")</f>
        <v/>
      </c>
      <c r="C50" s="114" t="str" cm="1">
        <f t="array" ref="C50">IFERROR(INDEX('03.Muestra'!$F$8:$F$42,SMALL(IF("Documento no web"='03.Muestra'!$D$8:$D$42,ROW('03.Muestra'!$F$8:$F$42)-MIN(ROW('03.Muestra'!$D$8:$D$42))+1,""),ROW()-18)),"")</f>
        <v/>
      </c>
      <c r="D50" s="130" t="str">
        <f t="shared" si="1"/>
        <v/>
      </c>
      <c r="E50" s="107" t="str">
        <f t="shared" si="0"/>
        <v/>
      </c>
      <c r="I50" s="19"/>
      <c r="J50" s="19"/>
      <c r="K50" s="19"/>
      <c r="L50" s="19"/>
      <c r="Q50" s="19"/>
      <c r="R50" s="19"/>
      <c r="T50" s="19"/>
      <c r="U50" s="19"/>
      <c r="V50" s="19"/>
      <c r="W50" s="19"/>
      <c r="X50" s="19"/>
      <c r="Y50" s="19"/>
    </row>
    <row r="51" spans="1:25" ht="12" customHeight="1">
      <c r="A51" s="219" t="str" cm="1">
        <f t="array" ref="A51">IFERROR(INDEX('03.Muestra'!$B$8:$B$42,SMALL(IF("Documento no web"='03.Muestra'!$D$8:$D$42,ROW('03.Muestra'!$B$8:$B$42)-MIN(ROW('03.Muestra'!$D$8:$D$42))+1,""),ROW()-18)),"")</f>
        <v/>
      </c>
      <c r="B51" s="114" t="str" cm="1">
        <f t="array" ref="B51">IFERROR(INDEX('03.Muestra'!$C$8:$C$42,SMALL(IF("Documento no web"='03.Muestra'!$D$8:$D$42,ROW('03.Muestra'!$C$8:$C$42)-MIN(ROW('03.Muestra'!$D$8:$D$42))+1,""),ROW()-18)),"")</f>
        <v/>
      </c>
      <c r="C51" s="114" t="str" cm="1">
        <f t="array" ref="C51">IFERROR(INDEX('03.Muestra'!$F$8:$F$42,SMALL(IF("Documento no web"='03.Muestra'!$D$8:$D$42,ROW('03.Muestra'!$F$8:$F$42)-MIN(ROW('03.Muestra'!$D$8:$D$42))+1,""),ROW()-18)),"")</f>
        <v/>
      </c>
      <c r="D51" s="130" t="str">
        <f t="shared" si="1"/>
        <v/>
      </c>
      <c r="E51" s="107" t="str">
        <f t="shared" si="0"/>
        <v/>
      </c>
      <c r="I51" s="19"/>
      <c r="J51" s="19"/>
      <c r="K51" s="19"/>
      <c r="L51" s="19"/>
      <c r="Q51" s="19"/>
      <c r="R51" s="19"/>
      <c r="T51" s="19"/>
      <c r="U51" s="19"/>
      <c r="V51" s="19"/>
      <c r="W51" s="19"/>
      <c r="X51" s="19"/>
      <c r="Y51" s="19"/>
    </row>
    <row r="52" spans="1:25" ht="12" customHeight="1">
      <c r="A52" s="219" t="str" cm="1">
        <f t="array" ref="A52">IFERROR(INDEX('03.Muestra'!$B$8:$B$42,SMALL(IF("Documento no web"='03.Muestra'!$D$8:$D$42,ROW('03.Muestra'!$B$8:$B$42)-MIN(ROW('03.Muestra'!$D$8:$D$42))+1,""),ROW()-18)),"")</f>
        <v/>
      </c>
      <c r="B52" s="114" t="str" cm="1">
        <f t="array" ref="B52">IFERROR(INDEX('03.Muestra'!$C$8:$C$42,SMALL(IF("Documento no web"='03.Muestra'!$D$8:$D$42,ROW('03.Muestra'!$C$8:$C$42)-MIN(ROW('03.Muestra'!$D$8:$D$42))+1,""),ROW()-18)),"")</f>
        <v/>
      </c>
      <c r="C52" s="114" t="str" cm="1">
        <f t="array" ref="C52">IFERROR(INDEX('03.Muestra'!$F$8:$F$42,SMALL(IF("Documento no web"='03.Muestra'!$D$8:$D$42,ROW('03.Muestra'!$F$8:$F$42)-MIN(ROW('03.Muestra'!$D$8:$D$42))+1,""),ROW()-18)),"")</f>
        <v/>
      </c>
      <c r="D52" s="130" t="str">
        <f t="shared" si="1"/>
        <v/>
      </c>
      <c r="E52" s="107" t="str">
        <f t="shared" si="0"/>
        <v/>
      </c>
      <c r="I52" s="19"/>
      <c r="J52" s="19"/>
      <c r="K52" s="19"/>
      <c r="L52" s="19"/>
      <c r="Q52" s="19"/>
      <c r="R52" s="19"/>
      <c r="T52" s="19"/>
      <c r="U52" s="19"/>
      <c r="V52" s="19"/>
      <c r="W52" s="19"/>
      <c r="X52" s="19"/>
      <c r="Y52" s="19"/>
    </row>
    <row r="53" spans="1:25" ht="12" customHeight="1">
      <c r="A53" s="219" t="str" cm="1">
        <f t="array" ref="A53">IFERROR(INDEX('03.Muestra'!$B$8:$B$42,SMALL(IF("Documento no web"='03.Muestra'!$D$8:$D$42,ROW('03.Muestra'!$B$8:$B$42)-MIN(ROW('03.Muestra'!$D$8:$D$42))+1,""),ROW()-18)),"")</f>
        <v/>
      </c>
      <c r="B53" s="114" t="str" cm="1">
        <f t="array" ref="B53">IFERROR(INDEX('03.Muestra'!$C$8:$C$42,SMALL(IF("Documento no web"='03.Muestra'!$D$8:$D$42,ROW('03.Muestra'!$C$8:$C$42)-MIN(ROW('03.Muestra'!$D$8:$D$42))+1,""),ROW()-18)),"")</f>
        <v/>
      </c>
      <c r="C53" s="114" t="str" cm="1">
        <f t="array" ref="C53">IFERROR(INDEX('03.Muestra'!$F$8:$F$42,SMALL(IF("Documento no web"='03.Muestra'!$D$8:$D$42,ROW('03.Muestra'!$F$8:$F$42)-MIN(ROW('03.Muestra'!$D$8:$D$42))+1,""),ROW()-18)),"")</f>
        <v/>
      </c>
      <c r="D53" s="130" t="str">
        <f t="shared" si="1"/>
        <v/>
      </c>
      <c r="E53" s="107" t="str">
        <f t="shared" si="0"/>
        <v/>
      </c>
      <c r="I53" s="19"/>
      <c r="J53" s="19"/>
      <c r="K53" s="19"/>
      <c r="L53" s="19"/>
      <c r="Q53" s="19"/>
      <c r="R53" s="19"/>
      <c r="T53" s="19"/>
      <c r="U53" s="19"/>
      <c r="V53" s="19"/>
      <c r="W53" s="19"/>
      <c r="X53" s="19"/>
      <c r="Y53" s="19"/>
    </row>
    <row r="54" spans="1:25" ht="12" customHeight="1">
      <c r="B54" s="19"/>
      <c r="C54" s="19"/>
      <c r="D54" s="107"/>
      <c r="E54" s="107"/>
      <c r="F54" s="19"/>
      <c r="G54" s="19"/>
      <c r="H54" s="19"/>
      <c r="I54" s="19"/>
      <c r="J54" s="19"/>
      <c r="K54" s="19"/>
      <c r="L54" s="19"/>
      <c r="Q54" s="19"/>
      <c r="R54" s="19"/>
      <c r="T54" s="19"/>
      <c r="U54" s="19"/>
      <c r="V54" s="19"/>
      <c r="W54" s="19"/>
      <c r="X54" s="19"/>
      <c r="Y54" s="19"/>
    </row>
    <row r="55" spans="1:25" ht="12" customHeight="1">
      <c r="B55" s="19"/>
      <c r="C55" s="19"/>
      <c r="D55" s="107"/>
      <c r="E55" s="112"/>
      <c r="F55" s="19"/>
      <c r="G55" s="19"/>
      <c r="H55" s="19"/>
      <c r="I55" s="19"/>
      <c r="J55" s="19"/>
      <c r="K55" s="19"/>
      <c r="L55" s="19"/>
      <c r="M55" s="19"/>
      <c r="N55" s="19"/>
      <c r="O55" s="19"/>
      <c r="P55" s="19"/>
      <c r="Q55" s="19"/>
      <c r="R55" s="19"/>
      <c r="T55" s="19"/>
      <c r="U55" s="19"/>
      <c r="V55" s="19"/>
      <c r="W55" s="19"/>
      <c r="X55" s="19"/>
      <c r="Y55" s="19"/>
    </row>
    <row r="56" spans="1:25" ht="32.25" customHeight="1">
      <c r="A56" s="218" t="s">
        <v>268</v>
      </c>
      <c r="B56" s="24" t="s">
        <v>90</v>
      </c>
      <c r="C56" s="25" t="s">
        <v>423</v>
      </c>
      <c r="D56" s="26" t="s">
        <v>32</v>
      </c>
      <c r="E56" s="123"/>
      <c r="K56" s="19"/>
      <c r="L56" s="19"/>
      <c r="M56" s="19"/>
      <c r="N56" s="19"/>
      <c r="O56" s="19"/>
      <c r="P56" s="19"/>
      <c r="Q56" s="19"/>
      <c r="R56" s="19"/>
      <c r="T56" s="19"/>
      <c r="U56" s="19"/>
      <c r="V56" s="19"/>
      <c r="W56" s="19"/>
      <c r="X56" s="19"/>
      <c r="Y56" s="19"/>
    </row>
    <row r="57" spans="1:25" ht="12" customHeight="1">
      <c r="A57" s="219" t="n" cm="1">
        <f t="array" ref="A57">IFERROR(INDEX('03.Muestra'!$B$8:$B$42,SMALL(IF("Documento no web"='03.Muestra'!$D$8:$D$42,ROW('03.Muestra'!$B$8:$B$42)-MIN(ROW('03.Muestra'!$D$8:$D$42))+1,""),ROW()-56)),"")</f>
        <v>1.0</v>
      </c>
      <c r="B57" s="114" t="str" cm="1">
        <f t="array" ref="B57">IFERROR(INDEX('03.Muestra'!$C$8:$C$42,SMALL(IF("Documento no web"='03.Muestra'!$D$8:$D$42,ROW('03.Muestra'!$C$8:$C$42)-MIN(ROW('03.Muestra'!$D$8:$D$42))+1,""),ROW()-56)),"")</f>
        <v>Home - PortCastelló</v>
      </c>
      <c r="C57" s="114" t="str" cm="1">
        <f t="array" ref="C57">IFERROR(INDEX('03.Muestra'!$F$8:$F$42,SMALL(IF("Documento no web"='03.Muestra'!$D$8:$D$42,ROW('03.Muestra'!$F$8:$F$42)-MIN(ROW('03.Muestra'!$D$8:$D$42))+1,""),ROW()-56)),"")</f>
        <v>https://www.portcastello.com/</v>
      </c>
      <c r="D57" s="130" t="s">
        <v>33</v>
      </c>
      <c r="E57" s="107" t="str">
        <f t="shared" ref="E57:E91" si="2">IF(D57&lt;&gt;"",IF(AND(B57&lt;&gt;"",C57&lt;&gt;""),"","ERR"),"")</f>
        <v/>
      </c>
      <c r="F57" s="115" t="s">
        <v>33</v>
      </c>
      <c r="G57" s="116" t="s">
        <v>37</v>
      </c>
      <c r="H57" s="117" t="s">
        <v>35</v>
      </c>
      <c r="I57" s="118" t="s">
        <v>28</v>
      </c>
      <c r="J57" s="119" t="s">
        <v>26</v>
      </c>
      <c r="K57" s="226" t="s">
        <v>474</v>
      </c>
      <c r="L57" s="19"/>
      <c r="M57" s="19"/>
      <c r="N57" s="19"/>
      <c r="O57" s="19"/>
      <c r="P57" s="19"/>
      <c r="Q57" s="19"/>
      <c r="R57" s="19"/>
      <c r="T57" s="19"/>
      <c r="U57" s="19"/>
      <c r="V57" s="19"/>
      <c r="W57" s="19"/>
      <c r="X57" s="19"/>
      <c r="Y57" s="19"/>
    </row>
    <row r="58" spans="1:25" ht="12" customHeight="1">
      <c r="A58" s="219" t="n" cm="1">
        <f t="array" ref="A58">IFERROR(INDEX('03.Muestra'!$B$8:$B$42,SMALL(IF("Documento no web"='03.Muestra'!$D$8:$D$42,ROW('03.Muestra'!$B$8:$B$42)-MIN(ROW('03.Muestra'!$D$8:$D$42))+1,""),ROW()-56)),"")</f>
        <v>1.0</v>
      </c>
      <c r="B58" s="114" t="str" cm="1">
        <f t="array" ref="B58">IFERROR(INDEX('03.Muestra'!$C$8:$C$42,SMALL(IF("Documento no web"='03.Muestra'!$D$8:$D$42,ROW('03.Muestra'!$C$8:$C$42)-MIN(ROW('03.Muestra'!$D$8:$D$42))+1,""),ROW()-56)),"")</f>
        <v>Home - PortCastelló</v>
      </c>
      <c r="C58" s="114" t="str" cm="1">
        <f t="array" ref="C58">IFERROR(INDEX('03.Muestra'!$F$8:$F$42,SMALL(IF("Documento no web"='03.Muestra'!$D$8:$D$42,ROW('03.Muestra'!$F$8:$F$42)-MIN(ROW('03.Muestra'!$D$8:$D$42))+1,""),ROW()-56)),"")</f>
        <v>https://www.portcastello.com/</v>
      </c>
      <c r="D58" s="130" t="s">
        <v>33</v>
      </c>
      <c r="E58" s="107" t="str">
        <f t="shared" si="2"/>
        <v/>
      </c>
      <c r="F58" s="120" t="n">
        <f ca="1">COUNTIF($D57:INDIRECT("$D" &amp;  SUM(ROW()-1,'03.Muestra'!$D$45)-1),F57)</f>
        <v>2.0</v>
      </c>
      <c r="G58" s="120" t="n">
        <f ca="1">COUNTIF($D57:INDIRECT("$D" &amp;  SUM(ROW()-1,'03.Muestra'!$D$45)-1),G57)</f>
        <v>0.0</v>
      </c>
      <c r="H58" s="120" t="n">
        <f ca="1">COUNTIF($D57:INDIRECT("$D" &amp;  SUM(ROW()-1,'03.Muestra'!$D$45)-1),H57)</f>
        <v>0.0</v>
      </c>
      <c r="I58" s="120" t="n">
        <f ca="1">COUNTIF($D57:INDIRECT("$D" &amp;  SUM(ROW()-1,'03.Muestra'!$D$45)-1),I57)</f>
        <v>0.0</v>
      </c>
      <c r="J58" s="120" t="n">
        <f ca="1">COUNTIF($D57:INDIRECT("$D" &amp;  SUM(ROW()-1,'03.Muestra'!$D$45)-1),J57)</f>
        <v>0.0</v>
      </c>
      <c r="K58" s="227" t="n">
        <f ca="1">IF(COUNTIF('03.Muestra'!$D$8:$D$42,"Documento no web")=0,0,COUNTBLANK($D57:INDIRECT("$D" &amp;  SUM(ROW()-1,COUNTIF('03.Muestra'!$D$8:$D$42,"Documento no web"))-1)))</f>
        <v>0.0</v>
      </c>
      <c r="L58" s="19"/>
      <c r="M58" s="19"/>
      <c r="N58" s="19"/>
      <c r="O58" s="19"/>
      <c r="P58" s="19"/>
      <c r="Q58" s="19"/>
      <c r="R58" s="19"/>
      <c r="T58" s="19"/>
      <c r="U58" s="19"/>
      <c r="V58" s="19"/>
      <c r="W58" s="19"/>
      <c r="X58" s="19"/>
      <c r="Y58" s="19"/>
    </row>
    <row r="59" spans="1:25" ht="12" customHeight="1">
      <c r="A59" s="219" t="str" cm="1">
        <f t="array" ref="A59">IFERROR(INDEX('03.Muestra'!$B$8:$B$42,SMALL(IF("Documento no web"='03.Muestra'!$D$8:$D$42,ROW('03.Muestra'!$B$8:$B$42)-MIN(ROW('03.Muestra'!$D$8:$D$42))+1,""),ROW()-56)),"")</f>
        <v/>
      </c>
      <c r="B59" s="114" t="str" cm="1">
        <f t="array" ref="B59">IFERROR(INDEX('03.Muestra'!$C$8:$C$42,SMALL(IF("Documento no web"='03.Muestra'!$D$8:$D$42,ROW('03.Muestra'!$C$8:$C$42)-MIN(ROW('03.Muestra'!$D$8:$D$42))+1,""),ROW()-56)),"")</f>
        <v/>
      </c>
      <c r="C59" s="114" t="str" cm="1">
        <f t="array" ref="C59">IFERROR(INDEX('03.Muestra'!$F$8:$F$42,SMALL(IF("Documento no web"='03.Muestra'!$D$8:$D$42,ROW('03.Muestra'!$F$8:$F$42)-MIN(ROW('03.Muestra'!$D$8:$D$42))+1,""),ROW()-56)),"")</f>
        <v/>
      </c>
      <c r="D59" s="130" t="str">
        <f t="shared" si="3" ref="D59:D91">IF(AND(B59&lt;&gt;"",C59&lt;&gt;""),"N/T","")</f>
        <v/>
      </c>
      <c r="E59" s="107" t="str">
        <f t="shared" si="2"/>
        <v/>
      </c>
      <c r="G59" s="19"/>
      <c r="H59" s="19"/>
      <c r="I59" s="19"/>
      <c r="J59" s="19"/>
      <c r="K59" s="233"/>
      <c r="L59" s="19"/>
      <c r="M59" s="19"/>
      <c r="N59" s="19"/>
      <c r="O59" s="19"/>
      <c r="P59" s="19"/>
      <c r="Q59" s="19"/>
      <c r="R59" s="19"/>
      <c r="S59" s="19"/>
      <c r="T59" s="19"/>
      <c r="U59" s="19"/>
      <c r="V59" s="19"/>
      <c r="W59" s="19"/>
      <c r="X59" s="19"/>
      <c r="Y59" s="19"/>
    </row>
    <row r="60" spans="1:25" ht="12" customHeight="1">
      <c r="A60" s="219" t="str" cm="1">
        <f t="array" ref="A60">IFERROR(INDEX('03.Muestra'!$B$8:$B$42,SMALL(IF("Documento no web"='03.Muestra'!$D$8:$D$42,ROW('03.Muestra'!$B$8:$B$42)-MIN(ROW('03.Muestra'!$D$8:$D$42))+1,""),ROW()-56)),"")</f>
        <v/>
      </c>
      <c r="B60" s="114" t="str" cm="1">
        <f t="array" ref="B60">IFERROR(INDEX('03.Muestra'!$C$8:$C$42,SMALL(IF("Documento no web"='03.Muestra'!$D$8:$D$42,ROW('03.Muestra'!$C$8:$C$42)-MIN(ROW('03.Muestra'!$D$8:$D$42))+1,""),ROW()-56)),"")</f>
        <v/>
      </c>
      <c r="C60" s="114" t="str" cm="1">
        <f t="array" ref="C60">IFERROR(INDEX('03.Muestra'!$F$8:$F$42,SMALL(IF("Documento no web"='03.Muestra'!$D$8:$D$42,ROW('03.Muestra'!$F$8:$F$42)-MIN(ROW('03.Muestra'!$D$8:$D$42))+1,""),ROW()-56)),"")</f>
        <v/>
      </c>
      <c r="D60" s="130" t="str">
        <f t="shared" si="3"/>
        <v/>
      </c>
      <c r="E60" s="107" t="str">
        <f t="shared" si="2"/>
        <v/>
      </c>
      <c r="G60" s="19"/>
      <c r="H60" s="19"/>
      <c r="I60" s="19"/>
      <c r="J60" s="19"/>
      <c r="K60" s="233"/>
      <c r="L60" s="19"/>
      <c r="M60" s="19"/>
      <c r="N60" s="19"/>
      <c r="O60" s="19"/>
      <c r="P60" s="19"/>
      <c r="Q60" s="19"/>
      <c r="R60" s="19"/>
      <c r="S60" s="19"/>
      <c r="T60" s="19"/>
      <c r="U60" s="19"/>
      <c r="V60" s="19"/>
      <c r="W60" s="19"/>
      <c r="X60" s="19"/>
      <c r="Y60" s="19"/>
    </row>
    <row r="61" spans="1:25" ht="12" customHeight="1">
      <c r="A61" s="219" t="str" cm="1">
        <f t="array" ref="A61">IFERROR(INDEX('03.Muestra'!$B$8:$B$42,SMALL(IF("Documento no web"='03.Muestra'!$D$8:$D$42,ROW('03.Muestra'!$B$8:$B$42)-MIN(ROW('03.Muestra'!$D$8:$D$42))+1,""),ROW()-56)),"")</f>
        <v/>
      </c>
      <c r="B61" s="114" t="str" cm="1">
        <f t="array" ref="B61">IFERROR(INDEX('03.Muestra'!$C$8:$C$42,SMALL(IF("Documento no web"='03.Muestra'!$D$8:$D$42,ROW('03.Muestra'!$C$8:$C$42)-MIN(ROW('03.Muestra'!$D$8:$D$42))+1,""),ROW()-56)),"")</f>
        <v/>
      </c>
      <c r="C61" s="114" t="str" cm="1">
        <f t="array" ref="C61">IFERROR(INDEX('03.Muestra'!$F$8:$F$42,SMALL(IF("Documento no web"='03.Muestra'!$D$8:$D$42,ROW('03.Muestra'!$F$8:$F$42)-MIN(ROW('03.Muestra'!$D$8:$D$42))+1,""),ROW()-56)),"")</f>
        <v/>
      </c>
      <c r="D61" s="130" t="str">
        <f t="shared" si="3"/>
        <v/>
      </c>
      <c r="E61" s="107" t="str">
        <f t="shared" si="2"/>
        <v/>
      </c>
      <c r="G61" s="19"/>
      <c r="H61" s="19"/>
      <c r="I61" s="19"/>
      <c r="J61" s="19"/>
      <c r="K61" s="233"/>
      <c r="L61" s="19"/>
      <c r="M61" s="19"/>
      <c r="N61" s="19"/>
      <c r="O61" s="19"/>
      <c r="P61" s="19"/>
      <c r="Q61" s="19"/>
      <c r="R61" s="19"/>
      <c r="S61" s="19"/>
      <c r="T61" s="19"/>
      <c r="U61" s="19"/>
      <c r="V61" s="19"/>
      <c r="W61" s="19"/>
      <c r="X61" s="19"/>
      <c r="Y61" s="19"/>
    </row>
    <row r="62" spans="1:25" ht="12" customHeight="1">
      <c r="A62" s="219" t="str" cm="1">
        <f t="array" ref="A62">IFERROR(INDEX('03.Muestra'!$B$8:$B$42,SMALL(IF("Documento no web"='03.Muestra'!$D$8:$D$42,ROW('03.Muestra'!$B$8:$B$42)-MIN(ROW('03.Muestra'!$D$8:$D$42))+1,""),ROW()-56)),"")</f>
        <v/>
      </c>
      <c r="B62" s="114" t="str" cm="1">
        <f t="array" ref="B62">IFERROR(INDEX('03.Muestra'!$C$8:$C$42,SMALL(IF("Documento no web"='03.Muestra'!$D$8:$D$42,ROW('03.Muestra'!$C$8:$C$42)-MIN(ROW('03.Muestra'!$D$8:$D$42))+1,""),ROW()-56)),"")</f>
        <v/>
      </c>
      <c r="C62" s="114" t="str" cm="1">
        <f t="array" ref="C62">IFERROR(INDEX('03.Muestra'!$F$8:$F$42,SMALL(IF("Documento no web"='03.Muestra'!$D$8:$D$42,ROW('03.Muestra'!$F$8:$F$42)-MIN(ROW('03.Muestra'!$D$8:$D$42))+1,""),ROW()-56)),"")</f>
        <v/>
      </c>
      <c r="D62" s="130" t="str">
        <f t="shared" si="3"/>
        <v/>
      </c>
      <c r="E62" s="107" t="str">
        <f t="shared" si="2"/>
        <v/>
      </c>
      <c r="G62" s="19"/>
      <c r="H62" s="19"/>
      <c r="I62" s="19"/>
      <c r="J62" s="19"/>
      <c r="K62" s="233"/>
      <c r="L62" s="19"/>
      <c r="M62" s="19"/>
      <c r="N62" s="19"/>
      <c r="O62" s="19"/>
      <c r="P62" s="19"/>
      <c r="Q62" s="19"/>
      <c r="R62" s="19"/>
      <c r="S62" s="19"/>
      <c r="T62" s="19"/>
      <c r="U62" s="19"/>
      <c r="V62" s="19"/>
      <c r="W62" s="19"/>
      <c r="X62" s="19"/>
      <c r="Y62" s="19"/>
    </row>
    <row r="63" spans="1:25" ht="12" customHeight="1">
      <c r="A63" s="219" t="str" cm="1">
        <f t="array" ref="A63">IFERROR(INDEX('03.Muestra'!$B$8:$B$42,SMALL(IF("Documento no web"='03.Muestra'!$D$8:$D$42,ROW('03.Muestra'!$B$8:$B$42)-MIN(ROW('03.Muestra'!$D$8:$D$42))+1,""),ROW()-56)),"")</f>
        <v/>
      </c>
      <c r="B63" s="114" t="str" cm="1">
        <f t="array" ref="B63">IFERROR(INDEX('03.Muestra'!$C$8:$C$42,SMALL(IF("Documento no web"='03.Muestra'!$D$8:$D$42,ROW('03.Muestra'!$C$8:$C$42)-MIN(ROW('03.Muestra'!$D$8:$D$42))+1,""),ROW()-56)),"")</f>
        <v/>
      </c>
      <c r="C63" s="114" t="str" cm="1">
        <f t="array" ref="C63">IFERROR(INDEX('03.Muestra'!$F$8:$F$42,SMALL(IF("Documento no web"='03.Muestra'!$D$8:$D$42,ROW('03.Muestra'!$F$8:$F$42)-MIN(ROW('03.Muestra'!$D$8:$D$42))+1,""),ROW()-56)),"")</f>
        <v/>
      </c>
      <c r="D63" s="130" t="str">
        <f t="shared" si="3"/>
        <v/>
      </c>
      <c r="E63" s="107" t="str">
        <f t="shared" si="2"/>
        <v/>
      </c>
      <c r="F63" s="19"/>
      <c r="G63" s="19"/>
      <c r="H63" s="19"/>
      <c r="I63" s="19"/>
      <c r="J63" s="19"/>
      <c r="K63" s="233"/>
      <c r="L63" s="19"/>
      <c r="M63" s="19"/>
      <c r="N63" s="19"/>
      <c r="O63" s="19"/>
      <c r="P63" s="19"/>
      <c r="Q63" s="19"/>
      <c r="R63" s="19"/>
      <c r="S63" s="19"/>
      <c r="T63" s="19"/>
      <c r="U63" s="19"/>
      <c r="V63" s="19"/>
      <c r="W63" s="19"/>
      <c r="X63" s="19"/>
      <c r="Y63" s="19"/>
    </row>
    <row r="64" spans="1:25" ht="12" customHeight="1">
      <c r="A64" s="219" t="str" cm="1">
        <f t="array" ref="A64">IFERROR(INDEX('03.Muestra'!$B$8:$B$42,SMALL(IF("Documento no web"='03.Muestra'!$D$8:$D$42,ROW('03.Muestra'!$B$8:$B$42)-MIN(ROW('03.Muestra'!$D$8:$D$42))+1,""),ROW()-56)),"")</f>
        <v/>
      </c>
      <c r="B64" s="114" t="str" cm="1">
        <f t="array" ref="B64">IFERROR(INDEX('03.Muestra'!$C$8:$C$42,SMALL(IF("Documento no web"='03.Muestra'!$D$8:$D$42,ROW('03.Muestra'!$C$8:$C$42)-MIN(ROW('03.Muestra'!$D$8:$D$42))+1,""),ROW()-56)),"")</f>
        <v/>
      </c>
      <c r="C64" s="114" t="str" cm="1">
        <f t="array" ref="C64">IFERROR(INDEX('03.Muestra'!$F$8:$F$42,SMALL(IF("Documento no web"='03.Muestra'!$D$8:$D$42,ROW('03.Muestra'!$F$8:$F$42)-MIN(ROW('03.Muestra'!$D$8:$D$42))+1,""),ROW()-56)),"")</f>
        <v/>
      </c>
      <c r="D64" s="130" t="str">
        <f t="shared" si="3"/>
        <v/>
      </c>
      <c r="E64" s="107" t="str">
        <f t="shared" si="2"/>
        <v/>
      </c>
      <c r="F64" s="19"/>
      <c r="G64" s="19"/>
      <c r="H64" s="19"/>
      <c r="I64" s="19"/>
      <c r="J64" s="19"/>
      <c r="K64" s="233"/>
      <c r="L64" s="19"/>
      <c r="M64" s="19"/>
      <c r="N64" s="19"/>
      <c r="O64" s="19"/>
      <c r="P64" s="19"/>
      <c r="Q64" s="19"/>
      <c r="R64" s="19"/>
      <c r="S64" s="19"/>
      <c r="T64" s="19"/>
      <c r="U64" s="19"/>
      <c r="V64" s="19"/>
      <c r="W64" s="19"/>
      <c r="X64" s="19"/>
      <c r="Y64" s="19"/>
    </row>
    <row r="65" spans="1:25" ht="12" customHeight="1">
      <c r="A65" s="219" t="str" cm="1">
        <f t="array" ref="A65">IFERROR(INDEX('03.Muestra'!$B$8:$B$42,SMALL(IF("Documento no web"='03.Muestra'!$D$8:$D$42,ROW('03.Muestra'!$B$8:$B$42)-MIN(ROW('03.Muestra'!$D$8:$D$42))+1,""),ROW()-56)),"")</f>
        <v/>
      </c>
      <c r="B65" s="114" t="str" cm="1">
        <f t="array" ref="B65">IFERROR(INDEX('03.Muestra'!$C$8:$C$42,SMALL(IF("Documento no web"='03.Muestra'!$D$8:$D$42,ROW('03.Muestra'!$C$8:$C$42)-MIN(ROW('03.Muestra'!$D$8:$D$42))+1,""),ROW()-56)),"")</f>
        <v/>
      </c>
      <c r="C65" s="114" t="str" cm="1">
        <f t="array" ref="C65">IFERROR(INDEX('03.Muestra'!$F$8:$F$42,SMALL(IF("Documento no web"='03.Muestra'!$D$8:$D$42,ROW('03.Muestra'!$F$8:$F$42)-MIN(ROW('03.Muestra'!$D$8:$D$42))+1,""),ROW()-56)),"")</f>
        <v/>
      </c>
      <c r="D65" s="130" t="str">
        <f t="shared" si="3"/>
        <v/>
      </c>
      <c r="E65" s="107" t="str">
        <f t="shared" si="2"/>
        <v/>
      </c>
      <c r="F65" s="19"/>
      <c r="G65" s="19"/>
      <c r="H65" s="19"/>
      <c r="I65" s="19"/>
      <c r="J65" s="19"/>
      <c r="K65" s="233"/>
      <c r="L65" s="19"/>
      <c r="M65" s="19"/>
      <c r="N65" s="19"/>
      <c r="O65" s="19"/>
      <c r="P65" s="19"/>
      <c r="Q65" s="19"/>
      <c r="R65" s="19"/>
      <c r="S65" s="19"/>
      <c r="T65" s="19"/>
      <c r="U65" s="19"/>
      <c r="V65" s="19"/>
      <c r="W65" s="19"/>
      <c r="X65" s="19"/>
      <c r="Y65" s="19"/>
    </row>
    <row r="66" spans="1:25" ht="12" customHeight="1">
      <c r="A66" s="219" t="str" cm="1">
        <f t="array" ref="A66">IFERROR(INDEX('03.Muestra'!$B$8:$B$42,SMALL(IF("Documento no web"='03.Muestra'!$D$8:$D$42,ROW('03.Muestra'!$B$8:$B$42)-MIN(ROW('03.Muestra'!$D$8:$D$42))+1,""),ROW()-56)),"")</f>
        <v/>
      </c>
      <c r="B66" s="114" t="str" cm="1">
        <f t="array" ref="B66">IFERROR(INDEX('03.Muestra'!$C$8:$C$42,SMALL(IF("Documento no web"='03.Muestra'!$D$8:$D$42,ROW('03.Muestra'!$C$8:$C$42)-MIN(ROW('03.Muestra'!$D$8:$D$42))+1,""),ROW()-56)),"")</f>
        <v/>
      </c>
      <c r="C66" s="114" t="str" cm="1">
        <f t="array" ref="C66">IFERROR(INDEX('03.Muestra'!$F$8:$F$42,SMALL(IF("Documento no web"='03.Muestra'!$D$8:$D$42,ROW('03.Muestra'!$F$8:$F$42)-MIN(ROW('03.Muestra'!$D$8:$D$42))+1,""),ROW()-56)),"")</f>
        <v/>
      </c>
      <c r="D66" s="130" t="str">
        <f t="shared" si="3"/>
        <v/>
      </c>
      <c r="E66" s="107" t="str">
        <f t="shared" si="2"/>
        <v/>
      </c>
      <c r="F66" s="19"/>
      <c r="G66" s="19"/>
      <c r="H66" s="19"/>
      <c r="I66" s="19"/>
      <c r="J66" s="19"/>
      <c r="K66" s="233"/>
      <c r="L66" s="19"/>
      <c r="M66" s="19"/>
      <c r="N66" s="19"/>
      <c r="O66" s="19"/>
      <c r="P66" s="19"/>
      <c r="Q66" s="19"/>
      <c r="R66" s="19"/>
      <c r="S66" s="19"/>
      <c r="T66" s="19"/>
      <c r="U66" s="19"/>
      <c r="V66" s="19"/>
      <c r="W66" s="19"/>
      <c r="X66" s="19"/>
      <c r="Y66" s="19"/>
    </row>
    <row r="67" spans="1:25" ht="12" customHeight="1">
      <c r="A67" s="219" t="str" cm="1">
        <f t="array" ref="A67">IFERROR(INDEX('03.Muestra'!$B$8:$B$42,SMALL(IF("Documento no web"='03.Muestra'!$D$8:$D$42,ROW('03.Muestra'!$B$8:$B$42)-MIN(ROW('03.Muestra'!$D$8:$D$42))+1,""),ROW()-56)),"")</f>
        <v/>
      </c>
      <c r="B67" s="114" t="str" cm="1">
        <f t="array" ref="B67">IFERROR(INDEX('03.Muestra'!$C$8:$C$42,SMALL(IF("Documento no web"='03.Muestra'!$D$8:$D$42,ROW('03.Muestra'!$C$8:$C$42)-MIN(ROW('03.Muestra'!$D$8:$D$42))+1,""),ROW()-56)),"")</f>
        <v/>
      </c>
      <c r="C67" s="114" t="str" cm="1">
        <f t="array" ref="C67">IFERROR(INDEX('03.Muestra'!$F$8:$F$42,SMALL(IF("Documento no web"='03.Muestra'!$D$8:$D$42,ROW('03.Muestra'!$F$8:$F$42)-MIN(ROW('03.Muestra'!$D$8:$D$42))+1,""),ROW()-56)),"")</f>
        <v/>
      </c>
      <c r="D67" s="130" t="str">
        <f t="shared" si="3"/>
        <v/>
      </c>
      <c r="E67" s="107" t="str">
        <f t="shared" si="2"/>
        <v/>
      </c>
      <c r="F67" s="19"/>
      <c r="G67" s="19"/>
      <c r="H67" s="19"/>
      <c r="I67" s="19"/>
      <c r="J67" s="19"/>
      <c r="K67" s="233"/>
      <c r="L67" s="19"/>
      <c r="M67" s="19"/>
      <c r="N67" s="19"/>
      <c r="O67" s="19"/>
      <c r="P67" s="19"/>
      <c r="Q67" s="19"/>
      <c r="R67" s="19"/>
      <c r="S67" s="19"/>
      <c r="T67" s="19"/>
      <c r="U67" s="19"/>
      <c r="V67" s="19"/>
      <c r="W67" s="19"/>
      <c r="X67" s="19"/>
      <c r="Y67" s="19"/>
    </row>
    <row r="68" spans="1:25" ht="12" customHeight="1">
      <c r="A68" s="219" t="str" cm="1">
        <f t="array" ref="A68">IFERROR(INDEX('03.Muestra'!$B$8:$B$42,SMALL(IF("Documento no web"='03.Muestra'!$D$8:$D$42,ROW('03.Muestra'!$B$8:$B$42)-MIN(ROW('03.Muestra'!$D$8:$D$42))+1,""),ROW()-56)),"")</f>
        <v/>
      </c>
      <c r="B68" s="114" t="str" cm="1">
        <f t="array" ref="B68">IFERROR(INDEX('03.Muestra'!$C$8:$C$42,SMALL(IF("Documento no web"='03.Muestra'!$D$8:$D$42,ROW('03.Muestra'!$C$8:$C$42)-MIN(ROW('03.Muestra'!$D$8:$D$42))+1,""),ROW()-56)),"")</f>
        <v/>
      </c>
      <c r="C68" s="114" t="str" cm="1">
        <f t="array" ref="C68">IFERROR(INDEX('03.Muestra'!$F$8:$F$42,SMALL(IF("Documento no web"='03.Muestra'!$D$8:$D$42,ROW('03.Muestra'!$F$8:$F$42)-MIN(ROW('03.Muestra'!$D$8:$D$42))+1,""),ROW()-56)),"")</f>
        <v/>
      </c>
      <c r="D68" s="130" t="str">
        <f t="shared" si="3"/>
        <v/>
      </c>
      <c r="E68" s="107" t="str">
        <f t="shared" si="2"/>
        <v/>
      </c>
      <c r="F68" s="19"/>
      <c r="G68" s="19"/>
      <c r="H68" s="19"/>
      <c r="I68" s="19"/>
      <c r="J68" s="19"/>
      <c r="K68" s="233"/>
      <c r="L68" s="19"/>
      <c r="M68" s="19"/>
      <c r="N68" s="19"/>
      <c r="O68" s="19"/>
      <c r="P68" s="19"/>
      <c r="Q68" s="19"/>
      <c r="R68" s="19"/>
      <c r="S68" s="19"/>
      <c r="T68" s="19"/>
      <c r="U68" s="19"/>
      <c r="V68" s="19"/>
      <c r="W68" s="19"/>
      <c r="X68" s="19"/>
      <c r="Y68" s="19"/>
    </row>
    <row r="69" spans="1:25" ht="12" customHeight="1">
      <c r="A69" s="219" t="str" cm="1">
        <f t="array" ref="A69">IFERROR(INDEX('03.Muestra'!$B$8:$B$42,SMALL(IF("Documento no web"='03.Muestra'!$D$8:$D$42,ROW('03.Muestra'!$B$8:$B$42)-MIN(ROW('03.Muestra'!$D$8:$D$42))+1,""),ROW()-56)),"")</f>
        <v/>
      </c>
      <c r="B69" s="114" t="str" cm="1">
        <f t="array" ref="B69">IFERROR(INDEX('03.Muestra'!$C$8:$C$42,SMALL(IF("Documento no web"='03.Muestra'!$D$8:$D$42,ROW('03.Muestra'!$C$8:$C$42)-MIN(ROW('03.Muestra'!$D$8:$D$42))+1,""),ROW()-56)),"")</f>
        <v/>
      </c>
      <c r="C69" s="114" t="str" cm="1">
        <f t="array" ref="C69">IFERROR(INDEX('03.Muestra'!$F$8:$F$42,SMALL(IF("Documento no web"='03.Muestra'!$D$8:$D$42,ROW('03.Muestra'!$F$8:$F$42)-MIN(ROW('03.Muestra'!$D$8:$D$42))+1,""),ROW()-56)),"")</f>
        <v/>
      </c>
      <c r="D69" s="130" t="str">
        <f t="shared" si="3"/>
        <v/>
      </c>
      <c r="E69" s="107" t="str">
        <f t="shared" si="2"/>
        <v/>
      </c>
      <c r="F69" s="19"/>
      <c r="G69" s="19"/>
      <c r="H69" s="19"/>
      <c r="I69" s="19"/>
      <c r="J69" s="19"/>
      <c r="K69" s="233"/>
      <c r="L69" s="19"/>
      <c r="M69" s="19"/>
      <c r="N69" s="19"/>
      <c r="O69" s="19"/>
      <c r="P69" s="19"/>
      <c r="Q69" s="19"/>
      <c r="R69" s="19"/>
      <c r="S69" s="19"/>
      <c r="T69" s="19"/>
      <c r="U69" s="19"/>
      <c r="V69" s="19"/>
      <c r="W69" s="19"/>
      <c r="X69" s="19"/>
      <c r="Y69" s="19"/>
    </row>
    <row r="70" spans="1:25" ht="12" customHeight="1">
      <c r="A70" s="219" t="str" cm="1">
        <f t="array" ref="A70">IFERROR(INDEX('03.Muestra'!$B$8:$B$42,SMALL(IF("Documento no web"='03.Muestra'!$D$8:$D$42,ROW('03.Muestra'!$B$8:$B$42)-MIN(ROW('03.Muestra'!$D$8:$D$42))+1,""),ROW()-56)),"")</f>
        <v/>
      </c>
      <c r="B70" s="114" t="str" cm="1">
        <f t="array" ref="B70">IFERROR(INDEX('03.Muestra'!$C$8:$C$42,SMALL(IF("Documento no web"='03.Muestra'!$D$8:$D$42,ROW('03.Muestra'!$C$8:$C$42)-MIN(ROW('03.Muestra'!$D$8:$D$42))+1,""),ROW()-56)),"")</f>
        <v/>
      </c>
      <c r="C70" s="114" t="str" cm="1">
        <f t="array" ref="C70">IFERROR(INDEX('03.Muestra'!$F$8:$F$42,SMALL(IF("Documento no web"='03.Muestra'!$D$8:$D$42,ROW('03.Muestra'!$F$8:$F$42)-MIN(ROW('03.Muestra'!$D$8:$D$42))+1,""),ROW()-56)),"")</f>
        <v/>
      </c>
      <c r="D70" s="130" t="str">
        <f t="shared" si="3"/>
        <v/>
      </c>
      <c r="E70" s="107" t="str">
        <f t="shared" si="2"/>
        <v/>
      </c>
      <c r="F70" s="19"/>
      <c r="G70" s="19"/>
      <c r="H70" s="19"/>
      <c r="I70" s="19"/>
      <c r="J70" s="19"/>
      <c r="K70" s="233"/>
      <c r="L70" s="19"/>
      <c r="M70" s="19"/>
      <c r="N70" s="19"/>
      <c r="O70" s="19"/>
      <c r="P70" s="19"/>
      <c r="Q70" s="19"/>
      <c r="R70" s="19"/>
      <c r="S70" s="19"/>
      <c r="T70" s="19"/>
      <c r="U70" s="19"/>
      <c r="V70" s="19"/>
      <c r="W70" s="19"/>
      <c r="X70" s="19"/>
      <c r="Y70" s="19"/>
    </row>
    <row r="71" spans="1:25" ht="12" customHeight="1">
      <c r="A71" s="219" t="str" cm="1">
        <f t="array" ref="A71">IFERROR(INDEX('03.Muestra'!$B$8:$B$42,SMALL(IF("Documento no web"='03.Muestra'!$D$8:$D$42,ROW('03.Muestra'!$B$8:$B$42)-MIN(ROW('03.Muestra'!$D$8:$D$42))+1,""),ROW()-56)),"")</f>
        <v/>
      </c>
      <c r="B71" s="114" t="str" cm="1">
        <f t="array" ref="B71">IFERROR(INDEX('03.Muestra'!$C$8:$C$42,SMALL(IF("Documento no web"='03.Muestra'!$D$8:$D$42,ROW('03.Muestra'!$C$8:$C$42)-MIN(ROW('03.Muestra'!$D$8:$D$42))+1,""),ROW()-56)),"")</f>
        <v/>
      </c>
      <c r="C71" s="114" t="str" cm="1">
        <f t="array" ref="C71">IFERROR(INDEX('03.Muestra'!$F$8:$F$42,SMALL(IF("Documento no web"='03.Muestra'!$D$8:$D$42,ROW('03.Muestra'!$F$8:$F$42)-MIN(ROW('03.Muestra'!$D$8:$D$42))+1,""),ROW()-56)),"")</f>
        <v/>
      </c>
      <c r="D71" s="130" t="str">
        <f t="shared" si="3"/>
        <v/>
      </c>
      <c r="E71" s="107" t="str">
        <f t="shared" si="2"/>
        <v/>
      </c>
      <c r="F71" s="19"/>
      <c r="G71" s="19"/>
      <c r="H71" s="19"/>
      <c r="I71" s="19"/>
      <c r="J71" s="19"/>
      <c r="K71" s="233"/>
      <c r="L71" s="19"/>
      <c r="M71" s="19"/>
      <c r="N71" s="19"/>
      <c r="O71" s="19"/>
      <c r="P71" s="19"/>
      <c r="Q71" s="19"/>
      <c r="R71" s="19"/>
      <c r="S71" s="19"/>
      <c r="T71" s="19"/>
      <c r="U71" s="19"/>
      <c r="V71" s="19"/>
      <c r="W71" s="19"/>
      <c r="X71" s="19"/>
      <c r="Y71" s="19"/>
    </row>
    <row r="72" spans="1:25" ht="12" customHeight="1">
      <c r="A72" s="219" t="str" cm="1">
        <f t="array" ref="A72">IFERROR(INDEX('03.Muestra'!$B$8:$B$42,SMALL(IF("Documento no web"='03.Muestra'!$D$8:$D$42,ROW('03.Muestra'!$B$8:$B$42)-MIN(ROW('03.Muestra'!$D$8:$D$42))+1,""),ROW()-56)),"")</f>
        <v/>
      </c>
      <c r="B72" s="114" t="str" cm="1">
        <f t="array" ref="B72">IFERROR(INDEX('03.Muestra'!$C$8:$C$42,SMALL(IF("Documento no web"='03.Muestra'!$D$8:$D$42,ROW('03.Muestra'!$C$8:$C$42)-MIN(ROW('03.Muestra'!$D$8:$D$42))+1,""),ROW()-56)),"")</f>
        <v/>
      </c>
      <c r="C72" s="114" t="str" cm="1">
        <f t="array" ref="C72">IFERROR(INDEX('03.Muestra'!$F$8:$F$42,SMALL(IF("Documento no web"='03.Muestra'!$D$8:$D$42,ROW('03.Muestra'!$F$8:$F$42)-MIN(ROW('03.Muestra'!$D$8:$D$42))+1,""),ROW()-56)),"")</f>
        <v/>
      </c>
      <c r="D72" s="130" t="str">
        <f t="shared" si="3"/>
        <v/>
      </c>
      <c r="E72" s="107" t="str">
        <f t="shared" si="2"/>
        <v/>
      </c>
      <c r="F72" s="19"/>
      <c r="G72" s="19"/>
      <c r="H72" s="19"/>
      <c r="I72" s="19"/>
      <c r="J72" s="19"/>
      <c r="K72" s="233"/>
      <c r="L72" s="19"/>
      <c r="M72" s="19"/>
      <c r="N72" s="19"/>
      <c r="O72" s="19"/>
      <c r="P72" s="19"/>
      <c r="Q72" s="19"/>
      <c r="R72" s="19"/>
      <c r="S72" s="19"/>
      <c r="T72" s="19"/>
      <c r="U72" s="19"/>
      <c r="V72" s="19"/>
      <c r="W72" s="19"/>
      <c r="X72" s="19"/>
      <c r="Y72" s="19"/>
    </row>
    <row r="73" spans="1:25" ht="12" customHeight="1">
      <c r="A73" s="219" t="str" cm="1">
        <f t="array" ref="A73">IFERROR(INDEX('03.Muestra'!$B$8:$B$42,SMALL(IF("Documento no web"='03.Muestra'!$D$8:$D$42,ROW('03.Muestra'!$B$8:$B$42)-MIN(ROW('03.Muestra'!$D$8:$D$42))+1,""),ROW()-56)),"")</f>
        <v/>
      </c>
      <c r="B73" s="114" t="str" cm="1">
        <f t="array" ref="B73">IFERROR(INDEX('03.Muestra'!$C$8:$C$42,SMALL(IF("Documento no web"='03.Muestra'!$D$8:$D$42,ROW('03.Muestra'!$C$8:$C$42)-MIN(ROW('03.Muestra'!$D$8:$D$42))+1,""),ROW()-56)),"")</f>
        <v/>
      </c>
      <c r="C73" s="114" t="str" cm="1">
        <f t="array" ref="C73">IFERROR(INDEX('03.Muestra'!$F$8:$F$42,SMALL(IF("Documento no web"='03.Muestra'!$D$8:$D$42,ROW('03.Muestra'!$F$8:$F$42)-MIN(ROW('03.Muestra'!$D$8:$D$42))+1,""),ROW()-56)),"")</f>
        <v/>
      </c>
      <c r="D73" s="130" t="str">
        <f t="shared" si="3"/>
        <v/>
      </c>
      <c r="E73" s="107" t="str">
        <f t="shared" si="2"/>
        <v/>
      </c>
      <c r="F73" s="19"/>
      <c r="G73" s="19"/>
      <c r="H73" s="19"/>
      <c r="I73" s="19"/>
      <c r="J73" s="19"/>
      <c r="K73" s="233"/>
      <c r="L73" s="19"/>
      <c r="M73" s="19"/>
      <c r="N73" s="19"/>
      <c r="O73" s="19"/>
      <c r="P73" s="19"/>
      <c r="Q73" s="19"/>
      <c r="R73" s="19"/>
      <c r="S73" s="19"/>
      <c r="T73" s="19"/>
      <c r="U73" s="19"/>
      <c r="V73" s="19"/>
      <c r="W73" s="19"/>
      <c r="X73" s="19"/>
      <c r="Y73" s="19"/>
    </row>
    <row r="74" spans="1:25" ht="12" customHeight="1">
      <c r="A74" s="219" t="str" cm="1">
        <f t="array" ref="A74">IFERROR(INDEX('03.Muestra'!$B$8:$B$42,SMALL(IF("Documento no web"='03.Muestra'!$D$8:$D$42,ROW('03.Muestra'!$B$8:$B$42)-MIN(ROW('03.Muestra'!$D$8:$D$42))+1,""),ROW()-56)),"")</f>
        <v/>
      </c>
      <c r="B74" s="114" t="str" cm="1">
        <f t="array" ref="B74">IFERROR(INDEX('03.Muestra'!$C$8:$C$42,SMALL(IF("Documento no web"='03.Muestra'!$D$8:$D$42,ROW('03.Muestra'!$C$8:$C$42)-MIN(ROW('03.Muestra'!$D$8:$D$42))+1,""),ROW()-56)),"")</f>
        <v/>
      </c>
      <c r="C74" s="114" t="str" cm="1">
        <f t="array" ref="C74">IFERROR(INDEX('03.Muestra'!$F$8:$F$42,SMALL(IF("Documento no web"='03.Muestra'!$D$8:$D$42,ROW('03.Muestra'!$F$8:$F$42)-MIN(ROW('03.Muestra'!$D$8:$D$42))+1,""),ROW()-56)),"")</f>
        <v/>
      </c>
      <c r="D74" s="130" t="str">
        <f t="shared" si="3"/>
        <v/>
      </c>
      <c r="E74" s="107" t="str">
        <f t="shared" si="2"/>
        <v/>
      </c>
      <c r="F74" s="19"/>
      <c r="G74" s="19"/>
      <c r="H74" s="19"/>
      <c r="I74" s="19"/>
      <c r="J74" s="19"/>
      <c r="K74" s="233"/>
      <c r="L74" s="19"/>
      <c r="M74" s="19"/>
      <c r="N74" s="19"/>
      <c r="O74" s="19"/>
      <c r="P74" s="19"/>
      <c r="Q74" s="19"/>
      <c r="R74" s="19"/>
      <c r="S74" s="19"/>
      <c r="T74" s="19"/>
      <c r="U74" s="19"/>
      <c r="V74" s="19"/>
      <c r="W74" s="19"/>
      <c r="X74" s="19"/>
      <c r="Y74" s="19"/>
    </row>
    <row r="75" spans="1:25" ht="12" customHeight="1">
      <c r="A75" s="219" t="str" cm="1">
        <f t="array" ref="A75">IFERROR(INDEX('03.Muestra'!$B$8:$B$42,SMALL(IF("Documento no web"='03.Muestra'!$D$8:$D$42,ROW('03.Muestra'!$B$8:$B$42)-MIN(ROW('03.Muestra'!$D$8:$D$42))+1,""),ROW()-56)),"")</f>
        <v/>
      </c>
      <c r="B75" s="114" t="str" cm="1">
        <f t="array" ref="B75">IFERROR(INDEX('03.Muestra'!$C$8:$C$42,SMALL(IF("Documento no web"='03.Muestra'!$D$8:$D$42,ROW('03.Muestra'!$C$8:$C$42)-MIN(ROW('03.Muestra'!$D$8:$D$42))+1,""),ROW()-56)),"")</f>
        <v/>
      </c>
      <c r="C75" s="114" t="str" cm="1">
        <f t="array" ref="C75">IFERROR(INDEX('03.Muestra'!$F$8:$F$42,SMALL(IF("Documento no web"='03.Muestra'!$D$8:$D$42,ROW('03.Muestra'!$F$8:$F$42)-MIN(ROW('03.Muestra'!$D$8:$D$42))+1,""),ROW()-56)),"")</f>
        <v/>
      </c>
      <c r="D75" s="130" t="str">
        <f t="shared" si="3"/>
        <v/>
      </c>
      <c r="E75" s="107" t="str">
        <f t="shared" si="2"/>
        <v/>
      </c>
      <c r="F75" s="19"/>
      <c r="G75" s="19"/>
      <c r="H75" s="19"/>
      <c r="I75" s="19"/>
      <c r="J75" s="19"/>
      <c r="K75" s="233"/>
      <c r="L75" s="19"/>
      <c r="M75" s="19"/>
      <c r="N75" s="19"/>
      <c r="O75" s="19"/>
      <c r="P75" s="19"/>
      <c r="Q75" s="19"/>
      <c r="R75" s="19"/>
      <c r="S75" s="19"/>
      <c r="T75" s="19"/>
      <c r="U75" s="19"/>
      <c r="V75" s="19"/>
      <c r="W75" s="19"/>
      <c r="X75" s="19"/>
      <c r="Y75" s="19"/>
    </row>
    <row r="76" spans="1:25" ht="12" customHeight="1">
      <c r="A76" s="219" t="str" cm="1">
        <f t="array" ref="A76">IFERROR(INDEX('03.Muestra'!$B$8:$B$42,SMALL(IF("Documento no web"='03.Muestra'!$D$8:$D$42,ROW('03.Muestra'!$B$8:$B$42)-MIN(ROW('03.Muestra'!$D$8:$D$42))+1,""),ROW()-56)),"")</f>
        <v/>
      </c>
      <c r="B76" s="114" t="str" cm="1">
        <f t="array" ref="B76">IFERROR(INDEX('03.Muestra'!$C$8:$C$42,SMALL(IF("Documento no web"='03.Muestra'!$D$8:$D$42,ROW('03.Muestra'!$C$8:$C$42)-MIN(ROW('03.Muestra'!$D$8:$D$42))+1,""),ROW()-56)),"")</f>
        <v/>
      </c>
      <c r="C76" s="114" t="str" cm="1">
        <f t="array" ref="C76">IFERROR(INDEX('03.Muestra'!$F$8:$F$42,SMALL(IF("Documento no web"='03.Muestra'!$D$8:$D$42,ROW('03.Muestra'!$F$8:$F$42)-MIN(ROW('03.Muestra'!$D$8:$D$42))+1,""),ROW()-56)),"")</f>
        <v/>
      </c>
      <c r="D76" s="130" t="str">
        <f t="shared" si="3"/>
        <v/>
      </c>
      <c r="E76" s="107" t="str">
        <f t="shared" si="2"/>
        <v/>
      </c>
      <c r="F76" s="19"/>
      <c r="G76" s="19"/>
      <c r="H76" s="19"/>
      <c r="I76" s="19"/>
      <c r="J76" s="19"/>
      <c r="K76" s="233"/>
      <c r="L76" s="19"/>
      <c r="M76" s="19"/>
      <c r="N76" s="19"/>
      <c r="O76" s="19"/>
      <c r="P76" s="19"/>
      <c r="Q76" s="19"/>
      <c r="R76" s="19"/>
      <c r="S76" s="19"/>
      <c r="T76" s="19"/>
      <c r="U76" s="19"/>
      <c r="V76" s="19"/>
      <c r="W76" s="19"/>
      <c r="X76" s="19"/>
      <c r="Y76" s="19"/>
    </row>
    <row r="77" spans="1:25" ht="12" customHeight="1">
      <c r="A77" s="219" t="str" cm="1">
        <f t="array" ref="A77">IFERROR(INDEX('03.Muestra'!$B$8:$B$42,SMALL(IF("Documento no web"='03.Muestra'!$D$8:$D$42,ROW('03.Muestra'!$B$8:$B$42)-MIN(ROW('03.Muestra'!$D$8:$D$42))+1,""),ROW()-56)),"")</f>
        <v/>
      </c>
      <c r="B77" s="114" t="str" cm="1">
        <f t="array" ref="B77">IFERROR(INDEX('03.Muestra'!$C$8:$C$42,SMALL(IF("Documento no web"='03.Muestra'!$D$8:$D$42,ROW('03.Muestra'!$C$8:$C$42)-MIN(ROW('03.Muestra'!$D$8:$D$42))+1,""),ROW()-56)),"")</f>
        <v/>
      </c>
      <c r="C77" s="114" t="str" cm="1">
        <f t="array" ref="C77">IFERROR(INDEX('03.Muestra'!$F$8:$F$42,SMALL(IF("Documento no web"='03.Muestra'!$D$8:$D$42,ROW('03.Muestra'!$F$8:$F$42)-MIN(ROW('03.Muestra'!$D$8:$D$42))+1,""),ROW()-56)),"")</f>
        <v/>
      </c>
      <c r="D77" s="130" t="str">
        <f t="shared" si="3"/>
        <v/>
      </c>
      <c r="E77" s="107" t="str">
        <f t="shared" si="2"/>
        <v/>
      </c>
      <c r="F77" s="19"/>
      <c r="G77" s="19"/>
      <c r="H77" s="19"/>
      <c r="I77" s="19"/>
      <c r="J77" s="19"/>
      <c r="K77" s="233"/>
      <c r="L77" s="19"/>
      <c r="M77" s="19"/>
      <c r="N77" s="19"/>
      <c r="O77" s="19"/>
      <c r="P77" s="19"/>
      <c r="Q77" s="19"/>
      <c r="R77" s="19"/>
      <c r="S77" s="19"/>
      <c r="T77" s="19"/>
      <c r="U77" s="19"/>
      <c r="V77" s="19"/>
      <c r="W77" s="19"/>
      <c r="X77" s="19"/>
      <c r="Y77" s="19"/>
    </row>
    <row r="78" spans="1:25" ht="12" customHeight="1">
      <c r="A78" s="219" t="str" cm="1">
        <f t="array" ref="A78">IFERROR(INDEX('03.Muestra'!$B$8:$B$42,SMALL(IF("Documento no web"='03.Muestra'!$D$8:$D$42,ROW('03.Muestra'!$B$8:$B$42)-MIN(ROW('03.Muestra'!$D$8:$D$42))+1,""),ROW()-56)),"")</f>
        <v/>
      </c>
      <c r="B78" s="114" t="str" cm="1">
        <f t="array" ref="B78">IFERROR(INDEX('03.Muestra'!$C$8:$C$42,SMALL(IF("Documento no web"='03.Muestra'!$D$8:$D$42,ROW('03.Muestra'!$C$8:$C$42)-MIN(ROW('03.Muestra'!$D$8:$D$42))+1,""),ROW()-56)),"")</f>
        <v/>
      </c>
      <c r="C78" s="114" t="str" cm="1">
        <f t="array" ref="C78">IFERROR(INDEX('03.Muestra'!$F$8:$F$42,SMALL(IF("Documento no web"='03.Muestra'!$D$8:$D$42,ROW('03.Muestra'!$F$8:$F$42)-MIN(ROW('03.Muestra'!$D$8:$D$42))+1,""),ROW()-56)),"")</f>
        <v/>
      </c>
      <c r="D78" s="130" t="str">
        <f t="shared" si="3"/>
        <v/>
      </c>
      <c r="E78" s="107" t="str">
        <f t="shared" si="2"/>
        <v/>
      </c>
      <c r="F78" s="19"/>
      <c r="G78" s="19"/>
      <c r="H78" s="19"/>
      <c r="I78" s="19"/>
      <c r="J78" s="19"/>
      <c r="K78" s="233"/>
      <c r="L78" s="19"/>
      <c r="M78" s="19"/>
      <c r="N78" s="19"/>
      <c r="O78" s="19"/>
      <c r="P78" s="19"/>
      <c r="Q78" s="19"/>
      <c r="R78" s="19"/>
      <c r="S78" s="19"/>
      <c r="T78" s="19"/>
      <c r="U78" s="19"/>
      <c r="V78" s="19"/>
      <c r="W78" s="19"/>
      <c r="X78" s="19"/>
      <c r="Y78" s="19"/>
    </row>
    <row r="79" spans="1:25" ht="12" customHeight="1">
      <c r="A79" s="219" t="str" cm="1">
        <f t="array" ref="A79">IFERROR(INDEX('03.Muestra'!$B$8:$B$42,SMALL(IF("Documento no web"='03.Muestra'!$D$8:$D$42,ROW('03.Muestra'!$B$8:$B$42)-MIN(ROW('03.Muestra'!$D$8:$D$42))+1,""),ROW()-56)),"")</f>
        <v/>
      </c>
      <c r="B79" s="114" t="str" cm="1">
        <f t="array" ref="B79">IFERROR(INDEX('03.Muestra'!$C$8:$C$42,SMALL(IF("Documento no web"='03.Muestra'!$D$8:$D$42,ROW('03.Muestra'!$C$8:$C$42)-MIN(ROW('03.Muestra'!$D$8:$D$42))+1,""),ROW()-56)),"")</f>
        <v/>
      </c>
      <c r="C79" s="114" t="str" cm="1">
        <f t="array" ref="C79">IFERROR(INDEX('03.Muestra'!$F$8:$F$42,SMALL(IF("Documento no web"='03.Muestra'!$D$8:$D$42,ROW('03.Muestra'!$F$8:$F$42)-MIN(ROW('03.Muestra'!$D$8:$D$42))+1,""),ROW()-56)),"")</f>
        <v/>
      </c>
      <c r="D79" s="130" t="str">
        <f t="shared" si="3"/>
        <v/>
      </c>
      <c r="E79" s="107" t="str">
        <f t="shared" si="2"/>
        <v/>
      </c>
      <c r="F79" s="19"/>
      <c r="G79" s="19"/>
      <c r="H79" s="19"/>
      <c r="I79" s="19"/>
      <c r="J79" s="19"/>
      <c r="K79" s="233"/>
      <c r="L79" s="19"/>
      <c r="M79" s="19"/>
      <c r="N79" s="19"/>
      <c r="O79" s="19"/>
      <c r="P79" s="19"/>
      <c r="Q79" s="19"/>
      <c r="R79" s="19"/>
      <c r="S79" s="19"/>
      <c r="T79" s="19"/>
      <c r="U79" s="19"/>
      <c r="V79" s="19"/>
      <c r="W79" s="19"/>
      <c r="X79" s="19"/>
      <c r="Y79" s="19"/>
    </row>
    <row r="80" spans="1:25" ht="12" customHeight="1">
      <c r="A80" s="219" t="str" cm="1">
        <f t="array" ref="A80">IFERROR(INDEX('03.Muestra'!$B$8:$B$42,SMALL(IF("Documento no web"='03.Muestra'!$D$8:$D$42,ROW('03.Muestra'!$B$8:$B$42)-MIN(ROW('03.Muestra'!$D$8:$D$42))+1,""),ROW()-56)),"")</f>
        <v/>
      </c>
      <c r="B80" s="114" t="str" cm="1">
        <f t="array" ref="B80">IFERROR(INDEX('03.Muestra'!$C$8:$C$42,SMALL(IF("Documento no web"='03.Muestra'!$D$8:$D$42,ROW('03.Muestra'!$C$8:$C$42)-MIN(ROW('03.Muestra'!$D$8:$D$42))+1,""),ROW()-56)),"")</f>
        <v/>
      </c>
      <c r="C80" s="114" t="str" cm="1">
        <f t="array" ref="C80">IFERROR(INDEX('03.Muestra'!$F$8:$F$42,SMALL(IF("Documento no web"='03.Muestra'!$D$8:$D$42,ROW('03.Muestra'!$F$8:$F$42)-MIN(ROW('03.Muestra'!$D$8:$D$42))+1,""),ROW()-56)),"")</f>
        <v/>
      </c>
      <c r="D80" s="130" t="str">
        <f t="shared" si="3"/>
        <v/>
      </c>
      <c r="E80" s="107" t="str">
        <f t="shared" si="2"/>
        <v/>
      </c>
      <c r="F80" s="19"/>
      <c r="G80" s="19"/>
      <c r="H80" s="19"/>
      <c r="I80" s="19"/>
      <c r="J80" s="19"/>
      <c r="K80" s="233"/>
      <c r="L80" s="19"/>
      <c r="M80" s="19"/>
      <c r="N80" s="19"/>
      <c r="O80" s="19"/>
      <c r="P80" s="19"/>
      <c r="Q80" s="19"/>
      <c r="R80" s="19"/>
      <c r="S80" s="19"/>
      <c r="T80" s="19"/>
      <c r="U80" s="19"/>
      <c r="V80" s="19"/>
      <c r="W80" s="19"/>
      <c r="X80" s="19"/>
      <c r="Y80" s="19"/>
    </row>
    <row r="81" spans="1:25" ht="12" customHeight="1">
      <c r="A81" s="219" t="str" cm="1">
        <f t="array" ref="A81">IFERROR(INDEX('03.Muestra'!$B$8:$B$42,SMALL(IF("Documento no web"='03.Muestra'!$D$8:$D$42,ROW('03.Muestra'!$B$8:$B$42)-MIN(ROW('03.Muestra'!$D$8:$D$42))+1,""),ROW()-56)),"")</f>
        <v/>
      </c>
      <c r="B81" s="114" t="str" cm="1">
        <f t="array" ref="B81">IFERROR(INDEX('03.Muestra'!$C$8:$C$42,SMALL(IF("Documento no web"='03.Muestra'!$D$8:$D$42,ROW('03.Muestra'!$C$8:$C$42)-MIN(ROW('03.Muestra'!$D$8:$D$42))+1,""),ROW()-56)),"")</f>
        <v/>
      </c>
      <c r="C81" s="114" t="str" cm="1">
        <f t="array" ref="C81">IFERROR(INDEX('03.Muestra'!$F$8:$F$42,SMALL(IF("Documento no web"='03.Muestra'!$D$8:$D$42,ROW('03.Muestra'!$F$8:$F$42)-MIN(ROW('03.Muestra'!$D$8:$D$42))+1,""),ROW()-56)),"")</f>
        <v/>
      </c>
      <c r="D81" s="130" t="str">
        <f t="shared" si="3"/>
        <v/>
      </c>
      <c r="E81" s="107" t="str">
        <f t="shared" si="2"/>
        <v/>
      </c>
      <c r="F81" s="19"/>
      <c r="G81" s="19"/>
      <c r="H81" s="19"/>
      <c r="I81" s="19"/>
      <c r="J81" s="19"/>
      <c r="K81" s="233"/>
      <c r="L81" s="19"/>
      <c r="M81" s="19"/>
      <c r="N81" s="19"/>
      <c r="O81" s="19"/>
      <c r="P81" s="19"/>
      <c r="Q81" s="19"/>
      <c r="R81" s="19"/>
      <c r="S81" s="19"/>
      <c r="T81" s="19"/>
      <c r="U81" s="19"/>
      <c r="V81" s="19"/>
      <c r="W81" s="19"/>
      <c r="X81" s="19"/>
      <c r="Y81" s="19"/>
    </row>
    <row r="82" spans="1:25" ht="12" customHeight="1">
      <c r="A82" s="219" t="str" cm="1">
        <f t="array" ref="A82">IFERROR(INDEX('03.Muestra'!$B$8:$B$42,SMALL(IF("Documento no web"='03.Muestra'!$D$8:$D$42,ROW('03.Muestra'!$B$8:$B$42)-MIN(ROW('03.Muestra'!$D$8:$D$42))+1,""),ROW()-56)),"")</f>
        <v/>
      </c>
      <c r="B82" s="114" t="str" cm="1">
        <f t="array" ref="B82">IFERROR(INDEX('03.Muestra'!$C$8:$C$42,SMALL(IF("Documento no web"='03.Muestra'!$D$8:$D$42,ROW('03.Muestra'!$C$8:$C$42)-MIN(ROW('03.Muestra'!$D$8:$D$42))+1,""),ROW()-56)),"")</f>
        <v/>
      </c>
      <c r="C82" s="114" t="str" cm="1">
        <f t="array" ref="C82">IFERROR(INDEX('03.Muestra'!$F$8:$F$42,SMALL(IF("Documento no web"='03.Muestra'!$D$8:$D$42,ROW('03.Muestra'!$F$8:$F$42)-MIN(ROW('03.Muestra'!$D$8:$D$42))+1,""),ROW()-56)),"")</f>
        <v/>
      </c>
      <c r="D82" s="130" t="str">
        <f t="shared" si="3"/>
        <v/>
      </c>
      <c r="E82" s="107" t="str">
        <f t="shared" si="2"/>
        <v/>
      </c>
      <c r="F82" s="19"/>
      <c r="G82" s="19"/>
      <c r="H82" s="19"/>
      <c r="I82" s="19"/>
      <c r="J82" s="19"/>
      <c r="K82" s="233"/>
      <c r="L82" s="19"/>
      <c r="M82" s="19"/>
      <c r="N82" s="19"/>
      <c r="O82" s="19"/>
      <c r="P82" s="19"/>
      <c r="Q82" s="19"/>
      <c r="R82" s="19"/>
      <c r="S82" s="19"/>
      <c r="T82" s="19"/>
      <c r="U82" s="19"/>
      <c r="V82" s="19"/>
      <c r="W82" s="19"/>
      <c r="X82" s="19"/>
      <c r="Y82" s="19"/>
    </row>
    <row r="83" spans="1:25" ht="12" customHeight="1">
      <c r="A83" s="219" t="str" cm="1">
        <f t="array" ref="A83">IFERROR(INDEX('03.Muestra'!$B$8:$B$42,SMALL(IF("Documento no web"='03.Muestra'!$D$8:$D$42,ROW('03.Muestra'!$B$8:$B$42)-MIN(ROW('03.Muestra'!$D$8:$D$42))+1,""),ROW()-56)),"")</f>
        <v/>
      </c>
      <c r="B83" s="114" t="str" cm="1">
        <f t="array" ref="B83">IFERROR(INDEX('03.Muestra'!$C$8:$C$42,SMALL(IF("Documento no web"='03.Muestra'!$D$8:$D$42,ROW('03.Muestra'!$C$8:$C$42)-MIN(ROW('03.Muestra'!$D$8:$D$42))+1,""),ROW()-56)),"")</f>
        <v/>
      </c>
      <c r="C83" s="114" t="str" cm="1">
        <f t="array" ref="C83">IFERROR(INDEX('03.Muestra'!$F$8:$F$42,SMALL(IF("Documento no web"='03.Muestra'!$D$8:$D$42,ROW('03.Muestra'!$F$8:$F$42)-MIN(ROW('03.Muestra'!$D$8:$D$42))+1,""),ROW()-56)),"")</f>
        <v/>
      </c>
      <c r="D83" s="130" t="str">
        <f t="shared" si="3"/>
        <v/>
      </c>
      <c r="E83" s="107" t="str">
        <f t="shared" si="2"/>
        <v/>
      </c>
      <c r="F83" s="19"/>
      <c r="G83" s="19"/>
      <c r="H83" s="19"/>
      <c r="I83" s="19"/>
      <c r="J83" s="19"/>
      <c r="K83" s="233"/>
      <c r="L83" s="19"/>
      <c r="M83" s="19"/>
      <c r="N83" s="19"/>
      <c r="O83" s="19"/>
      <c r="P83" s="19"/>
      <c r="Q83" s="19"/>
      <c r="R83" s="19"/>
      <c r="S83" s="19"/>
      <c r="T83" s="19"/>
      <c r="U83" s="19"/>
      <c r="V83" s="19"/>
      <c r="W83" s="19"/>
      <c r="X83" s="19"/>
      <c r="Y83" s="19"/>
    </row>
    <row r="84" spans="1:25" ht="12" customHeight="1">
      <c r="A84" s="219" t="str" cm="1">
        <f t="array" ref="A84">IFERROR(INDEX('03.Muestra'!$B$8:$B$42,SMALL(IF("Documento no web"='03.Muestra'!$D$8:$D$42,ROW('03.Muestra'!$B$8:$B$42)-MIN(ROW('03.Muestra'!$D$8:$D$42))+1,""),ROW()-56)),"")</f>
        <v/>
      </c>
      <c r="B84" s="114" t="str" cm="1">
        <f t="array" ref="B84">IFERROR(INDEX('03.Muestra'!$C$8:$C$42,SMALL(IF("Documento no web"='03.Muestra'!$D$8:$D$42,ROW('03.Muestra'!$C$8:$C$42)-MIN(ROW('03.Muestra'!$D$8:$D$42))+1,""),ROW()-56)),"")</f>
        <v/>
      </c>
      <c r="C84" s="114" t="str" cm="1">
        <f t="array" ref="C84">IFERROR(INDEX('03.Muestra'!$F$8:$F$42,SMALL(IF("Documento no web"='03.Muestra'!$D$8:$D$42,ROW('03.Muestra'!$F$8:$F$42)-MIN(ROW('03.Muestra'!$D$8:$D$42))+1,""),ROW()-56)),"")</f>
        <v/>
      </c>
      <c r="D84" s="130" t="str">
        <f t="shared" si="3"/>
        <v/>
      </c>
      <c r="E84" s="107" t="str">
        <f t="shared" si="2"/>
        <v/>
      </c>
      <c r="G84" s="19"/>
      <c r="H84" s="19"/>
      <c r="I84" s="19"/>
      <c r="J84" s="19"/>
      <c r="K84" s="233"/>
      <c r="L84" s="19"/>
      <c r="M84" s="19"/>
      <c r="N84" s="19"/>
      <c r="O84" s="19"/>
      <c r="P84" s="19"/>
      <c r="Q84" s="19"/>
      <c r="R84" s="19"/>
      <c r="S84" s="19"/>
      <c r="T84" s="19"/>
      <c r="U84" s="19"/>
      <c r="V84" s="19"/>
      <c r="W84" s="19"/>
      <c r="X84" s="19"/>
      <c r="Y84" s="19"/>
    </row>
    <row r="85" spans="1:25" ht="12" customHeight="1">
      <c r="A85" s="219" t="str" cm="1">
        <f t="array" ref="A85">IFERROR(INDEX('03.Muestra'!$B$8:$B$42,SMALL(IF("Documento no web"='03.Muestra'!$D$8:$D$42,ROW('03.Muestra'!$B$8:$B$42)-MIN(ROW('03.Muestra'!$D$8:$D$42))+1,""),ROW()-56)),"")</f>
        <v/>
      </c>
      <c r="B85" s="114" t="str" cm="1">
        <f t="array" ref="B85">IFERROR(INDEX('03.Muestra'!$C$8:$C$42,SMALL(IF("Documento no web"='03.Muestra'!$D$8:$D$42,ROW('03.Muestra'!$C$8:$C$42)-MIN(ROW('03.Muestra'!$D$8:$D$42))+1,""),ROW()-56)),"")</f>
        <v/>
      </c>
      <c r="C85" s="114" t="str" cm="1">
        <f t="array" ref="C85">IFERROR(INDEX('03.Muestra'!$F$8:$F$42,SMALL(IF("Documento no web"='03.Muestra'!$D$8:$D$42,ROW('03.Muestra'!$F$8:$F$42)-MIN(ROW('03.Muestra'!$D$8:$D$42))+1,""),ROW()-56)),"")</f>
        <v/>
      </c>
      <c r="D85" s="130" t="str">
        <f t="shared" si="3"/>
        <v/>
      </c>
      <c r="E85" s="107" t="str">
        <f t="shared" si="2"/>
        <v/>
      </c>
      <c r="G85" s="19"/>
      <c r="H85" s="19"/>
      <c r="I85" s="19"/>
      <c r="J85" s="19"/>
      <c r="K85" s="233"/>
      <c r="L85" s="19"/>
      <c r="M85" s="19"/>
      <c r="N85" s="19"/>
      <c r="O85" s="19"/>
      <c r="P85" s="19"/>
      <c r="Q85" s="19"/>
      <c r="R85" s="19"/>
      <c r="S85" s="19"/>
      <c r="T85" s="19"/>
      <c r="U85" s="19"/>
      <c r="V85" s="19"/>
      <c r="W85" s="19"/>
      <c r="X85" s="19"/>
      <c r="Y85" s="19"/>
    </row>
    <row r="86" spans="1:25" ht="12" customHeight="1">
      <c r="A86" s="219" t="str" cm="1">
        <f t="array" ref="A86">IFERROR(INDEX('03.Muestra'!$B$8:$B$42,SMALL(IF("Documento no web"='03.Muestra'!$D$8:$D$42,ROW('03.Muestra'!$B$8:$B$42)-MIN(ROW('03.Muestra'!$D$8:$D$42))+1,""),ROW()-56)),"")</f>
        <v/>
      </c>
      <c r="B86" s="114" t="str" cm="1">
        <f t="array" ref="B86">IFERROR(INDEX('03.Muestra'!$C$8:$C$42,SMALL(IF("Documento no web"='03.Muestra'!$D$8:$D$42,ROW('03.Muestra'!$C$8:$C$42)-MIN(ROW('03.Muestra'!$D$8:$D$42))+1,""),ROW()-56)),"")</f>
        <v/>
      </c>
      <c r="C86" s="114" t="str" cm="1">
        <f t="array" ref="C86">IFERROR(INDEX('03.Muestra'!$F$8:$F$42,SMALL(IF("Documento no web"='03.Muestra'!$D$8:$D$42,ROW('03.Muestra'!$F$8:$F$42)-MIN(ROW('03.Muestra'!$D$8:$D$42))+1,""),ROW()-56)),"")</f>
        <v/>
      </c>
      <c r="D86" s="130" t="str">
        <f t="shared" si="3"/>
        <v/>
      </c>
      <c r="E86" s="107" t="str">
        <f t="shared" si="2"/>
        <v/>
      </c>
      <c r="G86" s="19"/>
      <c r="H86" s="19"/>
      <c r="I86" s="19"/>
      <c r="J86" s="19"/>
      <c r="K86" s="233"/>
      <c r="L86" s="19"/>
      <c r="M86" s="19"/>
      <c r="N86" s="19"/>
      <c r="O86" s="19"/>
      <c r="P86" s="19"/>
      <c r="Q86" s="19"/>
      <c r="R86" s="19"/>
      <c r="S86" s="19"/>
      <c r="T86" s="19"/>
      <c r="U86" s="19"/>
      <c r="V86" s="19"/>
      <c r="W86" s="19"/>
      <c r="X86" s="19"/>
      <c r="Y86" s="19"/>
    </row>
    <row r="87" spans="1:25" ht="12" customHeight="1">
      <c r="A87" s="219" t="str" cm="1">
        <f t="array" ref="A87">IFERROR(INDEX('03.Muestra'!$B$8:$B$42,SMALL(IF("Documento no web"='03.Muestra'!$D$8:$D$42,ROW('03.Muestra'!$B$8:$B$42)-MIN(ROW('03.Muestra'!$D$8:$D$42))+1,""),ROW()-56)),"")</f>
        <v/>
      </c>
      <c r="B87" s="114" t="str" cm="1">
        <f t="array" ref="B87">IFERROR(INDEX('03.Muestra'!$C$8:$C$42,SMALL(IF("Documento no web"='03.Muestra'!$D$8:$D$42,ROW('03.Muestra'!$C$8:$C$42)-MIN(ROW('03.Muestra'!$D$8:$D$42))+1,""),ROW()-56)),"")</f>
        <v/>
      </c>
      <c r="C87" s="114" t="str" cm="1">
        <f t="array" ref="C87">IFERROR(INDEX('03.Muestra'!$F$8:$F$42,SMALL(IF("Documento no web"='03.Muestra'!$D$8:$D$42,ROW('03.Muestra'!$F$8:$F$42)-MIN(ROW('03.Muestra'!$D$8:$D$42))+1,""),ROW()-56)),"")</f>
        <v/>
      </c>
      <c r="D87" s="130" t="str">
        <f t="shared" si="3"/>
        <v/>
      </c>
      <c r="E87" s="107" t="str">
        <f t="shared" si="2"/>
        <v/>
      </c>
      <c r="G87" s="19"/>
      <c r="H87" s="19"/>
      <c r="I87" s="19"/>
      <c r="J87" s="19"/>
      <c r="K87" s="233"/>
      <c r="L87" s="19"/>
      <c r="M87" s="19"/>
      <c r="N87" s="19"/>
      <c r="O87" s="19"/>
      <c r="P87" s="19"/>
      <c r="Q87" s="19"/>
      <c r="R87" s="19"/>
      <c r="S87" s="19"/>
      <c r="T87" s="19"/>
      <c r="U87" s="19"/>
      <c r="V87" s="19"/>
      <c r="W87" s="19"/>
      <c r="X87" s="19"/>
      <c r="Y87" s="19"/>
    </row>
    <row r="88" spans="1:25" ht="12" customHeight="1">
      <c r="A88" s="219" t="str" cm="1">
        <f t="array" ref="A88">IFERROR(INDEX('03.Muestra'!$B$8:$B$42,SMALL(IF("Documento no web"='03.Muestra'!$D$8:$D$42,ROW('03.Muestra'!$B$8:$B$42)-MIN(ROW('03.Muestra'!$D$8:$D$42))+1,""),ROW()-56)),"")</f>
        <v/>
      </c>
      <c r="B88" s="114" t="str" cm="1">
        <f t="array" ref="B88">IFERROR(INDEX('03.Muestra'!$C$8:$C$42,SMALL(IF("Documento no web"='03.Muestra'!$D$8:$D$42,ROW('03.Muestra'!$C$8:$C$42)-MIN(ROW('03.Muestra'!$D$8:$D$42))+1,""),ROW()-56)),"")</f>
        <v/>
      </c>
      <c r="C88" s="114" t="str" cm="1">
        <f t="array" ref="C88">IFERROR(INDEX('03.Muestra'!$F$8:$F$42,SMALL(IF("Documento no web"='03.Muestra'!$D$8:$D$42,ROW('03.Muestra'!$F$8:$F$42)-MIN(ROW('03.Muestra'!$D$8:$D$42))+1,""),ROW()-56)),"")</f>
        <v/>
      </c>
      <c r="D88" s="130" t="str">
        <f t="shared" si="3"/>
        <v/>
      </c>
      <c r="E88" s="107" t="str">
        <f t="shared" si="2"/>
        <v/>
      </c>
      <c r="G88" s="19"/>
      <c r="H88" s="19"/>
      <c r="I88" s="19"/>
      <c r="J88" s="19"/>
      <c r="K88" s="233"/>
      <c r="L88" s="19"/>
      <c r="M88" s="19"/>
      <c r="N88" s="19"/>
      <c r="O88" s="19"/>
      <c r="P88" s="19"/>
      <c r="Q88" s="19"/>
      <c r="R88" s="19"/>
      <c r="S88" s="19"/>
      <c r="T88" s="19"/>
      <c r="U88" s="19"/>
      <c r="V88" s="19"/>
      <c r="W88" s="19"/>
      <c r="X88" s="19"/>
      <c r="Y88" s="19"/>
    </row>
    <row r="89" spans="1:25" ht="12" customHeight="1">
      <c r="A89" s="219" t="str" cm="1">
        <f t="array" ref="A89">IFERROR(INDEX('03.Muestra'!$B$8:$B$42,SMALL(IF("Documento no web"='03.Muestra'!$D$8:$D$42,ROW('03.Muestra'!$B$8:$B$42)-MIN(ROW('03.Muestra'!$D$8:$D$42))+1,""),ROW()-56)),"")</f>
        <v/>
      </c>
      <c r="B89" s="114" t="str" cm="1">
        <f t="array" ref="B89">IFERROR(INDEX('03.Muestra'!$C$8:$C$42,SMALL(IF("Documento no web"='03.Muestra'!$D$8:$D$42,ROW('03.Muestra'!$C$8:$C$42)-MIN(ROW('03.Muestra'!$D$8:$D$42))+1,""),ROW()-56)),"")</f>
        <v/>
      </c>
      <c r="C89" s="114" t="str" cm="1">
        <f t="array" ref="C89">IFERROR(INDEX('03.Muestra'!$F$8:$F$42,SMALL(IF("Documento no web"='03.Muestra'!$D$8:$D$42,ROW('03.Muestra'!$F$8:$F$42)-MIN(ROW('03.Muestra'!$D$8:$D$42))+1,""),ROW()-56)),"")</f>
        <v/>
      </c>
      <c r="D89" s="130" t="str">
        <f t="shared" si="3"/>
        <v/>
      </c>
      <c r="E89" s="107" t="str">
        <f t="shared" si="2"/>
        <v/>
      </c>
      <c r="G89" s="19"/>
      <c r="H89" s="19"/>
      <c r="I89" s="19"/>
      <c r="J89" s="19"/>
      <c r="K89" s="233"/>
      <c r="L89" s="19"/>
      <c r="M89" s="19"/>
      <c r="N89" s="19"/>
      <c r="O89" s="19"/>
      <c r="P89" s="19"/>
      <c r="Q89" s="19"/>
      <c r="R89" s="19"/>
      <c r="S89" s="19"/>
      <c r="T89" s="19"/>
      <c r="U89" s="19"/>
      <c r="V89" s="19"/>
      <c r="W89" s="19"/>
      <c r="X89" s="19"/>
      <c r="Y89" s="19"/>
    </row>
    <row r="90" spans="1:25" ht="12" customHeight="1">
      <c r="A90" s="219" t="str" cm="1">
        <f t="array" ref="A90">IFERROR(INDEX('03.Muestra'!$B$8:$B$42,SMALL(IF("Documento no web"='03.Muestra'!$D$8:$D$42,ROW('03.Muestra'!$B$8:$B$42)-MIN(ROW('03.Muestra'!$D$8:$D$42))+1,""),ROW()-56)),"")</f>
        <v/>
      </c>
      <c r="B90" s="114" t="str" cm="1">
        <f t="array" ref="B90">IFERROR(INDEX('03.Muestra'!$C$8:$C$42,SMALL(IF("Documento no web"='03.Muestra'!$D$8:$D$42,ROW('03.Muestra'!$C$8:$C$42)-MIN(ROW('03.Muestra'!$D$8:$D$42))+1,""),ROW()-56)),"")</f>
        <v/>
      </c>
      <c r="C90" s="114" t="str" cm="1">
        <f t="array" ref="C90">IFERROR(INDEX('03.Muestra'!$F$8:$F$42,SMALL(IF("Documento no web"='03.Muestra'!$D$8:$D$42,ROW('03.Muestra'!$F$8:$F$42)-MIN(ROW('03.Muestra'!$D$8:$D$42))+1,""),ROW()-56)),"")</f>
        <v/>
      </c>
      <c r="D90" s="130" t="str">
        <f t="shared" si="3"/>
        <v/>
      </c>
      <c r="E90" s="107" t="str">
        <f t="shared" si="2"/>
        <v/>
      </c>
      <c r="F90" s="124"/>
      <c r="G90" s="19"/>
      <c r="H90" s="19"/>
      <c r="I90" s="19"/>
      <c r="J90" s="19"/>
      <c r="K90" s="233"/>
      <c r="L90" s="19"/>
      <c r="M90" s="19"/>
      <c r="N90" s="19"/>
      <c r="O90" s="19"/>
      <c r="P90" s="19"/>
      <c r="Q90" s="19"/>
      <c r="R90" s="19"/>
      <c r="S90" s="19"/>
      <c r="T90" s="19"/>
      <c r="U90" s="19"/>
      <c r="V90" s="19"/>
      <c r="W90" s="19"/>
      <c r="X90" s="19"/>
      <c r="Y90" s="19"/>
    </row>
    <row r="91" spans="1:25" ht="12" customHeight="1">
      <c r="A91" s="219" t="str" cm="1">
        <f t="array" ref="A91">IFERROR(INDEX('03.Muestra'!$B$8:$B$42,SMALL(IF("Documento no web"='03.Muestra'!$D$8:$D$42,ROW('03.Muestra'!$B$8:$B$42)-MIN(ROW('03.Muestra'!$D$8:$D$42))+1,""),ROW()-56)),"")</f>
        <v/>
      </c>
      <c r="B91" s="114" t="str" cm="1">
        <f t="array" ref="B91">IFERROR(INDEX('03.Muestra'!$C$8:$C$42,SMALL(IF("Documento no web"='03.Muestra'!$D$8:$D$42,ROW('03.Muestra'!$C$8:$C$42)-MIN(ROW('03.Muestra'!$D$8:$D$42))+1,""),ROW()-56)),"")</f>
        <v/>
      </c>
      <c r="C91" s="114" t="str" cm="1">
        <f t="array" ref="C91">IFERROR(INDEX('03.Muestra'!$F$8:$F$42,SMALL(IF("Documento no web"='03.Muestra'!$D$8:$D$42,ROW('03.Muestra'!$F$8:$F$42)-MIN(ROW('03.Muestra'!$D$8:$D$42))+1,""),ROW()-56)),"")</f>
        <v/>
      </c>
      <c r="D91" s="130" t="str">
        <f t="shared" si="3"/>
        <v/>
      </c>
      <c r="E91" s="107" t="str">
        <f t="shared" si="2"/>
        <v/>
      </c>
      <c r="F91" s="19"/>
      <c r="G91" s="19"/>
      <c r="H91" s="19"/>
      <c r="I91" s="19"/>
      <c r="J91" s="19"/>
      <c r="K91" s="233"/>
      <c r="L91" s="19"/>
      <c r="M91" s="19"/>
      <c r="N91" s="19"/>
      <c r="O91" s="19"/>
      <c r="P91" s="19"/>
      <c r="Q91" s="19"/>
      <c r="R91" s="19"/>
      <c r="S91" s="19"/>
      <c r="T91" s="19"/>
      <c r="U91" s="19"/>
      <c r="V91" s="19"/>
      <c r="W91" s="19"/>
      <c r="X91" s="19"/>
      <c r="Y91" s="19"/>
    </row>
    <row r="92" spans="1:25" ht="12" customHeight="1">
      <c r="B92" s="19"/>
      <c r="C92" s="19"/>
      <c r="D92" s="107"/>
      <c r="E92" s="107"/>
      <c r="F92" s="19"/>
      <c r="G92" s="19"/>
      <c r="H92" s="19"/>
      <c r="I92" s="19"/>
      <c r="J92" s="19"/>
      <c r="K92" s="233"/>
      <c r="L92" s="19"/>
      <c r="M92" s="19"/>
      <c r="N92" s="19"/>
      <c r="O92" s="19"/>
      <c r="P92" s="19"/>
      <c r="Q92" s="19"/>
      <c r="R92" s="19"/>
      <c r="S92" s="19"/>
      <c r="T92" s="19"/>
      <c r="U92" s="19"/>
      <c r="V92" s="19"/>
      <c r="W92" s="19"/>
      <c r="X92" s="19"/>
      <c r="Y92" s="19"/>
    </row>
    <row r="93" spans="1:25" ht="12" customHeight="1">
      <c r="B93" s="19"/>
      <c r="C93" s="19"/>
      <c r="D93" s="107"/>
      <c r="E93" s="112"/>
      <c r="F93" s="19"/>
      <c r="G93" s="19"/>
      <c r="H93" s="19"/>
      <c r="I93" s="19"/>
      <c r="J93" s="19"/>
      <c r="K93" s="233"/>
      <c r="L93" s="19"/>
      <c r="M93" s="19"/>
      <c r="N93" s="19"/>
      <c r="O93" s="19"/>
      <c r="P93" s="19"/>
      <c r="Q93" s="19"/>
      <c r="R93" s="19"/>
      <c r="S93" s="19"/>
      <c r="T93" s="19"/>
      <c r="U93" s="19"/>
      <c r="V93" s="19"/>
      <c r="W93" s="19"/>
      <c r="X93" s="19"/>
      <c r="Y93" s="19"/>
    </row>
    <row r="94" spans="1:25" ht="32.25" customHeight="1">
      <c r="A94" s="218" t="s">
        <v>268</v>
      </c>
      <c r="B94" s="24" t="s">
        <v>90</v>
      </c>
      <c r="C94" s="25" t="s">
        <v>424</v>
      </c>
      <c r="D94" s="26" t="s">
        <v>32</v>
      </c>
      <c r="E94" s="123"/>
      <c r="K94" s="233"/>
      <c r="L94" s="19"/>
      <c r="M94" s="19"/>
      <c r="N94" s="19"/>
      <c r="O94" s="19"/>
      <c r="P94" s="19"/>
      <c r="Q94" s="19"/>
      <c r="R94" s="19"/>
      <c r="S94" s="19"/>
      <c r="T94" s="19"/>
      <c r="U94" s="19"/>
      <c r="V94" s="19"/>
      <c r="W94" s="19"/>
      <c r="X94" s="19"/>
      <c r="Y94" s="19"/>
    </row>
    <row r="95" spans="1:25" ht="12" customHeight="1">
      <c r="A95" s="219" t="n" cm="1">
        <f t="array" ref="A95">IFERROR(INDEX('03.Muestra'!$B$8:$B$42,SMALL(IF("Documento no web"='03.Muestra'!$D$8:$D$42,ROW('03.Muestra'!$B$8:$B$42)-MIN(ROW('03.Muestra'!$D$8:$D$42))+1,""),ROW()-94)),"")</f>
        <v>1.0</v>
      </c>
      <c r="B95" s="114" t="str" cm="1">
        <f t="array" ref="B95">IFERROR(INDEX('03.Muestra'!$C$8:$C$42,SMALL(IF("Documento no web"='03.Muestra'!$D$8:$D$42,ROW('03.Muestra'!$C$8:$C$42)-MIN(ROW('03.Muestra'!$D$8:$D$42))+1,""),ROW()-94)),"")</f>
        <v>Home - PortCastelló</v>
      </c>
      <c r="C95" s="114" t="str" cm="1">
        <f t="array" ref="C95">IFERROR(INDEX('03.Muestra'!$F$8:$F$42,SMALL(IF("Documento no web"='03.Muestra'!$D$8:$D$42,ROW('03.Muestra'!$F$8:$F$42)-MIN(ROW('03.Muestra'!$D$8:$D$42))+1,""),ROW()-94)),"")</f>
        <v>https://www.portcastello.com/</v>
      </c>
      <c r="D95" s="130" t="s">
        <v>33</v>
      </c>
      <c r="E95" s="107" t="str">
        <f t="shared" ref="E95:E129" si="4">IF(D95&lt;&gt;"",IF(AND(B95&lt;&gt;"",C95&lt;&gt;""),"","ERR"),"")</f>
        <v/>
      </c>
      <c r="F95" s="115" t="s">
        <v>33</v>
      </c>
      <c r="G95" s="116" t="s">
        <v>37</v>
      </c>
      <c r="H95" s="117" t="s">
        <v>35</v>
      </c>
      <c r="I95" s="118" t="s">
        <v>28</v>
      </c>
      <c r="J95" s="119" t="s">
        <v>26</v>
      </c>
      <c r="K95" s="226" t="s">
        <v>474</v>
      </c>
      <c r="L95" s="19"/>
      <c r="M95" s="19"/>
      <c r="N95" s="19"/>
      <c r="O95" s="19"/>
      <c r="P95" s="19"/>
      <c r="Q95" s="19"/>
      <c r="R95" s="19"/>
      <c r="S95" s="19"/>
      <c r="T95" s="19"/>
      <c r="U95" s="19"/>
      <c r="V95" s="19"/>
      <c r="W95" s="19"/>
      <c r="X95" s="19"/>
      <c r="Y95" s="19"/>
    </row>
    <row r="96" spans="1:25" ht="12" customHeight="1">
      <c r="A96" s="219" t="n" cm="1">
        <f t="array" ref="A96">IFERROR(INDEX('03.Muestra'!$B$8:$B$42,SMALL(IF("Documento no web"='03.Muestra'!$D$8:$D$42,ROW('03.Muestra'!$B$8:$B$42)-MIN(ROW('03.Muestra'!$D$8:$D$42))+1,""),ROW()-94)),"")</f>
        <v>1.0</v>
      </c>
      <c r="B96" s="114" t="str" cm="1">
        <f t="array" ref="B96">IFERROR(INDEX('03.Muestra'!$C$8:$C$42,SMALL(IF("Documento no web"='03.Muestra'!$D$8:$D$42,ROW('03.Muestra'!$C$8:$C$42)-MIN(ROW('03.Muestra'!$D$8:$D$42))+1,""),ROW()-94)),"")</f>
        <v>Home - PortCastelló</v>
      </c>
      <c r="C96" s="114" t="str" cm="1">
        <f t="array" ref="C96">IFERROR(INDEX('03.Muestra'!$F$8:$F$42,SMALL(IF("Documento no web"='03.Muestra'!$D$8:$D$42,ROW('03.Muestra'!$F$8:$F$42)-MIN(ROW('03.Muestra'!$D$8:$D$42))+1,""),ROW()-94)),"")</f>
        <v>https://www.portcastello.com/</v>
      </c>
      <c r="D96" s="130" t="s">
        <v>33</v>
      </c>
      <c r="E96" s="107" t="str">
        <f t="shared" si="4"/>
        <v/>
      </c>
      <c r="F96" s="120" t="n">
        <f ca="1">COUNTIF($D95:INDIRECT("$D" &amp;  SUM(ROW()-1,'03.Muestra'!$D$45)-1),F95)</f>
        <v>2.0</v>
      </c>
      <c r="G96" s="120" t="n">
        <f ca="1">COUNTIF($D95:INDIRECT("$D" &amp;  SUM(ROW()-1,'03.Muestra'!$D$45)-1),G95)</f>
        <v>0.0</v>
      </c>
      <c r="H96" s="120" t="n">
        <f ca="1">COUNTIF($D95:INDIRECT("$D" &amp;  SUM(ROW()-1,'03.Muestra'!$D$45)-1),H95)</f>
        <v>0.0</v>
      </c>
      <c r="I96" s="120" t="n">
        <f ca="1">COUNTIF($D95:INDIRECT("$D" &amp;  SUM(ROW()-1,'03.Muestra'!$D$45)-1),I95)</f>
        <v>0.0</v>
      </c>
      <c r="J96" s="120" t="n">
        <f ca="1">COUNTIF($D95:INDIRECT("$D" &amp;  SUM(ROW()-1,'03.Muestra'!$D$45)-1),J95)</f>
        <v>0.0</v>
      </c>
      <c r="K96" s="227" t="n">
        <f ca="1">IF(COUNTIF('03.Muestra'!$D$8:$D$42,"Documento no web")=0,0,COUNTBLANK($D95:INDIRECT("$D" &amp;  SUM(ROW()-1,COUNTIF('03.Muestra'!$D$8:$D$42,"Documento no web"))-1)))</f>
        <v>0.0</v>
      </c>
      <c r="L96" s="19"/>
      <c r="M96" s="19"/>
      <c r="N96" s="19"/>
      <c r="O96" s="19"/>
      <c r="P96" s="19"/>
      <c r="Q96" s="19"/>
      <c r="R96" s="19"/>
      <c r="S96" s="19"/>
      <c r="T96" s="19"/>
      <c r="U96" s="19"/>
      <c r="V96" s="19"/>
      <c r="W96" s="19"/>
      <c r="X96" s="19"/>
      <c r="Y96" s="19"/>
    </row>
    <row r="97" spans="1:25" ht="12" customHeight="1">
      <c r="A97" s="219" t="str" cm="1">
        <f t="array" ref="A97">IFERROR(INDEX('03.Muestra'!$B$8:$B$42,SMALL(IF("Documento no web"='03.Muestra'!$D$8:$D$42,ROW('03.Muestra'!$B$8:$B$42)-MIN(ROW('03.Muestra'!$D$8:$D$42))+1,""),ROW()-94)),"")</f>
        <v/>
      </c>
      <c r="B97" s="114" t="str" cm="1">
        <f t="array" ref="B97">IFERROR(INDEX('03.Muestra'!$C$8:$C$42,SMALL(IF("Documento no web"='03.Muestra'!$D$8:$D$42,ROW('03.Muestra'!$C$8:$C$42)-MIN(ROW('03.Muestra'!$D$8:$D$42))+1,""),ROW()-94)),"")</f>
        <v/>
      </c>
      <c r="C97" s="114" t="str" cm="1">
        <f t="array" ref="C97">IFERROR(INDEX('03.Muestra'!$F$8:$F$42,SMALL(IF("Documento no web"='03.Muestra'!$D$8:$D$42,ROW('03.Muestra'!$F$8:$F$42)-MIN(ROW('03.Muestra'!$D$8:$D$42))+1,""),ROW()-94)),"")</f>
        <v/>
      </c>
      <c r="D97" s="130" t="str">
        <f t="shared" si="5" ref="D97:D129">IF(AND(B97&lt;&gt;"",C97&lt;&gt;""),"N/T","")</f>
        <v/>
      </c>
      <c r="E97" s="107" t="str">
        <f t="shared" si="4"/>
        <v/>
      </c>
      <c r="G97" s="19"/>
      <c r="H97" s="19"/>
      <c r="I97" s="19"/>
      <c r="J97" s="19"/>
      <c r="K97" s="233"/>
      <c r="L97" s="19"/>
      <c r="M97" s="19"/>
      <c r="N97" s="19"/>
      <c r="O97" s="19"/>
      <c r="P97" s="19"/>
      <c r="Q97" s="19"/>
      <c r="R97" s="19"/>
      <c r="S97" s="19"/>
      <c r="T97" s="19"/>
      <c r="U97" s="19"/>
      <c r="V97" s="19"/>
      <c r="W97" s="19"/>
      <c r="X97" s="19"/>
      <c r="Y97" s="19"/>
    </row>
    <row r="98" spans="1:25" ht="12" customHeight="1">
      <c r="A98" s="219" t="str" cm="1">
        <f t="array" ref="A98">IFERROR(INDEX('03.Muestra'!$B$8:$B$42,SMALL(IF("Documento no web"='03.Muestra'!$D$8:$D$42,ROW('03.Muestra'!$B$8:$B$42)-MIN(ROW('03.Muestra'!$D$8:$D$42))+1,""),ROW()-94)),"")</f>
        <v/>
      </c>
      <c r="B98" s="114" t="str" cm="1">
        <f t="array" ref="B98">IFERROR(INDEX('03.Muestra'!$C$8:$C$42,SMALL(IF("Documento no web"='03.Muestra'!$D$8:$D$42,ROW('03.Muestra'!$C$8:$C$42)-MIN(ROW('03.Muestra'!$D$8:$D$42))+1,""),ROW()-94)),"")</f>
        <v/>
      </c>
      <c r="C98" s="114" t="str" cm="1">
        <f t="array" ref="C98">IFERROR(INDEX('03.Muestra'!$F$8:$F$42,SMALL(IF("Documento no web"='03.Muestra'!$D$8:$D$42,ROW('03.Muestra'!$F$8:$F$42)-MIN(ROW('03.Muestra'!$D$8:$D$42))+1,""),ROW()-94)),"")</f>
        <v/>
      </c>
      <c r="D98" s="130" t="str">
        <f t="shared" si="5"/>
        <v/>
      </c>
      <c r="E98" s="107" t="str">
        <f t="shared" si="4"/>
        <v/>
      </c>
      <c r="G98" s="19"/>
      <c r="H98" s="19"/>
      <c r="I98" s="19"/>
      <c r="J98" s="19"/>
      <c r="K98" s="233"/>
      <c r="L98" s="19"/>
      <c r="M98" s="19"/>
      <c r="N98" s="19"/>
      <c r="O98" s="19"/>
      <c r="P98" s="19"/>
      <c r="Q98" s="19"/>
      <c r="R98" s="19"/>
      <c r="S98" s="19"/>
      <c r="T98" s="19"/>
      <c r="U98" s="19"/>
      <c r="V98" s="19"/>
      <c r="W98" s="19"/>
      <c r="X98" s="19"/>
      <c r="Y98" s="19"/>
    </row>
    <row r="99" spans="1:25" ht="12" customHeight="1">
      <c r="A99" s="219" t="str" cm="1">
        <f t="array" ref="A99">IFERROR(INDEX('03.Muestra'!$B$8:$B$42,SMALL(IF("Documento no web"='03.Muestra'!$D$8:$D$42,ROW('03.Muestra'!$B$8:$B$42)-MIN(ROW('03.Muestra'!$D$8:$D$42))+1,""),ROW()-94)),"")</f>
        <v/>
      </c>
      <c r="B99" s="114" t="str" cm="1">
        <f t="array" ref="B99">IFERROR(INDEX('03.Muestra'!$C$8:$C$42,SMALL(IF("Documento no web"='03.Muestra'!$D$8:$D$42,ROW('03.Muestra'!$C$8:$C$42)-MIN(ROW('03.Muestra'!$D$8:$D$42))+1,""),ROW()-94)),"")</f>
        <v/>
      </c>
      <c r="C99" s="114" t="str" cm="1">
        <f t="array" ref="C99">IFERROR(INDEX('03.Muestra'!$F$8:$F$42,SMALL(IF("Documento no web"='03.Muestra'!$D$8:$D$42,ROW('03.Muestra'!$F$8:$F$42)-MIN(ROW('03.Muestra'!$D$8:$D$42))+1,""),ROW()-94)),"")</f>
        <v/>
      </c>
      <c r="D99" s="130" t="str">
        <f t="shared" si="5"/>
        <v/>
      </c>
      <c r="E99" s="107" t="str">
        <f t="shared" si="4"/>
        <v/>
      </c>
      <c r="G99" s="19"/>
      <c r="H99" s="19"/>
      <c r="I99" s="19"/>
      <c r="J99" s="19"/>
      <c r="K99" s="233"/>
      <c r="L99" s="19"/>
      <c r="M99" s="19"/>
      <c r="N99" s="19"/>
      <c r="O99" s="19"/>
      <c r="P99" s="19"/>
      <c r="Q99" s="19"/>
      <c r="R99" s="19"/>
      <c r="S99" s="19"/>
      <c r="T99" s="19"/>
      <c r="U99" s="19"/>
      <c r="V99" s="19"/>
      <c r="W99" s="19"/>
      <c r="X99" s="19"/>
      <c r="Y99" s="19"/>
    </row>
    <row r="100" spans="1:25" ht="12" customHeight="1">
      <c r="A100" s="219" t="str" cm="1">
        <f t="array" ref="A100">IFERROR(INDEX('03.Muestra'!$B$8:$B$42,SMALL(IF("Documento no web"='03.Muestra'!$D$8:$D$42,ROW('03.Muestra'!$B$8:$B$42)-MIN(ROW('03.Muestra'!$D$8:$D$42))+1,""),ROW()-94)),"")</f>
        <v/>
      </c>
      <c r="B100" s="114" t="str" cm="1">
        <f t="array" ref="B100">IFERROR(INDEX('03.Muestra'!$C$8:$C$42,SMALL(IF("Documento no web"='03.Muestra'!$D$8:$D$42,ROW('03.Muestra'!$C$8:$C$42)-MIN(ROW('03.Muestra'!$D$8:$D$42))+1,""),ROW()-94)),"")</f>
        <v/>
      </c>
      <c r="C100" s="114" t="str" cm="1">
        <f t="array" ref="C100">IFERROR(INDEX('03.Muestra'!$F$8:$F$42,SMALL(IF("Documento no web"='03.Muestra'!$D$8:$D$42,ROW('03.Muestra'!$F$8:$F$42)-MIN(ROW('03.Muestra'!$D$8:$D$42))+1,""),ROW()-94)),"")</f>
        <v/>
      </c>
      <c r="D100" s="130" t="str">
        <f t="shared" si="5"/>
        <v/>
      </c>
      <c r="E100" s="107" t="str">
        <f t="shared" si="4"/>
        <v/>
      </c>
      <c r="G100" s="19"/>
      <c r="H100" s="19"/>
      <c r="I100" s="19"/>
      <c r="J100" s="19"/>
      <c r="K100" s="233"/>
      <c r="L100" s="19"/>
      <c r="M100" s="19"/>
      <c r="N100" s="19"/>
      <c r="O100" s="19"/>
      <c r="P100" s="19"/>
      <c r="Q100" s="19"/>
      <c r="R100" s="19"/>
      <c r="S100" s="19"/>
      <c r="T100" s="19"/>
      <c r="U100" s="19"/>
      <c r="V100" s="19"/>
      <c r="W100" s="19"/>
      <c r="X100" s="19"/>
      <c r="Y100" s="19"/>
    </row>
    <row r="101" spans="1:25" ht="12" customHeight="1">
      <c r="A101" s="219" t="str" cm="1">
        <f t="array" ref="A101">IFERROR(INDEX('03.Muestra'!$B$8:$B$42,SMALL(IF("Documento no web"='03.Muestra'!$D$8:$D$42,ROW('03.Muestra'!$B$8:$B$42)-MIN(ROW('03.Muestra'!$D$8:$D$42))+1,""),ROW()-94)),"")</f>
        <v/>
      </c>
      <c r="B101" s="114" t="str" cm="1">
        <f t="array" ref="B101">IFERROR(INDEX('03.Muestra'!$C$8:$C$42,SMALL(IF("Documento no web"='03.Muestra'!$D$8:$D$42,ROW('03.Muestra'!$C$8:$C$42)-MIN(ROW('03.Muestra'!$D$8:$D$42))+1,""),ROW()-94)),"")</f>
        <v/>
      </c>
      <c r="C101" s="114" t="str" cm="1">
        <f t="array" ref="C101">IFERROR(INDEX('03.Muestra'!$F$8:$F$42,SMALL(IF("Documento no web"='03.Muestra'!$D$8:$D$42,ROW('03.Muestra'!$F$8:$F$42)-MIN(ROW('03.Muestra'!$D$8:$D$42))+1,""),ROW()-94)),"")</f>
        <v/>
      </c>
      <c r="D101" s="130" t="str">
        <f t="shared" si="5"/>
        <v/>
      </c>
      <c r="E101" s="107" t="str">
        <f t="shared" si="4"/>
        <v/>
      </c>
      <c r="F101" s="19"/>
      <c r="G101" s="19"/>
      <c r="H101" s="19"/>
      <c r="I101" s="19"/>
      <c r="J101" s="19"/>
      <c r="K101" s="233"/>
      <c r="L101" s="19"/>
      <c r="M101" s="19"/>
      <c r="N101" s="19"/>
      <c r="O101" s="19"/>
      <c r="P101" s="19"/>
      <c r="Q101" s="19"/>
      <c r="R101" s="19"/>
      <c r="S101" s="19"/>
      <c r="T101" s="19"/>
      <c r="U101" s="19"/>
      <c r="V101" s="19"/>
      <c r="W101" s="19"/>
      <c r="X101" s="19"/>
      <c r="Y101" s="19"/>
    </row>
    <row r="102" spans="1:25" ht="12" customHeight="1">
      <c r="A102" s="219" t="str" cm="1">
        <f t="array" ref="A102">IFERROR(INDEX('03.Muestra'!$B$8:$B$42,SMALL(IF("Documento no web"='03.Muestra'!$D$8:$D$42,ROW('03.Muestra'!$B$8:$B$42)-MIN(ROW('03.Muestra'!$D$8:$D$42))+1,""),ROW()-94)),"")</f>
        <v/>
      </c>
      <c r="B102" s="114" t="str" cm="1">
        <f t="array" ref="B102">IFERROR(INDEX('03.Muestra'!$C$8:$C$42,SMALL(IF("Documento no web"='03.Muestra'!$D$8:$D$42,ROW('03.Muestra'!$C$8:$C$42)-MIN(ROW('03.Muestra'!$D$8:$D$42))+1,""),ROW()-94)),"")</f>
        <v/>
      </c>
      <c r="C102" s="114" t="str" cm="1">
        <f t="array" ref="C102">IFERROR(INDEX('03.Muestra'!$F$8:$F$42,SMALL(IF("Documento no web"='03.Muestra'!$D$8:$D$42,ROW('03.Muestra'!$F$8:$F$42)-MIN(ROW('03.Muestra'!$D$8:$D$42))+1,""),ROW()-94)),"")</f>
        <v/>
      </c>
      <c r="D102" s="130" t="str">
        <f t="shared" si="5"/>
        <v/>
      </c>
      <c r="E102" s="107" t="str">
        <f t="shared" si="4"/>
        <v/>
      </c>
      <c r="F102" s="19"/>
      <c r="G102" s="19"/>
      <c r="H102" s="19"/>
      <c r="I102" s="19"/>
      <c r="J102" s="19"/>
      <c r="K102" s="233"/>
      <c r="L102" s="19"/>
      <c r="M102" s="19"/>
      <c r="N102" s="19"/>
      <c r="O102" s="19"/>
      <c r="P102" s="19"/>
      <c r="Q102" s="19"/>
      <c r="R102" s="19"/>
      <c r="S102" s="19"/>
      <c r="T102" s="19"/>
      <c r="U102" s="19"/>
      <c r="V102" s="19"/>
      <c r="W102" s="19"/>
      <c r="X102" s="19"/>
      <c r="Y102" s="19"/>
    </row>
    <row r="103" spans="1:25" ht="12" customHeight="1">
      <c r="A103" s="219" t="str" cm="1">
        <f t="array" ref="A103">IFERROR(INDEX('03.Muestra'!$B$8:$B$42,SMALL(IF("Documento no web"='03.Muestra'!$D$8:$D$42,ROW('03.Muestra'!$B$8:$B$42)-MIN(ROW('03.Muestra'!$D$8:$D$42))+1,""),ROW()-94)),"")</f>
        <v/>
      </c>
      <c r="B103" s="114" t="str" cm="1">
        <f t="array" ref="B103">IFERROR(INDEX('03.Muestra'!$C$8:$C$42,SMALL(IF("Documento no web"='03.Muestra'!$D$8:$D$42,ROW('03.Muestra'!$C$8:$C$42)-MIN(ROW('03.Muestra'!$D$8:$D$42))+1,""),ROW()-94)),"")</f>
        <v/>
      </c>
      <c r="C103" s="114" t="str" cm="1">
        <f t="array" ref="C103">IFERROR(INDEX('03.Muestra'!$F$8:$F$42,SMALL(IF("Documento no web"='03.Muestra'!$D$8:$D$42,ROW('03.Muestra'!$F$8:$F$42)-MIN(ROW('03.Muestra'!$D$8:$D$42))+1,""),ROW()-94)),"")</f>
        <v/>
      </c>
      <c r="D103" s="130" t="str">
        <f t="shared" si="5"/>
        <v/>
      </c>
      <c r="E103" s="107" t="str">
        <f t="shared" si="4"/>
        <v/>
      </c>
      <c r="F103" s="19"/>
      <c r="G103" s="19"/>
      <c r="H103" s="19"/>
      <c r="I103" s="19"/>
      <c r="J103" s="19"/>
      <c r="K103" s="233"/>
      <c r="L103" s="19"/>
      <c r="M103" s="19"/>
      <c r="N103" s="19"/>
      <c r="O103" s="19"/>
      <c r="P103" s="19"/>
      <c r="Q103" s="19"/>
      <c r="R103" s="19"/>
      <c r="S103" s="19"/>
      <c r="T103" s="19"/>
      <c r="U103" s="19"/>
      <c r="V103" s="19"/>
      <c r="W103" s="19"/>
      <c r="X103" s="19"/>
      <c r="Y103" s="19"/>
    </row>
    <row r="104" spans="1:25" ht="12" customHeight="1">
      <c r="A104" s="219" t="str" cm="1">
        <f t="array" ref="A104">IFERROR(INDEX('03.Muestra'!$B$8:$B$42,SMALL(IF("Documento no web"='03.Muestra'!$D$8:$D$42,ROW('03.Muestra'!$B$8:$B$42)-MIN(ROW('03.Muestra'!$D$8:$D$42))+1,""),ROW()-94)),"")</f>
        <v/>
      </c>
      <c r="B104" s="114" t="str" cm="1">
        <f t="array" ref="B104">IFERROR(INDEX('03.Muestra'!$C$8:$C$42,SMALL(IF("Documento no web"='03.Muestra'!$D$8:$D$42,ROW('03.Muestra'!$C$8:$C$42)-MIN(ROW('03.Muestra'!$D$8:$D$42))+1,""),ROW()-94)),"")</f>
        <v/>
      </c>
      <c r="C104" s="114" t="str" cm="1">
        <f t="array" ref="C104">IFERROR(INDEX('03.Muestra'!$F$8:$F$42,SMALL(IF("Documento no web"='03.Muestra'!$D$8:$D$42,ROW('03.Muestra'!$F$8:$F$42)-MIN(ROW('03.Muestra'!$D$8:$D$42))+1,""),ROW()-94)),"")</f>
        <v/>
      </c>
      <c r="D104" s="130" t="str">
        <f t="shared" si="5"/>
        <v/>
      </c>
      <c r="E104" s="107" t="str">
        <f t="shared" si="4"/>
        <v/>
      </c>
      <c r="F104" s="19"/>
      <c r="G104" s="19"/>
      <c r="H104" s="19"/>
      <c r="I104" s="19"/>
      <c r="J104" s="19"/>
      <c r="K104" s="233"/>
      <c r="L104" s="19"/>
      <c r="M104" s="19"/>
      <c r="N104" s="19"/>
      <c r="O104" s="19"/>
      <c r="P104" s="19"/>
      <c r="Q104" s="19"/>
      <c r="R104" s="19"/>
      <c r="S104" s="19"/>
      <c r="T104" s="19"/>
      <c r="U104" s="19"/>
      <c r="V104" s="19"/>
      <c r="W104" s="19"/>
      <c r="X104" s="19"/>
      <c r="Y104" s="19"/>
    </row>
    <row r="105" spans="1:25" ht="12" customHeight="1">
      <c r="A105" s="219" t="str" cm="1">
        <f t="array" ref="A105">IFERROR(INDEX('03.Muestra'!$B$8:$B$42,SMALL(IF("Documento no web"='03.Muestra'!$D$8:$D$42,ROW('03.Muestra'!$B$8:$B$42)-MIN(ROW('03.Muestra'!$D$8:$D$42))+1,""),ROW()-94)),"")</f>
        <v/>
      </c>
      <c r="B105" s="114" t="str" cm="1">
        <f t="array" ref="B105">IFERROR(INDEX('03.Muestra'!$C$8:$C$42,SMALL(IF("Documento no web"='03.Muestra'!$D$8:$D$42,ROW('03.Muestra'!$C$8:$C$42)-MIN(ROW('03.Muestra'!$D$8:$D$42))+1,""),ROW()-94)),"")</f>
        <v/>
      </c>
      <c r="C105" s="114" t="str" cm="1">
        <f t="array" ref="C105">IFERROR(INDEX('03.Muestra'!$F$8:$F$42,SMALL(IF("Documento no web"='03.Muestra'!$D$8:$D$42,ROW('03.Muestra'!$F$8:$F$42)-MIN(ROW('03.Muestra'!$D$8:$D$42))+1,""),ROW()-94)),"")</f>
        <v/>
      </c>
      <c r="D105" s="130" t="str">
        <f t="shared" si="5"/>
        <v/>
      </c>
      <c r="E105" s="107" t="str">
        <f t="shared" si="4"/>
        <v/>
      </c>
      <c r="F105" s="19"/>
      <c r="G105" s="19"/>
      <c r="H105" s="19"/>
      <c r="I105" s="19"/>
      <c r="J105" s="19"/>
      <c r="K105" s="233"/>
      <c r="L105" s="19"/>
      <c r="M105" s="19"/>
      <c r="N105" s="19"/>
      <c r="O105" s="19"/>
      <c r="P105" s="19"/>
      <c r="Q105" s="19"/>
      <c r="R105" s="19"/>
      <c r="S105" s="19"/>
      <c r="T105" s="19"/>
      <c r="U105" s="19"/>
      <c r="V105" s="19"/>
      <c r="W105" s="19"/>
      <c r="X105" s="19"/>
      <c r="Y105" s="19"/>
    </row>
    <row r="106" spans="1:25" ht="12" customHeight="1">
      <c r="A106" s="219" t="str" cm="1">
        <f t="array" ref="A106">IFERROR(INDEX('03.Muestra'!$B$8:$B$42,SMALL(IF("Documento no web"='03.Muestra'!$D$8:$D$42,ROW('03.Muestra'!$B$8:$B$42)-MIN(ROW('03.Muestra'!$D$8:$D$42))+1,""),ROW()-94)),"")</f>
        <v/>
      </c>
      <c r="B106" s="114" t="str" cm="1">
        <f t="array" ref="B106">IFERROR(INDEX('03.Muestra'!$C$8:$C$42,SMALL(IF("Documento no web"='03.Muestra'!$D$8:$D$42,ROW('03.Muestra'!$C$8:$C$42)-MIN(ROW('03.Muestra'!$D$8:$D$42))+1,""),ROW()-94)),"")</f>
        <v/>
      </c>
      <c r="C106" s="114" t="str" cm="1">
        <f t="array" ref="C106">IFERROR(INDEX('03.Muestra'!$F$8:$F$42,SMALL(IF("Documento no web"='03.Muestra'!$D$8:$D$42,ROW('03.Muestra'!$F$8:$F$42)-MIN(ROW('03.Muestra'!$D$8:$D$42))+1,""),ROW()-94)),"")</f>
        <v/>
      </c>
      <c r="D106" s="130" t="str">
        <f t="shared" si="5"/>
        <v/>
      </c>
      <c r="E106" s="107" t="str">
        <f t="shared" si="4"/>
        <v/>
      </c>
      <c r="F106" s="19"/>
      <c r="G106" s="19"/>
      <c r="H106" s="19"/>
      <c r="I106" s="19"/>
      <c r="J106" s="19"/>
      <c r="K106" s="233"/>
      <c r="L106" s="19"/>
      <c r="M106" s="19"/>
      <c r="N106" s="19"/>
      <c r="O106" s="19"/>
      <c r="P106" s="19"/>
      <c r="Q106" s="19"/>
      <c r="R106" s="19"/>
      <c r="S106" s="19"/>
      <c r="T106" s="19"/>
      <c r="U106" s="19"/>
      <c r="V106" s="19"/>
      <c r="W106" s="19"/>
      <c r="X106" s="19"/>
      <c r="Y106" s="19"/>
    </row>
    <row r="107" spans="1:25" ht="14.1" customHeight="1">
      <c r="A107" s="219" t="str" cm="1">
        <f t="array" ref="A107">IFERROR(INDEX('03.Muestra'!$B$8:$B$42,SMALL(IF("Documento no web"='03.Muestra'!$D$8:$D$42,ROW('03.Muestra'!$B$8:$B$42)-MIN(ROW('03.Muestra'!$D$8:$D$42))+1,""),ROW()-94)),"")</f>
        <v/>
      </c>
      <c r="B107" s="114" t="str" cm="1">
        <f t="array" ref="B107">IFERROR(INDEX('03.Muestra'!$C$8:$C$42,SMALL(IF("Documento no web"='03.Muestra'!$D$8:$D$42,ROW('03.Muestra'!$C$8:$C$42)-MIN(ROW('03.Muestra'!$D$8:$D$42))+1,""),ROW()-94)),"")</f>
        <v/>
      </c>
      <c r="C107" s="114" t="str" cm="1">
        <f t="array" ref="C107">IFERROR(INDEX('03.Muestra'!$F$8:$F$42,SMALL(IF("Documento no web"='03.Muestra'!$D$8:$D$42,ROW('03.Muestra'!$F$8:$F$42)-MIN(ROW('03.Muestra'!$D$8:$D$42))+1,""),ROW()-94)),"")</f>
        <v/>
      </c>
      <c r="D107" s="130" t="str">
        <f t="shared" si="5"/>
        <v/>
      </c>
      <c r="E107" s="107" t="str">
        <f t="shared" si="4"/>
        <v/>
      </c>
      <c r="F107" s="19"/>
      <c r="G107" s="19"/>
      <c r="H107" s="19"/>
      <c r="I107" s="19"/>
      <c r="J107" s="19"/>
      <c r="K107" s="233"/>
      <c r="L107" s="19"/>
      <c r="M107" s="19"/>
      <c r="N107" s="19"/>
      <c r="O107" s="19"/>
      <c r="P107" s="19"/>
      <c r="Q107" s="19"/>
      <c r="R107" s="19"/>
      <c r="S107" s="19"/>
      <c r="T107" s="19"/>
      <c r="U107" s="19"/>
      <c r="V107" s="19"/>
      <c r="W107" s="19"/>
      <c r="X107" s="19"/>
      <c r="Y107" s="19"/>
    </row>
    <row r="108" spans="1:25" ht="14.1" customHeight="1">
      <c r="A108" s="219" t="str" cm="1">
        <f t="array" ref="A108">IFERROR(INDEX('03.Muestra'!$B$8:$B$42,SMALL(IF("Documento no web"='03.Muestra'!$D$8:$D$42,ROW('03.Muestra'!$B$8:$B$42)-MIN(ROW('03.Muestra'!$D$8:$D$42))+1,""),ROW()-94)),"")</f>
        <v/>
      </c>
      <c r="B108" s="114" t="str" cm="1">
        <f t="array" ref="B108">IFERROR(INDEX('03.Muestra'!$C$8:$C$42,SMALL(IF("Documento no web"='03.Muestra'!$D$8:$D$42,ROW('03.Muestra'!$C$8:$C$42)-MIN(ROW('03.Muestra'!$D$8:$D$42))+1,""),ROW()-94)),"")</f>
        <v/>
      </c>
      <c r="C108" s="114" t="str" cm="1">
        <f t="array" ref="C108">IFERROR(INDEX('03.Muestra'!$F$8:$F$42,SMALL(IF("Documento no web"='03.Muestra'!$D$8:$D$42,ROW('03.Muestra'!$F$8:$F$42)-MIN(ROW('03.Muestra'!$D$8:$D$42))+1,""),ROW()-94)),"")</f>
        <v/>
      </c>
      <c r="D108" s="130" t="str">
        <f t="shared" si="5"/>
        <v/>
      </c>
      <c r="E108" s="107" t="str">
        <f t="shared" si="4"/>
        <v/>
      </c>
      <c r="F108" s="19"/>
      <c r="G108" s="19"/>
      <c r="H108" s="19"/>
      <c r="I108" s="19"/>
      <c r="J108" s="19"/>
      <c r="K108" s="233"/>
      <c r="L108" s="19"/>
      <c r="M108" s="19"/>
      <c r="N108" s="19"/>
      <c r="O108" s="19"/>
      <c r="P108" s="19"/>
      <c r="Q108" s="19"/>
      <c r="R108" s="19"/>
      <c r="S108" s="19"/>
      <c r="T108" s="19"/>
      <c r="U108" s="19"/>
      <c r="V108" s="19"/>
      <c r="W108" s="19"/>
      <c r="X108" s="19"/>
      <c r="Y108" s="19"/>
    </row>
    <row r="109" spans="1:25" ht="14.1" customHeight="1">
      <c r="A109" s="219" t="str" cm="1">
        <f t="array" ref="A109">IFERROR(INDEX('03.Muestra'!$B$8:$B$42,SMALL(IF("Documento no web"='03.Muestra'!$D$8:$D$42,ROW('03.Muestra'!$B$8:$B$42)-MIN(ROW('03.Muestra'!$D$8:$D$42))+1,""),ROW()-94)),"")</f>
        <v/>
      </c>
      <c r="B109" s="114" t="str" cm="1">
        <f t="array" ref="B109">IFERROR(INDEX('03.Muestra'!$C$8:$C$42,SMALL(IF("Documento no web"='03.Muestra'!$D$8:$D$42,ROW('03.Muestra'!$C$8:$C$42)-MIN(ROW('03.Muestra'!$D$8:$D$42))+1,""),ROW()-94)),"")</f>
        <v/>
      </c>
      <c r="C109" s="114" t="str" cm="1">
        <f t="array" ref="C109">IFERROR(INDEX('03.Muestra'!$F$8:$F$42,SMALL(IF("Documento no web"='03.Muestra'!$D$8:$D$42,ROW('03.Muestra'!$F$8:$F$42)-MIN(ROW('03.Muestra'!$D$8:$D$42))+1,""),ROW()-94)),"")</f>
        <v/>
      </c>
      <c r="D109" s="130" t="str">
        <f t="shared" si="5"/>
        <v/>
      </c>
      <c r="E109" s="107" t="str">
        <f t="shared" si="4"/>
        <v/>
      </c>
      <c r="F109" s="19"/>
      <c r="G109" s="19"/>
      <c r="H109" s="19"/>
      <c r="I109" s="19"/>
      <c r="J109" s="19"/>
      <c r="K109" s="233"/>
      <c r="L109" s="19"/>
      <c r="M109" s="19"/>
      <c r="N109" s="19"/>
      <c r="O109" s="19"/>
      <c r="P109" s="19"/>
      <c r="Q109" s="19"/>
      <c r="R109" s="19"/>
      <c r="S109" s="19"/>
      <c r="T109" s="19"/>
      <c r="U109" s="19"/>
      <c r="V109" s="19"/>
      <c r="W109" s="19"/>
      <c r="X109" s="19"/>
      <c r="Y109" s="19"/>
    </row>
    <row r="110" spans="1:25" ht="14.1" customHeight="1">
      <c r="A110" s="219" t="str" cm="1">
        <f t="array" ref="A110">IFERROR(INDEX('03.Muestra'!$B$8:$B$42,SMALL(IF("Documento no web"='03.Muestra'!$D$8:$D$42,ROW('03.Muestra'!$B$8:$B$42)-MIN(ROW('03.Muestra'!$D$8:$D$42))+1,""),ROW()-94)),"")</f>
        <v/>
      </c>
      <c r="B110" s="114" t="str" cm="1">
        <f t="array" ref="B110">IFERROR(INDEX('03.Muestra'!$C$8:$C$42,SMALL(IF("Documento no web"='03.Muestra'!$D$8:$D$42,ROW('03.Muestra'!$C$8:$C$42)-MIN(ROW('03.Muestra'!$D$8:$D$42))+1,""),ROW()-94)),"")</f>
        <v/>
      </c>
      <c r="C110" s="114" t="str" cm="1">
        <f t="array" ref="C110">IFERROR(INDEX('03.Muestra'!$F$8:$F$42,SMALL(IF("Documento no web"='03.Muestra'!$D$8:$D$42,ROW('03.Muestra'!$F$8:$F$42)-MIN(ROW('03.Muestra'!$D$8:$D$42))+1,""),ROW()-94)),"")</f>
        <v/>
      </c>
      <c r="D110" s="130" t="str">
        <f t="shared" si="5"/>
        <v/>
      </c>
      <c r="E110" s="107" t="str">
        <f t="shared" si="4"/>
        <v/>
      </c>
      <c r="F110" s="19"/>
      <c r="G110" s="19"/>
      <c r="H110" s="19"/>
      <c r="I110" s="19"/>
      <c r="J110" s="19"/>
      <c r="K110" s="233"/>
      <c r="L110" s="19"/>
      <c r="M110" s="19"/>
      <c r="N110" s="19"/>
      <c r="O110" s="19"/>
      <c r="P110" s="19"/>
      <c r="Q110" s="19"/>
      <c r="R110" s="19"/>
      <c r="S110" s="19"/>
      <c r="T110" s="19"/>
      <c r="U110" s="19"/>
      <c r="V110" s="19"/>
      <c r="W110" s="19"/>
      <c r="X110" s="19"/>
      <c r="Y110" s="19"/>
    </row>
    <row r="111" spans="1:25" ht="14.1" customHeight="1">
      <c r="A111" s="219" t="str" cm="1">
        <f t="array" ref="A111">IFERROR(INDEX('03.Muestra'!$B$8:$B$42,SMALL(IF("Documento no web"='03.Muestra'!$D$8:$D$42,ROW('03.Muestra'!$B$8:$B$42)-MIN(ROW('03.Muestra'!$D$8:$D$42))+1,""),ROW()-94)),"")</f>
        <v/>
      </c>
      <c r="B111" s="114" t="str" cm="1">
        <f t="array" ref="B111">IFERROR(INDEX('03.Muestra'!$C$8:$C$42,SMALL(IF("Documento no web"='03.Muestra'!$D$8:$D$42,ROW('03.Muestra'!$C$8:$C$42)-MIN(ROW('03.Muestra'!$D$8:$D$42))+1,""),ROW()-94)),"")</f>
        <v/>
      </c>
      <c r="C111" s="114" t="str" cm="1">
        <f t="array" ref="C111">IFERROR(INDEX('03.Muestra'!$F$8:$F$42,SMALL(IF("Documento no web"='03.Muestra'!$D$8:$D$42,ROW('03.Muestra'!$F$8:$F$42)-MIN(ROW('03.Muestra'!$D$8:$D$42))+1,""),ROW()-94)),"")</f>
        <v/>
      </c>
      <c r="D111" s="130" t="str">
        <f t="shared" si="5"/>
        <v/>
      </c>
      <c r="E111" s="107" t="str">
        <f t="shared" si="4"/>
        <v/>
      </c>
      <c r="F111" s="19"/>
      <c r="G111" s="19"/>
      <c r="H111" s="19"/>
      <c r="I111" s="19"/>
      <c r="J111" s="19"/>
      <c r="K111" s="233"/>
      <c r="L111" s="19"/>
      <c r="M111" s="19"/>
      <c r="N111" s="19"/>
      <c r="O111" s="19"/>
      <c r="P111" s="19"/>
      <c r="Q111" s="19"/>
      <c r="R111" s="19"/>
      <c r="S111" s="19"/>
      <c r="T111" s="19"/>
      <c r="U111" s="19"/>
      <c r="V111" s="19"/>
      <c r="W111" s="19"/>
      <c r="X111" s="19"/>
      <c r="Y111" s="19"/>
    </row>
    <row r="112" spans="1:25" ht="14.1" customHeight="1">
      <c r="A112" s="219" t="str" cm="1">
        <f t="array" ref="A112">IFERROR(INDEX('03.Muestra'!$B$8:$B$42,SMALL(IF("Documento no web"='03.Muestra'!$D$8:$D$42,ROW('03.Muestra'!$B$8:$B$42)-MIN(ROW('03.Muestra'!$D$8:$D$42))+1,""),ROW()-94)),"")</f>
        <v/>
      </c>
      <c r="B112" s="114" t="str" cm="1">
        <f t="array" ref="B112">IFERROR(INDEX('03.Muestra'!$C$8:$C$42,SMALL(IF("Documento no web"='03.Muestra'!$D$8:$D$42,ROW('03.Muestra'!$C$8:$C$42)-MIN(ROW('03.Muestra'!$D$8:$D$42))+1,""),ROW()-94)),"")</f>
        <v/>
      </c>
      <c r="C112" s="114" t="str" cm="1">
        <f t="array" ref="C112">IFERROR(INDEX('03.Muestra'!$F$8:$F$42,SMALL(IF("Documento no web"='03.Muestra'!$D$8:$D$42,ROW('03.Muestra'!$F$8:$F$42)-MIN(ROW('03.Muestra'!$D$8:$D$42))+1,""),ROW()-94)),"")</f>
        <v/>
      </c>
      <c r="D112" s="130" t="str">
        <f t="shared" si="5"/>
        <v/>
      </c>
      <c r="E112" s="107" t="str">
        <f t="shared" si="4"/>
        <v/>
      </c>
      <c r="F112" s="19"/>
      <c r="G112" s="19"/>
      <c r="H112" s="19"/>
      <c r="I112" s="19"/>
      <c r="J112" s="19"/>
      <c r="K112" s="233"/>
      <c r="L112" s="19"/>
      <c r="M112" s="19"/>
      <c r="N112" s="19"/>
      <c r="O112" s="19"/>
      <c r="P112" s="19"/>
      <c r="Q112" s="19"/>
      <c r="R112" s="19"/>
      <c r="S112" s="19"/>
      <c r="T112" s="19"/>
      <c r="U112" s="19"/>
      <c r="V112" s="19"/>
      <c r="W112" s="19"/>
      <c r="X112" s="19"/>
      <c r="Y112" s="19"/>
    </row>
    <row r="113" spans="1:25" ht="14.1" customHeight="1">
      <c r="A113" s="219" t="str" cm="1">
        <f t="array" ref="A113">IFERROR(INDEX('03.Muestra'!$B$8:$B$42,SMALL(IF("Documento no web"='03.Muestra'!$D$8:$D$42,ROW('03.Muestra'!$B$8:$B$42)-MIN(ROW('03.Muestra'!$D$8:$D$42))+1,""),ROW()-94)),"")</f>
        <v/>
      </c>
      <c r="B113" s="114" t="str" cm="1">
        <f t="array" ref="B113">IFERROR(INDEX('03.Muestra'!$C$8:$C$42,SMALL(IF("Documento no web"='03.Muestra'!$D$8:$D$42,ROW('03.Muestra'!$C$8:$C$42)-MIN(ROW('03.Muestra'!$D$8:$D$42))+1,""),ROW()-94)),"")</f>
        <v/>
      </c>
      <c r="C113" s="114" t="str" cm="1">
        <f t="array" ref="C113">IFERROR(INDEX('03.Muestra'!$F$8:$F$42,SMALL(IF("Documento no web"='03.Muestra'!$D$8:$D$42,ROW('03.Muestra'!$F$8:$F$42)-MIN(ROW('03.Muestra'!$D$8:$D$42))+1,""),ROW()-94)),"")</f>
        <v/>
      </c>
      <c r="D113" s="130" t="str">
        <f t="shared" si="5"/>
        <v/>
      </c>
      <c r="E113" s="107" t="str">
        <f t="shared" si="4"/>
        <v/>
      </c>
      <c r="F113" s="19"/>
      <c r="G113" s="19"/>
      <c r="H113" s="19"/>
      <c r="I113" s="19"/>
      <c r="J113" s="19"/>
      <c r="K113" s="233"/>
      <c r="L113" s="19"/>
      <c r="M113" s="19"/>
      <c r="N113" s="19"/>
      <c r="O113" s="19"/>
      <c r="P113" s="19"/>
      <c r="Q113" s="19"/>
      <c r="R113" s="19"/>
      <c r="S113" s="19"/>
      <c r="T113" s="19"/>
      <c r="U113" s="19"/>
      <c r="V113" s="19"/>
      <c r="W113" s="19"/>
      <c r="X113" s="19"/>
      <c r="Y113" s="19"/>
    </row>
    <row r="114" spans="1:25" ht="14.1" customHeight="1">
      <c r="A114" s="219" t="str" cm="1">
        <f t="array" ref="A114">IFERROR(INDEX('03.Muestra'!$B$8:$B$42,SMALL(IF("Documento no web"='03.Muestra'!$D$8:$D$42,ROW('03.Muestra'!$B$8:$B$42)-MIN(ROW('03.Muestra'!$D$8:$D$42))+1,""),ROW()-94)),"")</f>
        <v/>
      </c>
      <c r="B114" s="114" t="str" cm="1">
        <f t="array" ref="B114">IFERROR(INDEX('03.Muestra'!$C$8:$C$42,SMALL(IF("Documento no web"='03.Muestra'!$D$8:$D$42,ROW('03.Muestra'!$C$8:$C$42)-MIN(ROW('03.Muestra'!$D$8:$D$42))+1,""),ROW()-94)),"")</f>
        <v/>
      </c>
      <c r="C114" s="114" t="str" cm="1">
        <f t="array" ref="C114">IFERROR(INDEX('03.Muestra'!$F$8:$F$42,SMALL(IF("Documento no web"='03.Muestra'!$D$8:$D$42,ROW('03.Muestra'!$F$8:$F$42)-MIN(ROW('03.Muestra'!$D$8:$D$42))+1,""),ROW()-94)),"")</f>
        <v/>
      </c>
      <c r="D114" s="130" t="str">
        <f t="shared" si="5"/>
        <v/>
      </c>
      <c r="E114" s="107" t="str">
        <f t="shared" si="4"/>
        <v/>
      </c>
      <c r="F114" s="19"/>
      <c r="G114" s="19"/>
      <c r="H114" s="19"/>
      <c r="I114" s="19"/>
      <c r="J114" s="19"/>
      <c r="K114" s="233"/>
      <c r="L114" s="19"/>
      <c r="M114" s="19"/>
      <c r="N114" s="19"/>
      <c r="O114" s="19"/>
      <c r="P114" s="19"/>
      <c r="Q114" s="19"/>
      <c r="R114" s="19"/>
      <c r="S114" s="19"/>
      <c r="T114" s="19"/>
      <c r="U114" s="19"/>
      <c r="V114" s="19"/>
      <c r="W114" s="19"/>
      <c r="X114" s="19"/>
      <c r="Y114" s="19"/>
    </row>
    <row r="115" spans="1:25" ht="14.1" customHeight="1">
      <c r="A115" s="219" t="str" cm="1">
        <f t="array" ref="A115">IFERROR(INDEX('03.Muestra'!$B$8:$B$42,SMALL(IF("Documento no web"='03.Muestra'!$D$8:$D$42,ROW('03.Muestra'!$B$8:$B$42)-MIN(ROW('03.Muestra'!$D$8:$D$42))+1,""),ROW()-94)),"")</f>
        <v/>
      </c>
      <c r="B115" s="114" t="str" cm="1">
        <f t="array" ref="B115">IFERROR(INDEX('03.Muestra'!$C$8:$C$42,SMALL(IF("Documento no web"='03.Muestra'!$D$8:$D$42,ROW('03.Muestra'!$C$8:$C$42)-MIN(ROW('03.Muestra'!$D$8:$D$42))+1,""),ROW()-94)),"")</f>
        <v/>
      </c>
      <c r="C115" s="114" t="str" cm="1">
        <f t="array" ref="C115">IFERROR(INDEX('03.Muestra'!$F$8:$F$42,SMALL(IF("Documento no web"='03.Muestra'!$D$8:$D$42,ROW('03.Muestra'!$F$8:$F$42)-MIN(ROW('03.Muestra'!$D$8:$D$42))+1,""),ROW()-94)),"")</f>
        <v/>
      </c>
      <c r="D115" s="130" t="str">
        <f t="shared" si="5"/>
        <v/>
      </c>
      <c r="E115" s="107" t="str">
        <f t="shared" si="4"/>
        <v/>
      </c>
      <c r="F115" s="19"/>
      <c r="G115" s="19"/>
      <c r="H115" s="19"/>
      <c r="I115" s="19"/>
      <c r="J115" s="19"/>
      <c r="K115" s="233"/>
      <c r="L115" s="19"/>
      <c r="M115" s="19"/>
      <c r="N115" s="19"/>
      <c r="O115" s="19"/>
      <c r="P115" s="19"/>
      <c r="Q115" s="19"/>
      <c r="R115" s="19"/>
      <c r="S115" s="19"/>
      <c r="T115" s="19"/>
      <c r="U115" s="19"/>
      <c r="V115" s="19"/>
      <c r="W115" s="19"/>
      <c r="X115" s="19"/>
      <c r="Y115" s="19"/>
    </row>
    <row r="116" spans="1:25" ht="14.1" customHeight="1">
      <c r="A116" s="219" t="str" cm="1">
        <f t="array" ref="A116">IFERROR(INDEX('03.Muestra'!$B$8:$B$42,SMALL(IF("Documento no web"='03.Muestra'!$D$8:$D$42,ROW('03.Muestra'!$B$8:$B$42)-MIN(ROW('03.Muestra'!$D$8:$D$42))+1,""),ROW()-94)),"")</f>
        <v/>
      </c>
      <c r="B116" s="114" t="str" cm="1">
        <f t="array" ref="B116">IFERROR(INDEX('03.Muestra'!$C$8:$C$42,SMALL(IF("Documento no web"='03.Muestra'!$D$8:$D$42,ROW('03.Muestra'!$C$8:$C$42)-MIN(ROW('03.Muestra'!$D$8:$D$42))+1,""),ROW()-94)),"")</f>
        <v/>
      </c>
      <c r="C116" s="114" t="str" cm="1">
        <f t="array" ref="C116">IFERROR(INDEX('03.Muestra'!$F$8:$F$42,SMALL(IF("Documento no web"='03.Muestra'!$D$8:$D$42,ROW('03.Muestra'!$F$8:$F$42)-MIN(ROW('03.Muestra'!$D$8:$D$42))+1,""),ROW()-94)),"")</f>
        <v/>
      </c>
      <c r="D116" s="130" t="str">
        <f t="shared" si="5"/>
        <v/>
      </c>
      <c r="E116" s="107" t="str">
        <f t="shared" si="4"/>
        <v/>
      </c>
      <c r="F116" s="19"/>
      <c r="G116" s="19"/>
      <c r="H116" s="19"/>
      <c r="I116" s="19"/>
      <c r="J116" s="19"/>
      <c r="K116" s="233"/>
      <c r="L116" s="19"/>
      <c r="M116" s="19"/>
      <c r="N116" s="19"/>
      <c r="O116" s="19"/>
      <c r="P116" s="19"/>
      <c r="Q116" s="19"/>
      <c r="R116" s="19"/>
      <c r="S116" s="19"/>
      <c r="T116" s="19"/>
      <c r="U116" s="19"/>
      <c r="V116" s="19"/>
      <c r="W116" s="19"/>
      <c r="X116" s="19"/>
      <c r="Y116" s="19"/>
    </row>
    <row r="117" spans="1:25" ht="14.1" customHeight="1">
      <c r="A117" s="219" t="str" cm="1">
        <f t="array" ref="A117">IFERROR(INDEX('03.Muestra'!$B$8:$B$42,SMALL(IF("Documento no web"='03.Muestra'!$D$8:$D$42,ROW('03.Muestra'!$B$8:$B$42)-MIN(ROW('03.Muestra'!$D$8:$D$42))+1,""),ROW()-94)),"")</f>
        <v/>
      </c>
      <c r="B117" s="114" t="str" cm="1">
        <f t="array" ref="B117">IFERROR(INDEX('03.Muestra'!$C$8:$C$42,SMALL(IF("Documento no web"='03.Muestra'!$D$8:$D$42,ROW('03.Muestra'!$C$8:$C$42)-MIN(ROW('03.Muestra'!$D$8:$D$42))+1,""),ROW()-94)),"")</f>
        <v/>
      </c>
      <c r="C117" s="114" t="str" cm="1">
        <f t="array" ref="C117">IFERROR(INDEX('03.Muestra'!$F$8:$F$42,SMALL(IF("Documento no web"='03.Muestra'!$D$8:$D$42,ROW('03.Muestra'!$F$8:$F$42)-MIN(ROW('03.Muestra'!$D$8:$D$42))+1,""),ROW()-94)),"")</f>
        <v/>
      </c>
      <c r="D117" s="130" t="str">
        <f t="shared" si="5"/>
        <v/>
      </c>
      <c r="E117" s="107" t="str">
        <f t="shared" si="4"/>
        <v/>
      </c>
      <c r="F117" s="19"/>
      <c r="G117" s="19"/>
      <c r="H117" s="19"/>
      <c r="I117" s="19"/>
      <c r="J117" s="19"/>
      <c r="K117" s="233"/>
      <c r="L117" s="19"/>
      <c r="M117" s="19"/>
      <c r="N117" s="19"/>
      <c r="O117" s="19"/>
      <c r="P117" s="19"/>
      <c r="Q117" s="19"/>
      <c r="R117" s="19"/>
      <c r="S117" s="19"/>
      <c r="T117" s="19"/>
      <c r="U117" s="19"/>
      <c r="V117" s="19"/>
      <c r="W117" s="19"/>
      <c r="X117" s="19"/>
      <c r="Y117" s="19"/>
    </row>
    <row r="118" spans="1:25" ht="12" customHeight="1">
      <c r="A118" s="219" t="str" cm="1">
        <f t="array" ref="A118">IFERROR(INDEX('03.Muestra'!$B$8:$B$42,SMALL(IF("Documento no web"='03.Muestra'!$D$8:$D$42,ROW('03.Muestra'!$B$8:$B$42)-MIN(ROW('03.Muestra'!$D$8:$D$42))+1,""),ROW()-94)),"")</f>
        <v/>
      </c>
      <c r="B118" s="114" t="str" cm="1">
        <f t="array" ref="B118">IFERROR(INDEX('03.Muestra'!$C$8:$C$42,SMALL(IF("Documento no web"='03.Muestra'!$D$8:$D$42,ROW('03.Muestra'!$C$8:$C$42)-MIN(ROW('03.Muestra'!$D$8:$D$42))+1,""),ROW()-94)),"")</f>
        <v/>
      </c>
      <c r="C118" s="114" t="str" cm="1">
        <f t="array" ref="C118">IFERROR(INDEX('03.Muestra'!$F$8:$F$42,SMALL(IF("Documento no web"='03.Muestra'!$D$8:$D$42,ROW('03.Muestra'!$F$8:$F$42)-MIN(ROW('03.Muestra'!$D$8:$D$42))+1,""),ROW()-94)),"")</f>
        <v/>
      </c>
      <c r="D118" s="130" t="str">
        <f t="shared" si="5"/>
        <v/>
      </c>
      <c r="E118" s="107" t="str">
        <f t="shared" si="4"/>
        <v/>
      </c>
      <c r="F118" s="19"/>
      <c r="G118" s="19"/>
      <c r="H118" s="19"/>
      <c r="I118" s="19"/>
      <c r="J118" s="19"/>
      <c r="K118" s="233"/>
      <c r="L118" s="19"/>
      <c r="M118" s="19"/>
      <c r="N118" s="19"/>
      <c r="O118" s="19"/>
      <c r="P118" s="19"/>
      <c r="Q118" s="19"/>
      <c r="R118" s="19"/>
      <c r="S118" s="19"/>
      <c r="T118" s="19"/>
      <c r="U118" s="19"/>
      <c r="V118" s="19"/>
      <c r="W118" s="19"/>
      <c r="X118" s="19"/>
      <c r="Y118" s="19"/>
    </row>
    <row r="119" spans="1:25" ht="12" customHeight="1">
      <c r="A119" s="219" t="str" cm="1">
        <f t="array" ref="A119">IFERROR(INDEX('03.Muestra'!$B$8:$B$42,SMALL(IF("Documento no web"='03.Muestra'!$D$8:$D$42,ROW('03.Muestra'!$B$8:$B$42)-MIN(ROW('03.Muestra'!$D$8:$D$42))+1,""),ROW()-94)),"")</f>
        <v/>
      </c>
      <c r="B119" s="114" t="str" cm="1">
        <f t="array" ref="B119">IFERROR(INDEX('03.Muestra'!$C$8:$C$42,SMALL(IF("Documento no web"='03.Muestra'!$D$8:$D$42,ROW('03.Muestra'!$C$8:$C$42)-MIN(ROW('03.Muestra'!$D$8:$D$42))+1,""),ROW()-94)),"")</f>
        <v/>
      </c>
      <c r="C119" s="114" t="str" cm="1">
        <f t="array" ref="C119">IFERROR(INDEX('03.Muestra'!$F$8:$F$42,SMALL(IF("Documento no web"='03.Muestra'!$D$8:$D$42,ROW('03.Muestra'!$F$8:$F$42)-MIN(ROW('03.Muestra'!$D$8:$D$42))+1,""),ROW()-94)),"")</f>
        <v/>
      </c>
      <c r="D119" s="130" t="str">
        <f t="shared" si="5"/>
        <v/>
      </c>
      <c r="E119" s="107" t="str">
        <f t="shared" si="4"/>
        <v/>
      </c>
      <c r="F119" s="19"/>
      <c r="G119" s="19"/>
      <c r="H119" s="19"/>
      <c r="I119" s="19"/>
      <c r="J119" s="19"/>
      <c r="K119" s="233"/>
      <c r="L119" s="19"/>
      <c r="M119" s="19"/>
      <c r="N119" s="19"/>
      <c r="O119" s="19"/>
      <c r="P119" s="19"/>
      <c r="Q119" s="19"/>
      <c r="R119" s="19"/>
      <c r="S119" s="19"/>
      <c r="T119" s="19"/>
      <c r="U119" s="19"/>
      <c r="V119" s="19"/>
      <c r="W119" s="19"/>
      <c r="X119" s="19"/>
      <c r="Y119" s="19"/>
    </row>
    <row r="120" spans="1:25" ht="12" customHeight="1">
      <c r="A120" s="219" t="str" cm="1">
        <f t="array" ref="A120">IFERROR(INDEX('03.Muestra'!$B$8:$B$42,SMALL(IF("Documento no web"='03.Muestra'!$D$8:$D$42,ROW('03.Muestra'!$B$8:$B$42)-MIN(ROW('03.Muestra'!$D$8:$D$42))+1,""),ROW()-94)),"")</f>
        <v/>
      </c>
      <c r="B120" s="114" t="str" cm="1">
        <f t="array" ref="B120">IFERROR(INDEX('03.Muestra'!$C$8:$C$42,SMALL(IF("Documento no web"='03.Muestra'!$D$8:$D$42,ROW('03.Muestra'!$C$8:$C$42)-MIN(ROW('03.Muestra'!$D$8:$D$42))+1,""),ROW()-94)),"")</f>
        <v/>
      </c>
      <c r="C120" s="114" t="str" cm="1">
        <f t="array" ref="C120">IFERROR(INDEX('03.Muestra'!$F$8:$F$42,SMALL(IF("Documento no web"='03.Muestra'!$D$8:$D$42,ROW('03.Muestra'!$F$8:$F$42)-MIN(ROW('03.Muestra'!$D$8:$D$42))+1,""),ROW()-94)),"")</f>
        <v/>
      </c>
      <c r="D120" s="130" t="str">
        <f t="shared" si="5"/>
        <v/>
      </c>
      <c r="E120" s="107" t="str">
        <f t="shared" si="4"/>
        <v/>
      </c>
      <c r="F120" s="19"/>
      <c r="G120" s="19"/>
      <c r="H120" s="19"/>
      <c r="I120" s="19"/>
      <c r="J120" s="19"/>
      <c r="K120" s="233"/>
      <c r="L120" s="19"/>
      <c r="M120" s="19"/>
      <c r="N120" s="19"/>
      <c r="O120" s="19"/>
      <c r="P120" s="19"/>
      <c r="Q120" s="19"/>
      <c r="R120" s="19"/>
      <c r="S120" s="19"/>
      <c r="T120" s="19"/>
      <c r="U120" s="19"/>
      <c r="V120" s="19"/>
      <c r="W120" s="19"/>
      <c r="X120" s="19"/>
      <c r="Y120" s="19"/>
    </row>
    <row r="121" spans="1:25" ht="12" customHeight="1">
      <c r="A121" s="219" t="str" cm="1">
        <f t="array" ref="A121">IFERROR(INDEX('03.Muestra'!$B$8:$B$42,SMALL(IF("Documento no web"='03.Muestra'!$D$8:$D$42,ROW('03.Muestra'!$B$8:$B$42)-MIN(ROW('03.Muestra'!$D$8:$D$42))+1,""),ROW()-94)),"")</f>
        <v/>
      </c>
      <c r="B121" s="114" t="str" cm="1">
        <f t="array" ref="B121">IFERROR(INDEX('03.Muestra'!$C$8:$C$42,SMALL(IF("Documento no web"='03.Muestra'!$D$8:$D$42,ROW('03.Muestra'!$C$8:$C$42)-MIN(ROW('03.Muestra'!$D$8:$D$42))+1,""),ROW()-94)),"")</f>
        <v/>
      </c>
      <c r="C121" s="114" t="str" cm="1">
        <f t="array" ref="C121">IFERROR(INDEX('03.Muestra'!$F$8:$F$42,SMALL(IF("Documento no web"='03.Muestra'!$D$8:$D$42,ROW('03.Muestra'!$F$8:$F$42)-MIN(ROW('03.Muestra'!$D$8:$D$42))+1,""),ROW()-94)),"")</f>
        <v/>
      </c>
      <c r="D121" s="130" t="str">
        <f t="shared" si="5"/>
        <v/>
      </c>
      <c r="E121" s="107" t="str">
        <f t="shared" si="4"/>
        <v/>
      </c>
      <c r="F121" s="19"/>
      <c r="G121" s="19"/>
      <c r="H121" s="19"/>
      <c r="I121" s="19"/>
      <c r="J121" s="19"/>
      <c r="K121" s="233"/>
      <c r="L121" s="19"/>
      <c r="M121" s="19"/>
      <c r="N121" s="19"/>
      <c r="O121" s="19"/>
      <c r="P121" s="19"/>
      <c r="Q121" s="19"/>
      <c r="R121" s="19"/>
      <c r="S121" s="19"/>
      <c r="T121" s="19"/>
      <c r="U121" s="19"/>
      <c r="V121" s="19"/>
      <c r="W121" s="19"/>
      <c r="X121" s="19"/>
      <c r="Y121" s="19"/>
    </row>
    <row r="122" spans="1:25" ht="12" customHeight="1">
      <c r="A122" s="219" t="str" cm="1">
        <f t="array" ref="A122">IFERROR(INDEX('03.Muestra'!$B$8:$B$42,SMALL(IF("Documento no web"='03.Muestra'!$D$8:$D$42,ROW('03.Muestra'!$B$8:$B$42)-MIN(ROW('03.Muestra'!$D$8:$D$42))+1,""),ROW()-94)),"")</f>
        <v/>
      </c>
      <c r="B122" s="114" t="str" cm="1">
        <f t="array" ref="B122">IFERROR(INDEX('03.Muestra'!$C$8:$C$42,SMALL(IF("Documento no web"='03.Muestra'!$D$8:$D$42,ROW('03.Muestra'!$C$8:$C$42)-MIN(ROW('03.Muestra'!$D$8:$D$42))+1,""),ROW()-94)),"")</f>
        <v/>
      </c>
      <c r="C122" s="114" t="str" cm="1">
        <f t="array" ref="C122">IFERROR(INDEX('03.Muestra'!$F$8:$F$42,SMALL(IF("Documento no web"='03.Muestra'!$D$8:$D$42,ROW('03.Muestra'!$F$8:$F$42)-MIN(ROW('03.Muestra'!$D$8:$D$42))+1,""),ROW()-94)),"")</f>
        <v/>
      </c>
      <c r="D122" s="130" t="str">
        <f t="shared" si="5"/>
        <v/>
      </c>
      <c r="E122" s="107" t="str">
        <f t="shared" si="4"/>
        <v/>
      </c>
      <c r="G122" s="19"/>
      <c r="H122" s="19"/>
      <c r="I122" s="19"/>
      <c r="J122" s="19"/>
      <c r="K122" s="233"/>
      <c r="L122" s="19"/>
      <c r="M122" s="19"/>
      <c r="N122" s="19"/>
      <c r="O122" s="19"/>
      <c r="P122" s="19"/>
      <c r="Q122" s="19"/>
      <c r="R122" s="19"/>
      <c r="S122" s="19"/>
      <c r="T122" s="19"/>
      <c r="U122" s="19"/>
      <c r="V122" s="19"/>
      <c r="W122" s="19"/>
      <c r="X122" s="19"/>
      <c r="Y122" s="19"/>
    </row>
    <row r="123" spans="1:25" ht="12" customHeight="1">
      <c r="A123" s="219" t="str" cm="1">
        <f t="array" ref="A123">IFERROR(INDEX('03.Muestra'!$B$8:$B$42,SMALL(IF("Documento no web"='03.Muestra'!$D$8:$D$42,ROW('03.Muestra'!$B$8:$B$42)-MIN(ROW('03.Muestra'!$D$8:$D$42))+1,""),ROW()-94)),"")</f>
        <v/>
      </c>
      <c r="B123" s="114" t="str" cm="1">
        <f t="array" ref="B123">IFERROR(INDEX('03.Muestra'!$C$8:$C$42,SMALL(IF("Documento no web"='03.Muestra'!$D$8:$D$42,ROW('03.Muestra'!$C$8:$C$42)-MIN(ROW('03.Muestra'!$D$8:$D$42))+1,""),ROW()-94)),"")</f>
        <v/>
      </c>
      <c r="C123" s="114" t="str" cm="1">
        <f t="array" ref="C123">IFERROR(INDEX('03.Muestra'!$F$8:$F$42,SMALL(IF("Documento no web"='03.Muestra'!$D$8:$D$42,ROW('03.Muestra'!$F$8:$F$42)-MIN(ROW('03.Muestra'!$D$8:$D$42))+1,""),ROW()-94)),"")</f>
        <v/>
      </c>
      <c r="D123" s="130" t="str">
        <f t="shared" si="5"/>
        <v/>
      </c>
      <c r="E123" s="107" t="str">
        <f t="shared" si="4"/>
        <v/>
      </c>
      <c r="F123" s="124"/>
      <c r="G123" s="19"/>
      <c r="H123" s="19"/>
      <c r="I123" s="19"/>
      <c r="J123" s="19"/>
      <c r="K123" s="233"/>
      <c r="L123" s="19"/>
      <c r="M123" s="19"/>
      <c r="N123" s="19"/>
      <c r="O123" s="19"/>
      <c r="P123" s="19"/>
      <c r="Q123" s="19"/>
      <c r="R123" s="19"/>
      <c r="S123" s="19"/>
      <c r="T123" s="19"/>
      <c r="U123" s="19"/>
      <c r="V123" s="19"/>
      <c r="W123" s="19"/>
      <c r="X123" s="19"/>
      <c r="Y123" s="19"/>
    </row>
    <row r="124" spans="1:25" ht="12" customHeight="1">
      <c r="A124" s="219" t="str" cm="1">
        <f t="array" ref="A124">IFERROR(INDEX('03.Muestra'!$B$8:$B$42,SMALL(IF("Documento no web"='03.Muestra'!$D$8:$D$42,ROW('03.Muestra'!$B$8:$B$42)-MIN(ROW('03.Muestra'!$D$8:$D$42))+1,""),ROW()-94)),"")</f>
        <v/>
      </c>
      <c r="B124" s="114" t="str" cm="1">
        <f t="array" ref="B124">IFERROR(INDEX('03.Muestra'!$C$8:$C$42,SMALL(IF("Documento no web"='03.Muestra'!$D$8:$D$42,ROW('03.Muestra'!$C$8:$C$42)-MIN(ROW('03.Muestra'!$D$8:$D$42))+1,""),ROW()-94)),"")</f>
        <v/>
      </c>
      <c r="C124" s="114" t="str" cm="1">
        <f t="array" ref="C124">IFERROR(INDEX('03.Muestra'!$F$8:$F$42,SMALL(IF("Documento no web"='03.Muestra'!$D$8:$D$42,ROW('03.Muestra'!$F$8:$F$42)-MIN(ROW('03.Muestra'!$D$8:$D$42))+1,""),ROW()-94)),"")</f>
        <v/>
      </c>
      <c r="D124" s="130" t="str">
        <f t="shared" si="5"/>
        <v/>
      </c>
      <c r="E124" s="107" t="str">
        <f t="shared" si="4"/>
        <v/>
      </c>
      <c r="F124" s="124"/>
      <c r="G124" s="19"/>
      <c r="H124" s="19"/>
      <c r="I124" s="19"/>
      <c r="J124" s="19"/>
      <c r="K124" s="233"/>
      <c r="L124" s="19"/>
      <c r="M124" s="19"/>
      <c r="N124" s="19"/>
      <c r="O124" s="19"/>
      <c r="P124" s="19"/>
      <c r="Q124" s="19"/>
      <c r="R124" s="19"/>
      <c r="S124" s="19"/>
      <c r="T124" s="19"/>
      <c r="U124" s="19"/>
      <c r="V124" s="19"/>
      <c r="W124" s="19"/>
      <c r="X124" s="19"/>
      <c r="Y124" s="19"/>
    </row>
    <row r="125" spans="1:25" ht="12" customHeight="1">
      <c r="A125" s="219" t="str" cm="1">
        <f t="array" ref="A125">IFERROR(INDEX('03.Muestra'!$B$8:$B$42,SMALL(IF("Documento no web"='03.Muestra'!$D$8:$D$42,ROW('03.Muestra'!$B$8:$B$42)-MIN(ROW('03.Muestra'!$D$8:$D$42))+1,""),ROW()-94)),"")</f>
        <v/>
      </c>
      <c r="B125" s="114" t="str" cm="1">
        <f t="array" ref="B125">IFERROR(INDEX('03.Muestra'!$C$8:$C$42,SMALL(IF("Documento no web"='03.Muestra'!$D$8:$D$42,ROW('03.Muestra'!$C$8:$C$42)-MIN(ROW('03.Muestra'!$D$8:$D$42))+1,""),ROW()-94)),"")</f>
        <v/>
      </c>
      <c r="C125" s="114" t="str" cm="1">
        <f t="array" ref="C125">IFERROR(INDEX('03.Muestra'!$F$8:$F$42,SMALL(IF("Documento no web"='03.Muestra'!$D$8:$D$42,ROW('03.Muestra'!$F$8:$F$42)-MIN(ROW('03.Muestra'!$D$8:$D$42))+1,""),ROW()-94)),"")</f>
        <v/>
      </c>
      <c r="D125" s="130" t="str">
        <f t="shared" si="5"/>
        <v/>
      </c>
      <c r="E125" s="107" t="str">
        <f t="shared" si="4"/>
        <v/>
      </c>
      <c r="F125" s="124"/>
      <c r="G125" s="19"/>
      <c r="H125" s="19"/>
      <c r="I125" s="19"/>
      <c r="J125" s="19"/>
      <c r="K125" s="233"/>
      <c r="L125" s="19"/>
      <c r="M125" s="19"/>
      <c r="N125" s="19"/>
      <c r="O125" s="19"/>
      <c r="P125" s="19"/>
      <c r="Q125" s="19"/>
      <c r="R125" s="19"/>
      <c r="S125" s="19"/>
      <c r="T125" s="19"/>
      <c r="U125" s="19"/>
      <c r="V125" s="19"/>
      <c r="W125" s="19"/>
      <c r="X125" s="19"/>
      <c r="Y125" s="19"/>
    </row>
    <row r="126" spans="1:25" ht="12" customHeight="1">
      <c r="A126" s="219" t="str" cm="1">
        <f t="array" ref="A126">IFERROR(INDEX('03.Muestra'!$B$8:$B$42,SMALL(IF("Documento no web"='03.Muestra'!$D$8:$D$42,ROW('03.Muestra'!$B$8:$B$42)-MIN(ROW('03.Muestra'!$D$8:$D$42))+1,""),ROW()-94)),"")</f>
        <v/>
      </c>
      <c r="B126" s="114" t="str" cm="1">
        <f t="array" ref="B126">IFERROR(INDEX('03.Muestra'!$C$8:$C$42,SMALL(IF("Documento no web"='03.Muestra'!$D$8:$D$42,ROW('03.Muestra'!$C$8:$C$42)-MIN(ROW('03.Muestra'!$D$8:$D$42))+1,""),ROW()-94)),"")</f>
        <v/>
      </c>
      <c r="C126" s="114" t="str" cm="1">
        <f t="array" ref="C126">IFERROR(INDEX('03.Muestra'!$F$8:$F$42,SMALL(IF("Documento no web"='03.Muestra'!$D$8:$D$42,ROW('03.Muestra'!$F$8:$F$42)-MIN(ROW('03.Muestra'!$D$8:$D$42))+1,""),ROW()-94)),"")</f>
        <v/>
      </c>
      <c r="D126" s="130" t="str">
        <f t="shared" si="5"/>
        <v/>
      </c>
      <c r="E126" s="107" t="str">
        <f t="shared" si="4"/>
        <v/>
      </c>
      <c r="F126" s="124"/>
      <c r="G126" s="19"/>
      <c r="H126" s="19"/>
      <c r="I126" s="19"/>
      <c r="J126" s="19"/>
      <c r="K126" s="233"/>
      <c r="L126" s="19"/>
      <c r="M126" s="19"/>
      <c r="N126" s="19"/>
      <c r="O126" s="19"/>
      <c r="P126" s="19"/>
      <c r="Q126" s="19"/>
      <c r="R126" s="19"/>
      <c r="S126" s="19"/>
      <c r="T126" s="19"/>
      <c r="U126" s="19"/>
      <c r="V126" s="19"/>
      <c r="W126" s="19"/>
      <c r="X126" s="19"/>
      <c r="Y126" s="19"/>
    </row>
    <row r="127" spans="1:25" ht="12" customHeight="1">
      <c r="A127" s="219" t="str" cm="1">
        <f t="array" ref="A127">IFERROR(INDEX('03.Muestra'!$B$8:$B$42,SMALL(IF("Documento no web"='03.Muestra'!$D$8:$D$42,ROW('03.Muestra'!$B$8:$B$42)-MIN(ROW('03.Muestra'!$D$8:$D$42))+1,""),ROW()-94)),"")</f>
        <v/>
      </c>
      <c r="B127" s="114" t="str" cm="1">
        <f t="array" ref="B127">IFERROR(INDEX('03.Muestra'!$C$8:$C$42,SMALL(IF("Documento no web"='03.Muestra'!$D$8:$D$42,ROW('03.Muestra'!$C$8:$C$42)-MIN(ROW('03.Muestra'!$D$8:$D$42))+1,""),ROW()-94)),"")</f>
        <v/>
      </c>
      <c r="C127" s="114" t="str" cm="1">
        <f t="array" ref="C127">IFERROR(INDEX('03.Muestra'!$F$8:$F$42,SMALL(IF("Documento no web"='03.Muestra'!$D$8:$D$42,ROW('03.Muestra'!$F$8:$F$42)-MIN(ROW('03.Muestra'!$D$8:$D$42))+1,""),ROW()-94)),"")</f>
        <v/>
      </c>
      <c r="D127" s="130" t="str">
        <f t="shared" si="5"/>
        <v/>
      </c>
      <c r="E127" s="107" t="str">
        <f t="shared" si="4"/>
        <v/>
      </c>
      <c r="F127" s="124"/>
      <c r="G127" s="19"/>
      <c r="H127" s="19"/>
      <c r="I127" s="19"/>
      <c r="J127" s="19"/>
      <c r="K127" s="233"/>
      <c r="L127" s="19"/>
      <c r="M127" s="19"/>
      <c r="N127" s="19"/>
      <c r="O127" s="19"/>
      <c r="P127" s="19"/>
      <c r="Q127" s="19"/>
      <c r="R127" s="19"/>
      <c r="S127" s="19"/>
      <c r="T127" s="19"/>
      <c r="U127" s="19"/>
      <c r="V127" s="19"/>
      <c r="W127" s="19"/>
      <c r="X127" s="19"/>
      <c r="Y127" s="19"/>
    </row>
    <row r="128" spans="1:25" ht="12" customHeight="1">
      <c r="A128" s="219" t="str" cm="1">
        <f t="array" ref="A128">IFERROR(INDEX('03.Muestra'!$B$8:$B$42,SMALL(IF("Documento no web"='03.Muestra'!$D$8:$D$42,ROW('03.Muestra'!$B$8:$B$42)-MIN(ROW('03.Muestra'!$D$8:$D$42))+1,""),ROW()-94)),"")</f>
        <v/>
      </c>
      <c r="B128" s="114" t="str" cm="1">
        <f t="array" ref="B128">IFERROR(INDEX('03.Muestra'!$C$8:$C$42,SMALL(IF("Documento no web"='03.Muestra'!$D$8:$D$42,ROW('03.Muestra'!$C$8:$C$42)-MIN(ROW('03.Muestra'!$D$8:$D$42))+1,""),ROW()-94)),"")</f>
        <v/>
      </c>
      <c r="C128" s="114" t="str" cm="1">
        <f t="array" ref="C128">IFERROR(INDEX('03.Muestra'!$F$8:$F$42,SMALL(IF("Documento no web"='03.Muestra'!$D$8:$D$42,ROW('03.Muestra'!$F$8:$F$42)-MIN(ROW('03.Muestra'!$D$8:$D$42))+1,""),ROW()-94)),"")</f>
        <v/>
      </c>
      <c r="D128" s="130" t="str">
        <f t="shared" si="5"/>
        <v/>
      </c>
      <c r="E128" s="107" t="str">
        <f t="shared" si="4"/>
        <v/>
      </c>
      <c r="F128" s="124"/>
      <c r="G128" s="19"/>
      <c r="H128" s="19"/>
      <c r="I128" s="19"/>
      <c r="J128" s="19"/>
      <c r="K128" s="233"/>
      <c r="L128" s="19"/>
      <c r="M128" s="19"/>
      <c r="N128" s="19"/>
      <c r="O128" s="19"/>
      <c r="P128" s="19"/>
      <c r="Q128" s="19"/>
      <c r="R128" s="19"/>
      <c r="S128" s="19"/>
      <c r="T128" s="19"/>
      <c r="U128" s="19"/>
      <c r="V128" s="19"/>
      <c r="W128" s="19"/>
      <c r="X128" s="19"/>
      <c r="Y128" s="19"/>
    </row>
    <row r="129" spans="1:25" ht="12" customHeight="1">
      <c r="A129" s="219" t="str" cm="1">
        <f t="array" ref="A129">IFERROR(INDEX('03.Muestra'!$B$8:$B$42,SMALL(IF("Documento no web"='03.Muestra'!$D$8:$D$42,ROW('03.Muestra'!$B$8:$B$42)-MIN(ROW('03.Muestra'!$D$8:$D$42))+1,""),ROW()-94)),"")</f>
        <v/>
      </c>
      <c r="B129" s="114" t="str" cm="1">
        <f t="array" ref="B129">IFERROR(INDEX('03.Muestra'!$C$8:$C$42,SMALL(IF("Documento no web"='03.Muestra'!$D$8:$D$42,ROW('03.Muestra'!$C$8:$C$42)-MIN(ROW('03.Muestra'!$D$8:$D$42))+1,""),ROW()-94)),"")</f>
        <v/>
      </c>
      <c r="C129" s="114" t="str" cm="1">
        <f t="array" ref="C129">IFERROR(INDEX('03.Muestra'!$F$8:$F$42,SMALL(IF("Documento no web"='03.Muestra'!$D$8:$D$42,ROW('03.Muestra'!$F$8:$F$42)-MIN(ROW('03.Muestra'!$D$8:$D$42))+1,""),ROW()-94)),"")</f>
        <v/>
      </c>
      <c r="D129" s="130" t="str">
        <f t="shared" si="5"/>
        <v/>
      </c>
      <c r="E129" s="107" t="str">
        <f t="shared" si="4"/>
        <v/>
      </c>
      <c r="F129" s="19"/>
      <c r="G129" s="19"/>
      <c r="H129" s="19"/>
      <c r="I129" s="19"/>
      <c r="J129" s="19"/>
      <c r="K129" s="233"/>
      <c r="L129" s="19"/>
      <c r="M129" s="19"/>
      <c r="N129" s="19"/>
      <c r="O129" s="19"/>
      <c r="P129" s="19"/>
      <c r="Q129" s="19"/>
      <c r="R129" s="19"/>
      <c r="S129" s="19"/>
      <c r="T129" s="19"/>
      <c r="U129" s="19"/>
      <c r="V129" s="19"/>
      <c r="W129" s="19"/>
      <c r="X129" s="19"/>
      <c r="Y129" s="19"/>
    </row>
    <row r="130" spans="1:25" ht="12" customHeight="1">
      <c r="B130" s="19"/>
      <c r="C130" s="19"/>
      <c r="D130" s="107"/>
      <c r="E130" s="107"/>
      <c r="F130" s="19"/>
      <c r="G130" s="19"/>
      <c r="H130" s="19"/>
      <c r="I130" s="19"/>
      <c r="J130" s="19"/>
      <c r="K130" s="233"/>
      <c r="L130" s="19"/>
      <c r="M130" s="19"/>
      <c r="N130" s="19"/>
      <c r="O130" s="19"/>
      <c r="P130" s="19"/>
      <c r="Q130" s="19"/>
      <c r="R130" s="19"/>
      <c r="S130" s="19"/>
      <c r="T130" s="19"/>
      <c r="U130" s="19"/>
      <c r="V130" s="19"/>
      <c r="W130" s="19"/>
      <c r="X130" s="19"/>
      <c r="Y130" s="19"/>
    </row>
    <row r="131" spans="1:25" ht="12" customHeight="1">
      <c r="B131" s="19"/>
      <c r="C131" s="19"/>
      <c r="D131" s="107"/>
      <c r="E131" s="112"/>
      <c r="F131" s="19"/>
      <c r="G131" s="19"/>
      <c r="H131" s="19"/>
      <c r="I131" s="19"/>
      <c r="J131" s="19"/>
      <c r="K131" s="233"/>
      <c r="L131" s="19"/>
      <c r="M131" s="19"/>
      <c r="N131" s="19"/>
      <c r="O131" s="19"/>
      <c r="P131" s="19"/>
      <c r="Q131" s="19"/>
      <c r="R131" s="19"/>
      <c r="S131" s="19"/>
      <c r="T131" s="19"/>
      <c r="U131" s="19"/>
      <c r="V131" s="19"/>
      <c r="W131" s="19"/>
      <c r="X131" s="19"/>
      <c r="Y131" s="19"/>
    </row>
    <row r="132" spans="1:25" ht="32.25" customHeight="1">
      <c r="A132" s="218" t="s">
        <v>268</v>
      </c>
      <c r="B132" s="24" t="s">
        <v>90</v>
      </c>
      <c r="C132" s="25" t="s">
        <v>425</v>
      </c>
      <c r="D132" s="26" t="s">
        <v>32</v>
      </c>
      <c r="E132" s="123"/>
      <c r="K132" s="233"/>
      <c r="L132" s="19"/>
      <c r="M132" s="19"/>
      <c r="N132" s="19"/>
      <c r="O132" s="19"/>
      <c r="P132" s="19"/>
      <c r="Q132" s="19"/>
      <c r="R132" s="19"/>
      <c r="S132" s="19"/>
      <c r="T132" s="19"/>
      <c r="U132" s="19"/>
      <c r="V132" s="19"/>
      <c r="W132" s="19"/>
      <c r="X132" s="19"/>
      <c r="Y132" s="19"/>
    </row>
    <row r="133" spans="1:25" ht="12" customHeight="1">
      <c r="A133" s="219" t="n" cm="1">
        <f t="array" ref="A133">IFERROR(INDEX('03.Muestra'!$B$8:$B$42,SMALL(IF("Documento no web"='03.Muestra'!$D$8:$D$42,ROW('03.Muestra'!$B$8:$B$42)-MIN(ROW('03.Muestra'!$D$8:$D$42))+1,""),ROW()-132)),"")</f>
        <v>1.0</v>
      </c>
      <c r="B133" s="114" t="str" cm="1">
        <f t="array" ref="B133">IFERROR(INDEX('03.Muestra'!$C$8:$C$42,SMALL(IF("Documento no web"='03.Muestra'!$D$8:$D$42,ROW('03.Muestra'!$C$8:$C$42)-MIN(ROW('03.Muestra'!$D$8:$D$42))+1,""),ROW()-132)),"")</f>
        <v>Home - PortCastelló</v>
      </c>
      <c r="C133" s="114" t="str" cm="1">
        <f t="array" ref="C133">IFERROR(INDEX('03.Muestra'!$F$8:$F$42,SMALL(IF("Documento no web"='03.Muestra'!$D$8:$D$42,ROW('03.Muestra'!$F$8:$F$42)-MIN(ROW('03.Muestra'!$D$8:$D$42))+1,""),ROW()-132)),"")</f>
        <v>https://www.portcastello.com/</v>
      </c>
      <c r="D133" s="130" t="s">
        <v>33</v>
      </c>
      <c r="E133" s="107" t="str">
        <f t="shared" ref="E133:E167" si="6">IF(D133&lt;&gt;"",IF(AND(B133&lt;&gt;"",C133&lt;&gt;""),"","ERR"),"")</f>
        <v/>
      </c>
      <c r="F133" s="115" t="s">
        <v>33</v>
      </c>
      <c r="G133" s="116" t="s">
        <v>37</v>
      </c>
      <c r="H133" s="117" t="s">
        <v>35</v>
      </c>
      <c r="I133" s="118" t="s">
        <v>28</v>
      </c>
      <c r="J133" s="119" t="s">
        <v>26</v>
      </c>
      <c r="K133" s="226" t="s">
        <v>474</v>
      </c>
      <c r="L133" s="19"/>
      <c r="M133" s="19"/>
      <c r="N133" s="19"/>
      <c r="O133" s="19"/>
      <c r="P133" s="19"/>
      <c r="Q133" s="19"/>
      <c r="R133" s="19"/>
      <c r="S133" s="19"/>
      <c r="T133" s="19"/>
      <c r="U133" s="19"/>
      <c r="V133" s="19"/>
      <c r="W133" s="19"/>
      <c r="X133" s="19"/>
      <c r="Y133" s="19"/>
    </row>
    <row r="134" spans="1:25" ht="12" customHeight="1">
      <c r="A134" s="219" t="n" cm="1">
        <f t="array" ref="A134">IFERROR(INDEX('03.Muestra'!$B$8:$B$42,SMALL(IF("Documento no web"='03.Muestra'!$D$8:$D$42,ROW('03.Muestra'!$B$8:$B$42)-MIN(ROW('03.Muestra'!$D$8:$D$42))+1,""),ROW()-132)),"")</f>
        <v>1.0</v>
      </c>
      <c r="B134" s="114" t="str" cm="1">
        <f t="array" ref="B134">IFERROR(INDEX('03.Muestra'!$C$8:$C$42,SMALL(IF("Documento no web"='03.Muestra'!$D$8:$D$42,ROW('03.Muestra'!$C$8:$C$42)-MIN(ROW('03.Muestra'!$D$8:$D$42))+1,""),ROW()-132)),"")</f>
        <v>Home - PortCastelló</v>
      </c>
      <c r="C134" s="114" t="str" cm="1">
        <f t="array" ref="C134">IFERROR(INDEX('03.Muestra'!$F$8:$F$42,SMALL(IF("Documento no web"='03.Muestra'!$D$8:$D$42,ROW('03.Muestra'!$F$8:$F$42)-MIN(ROW('03.Muestra'!$D$8:$D$42))+1,""),ROW()-132)),"")</f>
        <v>https://www.portcastello.com/</v>
      </c>
      <c r="D134" s="130" t="s">
        <v>33</v>
      </c>
      <c r="E134" s="107" t="str">
        <f t="shared" si="6"/>
        <v/>
      </c>
      <c r="F134" s="120" t="n">
        <f ca="1">COUNTIF($D133:INDIRECT("$D" &amp;  SUM(ROW()-1,'03.Muestra'!$D$45)-1),F133)</f>
        <v>2.0</v>
      </c>
      <c r="G134" s="120" t="n">
        <f ca="1">COUNTIF($D133:INDIRECT("$D" &amp;  SUM(ROW()-1,'03.Muestra'!$D$45)-1),G133)</f>
        <v>0.0</v>
      </c>
      <c r="H134" s="120" t="n">
        <f ca="1">COUNTIF($D133:INDIRECT("$D" &amp;  SUM(ROW()-1,'03.Muestra'!$D$45)-1),H133)</f>
        <v>0.0</v>
      </c>
      <c r="I134" s="120" t="n">
        <f ca="1">COUNTIF($D133:INDIRECT("$D" &amp;  SUM(ROW()-1,'03.Muestra'!$D$45)-1),I133)</f>
        <v>0.0</v>
      </c>
      <c r="J134" s="120" t="n">
        <f ca="1">COUNTIF($D133:INDIRECT("$D" &amp;  SUM(ROW()-1,'03.Muestra'!$D$45)-1),J133)</f>
        <v>0.0</v>
      </c>
      <c r="K134" s="227" t="n">
        <f ca="1">IF(COUNTIF('03.Muestra'!$D$8:$D$42,"Documento no web")=0,0,COUNTBLANK($D133:INDIRECT("$D" &amp;  SUM(ROW()-1,COUNTIF('03.Muestra'!$D$8:$D$42,"Documento no web"))-1)))</f>
        <v>0.0</v>
      </c>
      <c r="L134" s="19"/>
      <c r="M134" s="19"/>
      <c r="N134" s="19"/>
      <c r="O134" s="19"/>
      <c r="P134" s="19"/>
      <c r="Q134" s="19"/>
      <c r="R134" s="19"/>
      <c r="S134" s="19"/>
      <c r="T134" s="19"/>
      <c r="U134" s="19"/>
      <c r="V134" s="19"/>
      <c r="W134" s="19"/>
      <c r="X134" s="19"/>
      <c r="Y134" s="19"/>
    </row>
    <row r="135" spans="1:25" ht="12" customHeight="1">
      <c r="A135" s="219" t="str" cm="1">
        <f t="array" ref="A135">IFERROR(INDEX('03.Muestra'!$B$8:$B$42,SMALL(IF("Documento no web"='03.Muestra'!$D$8:$D$42,ROW('03.Muestra'!$B$8:$B$42)-MIN(ROW('03.Muestra'!$D$8:$D$42))+1,""),ROW()-132)),"")</f>
        <v/>
      </c>
      <c r="B135" s="114" t="str" cm="1">
        <f t="array" ref="B135">IFERROR(INDEX('03.Muestra'!$C$8:$C$42,SMALL(IF("Documento no web"='03.Muestra'!$D$8:$D$42,ROW('03.Muestra'!$C$8:$C$42)-MIN(ROW('03.Muestra'!$D$8:$D$42))+1,""),ROW()-132)),"")</f>
        <v/>
      </c>
      <c r="C135" s="114" t="str" cm="1">
        <f t="array" ref="C135">IFERROR(INDEX('03.Muestra'!$F$8:$F$42,SMALL(IF("Documento no web"='03.Muestra'!$D$8:$D$42,ROW('03.Muestra'!$F$8:$F$42)-MIN(ROW('03.Muestra'!$D$8:$D$42))+1,""),ROW()-132)),"")</f>
        <v/>
      </c>
      <c r="D135" s="130" t="str">
        <f t="shared" si="7" ref="D135:D167">IF(AND(B135&lt;&gt;"",C135&lt;&gt;""),"N/T","")</f>
        <v/>
      </c>
      <c r="E135" s="107" t="str">
        <f t="shared" si="6"/>
        <v/>
      </c>
      <c r="G135" s="19"/>
      <c r="H135" s="19"/>
      <c r="I135" s="19"/>
      <c r="J135" s="19"/>
      <c r="K135" s="233"/>
      <c r="L135" s="19"/>
      <c r="M135" s="19"/>
      <c r="N135" s="19"/>
      <c r="O135" s="19"/>
      <c r="P135" s="19"/>
      <c r="Q135" s="19"/>
      <c r="R135" s="19"/>
      <c r="S135" s="19"/>
      <c r="T135" s="19"/>
      <c r="U135" s="19"/>
      <c r="V135" s="19"/>
      <c r="W135" s="19"/>
      <c r="X135" s="19"/>
      <c r="Y135" s="19"/>
    </row>
    <row r="136" spans="1:25" ht="12" customHeight="1">
      <c r="A136" s="219" t="str" cm="1">
        <f t="array" ref="A136">IFERROR(INDEX('03.Muestra'!$B$8:$B$42,SMALL(IF("Documento no web"='03.Muestra'!$D$8:$D$42,ROW('03.Muestra'!$B$8:$B$42)-MIN(ROW('03.Muestra'!$D$8:$D$42))+1,""),ROW()-132)),"")</f>
        <v/>
      </c>
      <c r="B136" s="114" t="str" cm="1">
        <f t="array" ref="B136">IFERROR(INDEX('03.Muestra'!$C$8:$C$42,SMALL(IF("Documento no web"='03.Muestra'!$D$8:$D$42,ROW('03.Muestra'!$C$8:$C$42)-MIN(ROW('03.Muestra'!$D$8:$D$42))+1,""),ROW()-132)),"")</f>
        <v/>
      </c>
      <c r="C136" s="114" t="str" cm="1">
        <f t="array" ref="C136">IFERROR(INDEX('03.Muestra'!$F$8:$F$42,SMALL(IF("Documento no web"='03.Muestra'!$D$8:$D$42,ROW('03.Muestra'!$F$8:$F$42)-MIN(ROW('03.Muestra'!$D$8:$D$42))+1,""),ROW()-132)),"")</f>
        <v/>
      </c>
      <c r="D136" s="130" t="str">
        <f t="shared" si="7"/>
        <v/>
      </c>
      <c r="E136" s="107" t="str">
        <f t="shared" si="6"/>
        <v/>
      </c>
      <c r="G136" s="19"/>
      <c r="H136" s="19"/>
      <c r="I136" s="19"/>
      <c r="J136" s="19"/>
      <c r="K136" s="233"/>
      <c r="L136" s="19"/>
      <c r="M136" s="19"/>
      <c r="N136" s="19"/>
      <c r="O136" s="19"/>
      <c r="P136" s="19"/>
      <c r="Q136" s="19"/>
      <c r="R136" s="19"/>
      <c r="S136" s="19"/>
      <c r="T136" s="19"/>
      <c r="U136" s="19"/>
      <c r="V136" s="19"/>
      <c r="W136" s="19"/>
      <c r="X136" s="19"/>
      <c r="Y136" s="19"/>
    </row>
    <row r="137" spans="1:25" ht="12" customHeight="1">
      <c r="A137" s="219" t="str" cm="1">
        <f t="array" ref="A137">IFERROR(INDEX('03.Muestra'!$B$8:$B$42,SMALL(IF("Documento no web"='03.Muestra'!$D$8:$D$42,ROW('03.Muestra'!$B$8:$B$42)-MIN(ROW('03.Muestra'!$D$8:$D$42))+1,""),ROW()-132)),"")</f>
        <v/>
      </c>
      <c r="B137" s="114" t="str" cm="1">
        <f t="array" ref="B137">IFERROR(INDEX('03.Muestra'!$C$8:$C$42,SMALL(IF("Documento no web"='03.Muestra'!$D$8:$D$42,ROW('03.Muestra'!$C$8:$C$42)-MIN(ROW('03.Muestra'!$D$8:$D$42))+1,""),ROW()-132)),"")</f>
        <v/>
      </c>
      <c r="C137" s="114" t="str" cm="1">
        <f t="array" ref="C137">IFERROR(INDEX('03.Muestra'!$F$8:$F$42,SMALL(IF("Documento no web"='03.Muestra'!$D$8:$D$42,ROW('03.Muestra'!$F$8:$F$42)-MIN(ROW('03.Muestra'!$D$8:$D$42))+1,""),ROW()-132)),"")</f>
        <v/>
      </c>
      <c r="D137" s="130" t="str">
        <f t="shared" si="7"/>
        <v/>
      </c>
      <c r="E137" s="107" t="str">
        <f t="shared" si="6"/>
        <v/>
      </c>
      <c r="G137" s="19"/>
      <c r="H137" s="19"/>
      <c r="I137" s="19"/>
      <c r="J137" s="19"/>
      <c r="K137" s="233"/>
      <c r="L137" s="19"/>
      <c r="M137" s="19"/>
      <c r="N137" s="19"/>
      <c r="O137" s="19"/>
      <c r="P137" s="19"/>
      <c r="Q137" s="19"/>
      <c r="R137" s="19"/>
      <c r="S137" s="19"/>
      <c r="T137" s="19"/>
      <c r="U137" s="19"/>
      <c r="V137" s="19"/>
      <c r="W137" s="19"/>
      <c r="X137" s="19"/>
      <c r="Y137" s="19"/>
    </row>
    <row r="138" spans="1:25" ht="12" customHeight="1">
      <c r="A138" s="219" t="str" cm="1">
        <f t="array" ref="A138">IFERROR(INDEX('03.Muestra'!$B$8:$B$42,SMALL(IF("Documento no web"='03.Muestra'!$D$8:$D$42,ROW('03.Muestra'!$B$8:$B$42)-MIN(ROW('03.Muestra'!$D$8:$D$42))+1,""),ROW()-132)),"")</f>
        <v/>
      </c>
      <c r="B138" s="114" t="str" cm="1">
        <f t="array" ref="B138">IFERROR(INDEX('03.Muestra'!$C$8:$C$42,SMALL(IF("Documento no web"='03.Muestra'!$D$8:$D$42,ROW('03.Muestra'!$C$8:$C$42)-MIN(ROW('03.Muestra'!$D$8:$D$42))+1,""),ROW()-132)),"")</f>
        <v/>
      </c>
      <c r="C138" s="114" t="str" cm="1">
        <f t="array" ref="C138">IFERROR(INDEX('03.Muestra'!$F$8:$F$42,SMALL(IF("Documento no web"='03.Muestra'!$D$8:$D$42,ROW('03.Muestra'!$F$8:$F$42)-MIN(ROW('03.Muestra'!$D$8:$D$42))+1,""),ROW()-132)),"")</f>
        <v/>
      </c>
      <c r="D138" s="130" t="str">
        <f t="shared" si="7"/>
        <v/>
      </c>
      <c r="E138" s="107" t="str">
        <f t="shared" si="6"/>
        <v/>
      </c>
      <c r="G138" s="19"/>
      <c r="H138" s="19"/>
      <c r="I138" s="19"/>
      <c r="J138" s="19"/>
      <c r="K138" s="233"/>
      <c r="L138" s="19"/>
      <c r="M138" s="19"/>
      <c r="N138" s="19"/>
      <c r="O138" s="19"/>
      <c r="P138" s="19"/>
      <c r="Q138" s="19"/>
      <c r="R138" s="19"/>
      <c r="S138" s="19"/>
      <c r="T138" s="19"/>
      <c r="U138" s="19"/>
      <c r="V138" s="19"/>
      <c r="W138" s="19"/>
      <c r="X138" s="19"/>
      <c r="Y138" s="19"/>
    </row>
    <row r="139" spans="1:25" ht="12" customHeight="1">
      <c r="A139" s="219" t="str" cm="1">
        <f t="array" ref="A139">IFERROR(INDEX('03.Muestra'!$B$8:$B$42,SMALL(IF("Documento no web"='03.Muestra'!$D$8:$D$42,ROW('03.Muestra'!$B$8:$B$42)-MIN(ROW('03.Muestra'!$D$8:$D$42))+1,""),ROW()-132)),"")</f>
        <v/>
      </c>
      <c r="B139" s="114" t="str" cm="1">
        <f t="array" ref="B139">IFERROR(INDEX('03.Muestra'!$C$8:$C$42,SMALL(IF("Documento no web"='03.Muestra'!$D$8:$D$42,ROW('03.Muestra'!$C$8:$C$42)-MIN(ROW('03.Muestra'!$D$8:$D$42))+1,""),ROW()-132)),"")</f>
        <v/>
      </c>
      <c r="C139" s="114" t="str" cm="1">
        <f t="array" ref="C139">IFERROR(INDEX('03.Muestra'!$F$8:$F$42,SMALL(IF("Documento no web"='03.Muestra'!$D$8:$D$42,ROW('03.Muestra'!$F$8:$F$42)-MIN(ROW('03.Muestra'!$D$8:$D$42))+1,""),ROW()-132)),"")</f>
        <v/>
      </c>
      <c r="D139" s="130" t="str">
        <f t="shared" si="7"/>
        <v/>
      </c>
      <c r="E139" s="107" t="str">
        <f t="shared" si="6"/>
        <v/>
      </c>
      <c r="F139" s="19"/>
      <c r="G139" s="19"/>
      <c r="H139" s="19"/>
      <c r="I139" s="19"/>
      <c r="J139" s="19"/>
      <c r="K139" s="233"/>
      <c r="L139" s="19"/>
      <c r="M139" s="19"/>
      <c r="N139" s="19"/>
      <c r="O139" s="19"/>
      <c r="P139" s="19"/>
      <c r="Q139" s="19"/>
      <c r="R139" s="19"/>
      <c r="S139" s="19"/>
      <c r="T139" s="19"/>
      <c r="U139" s="19"/>
      <c r="V139" s="19"/>
      <c r="W139" s="19"/>
      <c r="X139" s="19"/>
      <c r="Y139" s="19"/>
    </row>
    <row r="140" spans="1:25" ht="12" customHeight="1">
      <c r="A140" s="219" t="str" cm="1">
        <f t="array" ref="A140">IFERROR(INDEX('03.Muestra'!$B$8:$B$42,SMALL(IF("Documento no web"='03.Muestra'!$D$8:$D$42,ROW('03.Muestra'!$B$8:$B$42)-MIN(ROW('03.Muestra'!$D$8:$D$42))+1,""),ROW()-132)),"")</f>
        <v/>
      </c>
      <c r="B140" s="114" t="str" cm="1">
        <f t="array" ref="B140">IFERROR(INDEX('03.Muestra'!$C$8:$C$42,SMALL(IF("Documento no web"='03.Muestra'!$D$8:$D$42,ROW('03.Muestra'!$C$8:$C$42)-MIN(ROW('03.Muestra'!$D$8:$D$42))+1,""),ROW()-132)),"")</f>
        <v/>
      </c>
      <c r="C140" s="114" t="str" cm="1">
        <f t="array" ref="C140">IFERROR(INDEX('03.Muestra'!$F$8:$F$42,SMALL(IF("Documento no web"='03.Muestra'!$D$8:$D$42,ROW('03.Muestra'!$F$8:$F$42)-MIN(ROW('03.Muestra'!$D$8:$D$42))+1,""),ROW()-132)),"")</f>
        <v/>
      </c>
      <c r="D140" s="130" t="str">
        <f t="shared" si="7"/>
        <v/>
      </c>
      <c r="E140" s="107" t="str">
        <f t="shared" si="6"/>
        <v/>
      </c>
      <c r="F140" s="19"/>
      <c r="G140" s="19"/>
      <c r="H140" s="19"/>
      <c r="I140" s="19"/>
      <c r="J140" s="19"/>
      <c r="K140" s="233"/>
      <c r="L140" s="19"/>
      <c r="M140" s="19"/>
      <c r="N140" s="19"/>
      <c r="O140" s="19"/>
      <c r="P140" s="19"/>
      <c r="Q140" s="19"/>
      <c r="R140" s="19"/>
      <c r="S140" s="19"/>
      <c r="T140" s="19"/>
      <c r="U140" s="19"/>
      <c r="V140" s="19"/>
      <c r="W140" s="19"/>
      <c r="X140" s="19"/>
      <c r="Y140" s="19"/>
    </row>
    <row r="141" spans="1:25" ht="12" customHeight="1">
      <c r="A141" s="219" t="str" cm="1">
        <f t="array" ref="A141">IFERROR(INDEX('03.Muestra'!$B$8:$B$42,SMALL(IF("Documento no web"='03.Muestra'!$D$8:$D$42,ROW('03.Muestra'!$B$8:$B$42)-MIN(ROW('03.Muestra'!$D$8:$D$42))+1,""),ROW()-132)),"")</f>
        <v/>
      </c>
      <c r="B141" s="114" t="str" cm="1">
        <f t="array" ref="B141">IFERROR(INDEX('03.Muestra'!$C$8:$C$42,SMALL(IF("Documento no web"='03.Muestra'!$D$8:$D$42,ROW('03.Muestra'!$C$8:$C$42)-MIN(ROW('03.Muestra'!$D$8:$D$42))+1,""),ROW()-132)),"")</f>
        <v/>
      </c>
      <c r="C141" s="114" t="str" cm="1">
        <f t="array" ref="C141">IFERROR(INDEX('03.Muestra'!$F$8:$F$42,SMALL(IF("Documento no web"='03.Muestra'!$D$8:$D$42,ROW('03.Muestra'!$F$8:$F$42)-MIN(ROW('03.Muestra'!$D$8:$D$42))+1,""),ROW()-132)),"")</f>
        <v/>
      </c>
      <c r="D141" s="130" t="str">
        <f t="shared" si="7"/>
        <v/>
      </c>
      <c r="E141" s="107" t="str">
        <f t="shared" si="6"/>
        <v/>
      </c>
      <c r="F141" s="19"/>
      <c r="G141" s="19"/>
      <c r="H141" s="19"/>
      <c r="I141" s="19"/>
      <c r="J141" s="19"/>
      <c r="K141" s="233"/>
      <c r="L141" s="19"/>
      <c r="M141" s="19"/>
      <c r="N141" s="19"/>
      <c r="O141" s="19"/>
      <c r="P141" s="19"/>
      <c r="Q141" s="19"/>
      <c r="R141" s="19"/>
      <c r="S141" s="19"/>
      <c r="T141" s="19"/>
      <c r="U141" s="19"/>
      <c r="V141" s="19"/>
      <c r="W141" s="19"/>
      <c r="X141" s="19"/>
      <c r="Y141" s="19"/>
    </row>
    <row r="142" spans="1:25" ht="12" customHeight="1">
      <c r="A142" s="219" t="str" cm="1">
        <f t="array" ref="A142">IFERROR(INDEX('03.Muestra'!$B$8:$B$42,SMALL(IF("Documento no web"='03.Muestra'!$D$8:$D$42,ROW('03.Muestra'!$B$8:$B$42)-MIN(ROW('03.Muestra'!$D$8:$D$42))+1,""),ROW()-132)),"")</f>
        <v/>
      </c>
      <c r="B142" s="114" t="str" cm="1">
        <f t="array" ref="B142">IFERROR(INDEX('03.Muestra'!$C$8:$C$42,SMALL(IF("Documento no web"='03.Muestra'!$D$8:$D$42,ROW('03.Muestra'!$C$8:$C$42)-MIN(ROW('03.Muestra'!$D$8:$D$42))+1,""),ROW()-132)),"")</f>
        <v/>
      </c>
      <c r="C142" s="114" t="str" cm="1">
        <f t="array" ref="C142">IFERROR(INDEX('03.Muestra'!$F$8:$F$42,SMALL(IF("Documento no web"='03.Muestra'!$D$8:$D$42,ROW('03.Muestra'!$F$8:$F$42)-MIN(ROW('03.Muestra'!$D$8:$D$42))+1,""),ROW()-132)),"")</f>
        <v/>
      </c>
      <c r="D142" s="130" t="str">
        <f t="shared" si="7"/>
        <v/>
      </c>
      <c r="E142" s="107" t="str">
        <f t="shared" si="6"/>
        <v/>
      </c>
      <c r="F142" s="19"/>
      <c r="G142" s="19"/>
      <c r="H142" s="19"/>
      <c r="I142" s="19"/>
      <c r="J142" s="19"/>
      <c r="K142" s="233"/>
      <c r="L142" s="19"/>
      <c r="M142" s="19"/>
      <c r="N142" s="19"/>
      <c r="O142" s="19"/>
      <c r="P142" s="19"/>
      <c r="Q142" s="19"/>
      <c r="R142" s="19"/>
      <c r="S142" s="19"/>
      <c r="T142" s="19"/>
      <c r="U142" s="19"/>
      <c r="V142" s="19"/>
      <c r="W142" s="19"/>
      <c r="X142" s="19"/>
      <c r="Y142" s="19"/>
    </row>
    <row r="143" spans="1:25" ht="12" customHeight="1">
      <c r="A143" s="219" t="str" cm="1">
        <f t="array" ref="A143">IFERROR(INDEX('03.Muestra'!$B$8:$B$42,SMALL(IF("Documento no web"='03.Muestra'!$D$8:$D$42,ROW('03.Muestra'!$B$8:$B$42)-MIN(ROW('03.Muestra'!$D$8:$D$42))+1,""),ROW()-132)),"")</f>
        <v/>
      </c>
      <c r="B143" s="114" t="str" cm="1">
        <f t="array" ref="B143">IFERROR(INDEX('03.Muestra'!$C$8:$C$42,SMALL(IF("Documento no web"='03.Muestra'!$D$8:$D$42,ROW('03.Muestra'!$C$8:$C$42)-MIN(ROW('03.Muestra'!$D$8:$D$42))+1,""),ROW()-132)),"")</f>
        <v/>
      </c>
      <c r="C143" s="114" t="str" cm="1">
        <f t="array" ref="C143">IFERROR(INDEX('03.Muestra'!$F$8:$F$42,SMALL(IF("Documento no web"='03.Muestra'!$D$8:$D$42,ROW('03.Muestra'!$F$8:$F$42)-MIN(ROW('03.Muestra'!$D$8:$D$42))+1,""),ROW()-132)),"")</f>
        <v/>
      </c>
      <c r="D143" s="130" t="str">
        <f t="shared" si="7"/>
        <v/>
      </c>
      <c r="E143" s="107" t="str">
        <f t="shared" si="6"/>
        <v/>
      </c>
      <c r="F143" s="19"/>
      <c r="G143" s="19"/>
      <c r="H143" s="19"/>
      <c r="I143" s="19"/>
      <c r="J143" s="19"/>
      <c r="K143" s="233"/>
      <c r="L143" s="19"/>
      <c r="M143" s="19"/>
      <c r="N143" s="19"/>
      <c r="O143" s="19"/>
      <c r="P143" s="19"/>
      <c r="Q143" s="19"/>
      <c r="R143" s="19"/>
      <c r="S143" s="19"/>
      <c r="T143" s="19"/>
      <c r="U143" s="19"/>
      <c r="V143" s="19"/>
      <c r="W143" s="19"/>
      <c r="X143" s="19"/>
      <c r="Y143" s="19"/>
    </row>
    <row r="144" spans="1:25" ht="12" customHeight="1">
      <c r="A144" s="219" t="str" cm="1">
        <f t="array" ref="A144">IFERROR(INDEX('03.Muestra'!$B$8:$B$42,SMALL(IF("Documento no web"='03.Muestra'!$D$8:$D$42,ROW('03.Muestra'!$B$8:$B$42)-MIN(ROW('03.Muestra'!$D$8:$D$42))+1,""),ROW()-132)),"")</f>
        <v/>
      </c>
      <c r="B144" s="114" t="str" cm="1">
        <f t="array" ref="B144">IFERROR(INDEX('03.Muestra'!$C$8:$C$42,SMALL(IF("Documento no web"='03.Muestra'!$D$8:$D$42,ROW('03.Muestra'!$C$8:$C$42)-MIN(ROW('03.Muestra'!$D$8:$D$42))+1,""),ROW()-132)),"")</f>
        <v/>
      </c>
      <c r="C144" s="114" t="str" cm="1">
        <f t="array" ref="C144">IFERROR(INDEX('03.Muestra'!$F$8:$F$42,SMALL(IF("Documento no web"='03.Muestra'!$D$8:$D$42,ROW('03.Muestra'!$F$8:$F$42)-MIN(ROW('03.Muestra'!$D$8:$D$42))+1,""),ROW()-132)),"")</f>
        <v/>
      </c>
      <c r="D144" s="130" t="str">
        <f t="shared" si="7"/>
        <v/>
      </c>
      <c r="E144" s="107" t="str">
        <f t="shared" si="6"/>
        <v/>
      </c>
      <c r="F144" s="19"/>
      <c r="G144" s="19"/>
      <c r="H144" s="19"/>
      <c r="I144" s="19"/>
      <c r="J144" s="19"/>
      <c r="K144" s="233"/>
      <c r="L144" s="19"/>
      <c r="M144" s="19"/>
      <c r="N144" s="19"/>
      <c r="O144" s="19"/>
      <c r="P144" s="19"/>
      <c r="Q144" s="19"/>
      <c r="R144" s="19"/>
      <c r="S144" s="19"/>
      <c r="T144" s="19"/>
      <c r="U144" s="19"/>
      <c r="V144" s="19"/>
      <c r="W144" s="19"/>
      <c r="X144" s="19"/>
      <c r="Y144" s="19"/>
    </row>
    <row r="145" spans="1:25" ht="14.1" customHeight="1">
      <c r="A145" s="219" t="str" cm="1">
        <f t="array" ref="A145">IFERROR(INDEX('03.Muestra'!$B$8:$B$42,SMALL(IF("Documento no web"='03.Muestra'!$D$8:$D$42,ROW('03.Muestra'!$B$8:$B$42)-MIN(ROW('03.Muestra'!$D$8:$D$42))+1,""),ROW()-132)),"")</f>
        <v/>
      </c>
      <c r="B145" s="114" t="str" cm="1">
        <f t="array" ref="B145">IFERROR(INDEX('03.Muestra'!$C$8:$C$42,SMALL(IF("Documento no web"='03.Muestra'!$D$8:$D$42,ROW('03.Muestra'!$C$8:$C$42)-MIN(ROW('03.Muestra'!$D$8:$D$42))+1,""),ROW()-132)),"")</f>
        <v/>
      </c>
      <c r="C145" s="114" t="str" cm="1">
        <f t="array" ref="C145">IFERROR(INDEX('03.Muestra'!$F$8:$F$42,SMALL(IF("Documento no web"='03.Muestra'!$D$8:$D$42,ROW('03.Muestra'!$F$8:$F$42)-MIN(ROW('03.Muestra'!$D$8:$D$42))+1,""),ROW()-132)),"")</f>
        <v/>
      </c>
      <c r="D145" s="130" t="str">
        <f t="shared" si="7"/>
        <v/>
      </c>
      <c r="E145" s="107" t="str">
        <f t="shared" si="6"/>
        <v/>
      </c>
      <c r="F145" s="19"/>
      <c r="G145" s="19"/>
      <c r="H145" s="19"/>
      <c r="I145" s="19"/>
      <c r="J145" s="19"/>
      <c r="K145" s="233"/>
      <c r="L145" s="19"/>
      <c r="M145" s="19"/>
      <c r="N145" s="19"/>
      <c r="O145" s="19"/>
      <c r="P145" s="19"/>
      <c r="Q145" s="19"/>
      <c r="R145" s="19"/>
      <c r="S145" s="19"/>
      <c r="T145" s="19"/>
      <c r="U145" s="19"/>
      <c r="V145" s="19"/>
      <c r="W145" s="19"/>
      <c r="X145" s="19"/>
      <c r="Y145" s="19"/>
    </row>
    <row r="146" spans="1:25" ht="14.1" customHeight="1">
      <c r="A146" s="219" t="str" cm="1">
        <f t="array" ref="A146">IFERROR(INDEX('03.Muestra'!$B$8:$B$42,SMALL(IF("Documento no web"='03.Muestra'!$D$8:$D$42,ROW('03.Muestra'!$B$8:$B$42)-MIN(ROW('03.Muestra'!$D$8:$D$42))+1,""),ROW()-132)),"")</f>
        <v/>
      </c>
      <c r="B146" s="114" t="str" cm="1">
        <f t="array" ref="B146">IFERROR(INDEX('03.Muestra'!$C$8:$C$42,SMALL(IF("Documento no web"='03.Muestra'!$D$8:$D$42,ROW('03.Muestra'!$C$8:$C$42)-MIN(ROW('03.Muestra'!$D$8:$D$42))+1,""),ROW()-132)),"")</f>
        <v/>
      </c>
      <c r="C146" s="114" t="str" cm="1">
        <f t="array" ref="C146">IFERROR(INDEX('03.Muestra'!$F$8:$F$42,SMALL(IF("Documento no web"='03.Muestra'!$D$8:$D$42,ROW('03.Muestra'!$F$8:$F$42)-MIN(ROW('03.Muestra'!$D$8:$D$42))+1,""),ROW()-132)),"")</f>
        <v/>
      </c>
      <c r="D146" s="130" t="str">
        <f t="shared" si="7"/>
        <v/>
      </c>
      <c r="E146" s="107" t="str">
        <f t="shared" si="6"/>
        <v/>
      </c>
      <c r="F146" s="19"/>
      <c r="G146" s="19"/>
      <c r="H146" s="19"/>
      <c r="I146" s="19"/>
      <c r="J146" s="19"/>
      <c r="K146" s="233"/>
      <c r="L146" s="19"/>
      <c r="M146" s="19"/>
      <c r="N146" s="19"/>
      <c r="O146" s="19"/>
      <c r="P146" s="19"/>
      <c r="Q146" s="19"/>
      <c r="R146" s="19"/>
      <c r="S146" s="19"/>
      <c r="T146" s="19"/>
      <c r="U146" s="19"/>
      <c r="V146" s="19"/>
      <c r="W146" s="19"/>
      <c r="X146" s="19"/>
      <c r="Y146" s="19"/>
    </row>
    <row r="147" spans="1:25" ht="14.1" customHeight="1">
      <c r="A147" s="219" t="str" cm="1">
        <f t="array" ref="A147">IFERROR(INDEX('03.Muestra'!$B$8:$B$42,SMALL(IF("Documento no web"='03.Muestra'!$D$8:$D$42,ROW('03.Muestra'!$B$8:$B$42)-MIN(ROW('03.Muestra'!$D$8:$D$42))+1,""),ROW()-132)),"")</f>
        <v/>
      </c>
      <c r="B147" s="114" t="str" cm="1">
        <f t="array" ref="B147">IFERROR(INDEX('03.Muestra'!$C$8:$C$42,SMALL(IF("Documento no web"='03.Muestra'!$D$8:$D$42,ROW('03.Muestra'!$C$8:$C$42)-MIN(ROW('03.Muestra'!$D$8:$D$42))+1,""),ROW()-132)),"")</f>
        <v/>
      </c>
      <c r="C147" s="114" t="str" cm="1">
        <f t="array" ref="C147">IFERROR(INDEX('03.Muestra'!$F$8:$F$42,SMALL(IF("Documento no web"='03.Muestra'!$D$8:$D$42,ROW('03.Muestra'!$F$8:$F$42)-MIN(ROW('03.Muestra'!$D$8:$D$42))+1,""),ROW()-132)),"")</f>
        <v/>
      </c>
      <c r="D147" s="130" t="str">
        <f t="shared" si="7"/>
        <v/>
      </c>
      <c r="E147" s="107" t="str">
        <f t="shared" si="6"/>
        <v/>
      </c>
      <c r="F147" s="19"/>
      <c r="G147" s="19"/>
      <c r="H147" s="19"/>
      <c r="I147" s="19"/>
      <c r="J147" s="19"/>
      <c r="K147" s="233"/>
      <c r="L147" s="19"/>
      <c r="M147" s="19"/>
      <c r="N147" s="19"/>
      <c r="O147" s="19"/>
      <c r="P147" s="19"/>
      <c r="Q147" s="19"/>
      <c r="R147" s="19"/>
      <c r="S147" s="19"/>
      <c r="T147" s="19"/>
      <c r="U147" s="19"/>
      <c r="V147" s="19"/>
      <c r="W147" s="19"/>
      <c r="X147" s="19"/>
      <c r="Y147" s="19"/>
    </row>
    <row r="148" spans="1:25" ht="14.1" customHeight="1">
      <c r="A148" s="219" t="str" cm="1">
        <f t="array" ref="A148">IFERROR(INDEX('03.Muestra'!$B$8:$B$42,SMALL(IF("Documento no web"='03.Muestra'!$D$8:$D$42,ROW('03.Muestra'!$B$8:$B$42)-MIN(ROW('03.Muestra'!$D$8:$D$42))+1,""),ROW()-132)),"")</f>
        <v/>
      </c>
      <c r="B148" s="114" t="str" cm="1">
        <f t="array" ref="B148">IFERROR(INDEX('03.Muestra'!$C$8:$C$42,SMALL(IF("Documento no web"='03.Muestra'!$D$8:$D$42,ROW('03.Muestra'!$C$8:$C$42)-MIN(ROW('03.Muestra'!$D$8:$D$42))+1,""),ROW()-132)),"")</f>
        <v/>
      </c>
      <c r="C148" s="114" t="str" cm="1">
        <f t="array" ref="C148">IFERROR(INDEX('03.Muestra'!$F$8:$F$42,SMALL(IF("Documento no web"='03.Muestra'!$D$8:$D$42,ROW('03.Muestra'!$F$8:$F$42)-MIN(ROW('03.Muestra'!$D$8:$D$42))+1,""),ROW()-132)),"")</f>
        <v/>
      </c>
      <c r="D148" s="130" t="str">
        <f t="shared" si="7"/>
        <v/>
      </c>
      <c r="E148" s="107" t="str">
        <f t="shared" si="6"/>
        <v/>
      </c>
      <c r="F148" s="19"/>
      <c r="G148" s="19"/>
      <c r="H148" s="19"/>
      <c r="I148" s="19"/>
      <c r="J148" s="19"/>
      <c r="K148" s="233"/>
      <c r="L148" s="19"/>
      <c r="M148" s="19"/>
      <c r="N148" s="19"/>
      <c r="O148" s="19"/>
      <c r="P148" s="19"/>
      <c r="Q148" s="19"/>
      <c r="R148" s="19"/>
      <c r="S148" s="19"/>
      <c r="T148" s="19"/>
      <c r="U148" s="19"/>
      <c r="V148" s="19"/>
      <c r="W148" s="19"/>
      <c r="X148" s="19"/>
      <c r="Y148" s="19"/>
    </row>
    <row r="149" spans="1:25" ht="14.1" customHeight="1">
      <c r="A149" s="219" t="str" cm="1">
        <f t="array" ref="A149">IFERROR(INDEX('03.Muestra'!$B$8:$B$42,SMALL(IF("Documento no web"='03.Muestra'!$D$8:$D$42,ROW('03.Muestra'!$B$8:$B$42)-MIN(ROW('03.Muestra'!$D$8:$D$42))+1,""),ROW()-132)),"")</f>
        <v/>
      </c>
      <c r="B149" s="114" t="str" cm="1">
        <f t="array" ref="B149">IFERROR(INDEX('03.Muestra'!$C$8:$C$42,SMALL(IF("Documento no web"='03.Muestra'!$D$8:$D$42,ROW('03.Muestra'!$C$8:$C$42)-MIN(ROW('03.Muestra'!$D$8:$D$42))+1,""),ROW()-132)),"")</f>
        <v/>
      </c>
      <c r="C149" s="114" t="str" cm="1">
        <f t="array" ref="C149">IFERROR(INDEX('03.Muestra'!$F$8:$F$42,SMALL(IF("Documento no web"='03.Muestra'!$D$8:$D$42,ROW('03.Muestra'!$F$8:$F$42)-MIN(ROW('03.Muestra'!$D$8:$D$42))+1,""),ROW()-132)),"")</f>
        <v/>
      </c>
      <c r="D149" s="130" t="str">
        <f t="shared" si="7"/>
        <v/>
      </c>
      <c r="E149" s="107" t="str">
        <f t="shared" si="6"/>
        <v/>
      </c>
      <c r="F149" s="19"/>
      <c r="G149" s="19"/>
      <c r="H149" s="19"/>
      <c r="I149" s="19"/>
      <c r="J149" s="19"/>
      <c r="K149" s="233"/>
      <c r="L149" s="19"/>
      <c r="M149" s="19"/>
      <c r="N149" s="19"/>
      <c r="O149" s="19"/>
      <c r="P149" s="19"/>
      <c r="Q149" s="19"/>
      <c r="R149" s="19"/>
      <c r="S149" s="19"/>
      <c r="T149" s="19"/>
      <c r="U149" s="19"/>
      <c r="V149" s="19"/>
      <c r="W149" s="19"/>
      <c r="X149" s="19"/>
      <c r="Y149" s="19"/>
    </row>
    <row r="150" spans="1:25" ht="14.1" customHeight="1">
      <c r="A150" s="219" t="str" cm="1">
        <f t="array" ref="A150">IFERROR(INDEX('03.Muestra'!$B$8:$B$42,SMALL(IF("Documento no web"='03.Muestra'!$D$8:$D$42,ROW('03.Muestra'!$B$8:$B$42)-MIN(ROW('03.Muestra'!$D$8:$D$42))+1,""),ROW()-132)),"")</f>
        <v/>
      </c>
      <c r="B150" s="114" t="str" cm="1">
        <f t="array" ref="B150">IFERROR(INDEX('03.Muestra'!$C$8:$C$42,SMALL(IF("Documento no web"='03.Muestra'!$D$8:$D$42,ROW('03.Muestra'!$C$8:$C$42)-MIN(ROW('03.Muestra'!$D$8:$D$42))+1,""),ROW()-132)),"")</f>
        <v/>
      </c>
      <c r="C150" s="114" t="str" cm="1">
        <f t="array" ref="C150">IFERROR(INDEX('03.Muestra'!$F$8:$F$42,SMALL(IF("Documento no web"='03.Muestra'!$D$8:$D$42,ROW('03.Muestra'!$F$8:$F$42)-MIN(ROW('03.Muestra'!$D$8:$D$42))+1,""),ROW()-132)),"")</f>
        <v/>
      </c>
      <c r="D150" s="130" t="str">
        <f t="shared" si="7"/>
        <v/>
      </c>
      <c r="E150" s="107" t="str">
        <f t="shared" si="6"/>
        <v/>
      </c>
      <c r="F150" s="19"/>
      <c r="G150" s="19"/>
      <c r="H150" s="19"/>
      <c r="I150" s="19"/>
      <c r="J150" s="19"/>
      <c r="K150" s="233"/>
      <c r="L150" s="19"/>
      <c r="M150" s="19"/>
      <c r="N150" s="19"/>
      <c r="O150" s="19"/>
      <c r="P150" s="19"/>
      <c r="Q150" s="19"/>
      <c r="R150" s="19"/>
      <c r="S150" s="19"/>
      <c r="T150" s="19"/>
      <c r="U150" s="19"/>
      <c r="V150" s="19"/>
      <c r="W150" s="19"/>
      <c r="X150" s="19"/>
      <c r="Y150" s="19"/>
    </row>
    <row r="151" spans="1:25" ht="14.1" customHeight="1">
      <c r="A151" s="219" t="str" cm="1">
        <f t="array" ref="A151">IFERROR(INDEX('03.Muestra'!$B$8:$B$42,SMALL(IF("Documento no web"='03.Muestra'!$D$8:$D$42,ROW('03.Muestra'!$B$8:$B$42)-MIN(ROW('03.Muestra'!$D$8:$D$42))+1,""),ROW()-132)),"")</f>
        <v/>
      </c>
      <c r="B151" s="114" t="str" cm="1">
        <f t="array" ref="B151">IFERROR(INDEX('03.Muestra'!$C$8:$C$42,SMALL(IF("Documento no web"='03.Muestra'!$D$8:$D$42,ROW('03.Muestra'!$C$8:$C$42)-MIN(ROW('03.Muestra'!$D$8:$D$42))+1,""),ROW()-132)),"")</f>
        <v/>
      </c>
      <c r="C151" s="114" t="str" cm="1">
        <f t="array" ref="C151">IFERROR(INDEX('03.Muestra'!$F$8:$F$42,SMALL(IF("Documento no web"='03.Muestra'!$D$8:$D$42,ROW('03.Muestra'!$F$8:$F$42)-MIN(ROW('03.Muestra'!$D$8:$D$42))+1,""),ROW()-132)),"")</f>
        <v/>
      </c>
      <c r="D151" s="130" t="str">
        <f t="shared" si="7"/>
        <v/>
      </c>
      <c r="E151" s="107" t="str">
        <f t="shared" si="6"/>
        <v/>
      </c>
      <c r="F151" s="19"/>
      <c r="G151" s="19"/>
      <c r="H151" s="19"/>
      <c r="I151" s="19"/>
      <c r="J151" s="19"/>
      <c r="K151" s="233"/>
      <c r="L151" s="19"/>
      <c r="M151" s="19"/>
      <c r="N151" s="19"/>
      <c r="O151" s="19"/>
      <c r="P151" s="19"/>
      <c r="Q151" s="19"/>
      <c r="R151" s="19"/>
      <c r="S151" s="19"/>
      <c r="T151" s="19"/>
      <c r="U151" s="19"/>
      <c r="V151" s="19"/>
      <c r="W151" s="19"/>
      <c r="X151" s="19"/>
      <c r="Y151" s="19"/>
    </row>
    <row r="152" spans="1:25" ht="14.1" customHeight="1">
      <c r="A152" s="219" t="str" cm="1">
        <f t="array" ref="A152">IFERROR(INDEX('03.Muestra'!$B$8:$B$42,SMALL(IF("Documento no web"='03.Muestra'!$D$8:$D$42,ROW('03.Muestra'!$B$8:$B$42)-MIN(ROW('03.Muestra'!$D$8:$D$42))+1,""),ROW()-132)),"")</f>
        <v/>
      </c>
      <c r="B152" s="114" t="str" cm="1">
        <f t="array" ref="B152">IFERROR(INDEX('03.Muestra'!$C$8:$C$42,SMALL(IF("Documento no web"='03.Muestra'!$D$8:$D$42,ROW('03.Muestra'!$C$8:$C$42)-MIN(ROW('03.Muestra'!$D$8:$D$42))+1,""),ROW()-132)),"")</f>
        <v/>
      </c>
      <c r="C152" s="114" t="str" cm="1">
        <f t="array" ref="C152">IFERROR(INDEX('03.Muestra'!$F$8:$F$42,SMALL(IF("Documento no web"='03.Muestra'!$D$8:$D$42,ROW('03.Muestra'!$F$8:$F$42)-MIN(ROW('03.Muestra'!$D$8:$D$42))+1,""),ROW()-132)),"")</f>
        <v/>
      </c>
      <c r="D152" s="130" t="str">
        <f t="shared" si="7"/>
        <v/>
      </c>
      <c r="E152" s="107" t="str">
        <f t="shared" si="6"/>
        <v/>
      </c>
      <c r="F152" s="19"/>
      <c r="G152" s="19"/>
      <c r="H152" s="19"/>
      <c r="I152" s="19"/>
      <c r="J152" s="19"/>
      <c r="K152" s="233"/>
      <c r="L152" s="19"/>
      <c r="M152" s="19"/>
      <c r="N152" s="19"/>
      <c r="O152" s="19"/>
      <c r="P152" s="19"/>
      <c r="Q152" s="19"/>
      <c r="R152" s="19"/>
      <c r="S152" s="19"/>
      <c r="T152" s="19"/>
      <c r="U152" s="19"/>
      <c r="V152" s="19"/>
      <c r="W152" s="19"/>
      <c r="X152" s="19"/>
      <c r="Y152" s="19"/>
    </row>
    <row r="153" spans="1:25" ht="14.1" customHeight="1">
      <c r="A153" s="219" t="str" cm="1">
        <f t="array" ref="A153">IFERROR(INDEX('03.Muestra'!$B$8:$B$42,SMALL(IF("Documento no web"='03.Muestra'!$D$8:$D$42,ROW('03.Muestra'!$B$8:$B$42)-MIN(ROW('03.Muestra'!$D$8:$D$42))+1,""),ROW()-132)),"")</f>
        <v/>
      </c>
      <c r="B153" s="114" t="str" cm="1">
        <f t="array" ref="B153">IFERROR(INDEX('03.Muestra'!$C$8:$C$42,SMALL(IF("Documento no web"='03.Muestra'!$D$8:$D$42,ROW('03.Muestra'!$C$8:$C$42)-MIN(ROW('03.Muestra'!$D$8:$D$42))+1,""),ROW()-132)),"")</f>
        <v/>
      </c>
      <c r="C153" s="114" t="str" cm="1">
        <f t="array" ref="C153">IFERROR(INDEX('03.Muestra'!$F$8:$F$42,SMALL(IF("Documento no web"='03.Muestra'!$D$8:$D$42,ROW('03.Muestra'!$F$8:$F$42)-MIN(ROW('03.Muestra'!$D$8:$D$42))+1,""),ROW()-132)),"")</f>
        <v/>
      </c>
      <c r="D153" s="130" t="str">
        <f t="shared" si="7"/>
        <v/>
      </c>
      <c r="E153" s="107" t="str">
        <f t="shared" si="6"/>
        <v/>
      </c>
      <c r="F153" s="19"/>
      <c r="G153" s="19"/>
      <c r="H153" s="19"/>
      <c r="I153" s="19"/>
      <c r="J153" s="19"/>
      <c r="K153" s="233"/>
      <c r="L153" s="19"/>
      <c r="M153" s="19"/>
      <c r="N153" s="19"/>
      <c r="O153" s="19"/>
      <c r="P153" s="19"/>
      <c r="Q153" s="19"/>
      <c r="R153" s="19"/>
      <c r="S153" s="19"/>
      <c r="T153" s="19"/>
      <c r="U153" s="19"/>
      <c r="V153" s="19"/>
      <c r="W153" s="19"/>
      <c r="X153" s="19"/>
      <c r="Y153" s="19"/>
    </row>
    <row r="154" spans="1:25" ht="14.1" customHeight="1">
      <c r="A154" s="219" t="str" cm="1">
        <f t="array" ref="A154">IFERROR(INDEX('03.Muestra'!$B$8:$B$42,SMALL(IF("Documento no web"='03.Muestra'!$D$8:$D$42,ROW('03.Muestra'!$B$8:$B$42)-MIN(ROW('03.Muestra'!$D$8:$D$42))+1,""),ROW()-132)),"")</f>
        <v/>
      </c>
      <c r="B154" s="114" t="str" cm="1">
        <f t="array" ref="B154">IFERROR(INDEX('03.Muestra'!$C$8:$C$42,SMALL(IF("Documento no web"='03.Muestra'!$D$8:$D$42,ROW('03.Muestra'!$C$8:$C$42)-MIN(ROW('03.Muestra'!$D$8:$D$42))+1,""),ROW()-132)),"")</f>
        <v/>
      </c>
      <c r="C154" s="114" t="str" cm="1">
        <f t="array" ref="C154">IFERROR(INDEX('03.Muestra'!$F$8:$F$42,SMALL(IF("Documento no web"='03.Muestra'!$D$8:$D$42,ROW('03.Muestra'!$F$8:$F$42)-MIN(ROW('03.Muestra'!$D$8:$D$42))+1,""),ROW()-132)),"")</f>
        <v/>
      </c>
      <c r="D154" s="130" t="str">
        <f t="shared" si="7"/>
        <v/>
      </c>
      <c r="E154" s="107" t="str">
        <f t="shared" si="6"/>
        <v/>
      </c>
      <c r="F154" s="19"/>
      <c r="G154" s="19"/>
      <c r="H154" s="19"/>
      <c r="I154" s="19"/>
      <c r="J154" s="19"/>
      <c r="K154" s="233"/>
      <c r="L154" s="19"/>
      <c r="M154" s="19"/>
      <c r="N154" s="19"/>
      <c r="O154" s="19"/>
      <c r="P154" s="19"/>
      <c r="Q154" s="19"/>
      <c r="R154" s="19"/>
      <c r="S154" s="19"/>
      <c r="T154" s="19"/>
      <c r="U154" s="19"/>
      <c r="V154" s="19"/>
      <c r="W154" s="19"/>
      <c r="X154" s="19"/>
      <c r="Y154" s="19"/>
    </row>
    <row r="155" spans="1:25" ht="14.1" customHeight="1">
      <c r="A155" s="219" t="str" cm="1">
        <f t="array" ref="A155">IFERROR(INDEX('03.Muestra'!$B$8:$B$42,SMALL(IF("Documento no web"='03.Muestra'!$D$8:$D$42,ROW('03.Muestra'!$B$8:$B$42)-MIN(ROW('03.Muestra'!$D$8:$D$42))+1,""),ROW()-132)),"")</f>
        <v/>
      </c>
      <c r="B155" s="114" t="str" cm="1">
        <f t="array" ref="B155">IFERROR(INDEX('03.Muestra'!$C$8:$C$42,SMALL(IF("Documento no web"='03.Muestra'!$D$8:$D$42,ROW('03.Muestra'!$C$8:$C$42)-MIN(ROW('03.Muestra'!$D$8:$D$42))+1,""),ROW()-132)),"")</f>
        <v/>
      </c>
      <c r="C155" s="114" t="str" cm="1">
        <f t="array" ref="C155">IFERROR(INDEX('03.Muestra'!$F$8:$F$42,SMALL(IF("Documento no web"='03.Muestra'!$D$8:$D$42,ROW('03.Muestra'!$F$8:$F$42)-MIN(ROW('03.Muestra'!$D$8:$D$42))+1,""),ROW()-132)),"")</f>
        <v/>
      </c>
      <c r="D155" s="130" t="str">
        <f t="shared" si="7"/>
        <v/>
      </c>
      <c r="E155" s="107" t="str">
        <f t="shared" si="6"/>
        <v/>
      </c>
      <c r="F155" s="19"/>
      <c r="G155" s="19"/>
      <c r="H155" s="19"/>
      <c r="I155" s="19"/>
      <c r="J155" s="19"/>
      <c r="K155" s="233"/>
      <c r="L155" s="19"/>
      <c r="M155" s="19"/>
      <c r="N155" s="19"/>
      <c r="O155" s="19"/>
      <c r="P155" s="19"/>
      <c r="Q155" s="19"/>
      <c r="R155" s="19"/>
      <c r="S155" s="19"/>
      <c r="T155" s="19"/>
      <c r="U155" s="19"/>
      <c r="V155" s="19"/>
      <c r="W155" s="19"/>
      <c r="X155" s="19"/>
      <c r="Y155" s="19"/>
    </row>
    <row r="156" spans="1:25" ht="12" customHeight="1">
      <c r="A156" s="219" t="str" cm="1">
        <f t="array" ref="A156">IFERROR(INDEX('03.Muestra'!$B$8:$B$42,SMALL(IF("Documento no web"='03.Muestra'!$D$8:$D$42,ROW('03.Muestra'!$B$8:$B$42)-MIN(ROW('03.Muestra'!$D$8:$D$42))+1,""),ROW()-132)),"")</f>
        <v/>
      </c>
      <c r="B156" s="114" t="str" cm="1">
        <f t="array" ref="B156">IFERROR(INDEX('03.Muestra'!$C$8:$C$42,SMALL(IF("Documento no web"='03.Muestra'!$D$8:$D$42,ROW('03.Muestra'!$C$8:$C$42)-MIN(ROW('03.Muestra'!$D$8:$D$42))+1,""),ROW()-132)),"")</f>
        <v/>
      </c>
      <c r="C156" s="114" t="str" cm="1">
        <f t="array" ref="C156">IFERROR(INDEX('03.Muestra'!$F$8:$F$42,SMALL(IF("Documento no web"='03.Muestra'!$D$8:$D$42,ROW('03.Muestra'!$F$8:$F$42)-MIN(ROW('03.Muestra'!$D$8:$D$42))+1,""),ROW()-132)),"")</f>
        <v/>
      </c>
      <c r="D156" s="130" t="str">
        <f t="shared" si="7"/>
        <v/>
      </c>
      <c r="E156" s="107" t="str">
        <f t="shared" si="6"/>
        <v/>
      </c>
      <c r="F156" s="19"/>
      <c r="G156" s="19"/>
      <c r="H156" s="19"/>
      <c r="I156" s="19"/>
      <c r="J156" s="19"/>
      <c r="K156" s="233"/>
      <c r="L156" s="19"/>
      <c r="M156" s="19"/>
      <c r="N156" s="19"/>
      <c r="O156" s="19"/>
      <c r="P156" s="19"/>
      <c r="Q156" s="19"/>
      <c r="R156" s="19"/>
      <c r="S156" s="19"/>
      <c r="T156" s="19"/>
      <c r="U156" s="19"/>
      <c r="V156" s="19"/>
      <c r="W156" s="19"/>
      <c r="X156" s="19"/>
      <c r="Y156" s="19"/>
    </row>
    <row r="157" spans="1:25" ht="12" customHeight="1">
      <c r="A157" s="219" t="str" cm="1">
        <f t="array" ref="A157">IFERROR(INDEX('03.Muestra'!$B$8:$B$42,SMALL(IF("Documento no web"='03.Muestra'!$D$8:$D$42,ROW('03.Muestra'!$B$8:$B$42)-MIN(ROW('03.Muestra'!$D$8:$D$42))+1,""),ROW()-132)),"")</f>
        <v/>
      </c>
      <c r="B157" s="114" t="str" cm="1">
        <f t="array" ref="B157">IFERROR(INDEX('03.Muestra'!$C$8:$C$42,SMALL(IF("Documento no web"='03.Muestra'!$D$8:$D$42,ROW('03.Muestra'!$C$8:$C$42)-MIN(ROW('03.Muestra'!$D$8:$D$42))+1,""),ROW()-132)),"")</f>
        <v/>
      </c>
      <c r="C157" s="114" t="str" cm="1">
        <f t="array" ref="C157">IFERROR(INDEX('03.Muestra'!$F$8:$F$42,SMALL(IF("Documento no web"='03.Muestra'!$D$8:$D$42,ROW('03.Muestra'!$F$8:$F$42)-MIN(ROW('03.Muestra'!$D$8:$D$42))+1,""),ROW()-132)),"")</f>
        <v/>
      </c>
      <c r="D157" s="130" t="str">
        <f t="shared" si="7"/>
        <v/>
      </c>
      <c r="E157" s="107" t="str">
        <f t="shared" si="6"/>
        <v/>
      </c>
      <c r="F157" s="19"/>
      <c r="G157" s="19"/>
      <c r="H157" s="19"/>
      <c r="I157" s="19"/>
      <c r="J157" s="19"/>
      <c r="K157" s="233"/>
      <c r="L157" s="19"/>
      <c r="M157" s="19"/>
      <c r="N157" s="19"/>
      <c r="O157" s="19"/>
      <c r="P157" s="19"/>
      <c r="Q157" s="19"/>
      <c r="R157" s="19"/>
      <c r="S157" s="19"/>
      <c r="T157" s="19"/>
      <c r="U157" s="19"/>
      <c r="V157" s="19"/>
      <c r="W157" s="19"/>
      <c r="X157" s="19"/>
      <c r="Y157" s="19"/>
    </row>
    <row r="158" spans="1:25" ht="12" customHeight="1">
      <c r="A158" s="219" t="str" cm="1">
        <f t="array" ref="A158">IFERROR(INDEX('03.Muestra'!$B$8:$B$42,SMALL(IF("Documento no web"='03.Muestra'!$D$8:$D$42,ROW('03.Muestra'!$B$8:$B$42)-MIN(ROW('03.Muestra'!$D$8:$D$42))+1,""),ROW()-132)),"")</f>
        <v/>
      </c>
      <c r="B158" s="114" t="str" cm="1">
        <f t="array" ref="B158">IFERROR(INDEX('03.Muestra'!$C$8:$C$42,SMALL(IF("Documento no web"='03.Muestra'!$D$8:$D$42,ROW('03.Muestra'!$C$8:$C$42)-MIN(ROW('03.Muestra'!$D$8:$D$42))+1,""),ROW()-132)),"")</f>
        <v/>
      </c>
      <c r="C158" s="114" t="str" cm="1">
        <f t="array" ref="C158">IFERROR(INDEX('03.Muestra'!$F$8:$F$42,SMALL(IF("Documento no web"='03.Muestra'!$D$8:$D$42,ROW('03.Muestra'!$F$8:$F$42)-MIN(ROW('03.Muestra'!$D$8:$D$42))+1,""),ROW()-132)),"")</f>
        <v/>
      </c>
      <c r="D158" s="130" t="str">
        <f t="shared" si="7"/>
        <v/>
      </c>
      <c r="E158" s="107" t="str">
        <f t="shared" si="6"/>
        <v/>
      </c>
      <c r="F158" s="19"/>
      <c r="G158" s="19"/>
      <c r="H158" s="19"/>
      <c r="I158" s="19"/>
      <c r="J158" s="19"/>
      <c r="K158" s="233"/>
      <c r="L158" s="19"/>
      <c r="M158" s="19"/>
      <c r="N158" s="19"/>
      <c r="O158" s="19"/>
      <c r="P158" s="19"/>
      <c r="Q158" s="19"/>
      <c r="R158" s="19"/>
      <c r="S158" s="19"/>
      <c r="T158" s="19"/>
      <c r="U158" s="19"/>
      <c r="V158" s="19"/>
      <c r="W158" s="19"/>
      <c r="X158" s="19"/>
      <c r="Y158" s="19"/>
    </row>
    <row r="159" spans="1:25" ht="12" customHeight="1">
      <c r="A159" s="219" t="str" cm="1">
        <f t="array" ref="A159">IFERROR(INDEX('03.Muestra'!$B$8:$B$42,SMALL(IF("Documento no web"='03.Muestra'!$D$8:$D$42,ROW('03.Muestra'!$B$8:$B$42)-MIN(ROW('03.Muestra'!$D$8:$D$42))+1,""),ROW()-132)),"")</f>
        <v/>
      </c>
      <c r="B159" s="114" t="str" cm="1">
        <f t="array" ref="B159">IFERROR(INDEX('03.Muestra'!$C$8:$C$42,SMALL(IF("Documento no web"='03.Muestra'!$D$8:$D$42,ROW('03.Muestra'!$C$8:$C$42)-MIN(ROW('03.Muestra'!$D$8:$D$42))+1,""),ROW()-132)),"")</f>
        <v/>
      </c>
      <c r="C159" s="114" t="str" cm="1">
        <f t="array" ref="C159">IFERROR(INDEX('03.Muestra'!$F$8:$F$42,SMALL(IF("Documento no web"='03.Muestra'!$D$8:$D$42,ROW('03.Muestra'!$F$8:$F$42)-MIN(ROW('03.Muestra'!$D$8:$D$42))+1,""),ROW()-132)),"")</f>
        <v/>
      </c>
      <c r="D159" s="130" t="str">
        <f t="shared" si="7"/>
        <v/>
      </c>
      <c r="E159" s="107" t="str">
        <f t="shared" si="6"/>
        <v/>
      </c>
      <c r="F159" s="19"/>
      <c r="G159" s="19"/>
      <c r="H159" s="19"/>
      <c r="I159" s="19"/>
      <c r="J159" s="19"/>
      <c r="K159" s="233"/>
      <c r="L159" s="19"/>
      <c r="M159" s="19"/>
      <c r="N159" s="19"/>
      <c r="O159" s="19"/>
      <c r="P159" s="19"/>
      <c r="Q159" s="19"/>
      <c r="R159" s="19"/>
      <c r="S159" s="19"/>
      <c r="T159" s="19"/>
      <c r="U159" s="19"/>
      <c r="V159" s="19"/>
      <c r="W159" s="19"/>
      <c r="X159" s="19"/>
      <c r="Y159" s="19"/>
    </row>
    <row r="160" spans="1:25" ht="12" customHeight="1">
      <c r="A160" s="219" t="str" cm="1">
        <f t="array" ref="A160">IFERROR(INDEX('03.Muestra'!$B$8:$B$42,SMALL(IF("Documento no web"='03.Muestra'!$D$8:$D$42,ROW('03.Muestra'!$B$8:$B$42)-MIN(ROW('03.Muestra'!$D$8:$D$42))+1,""),ROW()-132)),"")</f>
        <v/>
      </c>
      <c r="B160" s="114" t="str" cm="1">
        <f t="array" ref="B160">IFERROR(INDEX('03.Muestra'!$C$8:$C$42,SMALL(IF("Documento no web"='03.Muestra'!$D$8:$D$42,ROW('03.Muestra'!$C$8:$C$42)-MIN(ROW('03.Muestra'!$D$8:$D$42))+1,""),ROW()-132)),"")</f>
        <v/>
      </c>
      <c r="C160" s="114" t="str" cm="1">
        <f t="array" ref="C160">IFERROR(INDEX('03.Muestra'!$F$8:$F$42,SMALL(IF("Documento no web"='03.Muestra'!$D$8:$D$42,ROW('03.Muestra'!$F$8:$F$42)-MIN(ROW('03.Muestra'!$D$8:$D$42))+1,""),ROW()-132)),"")</f>
        <v/>
      </c>
      <c r="D160" s="130" t="str">
        <f t="shared" si="7"/>
        <v/>
      </c>
      <c r="E160" s="107" t="str">
        <f t="shared" si="6"/>
        <v/>
      </c>
      <c r="G160" s="19"/>
      <c r="H160" s="19"/>
      <c r="I160" s="19"/>
      <c r="J160" s="19"/>
      <c r="K160" s="233"/>
      <c r="L160" s="19"/>
      <c r="M160" s="19"/>
      <c r="N160" s="19"/>
      <c r="O160" s="19"/>
      <c r="P160" s="19"/>
      <c r="Q160" s="19"/>
      <c r="R160" s="19"/>
      <c r="S160" s="19"/>
      <c r="T160" s="19"/>
      <c r="U160" s="19"/>
      <c r="V160" s="19"/>
      <c r="W160" s="19"/>
      <c r="X160" s="19"/>
      <c r="Y160" s="19"/>
    </row>
    <row r="161" spans="1:25" ht="12" customHeight="1">
      <c r="A161" s="219" t="str" cm="1">
        <f t="array" ref="A161">IFERROR(INDEX('03.Muestra'!$B$8:$B$42,SMALL(IF("Documento no web"='03.Muestra'!$D$8:$D$42,ROW('03.Muestra'!$B$8:$B$42)-MIN(ROW('03.Muestra'!$D$8:$D$42))+1,""),ROW()-132)),"")</f>
        <v/>
      </c>
      <c r="B161" s="114" t="str" cm="1">
        <f t="array" ref="B161">IFERROR(INDEX('03.Muestra'!$C$8:$C$42,SMALL(IF("Documento no web"='03.Muestra'!$D$8:$D$42,ROW('03.Muestra'!$C$8:$C$42)-MIN(ROW('03.Muestra'!$D$8:$D$42))+1,""),ROW()-132)),"")</f>
        <v/>
      </c>
      <c r="C161" s="114" t="str" cm="1">
        <f t="array" ref="C161">IFERROR(INDEX('03.Muestra'!$F$8:$F$42,SMALL(IF("Documento no web"='03.Muestra'!$D$8:$D$42,ROW('03.Muestra'!$F$8:$F$42)-MIN(ROW('03.Muestra'!$D$8:$D$42))+1,""),ROW()-132)),"")</f>
        <v/>
      </c>
      <c r="D161" s="130" t="str">
        <f t="shared" si="7"/>
        <v/>
      </c>
      <c r="E161" s="107" t="str">
        <f t="shared" si="6"/>
        <v/>
      </c>
      <c r="F161" s="124"/>
      <c r="G161" s="19"/>
      <c r="H161" s="19"/>
      <c r="I161" s="19"/>
      <c r="J161" s="19"/>
      <c r="K161" s="233"/>
      <c r="L161" s="19"/>
      <c r="M161" s="19"/>
      <c r="N161" s="19"/>
      <c r="O161" s="19"/>
      <c r="P161" s="19"/>
      <c r="Q161" s="19"/>
      <c r="R161" s="19"/>
      <c r="S161" s="19"/>
      <c r="T161" s="19"/>
      <c r="U161" s="19"/>
      <c r="V161" s="19"/>
      <c r="W161" s="19"/>
      <c r="X161" s="19"/>
      <c r="Y161" s="19"/>
    </row>
    <row r="162" spans="1:25" ht="12" customHeight="1">
      <c r="A162" s="219" t="str" cm="1">
        <f t="array" ref="A162">IFERROR(INDEX('03.Muestra'!$B$8:$B$42,SMALL(IF("Documento no web"='03.Muestra'!$D$8:$D$42,ROW('03.Muestra'!$B$8:$B$42)-MIN(ROW('03.Muestra'!$D$8:$D$42))+1,""),ROW()-132)),"")</f>
        <v/>
      </c>
      <c r="B162" s="114" t="str" cm="1">
        <f t="array" ref="B162">IFERROR(INDEX('03.Muestra'!$C$8:$C$42,SMALL(IF("Documento no web"='03.Muestra'!$D$8:$D$42,ROW('03.Muestra'!$C$8:$C$42)-MIN(ROW('03.Muestra'!$D$8:$D$42))+1,""),ROW()-132)),"")</f>
        <v/>
      </c>
      <c r="C162" s="114" t="str" cm="1">
        <f t="array" ref="C162">IFERROR(INDEX('03.Muestra'!$F$8:$F$42,SMALL(IF("Documento no web"='03.Muestra'!$D$8:$D$42,ROW('03.Muestra'!$F$8:$F$42)-MIN(ROW('03.Muestra'!$D$8:$D$42))+1,""),ROW()-132)),"")</f>
        <v/>
      </c>
      <c r="D162" s="130" t="str">
        <f t="shared" si="7"/>
        <v/>
      </c>
      <c r="E162" s="107" t="str">
        <f t="shared" si="6"/>
        <v/>
      </c>
      <c r="F162" s="124"/>
      <c r="G162" s="19"/>
      <c r="H162" s="19"/>
      <c r="I162" s="19"/>
      <c r="J162" s="19"/>
      <c r="K162" s="233"/>
      <c r="L162" s="19"/>
      <c r="M162" s="19"/>
      <c r="N162" s="19"/>
      <c r="O162" s="19"/>
      <c r="P162" s="19"/>
      <c r="Q162" s="19"/>
      <c r="R162" s="19"/>
      <c r="S162" s="19"/>
      <c r="T162" s="19"/>
      <c r="U162" s="19"/>
      <c r="V162" s="19"/>
      <c r="W162" s="19"/>
      <c r="X162" s="19"/>
      <c r="Y162" s="19"/>
    </row>
    <row r="163" spans="1:25" ht="12" customHeight="1">
      <c r="A163" s="219" t="str" cm="1">
        <f t="array" ref="A163">IFERROR(INDEX('03.Muestra'!$B$8:$B$42,SMALL(IF("Documento no web"='03.Muestra'!$D$8:$D$42,ROW('03.Muestra'!$B$8:$B$42)-MIN(ROW('03.Muestra'!$D$8:$D$42))+1,""),ROW()-132)),"")</f>
        <v/>
      </c>
      <c r="B163" s="114" t="str" cm="1">
        <f t="array" ref="B163">IFERROR(INDEX('03.Muestra'!$C$8:$C$42,SMALL(IF("Documento no web"='03.Muestra'!$D$8:$D$42,ROW('03.Muestra'!$C$8:$C$42)-MIN(ROW('03.Muestra'!$D$8:$D$42))+1,""),ROW()-132)),"")</f>
        <v/>
      </c>
      <c r="C163" s="114" t="str" cm="1">
        <f t="array" ref="C163">IFERROR(INDEX('03.Muestra'!$F$8:$F$42,SMALL(IF("Documento no web"='03.Muestra'!$D$8:$D$42,ROW('03.Muestra'!$F$8:$F$42)-MIN(ROW('03.Muestra'!$D$8:$D$42))+1,""),ROW()-132)),"")</f>
        <v/>
      </c>
      <c r="D163" s="130" t="str">
        <f t="shared" si="7"/>
        <v/>
      </c>
      <c r="E163" s="107" t="str">
        <f t="shared" si="6"/>
        <v/>
      </c>
      <c r="F163" s="124"/>
      <c r="G163" s="19"/>
      <c r="H163" s="19"/>
      <c r="I163" s="19"/>
      <c r="J163" s="19"/>
      <c r="K163" s="233"/>
      <c r="L163" s="19"/>
      <c r="M163" s="19"/>
      <c r="N163" s="19"/>
      <c r="O163" s="19"/>
      <c r="P163" s="19"/>
      <c r="Q163" s="19"/>
      <c r="R163" s="19"/>
      <c r="S163" s="19"/>
      <c r="T163" s="19"/>
      <c r="U163" s="19"/>
      <c r="V163" s="19"/>
      <c r="W163" s="19"/>
      <c r="X163" s="19"/>
      <c r="Y163" s="19"/>
    </row>
    <row r="164" spans="1:25" ht="12" customHeight="1">
      <c r="A164" s="219" t="str" cm="1">
        <f t="array" ref="A164">IFERROR(INDEX('03.Muestra'!$B$8:$B$42,SMALL(IF("Documento no web"='03.Muestra'!$D$8:$D$42,ROW('03.Muestra'!$B$8:$B$42)-MIN(ROW('03.Muestra'!$D$8:$D$42))+1,""),ROW()-132)),"")</f>
        <v/>
      </c>
      <c r="B164" s="114" t="str" cm="1">
        <f t="array" ref="B164">IFERROR(INDEX('03.Muestra'!$C$8:$C$42,SMALL(IF("Documento no web"='03.Muestra'!$D$8:$D$42,ROW('03.Muestra'!$C$8:$C$42)-MIN(ROW('03.Muestra'!$D$8:$D$42))+1,""),ROW()-132)),"")</f>
        <v/>
      </c>
      <c r="C164" s="114" t="str" cm="1">
        <f t="array" ref="C164">IFERROR(INDEX('03.Muestra'!$F$8:$F$42,SMALL(IF("Documento no web"='03.Muestra'!$D$8:$D$42,ROW('03.Muestra'!$F$8:$F$42)-MIN(ROW('03.Muestra'!$D$8:$D$42))+1,""),ROW()-132)),"")</f>
        <v/>
      </c>
      <c r="D164" s="130" t="str">
        <f t="shared" si="7"/>
        <v/>
      </c>
      <c r="E164" s="107" t="str">
        <f t="shared" si="6"/>
        <v/>
      </c>
      <c r="F164" s="124"/>
      <c r="G164" s="19"/>
      <c r="H164" s="19"/>
      <c r="I164" s="19"/>
      <c r="J164" s="19"/>
      <c r="K164" s="233"/>
      <c r="L164" s="19"/>
      <c r="M164" s="19"/>
      <c r="N164" s="19"/>
      <c r="O164" s="19"/>
      <c r="P164" s="19"/>
      <c r="Q164" s="19"/>
      <c r="R164" s="19"/>
      <c r="S164" s="19"/>
      <c r="T164" s="19"/>
      <c r="U164" s="19"/>
      <c r="V164" s="19"/>
      <c r="W164" s="19"/>
      <c r="X164" s="19"/>
      <c r="Y164" s="19"/>
    </row>
    <row r="165" spans="1:25" ht="12" customHeight="1">
      <c r="A165" s="219" t="str" cm="1">
        <f t="array" ref="A165">IFERROR(INDEX('03.Muestra'!$B$8:$B$42,SMALL(IF("Documento no web"='03.Muestra'!$D$8:$D$42,ROW('03.Muestra'!$B$8:$B$42)-MIN(ROW('03.Muestra'!$D$8:$D$42))+1,""),ROW()-132)),"")</f>
        <v/>
      </c>
      <c r="B165" s="114" t="str" cm="1">
        <f t="array" ref="B165">IFERROR(INDEX('03.Muestra'!$C$8:$C$42,SMALL(IF("Documento no web"='03.Muestra'!$D$8:$D$42,ROW('03.Muestra'!$C$8:$C$42)-MIN(ROW('03.Muestra'!$D$8:$D$42))+1,""),ROW()-132)),"")</f>
        <v/>
      </c>
      <c r="C165" s="114" t="str" cm="1">
        <f t="array" ref="C165">IFERROR(INDEX('03.Muestra'!$F$8:$F$42,SMALL(IF("Documento no web"='03.Muestra'!$D$8:$D$42,ROW('03.Muestra'!$F$8:$F$42)-MIN(ROW('03.Muestra'!$D$8:$D$42))+1,""),ROW()-132)),"")</f>
        <v/>
      </c>
      <c r="D165" s="130" t="str">
        <f t="shared" si="7"/>
        <v/>
      </c>
      <c r="E165" s="107" t="str">
        <f t="shared" si="6"/>
        <v/>
      </c>
      <c r="F165" s="124"/>
      <c r="G165" s="19"/>
      <c r="H165" s="19"/>
      <c r="I165" s="19"/>
      <c r="J165" s="19"/>
      <c r="K165" s="233"/>
      <c r="L165" s="19"/>
      <c r="M165" s="19"/>
      <c r="N165" s="19"/>
      <c r="O165" s="19"/>
      <c r="P165" s="19"/>
      <c r="Q165" s="19"/>
      <c r="R165" s="19"/>
      <c r="S165" s="19"/>
      <c r="T165" s="19"/>
      <c r="U165" s="19"/>
      <c r="V165" s="19"/>
      <c r="W165" s="19"/>
      <c r="X165" s="19"/>
      <c r="Y165" s="19"/>
    </row>
    <row r="166" spans="1:25" ht="12" customHeight="1">
      <c r="A166" s="219" t="str" cm="1">
        <f t="array" ref="A166">IFERROR(INDEX('03.Muestra'!$B$8:$B$42,SMALL(IF("Documento no web"='03.Muestra'!$D$8:$D$42,ROW('03.Muestra'!$B$8:$B$42)-MIN(ROW('03.Muestra'!$D$8:$D$42))+1,""),ROW()-132)),"")</f>
        <v/>
      </c>
      <c r="B166" s="114" t="str" cm="1">
        <f t="array" ref="B166">IFERROR(INDEX('03.Muestra'!$C$8:$C$42,SMALL(IF("Documento no web"='03.Muestra'!$D$8:$D$42,ROW('03.Muestra'!$C$8:$C$42)-MIN(ROW('03.Muestra'!$D$8:$D$42))+1,""),ROW()-132)),"")</f>
        <v/>
      </c>
      <c r="C166" s="114" t="str" cm="1">
        <f t="array" ref="C166">IFERROR(INDEX('03.Muestra'!$F$8:$F$42,SMALL(IF("Documento no web"='03.Muestra'!$D$8:$D$42,ROW('03.Muestra'!$F$8:$F$42)-MIN(ROW('03.Muestra'!$D$8:$D$42))+1,""),ROW()-132)),"")</f>
        <v/>
      </c>
      <c r="D166" s="130" t="str">
        <f t="shared" si="7"/>
        <v/>
      </c>
      <c r="E166" s="107" t="str">
        <f t="shared" si="6"/>
        <v/>
      </c>
      <c r="F166" s="124"/>
      <c r="G166" s="19"/>
      <c r="H166" s="19"/>
      <c r="I166" s="19"/>
      <c r="J166" s="19"/>
      <c r="K166" s="233"/>
      <c r="L166" s="19"/>
      <c r="M166" s="19"/>
      <c r="N166" s="19"/>
      <c r="O166" s="19"/>
      <c r="P166" s="19"/>
      <c r="Q166" s="19"/>
      <c r="R166" s="19"/>
      <c r="S166" s="19"/>
      <c r="T166" s="19"/>
      <c r="U166" s="19"/>
      <c r="V166" s="19"/>
      <c r="W166" s="19"/>
      <c r="X166" s="19"/>
      <c r="Y166" s="19"/>
    </row>
    <row r="167" spans="1:25" ht="12" customHeight="1">
      <c r="A167" s="219" t="str" cm="1">
        <f t="array" ref="A167">IFERROR(INDEX('03.Muestra'!$B$8:$B$42,SMALL(IF("Documento no web"='03.Muestra'!$D$8:$D$42,ROW('03.Muestra'!$B$8:$B$42)-MIN(ROW('03.Muestra'!$D$8:$D$42))+1,""),ROW()-132)),"")</f>
        <v/>
      </c>
      <c r="B167" s="114" t="str" cm="1">
        <f t="array" ref="B167">IFERROR(INDEX('03.Muestra'!$C$8:$C$42,SMALL(IF("Documento no web"='03.Muestra'!$D$8:$D$42,ROW('03.Muestra'!$C$8:$C$42)-MIN(ROW('03.Muestra'!$D$8:$D$42))+1,""),ROW()-132)),"")</f>
        <v/>
      </c>
      <c r="C167" s="114" t="str" cm="1">
        <f t="array" ref="C167">IFERROR(INDEX('03.Muestra'!$F$8:$F$42,SMALL(IF("Documento no web"='03.Muestra'!$D$8:$D$42,ROW('03.Muestra'!$F$8:$F$42)-MIN(ROW('03.Muestra'!$D$8:$D$42))+1,""),ROW()-132)),"")</f>
        <v/>
      </c>
      <c r="D167" s="130" t="str">
        <f t="shared" si="7"/>
        <v/>
      </c>
      <c r="E167" s="107" t="str">
        <f t="shared" si="6"/>
        <v/>
      </c>
      <c r="F167" s="19"/>
      <c r="G167" s="19"/>
      <c r="H167" s="19"/>
      <c r="I167" s="19"/>
      <c r="J167" s="19"/>
      <c r="K167" s="233"/>
      <c r="L167" s="19"/>
      <c r="M167" s="19"/>
      <c r="N167" s="19"/>
      <c r="O167" s="19"/>
      <c r="P167" s="19"/>
      <c r="Q167" s="19"/>
      <c r="R167" s="19"/>
      <c r="S167" s="19"/>
      <c r="T167" s="19"/>
      <c r="U167" s="19"/>
      <c r="V167" s="19"/>
      <c r="W167" s="19"/>
      <c r="X167" s="19"/>
      <c r="Y167" s="19"/>
    </row>
    <row r="168" spans="1:25" ht="12" customHeight="1">
      <c r="B168" s="19"/>
      <c r="C168" s="19"/>
      <c r="D168" s="107"/>
      <c r="E168" s="107"/>
      <c r="F168" s="19"/>
      <c r="G168" s="19"/>
      <c r="H168" s="19"/>
      <c r="I168" s="19"/>
      <c r="J168" s="19"/>
      <c r="K168" s="233"/>
      <c r="L168" s="19"/>
      <c r="M168" s="19"/>
      <c r="N168" s="19"/>
      <c r="O168" s="19"/>
      <c r="P168" s="19"/>
      <c r="Q168" s="19"/>
      <c r="R168" s="19"/>
      <c r="S168" s="19"/>
      <c r="T168" s="19"/>
      <c r="U168" s="19"/>
      <c r="V168" s="19"/>
      <c r="W168" s="19"/>
      <c r="X168" s="19"/>
      <c r="Y168" s="19"/>
    </row>
    <row r="169" spans="1:25" ht="12" customHeight="1">
      <c r="B169" s="19"/>
      <c r="C169" s="19"/>
      <c r="D169" s="107"/>
      <c r="E169" s="112"/>
      <c r="F169" s="19"/>
      <c r="G169" s="19"/>
      <c r="H169" s="19"/>
      <c r="I169" s="19"/>
      <c r="J169" s="19"/>
      <c r="K169" s="233"/>
      <c r="L169" s="19"/>
      <c r="M169" s="19"/>
      <c r="N169" s="19"/>
      <c r="O169" s="19"/>
      <c r="P169" s="19"/>
      <c r="Q169" s="19"/>
      <c r="R169" s="19"/>
      <c r="S169" s="19"/>
      <c r="T169" s="19"/>
      <c r="U169" s="19"/>
      <c r="V169" s="19"/>
      <c r="W169" s="19"/>
      <c r="X169" s="19"/>
      <c r="Y169" s="19"/>
    </row>
    <row r="170" spans="1:25" ht="32.25" customHeight="1">
      <c r="A170" s="218" t="s">
        <v>268</v>
      </c>
      <c r="B170" s="24" t="s">
        <v>90</v>
      </c>
      <c r="C170" s="25" t="s">
        <v>426</v>
      </c>
      <c r="D170" s="26" t="s">
        <v>32</v>
      </c>
      <c r="E170" s="123"/>
      <c r="K170" s="233"/>
      <c r="L170" s="19"/>
      <c r="M170" s="19"/>
      <c r="N170" s="19"/>
      <c r="O170" s="19"/>
      <c r="P170" s="19"/>
      <c r="Q170" s="19"/>
      <c r="R170" s="19"/>
      <c r="S170" s="19"/>
      <c r="T170" s="19"/>
      <c r="U170" s="19"/>
      <c r="V170" s="19"/>
      <c r="W170" s="19"/>
      <c r="X170" s="19"/>
      <c r="Y170" s="19"/>
    </row>
    <row r="171" spans="1:25" ht="12" customHeight="1">
      <c r="A171" s="219" t="n" cm="1">
        <f t="array" ref="A171">IFERROR(INDEX('03.Muestra'!$B$8:$B$42,SMALL(IF("Documento no web"='03.Muestra'!$D$8:$D$42,ROW('03.Muestra'!$B$8:$B$42)-MIN(ROW('03.Muestra'!$D$8:$D$42))+1,""),ROW()-170)),"")</f>
        <v>1.0</v>
      </c>
      <c r="B171" s="114" t="str" cm="1">
        <f t="array" ref="B171">IFERROR(INDEX('03.Muestra'!$C$8:$C$42,SMALL(IF("Documento no web"='03.Muestra'!$D$8:$D$42,ROW('03.Muestra'!$C$8:$C$42)-MIN(ROW('03.Muestra'!$D$8:$D$42))+1,""),ROW()-170)),"")</f>
        <v>Home - PortCastelló</v>
      </c>
      <c r="C171" s="114" t="str" cm="1">
        <f t="array" ref="C171">IFERROR(INDEX('03.Muestra'!$F$8:$F$42,SMALL(IF("Documento no web"='03.Muestra'!$D$8:$D$42,ROW('03.Muestra'!$F$8:$F$42)-MIN(ROW('03.Muestra'!$D$8:$D$42))+1,""),ROW()-170)),"")</f>
        <v>https://www.portcastello.com/</v>
      </c>
      <c r="D171" s="130" t="s">
        <v>33</v>
      </c>
      <c r="E171" s="107" t="str">
        <f t="shared" ref="E171:E205" si="8">IF(D171&lt;&gt;"",IF(AND(B171&lt;&gt;"",C171&lt;&gt;""),"","ERR"),"")</f>
        <v/>
      </c>
      <c r="F171" s="115" t="s">
        <v>33</v>
      </c>
      <c r="G171" s="116" t="s">
        <v>37</v>
      </c>
      <c r="H171" s="117" t="s">
        <v>35</v>
      </c>
      <c r="I171" s="118" t="s">
        <v>28</v>
      </c>
      <c r="J171" s="119" t="s">
        <v>26</v>
      </c>
      <c r="K171" s="226" t="s">
        <v>474</v>
      </c>
      <c r="L171" s="19"/>
      <c r="M171" s="19"/>
      <c r="N171" s="19"/>
      <c r="O171" s="19"/>
      <c r="P171" s="19"/>
      <c r="Q171" s="19"/>
      <c r="R171" s="19"/>
      <c r="S171" s="19"/>
      <c r="T171" s="19"/>
      <c r="U171" s="19"/>
      <c r="V171" s="19"/>
      <c r="W171" s="19"/>
      <c r="X171" s="19"/>
      <c r="Y171" s="19"/>
    </row>
    <row r="172" spans="1:25" ht="12" customHeight="1">
      <c r="A172" s="219" t="n" cm="1">
        <f t="array" ref="A172">IFERROR(INDEX('03.Muestra'!$B$8:$B$42,SMALL(IF("Documento no web"='03.Muestra'!$D$8:$D$42,ROW('03.Muestra'!$B$8:$B$42)-MIN(ROW('03.Muestra'!$D$8:$D$42))+1,""),ROW()-170)),"")</f>
        <v>1.0</v>
      </c>
      <c r="B172" s="114" t="str" cm="1">
        <f t="array" ref="B172">IFERROR(INDEX('03.Muestra'!$C$8:$C$42,SMALL(IF("Documento no web"='03.Muestra'!$D$8:$D$42,ROW('03.Muestra'!$C$8:$C$42)-MIN(ROW('03.Muestra'!$D$8:$D$42))+1,""),ROW()-170)),"")</f>
        <v>Home - PortCastelló</v>
      </c>
      <c r="C172" s="114" t="str" cm="1">
        <f t="array" ref="C172">IFERROR(INDEX('03.Muestra'!$F$8:$F$42,SMALL(IF("Documento no web"='03.Muestra'!$D$8:$D$42,ROW('03.Muestra'!$F$8:$F$42)-MIN(ROW('03.Muestra'!$D$8:$D$42))+1,""),ROW()-170)),"")</f>
        <v>https://www.portcastello.com/</v>
      </c>
      <c r="D172" s="130" t="s">
        <v>33</v>
      </c>
      <c r="E172" s="107" t="str">
        <f t="shared" si="8"/>
        <v/>
      </c>
      <c r="F172" s="120" t="n">
        <f ca="1">COUNTIF($D171:INDIRECT("$D" &amp;  SUM(ROW()-1,'03.Muestra'!$D$45)-1),F171)</f>
        <v>2.0</v>
      </c>
      <c r="G172" s="120" t="n">
        <f ca="1">COUNTIF($D171:INDIRECT("$D" &amp;  SUM(ROW()-1,'03.Muestra'!$D$45)-1),G171)</f>
        <v>0.0</v>
      </c>
      <c r="H172" s="120" t="n">
        <f ca="1">COUNTIF($D171:INDIRECT("$D" &amp;  SUM(ROW()-1,'03.Muestra'!$D$45)-1),H171)</f>
        <v>0.0</v>
      </c>
      <c r="I172" s="120" t="n">
        <f ca="1">COUNTIF($D171:INDIRECT("$D" &amp;  SUM(ROW()-1,'03.Muestra'!$D$45)-1),I171)</f>
        <v>0.0</v>
      </c>
      <c r="J172" s="120" t="n">
        <f ca="1">COUNTIF($D171:INDIRECT("$D" &amp;  SUM(ROW()-1,'03.Muestra'!$D$45)-1),J171)</f>
        <v>0.0</v>
      </c>
      <c r="K172" s="227" t="n">
        <f ca="1">IF(COUNTIF('03.Muestra'!$D$8:$D$42,"Documento no web")=0,0,COUNTBLANK($D171:INDIRECT("$D" &amp;  SUM(ROW()-1,COUNTIF('03.Muestra'!$D$8:$D$42,"Documento no web"))-1)))</f>
        <v>0.0</v>
      </c>
      <c r="L172" s="19"/>
      <c r="M172" s="19"/>
      <c r="N172" s="19"/>
      <c r="O172" s="19"/>
      <c r="P172" s="19"/>
      <c r="Q172" s="19"/>
      <c r="R172" s="19"/>
      <c r="S172" s="19"/>
      <c r="T172" s="19"/>
      <c r="U172" s="19"/>
      <c r="V172" s="19"/>
      <c r="W172" s="19"/>
      <c r="X172" s="19"/>
      <c r="Y172" s="19"/>
    </row>
    <row r="173" spans="1:25" ht="12" customHeight="1">
      <c r="A173" s="219" t="str" cm="1">
        <f t="array" ref="A173">IFERROR(INDEX('03.Muestra'!$B$8:$B$42,SMALL(IF("Documento no web"='03.Muestra'!$D$8:$D$42,ROW('03.Muestra'!$B$8:$B$42)-MIN(ROW('03.Muestra'!$D$8:$D$42))+1,""),ROW()-170)),"")</f>
        <v/>
      </c>
      <c r="B173" s="114" t="str" cm="1">
        <f t="array" ref="B173">IFERROR(INDEX('03.Muestra'!$C$8:$C$42,SMALL(IF("Documento no web"='03.Muestra'!$D$8:$D$42,ROW('03.Muestra'!$C$8:$C$42)-MIN(ROW('03.Muestra'!$D$8:$D$42))+1,""),ROW()-170)),"")</f>
        <v/>
      </c>
      <c r="C173" s="114" t="str" cm="1">
        <f t="array" ref="C173">IFERROR(INDEX('03.Muestra'!$F$8:$F$42,SMALL(IF("Documento no web"='03.Muestra'!$D$8:$D$42,ROW('03.Muestra'!$F$8:$F$42)-MIN(ROW('03.Muestra'!$D$8:$D$42))+1,""),ROW()-170)),"")</f>
        <v/>
      </c>
      <c r="D173" s="130" t="str">
        <f t="shared" si="9" ref="D173:D205">IF(AND(B173&lt;&gt;"",C173&lt;&gt;""),"N/T","")</f>
        <v/>
      </c>
      <c r="E173" s="107" t="str">
        <f t="shared" si="8"/>
        <v/>
      </c>
      <c r="K173" s="233"/>
      <c r="L173" s="19"/>
      <c r="M173" s="19"/>
      <c r="N173" s="19"/>
      <c r="O173" s="19"/>
      <c r="P173" s="19"/>
      <c r="Q173" s="19"/>
      <c r="R173" s="19"/>
      <c r="S173" s="19"/>
      <c r="T173" s="19"/>
      <c r="U173" s="19"/>
      <c r="V173" s="19"/>
      <c r="W173" s="19"/>
      <c r="X173" s="19"/>
      <c r="Y173" s="19"/>
    </row>
    <row r="174" spans="1:25" ht="12" customHeight="1">
      <c r="A174" s="219" t="str" cm="1">
        <f t="array" ref="A174">IFERROR(INDEX('03.Muestra'!$B$8:$B$42,SMALL(IF("Documento no web"='03.Muestra'!$D$8:$D$42,ROW('03.Muestra'!$B$8:$B$42)-MIN(ROW('03.Muestra'!$D$8:$D$42))+1,""),ROW()-170)),"")</f>
        <v/>
      </c>
      <c r="B174" s="114" t="str" cm="1">
        <f t="array" ref="B174">IFERROR(INDEX('03.Muestra'!$C$8:$C$42,SMALL(IF("Documento no web"='03.Muestra'!$D$8:$D$42,ROW('03.Muestra'!$C$8:$C$42)-MIN(ROW('03.Muestra'!$D$8:$D$42))+1,""),ROW()-170)),"")</f>
        <v/>
      </c>
      <c r="C174" s="114" t="str" cm="1">
        <f t="array" ref="C174">IFERROR(INDEX('03.Muestra'!$F$8:$F$42,SMALL(IF("Documento no web"='03.Muestra'!$D$8:$D$42,ROW('03.Muestra'!$F$8:$F$42)-MIN(ROW('03.Muestra'!$D$8:$D$42))+1,""),ROW()-170)),"")</f>
        <v/>
      </c>
      <c r="D174" s="130" t="str">
        <f t="shared" si="9"/>
        <v/>
      </c>
      <c r="E174" s="107" t="str">
        <f t="shared" si="8"/>
        <v/>
      </c>
      <c r="G174" s="19"/>
      <c r="H174" s="19"/>
      <c r="I174" s="19"/>
      <c r="J174" s="19"/>
      <c r="K174" s="233"/>
      <c r="L174" s="19"/>
      <c r="M174" s="19"/>
      <c r="N174" s="19"/>
      <c r="O174" s="19"/>
      <c r="P174" s="19"/>
      <c r="Q174" s="19"/>
      <c r="R174" s="19"/>
      <c r="S174" s="19"/>
      <c r="T174" s="19"/>
      <c r="U174" s="19"/>
      <c r="V174" s="19"/>
      <c r="W174" s="19"/>
      <c r="X174" s="19"/>
      <c r="Y174" s="19"/>
    </row>
    <row r="175" spans="1:25" ht="12" customHeight="1">
      <c r="A175" s="219" t="str" cm="1">
        <f t="array" ref="A175">IFERROR(INDEX('03.Muestra'!$B$8:$B$42,SMALL(IF("Documento no web"='03.Muestra'!$D$8:$D$42,ROW('03.Muestra'!$B$8:$B$42)-MIN(ROW('03.Muestra'!$D$8:$D$42))+1,""),ROW()-170)),"")</f>
        <v/>
      </c>
      <c r="B175" s="114" t="str" cm="1">
        <f t="array" ref="B175">IFERROR(INDEX('03.Muestra'!$C$8:$C$42,SMALL(IF("Documento no web"='03.Muestra'!$D$8:$D$42,ROW('03.Muestra'!$C$8:$C$42)-MIN(ROW('03.Muestra'!$D$8:$D$42))+1,""),ROW()-170)),"")</f>
        <v/>
      </c>
      <c r="C175" s="114" t="str" cm="1">
        <f t="array" ref="C175">IFERROR(INDEX('03.Muestra'!$F$8:$F$42,SMALL(IF("Documento no web"='03.Muestra'!$D$8:$D$42,ROW('03.Muestra'!$F$8:$F$42)-MIN(ROW('03.Muestra'!$D$8:$D$42))+1,""),ROW()-170)),"")</f>
        <v/>
      </c>
      <c r="D175" s="130" t="str">
        <f t="shared" si="9"/>
        <v/>
      </c>
      <c r="E175" s="107" t="str">
        <f t="shared" si="8"/>
        <v/>
      </c>
      <c r="G175" s="19"/>
      <c r="H175" s="19"/>
      <c r="I175" s="19"/>
      <c r="J175" s="19"/>
      <c r="K175" s="233"/>
      <c r="L175" s="19"/>
      <c r="M175" s="19"/>
      <c r="N175" s="19"/>
      <c r="O175" s="19"/>
      <c r="P175" s="19"/>
      <c r="Q175" s="19"/>
      <c r="R175" s="19"/>
      <c r="S175" s="19"/>
      <c r="T175" s="19"/>
      <c r="U175" s="19"/>
      <c r="V175" s="19"/>
      <c r="W175" s="19"/>
      <c r="X175" s="19"/>
      <c r="Y175" s="19"/>
    </row>
    <row r="176" spans="1:25" ht="12" customHeight="1">
      <c r="A176" s="219" t="str" cm="1">
        <f t="array" ref="A176">IFERROR(INDEX('03.Muestra'!$B$8:$B$42,SMALL(IF("Documento no web"='03.Muestra'!$D$8:$D$42,ROW('03.Muestra'!$B$8:$B$42)-MIN(ROW('03.Muestra'!$D$8:$D$42))+1,""),ROW()-170)),"")</f>
        <v/>
      </c>
      <c r="B176" s="114" t="str" cm="1">
        <f t="array" ref="B176">IFERROR(INDEX('03.Muestra'!$C$8:$C$42,SMALL(IF("Documento no web"='03.Muestra'!$D$8:$D$42,ROW('03.Muestra'!$C$8:$C$42)-MIN(ROW('03.Muestra'!$D$8:$D$42))+1,""),ROW()-170)),"")</f>
        <v/>
      </c>
      <c r="C176" s="114" t="str" cm="1">
        <f t="array" ref="C176">IFERROR(INDEX('03.Muestra'!$F$8:$F$42,SMALL(IF("Documento no web"='03.Muestra'!$D$8:$D$42,ROW('03.Muestra'!$F$8:$F$42)-MIN(ROW('03.Muestra'!$D$8:$D$42))+1,""),ROW()-170)),"")</f>
        <v/>
      </c>
      <c r="D176" s="130" t="str">
        <f t="shared" si="9"/>
        <v/>
      </c>
      <c r="E176" s="107" t="str">
        <f t="shared" si="8"/>
        <v/>
      </c>
      <c r="G176" s="19"/>
      <c r="H176" s="19"/>
      <c r="I176" s="19"/>
      <c r="J176" s="19"/>
      <c r="K176" s="233"/>
      <c r="L176" s="19"/>
      <c r="M176" s="19"/>
      <c r="N176" s="19"/>
      <c r="O176" s="19"/>
      <c r="P176" s="19"/>
      <c r="Q176" s="19"/>
      <c r="R176" s="19"/>
      <c r="S176" s="19"/>
      <c r="T176" s="19"/>
      <c r="U176" s="19"/>
      <c r="V176" s="19"/>
      <c r="W176" s="19"/>
      <c r="X176" s="19"/>
      <c r="Y176" s="19"/>
    </row>
    <row r="177" spans="1:25" ht="12" customHeight="1">
      <c r="A177" s="219" t="str" cm="1">
        <f t="array" ref="A177">IFERROR(INDEX('03.Muestra'!$B$8:$B$42,SMALL(IF("Documento no web"='03.Muestra'!$D$8:$D$42,ROW('03.Muestra'!$B$8:$B$42)-MIN(ROW('03.Muestra'!$D$8:$D$42))+1,""),ROW()-170)),"")</f>
        <v/>
      </c>
      <c r="B177" s="114" t="str" cm="1">
        <f t="array" ref="B177">IFERROR(INDEX('03.Muestra'!$C$8:$C$42,SMALL(IF("Documento no web"='03.Muestra'!$D$8:$D$42,ROW('03.Muestra'!$C$8:$C$42)-MIN(ROW('03.Muestra'!$D$8:$D$42))+1,""),ROW()-170)),"")</f>
        <v/>
      </c>
      <c r="C177" s="114" t="str" cm="1">
        <f t="array" ref="C177">IFERROR(INDEX('03.Muestra'!$F$8:$F$42,SMALL(IF("Documento no web"='03.Muestra'!$D$8:$D$42,ROW('03.Muestra'!$F$8:$F$42)-MIN(ROW('03.Muestra'!$D$8:$D$42))+1,""),ROW()-170)),"")</f>
        <v/>
      </c>
      <c r="D177" s="130" t="str">
        <f t="shared" si="9"/>
        <v/>
      </c>
      <c r="E177" s="107" t="str">
        <f t="shared" si="8"/>
        <v/>
      </c>
      <c r="F177" s="19"/>
      <c r="G177" s="19"/>
      <c r="H177" s="19"/>
      <c r="I177" s="19"/>
      <c r="J177" s="19"/>
      <c r="K177" s="233"/>
      <c r="L177" s="19"/>
      <c r="M177" s="19"/>
      <c r="N177" s="19"/>
      <c r="O177" s="19"/>
      <c r="P177" s="19"/>
      <c r="Q177" s="19"/>
      <c r="R177" s="19"/>
      <c r="S177" s="19"/>
      <c r="T177" s="19"/>
      <c r="U177" s="19"/>
      <c r="V177" s="19"/>
      <c r="W177" s="19"/>
      <c r="X177" s="19"/>
      <c r="Y177" s="19"/>
    </row>
    <row r="178" spans="1:25" ht="12" customHeight="1">
      <c r="A178" s="219" t="str" cm="1">
        <f t="array" ref="A178">IFERROR(INDEX('03.Muestra'!$B$8:$B$42,SMALL(IF("Documento no web"='03.Muestra'!$D$8:$D$42,ROW('03.Muestra'!$B$8:$B$42)-MIN(ROW('03.Muestra'!$D$8:$D$42))+1,""),ROW()-170)),"")</f>
        <v/>
      </c>
      <c r="B178" s="114" t="str" cm="1">
        <f t="array" ref="B178">IFERROR(INDEX('03.Muestra'!$C$8:$C$42,SMALL(IF("Documento no web"='03.Muestra'!$D$8:$D$42,ROW('03.Muestra'!$C$8:$C$42)-MIN(ROW('03.Muestra'!$D$8:$D$42))+1,""),ROW()-170)),"")</f>
        <v/>
      </c>
      <c r="C178" s="114" t="str" cm="1">
        <f t="array" ref="C178">IFERROR(INDEX('03.Muestra'!$F$8:$F$42,SMALL(IF("Documento no web"='03.Muestra'!$D$8:$D$42,ROW('03.Muestra'!$F$8:$F$42)-MIN(ROW('03.Muestra'!$D$8:$D$42))+1,""),ROW()-170)),"")</f>
        <v/>
      </c>
      <c r="D178" s="130" t="str">
        <f t="shared" si="9"/>
        <v/>
      </c>
      <c r="E178" s="107" t="str">
        <f t="shared" si="8"/>
        <v/>
      </c>
      <c r="F178" s="19"/>
      <c r="G178" s="19"/>
      <c r="H178" s="19"/>
      <c r="I178" s="19"/>
      <c r="J178" s="19"/>
      <c r="K178" s="233"/>
      <c r="L178" s="19"/>
      <c r="M178" s="19"/>
      <c r="N178" s="19"/>
      <c r="O178" s="19"/>
      <c r="P178" s="19"/>
      <c r="Q178" s="19"/>
      <c r="R178" s="19"/>
      <c r="S178" s="19"/>
      <c r="T178" s="19"/>
      <c r="U178" s="19"/>
      <c r="V178" s="19"/>
      <c r="W178" s="19"/>
      <c r="X178" s="19"/>
      <c r="Y178" s="19"/>
    </row>
    <row r="179" spans="1:25" ht="12" customHeight="1">
      <c r="A179" s="219" t="str" cm="1">
        <f t="array" ref="A179">IFERROR(INDEX('03.Muestra'!$B$8:$B$42,SMALL(IF("Documento no web"='03.Muestra'!$D$8:$D$42,ROW('03.Muestra'!$B$8:$B$42)-MIN(ROW('03.Muestra'!$D$8:$D$42))+1,""),ROW()-170)),"")</f>
        <v/>
      </c>
      <c r="B179" s="114" t="str" cm="1">
        <f t="array" ref="B179">IFERROR(INDEX('03.Muestra'!$C$8:$C$42,SMALL(IF("Documento no web"='03.Muestra'!$D$8:$D$42,ROW('03.Muestra'!$C$8:$C$42)-MIN(ROW('03.Muestra'!$D$8:$D$42))+1,""),ROW()-170)),"")</f>
        <v/>
      </c>
      <c r="C179" s="114" t="str" cm="1">
        <f t="array" ref="C179">IFERROR(INDEX('03.Muestra'!$F$8:$F$42,SMALL(IF("Documento no web"='03.Muestra'!$D$8:$D$42,ROW('03.Muestra'!$F$8:$F$42)-MIN(ROW('03.Muestra'!$D$8:$D$42))+1,""),ROW()-170)),"")</f>
        <v/>
      </c>
      <c r="D179" s="130" t="str">
        <f t="shared" si="9"/>
        <v/>
      </c>
      <c r="E179" s="107" t="str">
        <f t="shared" si="8"/>
        <v/>
      </c>
      <c r="F179" s="19"/>
      <c r="G179" s="19"/>
      <c r="H179" s="19"/>
      <c r="I179" s="19"/>
      <c r="J179" s="19"/>
      <c r="K179" s="233"/>
      <c r="L179" s="19"/>
      <c r="M179" s="19"/>
      <c r="N179" s="19"/>
      <c r="O179" s="19"/>
      <c r="P179" s="19"/>
      <c r="Q179" s="19"/>
      <c r="R179" s="19"/>
      <c r="S179" s="19"/>
      <c r="T179" s="19"/>
      <c r="U179" s="19"/>
      <c r="V179" s="19"/>
      <c r="W179" s="19"/>
      <c r="X179" s="19"/>
      <c r="Y179" s="19"/>
    </row>
    <row r="180" spans="1:25" ht="12" customHeight="1">
      <c r="A180" s="219" t="str" cm="1">
        <f t="array" ref="A180">IFERROR(INDEX('03.Muestra'!$B$8:$B$42,SMALL(IF("Documento no web"='03.Muestra'!$D$8:$D$42,ROW('03.Muestra'!$B$8:$B$42)-MIN(ROW('03.Muestra'!$D$8:$D$42))+1,""),ROW()-170)),"")</f>
        <v/>
      </c>
      <c r="B180" s="114" t="str" cm="1">
        <f t="array" ref="B180">IFERROR(INDEX('03.Muestra'!$C$8:$C$42,SMALL(IF("Documento no web"='03.Muestra'!$D$8:$D$42,ROW('03.Muestra'!$C$8:$C$42)-MIN(ROW('03.Muestra'!$D$8:$D$42))+1,""),ROW()-170)),"")</f>
        <v/>
      </c>
      <c r="C180" s="114" t="str" cm="1">
        <f t="array" ref="C180">IFERROR(INDEX('03.Muestra'!$F$8:$F$42,SMALL(IF("Documento no web"='03.Muestra'!$D$8:$D$42,ROW('03.Muestra'!$F$8:$F$42)-MIN(ROW('03.Muestra'!$D$8:$D$42))+1,""),ROW()-170)),"")</f>
        <v/>
      </c>
      <c r="D180" s="130" t="str">
        <f t="shared" si="9"/>
        <v/>
      </c>
      <c r="E180" s="107" t="str">
        <f t="shared" si="8"/>
        <v/>
      </c>
      <c r="F180" s="19"/>
      <c r="G180" s="19"/>
      <c r="H180" s="19"/>
      <c r="I180" s="19"/>
      <c r="J180" s="19"/>
      <c r="K180" s="233"/>
      <c r="L180" s="19"/>
      <c r="M180" s="19"/>
      <c r="N180" s="19"/>
      <c r="O180" s="19"/>
      <c r="P180" s="19"/>
      <c r="Q180" s="19"/>
      <c r="R180" s="19"/>
      <c r="S180" s="19"/>
      <c r="T180" s="19"/>
      <c r="U180" s="19"/>
      <c r="V180" s="19"/>
      <c r="W180" s="19"/>
      <c r="X180" s="19"/>
      <c r="Y180" s="19"/>
    </row>
    <row r="181" spans="1:25" ht="12" customHeight="1">
      <c r="A181" s="219" t="str" cm="1">
        <f t="array" ref="A181">IFERROR(INDEX('03.Muestra'!$B$8:$B$42,SMALL(IF("Documento no web"='03.Muestra'!$D$8:$D$42,ROW('03.Muestra'!$B$8:$B$42)-MIN(ROW('03.Muestra'!$D$8:$D$42))+1,""),ROW()-170)),"")</f>
        <v/>
      </c>
      <c r="B181" s="114" t="str" cm="1">
        <f t="array" ref="B181">IFERROR(INDEX('03.Muestra'!$C$8:$C$42,SMALL(IF("Documento no web"='03.Muestra'!$D$8:$D$42,ROW('03.Muestra'!$C$8:$C$42)-MIN(ROW('03.Muestra'!$D$8:$D$42))+1,""),ROW()-170)),"")</f>
        <v/>
      </c>
      <c r="C181" s="114" t="str" cm="1">
        <f t="array" ref="C181">IFERROR(INDEX('03.Muestra'!$F$8:$F$42,SMALL(IF("Documento no web"='03.Muestra'!$D$8:$D$42,ROW('03.Muestra'!$F$8:$F$42)-MIN(ROW('03.Muestra'!$D$8:$D$42))+1,""),ROW()-170)),"")</f>
        <v/>
      </c>
      <c r="D181" s="130" t="str">
        <f t="shared" si="9"/>
        <v/>
      </c>
      <c r="E181" s="107" t="str">
        <f t="shared" si="8"/>
        <v/>
      </c>
      <c r="F181" s="19"/>
      <c r="G181" s="19"/>
      <c r="H181" s="19"/>
      <c r="I181" s="19"/>
      <c r="J181" s="19"/>
      <c r="K181" s="233"/>
      <c r="L181" s="19"/>
      <c r="M181" s="19"/>
      <c r="N181" s="19"/>
      <c r="O181" s="19"/>
      <c r="P181" s="19"/>
      <c r="Q181" s="19"/>
      <c r="R181" s="19"/>
      <c r="S181" s="19"/>
      <c r="T181" s="19"/>
      <c r="U181" s="19"/>
      <c r="V181" s="19"/>
      <c r="W181" s="19"/>
      <c r="X181" s="19"/>
      <c r="Y181" s="19"/>
    </row>
    <row r="182" spans="1:25" ht="12" customHeight="1">
      <c r="A182" s="219" t="str" cm="1">
        <f t="array" ref="A182">IFERROR(INDEX('03.Muestra'!$B$8:$B$42,SMALL(IF("Documento no web"='03.Muestra'!$D$8:$D$42,ROW('03.Muestra'!$B$8:$B$42)-MIN(ROW('03.Muestra'!$D$8:$D$42))+1,""),ROW()-170)),"")</f>
        <v/>
      </c>
      <c r="B182" s="114" t="str" cm="1">
        <f t="array" ref="B182">IFERROR(INDEX('03.Muestra'!$C$8:$C$42,SMALL(IF("Documento no web"='03.Muestra'!$D$8:$D$42,ROW('03.Muestra'!$C$8:$C$42)-MIN(ROW('03.Muestra'!$D$8:$D$42))+1,""),ROW()-170)),"")</f>
        <v/>
      </c>
      <c r="C182" s="114" t="str" cm="1">
        <f t="array" ref="C182">IFERROR(INDEX('03.Muestra'!$F$8:$F$42,SMALL(IF("Documento no web"='03.Muestra'!$D$8:$D$42,ROW('03.Muestra'!$F$8:$F$42)-MIN(ROW('03.Muestra'!$D$8:$D$42))+1,""),ROW()-170)),"")</f>
        <v/>
      </c>
      <c r="D182" s="130" t="str">
        <f t="shared" si="9"/>
        <v/>
      </c>
      <c r="E182" s="107" t="str">
        <f t="shared" si="8"/>
        <v/>
      </c>
      <c r="F182" s="19"/>
      <c r="G182" s="19"/>
      <c r="H182" s="19"/>
      <c r="I182" s="19"/>
      <c r="J182" s="19"/>
      <c r="K182" s="233"/>
      <c r="L182" s="19"/>
      <c r="M182" s="19"/>
      <c r="N182" s="19"/>
      <c r="O182" s="19"/>
      <c r="P182" s="19"/>
      <c r="Q182" s="19"/>
      <c r="R182" s="19"/>
      <c r="S182" s="19"/>
      <c r="T182" s="19"/>
      <c r="U182" s="19"/>
      <c r="V182" s="19"/>
      <c r="W182" s="19"/>
      <c r="X182" s="19"/>
      <c r="Y182" s="19"/>
    </row>
    <row r="183" spans="1:25" ht="14.1" customHeight="1">
      <c r="A183" s="219" t="str" cm="1">
        <f t="array" ref="A183">IFERROR(INDEX('03.Muestra'!$B$8:$B$42,SMALL(IF("Documento no web"='03.Muestra'!$D$8:$D$42,ROW('03.Muestra'!$B$8:$B$42)-MIN(ROW('03.Muestra'!$D$8:$D$42))+1,""),ROW()-170)),"")</f>
        <v/>
      </c>
      <c r="B183" s="114" t="str" cm="1">
        <f t="array" ref="B183">IFERROR(INDEX('03.Muestra'!$C$8:$C$42,SMALL(IF("Documento no web"='03.Muestra'!$D$8:$D$42,ROW('03.Muestra'!$C$8:$C$42)-MIN(ROW('03.Muestra'!$D$8:$D$42))+1,""),ROW()-170)),"")</f>
        <v/>
      </c>
      <c r="C183" s="114" t="str" cm="1">
        <f t="array" ref="C183">IFERROR(INDEX('03.Muestra'!$F$8:$F$42,SMALL(IF("Documento no web"='03.Muestra'!$D$8:$D$42,ROW('03.Muestra'!$F$8:$F$42)-MIN(ROW('03.Muestra'!$D$8:$D$42))+1,""),ROW()-170)),"")</f>
        <v/>
      </c>
      <c r="D183" s="130" t="str">
        <f t="shared" si="9"/>
        <v/>
      </c>
      <c r="E183" s="107" t="str">
        <f t="shared" si="8"/>
        <v/>
      </c>
      <c r="F183" s="19"/>
      <c r="G183" s="19"/>
      <c r="H183" s="19"/>
      <c r="I183" s="19"/>
      <c r="J183" s="19"/>
      <c r="K183" s="233"/>
      <c r="L183" s="19"/>
      <c r="M183" s="19"/>
      <c r="N183" s="19"/>
      <c r="O183" s="19"/>
      <c r="P183" s="19"/>
      <c r="Q183" s="19"/>
      <c r="R183" s="19"/>
      <c r="S183" s="19"/>
      <c r="T183" s="19"/>
      <c r="U183" s="19"/>
      <c r="V183" s="19"/>
      <c r="W183" s="19"/>
      <c r="X183" s="19"/>
      <c r="Y183" s="19"/>
    </row>
    <row r="184" spans="1:25" ht="14.1" customHeight="1">
      <c r="A184" s="219" t="str" cm="1">
        <f t="array" ref="A184">IFERROR(INDEX('03.Muestra'!$B$8:$B$42,SMALL(IF("Documento no web"='03.Muestra'!$D$8:$D$42,ROW('03.Muestra'!$B$8:$B$42)-MIN(ROW('03.Muestra'!$D$8:$D$42))+1,""),ROW()-170)),"")</f>
        <v/>
      </c>
      <c r="B184" s="114" t="str" cm="1">
        <f t="array" ref="B184">IFERROR(INDEX('03.Muestra'!$C$8:$C$42,SMALL(IF("Documento no web"='03.Muestra'!$D$8:$D$42,ROW('03.Muestra'!$C$8:$C$42)-MIN(ROW('03.Muestra'!$D$8:$D$42))+1,""),ROW()-170)),"")</f>
        <v/>
      </c>
      <c r="C184" s="114" t="str" cm="1">
        <f t="array" ref="C184">IFERROR(INDEX('03.Muestra'!$F$8:$F$42,SMALL(IF("Documento no web"='03.Muestra'!$D$8:$D$42,ROW('03.Muestra'!$F$8:$F$42)-MIN(ROW('03.Muestra'!$D$8:$D$42))+1,""),ROW()-170)),"")</f>
        <v/>
      </c>
      <c r="D184" s="130" t="str">
        <f t="shared" si="9"/>
        <v/>
      </c>
      <c r="E184" s="107" t="str">
        <f t="shared" si="8"/>
        <v/>
      </c>
      <c r="F184" s="19"/>
      <c r="G184" s="19"/>
      <c r="H184" s="19"/>
      <c r="I184" s="19"/>
      <c r="J184" s="19"/>
      <c r="K184" s="233"/>
      <c r="L184" s="19"/>
      <c r="M184" s="19"/>
      <c r="N184" s="19"/>
      <c r="O184" s="19"/>
      <c r="P184" s="19"/>
      <c r="Q184" s="19"/>
      <c r="R184" s="19"/>
      <c r="S184" s="19"/>
      <c r="T184" s="19"/>
      <c r="U184" s="19"/>
      <c r="V184" s="19"/>
      <c r="W184" s="19"/>
      <c r="X184" s="19"/>
      <c r="Y184" s="19"/>
    </row>
    <row r="185" spans="1:25" ht="14.1" customHeight="1">
      <c r="A185" s="219" t="str" cm="1">
        <f t="array" ref="A185">IFERROR(INDEX('03.Muestra'!$B$8:$B$42,SMALL(IF("Documento no web"='03.Muestra'!$D$8:$D$42,ROW('03.Muestra'!$B$8:$B$42)-MIN(ROW('03.Muestra'!$D$8:$D$42))+1,""),ROW()-170)),"")</f>
        <v/>
      </c>
      <c r="B185" s="114" t="str" cm="1">
        <f t="array" ref="B185">IFERROR(INDEX('03.Muestra'!$C$8:$C$42,SMALL(IF("Documento no web"='03.Muestra'!$D$8:$D$42,ROW('03.Muestra'!$C$8:$C$42)-MIN(ROW('03.Muestra'!$D$8:$D$42))+1,""),ROW()-170)),"")</f>
        <v/>
      </c>
      <c r="C185" s="114" t="str" cm="1">
        <f t="array" ref="C185">IFERROR(INDEX('03.Muestra'!$F$8:$F$42,SMALL(IF("Documento no web"='03.Muestra'!$D$8:$D$42,ROW('03.Muestra'!$F$8:$F$42)-MIN(ROW('03.Muestra'!$D$8:$D$42))+1,""),ROW()-170)),"")</f>
        <v/>
      </c>
      <c r="D185" s="130" t="str">
        <f t="shared" si="9"/>
        <v/>
      </c>
      <c r="E185" s="107" t="str">
        <f t="shared" si="8"/>
        <v/>
      </c>
      <c r="F185" s="19"/>
      <c r="G185" s="19"/>
      <c r="H185" s="19"/>
      <c r="I185" s="19"/>
      <c r="J185" s="19"/>
      <c r="K185" s="233"/>
      <c r="L185" s="19"/>
      <c r="M185" s="19"/>
      <c r="N185" s="19"/>
      <c r="O185" s="19"/>
      <c r="P185" s="19"/>
      <c r="Q185" s="19"/>
      <c r="R185" s="19"/>
      <c r="S185" s="19"/>
      <c r="T185" s="19"/>
      <c r="U185" s="19"/>
      <c r="V185" s="19"/>
      <c r="W185" s="19"/>
      <c r="X185" s="19"/>
      <c r="Y185" s="19"/>
    </row>
    <row r="186" spans="1:25" ht="14.1" customHeight="1">
      <c r="A186" s="219" t="str" cm="1">
        <f t="array" ref="A186">IFERROR(INDEX('03.Muestra'!$B$8:$B$42,SMALL(IF("Documento no web"='03.Muestra'!$D$8:$D$42,ROW('03.Muestra'!$B$8:$B$42)-MIN(ROW('03.Muestra'!$D$8:$D$42))+1,""),ROW()-170)),"")</f>
        <v/>
      </c>
      <c r="B186" s="114" t="str" cm="1">
        <f t="array" ref="B186">IFERROR(INDEX('03.Muestra'!$C$8:$C$42,SMALL(IF("Documento no web"='03.Muestra'!$D$8:$D$42,ROW('03.Muestra'!$C$8:$C$42)-MIN(ROW('03.Muestra'!$D$8:$D$42))+1,""),ROW()-170)),"")</f>
        <v/>
      </c>
      <c r="C186" s="114" t="str" cm="1">
        <f t="array" ref="C186">IFERROR(INDEX('03.Muestra'!$F$8:$F$42,SMALL(IF("Documento no web"='03.Muestra'!$D$8:$D$42,ROW('03.Muestra'!$F$8:$F$42)-MIN(ROW('03.Muestra'!$D$8:$D$42))+1,""),ROW()-170)),"")</f>
        <v/>
      </c>
      <c r="D186" s="130" t="str">
        <f t="shared" si="9"/>
        <v/>
      </c>
      <c r="E186" s="107" t="str">
        <f t="shared" si="8"/>
        <v/>
      </c>
      <c r="F186" s="19"/>
      <c r="G186" s="19"/>
      <c r="H186" s="19"/>
      <c r="I186" s="19"/>
      <c r="J186" s="19"/>
      <c r="K186" s="233"/>
      <c r="L186" s="19"/>
      <c r="M186" s="19"/>
      <c r="N186" s="19"/>
      <c r="O186" s="19"/>
      <c r="P186" s="19"/>
      <c r="Q186" s="19"/>
      <c r="R186" s="19"/>
      <c r="S186" s="19"/>
      <c r="T186" s="19"/>
      <c r="U186" s="19"/>
      <c r="V186" s="19"/>
      <c r="W186" s="19"/>
      <c r="X186" s="19"/>
      <c r="Y186" s="19"/>
    </row>
    <row r="187" spans="1:25" ht="14.1" customHeight="1">
      <c r="A187" s="219" t="str" cm="1">
        <f t="array" ref="A187">IFERROR(INDEX('03.Muestra'!$B$8:$B$42,SMALL(IF("Documento no web"='03.Muestra'!$D$8:$D$42,ROW('03.Muestra'!$B$8:$B$42)-MIN(ROW('03.Muestra'!$D$8:$D$42))+1,""),ROW()-170)),"")</f>
        <v/>
      </c>
      <c r="B187" s="114" t="str" cm="1">
        <f t="array" ref="B187">IFERROR(INDEX('03.Muestra'!$C$8:$C$42,SMALL(IF("Documento no web"='03.Muestra'!$D$8:$D$42,ROW('03.Muestra'!$C$8:$C$42)-MIN(ROW('03.Muestra'!$D$8:$D$42))+1,""),ROW()-170)),"")</f>
        <v/>
      </c>
      <c r="C187" s="114" t="str" cm="1">
        <f t="array" ref="C187">IFERROR(INDEX('03.Muestra'!$F$8:$F$42,SMALL(IF("Documento no web"='03.Muestra'!$D$8:$D$42,ROW('03.Muestra'!$F$8:$F$42)-MIN(ROW('03.Muestra'!$D$8:$D$42))+1,""),ROW()-170)),"")</f>
        <v/>
      </c>
      <c r="D187" s="130" t="str">
        <f t="shared" si="9"/>
        <v/>
      </c>
      <c r="E187" s="107" t="str">
        <f t="shared" si="8"/>
        <v/>
      </c>
      <c r="F187" s="19"/>
      <c r="G187" s="19"/>
      <c r="H187" s="19"/>
      <c r="I187" s="19"/>
      <c r="J187" s="19"/>
      <c r="K187" s="233"/>
      <c r="L187" s="19"/>
      <c r="M187" s="19"/>
      <c r="N187" s="19"/>
      <c r="O187" s="19"/>
      <c r="P187" s="19"/>
      <c r="Q187" s="19"/>
      <c r="R187" s="19"/>
      <c r="S187" s="19"/>
      <c r="T187" s="19"/>
      <c r="U187" s="19"/>
      <c r="V187" s="19"/>
      <c r="W187" s="19"/>
      <c r="X187" s="19"/>
      <c r="Y187" s="19"/>
    </row>
    <row r="188" spans="1:25" ht="14.1" customHeight="1">
      <c r="A188" s="219" t="str" cm="1">
        <f t="array" ref="A188">IFERROR(INDEX('03.Muestra'!$B$8:$B$42,SMALL(IF("Documento no web"='03.Muestra'!$D$8:$D$42,ROW('03.Muestra'!$B$8:$B$42)-MIN(ROW('03.Muestra'!$D$8:$D$42))+1,""),ROW()-170)),"")</f>
        <v/>
      </c>
      <c r="B188" s="114" t="str" cm="1">
        <f t="array" ref="B188">IFERROR(INDEX('03.Muestra'!$C$8:$C$42,SMALL(IF("Documento no web"='03.Muestra'!$D$8:$D$42,ROW('03.Muestra'!$C$8:$C$42)-MIN(ROW('03.Muestra'!$D$8:$D$42))+1,""),ROW()-170)),"")</f>
        <v/>
      </c>
      <c r="C188" s="114" t="str" cm="1">
        <f t="array" ref="C188">IFERROR(INDEX('03.Muestra'!$F$8:$F$42,SMALL(IF("Documento no web"='03.Muestra'!$D$8:$D$42,ROW('03.Muestra'!$F$8:$F$42)-MIN(ROW('03.Muestra'!$D$8:$D$42))+1,""),ROW()-170)),"")</f>
        <v/>
      </c>
      <c r="D188" s="130" t="str">
        <f t="shared" si="9"/>
        <v/>
      </c>
      <c r="E188" s="107" t="str">
        <f t="shared" si="8"/>
        <v/>
      </c>
      <c r="F188" s="19"/>
      <c r="G188" s="19"/>
      <c r="H188" s="19"/>
      <c r="I188" s="19"/>
      <c r="J188" s="19"/>
      <c r="K188" s="233"/>
      <c r="L188" s="19"/>
      <c r="M188" s="19"/>
      <c r="N188" s="19"/>
      <c r="O188" s="19"/>
      <c r="P188" s="19"/>
      <c r="Q188" s="19"/>
      <c r="R188" s="19"/>
      <c r="S188" s="19"/>
      <c r="T188" s="19"/>
      <c r="U188" s="19"/>
      <c r="V188" s="19"/>
      <c r="W188" s="19"/>
      <c r="X188" s="19"/>
      <c r="Y188" s="19"/>
    </row>
    <row r="189" spans="1:25" ht="14.1" customHeight="1">
      <c r="A189" s="219" t="str" cm="1">
        <f t="array" ref="A189">IFERROR(INDEX('03.Muestra'!$B$8:$B$42,SMALL(IF("Documento no web"='03.Muestra'!$D$8:$D$42,ROW('03.Muestra'!$B$8:$B$42)-MIN(ROW('03.Muestra'!$D$8:$D$42))+1,""),ROW()-170)),"")</f>
        <v/>
      </c>
      <c r="B189" s="114" t="str" cm="1">
        <f t="array" ref="B189">IFERROR(INDEX('03.Muestra'!$C$8:$C$42,SMALL(IF("Documento no web"='03.Muestra'!$D$8:$D$42,ROW('03.Muestra'!$C$8:$C$42)-MIN(ROW('03.Muestra'!$D$8:$D$42))+1,""),ROW()-170)),"")</f>
        <v/>
      </c>
      <c r="C189" s="114" t="str" cm="1">
        <f t="array" ref="C189">IFERROR(INDEX('03.Muestra'!$F$8:$F$42,SMALL(IF("Documento no web"='03.Muestra'!$D$8:$D$42,ROW('03.Muestra'!$F$8:$F$42)-MIN(ROW('03.Muestra'!$D$8:$D$42))+1,""),ROW()-170)),"")</f>
        <v/>
      </c>
      <c r="D189" s="130" t="str">
        <f t="shared" si="9"/>
        <v/>
      </c>
      <c r="E189" s="107" t="str">
        <f t="shared" si="8"/>
        <v/>
      </c>
      <c r="F189" s="19"/>
      <c r="G189" s="19"/>
      <c r="H189" s="19"/>
      <c r="I189" s="19"/>
      <c r="J189" s="19"/>
      <c r="K189" s="233"/>
      <c r="L189" s="19"/>
      <c r="M189" s="19"/>
      <c r="N189" s="19"/>
      <c r="O189" s="19"/>
      <c r="P189" s="19"/>
      <c r="Q189" s="19"/>
      <c r="R189" s="19"/>
      <c r="S189" s="19"/>
      <c r="T189" s="19"/>
      <c r="U189" s="19"/>
      <c r="V189" s="19"/>
      <c r="W189" s="19"/>
      <c r="X189" s="19"/>
      <c r="Y189" s="19"/>
    </row>
    <row r="190" spans="1:25" ht="14.1" customHeight="1">
      <c r="A190" s="219" t="str" cm="1">
        <f t="array" ref="A190">IFERROR(INDEX('03.Muestra'!$B$8:$B$42,SMALL(IF("Documento no web"='03.Muestra'!$D$8:$D$42,ROW('03.Muestra'!$B$8:$B$42)-MIN(ROW('03.Muestra'!$D$8:$D$42))+1,""),ROW()-170)),"")</f>
        <v/>
      </c>
      <c r="B190" s="114" t="str" cm="1">
        <f t="array" ref="B190">IFERROR(INDEX('03.Muestra'!$C$8:$C$42,SMALL(IF("Documento no web"='03.Muestra'!$D$8:$D$42,ROW('03.Muestra'!$C$8:$C$42)-MIN(ROW('03.Muestra'!$D$8:$D$42))+1,""),ROW()-170)),"")</f>
        <v/>
      </c>
      <c r="C190" s="114" t="str" cm="1">
        <f t="array" ref="C190">IFERROR(INDEX('03.Muestra'!$F$8:$F$42,SMALL(IF("Documento no web"='03.Muestra'!$D$8:$D$42,ROW('03.Muestra'!$F$8:$F$42)-MIN(ROW('03.Muestra'!$D$8:$D$42))+1,""),ROW()-170)),"")</f>
        <v/>
      </c>
      <c r="D190" s="130" t="str">
        <f t="shared" si="9"/>
        <v/>
      </c>
      <c r="E190" s="107" t="str">
        <f t="shared" si="8"/>
        <v/>
      </c>
      <c r="F190" s="19"/>
      <c r="G190" s="19"/>
      <c r="H190" s="19"/>
      <c r="I190" s="19"/>
      <c r="J190" s="19"/>
      <c r="K190" s="233"/>
      <c r="L190" s="19"/>
      <c r="M190" s="19"/>
      <c r="N190" s="19"/>
      <c r="O190" s="19"/>
      <c r="P190" s="19"/>
      <c r="Q190" s="19"/>
      <c r="R190" s="19"/>
      <c r="S190" s="19"/>
      <c r="T190" s="19"/>
      <c r="U190" s="19"/>
      <c r="V190" s="19"/>
      <c r="W190" s="19"/>
      <c r="X190" s="19"/>
      <c r="Y190" s="19"/>
    </row>
    <row r="191" spans="1:25" ht="14.1" customHeight="1">
      <c r="A191" s="219" t="str" cm="1">
        <f t="array" ref="A191">IFERROR(INDEX('03.Muestra'!$B$8:$B$42,SMALL(IF("Documento no web"='03.Muestra'!$D$8:$D$42,ROW('03.Muestra'!$B$8:$B$42)-MIN(ROW('03.Muestra'!$D$8:$D$42))+1,""),ROW()-170)),"")</f>
        <v/>
      </c>
      <c r="B191" s="114" t="str" cm="1">
        <f t="array" ref="B191">IFERROR(INDEX('03.Muestra'!$C$8:$C$42,SMALL(IF("Documento no web"='03.Muestra'!$D$8:$D$42,ROW('03.Muestra'!$C$8:$C$42)-MIN(ROW('03.Muestra'!$D$8:$D$42))+1,""),ROW()-170)),"")</f>
        <v/>
      </c>
      <c r="C191" s="114" t="str" cm="1">
        <f t="array" ref="C191">IFERROR(INDEX('03.Muestra'!$F$8:$F$42,SMALL(IF("Documento no web"='03.Muestra'!$D$8:$D$42,ROW('03.Muestra'!$F$8:$F$42)-MIN(ROW('03.Muestra'!$D$8:$D$42))+1,""),ROW()-170)),"")</f>
        <v/>
      </c>
      <c r="D191" s="130" t="str">
        <f t="shared" si="9"/>
        <v/>
      </c>
      <c r="E191" s="107" t="str">
        <f t="shared" si="8"/>
        <v/>
      </c>
      <c r="F191" s="19"/>
      <c r="G191" s="19"/>
      <c r="H191" s="19"/>
      <c r="I191" s="19"/>
      <c r="J191" s="19"/>
      <c r="K191" s="233"/>
      <c r="L191" s="19"/>
      <c r="M191" s="19"/>
      <c r="N191" s="19"/>
      <c r="O191" s="19"/>
      <c r="P191" s="19"/>
      <c r="Q191" s="19"/>
      <c r="R191" s="19"/>
      <c r="S191" s="19"/>
      <c r="T191" s="19"/>
      <c r="U191" s="19"/>
      <c r="V191" s="19"/>
      <c r="W191" s="19"/>
      <c r="X191" s="19"/>
      <c r="Y191" s="19"/>
    </row>
    <row r="192" spans="1:25" ht="14.1" customHeight="1">
      <c r="A192" s="219" t="str" cm="1">
        <f t="array" ref="A192">IFERROR(INDEX('03.Muestra'!$B$8:$B$42,SMALL(IF("Documento no web"='03.Muestra'!$D$8:$D$42,ROW('03.Muestra'!$B$8:$B$42)-MIN(ROW('03.Muestra'!$D$8:$D$42))+1,""),ROW()-170)),"")</f>
        <v/>
      </c>
      <c r="B192" s="114" t="str" cm="1">
        <f t="array" ref="B192">IFERROR(INDEX('03.Muestra'!$C$8:$C$42,SMALL(IF("Documento no web"='03.Muestra'!$D$8:$D$42,ROW('03.Muestra'!$C$8:$C$42)-MIN(ROW('03.Muestra'!$D$8:$D$42))+1,""),ROW()-170)),"")</f>
        <v/>
      </c>
      <c r="C192" s="114" t="str" cm="1">
        <f t="array" ref="C192">IFERROR(INDEX('03.Muestra'!$F$8:$F$42,SMALL(IF("Documento no web"='03.Muestra'!$D$8:$D$42,ROW('03.Muestra'!$F$8:$F$42)-MIN(ROW('03.Muestra'!$D$8:$D$42))+1,""),ROW()-170)),"")</f>
        <v/>
      </c>
      <c r="D192" s="130" t="str">
        <f t="shared" si="9"/>
        <v/>
      </c>
      <c r="E192" s="107" t="str">
        <f t="shared" si="8"/>
        <v/>
      </c>
      <c r="F192" s="19"/>
      <c r="G192" s="19"/>
      <c r="H192" s="19"/>
      <c r="I192" s="19"/>
      <c r="J192" s="19"/>
      <c r="K192" s="233"/>
      <c r="L192" s="19"/>
      <c r="M192" s="19"/>
      <c r="N192" s="19"/>
      <c r="O192" s="19"/>
      <c r="P192" s="19"/>
      <c r="Q192" s="19"/>
      <c r="R192" s="19"/>
      <c r="S192" s="19"/>
      <c r="T192" s="19"/>
      <c r="U192" s="19"/>
      <c r="V192" s="19"/>
      <c r="W192" s="19"/>
      <c r="X192" s="19"/>
      <c r="Y192" s="19"/>
    </row>
    <row r="193" spans="1:25" ht="14.1" customHeight="1">
      <c r="A193" s="219" t="str" cm="1">
        <f t="array" ref="A193">IFERROR(INDEX('03.Muestra'!$B$8:$B$42,SMALL(IF("Documento no web"='03.Muestra'!$D$8:$D$42,ROW('03.Muestra'!$B$8:$B$42)-MIN(ROW('03.Muestra'!$D$8:$D$42))+1,""),ROW()-170)),"")</f>
        <v/>
      </c>
      <c r="B193" s="114" t="str" cm="1">
        <f t="array" ref="B193">IFERROR(INDEX('03.Muestra'!$C$8:$C$42,SMALL(IF("Documento no web"='03.Muestra'!$D$8:$D$42,ROW('03.Muestra'!$C$8:$C$42)-MIN(ROW('03.Muestra'!$D$8:$D$42))+1,""),ROW()-170)),"")</f>
        <v/>
      </c>
      <c r="C193" s="114" t="str" cm="1">
        <f t="array" ref="C193">IFERROR(INDEX('03.Muestra'!$F$8:$F$42,SMALL(IF("Documento no web"='03.Muestra'!$D$8:$D$42,ROW('03.Muestra'!$F$8:$F$42)-MIN(ROW('03.Muestra'!$D$8:$D$42))+1,""),ROW()-170)),"")</f>
        <v/>
      </c>
      <c r="D193" s="130" t="str">
        <f t="shared" si="9"/>
        <v/>
      </c>
      <c r="E193" s="107" t="str">
        <f t="shared" si="8"/>
        <v/>
      </c>
      <c r="F193" s="19"/>
      <c r="G193" s="19"/>
      <c r="H193" s="19"/>
      <c r="I193" s="19"/>
      <c r="J193" s="19"/>
      <c r="K193" s="233"/>
      <c r="L193" s="19"/>
      <c r="M193" s="19"/>
      <c r="N193" s="19"/>
      <c r="O193" s="19"/>
      <c r="P193" s="19"/>
      <c r="Q193" s="19"/>
      <c r="R193" s="19"/>
      <c r="S193" s="19"/>
      <c r="T193" s="19"/>
      <c r="U193" s="19"/>
      <c r="V193" s="19"/>
      <c r="W193" s="19"/>
      <c r="X193" s="19"/>
      <c r="Y193" s="19"/>
    </row>
    <row r="194" spans="1:25" ht="12" customHeight="1">
      <c r="A194" s="219" t="str" cm="1">
        <f t="array" ref="A194">IFERROR(INDEX('03.Muestra'!$B$8:$B$42,SMALL(IF("Documento no web"='03.Muestra'!$D$8:$D$42,ROW('03.Muestra'!$B$8:$B$42)-MIN(ROW('03.Muestra'!$D$8:$D$42))+1,""),ROW()-170)),"")</f>
        <v/>
      </c>
      <c r="B194" s="114" t="str" cm="1">
        <f t="array" ref="B194">IFERROR(INDEX('03.Muestra'!$C$8:$C$42,SMALL(IF("Documento no web"='03.Muestra'!$D$8:$D$42,ROW('03.Muestra'!$C$8:$C$42)-MIN(ROW('03.Muestra'!$D$8:$D$42))+1,""),ROW()-170)),"")</f>
        <v/>
      </c>
      <c r="C194" s="114" t="str" cm="1">
        <f t="array" ref="C194">IFERROR(INDEX('03.Muestra'!$F$8:$F$42,SMALL(IF("Documento no web"='03.Muestra'!$D$8:$D$42,ROW('03.Muestra'!$F$8:$F$42)-MIN(ROW('03.Muestra'!$D$8:$D$42))+1,""),ROW()-170)),"")</f>
        <v/>
      </c>
      <c r="D194" s="130" t="str">
        <f t="shared" si="9"/>
        <v/>
      </c>
      <c r="E194" s="107" t="str">
        <f t="shared" si="8"/>
        <v/>
      </c>
      <c r="F194" s="19"/>
      <c r="G194" s="19"/>
      <c r="H194" s="19"/>
      <c r="I194" s="19"/>
      <c r="J194" s="19"/>
      <c r="K194" s="233"/>
      <c r="L194" s="19"/>
      <c r="M194" s="19"/>
      <c r="N194" s="19"/>
      <c r="O194" s="19"/>
      <c r="P194" s="19"/>
      <c r="Q194" s="19"/>
      <c r="R194" s="19"/>
      <c r="S194" s="19"/>
      <c r="T194" s="19"/>
      <c r="U194" s="19"/>
      <c r="V194" s="19"/>
      <c r="W194" s="19"/>
      <c r="X194" s="19"/>
      <c r="Y194" s="19"/>
    </row>
    <row r="195" spans="1:25" ht="12" customHeight="1">
      <c r="A195" s="219" t="str" cm="1">
        <f t="array" ref="A195">IFERROR(INDEX('03.Muestra'!$B$8:$B$42,SMALL(IF("Documento no web"='03.Muestra'!$D$8:$D$42,ROW('03.Muestra'!$B$8:$B$42)-MIN(ROW('03.Muestra'!$D$8:$D$42))+1,""),ROW()-170)),"")</f>
        <v/>
      </c>
      <c r="B195" s="114" t="str" cm="1">
        <f t="array" ref="B195">IFERROR(INDEX('03.Muestra'!$C$8:$C$42,SMALL(IF("Documento no web"='03.Muestra'!$D$8:$D$42,ROW('03.Muestra'!$C$8:$C$42)-MIN(ROW('03.Muestra'!$D$8:$D$42))+1,""),ROW()-170)),"")</f>
        <v/>
      </c>
      <c r="C195" s="114" t="str" cm="1">
        <f t="array" ref="C195">IFERROR(INDEX('03.Muestra'!$F$8:$F$42,SMALL(IF("Documento no web"='03.Muestra'!$D$8:$D$42,ROW('03.Muestra'!$F$8:$F$42)-MIN(ROW('03.Muestra'!$D$8:$D$42))+1,""),ROW()-170)),"")</f>
        <v/>
      </c>
      <c r="D195" s="130" t="str">
        <f t="shared" si="9"/>
        <v/>
      </c>
      <c r="E195" s="107" t="str">
        <f t="shared" si="8"/>
        <v/>
      </c>
      <c r="F195" s="19"/>
      <c r="G195" s="19"/>
      <c r="H195" s="19"/>
      <c r="I195" s="19"/>
      <c r="J195" s="19"/>
      <c r="K195" s="233"/>
      <c r="L195" s="19"/>
      <c r="M195" s="19"/>
      <c r="N195" s="19"/>
      <c r="O195" s="19"/>
      <c r="P195" s="19"/>
      <c r="Q195" s="19"/>
      <c r="R195" s="19"/>
      <c r="S195" s="19"/>
      <c r="T195" s="19"/>
      <c r="U195" s="19"/>
      <c r="V195" s="19"/>
      <c r="W195" s="19"/>
      <c r="X195" s="19"/>
      <c r="Y195" s="19"/>
    </row>
    <row r="196" spans="1:25" ht="12" customHeight="1">
      <c r="A196" s="219" t="str" cm="1">
        <f t="array" ref="A196">IFERROR(INDEX('03.Muestra'!$B$8:$B$42,SMALL(IF("Documento no web"='03.Muestra'!$D$8:$D$42,ROW('03.Muestra'!$B$8:$B$42)-MIN(ROW('03.Muestra'!$D$8:$D$42))+1,""),ROW()-170)),"")</f>
        <v/>
      </c>
      <c r="B196" s="114" t="str" cm="1">
        <f t="array" ref="B196">IFERROR(INDEX('03.Muestra'!$C$8:$C$42,SMALL(IF("Documento no web"='03.Muestra'!$D$8:$D$42,ROW('03.Muestra'!$C$8:$C$42)-MIN(ROW('03.Muestra'!$D$8:$D$42))+1,""),ROW()-170)),"")</f>
        <v/>
      </c>
      <c r="C196" s="114" t="str" cm="1">
        <f t="array" ref="C196">IFERROR(INDEX('03.Muestra'!$F$8:$F$42,SMALL(IF("Documento no web"='03.Muestra'!$D$8:$D$42,ROW('03.Muestra'!$F$8:$F$42)-MIN(ROW('03.Muestra'!$D$8:$D$42))+1,""),ROW()-170)),"")</f>
        <v/>
      </c>
      <c r="D196" s="130" t="str">
        <f t="shared" si="9"/>
        <v/>
      </c>
      <c r="E196" s="107" t="str">
        <f t="shared" si="8"/>
        <v/>
      </c>
      <c r="F196" s="19"/>
      <c r="G196" s="19"/>
      <c r="H196" s="19"/>
      <c r="I196" s="19"/>
      <c r="J196" s="19"/>
      <c r="K196" s="233"/>
      <c r="L196" s="19"/>
      <c r="M196" s="19"/>
      <c r="N196" s="19"/>
      <c r="O196" s="19"/>
      <c r="P196" s="19"/>
      <c r="Q196" s="19"/>
      <c r="R196" s="19"/>
      <c r="S196" s="19"/>
      <c r="T196" s="19"/>
      <c r="U196" s="19"/>
      <c r="V196" s="19"/>
      <c r="W196" s="19"/>
      <c r="X196" s="19"/>
      <c r="Y196" s="19"/>
    </row>
    <row r="197" spans="1:25" ht="12" customHeight="1">
      <c r="A197" s="219" t="str" cm="1">
        <f t="array" ref="A197">IFERROR(INDEX('03.Muestra'!$B$8:$B$42,SMALL(IF("Documento no web"='03.Muestra'!$D$8:$D$42,ROW('03.Muestra'!$B$8:$B$42)-MIN(ROW('03.Muestra'!$D$8:$D$42))+1,""),ROW()-170)),"")</f>
        <v/>
      </c>
      <c r="B197" s="114" t="str" cm="1">
        <f t="array" ref="B197">IFERROR(INDEX('03.Muestra'!$C$8:$C$42,SMALL(IF("Documento no web"='03.Muestra'!$D$8:$D$42,ROW('03.Muestra'!$C$8:$C$42)-MIN(ROW('03.Muestra'!$D$8:$D$42))+1,""),ROW()-170)),"")</f>
        <v/>
      </c>
      <c r="C197" s="114" t="str" cm="1">
        <f t="array" ref="C197">IFERROR(INDEX('03.Muestra'!$F$8:$F$42,SMALL(IF("Documento no web"='03.Muestra'!$D$8:$D$42,ROW('03.Muestra'!$F$8:$F$42)-MIN(ROW('03.Muestra'!$D$8:$D$42))+1,""),ROW()-170)),"")</f>
        <v/>
      </c>
      <c r="D197" s="130" t="str">
        <f t="shared" si="9"/>
        <v/>
      </c>
      <c r="E197" s="107" t="str">
        <f t="shared" si="8"/>
        <v/>
      </c>
      <c r="F197" s="19"/>
      <c r="G197" s="19"/>
      <c r="H197" s="19"/>
      <c r="I197" s="19"/>
      <c r="J197" s="19"/>
      <c r="K197" s="233"/>
      <c r="L197" s="19"/>
      <c r="M197" s="19"/>
      <c r="N197" s="19"/>
      <c r="O197" s="19"/>
      <c r="P197" s="19"/>
      <c r="Q197" s="19"/>
      <c r="R197" s="19"/>
      <c r="S197" s="19"/>
      <c r="T197" s="19"/>
      <c r="U197" s="19"/>
      <c r="V197" s="19"/>
      <c r="W197" s="19"/>
      <c r="X197" s="19"/>
      <c r="Y197" s="19"/>
    </row>
    <row r="198" spans="1:25" ht="12" customHeight="1">
      <c r="A198" s="219" t="str" cm="1">
        <f t="array" ref="A198">IFERROR(INDEX('03.Muestra'!$B$8:$B$42,SMALL(IF("Documento no web"='03.Muestra'!$D$8:$D$42,ROW('03.Muestra'!$B$8:$B$42)-MIN(ROW('03.Muestra'!$D$8:$D$42))+1,""),ROW()-170)),"")</f>
        <v/>
      </c>
      <c r="B198" s="114" t="str" cm="1">
        <f t="array" ref="B198">IFERROR(INDEX('03.Muestra'!$C$8:$C$42,SMALL(IF("Documento no web"='03.Muestra'!$D$8:$D$42,ROW('03.Muestra'!$C$8:$C$42)-MIN(ROW('03.Muestra'!$D$8:$D$42))+1,""),ROW()-170)),"")</f>
        <v/>
      </c>
      <c r="C198" s="114" t="str" cm="1">
        <f t="array" ref="C198">IFERROR(INDEX('03.Muestra'!$F$8:$F$42,SMALL(IF("Documento no web"='03.Muestra'!$D$8:$D$42,ROW('03.Muestra'!$F$8:$F$42)-MIN(ROW('03.Muestra'!$D$8:$D$42))+1,""),ROW()-170)),"")</f>
        <v/>
      </c>
      <c r="D198" s="130" t="str">
        <f t="shared" si="9"/>
        <v/>
      </c>
      <c r="E198" s="107" t="str">
        <f t="shared" si="8"/>
        <v/>
      </c>
      <c r="G198" s="19"/>
      <c r="H198" s="19"/>
      <c r="I198" s="19"/>
      <c r="J198" s="19"/>
      <c r="K198" s="233"/>
      <c r="L198" s="19"/>
      <c r="M198" s="19"/>
      <c r="N198" s="19"/>
      <c r="O198" s="19"/>
      <c r="P198" s="19"/>
      <c r="Q198" s="19"/>
      <c r="R198" s="19"/>
      <c r="S198" s="19"/>
      <c r="T198" s="19"/>
      <c r="U198" s="19"/>
      <c r="V198" s="19"/>
      <c r="W198" s="19"/>
      <c r="X198" s="19"/>
      <c r="Y198" s="19"/>
    </row>
    <row r="199" spans="1:25" ht="12" customHeight="1">
      <c r="A199" s="219" t="str" cm="1">
        <f t="array" ref="A199">IFERROR(INDEX('03.Muestra'!$B$8:$B$42,SMALL(IF("Documento no web"='03.Muestra'!$D$8:$D$42,ROW('03.Muestra'!$B$8:$B$42)-MIN(ROW('03.Muestra'!$D$8:$D$42))+1,""),ROW()-170)),"")</f>
        <v/>
      </c>
      <c r="B199" s="114" t="str" cm="1">
        <f t="array" ref="B199">IFERROR(INDEX('03.Muestra'!$C$8:$C$42,SMALL(IF("Documento no web"='03.Muestra'!$D$8:$D$42,ROW('03.Muestra'!$C$8:$C$42)-MIN(ROW('03.Muestra'!$D$8:$D$42))+1,""),ROW()-170)),"")</f>
        <v/>
      </c>
      <c r="C199" s="114" t="str" cm="1">
        <f t="array" ref="C199">IFERROR(INDEX('03.Muestra'!$F$8:$F$42,SMALL(IF("Documento no web"='03.Muestra'!$D$8:$D$42,ROW('03.Muestra'!$F$8:$F$42)-MIN(ROW('03.Muestra'!$D$8:$D$42))+1,""),ROW()-170)),"")</f>
        <v/>
      </c>
      <c r="D199" s="130" t="str">
        <f t="shared" si="9"/>
        <v/>
      </c>
      <c r="E199" s="107" t="str">
        <f t="shared" si="8"/>
        <v/>
      </c>
      <c r="F199" s="124"/>
      <c r="G199" s="19"/>
      <c r="H199" s="19"/>
      <c r="I199" s="19"/>
      <c r="J199" s="19"/>
      <c r="K199" s="233"/>
      <c r="L199" s="19"/>
      <c r="M199" s="19"/>
      <c r="N199" s="19"/>
      <c r="O199" s="19"/>
      <c r="P199" s="19"/>
      <c r="Q199" s="19"/>
      <c r="R199" s="19"/>
      <c r="S199" s="19"/>
      <c r="T199" s="19"/>
      <c r="U199" s="19"/>
      <c r="V199" s="19"/>
      <c r="W199" s="19"/>
      <c r="X199" s="19"/>
      <c r="Y199" s="19"/>
    </row>
    <row r="200" spans="1:25" ht="12" customHeight="1">
      <c r="A200" s="219" t="str" cm="1">
        <f t="array" ref="A200">IFERROR(INDEX('03.Muestra'!$B$8:$B$42,SMALL(IF("Documento no web"='03.Muestra'!$D$8:$D$42,ROW('03.Muestra'!$B$8:$B$42)-MIN(ROW('03.Muestra'!$D$8:$D$42))+1,""),ROW()-170)),"")</f>
        <v/>
      </c>
      <c r="B200" s="114" t="str" cm="1">
        <f t="array" ref="B200">IFERROR(INDEX('03.Muestra'!$C$8:$C$42,SMALL(IF("Documento no web"='03.Muestra'!$D$8:$D$42,ROW('03.Muestra'!$C$8:$C$42)-MIN(ROW('03.Muestra'!$D$8:$D$42))+1,""),ROW()-170)),"")</f>
        <v/>
      </c>
      <c r="C200" s="114" t="str" cm="1">
        <f t="array" ref="C200">IFERROR(INDEX('03.Muestra'!$F$8:$F$42,SMALL(IF("Documento no web"='03.Muestra'!$D$8:$D$42,ROW('03.Muestra'!$F$8:$F$42)-MIN(ROW('03.Muestra'!$D$8:$D$42))+1,""),ROW()-170)),"")</f>
        <v/>
      </c>
      <c r="D200" s="130" t="str">
        <f t="shared" si="9"/>
        <v/>
      </c>
      <c r="E200" s="107" t="str">
        <f t="shared" si="8"/>
        <v/>
      </c>
      <c r="F200" s="124"/>
      <c r="G200" s="19"/>
      <c r="H200" s="19"/>
      <c r="I200" s="19"/>
      <c r="J200" s="19"/>
      <c r="K200" s="233"/>
      <c r="L200" s="19"/>
      <c r="M200" s="19"/>
      <c r="N200" s="19"/>
      <c r="O200" s="19"/>
      <c r="P200" s="19"/>
      <c r="Q200" s="19"/>
      <c r="R200" s="19"/>
      <c r="S200" s="19"/>
      <c r="T200" s="19"/>
      <c r="U200" s="19"/>
      <c r="V200" s="19"/>
      <c r="W200" s="19"/>
      <c r="X200" s="19"/>
      <c r="Y200" s="19"/>
    </row>
    <row r="201" spans="1:25" ht="12" customHeight="1">
      <c r="A201" s="219" t="str" cm="1">
        <f t="array" ref="A201">IFERROR(INDEX('03.Muestra'!$B$8:$B$42,SMALL(IF("Documento no web"='03.Muestra'!$D$8:$D$42,ROW('03.Muestra'!$B$8:$B$42)-MIN(ROW('03.Muestra'!$D$8:$D$42))+1,""),ROW()-170)),"")</f>
        <v/>
      </c>
      <c r="B201" s="114" t="str" cm="1">
        <f t="array" ref="B201">IFERROR(INDEX('03.Muestra'!$C$8:$C$42,SMALL(IF("Documento no web"='03.Muestra'!$D$8:$D$42,ROW('03.Muestra'!$C$8:$C$42)-MIN(ROW('03.Muestra'!$D$8:$D$42))+1,""),ROW()-170)),"")</f>
        <v/>
      </c>
      <c r="C201" s="114" t="str" cm="1">
        <f t="array" ref="C201">IFERROR(INDEX('03.Muestra'!$F$8:$F$42,SMALL(IF("Documento no web"='03.Muestra'!$D$8:$D$42,ROW('03.Muestra'!$F$8:$F$42)-MIN(ROW('03.Muestra'!$D$8:$D$42))+1,""),ROW()-170)),"")</f>
        <v/>
      </c>
      <c r="D201" s="130" t="str">
        <f t="shared" si="9"/>
        <v/>
      </c>
      <c r="E201" s="107" t="str">
        <f t="shared" si="8"/>
        <v/>
      </c>
      <c r="F201" s="124"/>
      <c r="G201" s="19"/>
      <c r="H201" s="19"/>
      <c r="I201" s="19"/>
      <c r="J201" s="19"/>
      <c r="K201" s="233"/>
      <c r="L201" s="19"/>
      <c r="M201" s="19"/>
      <c r="N201" s="19"/>
      <c r="O201" s="19"/>
      <c r="P201" s="19"/>
      <c r="Q201" s="19"/>
      <c r="R201" s="19"/>
      <c r="S201" s="19"/>
      <c r="T201" s="19"/>
      <c r="U201" s="19"/>
      <c r="V201" s="19"/>
      <c r="W201" s="19"/>
      <c r="X201" s="19"/>
      <c r="Y201" s="19"/>
    </row>
    <row r="202" spans="1:25" ht="12" customHeight="1">
      <c r="A202" s="219" t="str" cm="1">
        <f t="array" ref="A202">IFERROR(INDEX('03.Muestra'!$B$8:$B$42,SMALL(IF("Documento no web"='03.Muestra'!$D$8:$D$42,ROW('03.Muestra'!$B$8:$B$42)-MIN(ROW('03.Muestra'!$D$8:$D$42))+1,""),ROW()-170)),"")</f>
        <v/>
      </c>
      <c r="B202" s="114" t="str" cm="1">
        <f t="array" ref="B202">IFERROR(INDEX('03.Muestra'!$C$8:$C$42,SMALL(IF("Documento no web"='03.Muestra'!$D$8:$D$42,ROW('03.Muestra'!$C$8:$C$42)-MIN(ROW('03.Muestra'!$D$8:$D$42))+1,""),ROW()-170)),"")</f>
        <v/>
      </c>
      <c r="C202" s="114" t="str" cm="1">
        <f t="array" ref="C202">IFERROR(INDEX('03.Muestra'!$F$8:$F$42,SMALL(IF("Documento no web"='03.Muestra'!$D$8:$D$42,ROW('03.Muestra'!$F$8:$F$42)-MIN(ROW('03.Muestra'!$D$8:$D$42))+1,""),ROW()-170)),"")</f>
        <v/>
      </c>
      <c r="D202" s="130" t="str">
        <f t="shared" si="9"/>
        <v/>
      </c>
      <c r="E202" s="107" t="str">
        <f t="shared" si="8"/>
        <v/>
      </c>
      <c r="F202" s="124"/>
      <c r="G202" s="19"/>
      <c r="H202" s="19"/>
      <c r="I202" s="19"/>
      <c r="J202" s="19"/>
      <c r="K202" s="233"/>
      <c r="L202" s="19"/>
      <c r="M202" s="19"/>
      <c r="N202" s="19"/>
      <c r="O202" s="19"/>
      <c r="P202" s="19"/>
      <c r="Q202" s="19"/>
      <c r="R202" s="19"/>
      <c r="S202" s="19"/>
      <c r="T202" s="19"/>
      <c r="U202" s="19"/>
      <c r="V202" s="19"/>
      <c r="W202" s="19"/>
      <c r="X202" s="19"/>
      <c r="Y202" s="19"/>
    </row>
    <row r="203" spans="1:25" ht="12" customHeight="1">
      <c r="A203" s="219" t="str" cm="1">
        <f t="array" ref="A203">IFERROR(INDEX('03.Muestra'!$B$8:$B$42,SMALL(IF("Documento no web"='03.Muestra'!$D$8:$D$42,ROW('03.Muestra'!$B$8:$B$42)-MIN(ROW('03.Muestra'!$D$8:$D$42))+1,""),ROW()-170)),"")</f>
        <v/>
      </c>
      <c r="B203" s="114" t="str" cm="1">
        <f t="array" ref="B203">IFERROR(INDEX('03.Muestra'!$C$8:$C$42,SMALL(IF("Documento no web"='03.Muestra'!$D$8:$D$42,ROW('03.Muestra'!$C$8:$C$42)-MIN(ROW('03.Muestra'!$D$8:$D$42))+1,""),ROW()-170)),"")</f>
        <v/>
      </c>
      <c r="C203" s="114" t="str" cm="1">
        <f t="array" ref="C203">IFERROR(INDEX('03.Muestra'!$F$8:$F$42,SMALL(IF("Documento no web"='03.Muestra'!$D$8:$D$42,ROW('03.Muestra'!$F$8:$F$42)-MIN(ROW('03.Muestra'!$D$8:$D$42))+1,""),ROW()-170)),"")</f>
        <v/>
      </c>
      <c r="D203" s="130" t="str">
        <f t="shared" si="9"/>
        <v/>
      </c>
      <c r="E203" s="107" t="str">
        <f t="shared" si="8"/>
        <v/>
      </c>
      <c r="F203" s="124"/>
      <c r="G203" s="19"/>
      <c r="H203" s="19"/>
      <c r="I203" s="19"/>
      <c r="J203" s="19"/>
      <c r="K203" s="233"/>
      <c r="L203" s="19"/>
      <c r="M203" s="19"/>
      <c r="N203" s="19"/>
      <c r="O203" s="19"/>
      <c r="P203" s="19"/>
      <c r="Q203" s="19"/>
      <c r="R203" s="19"/>
      <c r="S203" s="19"/>
      <c r="T203" s="19"/>
      <c r="U203" s="19"/>
      <c r="V203" s="19"/>
      <c r="W203" s="19"/>
      <c r="X203" s="19"/>
      <c r="Y203" s="19"/>
    </row>
    <row r="204" spans="1:25" ht="12" customHeight="1">
      <c r="A204" s="219" t="str" cm="1">
        <f t="array" ref="A204">IFERROR(INDEX('03.Muestra'!$B$8:$B$42,SMALL(IF("Documento no web"='03.Muestra'!$D$8:$D$42,ROW('03.Muestra'!$B$8:$B$42)-MIN(ROW('03.Muestra'!$D$8:$D$42))+1,""),ROW()-170)),"")</f>
        <v/>
      </c>
      <c r="B204" s="114" t="str" cm="1">
        <f t="array" ref="B204">IFERROR(INDEX('03.Muestra'!$C$8:$C$42,SMALL(IF("Documento no web"='03.Muestra'!$D$8:$D$42,ROW('03.Muestra'!$C$8:$C$42)-MIN(ROW('03.Muestra'!$D$8:$D$42))+1,""),ROW()-170)),"")</f>
        <v/>
      </c>
      <c r="C204" s="114" t="str" cm="1">
        <f t="array" ref="C204">IFERROR(INDEX('03.Muestra'!$F$8:$F$42,SMALL(IF("Documento no web"='03.Muestra'!$D$8:$D$42,ROW('03.Muestra'!$F$8:$F$42)-MIN(ROW('03.Muestra'!$D$8:$D$42))+1,""),ROW()-170)),"")</f>
        <v/>
      </c>
      <c r="D204" s="130" t="str">
        <f t="shared" si="9"/>
        <v/>
      </c>
      <c r="E204" s="107" t="str">
        <f t="shared" si="8"/>
        <v/>
      </c>
      <c r="F204" s="124"/>
      <c r="G204" s="19"/>
      <c r="H204" s="19"/>
      <c r="I204" s="19"/>
      <c r="J204" s="19"/>
      <c r="K204" s="233"/>
      <c r="L204" s="19"/>
      <c r="M204" s="19"/>
      <c r="N204" s="19"/>
      <c r="O204" s="19"/>
      <c r="P204" s="19"/>
      <c r="Q204" s="19"/>
      <c r="R204" s="19"/>
      <c r="S204" s="19"/>
      <c r="T204" s="19"/>
      <c r="U204" s="19"/>
      <c r="V204" s="19"/>
      <c r="W204" s="19"/>
      <c r="X204" s="19"/>
      <c r="Y204" s="19"/>
    </row>
    <row r="205" spans="1:25" ht="12" customHeight="1">
      <c r="A205" s="219" t="str" cm="1">
        <f t="array" ref="A205">IFERROR(INDEX('03.Muestra'!$B$8:$B$42,SMALL(IF("Documento no web"='03.Muestra'!$D$8:$D$42,ROW('03.Muestra'!$B$8:$B$42)-MIN(ROW('03.Muestra'!$D$8:$D$42))+1,""),ROW()-170)),"")</f>
        <v/>
      </c>
      <c r="B205" s="114" t="str" cm="1">
        <f t="array" ref="B205">IFERROR(INDEX('03.Muestra'!$C$8:$C$42,SMALL(IF("Documento no web"='03.Muestra'!$D$8:$D$42,ROW('03.Muestra'!$C$8:$C$42)-MIN(ROW('03.Muestra'!$D$8:$D$42))+1,""),ROW()-170)),"")</f>
        <v/>
      </c>
      <c r="C205" s="114" t="str" cm="1">
        <f t="array" ref="C205">IFERROR(INDEX('03.Muestra'!$F$8:$F$42,SMALL(IF("Documento no web"='03.Muestra'!$D$8:$D$42,ROW('03.Muestra'!$F$8:$F$42)-MIN(ROW('03.Muestra'!$D$8:$D$42))+1,""),ROW()-170)),"")</f>
        <v/>
      </c>
      <c r="D205" s="130" t="str">
        <f t="shared" si="9"/>
        <v/>
      </c>
      <c r="E205" s="107" t="str">
        <f t="shared" si="8"/>
        <v/>
      </c>
      <c r="F205" s="19"/>
      <c r="G205" s="19"/>
      <c r="H205" s="19"/>
      <c r="I205" s="19"/>
      <c r="J205" s="19"/>
      <c r="K205" s="233"/>
      <c r="L205" s="19"/>
      <c r="M205" s="19"/>
      <c r="N205" s="19"/>
      <c r="O205" s="19"/>
      <c r="P205" s="19"/>
      <c r="Q205" s="19"/>
      <c r="R205" s="19"/>
      <c r="S205" s="19"/>
      <c r="T205" s="19"/>
      <c r="U205" s="19"/>
      <c r="V205" s="19"/>
      <c r="W205" s="19"/>
      <c r="X205" s="19"/>
      <c r="Y205" s="19"/>
    </row>
    <row r="206" spans="1:25" ht="12" customHeight="1">
      <c r="B206" s="19"/>
      <c r="C206" s="19"/>
      <c r="D206" s="107"/>
      <c r="E206" s="107"/>
      <c r="F206" s="19"/>
      <c r="G206" s="19"/>
      <c r="H206" s="19"/>
      <c r="I206" s="19"/>
      <c r="J206" s="19"/>
      <c r="K206" s="233"/>
      <c r="L206" s="19"/>
      <c r="M206" s="19"/>
      <c r="N206" s="19"/>
      <c r="O206" s="19"/>
      <c r="P206" s="19"/>
      <c r="Q206" s="19"/>
      <c r="R206" s="19"/>
      <c r="S206" s="19"/>
      <c r="T206" s="19"/>
      <c r="U206" s="19"/>
      <c r="V206" s="19"/>
      <c r="W206" s="19"/>
      <c r="X206" s="19"/>
      <c r="Y206" s="19"/>
    </row>
    <row r="207" spans="1:25" ht="12" customHeight="1">
      <c r="B207" s="19"/>
      <c r="C207" s="19"/>
      <c r="D207" s="107"/>
      <c r="E207" s="112"/>
      <c r="F207" s="19"/>
      <c r="G207" s="19"/>
      <c r="H207" s="19"/>
      <c r="I207" s="19"/>
      <c r="J207" s="19"/>
      <c r="K207" s="233"/>
      <c r="L207" s="19"/>
      <c r="M207" s="19"/>
      <c r="N207" s="19"/>
      <c r="O207" s="19"/>
      <c r="P207" s="19"/>
      <c r="Q207" s="19"/>
      <c r="R207" s="19"/>
      <c r="S207" s="19"/>
      <c r="T207" s="19"/>
      <c r="U207" s="19"/>
      <c r="V207" s="19"/>
      <c r="W207" s="19"/>
      <c r="X207" s="19"/>
      <c r="Y207" s="19"/>
    </row>
    <row r="208" spans="1:25" ht="32.25" customHeight="1">
      <c r="A208" s="218" t="s">
        <v>268</v>
      </c>
      <c r="B208" s="24" t="s">
        <v>90</v>
      </c>
      <c r="C208" s="25" t="s">
        <v>427</v>
      </c>
      <c r="D208" s="26" t="s">
        <v>32</v>
      </c>
      <c r="E208" s="123"/>
      <c r="K208" s="233"/>
      <c r="L208" s="19"/>
      <c r="M208" s="19"/>
      <c r="N208" s="19"/>
      <c r="O208" s="19"/>
      <c r="P208" s="19"/>
      <c r="Q208" s="19"/>
      <c r="R208" s="19"/>
      <c r="S208" s="19"/>
      <c r="T208" s="19"/>
      <c r="U208" s="19"/>
      <c r="V208" s="19"/>
      <c r="W208" s="19"/>
      <c r="X208" s="19"/>
      <c r="Y208" s="19"/>
    </row>
    <row r="209" spans="1:25" ht="12" customHeight="1">
      <c r="A209" s="219" t="n" cm="1">
        <f t="array" ref="A209">IFERROR(INDEX('03.Muestra'!$B$8:$B$42,SMALL(IF("Documento no web"='03.Muestra'!$D$8:$D$42,ROW('03.Muestra'!$B$8:$B$42)-MIN(ROW('03.Muestra'!$D$8:$D$42))+1,""),ROW()-208)),"")</f>
        <v>1.0</v>
      </c>
      <c r="B209" s="114" t="str" cm="1">
        <f t="array" ref="B209">IFERROR(INDEX('03.Muestra'!$C$8:$C$42,SMALL(IF("Documento no web"='03.Muestra'!$D$8:$D$42,ROW('03.Muestra'!$C$8:$C$42)-MIN(ROW('03.Muestra'!$D$8:$D$42))+1,""),ROW()-208)),"")</f>
        <v>Home - PortCastelló</v>
      </c>
      <c r="C209" s="114" t="str" cm="1">
        <f t="array" ref="C209">IFERROR(INDEX('03.Muestra'!$F$8:$F$42,SMALL(IF("Documento no web"='03.Muestra'!$D$8:$D$42,ROW('03.Muestra'!$F$8:$F$42)-MIN(ROW('03.Muestra'!$D$8:$D$42))+1,""),ROW()-208)),"")</f>
        <v>https://www.portcastello.com/</v>
      </c>
      <c r="D209" s="130" t="s">
        <v>28</v>
      </c>
      <c r="E209" s="107" t="str">
        <f t="shared" ref="E209:E243" si="10">IF(D209&lt;&gt;"",IF(AND(B209&lt;&gt;"",C209&lt;&gt;""),"","ERR"),"")</f>
        <v/>
      </c>
      <c r="F209" s="115" t="s">
        <v>33</v>
      </c>
      <c r="G209" s="116" t="s">
        <v>37</v>
      </c>
      <c r="H209" s="117" t="s">
        <v>35</v>
      </c>
      <c r="I209" s="118" t="s">
        <v>28</v>
      </c>
      <c r="J209" s="119" t="s">
        <v>26</v>
      </c>
      <c r="K209" s="226" t="s">
        <v>474</v>
      </c>
      <c r="L209" s="19"/>
      <c r="M209" s="19"/>
      <c r="N209" s="19"/>
      <c r="O209" s="19"/>
      <c r="P209" s="19"/>
      <c r="Q209" s="19"/>
      <c r="R209" s="19"/>
      <c r="S209" s="19"/>
      <c r="T209" s="19"/>
      <c r="U209" s="19"/>
      <c r="V209" s="19"/>
      <c r="W209" s="19"/>
      <c r="X209" s="19"/>
      <c r="Y209" s="19"/>
    </row>
    <row r="210" spans="1:25" ht="12" customHeight="1">
      <c r="A210" s="219" t="n" cm="1">
        <f t="array" ref="A210">IFERROR(INDEX('03.Muestra'!$B$8:$B$42,SMALL(IF("Documento no web"='03.Muestra'!$D$8:$D$42,ROW('03.Muestra'!$B$8:$B$42)-MIN(ROW('03.Muestra'!$D$8:$D$42))+1,""),ROW()-208)),"")</f>
        <v>1.0</v>
      </c>
      <c r="B210" s="114" t="str" cm="1">
        <f t="array" ref="B210">IFERROR(INDEX('03.Muestra'!$C$8:$C$42,SMALL(IF("Documento no web"='03.Muestra'!$D$8:$D$42,ROW('03.Muestra'!$C$8:$C$42)-MIN(ROW('03.Muestra'!$D$8:$D$42))+1,""),ROW()-208)),"")</f>
        <v>Home - PortCastelló</v>
      </c>
      <c r="C210" s="114" t="str" cm="1">
        <f t="array" ref="C210">IFERROR(INDEX('03.Muestra'!$F$8:$F$42,SMALL(IF("Documento no web"='03.Muestra'!$D$8:$D$42,ROW('03.Muestra'!$F$8:$F$42)-MIN(ROW('03.Muestra'!$D$8:$D$42))+1,""),ROW()-208)),"")</f>
        <v>https://www.portcastello.com/</v>
      </c>
      <c r="D210" s="130" t="s">
        <v>28</v>
      </c>
      <c r="E210" s="107" t="str">
        <f t="shared" si="10"/>
        <v/>
      </c>
      <c r="F210" s="120" t="n">
        <f ca="1">COUNTIF($D209:INDIRECT("$D" &amp;  SUM(ROW()-1,'03.Muestra'!$D$45)-1),F209)</f>
        <v>0.0</v>
      </c>
      <c r="G210" s="120" t="n">
        <f ca="1">COUNTIF($D209:INDIRECT("$D" &amp;  SUM(ROW()-1,'03.Muestra'!$D$45)-1),G209)</f>
        <v>0.0</v>
      </c>
      <c r="H210" s="120" t="n">
        <f ca="1">COUNTIF($D209:INDIRECT("$D" &amp;  SUM(ROW()-1,'03.Muestra'!$D$45)-1),H209)</f>
        <v>0.0</v>
      </c>
      <c r="I210" s="120" t="n">
        <f ca="1">COUNTIF($D209:INDIRECT("$D" &amp;  SUM(ROW()-1,'03.Muestra'!$D$45)-1),I209)</f>
        <v>2.0</v>
      </c>
      <c r="J210" s="120" t="n">
        <f ca="1">COUNTIF($D209:INDIRECT("$D" &amp;  SUM(ROW()-1,'03.Muestra'!$D$45)-1),J209)</f>
        <v>0.0</v>
      </c>
      <c r="K210" s="227" t="n">
        <f ca="1">IF(COUNTIF('03.Muestra'!$D$8:$D$42,"Documento no web")=0,0,COUNTBLANK($D209:INDIRECT("$D" &amp;  SUM(ROW()-1,COUNTIF('03.Muestra'!$D$8:$D$42,"Documento no web"))-1)))</f>
        <v>0.0</v>
      </c>
      <c r="L210" s="19"/>
      <c r="M210" s="19"/>
      <c r="N210" s="19"/>
      <c r="O210" s="19"/>
      <c r="P210" s="19"/>
      <c r="Q210" s="19"/>
      <c r="R210" s="19"/>
      <c r="S210" s="19"/>
      <c r="T210" s="19"/>
      <c r="U210" s="19"/>
      <c r="V210" s="19"/>
      <c r="W210" s="19"/>
      <c r="X210" s="19"/>
      <c r="Y210" s="19"/>
    </row>
    <row r="211" spans="1:25" ht="12" customHeight="1">
      <c r="A211" s="219" t="str" cm="1">
        <f t="array" ref="A211">IFERROR(INDEX('03.Muestra'!$B$8:$B$42,SMALL(IF("Documento no web"='03.Muestra'!$D$8:$D$42,ROW('03.Muestra'!$B$8:$B$42)-MIN(ROW('03.Muestra'!$D$8:$D$42))+1,""),ROW()-208)),"")</f>
        <v/>
      </c>
      <c r="B211" s="114" t="str" cm="1">
        <f t="array" ref="B211">IFERROR(INDEX('03.Muestra'!$C$8:$C$42,SMALL(IF("Documento no web"='03.Muestra'!$D$8:$D$42,ROW('03.Muestra'!$C$8:$C$42)-MIN(ROW('03.Muestra'!$D$8:$D$42))+1,""),ROW()-208)),"")</f>
        <v/>
      </c>
      <c r="C211" s="114" t="str" cm="1">
        <f t="array" ref="C211">IFERROR(INDEX('03.Muestra'!$F$8:$F$42,SMALL(IF("Documento no web"='03.Muestra'!$D$8:$D$42,ROW('03.Muestra'!$F$8:$F$42)-MIN(ROW('03.Muestra'!$D$8:$D$42))+1,""),ROW()-208)),"")</f>
        <v/>
      </c>
      <c r="D211" s="130" t="str">
        <f t="shared" si="11" ref="D211:D243">IF(AND(B211&lt;&gt;"",C211&lt;&gt;""),"N/T","")</f>
        <v/>
      </c>
      <c r="E211" s="107" t="str">
        <f t="shared" si="10"/>
        <v/>
      </c>
      <c r="G211" s="19"/>
      <c r="H211" s="19"/>
      <c r="I211" s="19"/>
      <c r="J211" s="19"/>
      <c r="K211" s="233"/>
      <c r="L211" s="19"/>
      <c r="M211" s="19"/>
      <c r="N211" s="19"/>
      <c r="O211" s="19"/>
      <c r="P211" s="19"/>
      <c r="Q211" s="19"/>
      <c r="R211" s="19"/>
      <c r="S211" s="19"/>
      <c r="T211" s="19"/>
      <c r="U211" s="19"/>
      <c r="V211" s="19"/>
      <c r="W211" s="19"/>
      <c r="X211" s="19"/>
      <c r="Y211" s="19"/>
    </row>
    <row r="212" spans="1:25" ht="12" customHeight="1">
      <c r="A212" s="219" t="str" cm="1">
        <f t="array" ref="A212">IFERROR(INDEX('03.Muestra'!$B$8:$B$42,SMALL(IF("Documento no web"='03.Muestra'!$D$8:$D$42,ROW('03.Muestra'!$B$8:$B$42)-MIN(ROW('03.Muestra'!$D$8:$D$42))+1,""),ROW()-208)),"")</f>
        <v/>
      </c>
      <c r="B212" s="114" t="str" cm="1">
        <f t="array" ref="B212">IFERROR(INDEX('03.Muestra'!$C$8:$C$42,SMALL(IF("Documento no web"='03.Muestra'!$D$8:$D$42,ROW('03.Muestra'!$C$8:$C$42)-MIN(ROW('03.Muestra'!$D$8:$D$42))+1,""),ROW()-208)),"")</f>
        <v/>
      </c>
      <c r="C212" s="114" t="str" cm="1">
        <f t="array" ref="C212">IFERROR(INDEX('03.Muestra'!$F$8:$F$42,SMALL(IF("Documento no web"='03.Muestra'!$D$8:$D$42,ROW('03.Muestra'!$F$8:$F$42)-MIN(ROW('03.Muestra'!$D$8:$D$42))+1,""),ROW()-208)),"")</f>
        <v/>
      </c>
      <c r="D212" s="130" t="str">
        <f t="shared" si="11"/>
        <v/>
      </c>
      <c r="E212" s="107" t="str">
        <f t="shared" si="10"/>
        <v/>
      </c>
      <c r="G212" s="19"/>
      <c r="H212" s="19"/>
      <c r="I212" s="19"/>
      <c r="J212" s="19"/>
      <c r="K212" s="233"/>
      <c r="L212" s="19"/>
      <c r="M212" s="19"/>
      <c r="N212" s="19"/>
      <c r="O212" s="19"/>
      <c r="P212" s="19"/>
      <c r="Q212" s="19"/>
      <c r="R212" s="19"/>
      <c r="S212" s="19"/>
      <c r="T212" s="19"/>
      <c r="U212" s="19"/>
      <c r="V212" s="19"/>
      <c r="W212" s="19"/>
      <c r="X212" s="19"/>
      <c r="Y212" s="19"/>
    </row>
    <row r="213" spans="1:25" ht="12" customHeight="1">
      <c r="A213" s="219" t="str" cm="1">
        <f t="array" ref="A213">IFERROR(INDEX('03.Muestra'!$B$8:$B$42,SMALL(IF("Documento no web"='03.Muestra'!$D$8:$D$42,ROW('03.Muestra'!$B$8:$B$42)-MIN(ROW('03.Muestra'!$D$8:$D$42))+1,""),ROW()-208)),"")</f>
        <v/>
      </c>
      <c r="B213" s="114" t="str" cm="1">
        <f t="array" ref="B213">IFERROR(INDEX('03.Muestra'!$C$8:$C$42,SMALL(IF("Documento no web"='03.Muestra'!$D$8:$D$42,ROW('03.Muestra'!$C$8:$C$42)-MIN(ROW('03.Muestra'!$D$8:$D$42))+1,""),ROW()-208)),"")</f>
        <v/>
      </c>
      <c r="C213" s="114" t="str" cm="1">
        <f t="array" ref="C213">IFERROR(INDEX('03.Muestra'!$F$8:$F$42,SMALL(IF("Documento no web"='03.Muestra'!$D$8:$D$42,ROW('03.Muestra'!$F$8:$F$42)-MIN(ROW('03.Muestra'!$D$8:$D$42))+1,""),ROW()-208)),"")</f>
        <v/>
      </c>
      <c r="D213" s="130" t="str">
        <f t="shared" si="11"/>
        <v/>
      </c>
      <c r="E213" s="107" t="str">
        <f t="shared" si="10"/>
        <v/>
      </c>
      <c r="G213" s="19"/>
      <c r="H213" s="19"/>
      <c r="I213" s="19"/>
      <c r="J213" s="19"/>
      <c r="K213" s="233"/>
      <c r="L213" s="19"/>
      <c r="M213" s="19"/>
      <c r="N213" s="19"/>
      <c r="O213" s="19"/>
      <c r="P213" s="19"/>
      <c r="Q213" s="19"/>
      <c r="R213" s="19"/>
      <c r="S213" s="19"/>
      <c r="T213" s="19"/>
      <c r="U213" s="19"/>
      <c r="V213" s="19"/>
      <c r="W213" s="19"/>
      <c r="X213" s="19"/>
      <c r="Y213" s="19"/>
    </row>
    <row r="214" spans="1:25" ht="12" customHeight="1">
      <c r="A214" s="219" t="str" cm="1">
        <f t="array" ref="A214">IFERROR(INDEX('03.Muestra'!$B$8:$B$42,SMALL(IF("Documento no web"='03.Muestra'!$D$8:$D$42,ROW('03.Muestra'!$B$8:$B$42)-MIN(ROW('03.Muestra'!$D$8:$D$42))+1,""),ROW()-208)),"")</f>
        <v/>
      </c>
      <c r="B214" s="114" t="str" cm="1">
        <f t="array" ref="B214">IFERROR(INDEX('03.Muestra'!$C$8:$C$42,SMALL(IF("Documento no web"='03.Muestra'!$D$8:$D$42,ROW('03.Muestra'!$C$8:$C$42)-MIN(ROW('03.Muestra'!$D$8:$D$42))+1,""),ROW()-208)),"")</f>
        <v/>
      </c>
      <c r="C214" s="114" t="str" cm="1">
        <f t="array" ref="C214">IFERROR(INDEX('03.Muestra'!$F$8:$F$42,SMALL(IF("Documento no web"='03.Muestra'!$D$8:$D$42,ROW('03.Muestra'!$F$8:$F$42)-MIN(ROW('03.Muestra'!$D$8:$D$42))+1,""),ROW()-208)),"")</f>
        <v/>
      </c>
      <c r="D214" s="130" t="str">
        <f t="shared" si="11"/>
        <v/>
      </c>
      <c r="E214" s="107" t="str">
        <f t="shared" si="10"/>
        <v/>
      </c>
      <c r="G214" s="19"/>
      <c r="H214" s="19"/>
      <c r="I214" s="19"/>
      <c r="J214" s="19"/>
      <c r="K214" s="233"/>
      <c r="L214" s="19"/>
      <c r="M214" s="19"/>
      <c r="N214" s="19"/>
      <c r="O214" s="19"/>
      <c r="P214" s="19"/>
      <c r="Q214" s="19"/>
      <c r="R214" s="19"/>
      <c r="S214" s="19"/>
      <c r="T214" s="19"/>
      <c r="U214" s="19"/>
      <c r="V214" s="19"/>
      <c r="W214" s="19"/>
      <c r="X214" s="19"/>
      <c r="Y214" s="19"/>
    </row>
    <row r="215" spans="1:25" ht="12" customHeight="1">
      <c r="A215" s="219" t="str" cm="1">
        <f t="array" ref="A215">IFERROR(INDEX('03.Muestra'!$B$8:$B$42,SMALL(IF("Documento no web"='03.Muestra'!$D$8:$D$42,ROW('03.Muestra'!$B$8:$B$42)-MIN(ROW('03.Muestra'!$D$8:$D$42))+1,""),ROW()-208)),"")</f>
        <v/>
      </c>
      <c r="B215" s="114" t="str" cm="1">
        <f t="array" ref="B215">IFERROR(INDEX('03.Muestra'!$C$8:$C$42,SMALL(IF("Documento no web"='03.Muestra'!$D$8:$D$42,ROW('03.Muestra'!$C$8:$C$42)-MIN(ROW('03.Muestra'!$D$8:$D$42))+1,""),ROW()-208)),"")</f>
        <v/>
      </c>
      <c r="C215" s="114" t="str" cm="1">
        <f t="array" ref="C215">IFERROR(INDEX('03.Muestra'!$F$8:$F$42,SMALL(IF("Documento no web"='03.Muestra'!$D$8:$D$42,ROW('03.Muestra'!$F$8:$F$42)-MIN(ROW('03.Muestra'!$D$8:$D$42))+1,""),ROW()-208)),"")</f>
        <v/>
      </c>
      <c r="D215" s="130" t="str">
        <f t="shared" si="11"/>
        <v/>
      </c>
      <c r="E215" s="107" t="str">
        <f t="shared" si="10"/>
        <v/>
      </c>
      <c r="F215" s="19"/>
      <c r="G215" s="19"/>
      <c r="H215" s="19"/>
      <c r="I215" s="19"/>
      <c r="J215" s="19"/>
      <c r="K215" s="233"/>
      <c r="L215" s="19"/>
      <c r="M215" s="19"/>
      <c r="N215" s="19"/>
      <c r="O215" s="19"/>
      <c r="P215" s="19"/>
      <c r="Q215" s="19"/>
      <c r="R215" s="19"/>
      <c r="S215" s="19"/>
      <c r="T215" s="19"/>
      <c r="U215" s="19"/>
      <c r="V215" s="19"/>
      <c r="W215" s="19"/>
      <c r="X215" s="19"/>
      <c r="Y215" s="19"/>
    </row>
    <row r="216" spans="1:25" ht="12" customHeight="1">
      <c r="A216" s="219" t="str" cm="1">
        <f t="array" ref="A216">IFERROR(INDEX('03.Muestra'!$B$8:$B$42,SMALL(IF("Documento no web"='03.Muestra'!$D$8:$D$42,ROW('03.Muestra'!$B$8:$B$42)-MIN(ROW('03.Muestra'!$D$8:$D$42))+1,""),ROW()-208)),"")</f>
        <v/>
      </c>
      <c r="B216" s="114" t="str" cm="1">
        <f t="array" ref="B216">IFERROR(INDEX('03.Muestra'!$C$8:$C$42,SMALL(IF("Documento no web"='03.Muestra'!$D$8:$D$42,ROW('03.Muestra'!$C$8:$C$42)-MIN(ROW('03.Muestra'!$D$8:$D$42))+1,""),ROW()-208)),"")</f>
        <v/>
      </c>
      <c r="C216" s="114" t="str" cm="1">
        <f t="array" ref="C216">IFERROR(INDEX('03.Muestra'!$F$8:$F$42,SMALL(IF("Documento no web"='03.Muestra'!$D$8:$D$42,ROW('03.Muestra'!$F$8:$F$42)-MIN(ROW('03.Muestra'!$D$8:$D$42))+1,""),ROW()-208)),"")</f>
        <v/>
      </c>
      <c r="D216" s="130" t="str">
        <f t="shared" si="11"/>
        <v/>
      </c>
      <c r="E216" s="107" t="str">
        <f t="shared" si="10"/>
        <v/>
      </c>
      <c r="F216" s="19"/>
      <c r="G216" s="19"/>
      <c r="H216" s="19"/>
      <c r="I216" s="19"/>
      <c r="J216" s="19"/>
      <c r="K216" s="233"/>
      <c r="L216" s="19"/>
      <c r="M216" s="19"/>
      <c r="N216" s="19"/>
      <c r="O216" s="19"/>
      <c r="P216" s="19"/>
      <c r="Q216" s="19"/>
      <c r="R216" s="19"/>
      <c r="S216" s="19"/>
      <c r="T216" s="19"/>
      <c r="U216" s="19"/>
      <c r="V216" s="19"/>
      <c r="W216" s="19"/>
      <c r="X216" s="19"/>
      <c r="Y216" s="19"/>
    </row>
    <row r="217" spans="1:25" ht="12" customHeight="1">
      <c r="A217" s="219" t="str" cm="1">
        <f t="array" ref="A217">IFERROR(INDEX('03.Muestra'!$B$8:$B$42,SMALL(IF("Documento no web"='03.Muestra'!$D$8:$D$42,ROW('03.Muestra'!$B$8:$B$42)-MIN(ROW('03.Muestra'!$D$8:$D$42))+1,""),ROW()-208)),"")</f>
        <v/>
      </c>
      <c r="B217" s="114" t="str" cm="1">
        <f t="array" ref="B217">IFERROR(INDEX('03.Muestra'!$C$8:$C$42,SMALL(IF("Documento no web"='03.Muestra'!$D$8:$D$42,ROW('03.Muestra'!$C$8:$C$42)-MIN(ROW('03.Muestra'!$D$8:$D$42))+1,""),ROW()-208)),"")</f>
        <v/>
      </c>
      <c r="C217" s="114" t="str" cm="1">
        <f t="array" ref="C217">IFERROR(INDEX('03.Muestra'!$F$8:$F$42,SMALL(IF("Documento no web"='03.Muestra'!$D$8:$D$42,ROW('03.Muestra'!$F$8:$F$42)-MIN(ROW('03.Muestra'!$D$8:$D$42))+1,""),ROW()-208)),"")</f>
        <v/>
      </c>
      <c r="D217" s="130" t="str">
        <f t="shared" si="11"/>
        <v/>
      </c>
      <c r="E217" s="107" t="str">
        <f t="shared" si="10"/>
        <v/>
      </c>
      <c r="F217" s="19"/>
      <c r="G217" s="19"/>
      <c r="H217" s="19"/>
      <c r="I217" s="19"/>
      <c r="J217" s="19"/>
      <c r="K217" s="233"/>
      <c r="L217" s="19"/>
      <c r="M217" s="19"/>
      <c r="N217" s="19"/>
      <c r="O217" s="19"/>
      <c r="P217" s="19"/>
      <c r="Q217" s="19"/>
      <c r="R217" s="19"/>
      <c r="S217" s="19"/>
      <c r="T217" s="19"/>
      <c r="U217" s="19"/>
      <c r="V217" s="19"/>
      <c r="W217" s="19"/>
      <c r="X217" s="19"/>
      <c r="Y217" s="19"/>
    </row>
    <row r="218" spans="1:25" ht="12" customHeight="1">
      <c r="A218" s="219" t="str" cm="1">
        <f t="array" ref="A218">IFERROR(INDEX('03.Muestra'!$B$8:$B$42,SMALL(IF("Documento no web"='03.Muestra'!$D$8:$D$42,ROW('03.Muestra'!$B$8:$B$42)-MIN(ROW('03.Muestra'!$D$8:$D$42))+1,""),ROW()-208)),"")</f>
        <v/>
      </c>
      <c r="B218" s="114" t="str" cm="1">
        <f t="array" ref="B218">IFERROR(INDEX('03.Muestra'!$C$8:$C$42,SMALL(IF("Documento no web"='03.Muestra'!$D$8:$D$42,ROW('03.Muestra'!$C$8:$C$42)-MIN(ROW('03.Muestra'!$D$8:$D$42))+1,""),ROW()-208)),"")</f>
        <v/>
      </c>
      <c r="C218" s="114" t="str" cm="1">
        <f t="array" ref="C218">IFERROR(INDEX('03.Muestra'!$F$8:$F$42,SMALL(IF("Documento no web"='03.Muestra'!$D$8:$D$42,ROW('03.Muestra'!$F$8:$F$42)-MIN(ROW('03.Muestra'!$D$8:$D$42))+1,""),ROW()-208)),"")</f>
        <v/>
      </c>
      <c r="D218" s="130" t="str">
        <f t="shared" si="11"/>
        <v/>
      </c>
      <c r="E218" s="107" t="str">
        <f t="shared" si="10"/>
        <v/>
      </c>
      <c r="F218" s="19"/>
      <c r="G218" s="19"/>
      <c r="H218" s="19"/>
      <c r="I218" s="19"/>
      <c r="J218" s="19"/>
      <c r="K218" s="233"/>
      <c r="L218" s="19"/>
      <c r="M218" s="19"/>
      <c r="N218" s="19"/>
      <c r="O218" s="19"/>
      <c r="P218" s="19"/>
      <c r="Q218" s="19"/>
      <c r="R218" s="19"/>
      <c r="S218" s="19"/>
      <c r="T218" s="19"/>
      <c r="U218" s="19"/>
      <c r="V218" s="19"/>
      <c r="W218" s="19"/>
      <c r="X218" s="19"/>
      <c r="Y218" s="19"/>
    </row>
    <row r="219" spans="1:25" ht="12" customHeight="1">
      <c r="A219" s="219" t="str" cm="1">
        <f t="array" ref="A219">IFERROR(INDEX('03.Muestra'!$B$8:$B$42,SMALL(IF("Documento no web"='03.Muestra'!$D$8:$D$42,ROW('03.Muestra'!$B$8:$B$42)-MIN(ROW('03.Muestra'!$D$8:$D$42))+1,""),ROW()-208)),"")</f>
        <v/>
      </c>
      <c r="B219" s="114" t="str" cm="1">
        <f t="array" ref="B219">IFERROR(INDEX('03.Muestra'!$C$8:$C$42,SMALL(IF("Documento no web"='03.Muestra'!$D$8:$D$42,ROW('03.Muestra'!$C$8:$C$42)-MIN(ROW('03.Muestra'!$D$8:$D$42))+1,""),ROW()-208)),"")</f>
        <v/>
      </c>
      <c r="C219" s="114" t="str" cm="1">
        <f t="array" ref="C219">IFERROR(INDEX('03.Muestra'!$F$8:$F$42,SMALL(IF("Documento no web"='03.Muestra'!$D$8:$D$42,ROW('03.Muestra'!$F$8:$F$42)-MIN(ROW('03.Muestra'!$D$8:$D$42))+1,""),ROW()-208)),"")</f>
        <v/>
      </c>
      <c r="D219" s="130" t="str">
        <f t="shared" si="11"/>
        <v/>
      </c>
      <c r="E219" s="107" t="str">
        <f t="shared" si="10"/>
        <v/>
      </c>
      <c r="F219" s="19"/>
      <c r="G219" s="19"/>
      <c r="H219" s="19"/>
      <c r="I219" s="19"/>
      <c r="J219" s="19"/>
      <c r="K219" s="233"/>
      <c r="L219" s="19"/>
      <c r="M219" s="19"/>
      <c r="N219" s="19"/>
      <c r="O219" s="19"/>
      <c r="P219" s="19"/>
      <c r="Q219" s="19"/>
      <c r="R219" s="19"/>
      <c r="S219" s="19"/>
      <c r="T219" s="19"/>
      <c r="U219" s="19"/>
      <c r="V219" s="19"/>
      <c r="W219" s="19"/>
      <c r="X219" s="19"/>
      <c r="Y219" s="19"/>
    </row>
    <row r="220" spans="1:25" ht="12" customHeight="1">
      <c r="A220" s="219" t="str" cm="1">
        <f t="array" ref="A220">IFERROR(INDEX('03.Muestra'!$B$8:$B$42,SMALL(IF("Documento no web"='03.Muestra'!$D$8:$D$42,ROW('03.Muestra'!$B$8:$B$42)-MIN(ROW('03.Muestra'!$D$8:$D$42))+1,""),ROW()-208)),"")</f>
        <v/>
      </c>
      <c r="B220" s="114" t="str" cm="1">
        <f t="array" ref="B220">IFERROR(INDEX('03.Muestra'!$C$8:$C$42,SMALL(IF("Documento no web"='03.Muestra'!$D$8:$D$42,ROW('03.Muestra'!$C$8:$C$42)-MIN(ROW('03.Muestra'!$D$8:$D$42))+1,""),ROW()-208)),"")</f>
        <v/>
      </c>
      <c r="C220" s="114" t="str" cm="1">
        <f t="array" ref="C220">IFERROR(INDEX('03.Muestra'!$F$8:$F$42,SMALL(IF("Documento no web"='03.Muestra'!$D$8:$D$42,ROW('03.Muestra'!$F$8:$F$42)-MIN(ROW('03.Muestra'!$D$8:$D$42))+1,""),ROW()-208)),"")</f>
        <v/>
      </c>
      <c r="D220" s="130" t="str">
        <f t="shared" si="11"/>
        <v/>
      </c>
      <c r="E220" s="107" t="str">
        <f t="shared" si="10"/>
        <v/>
      </c>
      <c r="F220" s="19"/>
      <c r="G220" s="19"/>
      <c r="H220" s="19"/>
      <c r="I220" s="19"/>
      <c r="J220" s="19"/>
      <c r="K220" s="233"/>
      <c r="L220" s="19"/>
      <c r="M220" s="19"/>
      <c r="N220" s="19"/>
      <c r="O220" s="19"/>
      <c r="P220" s="19"/>
      <c r="Q220" s="19"/>
      <c r="R220" s="19"/>
      <c r="S220" s="19"/>
      <c r="T220" s="19"/>
      <c r="U220" s="19"/>
      <c r="V220" s="19"/>
      <c r="W220" s="19"/>
      <c r="X220" s="19"/>
      <c r="Y220" s="19"/>
    </row>
    <row r="221" spans="1:25" ht="14.1" customHeight="1">
      <c r="A221" s="219" t="str" cm="1">
        <f t="array" ref="A221">IFERROR(INDEX('03.Muestra'!$B$8:$B$42,SMALL(IF("Documento no web"='03.Muestra'!$D$8:$D$42,ROW('03.Muestra'!$B$8:$B$42)-MIN(ROW('03.Muestra'!$D$8:$D$42))+1,""),ROW()-208)),"")</f>
        <v/>
      </c>
      <c r="B221" s="114" t="str" cm="1">
        <f t="array" ref="B221">IFERROR(INDEX('03.Muestra'!$C$8:$C$42,SMALL(IF("Documento no web"='03.Muestra'!$D$8:$D$42,ROW('03.Muestra'!$C$8:$C$42)-MIN(ROW('03.Muestra'!$D$8:$D$42))+1,""),ROW()-208)),"")</f>
        <v/>
      </c>
      <c r="C221" s="114" t="str" cm="1">
        <f t="array" ref="C221">IFERROR(INDEX('03.Muestra'!$F$8:$F$42,SMALL(IF("Documento no web"='03.Muestra'!$D$8:$D$42,ROW('03.Muestra'!$F$8:$F$42)-MIN(ROW('03.Muestra'!$D$8:$D$42))+1,""),ROW()-208)),"")</f>
        <v/>
      </c>
      <c r="D221" s="130" t="str">
        <f t="shared" si="11"/>
        <v/>
      </c>
      <c r="E221" s="107" t="str">
        <f t="shared" si="10"/>
        <v/>
      </c>
      <c r="F221" s="19"/>
      <c r="G221" s="19"/>
      <c r="H221" s="19"/>
      <c r="I221" s="19"/>
      <c r="J221" s="19"/>
      <c r="K221" s="233"/>
      <c r="L221" s="19"/>
      <c r="M221" s="19"/>
      <c r="N221" s="19"/>
      <c r="O221" s="19"/>
      <c r="P221" s="19"/>
      <c r="Q221" s="19"/>
      <c r="R221" s="19"/>
      <c r="S221" s="19"/>
      <c r="T221" s="19"/>
      <c r="U221" s="19"/>
      <c r="V221" s="19"/>
      <c r="W221" s="19"/>
      <c r="X221" s="19"/>
      <c r="Y221" s="19"/>
    </row>
    <row r="222" spans="1:25" ht="14.1" customHeight="1">
      <c r="A222" s="219" t="str" cm="1">
        <f t="array" ref="A222">IFERROR(INDEX('03.Muestra'!$B$8:$B$42,SMALL(IF("Documento no web"='03.Muestra'!$D$8:$D$42,ROW('03.Muestra'!$B$8:$B$42)-MIN(ROW('03.Muestra'!$D$8:$D$42))+1,""),ROW()-208)),"")</f>
        <v/>
      </c>
      <c r="B222" s="114" t="str" cm="1">
        <f t="array" ref="B222">IFERROR(INDEX('03.Muestra'!$C$8:$C$42,SMALL(IF("Documento no web"='03.Muestra'!$D$8:$D$42,ROW('03.Muestra'!$C$8:$C$42)-MIN(ROW('03.Muestra'!$D$8:$D$42))+1,""),ROW()-208)),"")</f>
        <v/>
      </c>
      <c r="C222" s="114" t="str" cm="1">
        <f t="array" ref="C222">IFERROR(INDEX('03.Muestra'!$F$8:$F$42,SMALL(IF("Documento no web"='03.Muestra'!$D$8:$D$42,ROW('03.Muestra'!$F$8:$F$42)-MIN(ROW('03.Muestra'!$D$8:$D$42))+1,""),ROW()-208)),"")</f>
        <v/>
      </c>
      <c r="D222" s="130" t="str">
        <f t="shared" si="11"/>
        <v/>
      </c>
      <c r="E222" s="107" t="str">
        <f t="shared" si="10"/>
        <v/>
      </c>
      <c r="F222" s="19"/>
      <c r="G222" s="19"/>
      <c r="H222" s="19"/>
      <c r="I222" s="19"/>
      <c r="J222" s="19"/>
      <c r="K222" s="233"/>
      <c r="L222" s="19"/>
      <c r="M222" s="19"/>
      <c r="N222" s="19"/>
      <c r="O222" s="19"/>
      <c r="P222" s="19"/>
      <c r="Q222" s="19"/>
      <c r="R222" s="19"/>
      <c r="S222" s="19"/>
      <c r="T222" s="19"/>
      <c r="U222" s="19"/>
      <c r="V222" s="19"/>
      <c r="W222" s="19"/>
      <c r="X222" s="19"/>
      <c r="Y222" s="19"/>
    </row>
    <row r="223" spans="1:25" ht="14.1" customHeight="1">
      <c r="A223" s="219" t="str" cm="1">
        <f t="array" ref="A223">IFERROR(INDEX('03.Muestra'!$B$8:$B$42,SMALL(IF("Documento no web"='03.Muestra'!$D$8:$D$42,ROW('03.Muestra'!$B$8:$B$42)-MIN(ROW('03.Muestra'!$D$8:$D$42))+1,""),ROW()-208)),"")</f>
        <v/>
      </c>
      <c r="B223" s="114" t="str" cm="1">
        <f t="array" ref="B223">IFERROR(INDEX('03.Muestra'!$C$8:$C$42,SMALL(IF("Documento no web"='03.Muestra'!$D$8:$D$42,ROW('03.Muestra'!$C$8:$C$42)-MIN(ROW('03.Muestra'!$D$8:$D$42))+1,""),ROW()-208)),"")</f>
        <v/>
      </c>
      <c r="C223" s="114" t="str" cm="1">
        <f t="array" ref="C223">IFERROR(INDEX('03.Muestra'!$F$8:$F$42,SMALL(IF("Documento no web"='03.Muestra'!$D$8:$D$42,ROW('03.Muestra'!$F$8:$F$42)-MIN(ROW('03.Muestra'!$D$8:$D$42))+1,""),ROW()-208)),"")</f>
        <v/>
      </c>
      <c r="D223" s="130" t="str">
        <f t="shared" si="11"/>
        <v/>
      </c>
      <c r="E223" s="107" t="str">
        <f t="shared" si="10"/>
        <v/>
      </c>
      <c r="F223" s="19"/>
      <c r="G223" s="19"/>
      <c r="H223" s="19"/>
      <c r="I223" s="19"/>
      <c r="J223" s="19"/>
      <c r="K223" s="233"/>
      <c r="L223" s="19"/>
      <c r="M223" s="19"/>
      <c r="N223" s="19"/>
      <c r="O223" s="19"/>
      <c r="P223" s="19"/>
      <c r="Q223" s="19"/>
      <c r="R223" s="19"/>
      <c r="S223" s="19"/>
      <c r="T223" s="19"/>
      <c r="U223" s="19"/>
      <c r="V223" s="19"/>
      <c r="W223" s="19"/>
      <c r="X223" s="19"/>
      <c r="Y223" s="19"/>
    </row>
    <row r="224" spans="1:25" ht="14.1" customHeight="1">
      <c r="A224" s="219" t="str" cm="1">
        <f t="array" ref="A224">IFERROR(INDEX('03.Muestra'!$B$8:$B$42,SMALL(IF("Documento no web"='03.Muestra'!$D$8:$D$42,ROW('03.Muestra'!$B$8:$B$42)-MIN(ROW('03.Muestra'!$D$8:$D$42))+1,""),ROW()-208)),"")</f>
        <v/>
      </c>
      <c r="B224" s="114" t="str" cm="1">
        <f t="array" ref="B224">IFERROR(INDEX('03.Muestra'!$C$8:$C$42,SMALL(IF("Documento no web"='03.Muestra'!$D$8:$D$42,ROW('03.Muestra'!$C$8:$C$42)-MIN(ROW('03.Muestra'!$D$8:$D$42))+1,""),ROW()-208)),"")</f>
        <v/>
      </c>
      <c r="C224" s="114" t="str" cm="1">
        <f t="array" ref="C224">IFERROR(INDEX('03.Muestra'!$F$8:$F$42,SMALL(IF("Documento no web"='03.Muestra'!$D$8:$D$42,ROW('03.Muestra'!$F$8:$F$42)-MIN(ROW('03.Muestra'!$D$8:$D$42))+1,""),ROW()-208)),"")</f>
        <v/>
      </c>
      <c r="D224" s="130" t="str">
        <f t="shared" si="11"/>
        <v/>
      </c>
      <c r="E224" s="107" t="str">
        <f t="shared" si="10"/>
        <v/>
      </c>
      <c r="F224" s="19"/>
      <c r="G224" s="19"/>
      <c r="H224" s="19"/>
      <c r="I224" s="19"/>
      <c r="J224" s="19"/>
      <c r="K224" s="233"/>
      <c r="L224" s="19"/>
      <c r="M224" s="19"/>
      <c r="N224" s="19"/>
      <c r="O224" s="19"/>
      <c r="P224" s="19"/>
      <c r="Q224" s="19"/>
      <c r="R224" s="19"/>
      <c r="S224" s="19"/>
      <c r="T224" s="19"/>
      <c r="U224" s="19"/>
      <c r="V224" s="19"/>
      <c r="W224" s="19"/>
      <c r="X224" s="19"/>
      <c r="Y224" s="19"/>
    </row>
    <row r="225" spans="1:25" ht="14.1" customHeight="1">
      <c r="A225" s="219" t="str" cm="1">
        <f t="array" ref="A225">IFERROR(INDEX('03.Muestra'!$B$8:$B$42,SMALL(IF("Documento no web"='03.Muestra'!$D$8:$D$42,ROW('03.Muestra'!$B$8:$B$42)-MIN(ROW('03.Muestra'!$D$8:$D$42))+1,""),ROW()-208)),"")</f>
        <v/>
      </c>
      <c r="B225" s="114" t="str" cm="1">
        <f t="array" ref="B225">IFERROR(INDEX('03.Muestra'!$C$8:$C$42,SMALL(IF("Documento no web"='03.Muestra'!$D$8:$D$42,ROW('03.Muestra'!$C$8:$C$42)-MIN(ROW('03.Muestra'!$D$8:$D$42))+1,""),ROW()-208)),"")</f>
        <v/>
      </c>
      <c r="C225" s="114" t="str" cm="1">
        <f t="array" ref="C225">IFERROR(INDEX('03.Muestra'!$F$8:$F$42,SMALL(IF("Documento no web"='03.Muestra'!$D$8:$D$42,ROW('03.Muestra'!$F$8:$F$42)-MIN(ROW('03.Muestra'!$D$8:$D$42))+1,""),ROW()-208)),"")</f>
        <v/>
      </c>
      <c r="D225" s="130" t="str">
        <f t="shared" si="11"/>
        <v/>
      </c>
      <c r="E225" s="107" t="str">
        <f t="shared" si="10"/>
        <v/>
      </c>
      <c r="F225" s="19"/>
      <c r="G225" s="19"/>
      <c r="H225" s="19"/>
      <c r="I225" s="19"/>
      <c r="J225" s="19"/>
      <c r="K225" s="233"/>
      <c r="L225" s="19"/>
      <c r="M225" s="19"/>
      <c r="N225" s="19"/>
      <c r="O225" s="19"/>
      <c r="P225" s="19"/>
      <c r="Q225" s="19"/>
      <c r="R225" s="19"/>
      <c r="S225" s="19"/>
      <c r="T225" s="19"/>
      <c r="U225" s="19"/>
      <c r="V225" s="19"/>
      <c r="W225" s="19"/>
      <c r="X225" s="19"/>
      <c r="Y225" s="19"/>
    </row>
    <row r="226" spans="1:25" ht="14.1" customHeight="1">
      <c r="A226" s="219" t="str" cm="1">
        <f t="array" ref="A226">IFERROR(INDEX('03.Muestra'!$B$8:$B$42,SMALL(IF("Documento no web"='03.Muestra'!$D$8:$D$42,ROW('03.Muestra'!$B$8:$B$42)-MIN(ROW('03.Muestra'!$D$8:$D$42))+1,""),ROW()-208)),"")</f>
        <v/>
      </c>
      <c r="B226" s="114" t="str" cm="1">
        <f t="array" ref="B226">IFERROR(INDEX('03.Muestra'!$C$8:$C$42,SMALL(IF("Documento no web"='03.Muestra'!$D$8:$D$42,ROW('03.Muestra'!$C$8:$C$42)-MIN(ROW('03.Muestra'!$D$8:$D$42))+1,""),ROW()-208)),"")</f>
        <v/>
      </c>
      <c r="C226" s="114" t="str" cm="1">
        <f t="array" ref="C226">IFERROR(INDEX('03.Muestra'!$F$8:$F$42,SMALL(IF("Documento no web"='03.Muestra'!$D$8:$D$42,ROW('03.Muestra'!$F$8:$F$42)-MIN(ROW('03.Muestra'!$D$8:$D$42))+1,""),ROW()-208)),"")</f>
        <v/>
      </c>
      <c r="D226" s="130" t="str">
        <f t="shared" si="11"/>
        <v/>
      </c>
      <c r="E226" s="107" t="str">
        <f t="shared" si="10"/>
        <v/>
      </c>
      <c r="F226" s="19"/>
      <c r="G226" s="19"/>
      <c r="H226" s="19"/>
      <c r="I226" s="19"/>
      <c r="J226" s="19"/>
      <c r="K226" s="233"/>
      <c r="L226" s="19"/>
      <c r="M226" s="19"/>
      <c r="N226" s="19"/>
      <c r="O226" s="19"/>
      <c r="P226" s="19"/>
      <c r="Q226" s="19"/>
      <c r="R226" s="19"/>
      <c r="S226" s="19"/>
      <c r="T226" s="19"/>
      <c r="U226" s="19"/>
      <c r="V226" s="19"/>
      <c r="W226" s="19"/>
      <c r="X226" s="19"/>
      <c r="Y226" s="19"/>
    </row>
    <row r="227" spans="1:25" ht="14.1" customHeight="1">
      <c r="A227" s="219" t="str" cm="1">
        <f t="array" ref="A227">IFERROR(INDEX('03.Muestra'!$B$8:$B$42,SMALL(IF("Documento no web"='03.Muestra'!$D$8:$D$42,ROW('03.Muestra'!$B$8:$B$42)-MIN(ROW('03.Muestra'!$D$8:$D$42))+1,""),ROW()-208)),"")</f>
        <v/>
      </c>
      <c r="B227" s="114" t="str" cm="1">
        <f t="array" ref="B227">IFERROR(INDEX('03.Muestra'!$C$8:$C$42,SMALL(IF("Documento no web"='03.Muestra'!$D$8:$D$42,ROW('03.Muestra'!$C$8:$C$42)-MIN(ROW('03.Muestra'!$D$8:$D$42))+1,""),ROW()-208)),"")</f>
        <v/>
      </c>
      <c r="C227" s="114" t="str" cm="1">
        <f t="array" ref="C227">IFERROR(INDEX('03.Muestra'!$F$8:$F$42,SMALL(IF("Documento no web"='03.Muestra'!$D$8:$D$42,ROW('03.Muestra'!$F$8:$F$42)-MIN(ROW('03.Muestra'!$D$8:$D$42))+1,""),ROW()-208)),"")</f>
        <v/>
      </c>
      <c r="D227" s="130" t="str">
        <f t="shared" si="11"/>
        <v/>
      </c>
      <c r="E227" s="107" t="str">
        <f t="shared" si="10"/>
        <v/>
      </c>
      <c r="F227" s="19"/>
      <c r="G227" s="19"/>
      <c r="H227" s="19"/>
      <c r="I227" s="19"/>
      <c r="J227" s="19"/>
      <c r="K227" s="233"/>
      <c r="L227" s="19"/>
      <c r="M227" s="19"/>
      <c r="N227" s="19"/>
      <c r="O227" s="19"/>
      <c r="P227" s="19"/>
      <c r="Q227" s="19"/>
      <c r="R227" s="19"/>
      <c r="S227" s="19"/>
      <c r="T227" s="19"/>
      <c r="U227" s="19"/>
      <c r="V227" s="19"/>
      <c r="W227" s="19"/>
      <c r="X227" s="19"/>
      <c r="Y227" s="19"/>
    </row>
    <row r="228" spans="1:25" ht="14.1" customHeight="1">
      <c r="A228" s="219" t="str" cm="1">
        <f t="array" ref="A228">IFERROR(INDEX('03.Muestra'!$B$8:$B$42,SMALL(IF("Documento no web"='03.Muestra'!$D$8:$D$42,ROW('03.Muestra'!$B$8:$B$42)-MIN(ROW('03.Muestra'!$D$8:$D$42))+1,""),ROW()-208)),"")</f>
        <v/>
      </c>
      <c r="B228" s="114" t="str" cm="1">
        <f t="array" ref="B228">IFERROR(INDEX('03.Muestra'!$C$8:$C$42,SMALL(IF("Documento no web"='03.Muestra'!$D$8:$D$42,ROW('03.Muestra'!$C$8:$C$42)-MIN(ROW('03.Muestra'!$D$8:$D$42))+1,""),ROW()-208)),"")</f>
        <v/>
      </c>
      <c r="C228" s="114" t="str" cm="1">
        <f t="array" ref="C228">IFERROR(INDEX('03.Muestra'!$F$8:$F$42,SMALL(IF("Documento no web"='03.Muestra'!$D$8:$D$42,ROW('03.Muestra'!$F$8:$F$42)-MIN(ROW('03.Muestra'!$D$8:$D$42))+1,""),ROW()-208)),"")</f>
        <v/>
      </c>
      <c r="D228" s="130" t="str">
        <f t="shared" si="11"/>
        <v/>
      </c>
      <c r="E228" s="107" t="str">
        <f t="shared" si="10"/>
        <v/>
      </c>
      <c r="F228" s="19"/>
      <c r="G228" s="19"/>
      <c r="H228" s="19"/>
      <c r="I228" s="19"/>
      <c r="J228" s="19"/>
      <c r="K228" s="233"/>
      <c r="L228" s="19"/>
      <c r="M228" s="19"/>
      <c r="N228" s="19"/>
      <c r="O228" s="19"/>
      <c r="P228" s="19"/>
      <c r="Q228" s="19"/>
      <c r="R228" s="19"/>
      <c r="S228" s="19"/>
      <c r="T228" s="19"/>
      <c r="U228" s="19"/>
      <c r="V228" s="19"/>
      <c r="W228" s="19"/>
      <c r="X228" s="19"/>
      <c r="Y228" s="19"/>
    </row>
    <row r="229" spans="1:25" ht="14.1" customHeight="1">
      <c r="A229" s="219" t="str" cm="1">
        <f t="array" ref="A229">IFERROR(INDEX('03.Muestra'!$B$8:$B$42,SMALL(IF("Documento no web"='03.Muestra'!$D$8:$D$42,ROW('03.Muestra'!$B$8:$B$42)-MIN(ROW('03.Muestra'!$D$8:$D$42))+1,""),ROW()-208)),"")</f>
        <v/>
      </c>
      <c r="B229" s="114" t="str" cm="1">
        <f t="array" ref="B229">IFERROR(INDEX('03.Muestra'!$C$8:$C$42,SMALL(IF("Documento no web"='03.Muestra'!$D$8:$D$42,ROW('03.Muestra'!$C$8:$C$42)-MIN(ROW('03.Muestra'!$D$8:$D$42))+1,""),ROW()-208)),"")</f>
        <v/>
      </c>
      <c r="C229" s="114" t="str" cm="1">
        <f t="array" ref="C229">IFERROR(INDEX('03.Muestra'!$F$8:$F$42,SMALL(IF("Documento no web"='03.Muestra'!$D$8:$D$42,ROW('03.Muestra'!$F$8:$F$42)-MIN(ROW('03.Muestra'!$D$8:$D$42))+1,""),ROW()-208)),"")</f>
        <v/>
      </c>
      <c r="D229" s="130" t="str">
        <f t="shared" si="11"/>
        <v/>
      </c>
      <c r="E229" s="107" t="str">
        <f t="shared" si="10"/>
        <v/>
      </c>
      <c r="F229" s="19"/>
      <c r="G229" s="19"/>
      <c r="H229" s="19"/>
      <c r="I229" s="19"/>
      <c r="J229" s="19"/>
      <c r="K229" s="233"/>
      <c r="L229" s="19"/>
      <c r="M229" s="19"/>
      <c r="N229" s="19"/>
      <c r="O229" s="19"/>
      <c r="P229" s="19"/>
      <c r="Q229" s="19"/>
      <c r="R229" s="19"/>
      <c r="S229" s="19"/>
      <c r="T229" s="19"/>
      <c r="U229" s="19"/>
      <c r="V229" s="19"/>
      <c r="W229" s="19"/>
      <c r="X229" s="19"/>
      <c r="Y229" s="19"/>
    </row>
    <row r="230" spans="1:25" ht="14.1" customHeight="1">
      <c r="A230" s="219" t="str" cm="1">
        <f t="array" ref="A230">IFERROR(INDEX('03.Muestra'!$B$8:$B$42,SMALL(IF("Documento no web"='03.Muestra'!$D$8:$D$42,ROW('03.Muestra'!$B$8:$B$42)-MIN(ROW('03.Muestra'!$D$8:$D$42))+1,""),ROW()-208)),"")</f>
        <v/>
      </c>
      <c r="B230" s="114" t="str" cm="1">
        <f t="array" ref="B230">IFERROR(INDEX('03.Muestra'!$C$8:$C$42,SMALL(IF("Documento no web"='03.Muestra'!$D$8:$D$42,ROW('03.Muestra'!$C$8:$C$42)-MIN(ROW('03.Muestra'!$D$8:$D$42))+1,""),ROW()-208)),"")</f>
        <v/>
      </c>
      <c r="C230" s="114" t="str" cm="1">
        <f t="array" ref="C230">IFERROR(INDEX('03.Muestra'!$F$8:$F$42,SMALL(IF("Documento no web"='03.Muestra'!$D$8:$D$42,ROW('03.Muestra'!$F$8:$F$42)-MIN(ROW('03.Muestra'!$D$8:$D$42))+1,""),ROW()-208)),"")</f>
        <v/>
      </c>
      <c r="D230" s="130" t="str">
        <f t="shared" si="11"/>
        <v/>
      </c>
      <c r="E230" s="107" t="str">
        <f t="shared" si="10"/>
        <v/>
      </c>
      <c r="F230" s="19"/>
      <c r="G230" s="19"/>
      <c r="H230" s="19"/>
      <c r="I230" s="19"/>
      <c r="J230" s="19"/>
      <c r="K230" s="233"/>
      <c r="L230" s="19"/>
      <c r="M230" s="19"/>
      <c r="N230" s="19"/>
      <c r="O230" s="19"/>
      <c r="P230" s="19"/>
      <c r="Q230" s="19"/>
      <c r="R230" s="19"/>
      <c r="S230" s="19"/>
      <c r="T230" s="19"/>
      <c r="U230" s="19"/>
      <c r="V230" s="19"/>
      <c r="W230" s="19"/>
      <c r="X230" s="19"/>
      <c r="Y230" s="19"/>
    </row>
    <row r="231" spans="1:25" ht="14.1" customHeight="1">
      <c r="A231" s="219" t="str" cm="1">
        <f t="array" ref="A231">IFERROR(INDEX('03.Muestra'!$B$8:$B$42,SMALL(IF("Documento no web"='03.Muestra'!$D$8:$D$42,ROW('03.Muestra'!$B$8:$B$42)-MIN(ROW('03.Muestra'!$D$8:$D$42))+1,""),ROW()-208)),"")</f>
        <v/>
      </c>
      <c r="B231" s="114" t="str" cm="1">
        <f t="array" ref="B231">IFERROR(INDEX('03.Muestra'!$C$8:$C$42,SMALL(IF("Documento no web"='03.Muestra'!$D$8:$D$42,ROW('03.Muestra'!$C$8:$C$42)-MIN(ROW('03.Muestra'!$D$8:$D$42))+1,""),ROW()-208)),"")</f>
        <v/>
      </c>
      <c r="C231" s="114" t="str" cm="1">
        <f t="array" ref="C231">IFERROR(INDEX('03.Muestra'!$F$8:$F$42,SMALL(IF("Documento no web"='03.Muestra'!$D$8:$D$42,ROW('03.Muestra'!$F$8:$F$42)-MIN(ROW('03.Muestra'!$D$8:$D$42))+1,""),ROW()-208)),"")</f>
        <v/>
      </c>
      <c r="D231" s="130" t="str">
        <f t="shared" si="11"/>
        <v/>
      </c>
      <c r="E231" s="107" t="str">
        <f t="shared" si="10"/>
        <v/>
      </c>
      <c r="F231" s="19"/>
      <c r="G231" s="19"/>
      <c r="H231" s="19"/>
      <c r="I231" s="19"/>
      <c r="J231" s="19"/>
      <c r="K231" s="233"/>
      <c r="L231" s="19"/>
      <c r="M231" s="19"/>
      <c r="N231" s="19"/>
      <c r="O231" s="19"/>
      <c r="P231" s="19"/>
      <c r="Q231" s="19"/>
      <c r="R231" s="19"/>
      <c r="S231" s="19"/>
      <c r="T231" s="19"/>
      <c r="U231" s="19"/>
      <c r="V231" s="19"/>
      <c r="W231" s="19"/>
      <c r="X231" s="19"/>
      <c r="Y231" s="19"/>
    </row>
    <row r="232" spans="1:25" ht="12" customHeight="1">
      <c r="A232" s="219" t="str" cm="1">
        <f t="array" ref="A232">IFERROR(INDEX('03.Muestra'!$B$8:$B$42,SMALL(IF("Documento no web"='03.Muestra'!$D$8:$D$42,ROW('03.Muestra'!$B$8:$B$42)-MIN(ROW('03.Muestra'!$D$8:$D$42))+1,""),ROW()-208)),"")</f>
        <v/>
      </c>
      <c r="B232" s="114" t="str" cm="1">
        <f t="array" ref="B232">IFERROR(INDEX('03.Muestra'!$C$8:$C$42,SMALL(IF("Documento no web"='03.Muestra'!$D$8:$D$42,ROW('03.Muestra'!$C$8:$C$42)-MIN(ROW('03.Muestra'!$D$8:$D$42))+1,""),ROW()-208)),"")</f>
        <v/>
      </c>
      <c r="C232" s="114" t="str" cm="1">
        <f t="array" ref="C232">IFERROR(INDEX('03.Muestra'!$F$8:$F$42,SMALL(IF("Documento no web"='03.Muestra'!$D$8:$D$42,ROW('03.Muestra'!$F$8:$F$42)-MIN(ROW('03.Muestra'!$D$8:$D$42))+1,""),ROW()-208)),"")</f>
        <v/>
      </c>
      <c r="D232" s="130" t="str">
        <f t="shared" si="11"/>
        <v/>
      </c>
      <c r="E232" s="107" t="str">
        <f t="shared" si="10"/>
        <v/>
      </c>
      <c r="F232" s="19"/>
      <c r="G232" s="19"/>
      <c r="H232" s="19"/>
      <c r="I232" s="19"/>
      <c r="J232" s="19"/>
      <c r="K232" s="233"/>
      <c r="L232" s="19"/>
      <c r="M232" s="19"/>
      <c r="N232" s="19"/>
      <c r="O232" s="19"/>
      <c r="P232" s="19"/>
      <c r="Q232" s="19"/>
      <c r="R232" s="19"/>
      <c r="S232" s="19"/>
      <c r="T232" s="19"/>
      <c r="U232" s="19"/>
      <c r="V232" s="19"/>
      <c r="W232" s="19"/>
      <c r="X232" s="19"/>
      <c r="Y232" s="19"/>
    </row>
    <row r="233" spans="1:25" ht="12" customHeight="1">
      <c r="A233" s="219" t="str" cm="1">
        <f t="array" ref="A233">IFERROR(INDEX('03.Muestra'!$B$8:$B$42,SMALL(IF("Documento no web"='03.Muestra'!$D$8:$D$42,ROW('03.Muestra'!$B$8:$B$42)-MIN(ROW('03.Muestra'!$D$8:$D$42))+1,""),ROW()-208)),"")</f>
        <v/>
      </c>
      <c r="B233" s="114" t="str" cm="1">
        <f t="array" ref="B233">IFERROR(INDEX('03.Muestra'!$C$8:$C$42,SMALL(IF("Documento no web"='03.Muestra'!$D$8:$D$42,ROW('03.Muestra'!$C$8:$C$42)-MIN(ROW('03.Muestra'!$D$8:$D$42))+1,""),ROW()-208)),"")</f>
        <v/>
      </c>
      <c r="C233" s="114" t="str" cm="1">
        <f t="array" ref="C233">IFERROR(INDEX('03.Muestra'!$F$8:$F$42,SMALL(IF("Documento no web"='03.Muestra'!$D$8:$D$42,ROW('03.Muestra'!$F$8:$F$42)-MIN(ROW('03.Muestra'!$D$8:$D$42))+1,""),ROW()-208)),"")</f>
        <v/>
      </c>
      <c r="D233" s="130" t="str">
        <f t="shared" si="11"/>
        <v/>
      </c>
      <c r="E233" s="107" t="str">
        <f t="shared" si="10"/>
        <v/>
      </c>
      <c r="F233" s="19"/>
      <c r="G233" s="19"/>
      <c r="H233" s="19"/>
      <c r="I233" s="19"/>
      <c r="J233" s="19"/>
      <c r="K233" s="233"/>
      <c r="L233" s="19"/>
      <c r="M233" s="19"/>
      <c r="N233" s="19"/>
      <c r="O233" s="19"/>
      <c r="P233" s="19"/>
      <c r="Q233" s="19"/>
      <c r="R233" s="19"/>
      <c r="S233" s="19"/>
      <c r="T233" s="19"/>
      <c r="U233" s="19"/>
      <c r="V233" s="19"/>
      <c r="W233" s="19"/>
      <c r="X233" s="19"/>
      <c r="Y233" s="19"/>
    </row>
    <row r="234" spans="1:25" ht="12" customHeight="1">
      <c r="A234" s="219" t="str" cm="1">
        <f t="array" ref="A234">IFERROR(INDEX('03.Muestra'!$B$8:$B$42,SMALL(IF("Documento no web"='03.Muestra'!$D$8:$D$42,ROW('03.Muestra'!$B$8:$B$42)-MIN(ROW('03.Muestra'!$D$8:$D$42))+1,""),ROW()-208)),"")</f>
        <v/>
      </c>
      <c r="B234" s="114" t="str" cm="1">
        <f t="array" ref="B234">IFERROR(INDEX('03.Muestra'!$C$8:$C$42,SMALL(IF("Documento no web"='03.Muestra'!$D$8:$D$42,ROW('03.Muestra'!$C$8:$C$42)-MIN(ROW('03.Muestra'!$D$8:$D$42))+1,""),ROW()-208)),"")</f>
        <v/>
      </c>
      <c r="C234" s="114" t="str" cm="1">
        <f t="array" ref="C234">IFERROR(INDEX('03.Muestra'!$F$8:$F$42,SMALL(IF("Documento no web"='03.Muestra'!$D$8:$D$42,ROW('03.Muestra'!$F$8:$F$42)-MIN(ROW('03.Muestra'!$D$8:$D$42))+1,""),ROW()-208)),"")</f>
        <v/>
      </c>
      <c r="D234" s="130" t="str">
        <f t="shared" si="11"/>
        <v/>
      </c>
      <c r="E234" s="107" t="str">
        <f t="shared" si="10"/>
        <v/>
      </c>
      <c r="F234" s="19"/>
      <c r="G234" s="19"/>
      <c r="H234" s="19"/>
      <c r="I234" s="19"/>
      <c r="J234" s="19"/>
      <c r="K234" s="233"/>
      <c r="L234" s="19"/>
      <c r="M234" s="19"/>
      <c r="N234" s="19"/>
      <c r="O234" s="19"/>
      <c r="P234" s="19"/>
      <c r="Q234" s="19"/>
      <c r="R234" s="19"/>
      <c r="S234" s="19"/>
      <c r="T234" s="19"/>
      <c r="U234" s="19"/>
      <c r="V234" s="19"/>
      <c r="W234" s="19"/>
      <c r="X234" s="19"/>
      <c r="Y234" s="19"/>
    </row>
    <row r="235" spans="1:25" ht="12" customHeight="1">
      <c r="A235" s="219" t="str" cm="1">
        <f t="array" ref="A235">IFERROR(INDEX('03.Muestra'!$B$8:$B$42,SMALL(IF("Documento no web"='03.Muestra'!$D$8:$D$42,ROW('03.Muestra'!$B$8:$B$42)-MIN(ROW('03.Muestra'!$D$8:$D$42))+1,""),ROW()-208)),"")</f>
        <v/>
      </c>
      <c r="B235" s="114" t="str" cm="1">
        <f t="array" ref="B235">IFERROR(INDEX('03.Muestra'!$C$8:$C$42,SMALL(IF("Documento no web"='03.Muestra'!$D$8:$D$42,ROW('03.Muestra'!$C$8:$C$42)-MIN(ROW('03.Muestra'!$D$8:$D$42))+1,""),ROW()-208)),"")</f>
        <v/>
      </c>
      <c r="C235" s="114" t="str" cm="1">
        <f t="array" ref="C235">IFERROR(INDEX('03.Muestra'!$F$8:$F$42,SMALL(IF("Documento no web"='03.Muestra'!$D$8:$D$42,ROW('03.Muestra'!$F$8:$F$42)-MIN(ROW('03.Muestra'!$D$8:$D$42))+1,""),ROW()-208)),"")</f>
        <v/>
      </c>
      <c r="D235" s="130" t="str">
        <f t="shared" si="11"/>
        <v/>
      </c>
      <c r="E235" s="107" t="str">
        <f t="shared" si="10"/>
        <v/>
      </c>
      <c r="F235" s="19"/>
      <c r="G235" s="19"/>
      <c r="H235" s="19"/>
      <c r="I235" s="19"/>
      <c r="J235" s="19"/>
      <c r="K235" s="233"/>
      <c r="L235" s="19"/>
      <c r="M235" s="19"/>
      <c r="N235" s="19"/>
      <c r="O235" s="19"/>
      <c r="P235" s="19"/>
      <c r="Q235" s="19"/>
      <c r="R235" s="19"/>
      <c r="S235" s="19"/>
      <c r="T235" s="19"/>
      <c r="U235" s="19"/>
      <c r="V235" s="19"/>
      <c r="W235" s="19"/>
      <c r="X235" s="19"/>
      <c r="Y235" s="19"/>
    </row>
    <row r="236" spans="1:25" ht="12" customHeight="1">
      <c r="A236" s="219" t="str" cm="1">
        <f t="array" ref="A236">IFERROR(INDEX('03.Muestra'!$B$8:$B$42,SMALL(IF("Documento no web"='03.Muestra'!$D$8:$D$42,ROW('03.Muestra'!$B$8:$B$42)-MIN(ROW('03.Muestra'!$D$8:$D$42))+1,""),ROW()-208)),"")</f>
        <v/>
      </c>
      <c r="B236" s="114" t="str" cm="1">
        <f t="array" ref="B236">IFERROR(INDEX('03.Muestra'!$C$8:$C$42,SMALL(IF("Documento no web"='03.Muestra'!$D$8:$D$42,ROW('03.Muestra'!$C$8:$C$42)-MIN(ROW('03.Muestra'!$D$8:$D$42))+1,""),ROW()-208)),"")</f>
        <v/>
      </c>
      <c r="C236" s="114" t="str" cm="1">
        <f t="array" ref="C236">IFERROR(INDEX('03.Muestra'!$F$8:$F$42,SMALL(IF("Documento no web"='03.Muestra'!$D$8:$D$42,ROW('03.Muestra'!$F$8:$F$42)-MIN(ROW('03.Muestra'!$D$8:$D$42))+1,""),ROW()-208)),"")</f>
        <v/>
      </c>
      <c r="D236" s="130" t="str">
        <f t="shared" si="11"/>
        <v/>
      </c>
      <c r="E236" s="107" t="str">
        <f t="shared" si="10"/>
        <v/>
      </c>
      <c r="G236" s="19"/>
      <c r="H236" s="19"/>
      <c r="I236" s="19"/>
      <c r="J236" s="19"/>
      <c r="K236" s="233"/>
      <c r="L236" s="19"/>
      <c r="M236" s="19"/>
      <c r="N236" s="19"/>
      <c r="O236" s="19"/>
      <c r="P236" s="19"/>
      <c r="Q236" s="19"/>
      <c r="R236" s="19"/>
      <c r="S236" s="19"/>
      <c r="T236" s="19"/>
      <c r="U236" s="19"/>
      <c r="V236" s="19"/>
      <c r="W236" s="19"/>
      <c r="X236" s="19"/>
      <c r="Y236" s="19"/>
    </row>
    <row r="237" spans="1:25" ht="12" customHeight="1">
      <c r="A237" s="219" t="str" cm="1">
        <f t="array" ref="A237">IFERROR(INDEX('03.Muestra'!$B$8:$B$42,SMALL(IF("Documento no web"='03.Muestra'!$D$8:$D$42,ROW('03.Muestra'!$B$8:$B$42)-MIN(ROW('03.Muestra'!$D$8:$D$42))+1,""),ROW()-208)),"")</f>
        <v/>
      </c>
      <c r="B237" s="114" t="str" cm="1">
        <f t="array" ref="B237">IFERROR(INDEX('03.Muestra'!$C$8:$C$42,SMALL(IF("Documento no web"='03.Muestra'!$D$8:$D$42,ROW('03.Muestra'!$C$8:$C$42)-MIN(ROW('03.Muestra'!$D$8:$D$42))+1,""),ROW()-208)),"")</f>
        <v/>
      </c>
      <c r="C237" s="114" t="str" cm="1">
        <f t="array" ref="C237">IFERROR(INDEX('03.Muestra'!$F$8:$F$42,SMALL(IF("Documento no web"='03.Muestra'!$D$8:$D$42,ROW('03.Muestra'!$F$8:$F$42)-MIN(ROW('03.Muestra'!$D$8:$D$42))+1,""),ROW()-208)),"")</f>
        <v/>
      </c>
      <c r="D237" s="130" t="str">
        <f t="shared" si="11"/>
        <v/>
      </c>
      <c r="E237" s="107" t="str">
        <f t="shared" si="10"/>
        <v/>
      </c>
      <c r="F237" s="124"/>
      <c r="G237" s="19"/>
      <c r="H237" s="19"/>
      <c r="I237" s="19"/>
      <c r="J237" s="19"/>
      <c r="K237" s="233"/>
      <c r="L237" s="19"/>
      <c r="M237" s="19"/>
      <c r="N237" s="19"/>
      <c r="O237" s="19"/>
      <c r="P237" s="19"/>
      <c r="Q237" s="19"/>
      <c r="R237" s="19"/>
      <c r="S237" s="19"/>
      <c r="T237" s="19"/>
      <c r="U237" s="19"/>
      <c r="V237" s="19"/>
      <c r="W237" s="19"/>
      <c r="X237" s="19"/>
      <c r="Y237" s="19"/>
    </row>
    <row r="238" spans="1:25" ht="12" customHeight="1">
      <c r="A238" s="219" t="str" cm="1">
        <f t="array" ref="A238">IFERROR(INDEX('03.Muestra'!$B$8:$B$42,SMALL(IF("Documento no web"='03.Muestra'!$D$8:$D$42,ROW('03.Muestra'!$B$8:$B$42)-MIN(ROW('03.Muestra'!$D$8:$D$42))+1,""),ROW()-208)),"")</f>
        <v/>
      </c>
      <c r="B238" s="114" t="str" cm="1">
        <f t="array" ref="B238">IFERROR(INDEX('03.Muestra'!$C$8:$C$42,SMALL(IF("Documento no web"='03.Muestra'!$D$8:$D$42,ROW('03.Muestra'!$C$8:$C$42)-MIN(ROW('03.Muestra'!$D$8:$D$42))+1,""),ROW()-208)),"")</f>
        <v/>
      </c>
      <c r="C238" s="114" t="str" cm="1">
        <f t="array" ref="C238">IFERROR(INDEX('03.Muestra'!$F$8:$F$42,SMALL(IF("Documento no web"='03.Muestra'!$D$8:$D$42,ROW('03.Muestra'!$F$8:$F$42)-MIN(ROW('03.Muestra'!$D$8:$D$42))+1,""),ROW()-208)),"")</f>
        <v/>
      </c>
      <c r="D238" s="130" t="str">
        <f t="shared" si="11"/>
        <v/>
      </c>
      <c r="E238" s="107" t="str">
        <f t="shared" si="10"/>
        <v/>
      </c>
      <c r="F238" s="124"/>
      <c r="G238" s="19"/>
      <c r="H238" s="19"/>
      <c r="I238" s="19"/>
      <c r="J238" s="19"/>
      <c r="K238" s="233"/>
      <c r="L238" s="19"/>
      <c r="M238" s="19"/>
      <c r="N238" s="19"/>
      <c r="O238" s="19"/>
      <c r="P238" s="19"/>
      <c r="Q238" s="19"/>
      <c r="R238" s="19"/>
      <c r="S238" s="19"/>
      <c r="T238" s="19"/>
      <c r="U238" s="19"/>
      <c r="V238" s="19"/>
      <c r="W238" s="19"/>
      <c r="X238" s="19"/>
      <c r="Y238" s="19"/>
    </row>
    <row r="239" spans="1:25" ht="12" customHeight="1">
      <c r="A239" s="219" t="str" cm="1">
        <f t="array" ref="A239">IFERROR(INDEX('03.Muestra'!$B$8:$B$42,SMALL(IF("Documento no web"='03.Muestra'!$D$8:$D$42,ROW('03.Muestra'!$B$8:$B$42)-MIN(ROW('03.Muestra'!$D$8:$D$42))+1,""),ROW()-208)),"")</f>
        <v/>
      </c>
      <c r="B239" s="114" t="str" cm="1">
        <f t="array" ref="B239">IFERROR(INDEX('03.Muestra'!$C$8:$C$42,SMALL(IF("Documento no web"='03.Muestra'!$D$8:$D$42,ROW('03.Muestra'!$C$8:$C$42)-MIN(ROW('03.Muestra'!$D$8:$D$42))+1,""),ROW()-208)),"")</f>
        <v/>
      </c>
      <c r="C239" s="114" t="str" cm="1">
        <f t="array" ref="C239">IFERROR(INDEX('03.Muestra'!$F$8:$F$42,SMALL(IF("Documento no web"='03.Muestra'!$D$8:$D$42,ROW('03.Muestra'!$F$8:$F$42)-MIN(ROW('03.Muestra'!$D$8:$D$42))+1,""),ROW()-208)),"")</f>
        <v/>
      </c>
      <c r="D239" s="130" t="str">
        <f t="shared" si="11"/>
        <v/>
      </c>
      <c r="E239" s="107" t="str">
        <f t="shared" si="10"/>
        <v/>
      </c>
      <c r="F239" s="124"/>
      <c r="G239" s="19"/>
      <c r="H239" s="19"/>
      <c r="I239" s="19"/>
      <c r="J239" s="19"/>
      <c r="K239" s="233"/>
      <c r="L239" s="19"/>
      <c r="M239" s="19"/>
      <c r="N239" s="19"/>
      <c r="O239" s="19"/>
      <c r="P239" s="19"/>
      <c r="Q239" s="19"/>
      <c r="R239" s="19"/>
      <c r="S239" s="19"/>
      <c r="T239" s="19"/>
      <c r="U239" s="19"/>
      <c r="V239" s="19"/>
      <c r="W239" s="19"/>
      <c r="X239" s="19"/>
      <c r="Y239" s="19"/>
    </row>
    <row r="240" spans="1:25" ht="12" customHeight="1">
      <c r="A240" s="219" t="str" cm="1">
        <f t="array" ref="A240">IFERROR(INDEX('03.Muestra'!$B$8:$B$42,SMALL(IF("Documento no web"='03.Muestra'!$D$8:$D$42,ROW('03.Muestra'!$B$8:$B$42)-MIN(ROW('03.Muestra'!$D$8:$D$42))+1,""),ROW()-208)),"")</f>
        <v/>
      </c>
      <c r="B240" s="114" t="str" cm="1">
        <f t="array" ref="B240">IFERROR(INDEX('03.Muestra'!$C$8:$C$42,SMALL(IF("Documento no web"='03.Muestra'!$D$8:$D$42,ROW('03.Muestra'!$C$8:$C$42)-MIN(ROW('03.Muestra'!$D$8:$D$42))+1,""),ROW()-208)),"")</f>
        <v/>
      </c>
      <c r="C240" s="114" t="str" cm="1">
        <f t="array" ref="C240">IFERROR(INDEX('03.Muestra'!$F$8:$F$42,SMALL(IF("Documento no web"='03.Muestra'!$D$8:$D$42,ROW('03.Muestra'!$F$8:$F$42)-MIN(ROW('03.Muestra'!$D$8:$D$42))+1,""),ROW()-208)),"")</f>
        <v/>
      </c>
      <c r="D240" s="130" t="str">
        <f t="shared" si="11"/>
        <v/>
      </c>
      <c r="E240" s="107" t="str">
        <f t="shared" si="10"/>
        <v/>
      </c>
      <c r="F240" s="124"/>
      <c r="G240" s="19"/>
      <c r="H240" s="19"/>
      <c r="I240" s="19"/>
      <c r="J240" s="19"/>
      <c r="K240" s="233"/>
      <c r="L240" s="19"/>
      <c r="M240" s="19"/>
      <c r="N240" s="19"/>
      <c r="O240" s="19"/>
      <c r="P240" s="19"/>
      <c r="Q240" s="19"/>
      <c r="R240" s="19"/>
      <c r="S240" s="19"/>
      <c r="T240" s="19"/>
      <c r="U240" s="19"/>
      <c r="V240" s="19"/>
      <c r="W240" s="19"/>
      <c r="X240" s="19"/>
      <c r="Y240" s="19"/>
    </row>
    <row r="241" spans="1:25" ht="12" customHeight="1">
      <c r="A241" s="219" t="str" cm="1">
        <f t="array" ref="A241">IFERROR(INDEX('03.Muestra'!$B$8:$B$42,SMALL(IF("Documento no web"='03.Muestra'!$D$8:$D$42,ROW('03.Muestra'!$B$8:$B$42)-MIN(ROW('03.Muestra'!$D$8:$D$42))+1,""),ROW()-208)),"")</f>
        <v/>
      </c>
      <c r="B241" s="114" t="str" cm="1">
        <f t="array" ref="B241">IFERROR(INDEX('03.Muestra'!$C$8:$C$42,SMALL(IF("Documento no web"='03.Muestra'!$D$8:$D$42,ROW('03.Muestra'!$C$8:$C$42)-MIN(ROW('03.Muestra'!$D$8:$D$42))+1,""),ROW()-208)),"")</f>
        <v/>
      </c>
      <c r="C241" s="114" t="str" cm="1">
        <f t="array" ref="C241">IFERROR(INDEX('03.Muestra'!$F$8:$F$42,SMALL(IF("Documento no web"='03.Muestra'!$D$8:$D$42,ROW('03.Muestra'!$F$8:$F$42)-MIN(ROW('03.Muestra'!$D$8:$D$42))+1,""),ROW()-208)),"")</f>
        <v/>
      </c>
      <c r="D241" s="130" t="str">
        <f t="shared" si="11"/>
        <v/>
      </c>
      <c r="E241" s="107" t="str">
        <f t="shared" si="10"/>
        <v/>
      </c>
      <c r="F241" s="124"/>
      <c r="G241" s="19"/>
      <c r="H241" s="19"/>
      <c r="I241" s="19"/>
      <c r="J241" s="19"/>
      <c r="K241" s="233"/>
      <c r="L241" s="19"/>
      <c r="M241" s="19"/>
      <c r="N241" s="19"/>
      <c r="O241" s="19"/>
      <c r="P241" s="19"/>
      <c r="Q241" s="19"/>
      <c r="R241" s="19"/>
      <c r="S241" s="19"/>
      <c r="T241" s="19"/>
      <c r="U241" s="19"/>
      <c r="V241" s="19"/>
      <c r="W241" s="19"/>
      <c r="X241" s="19"/>
      <c r="Y241" s="19"/>
    </row>
    <row r="242" spans="1:25" ht="12" customHeight="1">
      <c r="A242" s="219" t="str" cm="1">
        <f t="array" ref="A242">IFERROR(INDEX('03.Muestra'!$B$8:$B$42,SMALL(IF("Documento no web"='03.Muestra'!$D$8:$D$42,ROW('03.Muestra'!$B$8:$B$42)-MIN(ROW('03.Muestra'!$D$8:$D$42))+1,""),ROW()-208)),"")</f>
        <v/>
      </c>
      <c r="B242" s="114" t="str" cm="1">
        <f t="array" ref="B242">IFERROR(INDEX('03.Muestra'!$C$8:$C$42,SMALL(IF("Documento no web"='03.Muestra'!$D$8:$D$42,ROW('03.Muestra'!$C$8:$C$42)-MIN(ROW('03.Muestra'!$D$8:$D$42))+1,""),ROW()-208)),"")</f>
        <v/>
      </c>
      <c r="C242" s="114" t="str" cm="1">
        <f t="array" ref="C242">IFERROR(INDEX('03.Muestra'!$F$8:$F$42,SMALL(IF("Documento no web"='03.Muestra'!$D$8:$D$42,ROW('03.Muestra'!$F$8:$F$42)-MIN(ROW('03.Muestra'!$D$8:$D$42))+1,""),ROW()-208)),"")</f>
        <v/>
      </c>
      <c r="D242" s="130" t="str">
        <f t="shared" si="11"/>
        <v/>
      </c>
      <c r="E242" s="107" t="str">
        <f t="shared" si="10"/>
        <v/>
      </c>
      <c r="F242" s="124"/>
      <c r="G242" s="19"/>
      <c r="H242" s="19"/>
      <c r="I242" s="19"/>
      <c r="J242" s="19"/>
      <c r="K242" s="233"/>
      <c r="L242" s="19"/>
      <c r="M242" s="19"/>
      <c r="N242" s="19"/>
      <c r="O242" s="19"/>
      <c r="P242" s="19"/>
      <c r="Q242" s="19"/>
      <c r="R242" s="19"/>
      <c r="S242" s="19"/>
      <c r="T242" s="19"/>
      <c r="U242" s="19"/>
      <c r="V242" s="19"/>
      <c r="W242" s="19"/>
      <c r="X242" s="19"/>
      <c r="Y242" s="19"/>
    </row>
    <row r="243" spans="1:25" ht="12" customHeight="1">
      <c r="A243" s="219" t="str" cm="1">
        <f t="array" ref="A243">IFERROR(INDEX('03.Muestra'!$B$8:$B$42,SMALL(IF("Documento no web"='03.Muestra'!$D$8:$D$42,ROW('03.Muestra'!$B$8:$B$42)-MIN(ROW('03.Muestra'!$D$8:$D$42))+1,""),ROW()-208)),"")</f>
        <v/>
      </c>
      <c r="B243" s="114" t="str" cm="1">
        <f t="array" ref="B243">IFERROR(INDEX('03.Muestra'!$C$8:$C$42,SMALL(IF("Documento no web"='03.Muestra'!$D$8:$D$42,ROW('03.Muestra'!$C$8:$C$42)-MIN(ROW('03.Muestra'!$D$8:$D$42))+1,""),ROW()-208)),"")</f>
        <v/>
      </c>
      <c r="C243" s="114" t="str" cm="1">
        <f t="array" ref="C243">IFERROR(INDEX('03.Muestra'!$F$8:$F$42,SMALL(IF("Documento no web"='03.Muestra'!$D$8:$D$42,ROW('03.Muestra'!$F$8:$F$42)-MIN(ROW('03.Muestra'!$D$8:$D$42))+1,""),ROW()-208)),"")</f>
        <v/>
      </c>
      <c r="D243" s="130" t="str">
        <f t="shared" si="11"/>
        <v/>
      </c>
      <c r="E243" s="107" t="str">
        <f t="shared" si="10"/>
        <v/>
      </c>
      <c r="F243" s="19"/>
      <c r="G243" s="19"/>
      <c r="H243" s="19"/>
      <c r="I243" s="19"/>
      <c r="J243" s="19"/>
      <c r="K243" s="233"/>
      <c r="L243" s="19"/>
      <c r="M243" s="19"/>
      <c r="N243" s="19"/>
      <c r="O243" s="19"/>
      <c r="P243" s="19"/>
      <c r="Q243" s="19"/>
      <c r="R243" s="19"/>
      <c r="S243" s="19"/>
      <c r="T243" s="19"/>
      <c r="U243" s="19"/>
      <c r="V243" s="19"/>
      <c r="W243" s="19"/>
      <c r="X243" s="19"/>
      <c r="Y243" s="19"/>
    </row>
    <row r="244" spans="1:25" ht="12" customHeight="1">
      <c r="B244" s="19"/>
      <c r="C244" s="19"/>
      <c r="D244" s="107"/>
      <c r="E244" s="107"/>
      <c r="F244" s="19"/>
      <c r="G244" s="19"/>
      <c r="H244" s="19"/>
      <c r="I244" s="19"/>
      <c r="J244" s="19"/>
      <c r="K244" s="233"/>
      <c r="L244" s="19"/>
      <c r="M244" s="19"/>
      <c r="N244" s="19"/>
      <c r="O244" s="19"/>
      <c r="P244" s="19"/>
      <c r="Q244" s="19"/>
      <c r="R244" s="19"/>
      <c r="S244" s="19"/>
      <c r="T244" s="19"/>
      <c r="U244" s="19"/>
      <c r="V244" s="19"/>
      <c r="W244" s="19"/>
      <c r="X244" s="19"/>
      <c r="Y244" s="19"/>
    </row>
    <row r="245" spans="1:25" ht="12" customHeight="1">
      <c r="B245" s="19"/>
      <c r="C245" s="19"/>
      <c r="D245" s="107"/>
      <c r="E245" s="112"/>
      <c r="F245" s="19"/>
      <c r="G245" s="19"/>
      <c r="H245" s="19"/>
      <c r="I245" s="19"/>
      <c r="J245" s="19"/>
      <c r="K245" s="233"/>
      <c r="L245" s="19"/>
      <c r="M245" s="19"/>
      <c r="N245" s="19"/>
      <c r="O245" s="19"/>
      <c r="P245" s="19"/>
      <c r="Q245" s="19"/>
      <c r="R245" s="19"/>
      <c r="S245" s="19"/>
      <c r="T245" s="19"/>
      <c r="U245" s="19"/>
      <c r="V245" s="19"/>
      <c r="W245" s="19"/>
      <c r="X245" s="19"/>
      <c r="Y245" s="19"/>
    </row>
    <row r="246" spans="1:25" ht="32.25" customHeight="1">
      <c r="A246" s="218" t="s">
        <v>268</v>
      </c>
      <c r="B246" s="24" t="s">
        <v>90</v>
      </c>
      <c r="C246" s="25" t="s">
        <v>428</v>
      </c>
      <c r="D246" s="26" t="s">
        <v>32</v>
      </c>
      <c r="E246" s="123"/>
      <c r="K246" s="233"/>
      <c r="L246" s="19"/>
      <c r="M246" s="19"/>
      <c r="N246" s="19"/>
      <c r="O246" s="19"/>
      <c r="P246" s="19"/>
      <c r="Q246" s="19"/>
      <c r="R246" s="19"/>
      <c r="S246" s="19"/>
      <c r="T246" s="19"/>
      <c r="U246" s="19"/>
      <c r="V246" s="19"/>
      <c r="W246" s="19"/>
      <c r="X246" s="19"/>
      <c r="Y246" s="19"/>
    </row>
    <row r="247" spans="1:25" ht="12" customHeight="1">
      <c r="A247" s="219" t="n" cm="1">
        <f t="array" ref="A247">IFERROR(INDEX('03.Muestra'!$B$8:$B$42,SMALL(IF("Documento no web"='03.Muestra'!$D$8:$D$42,ROW('03.Muestra'!$B$8:$B$42)-MIN(ROW('03.Muestra'!$D$8:$D$42))+1,""),ROW()-246)),"")</f>
        <v>1.0</v>
      </c>
      <c r="B247" s="114" t="str" cm="1">
        <f t="array" ref="B247">IFERROR(INDEX('03.Muestra'!$C$8:$C$42,SMALL(IF("Documento no web"='03.Muestra'!$D$8:$D$42,ROW('03.Muestra'!$C$8:$C$42)-MIN(ROW('03.Muestra'!$D$8:$D$42))+1,""),ROW()-246)),"")</f>
        <v>Home - PortCastelló</v>
      </c>
      <c r="C247" s="114" t="str" cm="1">
        <f t="array" ref="C247">IFERROR(INDEX('03.Muestra'!$F$8:$F$42,SMALL(IF("Documento no web"='03.Muestra'!$D$8:$D$42,ROW('03.Muestra'!$F$8:$F$42)-MIN(ROW('03.Muestra'!$D$8:$D$42))+1,""),ROW()-246)),"")</f>
        <v>https://www.portcastello.com/</v>
      </c>
      <c r="D247" s="130" t="s">
        <v>33</v>
      </c>
      <c r="E247" s="107" t="str">
        <f t="shared" ref="E247:E281" si="12">IF(D247&lt;&gt;"",IF(AND(B247&lt;&gt;"",C247&lt;&gt;""),"","ERR"),"")</f>
        <v/>
      </c>
      <c r="F247" s="115" t="s">
        <v>33</v>
      </c>
      <c r="G247" s="116" t="s">
        <v>37</v>
      </c>
      <c r="H247" s="117" t="s">
        <v>35</v>
      </c>
      <c r="I247" s="118" t="s">
        <v>28</v>
      </c>
      <c r="J247" s="119" t="s">
        <v>26</v>
      </c>
      <c r="K247" s="226" t="s">
        <v>474</v>
      </c>
      <c r="L247" s="19"/>
      <c r="M247" s="19"/>
      <c r="N247" s="19"/>
      <c r="O247" s="19"/>
      <c r="P247" s="19"/>
      <c r="Q247" s="19"/>
      <c r="R247" s="19"/>
      <c r="S247" s="19"/>
      <c r="T247" s="19"/>
      <c r="U247" s="19"/>
      <c r="V247" s="19"/>
      <c r="W247" s="19"/>
      <c r="X247" s="19"/>
      <c r="Y247" s="19"/>
    </row>
    <row r="248" spans="1:25" ht="12" customHeight="1">
      <c r="A248" s="219" t="n" cm="1">
        <f t="array" ref="A248">IFERROR(INDEX('03.Muestra'!$B$8:$B$42,SMALL(IF("Documento no web"='03.Muestra'!$D$8:$D$42,ROW('03.Muestra'!$B$8:$B$42)-MIN(ROW('03.Muestra'!$D$8:$D$42))+1,""),ROW()-246)),"")</f>
        <v>1.0</v>
      </c>
      <c r="B248" s="114" t="str" cm="1">
        <f t="array" ref="B248">IFERROR(INDEX('03.Muestra'!$C$8:$C$42,SMALL(IF("Documento no web"='03.Muestra'!$D$8:$D$42,ROW('03.Muestra'!$C$8:$C$42)-MIN(ROW('03.Muestra'!$D$8:$D$42))+1,""),ROW()-246)),"")</f>
        <v>Home - PortCastelló</v>
      </c>
      <c r="C248" s="114" t="str" cm="1">
        <f t="array" ref="C248">IFERROR(INDEX('03.Muestra'!$F$8:$F$42,SMALL(IF("Documento no web"='03.Muestra'!$D$8:$D$42,ROW('03.Muestra'!$F$8:$F$42)-MIN(ROW('03.Muestra'!$D$8:$D$42))+1,""),ROW()-246)),"")</f>
        <v>https://www.portcastello.com/</v>
      </c>
      <c r="D248" s="130" t="s">
        <v>33</v>
      </c>
      <c r="E248" s="107" t="str">
        <f t="shared" si="12"/>
        <v/>
      </c>
      <c r="F248" s="120" t="n">
        <f ca="1">COUNTIF($D247:INDIRECT("$D" &amp;  SUM(ROW()-1,'03.Muestra'!$D$45)-1),F247)</f>
        <v>2.0</v>
      </c>
      <c r="G248" s="120" t="n">
        <f ca="1">COUNTIF($D247:INDIRECT("$D" &amp;  SUM(ROW()-1,'03.Muestra'!$D$45)-1),G247)</f>
        <v>0.0</v>
      </c>
      <c r="H248" s="120" t="n">
        <f ca="1">COUNTIF($D247:INDIRECT("$D" &amp;  SUM(ROW()-1,'03.Muestra'!$D$45)-1),H247)</f>
        <v>0.0</v>
      </c>
      <c r="I248" s="120" t="n">
        <f ca="1">COUNTIF($D247:INDIRECT("$D" &amp;  SUM(ROW()-1,'03.Muestra'!$D$45)-1),I247)</f>
        <v>0.0</v>
      </c>
      <c r="J248" s="120" t="n">
        <f ca="1">COUNTIF($D247:INDIRECT("$D" &amp;  SUM(ROW()-1,'03.Muestra'!$D$45)-1),J247)</f>
        <v>0.0</v>
      </c>
      <c r="K248" s="227" t="n">
        <f ca="1">IF(COUNTIF('03.Muestra'!$D$8:$D$42,"Documento no web")=0,0,COUNTBLANK($D247:INDIRECT("$D" &amp;  SUM(ROW()-1,COUNTIF('03.Muestra'!$D$8:$D$42,"Documento no web"))-1)))</f>
        <v>0.0</v>
      </c>
      <c r="L248" s="19"/>
      <c r="M248" s="19"/>
      <c r="N248" s="19"/>
      <c r="O248" s="19"/>
      <c r="P248" s="19"/>
      <c r="Q248" s="19"/>
      <c r="R248" s="19"/>
      <c r="S248" s="19"/>
      <c r="T248" s="19"/>
      <c r="U248" s="19"/>
      <c r="V248" s="19"/>
      <c r="W248" s="19"/>
      <c r="X248" s="19"/>
      <c r="Y248" s="19"/>
    </row>
    <row r="249" spans="1:25" ht="12" customHeight="1">
      <c r="A249" s="219" t="str" cm="1">
        <f t="array" ref="A249">IFERROR(INDEX('03.Muestra'!$B$8:$B$42,SMALL(IF("Documento no web"='03.Muestra'!$D$8:$D$42,ROW('03.Muestra'!$B$8:$B$42)-MIN(ROW('03.Muestra'!$D$8:$D$42))+1,""),ROW()-246)),"")</f>
        <v/>
      </c>
      <c r="B249" s="114" t="str" cm="1">
        <f t="array" ref="B249">IFERROR(INDEX('03.Muestra'!$C$8:$C$42,SMALL(IF("Documento no web"='03.Muestra'!$D$8:$D$42,ROW('03.Muestra'!$C$8:$C$42)-MIN(ROW('03.Muestra'!$D$8:$D$42))+1,""),ROW()-246)),"")</f>
        <v/>
      </c>
      <c r="C249" s="114" t="str" cm="1">
        <f t="array" ref="C249">IFERROR(INDEX('03.Muestra'!$F$8:$F$42,SMALL(IF("Documento no web"='03.Muestra'!$D$8:$D$42,ROW('03.Muestra'!$F$8:$F$42)-MIN(ROW('03.Muestra'!$D$8:$D$42))+1,""),ROW()-246)),"")</f>
        <v/>
      </c>
      <c r="D249" s="130" t="str">
        <f t="shared" si="13" ref="D249:D281">IF(AND(B249&lt;&gt;"",C249&lt;&gt;""),"N/T","")</f>
        <v/>
      </c>
      <c r="E249" s="107" t="str">
        <f t="shared" si="12"/>
        <v/>
      </c>
      <c r="G249" s="19"/>
      <c r="H249" s="19"/>
      <c r="I249" s="19"/>
      <c r="J249" s="19"/>
      <c r="K249" s="233"/>
      <c r="L249" s="19"/>
      <c r="M249" s="19"/>
      <c r="N249" s="19"/>
      <c r="O249" s="19"/>
      <c r="P249" s="19"/>
      <c r="Q249" s="19"/>
      <c r="R249" s="19"/>
      <c r="S249" s="19"/>
      <c r="T249" s="19"/>
      <c r="U249" s="19"/>
      <c r="V249" s="19"/>
      <c r="W249" s="19"/>
      <c r="X249" s="19"/>
      <c r="Y249" s="19"/>
    </row>
    <row r="250" spans="1:25" ht="12" customHeight="1">
      <c r="A250" s="219" t="str" cm="1">
        <f t="array" ref="A250">IFERROR(INDEX('03.Muestra'!$B$8:$B$42,SMALL(IF("Documento no web"='03.Muestra'!$D$8:$D$42,ROW('03.Muestra'!$B$8:$B$42)-MIN(ROW('03.Muestra'!$D$8:$D$42))+1,""),ROW()-246)),"")</f>
        <v/>
      </c>
      <c r="B250" s="114" t="str" cm="1">
        <f t="array" ref="B250">IFERROR(INDEX('03.Muestra'!$C$8:$C$42,SMALL(IF("Documento no web"='03.Muestra'!$D$8:$D$42,ROW('03.Muestra'!$C$8:$C$42)-MIN(ROW('03.Muestra'!$D$8:$D$42))+1,""),ROW()-246)),"")</f>
        <v/>
      </c>
      <c r="C250" s="114" t="str" cm="1">
        <f t="array" ref="C250">IFERROR(INDEX('03.Muestra'!$F$8:$F$42,SMALL(IF("Documento no web"='03.Muestra'!$D$8:$D$42,ROW('03.Muestra'!$F$8:$F$42)-MIN(ROW('03.Muestra'!$D$8:$D$42))+1,""),ROW()-246)),"")</f>
        <v/>
      </c>
      <c r="D250" s="130" t="str">
        <f t="shared" si="13"/>
        <v/>
      </c>
      <c r="E250" s="107" t="str">
        <f t="shared" si="12"/>
        <v/>
      </c>
      <c r="G250" s="19"/>
      <c r="H250" s="19"/>
      <c r="I250" s="19"/>
      <c r="J250" s="19"/>
      <c r="K250" s="233"/>
      <c r="L250" s="19"/>
      <c r="M250" s="19"/>
      <c r="N250" s="19"/>
      <c r="O250" s="19"/>
      <c r="P250" s="19"/>
      <c r="Q250" s="19"/>
      <c r="R250" s="19"/>
      <c r="S250" s="19"/>
      <c r="T250" s="19"/>
      <c r="U250" s="19"/>
      <c r="V250" s="19"/>
      <c r="W250" s="19"/>
      <c r="X250" s="19"/>
      <c r="Y250" s="19"/>
    </row>
    <row r="251" spans="1:25" ht="12" customHeight="1">
      <c r="A251" s="219" t="str" cm="1">
        <f t="array" ref="A251">IFERROR(INDEX('03.Muestra'!$B$8:$B$42,SMALL(IF("Documento no web"='03.Muestra'!$D$8:$D$42,ROW('03.Muestra'!$B$8:$B$42)-MIN(ROW('03.Muestra'!$D$8:$D$42))+1,""),ROW()-246)),"")</f>
        <v/>
      </c>
      <c r="B251" s="114" t="str" cm="1">
        <f t="array" ref="B251">IFERROR(INDEX('03.Muestra'!$C$8:$C$42,SMALL(IF("Documento no web"='03.Muestra'!$D$8:$D$42,ROW('03.Muestra'!$C$8:$C$42)-MIN(ROW('03.Muestra'!$D$8:$D$42))+1,""),ROW()-246)),"")</f>
        <v/>
      </c>
      <c r="C251" s="114" t="str" cm="1">
        <f t="array" ref="C251">IFERROR(INDEX('03.Muestra'!$F$8:$F$42,SMALL(IF("Documento no web"='03.Muestra'!$D$8:$D$42,ROW('03.Muestra'!$F$8:$F$42)-MIN(ROW('03.Muestra'!$D$8:$D$42))+1,""),ROW()-246)),"")</f>
        <v/>
      </c>
      <c r="D251" s="130" t="str">
        <f t="shared" si="13"/>
        <v/>
      </c>
      <c r="E251" s="107" t="str">
        <f t="shared" si="12"/>
        <v/>
      </c>
      <c r="G251" s="19"/>
      <c r="H251" s="19"/>
      <c r="I251" s="19"/>
      <c r="J251" s="19"/>
      <c r="K251" s="233"/>
      <c r="L251" s="19"/>
      <c r="M251" s="19"/>
      <c r="N251" s="19"/>
      <c r="O251" s="19"/>
      <c r="P251" s="19"/>
      <c r="Q251" s="19"/>
      <c r="R251" s="19"/>
      <c r="S251" s="19"/>
      <c r="T251" s="19"/>
      <c r="U251" s="19"/>
      <c r="V251" s="19"/>
      <c r="W251" s="19"/>
      <c r="X251" s="19"/>
      <c r="Y251" s="19"/>
    </row>
    <row r="252" spans="1:25" ht="12" customHeight="1">
      <c r="A252" s="219" t="str" cm="1">
        <f t="array" ref="A252">IFERROR(INDEX('03.Muestra'!$B$8:$B$42,SMALL(IF("Documento no web"='03.Muestra'!$D$8:$D$42,ROW('03.Muestra'!$B$8:$B$42)-MIN(ROW('03.Muestra'!$D$8:$D$42))+1,""),ROW()-246)),"")</f>
        <v/>
      </c>
      <c r="B252" s="114" t="str" cm="1">
        <f t="array" ref="B252">IFERROR(INDEX('03.Muestra'!$C$8:$C$42,SMALL(IF("Documento no web"='03.Muestra'!$D$8:$D$42,ROW('03.Muestra'!$C$8:$C$42)-MIN(ROW('03.Muestra'!$D$8:$D$42))+1,""),ROW()-246)),"")</f>
        <v/>
      </c>
      <c r="C252" s="114" t="str" cm="1">
        <f t="array" ref="C252">IFERROR(INDEX('03.Muestra'!$F$8:$F$42,SMALL(IF("Documento no web"='03.Muestra'!$D$8:$D$42,ROW('03.Muestra'!$F$8:$F$42)-MIN(ROW('03.Muestra'!$D$8:$D$42))+1,""),ROW()-246)),"")</f>
        <v/>
      </c>
      <c r="D252" s="130" t="str">
        <f t="shared" si="13"/>
        <v/>
      </c>
      <c r="E252" s="107" t="str">
        <f t="shared" si="12"/>
        <v/>
      </c>
      <c r="G252" s="19"/>
      <c r="H252" s="19"/>
      <c r="I252" s="19"/>
      <c r="J252" s="19"/>
      <c r="K252" s="233"/>
      <c r="L252" s="19"/>
      <c r="M252" s="19"/>
      <c r="N252" s="19"/>
      <c r="O252" s="19"/>
      <c r="P252" s="19"/>
      <c r="Q252" s="19"/>
      <c r="R252" s="19"/>
      <c r="S252" s="19"/>
      <c r="T252" s="19"/>
      <c r="U252" s="19"/>
      <c r="V252" s="19"/>
      <c r="W252" s="19"/>
      <c r="X252" s="19"/>
      <c r="Y252" s="19"/>
    </row>
    <row r="253" spans="1:25" ht="12" customHeight="1">
      <c r="A253" s="219" t="str" cm="1">
        <f t="array" ref="A253">IFERROR(INDEX('03.Muestra'!$B$8:$B$42,SMALL(IF("Documento no web"='03.Muestra'!$D$8:$D$42,ROW('03.Muestra'!$B$8:$B$42)-MIN(ROW('03.Muestra'!$D$8:$D$42))+1,""),ROW()-246)),"")</f>
        <v/>
      </c>
      <c r="B253" s="114" t="str" cm="1">
        <f t="array" ref="B253">IFERROR(INDEX('03.Muestra'!$C$8:$C$42,SMALL(IF("Documento no web"='03.Muestra'!$D$8:$D$42,ROW('03.Muestra'!$C$8:$C$42)-MIN(ROW('03.Muestra'!$D$8:$D$42))+1,""),ROW()-246)),"")</f>
        <v/>
      </c>
      <c r="C253" s="114" t="str" cm="1">
        <f t="array" ref="C253">IFERROR(INDEX('03.Muestra'!$F$8:$F$42,SMALL(IF("Documento no web"='03.Muestra'!$D$8:$D$42,ROW('03.Muestra'!$F$8:$F$42)-MIN(ROW('03.Muestra'!$D$8:$D$42))+1,""),ROW()-246)),"")</f>
        <v/>
      </c>
      <c r="D253" s="130" t="str">
        <f t="shared" si="13"/>
        <v/>
      </c>
      <c r="E253" s="107" t="str">
        <f t="shared" si="12"/>
        <v/>
      </c>
      <c r="F253" s="19"/>
      <c r="G253" s="19"/>
      <c r="H253" s="19"/>
      <c r="I253" s="19"/>
      <c r="J253" s="19"/>
      <c r="K253" s="233"/>
      <c r="L253" s="19"/>
      <c r="M253" s="19"/>
      <c r="N253" s="19"/>
      <c r="O253" s="19"/>
      <c r="P253" s="19"/>
      <c r="Q253" s="19"/>
      <c r="R253" s="19"/>
      <c r="S253" s="19"/>
      <c r="T253" s="19"/>
      <c r="U253" s="19"/>
      <c r="V253" s="19"/>
      <c r="W253" s="19"/>
      <c r="X253" s="19"/>
      <c r="Y253" s="19"/>
    </row>
    <row r="254" spans="1:25" ht="12" customHeight="1">
      <c r="A254" s="219" t="str" cm="1">
        <f t="array" ref="A254">IFERROR(INDEX('03.Muestra'!$B$8:$B$42,SMALL(IF("Documento no web"='03.Muestra'!$D$8:$D$42,ROW('03.Muestra'!$B$8:$B$42)-MIN(ROW('03.Muestra'!$D$8:$D$42))+1,""),ROW()-246)),"")</f>
        <v/>
      </c>
      <c r="B254" s="114" t="str" cm="1">
        <f t="array" ref="B254">IFERROR(INDEX('03.Muestra'!$C$8:$C$42,SMALL(IF("Documento no web"='03.Muestra'!$D$8:$D$42,ROW('03.Muestra'!$C$8:$C$42)-MIN(ROW('03.Muestra'!$D$8:$D$42))+1,""),ROW()-246)),"")</f>
        <v/>
      </c>
      <c r="C254" s="114" t="str" cm="1">
        <f t="array" ref="C254">IFERROR(INDEX('03.Muestra'!$F$8:$F$42,SMALL(IF("Documento no web"='03.Muestra'!$D$8:$D$42,ROW('03.Muestra'!$F$8:$F$42)-MIN(ROW('03.Muestra'!$D$8:$D$42))+1,""),ROW()-246)),"")</f>
        <v/>
      </c>
      <c r="D254" s="130" t="str">
        <f t="shared" si="13"/>
        <v/>
      </c>
      <c r="E254" s="107" t="str">
        <f t="shared" si="12"/>
        <v/>
      </c>
      <c r="F254" s="19"/>
      <c r="G254" s="19"/>
      <c r="H254" s="19"/>
      <c r="I254" s="19"/>
      <c r="J254" s="19"/>
      <c r="K254" s="233"/>
      <c r="L254" s="19"/>
      <c r="M254" s="19"/>
      <c r="N254" s="19"/>
      <c r="O254" s="19"/>
      <c r="P254" s="19"/>
      <c r="Q254" s="19"/>
      <c r="R254" s="19"/>
      <c r="S254" s="19"/>
      <c r="T254" s="19"/>
      <c r="U254" s="19"/>
      <c r="V254" s="19"/>
      <c r="W254" s="19"/>
      <c r="X254" s="19"/>
      <c r="Y254" s="19"/>
    </row>
    <row r="255" spans="1:25" ht="12" customHeight="1">
      <c r="A255" s="219" t="str" cm="1">
        <f t="array" ref="A255">IFERROR(INDEX('03.Muestra'!$B$8:$B$42,SMALL(IF("Documento no web"='03.Muestra'!$D$8:$D$42,ROW('03.Muestra'!$B$8:$B$42)-MIN(ROW('03.Muestra'!$D$8:$D$42))+1,""),ROW()-246)),"")</f>
        <v/>
      </c>
      <c r="B255" s="114" t="str" cm="1">
        <f t="array" ref="B255">IFERROR(INDEX('03.Muestra'!$C$8:$C$42,SMALL(IF("Documento no web"='03.Muestra'!$D$8:$D$42,ROW('03.Muestra'!$C$8:$C$42)-MIN(ROW('03.Muestra'!$D$8:$D$42))+1,""),ROW()-246)),"")</f>
        <v/>
      </c>
      <c r="C255" s="114" t="str" cm="1">
        <f t="array" ref="C255">IFERROR(INDEX('03.Muestra'!$F$8:$F$42,SMALL(IF("Documento no web"='03.Muestra'!$D$8:$D$42,ROW('03.Muestra'!$F$8:$F$42)-MIN(ROW('03.Muestra'!$D$8:$D$42))+1,""),ROW()-246)),"")</f>
        <v/>
      </c>
      <c r="D255" s="130" t="str">
        <f t="shared" si="13"/>
        <v/>
      </c>
      <c r="E255" s="107" t="str">
        <f t="shared" si="12"/>
        <v/>
      </c>
      <c r="F255" s="19"/>
      <c r="G255" s="19"/>
      <c r="H255" s="19"/>
      <c r="I255" s="19"/>
      <c r="J255" s="19"/>
      <c r="K255" s="233"/>
      <c r="L255" s="19"/>
      <c r="M255" s="19"/>
      <c r="N255" s="19"/>
      <c r="O255" s="19"/>
      <c r="P255" s="19"/>
      <c r="Q255" s="19"/>
      <c r="R255" s="19"/>
      <c r="S255" s="19"/>
      <c r="T255" s="19"/>
      <c r="U255" s="19"/>
      <c r="V255" s="19"/>
      <c r="W255" s="19"/>
      <c r="X255" s="19"/>
      <c r="Y255" s="19"/>
    </row>
    <row r="256" spans="1:25" ht="12" customHeight="1">
      <c r="A256" s="219" t="str" cm="1">
        <f t="array" ref="A256">IFERROR(INDEX('03.Muestra'!$B$8:$B$42,SMALL(IF("Documento no web"='03.Muestra'!$D$8:$D$42,ROW('03.Muestra'!$B$8:$B$42)-MIN(ROW('03.Muestra'!$D$8:$D$42))+1,""),ROW()-246)),"")</f>
        <v/>
      </c>
      <c r="B256" s="114" t="str" cm="1">
        <f t="array" ref="B256">IFERROR(INDEX('03.Muestra'!$C$8:$C$42,SMALL(IF("Documento no web"='03.Muestra'!$D$8:$D$42,ROW('03.Muestra'!$C$8:$C$42)-MIN(ROW('03.Muestra'!$D$8:$D$42))+1,""),ROW()-246)),"")</f>
        <v/>
      </c>
      <c r="C256" s="114" t="str" cm="1">
        <f t="array" ref="C256">IFERROR(INDEX('03.Muestra'!$F$8:$F$42,SMALL(IF("Documento no web"='03.Muestra'!$D$8:$D$42,ROW('03.Muestra'!$F$8:$F$42)-MIN(ROW('03.Muestra'!$D$8:$D$42))+1,""),ROW()-246)),"")</f>
        <v/>
      </c>
      <c r="D256" s="130" t="str">
        <f t="shared" si="13"/>
        <v/>
      </c>
      <c r="E256" s="107" t="str">
        <f t="shared" si="12"/>
        <v/>
      </c>
      <c r="F256" s="19"/>
      <c r="G256" s="19"/>
      <c r="H256" s="19"/>
      <c r="I256" s="19"/>
      <c r="J256" s="19"/>
      <c r="K256" s="233"/>
      <c r="L256" s="19"/>
      <c r="M256" s="19"/>
      <c r="N256" s="19"/>
      <c r="O256" s="19"/>
      <c r="P256" s="19"/>
      <c r="Q256" s="19"/>
      <c r="R256" s="19"/>
      <c r="S256" s="19"/>
      <c r="T256" s="19"/>
      <c r="U256" s="19"/>
      <c r="V256" s="19"/>
      <c r="W256" s="19"/>
      <c r="X256" s="19"/>
      <c r="Y256" s="19"/>
    </row>
    <row r="257" spans="1:25" ht="12" customHeight="1">
      <c r="A257" s="219" t="str" cm="1">
        <f t="array" ref="A257">IFERROR(INDEX('03.Muestra'!$B$8:$B$42,SMALL(IF("Documento no web"='03.Muestra'!$D$8:$D$42,ROW('03.Muestra'!$B$8:$B$42)-MIN(ROW('03.Muestra'!$D$8:$D$42))+1,""),ROW()-246)),"")</f>
        <v/>
      </c>
      <c r="B257" s="114" t="str" cm="1">
        <f t="array" ref="B257">IFERROR(INDEX('03.Muestra'!$C$8:$C$42,SMALL(IF("Documento no web"='03.Muestra'!$D$8:$D$42,ROW('03.Muestra'!$C$8:$C$42)-MIN(ROW('03.Muestra'!$D$8:$D$42))+1,""),ROW()-246)),"")</f>
        <v/>
      </c>
      <c r="C257" s="114" t="str" cm="1">
        <f t="array" ref="C257">IFERROR(INDEX('03.Muestra'!$F$8:$F$42,SMALL(IF("Documento no web"='03.Muestra'!$D$8:$D$42,ROW('03.Muestra'!$F$8:$F$42)-MIN(ROW('03.Muestra'!$D$8:$D$42))+1,""),ROW()-246)),"")</f>
        <v/>
      </c>
      <c r="D257" s="130" t="str">
        <f t="shared" si="13"/>
        <v/>
      </c>
      <c r="E257" s="107" t="str">
        <f t="shared" si="12"/>
        <v/>
      </c>
      <c r="F257" s="19"/>
      <c r="G257" s="19"/>
      <c r="H257" s="19"/>
      <c r="I257" s="19"/>
      <c r="J257" s="19"/>
      <c r="K257" s="233"/>
      <c r="L257" s="19"/>
      <c r="M257" s="19"/>
      <c r="N257" s="19"/>
      <c r="O257" s="19"/>
      <c r="P257" s="19"/>
      <c r="Q257" s="19"/>
      <c r="R257" s="19"/>
      <c r="S257" s="19"/>
      <c r="T257" s="19"/>
      <c r="U257" s="19"/>
      <c r="V257" s="19"/>
      <c r="W257" s="19"/>
      <c r="X257" s="19"/>
      <c r="Y257" s="19"/>
    </row>
    <row r="258" spans="1:25" ht="12" customHeight="1">
      <c r="A258" s="219" t="str" cm="1">
        <f t="array" ref="A258">IFERROR(INDEX('03.Muestra'!$B$8:$B$42,SMALL(IF("Documento no web"='03.Muestra'!$D$8:$D$42,ROW('03.Muestra'!$B$8:$B$42)-MIN(ROW('03.Muestra'!$D$8:$D$42))+1,""),ROW()-246)),"")</f>
        <v/>
      </c>
      <c r="B258" s="114" t="str" cm="1">
        <f t="array" ref="B258">IFERROR(INDEX('03.Muestra'!$C$8:$C$42,SMALL(IF("Documento no web"='03.Muestra'!$D$8:$D$42,ROW('03.Muestra'!$C$8:$C$42)-MIN(ROW('03.Muestra'!$D$8:$D$42))+1,""),ROW()-246)),"")</f>
        <v/>
      </c>
      <c r="C258" s="114" t="str" cm="1">
        <f t="array" ref="C258">IFERROR(INDEX('03.Muestra'!$F$8:$F$42,SMALL(IF("Documento no web"='03.Muestra'!$D$8:$D$42,ROW('03.Muestra'!$F$8:$F$42)-MIN(ROW('03.Muestra'!$D$8:$D$42))+1,""),ROW()-246)),"")</f>
        <v/>
      </c>
      <c r="D258" s="130" t="str">
        <f t="shared" si="13"/>
        <v/>
      </c>
      <c r="E258" s="107" t="str">
        <f t="shared" si="12"/>
        <v/>
      </c>
      <c r="F258" s="19"/>
      <c r="G258" s="19"/>
      <c r="H258" s="19"/>
      <c r="I258" s="19"/>
      <c r="J258" s="19"/>
      <c r="K258" s="233"/>
      <c r="L258" s="19"/>
      <c r="M258" s="19"/>
      <c r="N258" s="19"/>
      <c r="O258" s="19"/>
      <c r="P258" s="19"/>
      <c r="Q258" s="19"/>
      <c r="R258" s="19"/>
      <c r="S258" s="19"/>
      <c r="T258" s="19"/>
      <c r="U258" s="19"/>
      <c r="V258" s="19"/>
      <c r="W258" s="19"/>
      <c r="X258" s="19"/>
      <c r="Y258" s="19"/>
    </row>
    <row r="259" spans="1:25" ht="14.1" customHeight="1">
      <c r="A259" s="219" t="str" cm="1">
        <f t="array" ref="A259">IFERROR(INDEX('03.Muestra'!$B$8:$B$42,SMALL(IF("Documento no web"='03.Muestra'!$D$8:$D$42,ROW('03.Muestra'!$B$8:$B$42)-MIN(ROW('03.Muestra'!$D$8:$D$42))+1,""),ROW()-246)),"")</f>
        <v/>
      </c>
      <c r="B259" s="114" t="str" cm="1">
        <f t="array" ref="B259">IFERROR(INDEX('03.Muestra'!$C$8:$C$42,SMALL(IF("Documento no web"='03.Muestra'!$D$8:$D$42,ROW('03.Muestra'!$C$8:$C$42)-MIN(ROW('03.Muestra'!$D$8:$D$42))+1,""),ROW()-246)),"")</f>
        <v/>
      </c>
      <c r="C259" s="114" t="str" cm="1">
        <f t="array" ref="C259">IFERROR(INDEX('03.Muestra'!$F$8:$F$42,SMALL(IF("Documento no web"='03.Muestra'!$D$8:$D$42,ROW('03.Muestra'!$F$8:$F$42)-MIN(ROW('03.Muestra'!$D$8:$D$42))+1,""),ROW()-246)),"")</f>
        <v/>
      </c>
      <c r="D259" s="130" t="str">
        <f t="shared" si="13"/>
        <v/>
      </c>
      <c r="E259" s="107" t="str">
        <f t="shared" si="12"/>
        <v/>
      </c>
      <c r="F259" s="19"/>
      <c r="G259" s="19"/>
      <c r="H259" s="19"/>
      <c r="I259" s="19"/>
      <c r="J259" s="19"/>
      <c r="K259" s="233"/>
      <c r="L259" s="19"/>
      <c r="M259" s="19"/>
      <c r="N259" s="19"/>
      <c r="O259" s="19"/>
      <c r="P259" s="19"/>
      <c r="Q259" s="19"/>
      <c r="R259" s="19"/>
      <c r="S259" s="19"/>
      <c r="T259" s="19"/>
      <c r="U259" s="19"/>
      <c r="V259" s="19"/>
      <c r="W259" s="19"/>
      <c r="X259" s="19"/>
      <c r="Y259" s="19"/>
    </row>
    <row r="260" spans="1:25" ht="14.1" customHeight="1">
      <c r="A260" s="219" t="str" cm="1">
        <f t="array" ref="A260">IFERROR(INDEX('03.Muestra'!$B$8:$B$42,SMALL(IF("Documento no web"='03.Muestra'!$D$8:$D$42,ROW('03.Muestra'!$B$8:$B$42)-MIN(ROW('03.Muestra'!$D$8:$D$42))+1,""),ROW()-246)),"")</f>
        <v/>
      </c>
      <c r="B260" s="114" t="str" cm="1">
        <f t="array" ref="B260">IFERROR(INDEX('03.Muestra'!$C$8:$C$42,SMALL(IF("Documento no web"='03.Muestra'!$D$8:$D$42,ROW('03.Muestra'!$C$8:$C$42)-MIN(ROW('03.Muestra'!$D$8:$D$42))+1,""),ROW()-246)),"")</f>
        <v/>
      </c>
      <c r="C260" s="114" t="str" cm="1">
        <f t="array" ref="C260">IFERROR(INDEX('03.Muestra'!$F$8:$F$42,SMALL(IF("Documento no web"='03.Muestra'!$D$8:$D$42,ROW('03.Muestra'!$F$8:$F$42)-MIN(ROW('03.Muestra'!$D$8:$D$42))+1,""),ROW()-246)),"")</f>
        <v/>
      </c>
      <c r="D260" s="130" t="str">
        <f t="shared" si="13"/>
        <v/>
      </c>
      <c r="E260" s="107" t="str">
        <f t="shared" si="12"/>
        <v/>
      </c>
      <c r="F260" s="19"/>
      <c r="G260" s="19"/>
      <c r="H260" s="19"/>
      <c r="I260" s="19"/>
      <c r="J260" s="19"/>
      <c r="K260" s="233"/>
      <c r="L260" s="19"/>
      <c r="M260" s="19"/>
      <c r="N260" s="19"/>
      <c r="O260" s="19"/>
      <c r="P260" s="19"/>
      <c r="Q260" s="19"/>
      <c r="R260" s="19"/>
      <c r="S260" s="19"/>
      <c r="T260" s="19"/>
      <c r="U260" s="19"/>
      <c r="V260" s="19"/>
      <c r="W260" s="19"/>
      <c r="X260" s="19"/>
      <c r="Y260" s="19"/>
    </row>
    <row r="261" spans="1:25" ht="14.1" customHeight="1">
      <c r="A261" s="219" t="str" cm="1">
        <f t="array" ref="A261">IFERROR(INDEX('03.Muestra'!$B$8:$B$42,SMALL(IF("Documento no web"='03.Muestra'!$D$8:$D$42,ROW('03.Muestra'!$B$8:$B$42)-MIN(ROW('03.Muestra'!$D$8:$D$42))+1,""),ROW()-246)),"")</f>
        <v/>
      </c>
      <c r="B261" s="114" t="str" cm="1">
        <f t="array" ref="B261">IFERROR(INDEX('03.Muestra'!$C$8:$C$42,SMALL(IF("Documento no web"='03.Muestra'!$D$8:$D$42,ROW('03.Muestra'!$C$8:$C$42)-MIN(ROW('03.Muestra'!$D$8:$D$42))+1,""),ROW()-246)),"")</f>
        <v/>
      </c>
      <c r="C261" s="114" t="str" cm="1">
        <f t="array" ref="C261">IFERROR(INDEX('03.Muestra'!$F$8:$F$42,SMALL(IF("Documento no web"='03.Muestra'!$D$8:$D$42,ROW('03.Muestra'!$F$8:$F$42)-MIN(ROW('03.Muestra'!$D$8:$D$42))+1,""),ROW()-246)),"")</f>
        <v/>
      </c>
      <c r="D261" s="130" t="str">
        <f t="shared" si="13"/>
        <v/>
      </c>
      <c r="E261" s="107" t="str">
        <f t="shared" si="12"/>
        <v/>
      </c>
      <c r="F261" s="19"/>
      <c r="G261" s="19"/>
      <c r="H261" s="19"/>
      <c r="I261" s="19"/>
      <c r="J261" s="19"/>
      <c r="K261" s="233"/>
      <c r="L261" s="19"/>
      <c r="M261" s="19"/>
      <c r="N261" s="19"/>
      <c r="O261" s="19"/>
      <c r="P261" s="19"/>
      <c r="Q261" s="19"/>
      <c r="R261" s="19"/>
      <c r="S261" s="19"/>
      <c r="T261" s="19"/>
      <c r="U261" s="19"/>
      <c r="V261" s="19"/>
      <c r="W261" s="19"/>
      <c r="X261" s="19"/>
      <c r="Y261" s="19"/>
    </row>
    <row r="262" spans="1:25" ht="14.1" customHeight="1">
      <c r="A262" s="219" t="str" cm="1">
        <f t="array" ref="A262">IFERROR(INDEX('03.Muestra'!$B$8:$B$42,SMALL(IF("Documento no web"='03.Muestra'!$D$8:$D$42,ROW('03.Muestra'!$B$8:$B$42)-MIN(ROW('03.Muestra'!$D$8:$D$42))+1,""),ROW()-246)),"")</f>
        <v/>
      </c>
      <c r="B262" s="114" t="str" cm="1">
        <f t="array" ref="B262">IFERROR(INDEX('03.Muestra'!$C$8:$C$42,SMALL(IF("Documento no web"='03.Muestra'!$D$8:$D$42,ROW('03.Muestra'!$C$8:$C$42)-MIN(ROW('03.Muestra'!$D$8:$D$42))+1,""),ROW()-246)),"")</f>
        <v/>
      </c>
      <c r="C262" s="114" t="str" cm="1">
        <f t="array" ref="C262">IFERROR(INDEX('03.Muestra'!$F$8:$F$42,SMALL(IF("Documento no web"='03.Muestra'!$D$8:$D$42,ROW('03.Muestra'!$F$8:$F$42)-MIN(ROW('03.Muestra'!$D$8:$D$42))+1,""),ROW()-246)),"")</f>
        <v/>
      </c>
      <c r="D262" s="130" t="str">
        <f t="shared" si="13"/>
        <v/>
      </c>
      <c r="E262" s="107" t="str">
        <f t="shared" si="12"/>
        <v/>
      </c>
      <c r="F262" s="19"/>
      <c r="G262" s="19"/>
      <c r="H262" s="19"/>
      <c r="I262" s="19"/>
      <c r="J262" s="19"/>
      <c r="K262" s="233"/>
      <c r="L262" s="19"/>
      <c r="M262" s="19"/>
      <c r="N262" s="19"/>
      <c r="O262" s="19"/>
      <c r="P262" s="19"/>
      <c r="Q262" s="19"/>
      <c r="R262" s="19"/>
      <c r="S262" s="19"/>
      <c r="T262" s="19"/>
      <c r="U262" s="19"/>
      <c r="V262" s="19"/>
      <c r="W262" s="19"/>
      <c r="X262" s="19"/>
      <c r="Y262" s="19"/>
    </row>
    <row r="263" spans="1:25" ht="14.1" customHeight="1">
      <c r="A263" s="219" t="str" cm="1">
        <f t="array" ref="A263">IFERROR(INDEX('03.Muestra'!$B$8:$B$42,SMALL(IF("Documento no web"='03.Muestra'!$D$8:$D$42,ROW('03.Muestra'!$B$8:$B$42)-MIN(ROW('03.Muestra'!$D$8:$D$42))+1,""),ROW()-246)),"")</f>
        <v/>
      </c>
      <c r="B263" s="114" t="str" cm="1">
        <f t="array" ref="B263">IFERROR(INDEX('03.Muestra'!$C$8:$C$42,SMALL(IF("Documento no web"='03.Muestra'!$D$8:$D$42,ROW('03.Muestra'!$C$8:$C$42)-MIN(ROW('03.Muestra'!$D$8:$D$42))+1,""),ROW()-246)),"")</f>
        <v/>
      </c>
      <c r="C263" s="114" t="str" cm="1">
        <f t="array" ref="C263">IFERROR(INDEX('03.Muestra'!$F$8:$F$42,SMALL(IF("Documento no web"='03.Muestra'!$D$8:$D$42,ROW('03.Muestra'!$F$8:$F$42)-MIN(ROW('03.Muestra'!$D$8:$D$42))+1,""),ROW()-246)),"")</f>
        <v/>
      </c>
      <c r="D263" s="130" t="str">
        <f t="shared" si="13"/>
        <v/>
      </c>
      <c r="E263" s="107" t="str">
        <f t="shared" si="12"/>
        <v/>
      </c>
      <c r="F263" s="19"/>
      <c r="G263" s="19"/>
      <c r="H263" s="19"/>
      <c r="I263" s="19"/>
      <c r="J263" s="19"/>
      <c r="K263" s="233"/>
      <c r="L263" s="19"/>
      <c r="M263" s="19"/>
      <c r="N263" s="19"/>
      <c r="O263" s="19"/>
      <c r="P263" s="19"/>
      <c r="Q263" s="19"/>
      <c r="R263" s="19"/>
      <c r="S263" s="19"/>
      <c r="T263" s="19"/>
      <c r="U263" s="19"/>
      <c r="V263" s="19"/>
      <c r="W263" s="19"/>
      <c r="X263" s="19"/>
      <c r="Y263" s="19"/>
    </row>
    <row r="264" spans="1:25" ht="14.1" customHeight="1">
      <c r="A264" s="219" t="str" cm="1">
        <f t="array" ref="A264">IFERROR(INDEX('03.Muestra'!$B$8:$B$42,SMALL(IF("Documento no web"='03.Muestra'!$D$8:$D$42,ROW('03.Muestra'!$B$8:$B$42)-MIN(ROW('03.Muestra'!$D$8:$D$42))+1,""),ROW()-246)),"")</f>
        <v/>
      </c>
      <c r="B264" s="114" t="str" cm="1">
        <f t="array" ref="B264">IFERROR(INDEX('03.Muestra'!$C$8:$C$42,SMALL(IF("Documento no web"='03.Muestra'!$D$8:$D$42,ROW('03.Muestra'!$C$8:$C$42)-MIN(ROW('03.Muestra'!$D$8:$D$42))+1,""),ROW()-246)),"")</f>
        <v/>
      </c>
      <c r="C264" s="114" t="str" cm="1">
        <f t="array" ref="C264">IFERROR(INDEX('03.Muestra'!$F$8:$F$42,SMALL(IF("Documento no web"='03.Muestra'!$D$8:$D$42,ROW('03.Muestra'!$F$8:$F$42)-MIN(ROW('03.Muestra'!$D$8:$D$42))+1,""),ROW()-246)),"")</f>
        <v/>
      </c>
      <c r="D264" s="130" t="str">
        <f t="shared" si="13"/>
        <v/>
      </c>
      <c r="E264" s="107" t="str">
        <f t="shared" si="12"/>
        <v/>
      </c>
      <c r="F264" s="19"/>
      <c r="G264" s="19"/>
      <c r="H264" s="19"/>
      <c r="I264" s="19"/>
      <c r="J264" s="19"/>
      <c r="K264" s="233"/>
      <c r="L264" s="19"/>
      <c r="M264" s="19"/>
      <c r="N264" s="19"/>
      <c r="O264" s="19"/>
      <c r="P264" s="19"/>
      <c r="Q264" s="19"/>
      <c r="R264" s="19"/>
      <c r="S264" s="19"/>
      <c r="T264" s="19"/>
      <c r="U264" s="19"/>
      <c r="V264" s="19"/>
      <c r="W264" s="19"/>
      <c r="X264" s="19"/>
      <c r="Y264" s="19"/>
    </row>
    <row r="265" spans="1:25" ht="14.1" customHeight="1">
      <c r="A265" s="219" t="str" cm="1">
        <f t="array" ref="A265">IFERROR(INDEX('03.Muestra'!$B$8:$B$42,SMALL(IF("Documento no web"='03.Muestra'!$D$8:$D$42,ROW('03.Muestra'!$B$8:$B$42)-MIN(ROW('03.Muestra'!$D$8:$D$42))+1,""),ROW()-246)),"")</f>
        <v/>
      </c>
      <c r="B265" s="114" t="str" cm="1">
        <f t="array" ref="B265">IFERROR(INDEX('03.Muestra'!$C$8:$C$42,SMALL(IF("Documento no web"='03.Muestra'!$D$8:$D$42,ROW('03.Muestra'!$C$8:$C$42)-MIN(ROW('03.Muestra'!$D$8:$D$42))+1,""),ROW()-246)),"")</f>
        <v/>
      </c>
      <c r="C265" s="114" t="str" cm="1">
        <f t="array" ref="C265">IFERROR(INDEX('03.Muestra'!$F$8:$F$42,SMALL(IF("Documento no web"='03.Muestra'!$D$8:$D$42,ROW('03.Muestra'!$F$8:$F$42)-MIN(ROW('03.Muestra'!$D$8:$D$42))+1,""),ROW()-246)),"")</f>
        <v/>
      </c>
      <c r="D265" s="130" t="str">
        <f t="shared" si="13"/>
        <v/>
      </c>
      <c r="E265" s="107" t="str">
        <f t="shared" si="12"/>
        <v/>
      </c>
      <c r="F265" s="19"/>
      <c r="G265" s="19"/>
      <c r="H265" s="19"/>
      <c r="I265" s="19"/>
      <c r="J265" s="19"/>
      <c r="K265" s="233"/>
      <c r="L265" s="19"/>
      <c r="M265" s="19"/>
      <c r="N265" s="19"/>
      <c r="O265" s="19"/>
      <c r="P265" s="19"/>
      <c r="Q265" s="19"/>
      <c r="R265" s="19"/>
      <c r="S265" s="19"/>
      <c r="T265" s="19"/>
      <c r="U265" s="19"/>
      <c r="V265" s="19"/>
      <c r="W265" s="19"/>
      <c r="X265" s="19"/>
      <c r="Y265" s="19"/>
    </row>
    <row r="266" spans="1:25" ht="14.1" customHeight="1">
      <c r="A266" s="219" t="str" cm="1">
        <f t="array" ref="A266">IFERROR(INDEX('03.Muestra'!$B$8:$B$42,SMALL(IF("Documento no web"='03.Muestra'!$D$8:$D$42,ROW('03.Muestra'!$B$8:$B$42)-MIN(ROW('03.Muestra'!$D$8:$D$42))+1,""),ROW()-246)),"")</f>
        <v/>
      </c>
      <c r="B266" s="114" t="str" cm="1">
        <f t="array" ref="B266">IFERROR(INDEX('03.Muestra'!$C$8:$C$42,SMALL(IF("Documento no web"='03.Muestra'!$D$8:$D$42,ROW('03.Muestra'!$C$8:$C$42)-MIN(ROW('03.Muestra'!$D$8:$D$42))+1,""),ROW()-246)),"")</f>
        <v/>
      </c>
      <c r="C266" s="114" t="str" cm="1">
        <f t="array" ref="C266">IFERROR(INDEX('03.Muestra'!$F$8:$F$42,SMALL(IF("Documento no web"='03.Muestra'!$D$8:$D$42,ROW('03.Muestra'!$F$8:$F$42)-MIN(ROW('03.Muestra'!$D$8:$D$42))+1,""),ROW()-246)),"")</f>
        <v/>
      </c>
      <c r="D266" s="130" t="str">
        <f t="shared" si="13"/>
        <v/>
      </c>
      <c r="E266" s="107" t="str">
        <f t="shared" si="12"/>
        <v/>
      </c>
      <c r="F266" s="19"/>
      <c r="G266" s="19"/>
      <c r="H266" s="19"/>
      <c r="I266" s="19"/>
      <c r="J266" s="19"/>
      <c r="K266" s="233"/>
      <c r="L266" s="19"/>
      <c r="M266" s="19"/>
      <c r="N266" s="19"/>
      <c r="O266" s="19"/>
      <c r="P266" s="19"/>
      <c r="Q266" s="19"/>
      <c r="R266" s="19"/>
      <c r="S266" s="19"/>
      <c r="T266" s="19"/>
      <c r="U266" s="19"/>
      <c r="V266" s="19"/>
      <c r="W266" s="19"/>
      <c r="X266" s="19"/>
      <c r="Y266" s="19"/>
    </row>
    <row r="267" spans="1:25" ht="14.1" customHeight="1">
      <c r="A267" s="219" t="str" cm="1">
        <f t="array" ref="A267">IFERROR(INDEX('03.Muestra'!$B$8:$B$42,SMALL(IF("Documento no web"='03.Muestra'!$D$8:$D$42,ROW('03.Muestra'!$B$8:$B$42)-MIN(ROW('03.Muestra'!$D$8:$D$42))+1,""),ROW()-246)),"")</f>
        <v/>
      </c>
      <c r="B267" s="114" t="str" cm="1">
        <f t="array" ref="B267">IFERROR(INDEX('03.Muestra'!$C$8:$C$42,SMALL(IF("Documento no web"='03.Muestra'!$D$8:$D$42,ROW('03.Muestra'!$C$8:$C$42)-MIN(ROW('03.Muestra'!$D$8:$D$42))+1,""),ROW()-246)),"")</f>
        <v/>
      </c>
      <c r="C267" s="114" t="str" cm="1">
        <f t="array" ref="C267">IFERROR(INDEX('03.Muestra'!$F$8:$F$42,SMALL(IF("Documento no web"='03.Muestra'!$D$8:$D$42,ROW('03.Muestra'!$F$8:$F$42)-MIN(ROW('03.Muestra'!$D$8:$D$42))+1,""),ROW()-246)),"")</f>
        <v/>
      </c>
      <c r="D267" s="130" t="str">
        <f t="shared" si="13"/>
        <v/>
      </c>
      <c r="E267" s="107" t="str">
        <f t="shared" si="12"/>
        <v/>
      </c>
      <c r="F267" s="19"/>
      <c r="G267" s="19"/>
      <c r="H267" s="19"/>
      <c r="I267" s="19"/>
      <c r="J267" s="19"/>
      <c r="K267" s="233"/>
      <c r="L267" s="19"/>
      <c r="M267" s="19"/>
      <c r="N267" s="19"/>
      <c r="O267" s="19"/>
      <c r="P267" s="19"/>
      <c r="Q267" s="19"/>
      <c r="R267" s="19"/>
      <c r="S267" s="19"/>
      <c r="T267" s="19"/>
      <c r="U267" s="19"/>
      <c r="V267" s="19"/>
      <c r="W267" s="19"/>
      <c r="X267" s="19"/>
      <c r="Y267" s="19"/>
    </row>
    <row r="268" spans="1:25" ht="14.1" customHeight="1">
      <c r="A268" s="219" t="str" cm="1">
        <f t="array" ref="A268">IFERROR(INDEX('03.Muestra'!$B$8:$B$42,SMALL(IF("Documento no web"='03.Muestra'!$D$8:$D$42,ROW('03.Muestra'!$B$8:$B$42)-MIN(ROW('03.Muestra'!$D$8:$D$42))+1,""),ROW()-246)),"")</f>
        <v/>
      </c>
      <c r="B268" s="114" t="str" cm="1">
        <f t="array" ref="B268">IFERROR(INDEX('03.Muestra'!$C$8:$C$42,SMALL(IF("Documento no web"='03.Muestra'!$D$8:$D$42,ROW('03.Muestra'!$C$8:$C$42)-MIN(ROW('03.Muestra'!$D$8:$D$42))+1,""),ROW()-246)),"")</f>
        <v/>
      </c>
      <c r="C268" s="114" t="str" cm="1">
        <f t="array" ref="C268">IFERROR(INDEX('03.Muestra'!$F$8:$F$42,SMALL(IF("Documento no web"='03.Muestra'!$D$8:$D$42,ROW('03.Muestra'!$F$8:$F$42)-MIN(ROW('03.Muestra'!$D$8:$D$42))+1,""),ROW()-246)),"")</f>
        <v/>
      </c>
      <c r="D268" s="130" t="str">
        <f t="shared" si="13"/>
        <v/>
      </c>
      <c r="E268" s="107" t="str">
        <f t="shared" si="12"/>
        <v/>
      </c>
      <c r="F268" s="19"/>
      <c r="G268" s="19"/>
      <c r="H268" s="19"/>
      <c r="I268" s="19"/>
      <c r="J268" s="19"/>
      <c r="K268" s="233"/>
      <c r="L268" s="19"/>
      <c r="M268" s="19"/>
      <c r="N268" s="19"/>
      <c r="O268" s="19"/>
      <c r="P268" s="19"/>
      <c r="Q268" s="19"/>
      <c r="R268" s="19"/>
      <c r="S268" s="19"/>
      <c r="T268" s="19"/>
      <c r="U268" s="19"/>
      <c r="V268" s="19"/>
      <c r="W268" s="19"/>
      <c r="X268" s="19"/>
      <c r="Y268" s="19"/>
    </row>
    <row r="269" spans="1:25" ht="14.1" customHeight="1">
      <c r="A269" s="219" t="str" cm="1">
        <f t="array" ref="A269">IFERROR(INDEX('03.Muestra'!$B$8:$B$42,SMALL(IF("Documento no web"='03.Muestra'!$D$8:$D$42,ROW('03.Muestra'!$B$8:$B$42)-MIN(ROW('03.Muestra'!$D$8:$D$42))+1,""),ROW()-246)),"")</f>
        <v/>
      </c>
      <c r="B269" s="114" t="str" cm="1">
        <f t="array" ref="B269">IFERROR(INDEX('03.Muestra'!$C$8:$C$42,SMALL(IF("Documento no web"='03.Muestra'!$D$8:$D$42,ROW('03.Muestra'!$C$8:$C$42)-MIN(ROW('03.Muestra'!$D$8:$D$42))+1,""),ROW()-246)),"")</f>
        <v/>
      </c>
      <c r="C269" s="114" t="str" cm="1">
        <f t="array" ref="C269">IFERROR(INDEX('03.Muestra'!$F$8:$F$42,SMALL(IF("Documento no web"='03.Muestra'!$D$8:$D$42,ROW('03.Muestra'!$F$8:$F$42)-MIN(ROW('03.Muestra'!$D$8:$D$42))+1,""),ROW()-246)),"")</f>
        <v/>
      </c>
      <c r="D269" s="130" t="str">
        <f t="shared" si="13"/>
        <v/>
      </c>
      <c r="E269" s="107" t="str">
        <f t="shared" si="12"/>
        <v/>
      </c>
      <c r="F269" s="19"/>
      <c r="G269" s="19"/>
      <c r="H269" s="19"/>
      <c r="I269" s="19"/>
      <c r="J269" s="19"/>
      <c r="K269" s="233"/>
      <c r="L269" s="19"/>
      <c r="M269" s="19"/>
      <c r="N269" s="19"/>
      <c r="O269" s="19"/>
      <c r="P269" s="19"/>
      <c r="Q269" s="19"/>
      <c r="R269" s="19"/>
      <c r="S269" s="19"/>
      <c r="T269" s="19"/>
      <c r="U269" s="19"/>
      <c r="V269" s="19"/>
      <c r="W269" s="19"/>
      <c r="X269" s="19"/>
      <c r="Y269" s="19"/>
    </row>
    <row r="270" spans="1:25" ht="12" customHeight="1">
      <c r="A270" s="219" t="str" cm="1">
        <f t="array" ref="A270">IFERROR(INDEX('03.Muestra'!$B$8:$B$42,SMALL(IF("Documento no web"='03.Muestra'!$D$8:$D$42,ROW('03.Muestra'!$B$8:$B$42)-MIN(ROW('03.Muestra'!$D$8:$D$42))+1,""),ROW()-246)),"")</f>
        <v/>
      </c>
      <c r="B270" s="114" t="str" cm="1">
        <f t="array" ref="B270">IFERROR(INDEX('03.Muestra'!$C$8:$C$42,SMALL(IF("Documento no web"='03.Muestra'!$D$8:$D$42,ROW('03.Muestra'!$C$8:$C$42)-MIN(ROW('03.Muestra'!$D$8:$D$42))+1,""),ROW()-246)),"")</f>
        <v/>
      </c>
      <c r="C270" s="114" t="str" cm="1">
        <f t="array" ref="C270">IFERROR(INDEX('03.Muestra'!$F$8:$F$42,SMALL(IF("Documento no web"='03.Muestra'!$D$8:$D$42,ROW('03.Muestra'!$F$8:$F$42)-MIN(ROW('03.Muestra'!$D$8:$D$42))+1,""),ROW()-246)),"")</f>
        <v/>
      </c>
      <c r="D270" s="130" t="str">
        <f t="shared" si="13"/>
        <v/>
      </c>
      <c r="E270" s="107" t="str">
        <f t="shared" si="12"/>
        <v/>
      </c>
      <c r="F270" s="19"/>
      <c r="G270" s="19"/>
      <c r="H270" s="19"/>
      <c r="I270" s="19"/>
      <c r="J270" s="19"/>
      <c r="K270" s="233"/>
      <c r="L270" s="19"/>
      <c r="M270" s="19"/>
      <c r="N270" s="19"/>
      <c r="O270" s="19"/>
      <c r="P270" s="19"/>
      <c r="Q270" s="19"/>
      <c r="R270" s="19"/>
      <c r="S270" s="19"/>
      <c r="T270" s="19"/>
      <c r="U270" s="19"/>
      <c r="V270" s="19"/>
      <c r="W270" s="19"/>
      <c r="X270" s="19"/>
      <c r="Y270" s="19"/>
    </row>
    <row r="271" spans="1:25" ht="12" customHeight="1">
      <c r="A271" s="219" t="str" cm="1">
        <f t="array" ref="A271">IFERROR(INDEX('03.Muestra'!$B$8:$B$42,SMALL(IF("Documento no web"='03.Muestra'!$D$8:$D$42,ROW('03.Muestra'!$B$8:$B$42)-MIN(ROW('03.Muestra'!$D$8:$D$42))+1,""),ROW()-246)),"")</f>
        <v/>
      </c>
      <c r="B271" s="114" t="str" cm="1">
        <f t="array" ref="B271">IFERROR(INDEX('03.Muestra'!$C$8:$C$42,SMALL(IF("Documento no web"='03.Muestra'!$D$8:$D$42,ROW('03.Muestra'!$C$8:$C$42)-MIN(ROW('03.Muestra'!$D$8:$D$42))+1,""),ROW()-246)),"")</f>
        <v/>
      </c>
      <c r="C271" s="114" t="str" cm="1">
        <f t="array" ref="C271">IFERROR(INDEX('03.Muestra'!$F$8:$F$42,SMALL(IF("Documento no web"='03.Muestra'!$D$8:$D$42,ROW('03.Muestra'!$F$8:$F$42)-MIN(ROW('03.Muestra'!$D$8:$D$42))+1,""),ROW()-246)),"")</f>
        <v/>
      </c>
      <c r="D271" s="130" t="str">
        <f t="shared" si="13"/>
        <v/>
      </c>
      <c r="E271" s="107" t="str">
        <f t="shared" si="12"/>
        <v/>
      </c>
      <c r="F271" s="19"/>
      <c r="G271" s="19"/>
      <c r="H271" s="19"/>
      <c r="I271" s="19"/>
      <c r="J271" s="19"/>
      <c r="K271" s="233"/>
      <c r="L271" s="19"/>
      <c r="M271" s="19"/>
      <c r="N271" s="19"/>
      <c r="O271" s="19"/>
      <c r="P271" s="19"/>
      <c r="Q271" s="19"/>
      <c r="R271" s="19"/>
      <c r="S271" s="19"/>
      <c r="T271" s="19"/>
      <c r="U271" s="19"/>
      <c r="V271" s="19"/>
      <c r="W271" s="19"/>
      <c r="X271" s="19"/>
      <c r="Y271" s="19"/>
    </row>
    <row r="272" spans="1:25" ht="12" customHeight="1">
      <c r="A272" s="219" t="str" cm="1">
        <f t="array" ref="A272">IFERROR(INDEX('03.Muestra'!$B$8:$B$42,SMALL(IF("Documento no web"='03.Muestra'!$D$8:$D$42,ROW('03.Muestra'!$B$8:$B$42)-MIN(ROW('03.Muestra'!$D$8:$D$42))+1,""),ROW()-246)),"")</f>
        <v/>
      </c>
      <c r="B272" s="114" t="str" cm="1">
        <f t="array" ref="B272">IFERROR(INDEX('03.Muestra'!$C$8:$C$42,SMALL(IF("Documento no web"='03.Muestra'!$D$8:$D$42,ROW('03.Muestra'!$C$8:$C$42)-MIN(ROW('03.Muestra'!$D$8:$D$42))+1,""),ROW()-246)),"")</f>
        <v/>
      </c>
      <c r="C272" s="114" t="str" cm="1">
        <f t="array" ref="C272">IFERROR(INDEX('03.Muestra'!$F$8:$F$42,SMALL(IF("Documento no web"='03.Muestra'!$D$8:$D$42,ROW('03.Muestra'!$F$8:$F$42)-MIN(ROW('03.Muestra'!$D$8:$D$42))+1,""),ROW()-246)),"")</f>
        <v/>
      </c>
      <c r="D272" s="130" t="str">
        <f t="shared" si="13"/>
        <v/>
      </c>
      <c r="E272" s="107" t="str">
        <f t="shared" si="12"/>
        <v/>
      </c>
      <c r="F272" s="19"/>
      <c r="G272" s="19"/>
      <c r="H272" s="19"/>
      <c r="I272" s="19"/>
      <c r="J272" s="19"/>
      <c r="K272" s="233"/>
      <c r="L272" s="19"/>
      <c r="M272" s="19"/>
      <c r="N272" s="19"/>
      <c r="O272" s="19"/>
      <c r="P272" s="19"/>
      <c r="Q272" s="19"/>
      <c r="R272" s="19"/>
      <c r="S272" s="19"/>
      <c r="T272" s="19"/>
      <c r="U272" s="19"/>
      <c r="V272" s="19"/>
      <c r="W272" s="19"/>
      <c r="X272" s="19"/>
      <c r="Y272" s="19"/>
    </row>
    <row r="273" spans="1:25" ht="12" customHeight="1">
      <c r="A273" s="219" t="str" cm="1">
        <f t="array" ref="A273">IFERROR(INDEX('03.Muestra'!$B$8:$B$42,SMALL(IF("Documento no web"='03.Muestra'!$D$8:$D$42,ROW('03.Muestra'!$B$8:$B$42)-MIN(ROW('03.Muestra'!$D$8:$D$42))+1,""),ROW()-246)),"")</f>
        <v/>
      </c>
      <c r="B273" s="114" t="str" cm="1">
        <f t="array" ref="B273">IFERROR(INDEX('03.Muestra'!$C$8:$C$42,SMALL(IF("Documento no web"='03.Muestra'!$D$8:$D$42,ROW('03.Muestra'!$C$8:$C$42)-MIN(ROW('03.Muestra'!$D$8:$D$42))+1,""),ROW()-246)),"")</f>
        <v/>
      </c>
      <c r="C273" s="114" t="str" cm="1">
        <f t="array" ref="C273">IFERROR(INDEX('03.Muestra'!$F$8:$F$42,SMALL(IF("Documento no web"='03.Muestra'!$D$8:$D$42,ROW('03.Muestra'!$F$8:$F$42)-MIN(ROW('03.Muestra'!$D$8:$D$42))+1,""),ROW()-246)),"")</f>
        <v/>
      </c>
      <c r="D273" s="130" t="str">
        <f t="shared" si="13"/>
        <v/>
      </c>
      <c r="E273" s="107" t="str">
        <f t="shared" si="12"/>
        <v/>
      </c>
      <c r="F273" s="19"/>
      <c r="G273" s="19"/>
      <c r="H273" s="19"/>
      <c r="I273" s="19"/>
      <c r="J273" s="19"/>
      <c r="K273" s="233"/>
      <c r="L273" s="19"/>
      <c r="M273" s="19"/>
      <c r="N273" s="19"/>
      <c r="O273" s="19"/>
      <c r="P273" s="19"/>
      <c r="Q273" s="19"/>
      <c r="R273" s="19"/>
      <c r="S273" s="19"/>
      <c r="T273" s="19"/>
      <c r="U273" s="19"/>
      <c r="V273" s="19"/>
      <c r="W273" s="19"/>
      <c r="X273" s="19"/>
      <c r="Y273" s="19"/>
    </row>
    <row r="274" spans="1:25" ht="12" customHeight="1">
      <c r="A274" s="219" t="str" cm="1">
        <f t="array" ref="A274">IFERROR(INDEX('03.Muestra'!$B$8:$B$42,SMALL(IF("Documento no web"='03.Muestra'!$D$8:$D$42,ROW('03.Muestra'!$B$8:$B$42)-MIN(ROW('03.Muestra'!$D$8:$D$42))+1,""),ROW()-246)),"")</f>
        <v/>
      </c>
      <c r="B274" s="114" t="str" cm="1">
        <f t="array" ref="B274">IFERROR(INDEX('03.Muestra'!$C$8:$C$42,SMALL(IF("Documento no web"='03.Muestra'!$D$8:$D$42,ROW('03.Muestra'!$C$8:$C$42)-MIN(ROW('03.Muestra'!$D$8:$D$42))+1,""),ROW()-246)),"")</f>
        <v/>
      </c>
      <c r="C274" s="114" t="str" cm="1">
        <f t="array" ref="C274">IFERROR(INDEX('03.Muestra'!$F$8:$F$42,SMALL(IF("Documento no web"='03.Muestra'!$D$8:$D$42,ROW('03.Muestra'!$F$8:$F$42)-MIN(ROW('03.Muestra'!$D$8:$D$42))+1,""),ROW()-246)),"")</f>
        <v/>
      </c>
      <c r="D274" s="130" t="str">
        <f t="shared" si="13"/>
        <v/>
      </c>
      <c r="E274" s="107" t="str">
        <f t="shared" si="12"/>
        <v/>
      </c>
      <c r="G274" s="19"/>
      <c r="H274" s="19"/>
      <c r="I274" s="19"/>
      <c r="J274" s="19"/>
      <c r="K274" s="233"/>
      <c r="L274" s="19"/>
      <c r="M274" s="19"/>
      <c r="N274" s="19"/>
      <c r="O274" s="19"/>
      <c r="P274" s="19"/>
      <c r="Q274" s="19"/>
      <c r="R274" s="19"/>
      <c r="S274" s="19"/>
      <c r="T274" s="19"/>
      <c r="U274" s="19"/>
      <c r="V274" s="19"/>
      <c r="W274" s="19"/>
      <c r="X274" s="19"/>
      <c r="Y274" s="19"/>
    </row>
    <row r="275" spans="1:25" ht="12" customHeight="1">
      <c r="A275" s="219" t="str" cm="1">
        <f t="array" ref="A275">IFERROR(INDEX('03.Muestra'!$B$8:$B$42,SMALL(IF("Documento no web"='03.Muestra'!$D$8:$D$42,ROW('03.Muestra'!$B$8:$B$42)-MIN(ROW('03.Muestra'!$D$8:$D$42))+1,""),ROW()-246)),"")</f>
        <v/>
      </c>
      <c r="B275" s="114" t="str" cm="1">
        <f t="array" ref="B275">IFERROR(INDEX('03.Muestra'!$C$8:$C$42,SMALL(IF("Documento no web"='03.Muestra'!$D$8:$D$42,ROW('03.Muestra'!$C$8:$C$42)-MIN(ROW('03.Muestra'!$D$8:$D$42))+1,""),ROW()-246)),"")</f>
        <v/>
      </c>
      <c r="C275" s="114" t="str" cm="1">
        <f t="array" ref="C275">IFERROR(INDEX('03.Muestra'!$F$8:$F$42,SMALL(IF("Documento no web"='03.Muestra'!$D$8:$D$42,ROW('03.Muestra'!$F$8:$F$42)-MIN(ROW('03.Muestra'!$D$8:$D$42))+1,""),ROW()-246)),"")</f>
        <v/>
      </c>
      <c r="D275" s="130" t="str">
        <f t="shared" si="13"/>
        <v/>
      </c>
      <c r="E275" s="107" t="str">
        <f t="shared" si="12"/>
        <v/>
      </c>
      <c r="F275" s="124"/>
      <c r="G275" s="19"/>
      <c r="H275" s="19"/>
      <c r="I275" s="19"/>
      <c r="J275" s="19"/>
      <c r="K275" s="233"/>
      <c r="L275" s="19"/>
      <c r="M275" s="19"/>
      <c r="N275" s="19"/>
      <c r="O275" s="19"/>
      <c r="P275" s="19"/>
      <c r="Q275" s="19"/>
      <c r="R275" s="19"/>
      <c r="S275" s="19"/>
      <c r="T275" s="19"/>
      <c r="U275" s="19"/>
      <c r="V275" s="19"/>
      <c r="W275" s="19"/>
      <c r="X275" s="19"/>
      <c r="Y275" s="19"/>
    </row>
    <row r="276" spans="1:25" ht="12" customHeight="1">
      <c r="A276" s="219" t="str" cm="1">
        <f t="array" ref="A276">IFERROR(INDEX('03.Muestra'!$B$8:$B$42,SMALL(IF("Documento no web"='03.Muestra'!$D$8:$D$42,ROW('03.Muestra'!$B$8:$B$42)-MIN(ROW('03.Muestra'!$D$8:$D$42))+1,""),ROW()-246)),"")</f>
        <v/>
      </c>
      <c r="B276" s="114" t="str" cm="1">
        <f t="array" ref="B276">IFERROR(INDEX('03.Muestra'!$C$8:$C$42,SMALL(IF("Documento no web"='03.Muestra'!$D$8:$D$42,ROW('03.Muestra'!$C$8:$C$42)-MIN(ROW('03.Muestra'!$D$8:$D$42))+1,""),ROW()-246)),"")</f>
        <v/>
      </c>
      <c r="C276" s="114" t="str" cm="1">
        <f t="array" ref="C276">IFERROR(INDEX('03.Muestra'!$F$8:$F$42,SMALL(IF("Documento no web"='03.Muestra'!$D$8:$D$42,ROW('03.Muestra'!$F$8:$F$42)-MIN(ROW('03.Muestra'!$D$8:$D$42))+1,""),ROW()-246)),"")</f>
        <v/>
      </c>
      <c r="D276" s="130" t="str">
        <f t="shared" si="13"/>
        <v/>
      </c>
      <c r="E276" s="107" t="str">
        <f t="shared" si="12"/>
        <v/>
      </c>
      <c r="F276" s="124"/>
      <c r="G276" s="19"/>
      <c r="H276" s="19"/>
      <c r="I276" s="19"/>
      <c r="J276" s="19"/>
      <c r="K276" s="233"/>
      <c r="L276" s="19"/>
      <c r="M276" s="19"/>
      <c r="N276" s="19"/>
      <c r="O276" s="19"/>
      <c r="P276" s="19"/>
      <c r="Q276" s="19"/>
      <c r="R276" s="19"/>
      <c r="S276" s="19"/>
      <c r="T276" s="19"/>
      <c r="U276" s="19"/>
      <c r="V276" s="19"/>
      <c r="W276" s="19"/>
      <c r="X276" s="19"/>
      <c r="Y276" s="19"/>
    </row>
    <row r="277" spans="1:25" ht="12" customHeight="1">
      <c r="A277" s="219" t="str" cm="1">
        <f t="array" ref="A277">IFERROR(INDEX('03.Muestra'!$B$8:$B$42,SMALL(IF("Documento no web"='03.Muestra'!$D$8:$D$42,ROW('03.Muestra'!$B$8:$B$42)-MIN(ROW('03.Muestra'!$D$8:$D$42))+1,""),ROW()-246)),"")</f>
        <v/>
      </c>
      <c r="B277" s="114" t="str" cm="1">
        <f t="array" ref="B277">IFERROR(INDEX('03.Muestra'!$C$8:$C$42,SMALL(IF("Documento no web"='03.Muestra'!$D$8:$D$42,ROW('03.Muestra'!$C$8:$C$42)-MIN(ROW('03.Muestra'!$D$8:$D$42))+1,""),ROW()-246)),"")</f>
        <v/>
      </c>
      <c r="C277" s="114" t="str" cm="1">
        <f t="array" ref="C277">IFERROR(INDEX('03.Muestra'!$F$8:$F$42,SMALL(IF("Documento no web"='03.Muestra'!$D$8:$D$42,ROW('03.Muestra'!$F$8:$F$42)-MIN(ROW('03.Muestra'!$D$8:$D$42))+1,""),ROW()-246)),"")</f>
        <v/>
      </c>
      <c r="D277" s="130" t="str">
        <f t="shared" si="13"/>
        <v/>
      </c>
      <c r="E277" s="107" t="str">
        <f t="shared" si="12"/>
        <v/>
      </c>
      <c r="F277" s="124"/>
      <c r="G277" s="19"/>
      <c r="H277" s="19"/>
      <c r="I277" s="19"/>
      <c r="J277" s="19"/>
      <c r="K277" s="233"/>
      <c r="L277" s="19"/>
      <c r="M277" s="19"/>
      <c r="N277" s="19"/>
      <c r="O277" s="19"/>
      <c r="P277" s="19"/>
      <c r="Q277" s="19"/>
      <c r="R277" s="19"/>
      <c r="S277" s="19"/>
      <c r="T277" s="19"/>
      <c r="U277" s="19"/>
      <c r="V277" s="19"/>
      <c r="W277" s="19"/>
      <c r="X277" s="19"/>
      <c r="Y277" s="19"/>
    </row>
    <row r="278" spans="1:25" ht="12" customHeight="1">
      <c r="A278" s="219" t="str" cm="1">
        <f t="array" ref="A278">IFERROR(INDEX('03.Muestra'!$B$8:$B$42,SMALL(IF("Documento no web"='03.Muestra'!$D$8:$D$42,ROW('03.Muestra'!$B$8:$B$42)-MIN(ROW('03.Muestra'!$D$8:$D$42))+1,""),ROW()-246)),"")</f>
        <v/>
      </c>
      <c r="B278" s="114" t="str" cm="1">
        <f t="array" ref="B278">IFERROR(INDEX('03.Muestra'!$C$8:$C$42,SMALL(IF("Documento no web"='03.Muestra'!$D$8:$D$42,ROW('03.Muestra'!$C$8:$C$42)-MIN(ROW('03.Muestra'!$D$8:$D$42))+1,""),ROW()-246)),"")</f>
        <v/>
      </c>
      <c r="C278" s="114" t="str" cm="1">
        <f t="array" ref="C278">IFERROR(INDEX('03.Muestra'!$F$8:$F$42,SMALL(IF("Documento no web"='03.Muestra'!$D$8:$D$42,ROW('03.Muestra'!$F$8:$F$42)-MIN(ROW('03.Muestra'!$D$8:$D$42))+1,""),ROW()-246)),"")</f>
        <v/>
      </c>
      <c r="D278" s="130" t="str">
        <f t="shared" si="13"/>
        <v/>
      </c>
      <c r="E278" s="107" t="str">
        <f t="shared" si="12"/>
        <v/>
      </c>
      <c r="F278" s="124"/>
      <c r="G278" s="19"/>
      <c r="H278" s="19"/>
      <c r="I278" s="19"/>
      <c r="J278" s="19"/>
      <c r="K278" s="233"/>
      <c r="L278" s="19"/>
      <c r="M278" s="19"/>
      <c r="N278" s="19"/>
      <c r="O278" s="19"/>
      <c r="P278" s="19"/>
      <c r="Q278" s="19"/>
      <c r="R278" s="19"/>
      <c r="S278" s="19"/>
      <c r="T278" s="19"/>
      <c r="U278" s="19"/>
      <c r="V278" s="19"/>
      <c r="W278" s="19"/>
      <c r="X278" s="19"/>
      <c r="Y278" s="19"/>
    </row>
    <row r="279" spans="1:25" ht="12" customHeight="1">
      <c r="A279" s="219" t="str" cm="1">
        <f t="array" ref="A279">IFERROR(INDEX('03.Muestra'!$B$8:$B$42,SMALL(IF("Documento no web"='03.Muestra'!$D$8:$D$42,ROW('03.Muestra'!$B$8:$B$42)-MIN(ROW('03.Muestra'!$D$8:$D$42))+1,""),ROW()-246)),"")</f>
        <v/>
      </c>
      <c r="B279" s="114" t="str" cm="1">
        <f t="array" ref="B279">IFERROR(INDEX('03.Muestra'!$C$8:$C$42,SMALL(IF("Documento no web"='03.Muestra'!$D$8:$D$42,ROW('03.Muestra'!$C$8:$C$42)-MIN(ROW('03.Muestra'!$D$8:$D$42))+1,""),ROW()-246)),"")</f>
        <v/>
      </c>
      <c r="C279" s="114" t="str" cm="1">
        <f t="array" ref="C279">IFERROR(INDEX('03.Muestra'!$F$8:$F$42,SMALL(IF("Documento no web"='03.Muestra'!$D$8:$D$42,ROW('03.Muestra'!$F$8:$F$42)-MIN(ROW('03.Muestra'!$D$8:$D$42))+1,""),ROW()-246)),"")</f>
        <v/>
      </c>
      <c r="D279" s="130" t="str">
        <f t="shared" si="13"/>
        <v/>
      </c>
      <c r="E279" s="107" t="str">
        <f t="shared" si="12"/>
        <v/>
      </c>
      <c r="F279" s="124"/>
      <c r="G279" s="19"/>
      <c r="H279" s="19"/>
      <c r="I279" s="19"/>
      <c r="J279" s="19"/>
      <c r="K279" s="233"/>
      <c r="L279" s="19"/>
      <c r="M279" s="19"/>
      <c r="N279" s="19"/>
      <c r="O279" s="19"/>
      <c r="P279" s="19"/>
      <c r="Q279" s="19"/>
      <c r="R279" s="19"/>
      <c r="S279" s="19"/>
      <c r="T279" s="19"/>
      <c r="U279" s="19"/>
      <c r="V279" s="19"/>
      <c r="W279" s="19"/>
      <c r="X279" s="19"/>
      <c r="Y279" s="19"/>
    </row>
    <row r="280" spans="1:25" ht="12" customHeight="1">
      <c r="A280" s="219" t="str" cm="1">
        <f t="array" ref="A280">IFERROR(INDEX('03.Muestra'!$B$8:$B$42,SMALL(IF("Documento no web"='03.Muestra'!$D$8:$D$42,ROW('03.Muestra'!$B$8:$B$42)-MIN(ROW('03.Muestra'!$D$8:$D$42))+1,""),ROW()-246)),"")</f>
        <v/>
      </c>
      <c r="B280" s="114" t="str" cm="1">
        <f t="array" ref="B280">IFERROR(INDEX('03.Muestra'!$C$8:$C$42,SMALL(IF("Documento no web"='03.Muestra'!$D$8:$D$42,ROW('03.Muestra'!$C$8:$C$42)-MIN(ROW('03.Muestra'!$D$8:$D$42))+1,""),ROW()-246)),"")</f>
        <v/>
      </c>
      <c r="C280" s="114" t="str" cm="1">
        <f t="array" ref="C280">IFERROR(INDEX('03.Muestra'!$F$8:$F$42,SMALL(IF("Documento no web"='03.Muestra'!$D$8:$D$42,ROW('03.Muestra'!$F$8:$F$42)-MIN(ROW('03.Muestra'!$D$8:$D$42))+1,""),ROW()-246)),"")</f>
        <v/>
      </c>
      <c r="D280" s="130" t="str">
        <f t="shared" si="13"/>
        <v/>
      </c>
      <c r="E280" s="107" t="str">
        <f t="shared" si="12"/>
        <v/>
      </c>
      <c r="F280" s="124"/>
      <c r="G280" s="19"/>
      <c r="H280" s="19"/>
      <c r="I280" s="19"/>
      <c r="J280" s="19"/>
      <c r="K280" s="233"/>
      <c r="L280" s="19"/>
      <c r="M280" s="19"/>
      <c r="N280" s="19"/>
      <c r="O280" s="19"/>
      <c r="P280" s="19"/>
      <c r="Q280" s="19"/>
      <c r="R280" s="19"/>
      <c r="S280" s="19"/>
      <c r="T280" s="19"/>
      <c r="U280" s="19"/>
      <c r="V280" s="19"/>
      <c r="W280" s="19"/>
      <c r="X280" s="19"/>
      <c r="Y280" s="19"/>
    </row>
    <row r="281" spans="1:25" ht="12" customHeight="1">
      <c r="A281" s="219" t="str" cm="1">
        <f t="array" ref="A281">IFERROR(INDEX('03.Muestra'!$B$8:$B$42,SMALL(IF("Documento no web"='03.Muestra'!$D$8:$D$42,ROW('03.Muestra'!$B$8:$B$42)-MIN(ROW('03.Muestra'!$D$8:$D$42))+1,""),ROW()-246)),"")</f>
        <v/>
      </c>
      <c r="B281" s="114" t="str" cm="1">
        <f t="array" ref="B281">IFERROR(INDEX('03.Muestra'!$C$8:$C$42,SMALL(IF("Documento no web"='03.Muestra'!$D$8:$D$42,ROW('03.Muestra'!$C$8:$C$42)-MIN(ROW('03.Muestra'!$D$8:$D$42))+1,""),ROW()-246)),"")</f>
        <v/>
      </c>
      <c r="C281" s="114" t="str" cm="1">
        <f t="array" ref="C281">IFERROR(INDEX('03.Muestra'!$F$8:$F$42,SMALL(IF("Documento no web"='03.Muestra'!$D$8:$D$42,ROW('03.Muestra'!$F$8:$F$42)-MIN(ROW('03.Muestra'!$D$8:$D$42))+1,""),ROW()-246)),"")</f>
        <v/>
      </c>
      <c r="D281" s="130" t="str">
        <f t="shared" si="13"/>
        <v/>
      </c>
      <c r="E281" s="107" t="str">
        <f t="shared" si="12"/>
        <v/>
      </c>
      <c r="F281" s="19"/>
      <c r="G281" s="19"/>
      <c r="H281" s="19"/>
      <c r="I281" s="19"/>
      <c r="J281" s="19"/>
      <c r="K281" s="233"/>
      <c r="L281" s="19"/>
      <c r="M281" s="19"/>
      <c r="N281" s="19"/>
      <c r="O281" s="19"/>
      <c r="P281" s="19"/>
      <c r="Q281" s="19"/>
      <c r="R281" s="19"/>
      <c r="S281" s="19"/>
      <c r="T281" s="19"/>
      <c r="U281" s="19"/>
      <c r="V281" s="19"/>
      <c r="W281" s="19"/>
      <c r="X281" s="19"/>
      <c r="Y281" s="19"/>
    </row>
    <row r="282" spans="1:25" ht="12" customHeight="1">
      <c r="B282" s="19"/>
      <c r="C282" s="19"/>
      <c r="D282" s="107"/>
      <c r="E282" s="107"/>
      <c r="F282" s="19"/>
      <c r="G282" s="19"/>
      <c r="H282" s="19"/>
      <c r="I282" s="19"/>
      <c r="J282" s="19"/>
      <c r="K282" s="233"/>
      <c r="L282" s="19"/>
      <c r="M282" s="19"/>
      <c r="N282" s="19"/>
      <c r="O282" s="19"/>
      <c r="P282" s="19"/>
      <c r="Q282" s="19"/>
      <c r="R282" s="19"/>
      <c r="S282" s="19"/>
      <c r="T282" s="19"/>
      <c r="U282" s="19"/>
      <c r="V282" s="19"/>
      <c r="W282" s="19"/>
      <c r="X282" s="19"/>
      <c r="Y282" s="19"/>
    </row>
    <row r="283" spans="1:25" ht="12" customHeight="1">
      <c r="B283" s="19"/>
      <c r="C283" s="19"/>
      <c r="D283" s="107"/>
      <c r="E283" s="112"/>
      <c r="F283" s="19"/>
      <c r="G283" s="19"/>
      <c r="H283" s="19"/>
      <c r="I283" s="19"/>
      <c r="J283" s="19"/>
      <c r="K283" s="233"/>
      <c r="L283" s="19"/>
      <c r="M283" s="19"/>
      <c r="N283" s="19"/>
      <c r="O283" s="19"/>
      <c r="P283" s="19"/>
      <c r="Q283" s="19"/>
      <c r="R283" s="19"/>
      <c r="S283" s="19"/>
      <c r="T283" s="19"/>
      <c r="U283" s="19"/>
      <c r="V283" s="19"/>
      <c r="W283" s="19"/>
      <c r="X283" s="19"/>
      <c r="Y283" s="19"/>
    </row>
    <row r="284" spans="1:25" ht="32.25" customHeight="1">
      <c r="A284" s="218" t="s">
        <v>268</v>
      </c>
      <c r="B284" s="24" t="s">
        <v>90</v>
      </c>
      <c r="C284" s="25" t="s">
        <v>429</v>
      </c>
      <c r="D284" s="26" t="s">
        <v>32</v>
      </c>
      <c r="E284" s="123"/>
      <c r="K284" s="233"/>
      <c r="L284" s="19"/>
      <c r="M284" s="19"/>
      <c r="N284" s="19"/>
      <c r="O284" s="19"/>
      <c r="P284" s="19"/>
      <c r="Q284" s="19"/>
      <c r="R284" s="19"/>
      <c r="S284" s="19"/>
      <c r="T284" s="19"/>
      <c r="U284" s="19"/>
      <c r="V284" s="19"/>
      <c r="W284" s="19"/>
      <c r="X284" s="19"/>
      <c r="Y284" s="19"/>
    </row>
    <row r="285" spans="1:25" ht="12" customHeight="1">
      <c r="A285" s="219" t="n" cm="1">
        <f t="array" ref="A285">IFERROR(INDEX('03.Muestra'!$B$8:$B$42,SMALL(IF("Documento no web"='03.Muestra'!$D$8:$D$42,ROW('03.Muestra'!$B$8:$B$42)-MIN(ROW('03.Muestra'!$D$8:$D$42))+1,""),ROW()-284)),"")</f>
        <v>1.0</v>
      </c>
      <c r="B285" s="114" t="str" cm="1">
        <f t="array" ref="B285">IFERROR(INDEX('03.Muestra'!$C$8:$C$42,SMALL(IF("Documento no web"='03.Muestra'!$D$8:$D$42,ROW('03.Muestra'!$C$8:$C$42)-MIN(ROW('03.Muestra'!$D$8:$D$42))+1,""),ROW()-284)),"")</f>
        <v>Home - PortCastelló</v>
      </c>
      <c r="C285" s="114" t="str" cm="1">
        <f t="array" ref="C285">IFERROR(INDEX('03.Muestra'!$F$8:$F$42,SMALL(IF("Documento no web"='03.Muestra'!$D$8:$D$42,ROW('03.Muestra'!$F$8:$F$42)-MIN(ROW('03.Muestra'!$D$8:$D$42))+1,""),ROW()-284)),"")</f>
        <v>https://www.portcastello.com/</v>
      </c>
      <c r="D285" s="130" t="s">
        <v>33</v>
      </c>
      <c r="E285" s="107" t="str">
        <f t="shared" ref="E285:E319" si="14">IF(D285&lt;&gt;"",IF(AND(B285&lt;&gt;"",C285&lt;&gt;""),"","ERR"),"")</f>
        <v/>
      </c>
      <c r="F285" s="115" t="s">
        <v>33</v>
      </c>
      <c r="G285" s="116" t="s">
        <v>37</v>
      </c>
      <c r="H285" s="117" t="s">
        <v>35</v>
      </c>
      <c r="I285" s="118" t="s">
        <v>28</v>
      </c>
      <c r="J285" s="119" t="s">
        <v>26</v>
      </c>
      <c r="K285" s="226" t="s">
        <v>474</v>
      </c>
      <c r="L285" s="19"/>
      <c r="M285" s="19"/>
      <c r="N285" s="19"/>
      <c r="O285" s="19"/>
      <c r="P285" s="19"/>
      <c r="Q285" s="19"/>
      <c r="R285" s="19"/>
      <c r="S285" s="19"/>
      <c r="T285" s="19"/>
      <c r="U285" s="19"/>
      <c r="V285" s="19"/>
      <c r="W285" s="19"/>
      <c r="X285" s="19"/>
      <c r="Y285" s="19"/>
    </row>
    <row r="286" spans="1:25" ht="12" customHeight="1">
      <c r="A286" s="219" t="n" cm="1">
        <f t="array" ref="A286">IFERROR(INDEX('03.Muestra'!$B$8:$B$42,SMALL(IF("Documento no web"='03.Muestra'!$D$8:$D$42,ROW('03.Muestra'!$B$8:$B$42)-MIN(ROW('03.Muestra'!$D$8:$D$42))+1,""),ROW()-284)),"")</f>
        <v>1.0</v>
      </c>
      <c r="B286" s="114" t="str" cm="1">
        <f t="array" ref="B286">IFERROR(INDEX('03.Muestra'!$C$8:$C$42,SMALL(IF("Documento no web"='03.Muestra'!$D$8:$D$42,ROW('03.Muestra'!$C$8:$C$42)-MIN(ROW('03.Muestra'!$D$8:$D$42))+1,""),ROW()-284)),"")</f>
        <v>Home - PortCastelló</v>
      </c>
      <c r="C286" s="114" t="str" cm="1">
        <f t="array" ref="C286">IFERROR(INDEX('03.Muestra'!$F$8:$F$42,SMALL(IF("Documento no web"='03.Muestra'!$D$8:$D$42,ROW('03.Muestra'!$F$8:$F$42)-MIN(ROW('03.Muestra'!$D$8:$D$42))+1,""),ROW()-284)),"")</f>
        <v>https://www.portcastello.com/</v>
      </c>
      <c r="D286" s="130" t="s">
        <v>33</v>
      </c>
      <c r="E286" s="107" t="str">
        <f t="shared" si="14"/>
        <v/>
      </c>
      <c r="F286" s="120" t="n">
        <f ca="1">COUNTIF($D285:INDIRECT("$D" &amp;  SUM(ROW()-1,'03.Muestra'!$D$45)-1),F285)</f>
        <v>2.0</v>
      </c>
      <c r="G286" s="120" t="n">
        <f ca="1">COUNTIF($D285:INDIRECT("$D" &amp;  SUM(ROW()-1,'03.Muestra'!$D$45)-1),G285)</f>
        <v>0.0</v>
      </c>
      <c r="H286" s="120" t="n">
        <f ca="1">COUNTIF($D285:INDIRECT("$D" &amp;  SUM(ROW()-1,'03.Muestra'!$D$45)-1),H285)</f>
        <v>0.0</v>
      </c>
      <c r="I286" s="120" t="n">
        <f ca="1">COUNTIF($D285:INDIRECT("$D" &amp;  SUM(ROW()-1,'03.Muestra'!$D$45)-1),I285)</f>
        <v>0.0</v>
      </c>
      <c r="J286" s="120" t="n">
        <f ca="1">COUNTIF($D285:INDIRECT("$D" &amp;  SUM(ROW()-1,'03.Muestra'!$D$45)-1),J285)</f>
        <v>0.0</v>
      </c>
      <c r="K286" s="227" t="n">
        <f ca="1">IF(COUNTIF('03.Muestra'!$D$8:$D$42,"Documento no web")=0,0,COUNTBLANK($D285:INDIRECT("$D" &amp;  SUM(ROW()-1,COUNTIF('03.Muestra'!$D$8:$D$42,"Documento no web"))-1)))</f>
        <v>0.0</v>
      </c>
      <c r="L286" s="19"/>
      <c r="M286" s="19"/>
      <c r="N286" s="19"/>
      <c r="O286" s="19"/>
      <c r="P286" s="19"/>
      <c r="Q286" s="19"/>
      <c r="R286" s="19"/>
      <c r="S286" s="19"/>
      <c r="T286" s="19"/>
      <c r="U286" s="19"/>
      <c r="V286" s="19"/>
      <c r="W286" s="19"/>
      <c r="X286" s="19"/>
      <c r="Y286" s="19"/>
    </row>
    <row r="287" spans="1:25" ht="12" customHeight="1">
      <c r="A287" s="219" t="str" cm="1">
        <f t="array" ref="A287">IFERROR(INDEX('03.Muestra'!$B$8:$B$42,SMALL(IF("Documento no web"='03.Muestra'!$D$8:$D$42,ROW('03.Muestra'!$B$8:$B$42)-MIN(ROW('03.Muestra'!$D$8:$D$42))+1,""),ROW()-284)),"")</f>
        <v/>
      </c>
      <c r="B287" s="114" t="str" cm="1">
        <f t="array" ref="B287">IFERROR(INDEX('03.Muestra'!$C$8:$C$42,SMALL(IF("Documento no web"='03.Muestra'!$D$8:$D$42,ROW('03.Muestra'!$C$8:$C$42)-MIN(ROW('03.Muestra'!$D$8:$D$42))+1,""),ROW()-284)),"")</f>
        <v/>
      </c>
      <c r="C287" s="114" t="str" cm="1">
        <f t="array" ref="C287">IFERROR(INDEX('03.Muestra'!$F$8:$F$42,SMALL(IF("Documento no web"='03.Muestra'!$D$8:$D$42,ROW('03.Muestra'!$F$8:$F$42)-MIN(ROW('03.Muestra'!$D$8:$D$42))+1,""),ROW()-284)),"")</f>
        <v/>
      </c>
      <c r="D287" s="130" t="str">
        <f t="shared" si="15" ref="D287:D319">IF(AND(B287&lt;&gt;"",C287&lt;&gt;""),"N/T","")</f>
        <v/>
      </c>
      <c r="E287" s="107" t="str">
        <f t="shared" si="14"/>
        <v/>
      </c>
      <c r="G287" s="19"/>
      <c r="H287" s="19"/>
      <c r="I287" s="19"/>
      <c r="J287" s="19"/>
      <c r="K287" s="233"/>
      <c r="L287" s="19"/>
      <c r="M287" s="19"/>
      <c r="N287" s="19"/>
      <c r="O287" s="19"/>
      <c r="P287" s="19"/>
      <c r="Q287" s="19"/>
      <c r="R287" s="19"/>
      <c r="S287" s="19"/>
      <c r="T287" s="19"/>
      <c r="U287" s="19"/>
      <c r="V287" s="19"/>
      <c r="W287" s="19"/>
      <c r="X287" s="19"/>
      <c r="Y287" s="19"/>
    </row>
    <row r="288" spans="1:25" ht="12" customHeight="1">
      <c r="A288" s="219" t="str" cm="1">
        <f t="array" ref="A288">IFERROR(INDEX('03.Muestra'!$B$8:$B$42,SMALL(IF("Documento no web"='03.Muestra'!$D$8:$D$42,ROW('03.Muestra'!$B$8:$B$42)-MIN(ROW('03.Muestra'!$D$8:$D$42))+1,""),ROW()-284)),"")</f>
        <v/>
      </c>
      <c r="B288" s="114" t="str" cm="1">
        <f t="array" ref="B288">IFERROR(INDEX('03.Muestra'!$C$8:$C$42,SMALL(IF("Documento no web"='03.Muestra'!$D$8:$D$42,ROW('03.Muestra'!$C$8:$C$42)-MIN(ROW('03.Muestra'!$D$8:$D$42))+1,""),ROW()-284)),"")</f>
        <v/>
      </c>
      <c r="C288" s="114" t="str" cm="1">
        <f t="array" ref="C288">IFERROR(INDEX('03.Muestra'!$F$8:$F$42,SMALL(IF("Documento no web"='03.Muestra'!$D$8:$D$42,ROW('03.Muestra'!$F$8:$F$42)-MIN(ROW('03.Muestra'!$D$8:$D$42))+1,""),ROW()-284)),"")</f>
        <v/>
      </c>
      <c r="D288" s="130" t="str">
        <f t="shared" si="15"/>
        <v/>
      </c>
      <c r="E288" s="107" t="str">
        <f t="shared" si="14"/>
        <v/>
      </c>
      <c r="G288" s="19"/>
      <c r="H288" s="19"/>
      <c r="I288" s="19"/>
      <c r="J288" s="19"/>
      <c r="K288" s="233"/>
      <c r="L288" s="19"/>
      <c r="M288" s="19"/>
      <c r="N288" s="19"/>
      <c r="O288" s="19"/>
      <c r="P288" s="19"/>
      <c r="Q288" s="19"/>
      <c r="R288" s="19"/>
      <c r="S288" s="19"/>
      <c r="T288" s="19"/>
      <c r="U288" s="19"/>
      <c r="V288" s="19"/>
      <c r="W288" s="19"/>
      <c r="X288" s="19"/>
      <c r="Y288" s="19"/>
    </row>
    <row r="289" spans="1:25" ht="12" customHeight="1">
      <c r="A289" s="219" t="str" cm="1">
        <f t="array" ref="A289">IFERROR(INDEX('03.Muestra'!$B$8:$B$42,SMALL(IF("Documento no web"='03.Muestra'!$D$8:$D$42,ROW('03.Muestra'!$B$8:$B$42)-MIN(ROW('03.Muestra'!$D$8:$D$42))+1,""),ROW()-284)),"")</f>
        <v/>
      </c>
      <c r="B289" s="114" t="str" cm="1">
        <f t="array" ref="B289">IFERROR(INDEX('03.Muestra'!$C$8:$C$42,SMALL(IF("Documento no web"='03.Muestra'!$D$8:$D$42,ROW('03.Muestra'!$C$8:$C$42)-MIN(ROW('03.Muestra'!$D$8:$D$42))+1,""),ROW()-284)),"")</f>
        <v/>
      </c>
      <c r="C289" s="114" t="str" cm="1">
        <f t="array" ref="C289">IFERROR(INDEX('03.Muestra'!$F$8:$F$42,SMALL(IF("Documento no web"='03.Muestra'!$D$8:$D$42,ROW('03.Muestra'!$F$8:$F$42)-MIN(ROW('03.Muestra'!$D$8:$D$42))+1,""),ROW()-284)),"")</f>
        <v/>
      </c>
      <c r="D289" s="130" t="str">
        <f t="shared" si="15"/>
        <v/>
      </c>
      <c r="E289" s="107" t="str">
        <f t="shared" si="14"/>
        <v/>
      </c>
      <c r="G289" s="19"/>
      <c r="H289" s="19"/>
      <c r="I289" s="19"/>
      <c r="J289" s="19"/>
      <c r="K289" s="233"/>
      <c r="L289" s="19"/>
      <c r="M289" s="19"/>
      <c r="N289" s="19"/>
      <c r="O289" s="19"/>
      <c r="P289" s="19"/>
      <c r="Q289" s="19"/>
      <c r="R289" s="19"/>
      <c r="S289" s="19"/>
      <c r="T289" s="19"/>
      <c r="U289" s="19"/>
      <c r="V289" s="19"/>
      <c r="W289" s="19"/>
      <c r="X289" s="19"/>
      <c r="Y289" s="19"/>
    </row>
    <row r="290" spans="1:25" ht="12" customHeight="1">
      <c r="A290" s="219" t="str" cm="1">
        <f t="array" ref="A290">IFERROR(INDEX('03.Muestra'!$B$8:$B$42,SMALL(IF("Documento no web"='03.Muestra'!$D$8:$D$42,ROW('03.Muestra'!$B$8:$B$42)-MIN(ROW('03.Muestra'!$D$8:$D$42))+1,""),ROW()-284)),"")</f>
        <v/>
      </c>
      <c r="B290" s="114" t="str" cm="1">
        <f t="array" ref="B290">IFERROR(INDEX('03.Muestra'!$C$8:$C$42,SMALL(IF("Documento no web"='03.Muestra'!$D$8:$D$42,ROW('03.Muestra'!$C$8:$C$42)-MIN(ROW('03.Muestra'!$D$8:$D$42))+1,""),ROW()-284)),"")</f>
        <v/>
      </c>
      <c r="C290" s="114" t="str" cm="1">
        <f t="array" ref="C290">IFERROR(INDEX('03.Muestra'!$F$8:$F$42,SMALL(IF("Documento no web"='03.Muestra'!$D$8:$D$42,ROW('03.Muestra'!$F$8:$F$42)-MIN(ROW('03.Muestra'!$D$8:$D$42))+1,""),ROW()-284)),"")</f>
        <v/>
      </c>
      <c r="D290" s="130" t="str">
        <f t="shared" si="15"/>
        <v/>
      </c>
      <c r="E290" s="107" t="str">
        <f t="shared" si="14"/>
        <v/>
      </c>
      <c r="G290" s="19"/>
      <c r="H290" s="19"/>
      <c r="I290" s="19"/>
      <c r="J290" s="19"/>
      <c r="K290" s="233"/>
      <c r="L290" s="19"/>
      <c r="M290" s="19"/>
      <c r="N290" s="19"/>
      <c r="O290" s="19"/>
      <c r="P290" s="19"/>
      <c r="Q290" s="19"/>
      <c r="R290" s="19"/>
      <c r="S290" s="19"/>
      <c r="T290" s="19"/>
      <c r="U290" s="19"/>
      <c r="V290" s="19"/>
      <c r="W290" s="19"/>
      <c r="X290" s="19"/>
      <c r="Y290" s="19"/>
    </row>
    <row r="291" spans="1:25" ht="12" customHeight="1">
      <c r="A291" s="219" t="str" cm="1">
        <f t="array" ref="A291">IFERROR(INDEX('03.Muestra'!$B$8:$B$42,SMALL(IF("Documento no web"='03.Muestra'!$D$8:$D$42,ROW('03.Muestra'!$B$8:$B$42)-MIN(ROW('03.Muestra'!$D$8:$D$42))+1,""),ROW()-284)),"")</f>
        <v/>
      </c>
      <c r="B291" s="114" t="str" cm="1">
        <f t="array" ref="B291">IFERROR(INDEX('03.Muestra'!$C$8:$C$42,SMALL(IF("Documento no web"='03.Muestra'!$D$8:$D$42,ROW('03.Muestra'!$C$8:$C$42)-MIN(ROW('03.Muestra'!$D$8:$D$42))+1,""),ROW()-284)),"")</f>
        <v/>
      </c>
      <c r="C291" s="114" t="str" cm="1">
        <f t="array" ref="C291">IFERROR(INDEX('03.Muestra'!$F$8:$F$42,SMALL(IF("Documento no web"='03.Muestra'!$D$8:$D$42,ROW('03.Muestra'!$F$8:$F$42)-MIN(ROW('03.Muestra'!$D$8:$D$42))+1,""),ROW()-284)),"")</f>
        <v/>
      </c>
      <c r="D291" s="130" t="str">
        <f t="shared" si="15"/>
        <v/>
      </c>
      <c r="E291" s="107" t="str">
        <f t="shared" si="14"/>
        <v/>
      </c>
      <c r="F291" s="19"/>
      <c r="G291" s="19"/>
      <c r="H291" s="19"/>
      <c r="I291" s="19"/>
      <c r="J291" s="19"/>
      <c r="K291" s="233"/>
      <c r="L291" s="19"/>
      <c r="M291" s="19"/>
      <c r="N291" s="19"/>
      <c r="O291" s="19"/>
      <c r="P291" s="19"/>
      <c r="Q291" s="19"/>
      <c r="R291" s="19"/>
      <c r="S291" s="19"/>
      <c r="T291" s="19"/>
      <c r="U291" s="19"/>
      <c r="V291" s="19"/>
      <c r="W291" s="19"/>
      <c r="X291" s="19"/>
      <c r="Y291" s="19"/>
    </row>
    <row r="292" spans="1:25" ht="12" customHeight="1">
      <c r="A292" s="219" t="str" cm="1">
        <f t="array" ref="A292">IFERROR(INDEX('03.Muestra'!$B$8:$B$42,SMALL(IF("Documento no web"='03.Muestra'!$D$8:$D$42,ROW('03.Muestra'!$B$8:$B$42)-MIN(ROW('03.Muestra'!$D$8:$D$42))+1,""),ROW()-284)),"")</f>
        <v/>
      </c>
      <c r="B292" s="114" t="str" cm="1">
        <f t="array" ref="B292">IFERROR(INDEX('03.Muestra'!$C$8:$C$42,SMALL(IF("Documento no web"='03.Muestra'!$D$8:$D$42,ROW('03.Muestra'!$C$8:$C$42)-MIN(ROW('03.Muestra'!$D$8:$D$42))+1,""),ROW()-284)),"")</f>
        <v/>
      </c>
      <c r="C292" s="114" t="str" cm="1">
        <f t="array" ref="C292">IFERROR(INDEX('03.Muestra'!$F$8:$F$42,SMALL(IF("Documento no web"='03.Muestra'!$D$8:$D$42,ROW('03.Muestra'!$F$8:$F$42)-MIN(ROW('03.Muestra'!$D$8:$D$42))+1,""),ROW()-284)),"")</f>
        <v/>
      </c>
      <c r="D292" s="130" t="str">
        <f t="shared" si="15"/>
        <v/>
      </c>
      <c r="E292" s="107" t="str">
        <f t="shared" si="14"/>
        <v/>
      </c>
      <c r="F292" s="19"/>
      <c r="G292" s="19"/>
      <c r="H292" s="19"/>
      <c r="I292" s="19"/>
      <c r="J292" s="19"/>
      <c r="K292" s="233"/>
      <c r="L292" s="19"/>
      <c r="M292" s="19"/>
      <c r="N292" s="19"/>
      <c r="O292" s="19"/>
      <c r="P292" s="19"/>
      <c r="Q292" s="19"/>
      <c r="R292" s="19"/>
      <c r="S292" s="19"/>
      <c r="T292" s="19"/>
      <c r="U292" s="19"/>
      <c r="V292" s="19"/>
      <c r="W292" s="19"/>
      <c r="X292" s="19"/>
      <c r="Y292" s="19"/>
    </row>
    <row r="293" spans="1:25" ht="12" customHeight="1">
      <c r="A293" s="219" t="str" cm="1">
        <f t="array" ref="A293">IFERROR(INDEX('03.Muestra'!$B$8:$B$42,SMALL(IF("Documento no web"='03.Muestra'!$D$8:$D$42,ROW('03.Muestra'!$B$8:$B$42)-MIN(ROW('03.Muestra'!$D$8:$D$42))+1,""),ROW()-284)),"")</f>
        <v/>
      </c>
      <c r="B293" s="114" t="str" cm="1">
        <f t="array" ref="B293">IFERROR(INDEX('03.Muestra'!$C$8:$C$42,SMALL(IF("Documento no web"='03.Muestra'!$D$8:$D$42,ROW('03.Muestra'!$C$8:$C$42)-MIN(ROW('03.Muestra'!$D$8:$D$42))+1,""),ROW()-284)),"")</f>
        <v/>
      </c>
      <c r="C293" s="114" t="str" cm="1">
        <f t="array" ref="C293">IFERROR(INDEX('03.Muestra'!$F$8:$F$42,SMALL(IF("Documento no web"='03.Muestra'!$D$8:$D$42,ROW('03.Muestra'!$F$8:$F$42)-MIN(ROW('03.Muestra'!$D$8:$D$42))+1,""),ROW()-284)),"")</f>
        <v/>
      </c>
      <c r="D293" s="130" t="str">
        <f t="shared" si="15"/>
        <v/>
      </c>
      <c r="E293" s="107" t="str">
        <f t="shared" si="14"/>
        <v/>
      </c>
      <c r="F293" s="19"/>
      <c r="G293" s="19"/>
      <c r="H293" s="19"/>
      <c r="I293" s="19"/>
      <c r="J293" s="19"/>
      <c r="K293" s="233"/>
      <c r="L293" s="19"/>
      <c r="M293" s="19"/>
      <c r="N293" s="19"/>
      <c r="O293" s="19"/>
      <c r="P293" s="19"/>
      <c r="Q293" s="19"/>
      <c r="R293" s="19"/>
      <c r="S293" s="19"/>
      <c r="T293" s="19"/>
      <c r="U293" s="19"/>
      <c r="V293" s="19"/>
      <c r="W293" s="19"/>
      <c r="X293" s="19"/>
      <c r="Y293" s="19"/>
    </row>
    <row r="294" spans="1:25" ht="12" customHeight="1">
      <c r="A294" s="219" t="str" cm="1">
        <f t="array" ref="A294">IFERROR(INDEX('03.Muestra'!$B$8:$B$42,SMALL(IF("Documento no web"='03.Muestra'!$D$8:$D$42,ROW('03.Muestra'!$B$8:$B$42)-MIN(ROW('03.Muestra'!$D$8:$D$42))+1,""),ROW()-284)),"")</f>
        <v/>
      </c>
      <c r="B294" s="114" t="str" cm="1">
        <f t="array" ref="B294">IFERROR(INDEX('03.Muestra'!$C$8:$C$42,SMALL(IF("Documento no web"='03.Muestra'!$D$8:$D$42,ROW('03.Muestra'!$C$8:$C$42)-MIN(ROW('03.Muestra'!$D$8:$D$42))+1,""),ROW()-284)),"")</f>
        <v/>
      </c>
      <c r="C294" s="114" t="str" cm="1">
        <f t="array" ref="C294">IFERROR(INDEX('03.Muestra'!$F$8:$F$42,SMALL(IF("Documento no web"='03.Muestra'!$D$8:$D$42,ROW('03.Muestra'!$F$8:$F$42)-MIN(ROW('03.Muestra'!$D$8:$D$42))+1,""),ROW()-284)),"")</f>
        <v/>
      </c>
      <c r="D294" s="130" t="str">
        <f t="shared" si="15"/>
        <v/>
      </c>
      <c r="E294" s="107" t="str">
        <f t="shared" si="14"/>
        <v/>
      </c>
      <c r="F294" s="19"/>
      <c r="G294" s="19"/>
      <c r="H294" s="19"/>
      <c r="I294" s="19"/>
      <c r="J294" s="19"/>
      <c r="K294" s="233"/>
      <c r="L294" s="19"/>
      <c r="M294" s="19"/>
      <c r="N294" s="19"/>
      <c r="O294" s="19"/>
      <c r="P294" s="19"/>
      <c r="Q294" s="19"/>
      <c r="R294" s="19"/>
      <c r="S294" s="19"/>
      <c r="T294" s="19"/>
      <c r="U294" s="19"/>
      <c r="V294" s="19"/>
      <c r="W294" s="19"/>
      <c r="X294" s="19"/>
      <c r="Y294" s="19"/>
    </row>
    <row r="295" spans="1:25" ht="12" customHeight="1">
      <c r="A295" s="219" t="str" cm="1">
        <f t="array" ref="A295">IFERROR(INDEX('03.Muestra'!$B$8:$B$42,SMALL(IF("Documento no web"='03.Muestra'!$D$8:$D$42,ROW('03.Muestra'!$B$8:$B$42)-MIN(ROW('03.Muestra'!$D$8:$D$42))+1,""),ROW()-284)),"")</f>
        <v/>
      </c>
      <c r="B295" s="114" t="str" cm="1">
        <f t="array" ref="B295">IFERROR(INDEX('03.Muestra'!$C$8:$C$42,SMALL(IF("Documento no web"='03.Muestra'!$D$8:$D$42,ROW('03.Muestra'!$C$8:$C$42)-MIN(ROW('03.Muestra'!$D$8:$D$42))+1,""),ROW()-284)),"")</f>
        <v/>
      </c>
      <c r="C295" s="114" t="str" cm="1">
        <f t="array" ref="C295">IFERROR(INDEX('03.Muestra'!$F$8:$F$42,SMALL(IF("Documento no web"='03.Muestra'!$D$8:$D$42,ROW('03.Muestra'!$F$8:$F$42)-MIN(ROW('03.Muestra'!$D$8:$D$42))+1,""),ROW()-284)),"")</f>
        <v/>
      </c>
      <c r="D295" s="130" t="str">
        <f t="shared" si="15"/>
        <v/>
      </c>
      <c r="E295" s="107" t="str">
        <f t="shared" si="14"/>
        <v/>
      </c>
      <c r="F295" s="19"/>
      <c r="G295" s="19"/>
      <c r="H295" s="19"/>
      <c r="I295" s="19"/>
      <c r="J295" s="19"/>
      <c r="K295" s="233"/>
      <c r="L295" s="19"/>
      <c r="M295" s="19"/>
      <c r="N295" s="19"/>
      <c r="O295" s="19"/>
      <c r="P295" s="19"/>
      <c r="Q295" s="19"/>
      <c r="R295" s="19"/>
      <c r="S295" s="19"/>
      <c r="T295" s="19"/>
      <c r="U295" s="19"/>
      <c r="V295" s="19"/>
      <c r="W295" s="19"/>
      <c r="X295" s="19"/>
      <c r="Y295" s="19"/>
    </row>
    <row r="296" spans="1:25" ht="12" customHeight="1">
      <c r="A296" s="219" t="str" cm="1">
        <f t="array" ref="A296">IFERROR(INDEX('03.Muestra'!$B$8:$B$42,SMALL(IF("Documento no web"='03.Muestra'!$D$8:$D$42,ROW('03.Muestra'!$B$8:$B$42)-MIN(ROW('03.Muestra'!$D$8:$D$42))+1,""),ROW()-284)),"")</f>
        <v/>
      </c>
      <c r="B296" s="114" t="str" cm="1">
        <f t="array" ref="B296">IFERROR(INDEX('03.Muestra'!$C$8:$C$42,SMALL(IF("Documento no web"='03.Muestra'!$D$8:$D$42,ROW('03.Muestra'!$C$8:$C$42)-MIN(ROW('03.Muestra'!$D$8:$D$42))+1,""),ROW()-284)),"")</f>
        <v/>
      </c>
      <c r="C296" s="114" t="str" cm="1">
        <f t="array" ref="C296">IFERROR(INDEX('03.Muestra'!$F$8:$F$42,SMALL(IF("Documento no web"='03.Muestra'!$D$8:$D$42,ROW('03.Muestra'!$F$8:$F$42)-MIN(ROW('03.Muestra'!$D$8:$D$42))+1,""),ROW()-284)),"")</f>
        <v/>
      </c>
      <c r="D296" s="130" t="str">
        <f t="shared" si="15"/>
        <v/>
      </c>
      <c r="E296" s="107" t="str">
        <f t="shared" si="14"/>
        <v/>
      </c>
      <c r="F296" s="19"/>
      <c r="G296" s="19"/>
      <c r="H296" s="19"/>
      <c r="I296" s="19"/>
      <c r="J296" s="19"/>
      <c r="K296" s="233"/>
      <c r="L296" s="19"/>
      <c r="M296" s="19"/>
      <c r="N296" s="19"/>
      <c r="O296" s="19"/>
      <c r="P296" s="19"/>
      <c r="Q296" s="19"/>
      <c r="R296" s="19"/>
      <c r="S296" s="19"/>
      <c r="T296" s="19"/>
      <c r="U296" s="19"/>
      <c r="V296" s="19"/>
      <c r="W296" s="19"/>
      <c r="X296" s="19"/>
      <c r="Y296" s="19"/>
    </row>
    <row r="297" spans="1:25" ht="14.1" customHeight="1">
      <c r="A297" s="219" t="str" cm="1">
        <f t="array" ref="A297">IFERROR(INDEX('03.Muestra'!$B$8:$B$42,SMALL(IF("Documento no web"='03.Muestra'!$D$8:$D$42,ROW('03.Muestra'!$B$8:$B$42)-MIN(ROW('03.Muestra'!$D$8:$D$42))+1,""),ROW()-284)),"")</f>
        <v/>
      </c>
      <c r="B297" s="114" t="str" cm="1">
        <f t="array" ref="B297">IFERROR(INDEX('03.Muestra'!$C$8:$C$42,SMALL(IF("Documento no web"='03.Muestra'!$D$8:$D$42,ROW('03.Muestra'!$C$8:$C$42)-MIN(ROW('03.Muestra'!$D$8:$D$42))+1,""),ROW()-284)),"")</f>
        <v/>
      </c>
      <c r="C297" s="114" t="str" cm="1">
        <f t="array" ref="C297">IFERROR(INDEX('03.Muestra'!$F$8:$F$42,SMALL(IF("Documento no web"='03.Muestra'!$D$8:$D$42,ROW('03.Muestra'!$F$8:$F$42)-MIN(ROW('03.Muestra'!$D$8:$D$42))+1,""),ROW()-284)),"")</f>
        <v/>
      </c>
      <c r="D297" s="130" t="str">
        <f t="shared" si="15"/>
        <v/>
      </c>
      <c r="E297" s="107" t="str">
        <f t="shared" si="14"/>
        <v/>
      </c>
      <c r="F297" s="19"/>
      <c r="G297" s="19"/>
      <c r="H297" s="19"/>
      <c r="I297" s="19"/>
      <c r="J297" s="19"/>
      <c r="K297" s="233"/>
      <c r="L297" s="19"/>
      <c r="M297" s="19"/>
      <c r="N297" s="19"/>
      <c r="O297" s="19"/>
      <c r="P297" s="19"/>
      <c r="Q297" s="19"/>
      <c r="R297" s="19"/>
      <c r="S297" s="19"/>
      <c r="T297" s="19"/>
      <c r="U297" s="19"/>
      <c r="V297" s="19"/>
      <c r="W297" s="19"/>
      <c r="X297" s="19"/>
      <c r="Y297" s="19"/>
    </row>
    <row r="298" spans="1:25" ht="14.1" customHeight="1">
      <c r="A298" s="219" t="str" cm="1">
        <f t="array" ref="A298">IFERROR(INDEX('03.Muestra'!$B$8:$B$42,SMALL(IF("Documento no web"='03.Muestra'!$D$8:$D$42,ROW('03.Muestra'!$B$8:$B$42)-MIN(ROW('03.Muestra'!$D$8:$D$42))+1,""),ROW()-284)),"")</f>
        <v/>
      </c>
      <c r="B298" s="114" t="str" cm="1">
        <f t="array" ref="B298">IFERROR(INDEX('03.Muestra'!$C$8:$C$42,SMALL(IF("Documento no web"='03.Muestra'!$D$8:$D$42,ROW('03.Muestra'!$C$8:$C$42)-MIN(ROW('03.Muestra'!$D$8:$D$42))+1,""),ROW()-284)),"")</f>
        <v/>
      </c>
      <c r="C298" s="114" t="str" cm="1">
        <f t="array" ref="C298">IFERROR(INDEX('03.Muestra'!$F$8:$F$42,SMALL(IF("Documento no web"='03.Muestra'!$D$8:$D$42,ROW('03.Muestra'!$F$8:$F$42)-MIN(ROW('03.Muestra'!$D$8:$D$42))+1,""),ROW()-284)),"")</f>
        <v/>
      </c>
      <c r="D298" s="130" t="str">
        <f t="shared" si="15"/>
        <v/>
      </c>
      <c r="E298" s="107" t="str">
        <f t="shared" si="14"/>
        <v/>
      </c>
      <c r="F298" s="19"/>
      <c r="G298" s="19"/>
      <c r="H298" s="19"/>
      <c r="I298" s="19"/>
      <c r="J298" s="19"/>
      <c r="K298" s="233"/>
      <c r="L298" s="19"/>
      <c r="M298" s="19"/>
      <c r="N298" s="19"/>
      <c r="O298" s="19"/>
      <c r="P298" s="19"/>
      <c r="Q298" s="19"/>
      <c r="R298" s="19"/>
      <c r="S298" s="19"/>
      <c r="T298" s="19"/>
      <c r="U298" s="19"/>
      <c r="V298" s="19"/>
      <c r="W298" s="19"/>
      <c r="X298" s="19"/>
      <c r="Y298" s="19"/>
    </row>
    <row r="299" spans="1:25" ht="14.1" customHeight="1">
      <c r="A299" s="219" t="str" cm="1">
        <f t="array" ref="A299">IFERROR(INDEX('03.Muestra'!$B$8:$B$42,SMALL(IF("Documento no web"='03.Muestra'!$D$8:$D$42,ROW('03.Muestra'!$B$8:$B$42)-MIN(ROW('03.Muestra'!$D$8:$D$42))+1,""),ROW()-284)),"")</f>
        <v/>
      </c>
      <c r="B299" s="114" t="str" cm="1">
        <f t="array" ref="B299">IFERROR(INDEX('03.Muestra'!$C$8:$C$42,SMALL(IF("Documento no web"='03.Muestra'!$D$8:$D$42,ROW('03.Muestra'!$C$8:$C$42)-MIN(ROW('03.Muestra'!$D$8:$D$42))+1,""),ROW()-284)),"")</f>
        <v/>
      </c>
      <c r="C299" s="114" t="str" cm="1">
        <f t="array" ref="C299">IFERROR(INDEX('03.Muestra'!$F$8:$F$42,SMALL(IF("Documento no web"='03.Muestra'!$D$8:$D$42,ROW('03.Muestra'!$F$8:$F$42)-MIN(ROW('03.Muestra'!$D$8:$D$42))+1,""),ROW()-284)),"")</f>
        <v/>
      </c>
      <c r="D299" s="130" t="str">
        <f t="shared" si="15"/>
        <v/>
      </c>
      <c r="E299" s="107" t="str">
        <f t="shared" si="14"/>
        <v/>
      </c>
      <c r="F299" s="19"/>
      <c r="G299" s="19"/>
      <c r="H299" s="19"/>
      <c r="I299" s="19"/>
      <c r="J299" s="19"/>
      <c r="K299" s="233"/>
      <c r="L299" s="19"/>
      <c r="M299" s="19"/>
      <c r="N299" s="19"/>
      <c r="O299" s="19"/>
      <c r="P299" s="19"/>
      <c r="Q299" s="19"/>
      <c r="R299" s="19"/>
      <c r="S299" s="19"/>
      <c r="T299" s="19"/>
      <c r="U299" s="19"/>
      <c r="V299" s="19"/>
      <c r="W299" s="19"/>
      <c r="X299" s="19"/>
      <c r="Y299" s="19"/>
    </row>
    <row r="300" spans="1:25" ht="14.1" customHeight="1">
      <c r="A300" s="219" t="str" cm="1">
        <f t="array" ref="A300">IFERROR(INDEX('03.Muestra'!$B$8:$B$42,SMALL(IF("Documento no web"='03.Muestra'!$D$8:$D$42,ROW('03.Muestra'!$B$8:$B$42)-MIN(ROW('03.Muestra'!$D$8:$D$42))+1,""),ROW()-284)),"")</f>
        <v/>
      </c>
      <c r="B300" s="114" t="str" cm="1">
        <f t="array" ref="B300">IFERROR(INDEX('03.Muestra'!$C$8:$C$42,SMALL(IF("Documento no web"='03.Muestra'!$D$8:$D$42,ROW('03.Muestra'!$C$8:$C$42)-MIN(ROW('03.Muestra'!$D$8:$D$42))+1,""),ROW()-284)),"")</f>
        <v/>
      </c>
      <c r="C300" s="114" t="str" cm="1">
        <f t="array" ref="C300">IFERROR(INDEX('03.Muestra'!$F$8:$F$42,SMALL(IF("Documento no web"='03.Muestra'!$D$8:$D$42,ROW('03.Muestra'!$F$8:$F$42)-MIN(ROW('03.Muestra'!$D$8:$D$42))+1,""),ROW()-284)),"")</f>
        <v/>
      </c>
      <c r="D300" s="130" t="str">
        <f t="shared" si="15"/>
        <v/>
      </c>
      <c r="E300" s="107" t="str">
        <f t="shared" si="14"/>
        <v/>
      </c>
      <c r="F300" s="19"/>
      <c r="G300" s="19"/>
      <c r="H300" s="19"/>
      <c r="I300" s="19"/>
      <c r="J300" s="19"/>
      <c r="K300" s="233"/>
      <c r="L300" s="19"/>
      <c r="M300" s="19"/>
      <c r="N300" s="19"/>
      <c r="O300" s="19"/>
      <c r="P300" s="19"/>
      <c r="Q300" s="19"/>
      <c r="R300" s="19"/>
      <c r="S300" s="19"/>
      <c r="T300" s="19"/>
      <c r="U300" s="19"/>
      <c r="V300" s="19"/>
      <c r="W300" s="19"/>
      <c r="X300" s="19"/>
      <c r="Y300" s="19"/>
    </row>
    <row r="301" spans="1:25" ht="14.1" customHeight="1">
      <c r="A301" s="219" t="str" cm="1">
        <f t="array" ref="A301">IFERROR(INDEX('03.Muestra'!$B$8:$B$42,SMALL(IF("Documento no web"='03.Muestra'!$D$8:$D$42,ROW('03.Muestra'!$B$8:$B$42)-MIN(ROW('03.Muestra'!$D$8:$D$42))+1,""),ROW()-284)),"")</f>
        <v/>
      </c>
      <c r="B301" s="114" t="str" cm="1">
        <f t="array" ref="B301">IFERROR(INDEX('03.Muestra'!$C$8:$C$42,SMALL(IF("Documento no web"='03.Muestra'!$D$8:$D$42,ROW('03.Muestra'!$C$8:$C$42)-MIN(ROW('03.Muestra'!$D$8:$D$42))+1,""),ROW()-284)),"")</f>
        <v/>
      </c>
      <c r="C301" s="114" t="str" cm="1">
        <f t="array" ref="C301">IFERROR(INDEX('03.Muestra'!$F$8:$F$42,SMALL(IF("Documento no web"='03.Muestra'!$D$8:$D$42,ROW('03.Muestra'!$F$8:$F$42)-MIN(ROW('03.Muestra'!$D$8:$D$42))+1,""),ROW()-284)),"")</f>
        <v/>
      </c>
      <c r="D301" s="130" t="str">
        <f t="shared" si="15"/>
        <v/>
      </c>
      <c r="E301" s="107" t="str">
        <f t="shared" si="14"/>
        <v/>
      </c>
      <c r="F301" s="19"/>
      <c r="G301" s="19"/>
      <c r="H301" s="19"/>
      <c r="I301" s="19"/>
      <c r="J301" s="19"/>
      <c r="K301" s="233"/>
      <c r="L301" s="19"/>
      <c r="M301" s="19"/>
      <c r="N301" s="19"/>
      <c r="O301" s="19"/>
      <c r="P301" s="19"/>
      <c r="Q301" s="19"/>
      <c r="R301" s="19"/>
      <c r="S301" s="19"/>
      <c r="T301" s="19"/>
      <c r="U301" s="19"/>
      <c r="V301" s="19"/>
      <c r="W301" s="19"/>
      <c r="X301" s="19"/>
      <c r="Y301" s="19"/>
    </row>
    <row r="302" spans="1:25" ht="14.1" customHeight="1">
      <c r="A302" s="219" t="str" cm="1">
        <f t="array" ref="A302">IFERROR(INDEX('03.Muestra'!$B$8:$B$42,SMALL(IF("Documento no web"='03.Muestra'!$D$8:$D$42,ROW('03.Muestra'!$B$8:$B$42)-MIN(ROW('03.Muestra'!$D$8:$D$42))+1,""),ROW()-284)),"")</f>
        <v/>
      </c>
      <c r="B302" s="114" t="str" cm="1">
        <f t="array" ref="B302">IFERROR(INDEX('03.Muestra'!$C$8:$C$42,SMALL(IF("Documento no web"='03.Muestra'!$D$8:$D$42,ROW('03.Muestra'!$C$8:$C$42)-MIN(ROW('03.Muestra'!$D$8:$D$42))+1,""),ROW()-284)),"")</f>
        <v/>
      </c>
      <c r="C302" s="114" t="str" cm="1">
        <f t="array" ref="C302">IFERROR(INDEX('03.Muestra'!$F$8:$F$42,SMALL(IF("Documento no web"='03.Muestra'!$D$8:$D$42,ROW('03.Muestra'!$F$8:$F$42)-MIN(ROW('03.Muestra'!$D$8:$D$42))+1,""),ROW()-284)),"")</f>
        <v/>
      </c>
      <c r="D302" s="130" t="str">
        <f t="shared" si="15"/>
        <v/>
      </c>
      <c r="E302" s="107" t="str">
        <f t="shared" si="14"/>
        <v/>
      </c>
      <c r="F302" s="19"/>
      <c r="G302" s="19"/>
      <c r="H302" s="19"/>
      <c r="I302" s="19"/>
      <c r="J302" s="19"/>
      <c r="K302" s="233"/>
      <c r="L302" s="19"/>
      <c r="M302" s="19"/>
      <c r="N302" s="19"/>
      <c r="O302" s="19"/>
      <c r="P302" s="19"/>
      <c r="Q302" s="19"/>
      <c r="R302" s="19"/>
      <c r="S302" s="19"/>
      <c r="T302" s="19"/>
      <c r="U302" s="19"/>
      <c r="V302" s="19"/>
      <c r="W302" s="19"/>
      <c r="X302" s="19"/>
      <c r="Y302" s="19"/>
    </row>
    <row r="303" spans="1:25" ht="14.1" customHeight="1">
      <c r="A303" s="219" t="str" cm="1">
        <f t="array" ref="A303">IFERROR(INDEX('03.Muestra'!$B$8:$B$42,SMALL(IF("Documento no web"='03.Muestra'!$D$8:$D$42,ROW('03.Muestra'!$B$8:$B$42)-MIN(ROW('03.Muestra'!$D$8:$D$42))+1,""),ROW()-284)),"")</f>
        <v/>
      </c>
      <c r="B303" s="114" t="str" cm="1">
        <f t="array" ref="B303">IFERROR(INDEX('03.Muestra'!$C$8:$C$42,SMALL(IF("Documento no web"='03.Muestra'!$D$8:$D$42,ROW('03.Muestra'!$C$8:$C$42)-MIN(ROW('03.Muestra'!$D$8:$D$42))+1,""),ROW()-284)),"")</f>
        <v/>
      </c>
      <c r="C303" s="114" t="str" cm="1">
        <f t="array" ref="C303">IFERROR(INDEX('03.Muestra'!$F$8:$F$42,SMALL(IF("Documento no web"='03.Muestra'!$D$8:$D$42,ROW('03.Muestra'!$F$8:$F$42)-MIN(ROW('03.Muestra'!$D$8:$D$42))+1,""),ROW()-284)),"")</f>
        <v/>
      </c>
      <c r="D303" s="130" t="str">
        <f t="shared" si="15"/>
        <v/>
      </c>
      <c r="E303" s="107" t="str">
        <f t="shared" si="14"/>
        <v/>
      </c>
      <c r="F303" s="19"/>
      <c r="G303" s="19"/>
      <c r="H303" s="19"/>
      <c r="I303" s="19"/>
      <c r="J303" s="19"/>
      <c r="K303" s="233"/>
      <c r="L303" s="19"/>
      <c r="M303" s="19"/>
      <c r="N303" s="19"/>
      <c r="O303" s="19"/>
      <c r="P303" s="19"/>
      <c r="Q303" s="19"/>
      <c r="R303" s="19"/>
      <c r="S303" s="19"/>
      <c r="T303" s="19"/>
      <c r="U303" s="19"/>
      <c r="V303" s="19"/>
      <c r="W303" s="19"/>
      <c r="X303" s="19"/>
      <c r="Y303" s="19"/>
    </row>
    <row r="304" spans="1:25" ht="14.1" customHeight="1">
      <c r="A304" s="219" t="str" cm="1">
        <f t="array" ref="A304">IFERROR(INDEX('03.Muestra'!$B$8:$B$42,SMALL(IF("Documento no web"='03.Muestra'!$D$8:$D$42,ROW('03.Muestra'!$B$8:$B$42)-MIN(ROW('03.Muestra'!$D$8:$D$42))+1,""),ROW()-284)),"")</f>
        <v/>
      </c>
      <c r="B304" s="114" t="str" cm="1">
        <f t="array" ref="B304">IFERROR(INDEX('03.Muestra'!$C$8:$C$42,SMALL(IF("Documento no web"='03.Muestra'!$D$8:$D$42,ROW('03.Muestra'!$C$8:$C$42)-MIN(ROW('03.Muestra'!$D$8:$D$42))+1,""),ROW()-284)),"")</f>
        <v/>
      </c>
      <c r="C304" s="114" t="str" cm="1">
        <f t="array" ref="C304">IFERROR(INDEX('03.Muestra'!$F$8:$F$42,SMALL(IF("Documento no web"='03.Muestra'!$D$8:$D$42,ROW('03.Muestra'!$F$8:$F$42)-MIN(ROW('03.Muestra'!$D$8:$D$42))+1,""),ROW()-284)),"")</f>
        <v/>
      </c>
      <c r="D304" s="130" t="str">
        <f t="shared" si="15"/>
        <v/>
      </c>
      <c r="E304" s="107" t="str">
        <f t="shared" si="14"/>
        <v/>
      </c>
      <c r="F304" s="19"/>
      <c r="G304" s="19"/>
      <c r="H304" s="19"/>
      <c r="I304" s="19"/>
      <c r="J304" s="19"/>
      <c r="K304" s="233"/>
      <c r="L304" s="19"/>
      <c r="M304" s="19"/>
      <c r="N304" s="19"/>
      <c r="O304" s="19"/>
      <c r="P304" s="19"/>
      <c r="Q304" s="19"/>
      <c r="R304" s="19"/>
      <c r="S304" s="19"/>
      <c r="T304" s="19"/>
      <c r="U304" s="19"/>
      <c r="V304" s="19"/>
      <c r="W304" s="19"/>
      <c r="X304" s="19"/>
      <c r="Y304" s="19"/>
    </row>
    <row r="305" spans="1:25" ht="14.1" customHeight="1">
      <c r="A305" s="219" t="str" cm="1">
        <f t="array" ref="A305">IFERROR(INDEX('03.Muestra'!$B$8:$B$42,SMALL(IF("Documento no web"='03.Muestra'!$D$8:$D$42,ROW('03.Muestra'!$B$8:$B$42)-MIN(ROW('03.Muestra'!$D$8:$D$42))+1,""),ROW()-284)),"")</f>
        <v/>
      </c>
      <c r="B305" s="114" t="str" cm="1">
        <f t="array" ref="B305">IFERROR(INDEX('03.Muestra'!$C$8:$C$42,SMALL(IF("Documento no web"='03.Muestra'!$D$8:$D$42,ROW('03.Muestra'!$C$8:$C$42)-MIN(ROW('03.Muestra'!$D$8:$D$42))+1,""),ROW()-284)),"")</f>
        <v/>
      </c>
      <c r="C305" s="114" t="str" cm="1">
        <f t="array" ref="C305">IFERROR(INDEX('03.Muestra'!$F$8:$F$42,SMALL(IF("Documento no web"='03.Muestra'!$D$8:$D$42,ROW('03.Muestra'!$F$8:$F$42)-MIN(ROW('03.Muestra'!$D$8:$D$42))+1,""),ROW()-284)),"")</f>
        <v/>
      </c>
      <c r="D305" s="130" t="str">
        <f t="shared" si="15"/>
        <v/>
      </c>
      <c r="E305" s="107" t="str">
        <f t="shared" si="14"/>
        <v/>
      </c>
      <c r="F305" s="19"/>
      <c r="G305" s="19"/>
      <c r="H305" s="19"/>
      <c r="I305" s="19"/>
      <c r="J305" s="19"/>
      <c r="K305" s="233"/>
      <c r="L305" s="19"/>
      <c r="M305" s="19"/>
      <c r="N305" s="19"/>
      <c r="O305" s="19"/>
      <c r="P305" s="19"/>
      <c r="Q305" s="19"/>
      <c r="R305" s="19"/>
      <c r="S305" s="19"/>
      <c r="T305" s="19"/>
      <c r="U305" s="19"/>
      <c r="V305" s="19"/>
      <c r="W305" s="19"/>
      <c r="X305" s="19"/>
      <c r="Y305" s="19"/>
    </row>
    <row r="306" spans="1:25" ht="14.1" customHeight="1">
      <c r="A306" s="219" t="str" cm="1">
        <f t="array" ref="A306">IFERROR(INDEX('03.Muestra'!$B$8:$B$42,SMALL(IF("Documento no web"='03.Muestra'!$D$8:$D$42,ROW('03.Muestra'!$B$8:$B$42)-MIN(ROW('03.Muestra'!$D$8:$D$42))+1,""),ROW()-284)),"")</f>
        <v/>
      </c>
      <c r="B306" s="114" t="str" cm="1">
        <f t="array" ref="B306">IFERROR(INDEX('03.Muestra'!$C$8:$C$42,SMALL(IF("Documento no web"='03.Muestra'!$D$8:$D$42,ROW('03.Muestra'!$C$8:$C$42)-MIN(ROW('03.Muestra'!$D$8:$D$42))+1,""),ROW()-284)),"")</f>
        <v/>
      </c>
      <c r="C306" s="114" t="str" cm="1">
        <f t="array" ref="C306">IFERROR(INDEX('03.Muestra'!$F$8:$F$42,SMALL(IF("Documento no web"='03.Muestra'!$D$8:$D$42,ROW('03.Muestra'!$F$8:$F$42)-MIN(ROW('03.Muestra'!$D$8:$D$42))+1,""),ROW()-284)),"")</f>
        <v/>
      </c>
      <c r="D306" s="130" t="str">
        <f t="shared" si="15"/>
        <v/>
      </c>
      <c r="E306" s="107" t="str">
        <f t="shared" si="14"/>
        <v/>
      </c>
      <c r="F306" s="19"/>
      <c r="G306" s="19"/>
      <c r="H306" s="19"/>
      <c r="I306" s="19"/>
      <c r="J306" s="19"/>
      <c r="K306" s="233"/>
      <c r="L306" s="19"/>
      <c r="M306" s="19"/>
      <c r="N306" s="19"/>
      <c r="O306" s="19"/>
      <c r="P306" s="19"/>
      <c r="Q306" s="19"/>
      <c r="R306" s="19"/>
      <c r="S306" s="19"/>
      <c r="T306" s="19"/>
      <c r="U306" s="19"/>
      <c r="V306" s="19"/>
      <c r="W306" s="19"/>
      <c r="X306" s="19"/>
      <c r="Y306" s="19"/>
    </row>
    <row r="307" spans="1:25" ht="14.1" customHeight="1">
      <c r="A307" s="219" t="str" cm="1">
        <f t="array" ref="A307">IFERROR(INDEX('03.Muestra'!$B$8:$B$42,SMALL(IF("Documento no web"='03.Muestra'!$D$8:$D$42,ROW('03.Muestra'!$B$8:$B$42)-MIN(ROW('03.Muestra'!$D$8:$D$42))+1,""),ROW()-284)),"")</f>
        <v/>
      </c>
      <c r="B307" s="114" t="str" cm="1">
        <f t="array" ref="B307">IFERROR(INDEX('03.Muestra'!$C$8:$C$42,SMALL(IF("Documento no web"='03.Muestra'!$D$8:$D$42,ROW('03.Muestra'!$C$8:$C$42)-MIN(ROW('03.Muestra'!$D$8:$D$42))+1,""),ROW()-284)),"")</f>
        <v/>
      </c>
      <c r="C307" s="114" t="str" cm="1">
        <f t="array" ref="C307">IFERROR(INDEX('03.Muestra'!$F$8:$F$42,SMALL(IF("Documento no web"='03.Muestra'!$D$8:$D$42,ROW('03.Muestra'!$F$8:$F$42)-MIN(ROW('03.Muestra'!$D$8:$D$42))+1,""),ROW()-284)),"")</f>
        <v/>
      </c>
      <c r="D307" s="130" t="str">
        <f t="shared" si="15"/>
        <v/>
      </c>
      <c r="E307" s="107" t="str">
        <f t="shared" si="14"/>
        <v/>
      </c>
      <c r="F307" s="19"/>
      <c r="G307" s="19"/>
      <c r="H307" s="19"/>
      <c r="I307" s="19"/>
      <c r="J307" s="19"/>
      <c r="K307" s="233"/>
      <c r="L307" s="19"/>
      <c r="M307" s="19"/>
      <c r="N307" s="19"/>
      <c r="O307" s="19"/>
      <c r="P307" s="19"/>
      <c r="Q307" s="19"/>
      <c r="R307" s="19"/>
      <c r="S307" s="19"/>
      <c r="T307" s="19"/>
      <c r="U307" s="19"/>
      <c r="V307" s="19"/>
      <c r="W307" s="19"/>
      <c r="X307" s="19"/>
      <c r="Y307" s="19"/>
    </row>
    <row r="308" spans="1:25" ht="12" customHeight="1">
      <c r="A308" s="219" t="str" cm="1">
        <f t="array" ref="A308">IFERROR(INDEX('03.Muestra'!$B$8:$B$42,SMALL(IF("Documento no web"='03.Muestra'!$D$8:$D$42,ROW('03.Muestra'!$B$8:$B$42)-MIN(ROW('03.Muestra'!$D$8:$D$42))+1,""),ROW()-284)),"")</f>
        <v/>
      </c>
      <c r="B308" s="114" t="str" cm="1">
        <f t="array" ref="B308">IFERROR(INDEX('03.Muestra'!$C$8:$C$42,SMALL(IF("Documento no web"='03.Muestra'!$D$8:$D$42,ROW('03.Muestra'!$C$8:$C$42)-MIN(ROW('03.Muestra'!$D$8:$D$42))+1,""),ROW()-284)),"")</f>
        <v/>
      </c>
      <c r="C308" s="114" t="str" cm="1">
        <f t="array" ref="C308">IFERROR(INDEX('03.Muestra'!$F$8:$F$42,SMALL(IF("Documento no web"='03.Muestra'!$D$8:$D$42,ROW('03.Muestra'!$F$8:$F$42)-MIN(ROW('03.Muestra'!$D$8:$D$42))+1,""),ROW()-284)),"")</f>
        <v/>
      </c>
      <c r="D308" s="130" t="str">
        <f t="shared" si="15"/>
        <v/>
      </c>
      <c r="E308" s="107" t="str">
        <f t="shared" si="14"/>
        <v/>
      </c>
      <c r="F308" s="19"/>
      <c r="G308" s="19"/>
      <c r="H308" s="19"/>
      <c r="I308" s="19"/>
      <c r="J308" s="19"/>
      <c r="K308" s="233"/>
      <c r="L308" s="19"/>
      <c r="M308" s="19"/>
      <c r="N308" s="19"/>
      <c r="O308" s="19"/>
      <c r="P308" s="19"/>
      <c r="Q308" s="19"/>
      <c r="R308" s="19"/>
      <c r="S308" s="19"/>
      <c r="T308" s="19"/>
      <c r="U308" s="19"/>
      <c r="V308" s="19"/>
      <c r="W308" s="19"/>
      <c r="X308" s="19"/>
      <c r="Y308" s="19"/>
    </row>
    <row r="309" spans="1:25" ht="12" customHeight="1">
      <c r="A309" s="219" t="str" cm="1">
        <f t="array" ref="A309">IFERROR(INDEX('03.Muestra'!$B$8:$B$42,SMALL(IF("Documento no web"='03.Muestra'!$D$8:$D$42,ROW('03.Muestra'!$B$8:$B$42)-MIN(ROW('03.Muestra'!$D$8:$D$42))+1,""),ROW()-284)),"")</f>
        <v/>
      </c>
      <c r="B309" s="114" t="str" cm="1">
        <f t="array" ref="B309">IFERROR(INDEX('03.Muestra'!$C$8:$C$42,SMALL(IF("Documento no web"='03.Muestra'!$D$8:$D$42,ROW('03.Muestra'!$C$8:$C$42)-MIN(ROW('03.Muestra'!$D$8:$D$42))+1,""),ROW()-284)),"")</f>
        <v/>
      </c>
      <c r="C309" s="114" t="str" cm="1">
        <f t="array" ref="C309">IFERROR(INDEX('03.Muestra'!$F$8:$F$42,SMALL(IF("Documento no web"='03.Muestra'!$D$8:$D$42,ROW('03.Muestra'!$F$8:$F$42)-MIN(ROW('03.Muestra'!$D$8:$D$42))+1,""),ROW()-284)),"")</f>
        <v/>
      </c>
      <c r="D309" s="130" t="str">
        <f t="shared" si="15"/>
        <v/>
      </c>
      <c r="E309" s="107" t="str">
        <f t="shared" si="14"/>
        <v/>
      </c>
      <c r="F309" s="19"/>
      <c r="G309" s="19"/>
      <c r="H309" s="19"/>
      <c r="I309" s="19"/>
      <c r="J309" s="19"/>
      <c r="K309" s="233"/>
      <c r="L309" s="19"/>
      <c r="M309" s="19"/>
      <c r="N309" s="19"/>
      <c r="O309" s="19"/>
      <c r="P309" s="19"/>
      <c r="Q309" s="19"/>
      <c r="R309" s="19"/>
      <c r="S309" s="19"/>
      <c r="T309" s="19"/>
      <c r="U309" s="19"/>
      <c r="V309" s="19"/>
      <c r="W309" s="19"/>
      <c r="X309" s="19"/>
      <c r="Y309" s="19"/>
    </row>
    <row r="310" spans="1:25" ht="12" customHeight="1">
      <c r="A310" s="219" t="str" cm="1">
        <f t="array" ref="A310">IFERROR(INDEX('03.Muestra'!$B$8:$B$42,SMALL(IF("Documento no web"='03.Muestra'!$D$8:$D$42,ROW('03.Muestra'!$B$8:$B$42)-MIN(ROW('03.Muestra'!$D$8:$D$42))+1,""),ROW()-284)),"")</f>
        <v/>
      </c>
      <c r="B310" s="114" t="str" cm="1">
        <f t="array" ref="B310">IFERROR(INDEX('03.Muestra'!$C$8:$C$42,SMALL(IF("Documento no web"='03.Muestra'!$D$8:$D$42,ROW('03.Muestra'!$C$8:$C$42)-MIN(ROW('03.Muestra'!$D$8:$D$42))+1,""),ROW()-284)),"")</f>
        <v/>
      </c>
      <c r="C310" s="114" t="str" cm="1">
        <f t="array" ref="C310">IFERROR(INDEX('03.Muestra'!$F$8:$F$42,SMALL(IF("Documento no web"='03.Muestra'!$D$8:$D$42,ROW('03.Muestra'!$F$8:$F$42)-MIN(ROW('03.Muestra'!$D$8:$D$42))+1,""),ROW()-284)),"")</f>
        <v/>
      </c>
      <c r="D310" s="130" t="str">
        <f t="shared" si="15"/>
        <v/>
      </c>
      <c r="E310" s="107" t="str">
        <f t="shared" si="14"/>
        <v/>
      </c>
      <c r="F310" s="19"/>
      <c r="G310" s="19"/>
      <c r="H310" s="19"/>
      <c r="I310" s="19"/>
      <c r="J310" s="19"/>
      <c r="K310" s="233"/>
      <c r="L310" s="19"/>
      <c r="M310" s="19"/>
      <c r="N310" s="19"/>
      <c r="O310" s="19"/>
      <c r="P310" s="19"/>
      <c r="Q310" s="19"/>
      <c r="R310" s="19"/>
      <c r="S310" s="19"/>
      <c r="T310" s="19"/>
      <c r="U310" s="19"/>
      <c r="V310" s="19"/>
      <c r="W310" s="19"/>
      <c r="X310" s="19"/>
      <c r="Y310" s="19"/>
    </row>
    <row r="311" spans="1:25" ht="12" customHeight="1">
      <c r="A311" s="219" t="str" cm="1">
        <f t="array" ref="A311">IFERROR(INDEX('03.Muestra'!$B$8:$B$42,SMALL(IF("Documento no web"='03.Muestra'!$D$8:$D$42,ROW('03.Muestra'!$B$8:$B$42)-MIN(ROW('03.Muestra'!$D$8:$D$42))+1,""),ROW()-284)),"")</f>
        <v/>
      </c>
      <c r="B311" s="114" t="str" cm="1">
        <f t="array" ref="B311">IFERROR(INDEX('03.Muestra'!$C$8:$C$42,SMALL(IF("Documento no web"='03.Muestra'!$D$8:$D$42,ROW('03.Muestra'!$C$8:$C$42)-MIN(ROW('03.Muestra'!$D$8:$D$42))+1,""),ROW()-284)),"")</f>
        <v/>
      </c>
      <c r="C311" s="114" t="str" cm="1">
        <f t="array" ref="C311">IFERROR(INDEX('03.Muestra'!$F$8:$F$42,SMALL(IF("Documento no web"='03.Muestra'!$D$8:$D$42,ROW('03.Muestra'!$F$8:$F$42)-MIN(ROW('03.Muestra'!$D$8:$D$42))+1,""),ROW()-284)),"")</f>
        <v/>
      </c>
      <c r="D311" s="130" t="str">
        <f t="shared" si="15"/>
        <v/>
      </c>
      <c r="E311" s="107" t="str">
        <f t="shared" si="14"/>
        <v/>
      </c>
      <c r="F311" s="19"/>
      <c r="G311" s="19"/>
      <c r="H311" s="19"/>
      <c r="I311" s="19"/>
      <c r="J311" s="19"/>
      <c r="K311" s="233"/>
      <c r="L311" s="19"/>
      <c r="M311" s="19"/>
      <c r="N311" s="19"/>
      <c r="O311" s="19"/>
      <c r="P311" s="19"/>
      <c r="Q311" s="19"/>
      <c r="R311" s="19"/>
      <c r="S311" s="19"/>
      <c r="T311" s="19"/>
      <c r="U311" s="19"/>
      <c r="V311" s="19"/>
      <c r="W311" s="19"/>
      <c r="X311" s="19"/>
      <c r="Y311" s="19"/>
    </row>
    <row r="312" spans="1:25" ht="12" customHeight="1">
      <c r="A312" s="219" t="str" cm="1">
        <f t="array" ref="A312">IFERROR(INDEX('03.Muestra'!$B$8:$B$42,SMALL(IF("Documento no web"='03.Muestra'!$D$8:$D$42,ROW('03.Muestra'!$B$8:$B$42)-MIN(ROW('03.Muestra'!$D$8:$D$42))+1,""),ROW()-284)),"")</f>
        <v/>
      </c>
      <c r="B312" s="114" t="str" cm="1">
        <f t="array" ref="B312">IFERROR(INDEX('03.Muestra'!$C$8:$C$42,SMALL(IF("Documento no web"='03.Muestra'!$D$8:$D$42,ROW('03.Muestra'!$C$8:$C$42)-MIN(ROW('03.Muestra'!$D$8:$D$42))+1,""),ROW()-284)),"")</f>
        <v/>
      </c>
      <c r="C312" s="114" t="str" cm="1">
        <f t="array" ref="C312">IFERROR(INDEX('03.Muestra'!$F$8:$F$42,SMALL(IF("Documento no web"='03.Muestra'!$D$8:$D$42,ROW('03.Muestra'!$F$8:$F$42)-MIN(ROW('03.Muestra'!$D$8:$D$42))+1,""),ROW()-284)),"")</f>
        <v/>
      </c>
      <c r="D312" s="130" t="str">
        <f t="shared" si="15"/>
        <v/>
      </c>
      <c r="E312" s="107" t="str">
        <f t="shared" si="14"/>
        <v/>
      </c>
      <c r="G312" s="19"/>
      <c r="H312" s="19"/>
      <c r="I312" s="19"/>
      <c r="J312" s="19"/>
      <c r="K312" s="233"/>
      <c r="L312" s="19"/>
      <c r="M312" s="19"/>
      <c r="N312" s="19"/>
      <c r="O312" s="19"/>
      <c r="P312" s="19"/>
      <c r="Q312" s="19"/>
      <c r="R312" s="19"/>
      <c r="S312" s="19"/>
      <c r="T312" s="19"/>
      <c r="U312" s="19"/>
      <c r="V312" s="19"/>
      <c r="W312" s="19"/>
      <c r="X312" s="19"/>
      <c r="Y312" s="19"/>
    </row>
    <row r="313" spans="1:25" ht="12" customHeight="1">
      <c r="A313" s="219" t="str" cm="1">
        <f t="array" ref="A313">IFERROR(INDEX('03.Muestra'!$B$8:$B$42,SMALL(IF("Documento no web"='03.Muestra'!$D$8:$D$42,ROW('03.Muestra'!$B$8:$B$42)-MIN(ROW('03.Muestra'!$D$8:$D$42))+1,""),ROW()-284)),"")</f>
        <v/>
      </c>
      <c r="B313" s="114" t="str" cm="1">
        <f t="array" ref="B313">IFERROR(INDEX('03.Muestra'!$C$8:$C$42,SMALL(IF("Documento no web"='03.Muestra'!$D$8:$D$42,ROW('03.Muestra'!$C$8:$C$42)-MIN(ROW('03.Muestra'!$D$8:$D$42))+1,""),ROW()-284)),"")</f>
        <v/>
      </c>
      <c r="C313" s="114" t="str" cm="1">
        <f t="array" ref="C313">IFERROR(INDEX('03.Muestra'!$F$8:$F$42,SMALL(IF("Documento no web"='03.Muestra'!$D$8:$D$42,ROW('03.Muestra'!$F$8:$F$42)-MIN(ROW('03.Muestra'!$D$8:$D$42))+1,""),ROW()-284)),"")</f>
        <v/>
      </c>
      <c r="D313" s="130" t="str">
        <f t="shared" si="15"/>
        <v/>
      </c>
      <c r="E313" s="107" t="str">
        <f t="shared" si="14"/>
        <v/>
      </c>
      <c r="F313" s="124"/>
      <c r="G313" s="19"/>
      <c r="H313" s="19"/>
      <c r="I313" s="19"/>
      <c r="J313" s="19"/>
      <c r="K313" s="233"/>
      <c r="L313" s="19"/>
      <c r="M313" s="19"/>
      <c r="N313" s="19"/>
      <c r="O313" s="19"/>
      <c r="P313" s="19"/>
      <c r="Q313" s="19"/>
      <c r="R313" s="19"/>
      <c r="S313" s="19"/>
      <c r="T313" s="19"/>
      <c r="U313" s="19"/>
      <c r="V313" s="19"/>
      <c r="W313" s="19"/>
      <c r="X313" s="19"/>
      <c r="Y313" s="19"/>
    </row>
    <row r="314" spans="1:25" ht="12" customHeight="1">
      <c r="A314" s="219" t="str" cm="1">
        <f t="array" ref="A314">IFERROR(INDEX('03.Muestra'!$B$8:$B$42,SMALL(IF("Documento no web"='03.Muestra'!$D$8:$D$42,ROW('03.Muestra'!$B$8:$B$42)-MIN(ROW('03.Muestra'!$D$8:$D$42))+1,""),ROW()-284)),"")</f>
        <v/>
      </c>
      <c r="B314" s="114" t="str" cm="1">
        <f t="array" ref="B314">IFERROR(INDEX('03.Muestra'!$C$8:$C$42,SMALL(IF("Documento no web"='03.Muestra'!$D$8:$D$42,ROW('03.Muestra'!$C$8:$C$42)-MIN(ROW('03.Muestra'!$D$8:$D$42))+1,""),ROW()-284)),"")</f>
        <v/>
      </c>
      <c r="C314" s="114" t="str" cm="1">
        <f t="array" ref="C314">IFERROR(INDEX('03.Muestra'!$F$8:$F$42,SMALL(IF("Documento no web"='03.Muestra'!$D$8:$D$42,ROW('03.Muestra'!$F$8:$F$42)-MIN(ROW('03.Muestra'!$D$8:$D$42))+1,""),ROW()-284)),"")</f>
        <v/>
      </c>
      <c r="D314" s="130" t="str">
        <f t="shared" si="15"/>
        <v/>
      </c>
      <c r="E314" s="107" t="str">
        <f t="shared" si="14"/>
        <v/>
      </c>
      <c r="F314" s="124"/>
      <c r="G314" s="19"/>
      <c r="H314" s="19"/>
      <c r="I314" s="19"/>
      <c r="J314" s="19"/>
      <c r="K314" s="233"/>
      <c r="L314" s="19"/>
      <c r="M314" s="19"/>
      <c r="N314" s="19"/>
      <c r="O314" s="19"/>
      <c r="P314" s="19"/>
      <c r="Q314" s="19"/>
      <c r="R314" s="19"/>
      <c r="S314" s="19"/>
      <c r="T314" s="19"/>
      <c r="U314" s="19"/>
      <c r="V314" s="19"/>
      <c r="W314" s="19"/>
      <c r="X314" s="19"/>
      <c r="Y314" s="19"/>
    </row>
    <row r="315" spans="1:25" ht="12" customHeight="1">
      <c r="A315" s="219" t="str" cm="1">
        <f t="array" ref="A315">IFERROR(INDEX('03.Muestra'!$B$8:$B$42,SMALL(IF("Documento no web"='03.Muestra'!$D$8:$D$42,ROW('03.Muestra'!$B$8:$B$42)-MIN(ROW('03.Muestra'!$D$8:$D$42))+1,""),ROW()-284)),"")</f>
        <v/>
      </c>
      <c r="B315" s="114" t="str" cm="1">
        <f t="array" ref="B315">IFERROR(INDEX('03.Muestra'!$C$8:$C$42,SMALL(IF("Documento no web"='03.Muestra'!$D$8:$D$42,ROW('03.Muestra'!$C$8:$C$42)-MIN(ROW('03.Muestra'!$D$8:$D$42))+1,""),ROW()-284)),"")</f>
        <v/>
      </c>
      <c r="C315" s="114" t="str" cm="1">
        <f t="array" ref="C315">IFERROR(INDEX('03.Muestra'!$F$8:$F$42,SMALL(IF("Documento no web"='03.Muestra'!$D$8:$D$42,ROW('03.Muestra'!$F$8:$F$42)-MIN(ROW('03.Muestra'!$D$8:$D$42))+1,""),ROW()-284)),"")</f>
        <v/>
      </c>
      <c r="D315" s="130" t="str">
        <f t="shared" si="15"/>
        <v/>
      </c>
      <c r="E315" s="107" t="str">
        <f t="shared" si="14"/>
        <v/>
      </c>
      <c r="F315" s="124"/>
      <c r="G315" s="19"/>
      <c r="H315" s="19"/>
      <c r="I315" s="19"/>
      <c r="J315" s="19"/>
      <c r="K315" s="233"/>
      <c r="L315" s="19"/>
      <c r="M315" s="19"/>
      <c r="N315" s="19"/>
      <c r="O315" s="19"/>
      <c r="P315" s="19"/>
      <c r="Q315" s="19"/>
      <c r="R315" s="19"/>
      <c r="S315" s="19"/>
      <c r="T315" s="19"/>
      <c r="U315" s="19"/>
      <c r="V315" s="19"/>
      <c r="W315" s="19"/>
      <c r="X315" s="19"/>
      <c r="Y315" s="19"/>
    </row>
    <row r="316" spans="1:25" ht="12" customHeight="1">
      <c r="A316" s="219" t="str" cm="1">
        <f t="array" ref="A316">IFERROR(INDEX('03.Muestra'!$B$8:$B$42,SMALL(IF("Documento no web"='03.Muestra'!$D$8:$D$42,ROW('03.Muestra'!$B$8:$B$42)-MIN(ROW('03.Muestra'!$D$8:$D$42))+1,""),ROW()-284)),"")</f>
        <v/>
      </c>
      <c r="B316" s="114" t="str" cm="1">
        <f t="array" ref="B316">IFERROR(INDEX('03.Muestra'!$C$8:$C$42,SMALL(IF("Documento no web"='03.Muestra'!$D$8:$D$42,ROW('03.Muestra'!$C$8:$C$42)-MIN(ROW('03.Muestra'!$D$8:$D$42))+1,""),ROW()-284)),"")</f>
        <v/>
      </c>
      <c r="C316" s="114" t="str" cm="1">
        <f t="array" ref="C316">IFERROR(INDEX('03.Muestra'!$F$8:$F$42,SMALL(IF("Documento no web"='03.Muestra'!$D$8:$D$42,ROW('03.Muestra'!$F$8:$F$42)-MIN(ROW('03.Muestra'!$D$8:$D$42))+1,""),ROW()-284)),"")</f>
        <v/>
      </c>
      <c r="D316" s="130" t="str">
        <f t="shared" si="15"/>
        <v/>
      </c>
      <c r="E316" s="107" t="str">
        <f t="shared" si="14"/>
        <v/>
      </c>
      <c r="F316" s="124"/>
      <c r="G316" s="19"/>
      <c r="H316" s="19"/>
      <c r="I316" s="19"/>
      <c r="J316" s="19"/>
      <c r="K316" s="233"/>
      <c r="L316" s="19"/>
      <c r="M316" s="19"/>
      <c r="N316" s="19"/>
      <c r="O316" s="19"/>
      <c r="P316" s="19"/>
      <c r="Q316" s="19"/>
      <c r="R316" s="19"/>
      <c r="S316" s="19"/>
      <c r="T316" s="19"/>
      <c r="U316" s="19"/>
      <c r="V316" s="19"/>
      <c r="W316" s="19"/>
      <c r="X316" s="19"/>
      <c r="Y316" s="19"/>
    </row>
    <row r="317" spans="1:25" ht="12" customHeight="1">
      <c r="A317" s="219" t="str" cm="1">
        <f t="array" ref="A317">IFERROR(INDEX('03.Muestra'!$B$8:$B$42,SMALL(IF("Documento no web"='03.Muestra'!$D$8:$D$42,ROW('03.Muestra'!$B$8:$B$42)-MIN(ROW('03.Muestra'!$D$8:$D$42))+1,""),ROW()-284)),"")</f>
        <v/>
      </c>
      <c r="B317" s="114" t="str" cm="1">
        <f t="array" ref="B317">IFERROR(INDEX('03.Muestra'!$C$8:$C$42,SMALL(IF("Documento no web"='03.Muestra'!$D$8:$D$42,ROW('03.Muestra'!$C$8:$C$42)-MIN(ROW('03.Muestra'!$D$8:$D$42))+1,""),ROW()-284)),"")</f>
        <v/>
      </c>
      <c r="C317" s="114" t="str" cm="1">
        <f t="array" ref="C317">IFERROR(INDEX('03.Muestra'!$F$8:$F$42,SMALL(IF("Documento no web"='03.Muestra'!$D$8:$D$42,ROW('03.Muestra'!$F$8:$F$42)-MIN(ROW('03.Muestra'!$D$8:$D$42))+1,""),ROW()-284)),"")</f>
        <v/>
      </c>
      <c r="D317" s="130" t="str">
        <f t="shared" si="15"/>
        <v/>
      </c>
      <c r="E317" s="107" t="str">
        <f t="shared" si="14"/>
        <v/>
      </c>
      <c r="F317" s="124"/>
      <c r="G317" s="19"/>
      <c r="H317" s="19"/>
      <c r="I317" s="19"/>
      <c r="J317" s="19"/>
      <c r="K317" s="233"/>
      <c r="L317" s="19"/>
      <c r="M317" s="19"/>
      <c r="N317" s="19"/>
      <c r="O317" s="19"/>
      <c r="P317" s="19"/>
      <c r="Q317" s="19"/>
      <c r="R317" s="19"/>
      <c r="S317" s="19"/>
      <c r="T317" s="19"/>
      <c r="U317" s="19"/>
      <c r="V317" s="19"/>
      <c r="W317" s="19"/>
      <c r="X317" s="19"/>
      <c r="Y317" s="19"/>
    </row>
    <row r="318" spans="1:25" ht="12" customHeight="1">
      <c r="A318" s="219" t="str" cm="1">
        <f t="array" ref="A318">IFERROR(INDEX('03.Muestra'!$B$8:$B$42,SMALL(IF("Documento no web"='03.Muestra'!$D$8:$D$42,ROW('03.Muestra'!$B$8:$B$42)-MIN(ROW('03.Muestra'!$D$8:$D$42))+1,""),ROW()-284)),"")</f>
        <v/>
      </c>
      <c r="B318" s="114" t="str" cm="1">
        <f t="array" ref="B318">IFERROR(INDEX('03.Muestra'!$C$8:$C$42,SMALL(IF("Documento no web"='03.Muestra'!$D$8:$D$42,ROW('03.Muestra'!$C$8:$C$42)-MIN(ROW('03.Muestra'!$D$8:$D$42))+1,""),ROW()-284)),"")</f>
        <v/>
      </c>
      <c r="C318" s="114" t="str" cm="1">
        <f t="array" ref="C318">IFERROR(INDEX('03.Muestra'!$F$8:$F$42,SMALL(IF("Documento no web"='03.Muestra'!$D$8:$D$42,ROW('03.Muestra'!$F$8:$F$42)-MIN(ROW('03.Muestra'!$D$8:$D$42))+1,""),ROW()-284)),"")</f>
        <v/>
      </c>
      <c r="D318" s="130" t="str">
        <f t="shared" si="15"/>
        <v/>
      </c>
      <c r="E318" s="107" t="str">
        <f t="shared" si="14"/>
        <v/>
      </c>
      <c r="F318" s="124"/>
      <c r="G318" s="19"/>
      <c r="H318" s="19"/>
      <c r="I318" s="19"/>
      <c r="J318" s="19"/>
      <c r="K318" s="233"/>
      <c r="L318" s="19"/>
      <c r="M318" s="19"/>
      <c r="N318" s="19"/>
      <c r="O318" s="19"/>
      <c r="P318" s="19"/>
      <c r="Q318" s="19"/>
      <c r="R318" s="19"/>
      <c r="S318" s="19"/>
      <c r="T318" s="19"/>
      <c r="U318" s="19"/>
      <c r="V318" s="19"/>
      <c r="W318" s="19"/>
      <c r="X318" s="19"/>
      <c r="Y318" s="19"/>
    </row>
    <row r="319" spans="1:25" ht="12" customHeight="1">
      <c r="A319" s="219" t="str" cm="1">
        <f t="array" ref="A319">IFERROR(INDEX('03.Muestra'!$B$8:$B$42,SMALL(IF("Documento no web"='03.Muestra'!$D$8:$D$42,ROW('03.Muestra'!$B$8:$B$42)-MIN(ROW('03.Muestra'!$D$8:$D$42))+1,""),ROW()-284)),"")</f>
        <v/>
      </c>
      <c r="B319" s="114" t="str" cm="1">
        <f t="array" ref="B319">IFERROR(INDEX('03.Muestra'!$C$8:$C$42,SMALL(IF("Documento no web"='03.Muestra'!$D$8:$D$42,ROW('03.Muestra'!$C$8:$C$42)-MIN(ROW('03.Muestra'!$D$8:$D$42))+1,""),ROW()-284)),"")</f>
        <v/>
      </c>
      <c r="C319" s="114" t="str" cm="1">
        <f t="array" ref="C319">IFERROR(INDEX('03.Muestra'!$F$8:$F$42,SMALL(IF("Documento no web"='03.Muestra'!$D$8:$D$42,ROW('03.Muestra'!$F$8:$F$42)-MIN(ROW('03.Muestra'!$D$8:$D$42))+1,""),ROW()-284)),"")</f>
        <v/>
      </c>
      <c r="D319" s="130" t="str">
        <f t="shared" si="15"/>
        <v/>
      </c>
      <c r="E319" s="107" t="str">
        <f t="shared" si="14"/>
        <v/>
      </c>
      <c r="F319" s="19"/>
      <c r="G319" s="19"/>
      <c r="H319" s="19"/>
      <c r="I319" s="19"/>
      <c r="J319" s="19"/>
      <c r="K319" s="233"/>
      <c r="L319" s="19"/>
      <c r="M319" s="19"/>
      <c r="N319" s="19"/>
      <c r="O319" s="19"/>
      <c r="P319" s="19"/>
      <c r="Q319" s="19"/>
      <c r="R319" s="19"/>
      <c r="S319" s="19"/>
      <c r="T319" s="19"/>
      <c r="U319" s="19"/>
      <c r="V319" s="19"/>
      <c r="W319" s="19"/>
      <c r="X319" s="19"/>
      <c r="Y319" s="19"/>
    </row>
    <row r="320" spans="1:25" ht="12" customHeight="1">
      <c r="B320" s="19"/>
      <c r="C320" s="19"/>
      <c r="D320" s="107"/>
      <c r="E320" s="107"/>
      <c r="F320" s="19"/>
      <c r="G320" s="19"/>
      <c r="H320" s="19"/>
      <c r="I320" s="19"/>
      <c r="J320" s="19"/>
      <c r="K320" s="233"/>
      <c r="L320" s="19"/>
      <c r="M320" s="19"/>
      <c r="N320" s="19"/>
      <c r="O320" s="19"/>
      <c r="P320" s="19"/>
      <c r="Q320" s="19"/>
      <c r="R320" s="19"/>
      <c r="S320" s="19"/>
      <c r="T320" s="19"/>
      <c r="U320" s="19"/>
      <c r="V320" s="19"/>
      <c r="W320" s="19"/>
      <c r="X320" s="19"/>
      <c r="Y320" s="19"/>
    </row>
    <row r="321" spans="1:25" ht="12" customHeight="1">
      <c r="B321" s="19"/>
      <c r="C321" s="19"/>
      <c r="D321" s="107"/>
      <c r="E321" s="112"/>
      <c r="F321" s="19"/>
      <c r="G321" s="19"/>
      <c r="H321" s="19"/>
      <c r="I321" s="19"/>
      <c r="J321" s="19"/>
      <c r="K321" s="233"/>
      <c r="L321" s="19"/>
      <c r="M321" s="19"/>
      <c r="N321" s="19"/>
      <c r="O321" s="19"/>
      <c r="P321" s="19"/>
      <c r="Q321" s="19"/>
      <c r="R321" s="19"/>
      <c r="S321" s="19"/>
      <c r="T321" s="19"/>
      <c r="U321" s="19"/>
      <c r="V321" s="19"/>
      <c r="W321" s="19"/>
      <c r="X321" s="19"/>
      <c r="Y321" s="19"/>
    </row>
    <row r="322" spans="1:25" ht="32.25" customHeight="1">
      <c r="A322" s="218" t="s">
        <v>268</v>
      </c>
      <c r="B322" s="24" t="s">
        <v>90</v>
      </c>
      <c r="C322" s="25" t="s">
        <v>430</v>
      </c>
      <c r="D322" s="26" t="s">
        <v>32</v>
      </c>
      <c r="E322" s="123"/>
      <c r="K322" s="233"/>
      <c r="L322" s="19"/>
      <c r="M322" s="19"/>
      <c r="N322" s="19"/>
      <c r="O322" s="19"/>
      <c r="P322" s="19"/>
      <c r="Q322" s="19"/>
      <c r="R322" s="19"/>
      <c r="S322" s="19"/>
      <c r="T322" s="19"/>
      <c r="U322" s="19"/>
      <c r="V322" s="19"/>
      <c r="W322" s="19"/>
      <c r="X322" s="19"/>
      <c r="Y322" s="19"/>
    </row>
    <row r="323" spans="1:25" ht="12" customHeight="1">
      <c r="A323" s="219" t="n" cm="1">
        <f t="array" ref="A323">IFERROR(INDEX('03.Muestra'!$B$8:$B$42,SMALL(IF("Documento no web"='03.Muestra'!$D$8:$D$42,ROW('03.Muestra'!$B$8:$B$42)-MIN(ROW('03.Muestra'!$D$8:$D$42))+1,""),ROW()-322)),"")</f>
        <v>1.0</v>
      </c>
      <c r="B323" s="114" t="str" cm="1">
        <f t="array" ref="B323">IFERROR(INDEX('03.Muestra'!$C$8:$C$42,SMALL(IF("Documento no web"='03.Muestra'!$D$8:$D$42,ROW('03.Muestra'!$C$8:$C$42)-MIN(ROW('03.Muestra'!$D$8:$D$42))+1,""),ROW()-322)),"")</f>
        <v>Home - PortCastelló</v>
      </c>
      <c r="C323" s="114" t="str" cm="1">
        <f t="array" ref="C323">IFERROR(INDEX('03.Muestra'!$F$8:$F$42,SMALL(IF("Documento no web"='03.Muestra'!$D$8:$D$42,ROW('03.Muestra'!$F$8:$F$42)-MIN(ROW('03.Muestra'!$D$8:$D$42))+1,""),ROW()-322)),"")</f>
        <v>https://www.portcastello.com/</v>
      </c>
      <c r="D323" s="130" t="s">
        <v>33</v>
      </c>
      <c r="E323" s="107" t="str">
        <f t="shared" ref="E323:E357" si="16">IF(D323&lt;&gt;"",IF(AND(B323&lt;&gt;"",C323&lt;&gt;""),"","ERR"),"")</f>
        <v/>
      </c>
      <c r="F323" s="115" t="s">
        <v>33</v>
      </c>
      <c r="G323" s="116" t="s">
        <v>37</v>
      </c>
      <c r="H323" s="117" t="s">
        <v>35</v>
      </c>
      <c r="I323" s="118" t="s">
        <v>28</v>
      </c>
      <c r="J323" s="119" t="s">
        <v>26</v>
      </c>
      <c r="K323" s="226" t="s">
        <v>474</v>
      </c>
      <c r="L323" s="19"/>
      <c r="M323" s="19"/>
      <c r="N323" s="19"/>
      <c r="O323" s="19"/>
      <c r="P323" s="19"/>
      <c r="Q323" s="19"/>
      <c r="R323" s="19"/>
      <c r="S323" s="19"/>
      <c r="T323" s="19"/>
      <c r="U323" s="19"/>
      <c r="V323" s="19"/>
      <c r="W323" s="19"/>
      <c r="X323" s="19"/>
      <c r="Y323" s="19"/>
    </row>
    <row r="324" spans="1:25" ht="12" customHeight="1">
      <c r="A324" s="219" t="n" cm="1">
        <f t="array" ref="A324">IFERROR(INDEX('03.Muestra'!$B$8:$B$42,SMALL(IF("Documento no web"='03.Muestra'!$D$8:$D$42,ROW('03.Muestra'!$B$8:$B$42)-MIN(ROW('03.Muestra'!$D$8:$D$42))+1,""),ROW()-322)),"")</f>
        <v>1.0</v>
      </c>
      <c r="B324" s="114" t="str" cm="1">
        <f t="array" ref="B324">IFERROR(INDEX('03.Muestra'!$C$8:$C$42,SMALL(IF("Documento no web"='03.Muestra'!$D$8:$D$42,ROW('03.Muestra'!$C$8:$C$42)-MIN(ROW('03.Muestra'!$D$8:$D$42))+1,""),ROW()-322)),"")</f>
        <v>Home - PortCastelló</v>
      </c>
      <c r="C324" s="114" t="str" cm="1">
        <f t="array" ref="C324">IFERROR(INDEX('03.Muestra'!$F$8:$F$42,SMALL(IF("Documento no web"='03.Muestra'!$D$8:$D$42,ROW('03.Muestra'!$F$8:$F$42)-MIN(ROW('03.Muestra'!$D$8:$D$42))+1,""),ROW()-322)),"")</f>
        <v>https://www.portcastello.com/</v>
      </c>
      <c r="D324" s="130" t="s">
        <v>33</v>
      </c>
      <c r="E324" s="107" t="str">
        <f t="shared" si="16"/>
        <v/>
      </c>
      <c r="F324" s="120" t="n">
        <f ca="1">COUNTIF($D323:INDIRECT("$D" &amp;  SUM(ROW()-1,'03.Muestra'!$D$45)-1),F323)</f>
        <v>2.0</v>
      </c>
      <c r="G324" s="120" t="n">
        <f ca="1">COUNTIF($D323:INDIRECT("$D" &amp;  SUM(ROW()-1,'03.Muestra'!$D$45)-1),G323)</f>
        <v>0.0</v>
      </c>
      <c r="H324" s="120" t="n">
        <f ca="1">COUNTIF($D323:INDIRECT("$D" &amp;  SUM(ROW()-1,'03.Muestra'!$D$45)-1),H323)</f>
        <v>0.0</v>
      </c>
      <c r="I324" s="120" t="n">
        <f ca="1">COUNTIF($D323:INDIRECT("$D" &amp;  SUM(ROW()-1,'03.Muestra'!$D$45)-1),I323)</f>
        <v>0.0</v>
      </c>
      <c r="J324" s="120" t="n">
        <f ca="1">COUNTIF($D323:INDIRECT("$D" &amp;  SUM(ROW()-1,'03.Muestra'!$D$45)-1),J323)</f>
        <v>0.0</v>
      </c>
      <c r="K324" s="227" t="n">
        <f ca="1">IF(COUNTIF('03.Muestra'!$D$8:$D$42,"Documento no web")=0,0,COUNTBLANK($D323:INDIRECT("$D" &amp;  SUM(ROW()-1,COUNTIF('03.Muestra'!$D$8:$D$42,"Documento no web"))-1)))</f>
        <v>0.0</v>
      </c>
      <c r="L324" s="19"/>
      <c r="M324" s="19"/>
      <c r="N324" s="19"/>
      <c r="O324" s="19"/>
      <c r="P324" s="19"/>
      <c r="Q324" s="19"/>
      <c r="R324" s="19"/>
      <c r="S324" s="19"/>
      <c r="T324" s="19"/>
      <c r="U324" s="19"/>
      <c r="V324" s="19"/>
      <c r="W324" s="19"/>
      <c r="X324" s="19"/>
      <c r="Y324" s="19"/>
    </row>
    <row r="325" spans="1:25" ht="12" customHeight="1">
      <c r="A325" s="219" t="str" cm="1">
        <f t="array" ref="A325">IFERROR(INDEX('03.Muestra'!$B$8:$B$42,SMALL(IF("Documento no web"='03.Muestra'!$D$8:$D$42,ROW('03.Muestra'!$B$8:$B$42)-MIN(ROW('03.Muestra'!$D$8:$D$42))+1,""),ROW()-322)),"")</f>
        <v/>
      </c>
      <c r="B325" s="114" t="str" cm="1">
        <f t="array" ref="B325">IFERROR(INDEX('03.Muestra'!$C$8:$C$42,SMALL(IF("Documento no web"='03.Muestra'!$D$8:$D$42,ROW('03.Muestra'!$C$8:$C$42)-MIN(ROW('03.Muestra'!$D$8:$D$42))+1,""),ROW()-322)),"")</f>
        <v/>
      </c>
      <c r="C325" s="114" t="str" cm="1">
        <f t="array" ref="C325">IFERROR(INDEX('03.Muestra'!$F$8:$F$42,SMALL(IF("Documento no web"='03.Muestra'!$D$8:$D$42,ROW('03.Muestra'!$F$8:$F$42)-MIN(ROW('03.Muestra'!$D$8:$D$42))+1,""),ROW()-322)),"")</f>
        <v/>
      </c>
      <c r="D325" s="130" t="str">
        <f t="shared" si="17" ref="D325:D357">IF(AND(B325&lt;&gt;"",C325&lt;&gt;""),"N/T","")</f>
        <v/>
      </c>
      <c r="E325" s="107" t="str">
        <f t="shared" si="16"/>
        <v/>
      </c>
      <c r="G325" s="19"/>
      <c r="H325" s="19"/>
      <c r="I325" s="19"/>
      <c r="J325" s="19"/>
      <c r="K325" s="233"/>
      <c r="L325" s="19"/>
      <c r="M325" s="19"/>
      <c r="N325" s="19"/>
      <c r="O325" s="19"/>
      <c r="P325" s="19"/>
      <c r="Q325" s="19"/>
      <c r="R325" s="19"/>
      <c r="S325" s="19"/>
      <c r="T325" s="19"/>
      <c r="U325" s="19"/>
      <c r="V325" s="19"/>
      <c r="W325" s="19"/>
      <c r="X325" s="19"/>
      <c r="Y325" s="19"/>
    </row>
    <row r="326" spans="1:25" ht="12" customHeight="1">
      <c r="A326" s="219" t="str" cm="1">
        <f t="array" ref="A326">IFERROR(INDEX('03.Muestra'!$B$8:$B$42,SMALL(IF("Documento no web"='03.Muestra'!$D$8:$D$42,ROW('03.Muestra'!$B$8:$B$42)-MIN(ROW('03.Muestra'!$D$8:$D$42))+1,""),ROW()-322)),"")</f>
        <v/>
      </c>
      <c r="B326" s="114" t="str" cm="1">
        <f t="array" ref="B326">IFERROR(INDEX('03.Muestra'!$C$8:$C$42,SMALL(IF("Documento no web"='03.Muestra'!$D$8:$D$42,ROW('03.Muestra'!$C$8:$C$42)-MIN(ROW('03.Muestra'!$D$8:$D$42))+1,""),ROW()-322)),"")</f>
        <v/>
      </c>
      <c r="C326" s="114" t="str" cm="1">
        <f t="array" ref="C326">IFERROR(INDEX('03.Muestra'!$F$8:$F$42,SMALL(IF("Documento no web"='03.Muestra'!$D$8:$D$42,ROW('03.Muestra'!$F$8:$F$42)-MIN(ROW('03.Muestra'!$D$8:$D$42))+1,""),ROW()-322)),"")</f>
        <v/>
      </c>
      <c r="D326" s="130" t="str">
        <f t="shared" si="17"/>
        <v/>
      </c>
      <c r="E326" s="107" t="str">
        <f t="shared" si="16"/>
        <v/>
      </c>
      <c r="G326" s="19"/>
      <c r="H326" s="19"/>
      <c r="I326" s="19"/>
      <c r="J326" s="19"/>
      <c r="K326" s="233"/>
      <c r="L326" s="19"/>
      <c r="M326" s="19"/>
      <c r="N326" s="19"/>
      <c r="O326" s="19"/>
      <c r="P326" s="19"/>
      <c r="Q326" s="19"/>
      <c r="R326" s="19"/>
      <c r="S326" s="19"/>
      <c r="T326" s="19"/>
      <c r="U326" s="19"/>
      <c r="V326" s="19"/>
      <c r="W326" s="19"/>
      <c r="X326" s="19"/>
      <c r="Y326" s="19"/>
    </row>
    <row r="327" spans="1:25" ht="12" customHeight="1">
      <c r="A327" s="219" t="str" cm="1">
        <f t="array" ref="A327">IFERROR(INDEX('03.Muestra'!$B$8:$B$42,SMALL(IF("Documento no web"='03.Muestra'!$D$8:$D$42,ROW('03.Muestra'!$B$8:$B$42)-MIN(ROW('03.Muestra'!$D$8:$D$42))+1,""),ROW()-322)),"")</f>
        <v/>
      </c>
      <c r="B327" s="114" t="str" cm="1">
        <f t="array" ref="B327">IFERROR(INDEX('03.Muestra'!$C$8:$C$42,SMALL(IF("Documento no web"='03.Muestra'!$D$8:$D$42,ROW('03.Muestra'!$C$8:$C$42)-MIN(ROW('03.Muestra'!$D$8:$D$42))+1,""),ROW()-322)),"")</f>
        <v/>
      </c>
      <c r="C327" s="114" t="str" cm="1">
        <f t="array" ref="C327">IFERROR(INDEX('03.Muestra'!$F$8:$F$42,SMALL(IF("Documento no web"='03.Muestra'!$D$8:$D$42,ROW('03.Muestra'!$F$8:$F$42)-MIN(ROW('03.Muestra'!$D$8:$D$42))+1,""),ROW()-322)),"")</f>
        <v/>
      </c>
      <c r="D327" s="130" t="str">
        <f t="shared" si="17"/>
        <v/>
      </c>
      <c r="E327" s="107" t="str">
        <f t="shared" si="16"/>
        <v/>
      </c>
      <c r="G327" s="19"/>
      <c r="H327" s="19"/>
      <c r="I327" s="19"/>
      <c r="J327" s="19"/>
      <c r="K327" s="233"/>
      <c r="L327" s="19"/>
      <c r="M327" s="19"/>
      <c r="N327" s="19"/>
      <c r="O327" s="19"/>
      <c r="P327" s="19"/>
      <c r="Q327" s="19"/>
      <c r="R327" s="19"/>
      <c r="S327" s="19"/>
      <c r="T327" s="19"/>
      <c r="U327" s="19"/>
      <c r="V327" s="19"/>
      <c r="W327" s="19"/>
      <c r="X327" s="19"/>
      <c r="Y327" s="19"/>
    </row>
    <row r="328" spans="1:25" ht="12" customHeight="1">
      <c r="A328" s="219" t="str" cm="1">
        <f t="array" ref="A328">IFERROR(INDEX('03.Muestra'!$B$8:$B$42,SMALL(IF("Documento no web"='03.Muestra'!$D$8:$D$42,ROW('03.Muestra'!$B$8:$B$42)-MIN(ROW('03.Muestra'!$D$8:$D$42))+1,""),ROW()-322)),"")</f>
        <v/>
      </c>
      <c r="B328" s="114" t="str" cm="1">
        <f t="array" ref="B328">IFERROR(INDEX('03.Muestra'!$C$8:$C$42,SMALL(IF("Documento no web"='03.Muestra'!$D$8:$D$42,ROW('03.Muestra'!$C$8:$C$42)-MIN(ROW('03.Muestra'!$D$8:$D$42))+1,""),ROW()-322)),"")</f>
        <v/>
      </c>
      <c r="C328" s="114" t="str" cm="1">
        <f t="array" ref="C328">IFERROR(INDEX('03.Muestra'!$F$8:$F$42,SMALL(IF("Documento no web"='03.Muestra'!$D$8:$D$42,ROW('03.Muestra'!$F$8:$F$42)-MIN(ROW('03.Muestra'!$D$8:$D$42))+1,""),ROW()-322)),"")</f>
        <v/>
      </c>
      <c r="D328" s="130" t="str">
        <f t="shared" si="17"/>
        <v/>
      </c>
      <c r="E328" s="107" t="str">
        <f t="shared" si="16"/>
        <v/>
      </c>
      <c r="G328" s="19"/>
      <c r="H328" s="19"/>
      <c r="I328" s="19"/>
      <c r="J328" s="19"/>
      <c r="K328" s="233"/>
      <c r="L328" s="19"/>
      <c r="M328" s="19"/>
      <c r="N328" s="19"/>
      <c r="O328" s="19"/>
      <c r="P328" s="19"/>
      <c r="Q328" s="19"/>
      <c r="R328" s="19"/>
      <c r="S328" s="19"/>
      <c r="T328" s="19"/>
      <c r="U328" s="19"/>
      <c r="V328" s="19"/>
      <c r="W328" s="19"/>
      <c r="X328" s="19"/>
      <c r="Y328" s="19"/>
    </row>
    <row r="329" spans="1:25" ht="12" customHeight="1">
      <c r="A329" s="219" t="str" cm="1">
        <f t="array" ref="A329">IFERROR(INDEX('03.Muestra'!$B$8:$B$42,SMALL(IF("Documento no web"='03.Muestra'!$D$8:$D$42,ROW('03.Muestra'!$B$8:$B$42)-MIN(ROW('03.Muestra'!$D$8:$D$42))+1,""),ROW()-322)),"")</f>
        <v/>
      </c>
      <c r="B329" s="114" t="str" cm="1">
        <f t="array" ref="B329">IFERROR(INDEX('03.Muestra'!$C$8:$C$42,SMALL(IF("Documento no web"='03.Muestra'!$D$8:$D$42,ROW('03.Muestra'!$C$8:$C$42)-MIN(ROW('03.Muestra'!$D$8:$D$42))+1,""),ROW()-322)),"")</f>
        <v/>
      </c>
      <c r="C329" s="114" t="str" cm="1">
        <f t="array" ref="C329">IFERROR(INDEX('03.Muestra'!$F$8:$F$42,SMALL(IF("Documento no web"='03.Muestra'!$D$8:$D$42,ROW('03.Muestra'!$F$8:$F$42)-MIN(ROW('03.Muestra'!$D$8:$D$42))+1,""),ROW()-322)),"")</f>
        <v/>
      </c>
      <c r="D329" s="130" t="str">
        <f t="shared" si="17"/>
        <v/>
      </c>
      <c r="E329" s="107" t="str">
        <f t="shared" si="16"/>
        <v/>
      </c>
      <c r="F329" s="19"/>
      <c r="G329" s="19"/>
      <c r="H329" s="19"/>
      <c r="I329" s="19"/>
      <c r="J329" s="19"/>
      <c r="K329" s="233"/>
      <c r="L329" s="19"/>
      <c r="M329" s="19"/>
      <c r="N329" s="19"/>
      <c r="O329" s="19"/>
      <c r="P329" s="19"/>
      <c r="Q329" s="19"/>
      <c r="R329" s="19"/>
      <c r="S329" s="19"/>
      <c r="T329" s="19"/>
      <c r="U329" s="19"/>
      <c r="V329" s="19"/>
      <c r="W329" s="19"/>
      <c r="X329" s="19"/>
      <c r="Y329" s="19"/>
    </row>
    <row r="330" spans="1:25" ht="12" customHeight="1">
      <c r="A330" s="219" t="str" cm="1">
        <f t="array" ref="A330">IFERROR(INDEX('03.Muestra'!$B$8:$B$42,SMALL(IF("Documento no web"='03.Muestra'!$D$8:$D$42,ROW('03.Muestra'!$B$8:$B$42)-MIN(ROW('03.Muestra'!$D$8:$D$42))+1,""),ROW()-322)),"")</f>
        <v/>
      </c>
      <c r="B330" s="114" t="str" cm="1">
        <f t="array" ref="B330">IFERROR(INDEX('03.Muestra'!$C$8:$C$42,SMALL(IF("Documento no web"='03.Muestra'!$D$8:$D$42,ROW('03.Muestra'!$C$8:$C$42)-MIN(ROW('03.Muestra'!$D$8:$D$42))+1,""),ROW()-322)),"")</f>
        <v/>
      </c>
      <c r="C330" s="114" t="str" cm="1">
        <f t="array" ref="C330">IFERROR(INDEX('03.Muestra'!$F$8:$F$42,SMALL(IF("Documento no web"='03.Muestra'!$D$8:$D$42,ROW('03.Muestra'!$F$8:$F$42)-MIN(ROW('03.Muestra'!$D$8:$D$42))+1,""),ROW()-322)),"")</f>
        <v/>
      </c>
      <c r="D330" s="130" t="str">
        <f t="shared" si="17"/>
        <v/>
      </c>
      <c r="E330" s="107" t="str">
        <f t="shared" si="16"/>
        <v/>
      </c>
      <c r="F330" s="19"/>
      <c r="G330" s="19"/>
      <c r="H330" s="19"/>
      <c r="I330" s="19"/>
      <c r="J330" s="19"/>
      <c r="K330" s="233"/>
      <c r="L330" s="19"/>
      <c r="M330" s="19"/>
      <c r="N330" s="19"/>
      <c r="O330" s="19"/>
      <c r="P330" s="19"/>
      <c r="Q330" s="19"/>
      <c r="R330" s="19"/>
      <c r="S330" s="19"/>
      <c r="T330" s="19"/>
      <c r="U330" s="19"/>
      <c r="V330" s="19"/>
      <c r="W330" s="19"/>
      <c r="X330" s="19"/>
      <c r="Y330" s="19"/>
    </row>
    <row r="331" spans="1:25" ht="12" customHeight="1">
      <c r="A331" s="219" t="str" cm="1">
        <f t="array" ref="A331">IFERROR(INDEX('03.Muestra'!$B$8:$B$42,SMALL(IF("Documento no web"='03.Muestra'!$D$8:$D$42,ROW('03.Muestra'!$B$8:$B$42)-MIN(ROW('03.Muestra'!$D$8:$D$42))+1,""),ROW()-322)),"")</f>
        <v/>
      </c>
      <c r="B331" s="114" t="str" cm="1">
        <f t="array" ref="B331">IFERROR(INDEX('03.Muestra'!$C$8:$C$42,SMALL(IF("Documento no web"='03.Muestra'!$D$8:$D$42,ROW('03.Muestra'!$C$8:$C$42)-MIN(ROW('03.Muestra'!$D$8:$D$42))+1,""),ROW()-322)),"")</f>
        <v/>
      </c>
      <c r="C331" s="114" t="str" cm="1">
        <f t="array" ref="C331">IFERROR(INDEX('03.Muestra'!$F$8:$F$42,SMALL(IF("Documento no web"='03.Muestra'!$D$8:$D$42,ROW('03.Muestra'!$F$8:$F$42)-MIN(ROW('03.Muestra'!$D$8:$D$42))+1,""),ROW()-322)),"")</f>
        <v/>
      </c>
      <c r="D331" s="130" t="str">
        <f t="shared" si="17"/>
        <v/>
      </c>
      <c r="E331" s="107" t="str">
        <f t="shared" si="16"/>
        <v/>
      </c>
      <c r="F331" s="19"/>
      <c r="G331" s="19"/>
      <c r="H331" s="19"/>
      <c r="I331" s="19"/>
      <c r="J331" s="19"/>
      <c r="K331" s="233"/>
      <c r="L331" s="19"/>
      <c r="M331" s="19"/>
      <c r="N331" s="19"/>
      <c r="O331" s="19"/>
      <c r="P331" s="19"/>
      <c r="Q331" s="19"/>
      <c r="R331" s="19"/>
      <c r="S331" s="19"/>
      <c r="T331" s="19"/>
      <c r="U331" s="19"/>
      <c r="V331" s="19"/>
      <c r="W331" s="19"/>
      <c r="X331" s="19"/>
      <c r="Y331" s="19"/>
    </row>
    <row r="332" spans="1:25" ht="12" customHeight="1">
      <c r="A332" s="219" t="str" cm="1">
        <f t="array" ref="A332">IFERROR(INDEX('03.Muestra'!$B$8:$B$42,SMALL(IF("Documento no web"='03.Muestra'!$D$8:$D$42,ROW('03.Muestra'!$B$8:$B$42)-MIN(ROW('03.Muestra'!$D$8:$D$42))+1,""),ROW()-322)),"")</f>
        <v/>
      </c>
      <c r="B332" s="114" t="str" cm="1">
        <f t="array" ref="B332">IFERROR(INDEX('03.Muestra'!$C$8:$C$42,SMALL(IF("Documento no web"='03.Muestra'!$D$8:$D$42,ROW('03.Muestra'!$C$8:$C$42)-MIN(ROW('03.Muestra'!$D$8:$D$42))+1,""),ROW()-322)),"")</f>
        <v/>
      </c>
      <c r="C332" s="114" t="str" cm="1">
        <f t="array" ref="C332">IFERROR(INDEX('03.Muestra'!$F$8:$F$42,SMALL(IF("Documento no web"='03.Muestra'!$D$8:$D$42,ROW('03.Muestra'!$F$8:$F$42)-MIN(ROW('03.Muestra'!$D$8:$D$42))+1,""),ROW()-322)),"")</f>
        <v/>
      </c>
      <c r="D332" s="130" t="str">
        <f t="shared" si="17"/>
        <v/>
      </c>
      <c r="E332" s="107" t="str">
        <f t="shared" si="16"/>
        <v/>
      </c>
      <c r="F332" s="19"/>
      <c r="G332" s="19"/>
      <c r="H332" s="19"/>
      <c r="I332" s="19"/>
      <c r="J332" s="19"/>
      <c r="K332" s="233"/>
      <c r="L332" s="19"/>
      <c r="M332" s="19"/>
      <c r="N332" s="19"/>
      <c r="O332" s="19"/>
      <c r="P332" s="19"/>
      <c r="Q332" s="19"/>
      <c r="R332" s="19"/>
      <c r="S332" s="19"/>
      <c r="T332" s="19"/>
      <c r="U332" s="19"/>
      <c r="V332" s="19"/>
      <c r="W332" s="19"/>
      <c r="X332" s="19"/>
      <c r="Y332" s="19"/>
    </row>
    <row r="333" spans="1:25" ht="12" customHeight="1">
      <c r="A333" s="219" t="str" cm="1">
        <f t="array" ref="A333">IFERROR(INDEX('03.Muestra'!$B$8:$B$42,SMALL(IF("Documento no web"='03.Muestra'!$D$8:$D$42,ROW('03.Muestra'!$B$8:$B$42)-MIN(ROW('03.Muestra'!$D$8:$D$42))+1,""),ROW()-322)),"")</f>
        <v/>
      </c>
      <c r="B333" s="114" t="str" cm="1">
        <f t="array" ref="B333">IFERROR(INDEX('03.Muestra'!$C$8:$C$42,SMALL(IF("Documento no web"='03.Muestra'!$D$8:$D$42,ROW('03.Muestra'!$C$8:$C$42)-MIN(ROW('03.Muestra'!$D$8:$D$42))+1,""),ROW()-322)),"")</f>
        <v/>
      </c>
      <c r="C333" s="114" t="str" cm="1">
        <f t="array" ref="C333">IFERROR(INDEX('03.Muestra'!$F$8:$F$42,SMALL(IF("Documento no web"='03.Muestra'!$D$8:$D$42,ROW('03.Muestra'!$F$8:$F$42)-MIN(ROW('03.Muestra'!$D$8:$D$42))+1,""),ROW()-322)),"")</f>
        <v/>
      </c>
      <c r="D333" s="130" t="str">
        <f t="shared" si="17"/>
        <v/>
      </c>
      <c r="E333" s="107" t="str">
        <f t="shared" si="16"/>
        <v/>
      </c>
      <c r="F333" s="19"/>
      <c r="G333" s="19"/>
      <c r="H333" s="19"/>
      <c r="I333" s="19"/>
      <c r="J333" s="19"/>
      <c r="K333" s="233"/>
      <c r="L333" s="19"/>
      <c r="M333" s="19"/>
      <c r="N333" s="19"/>
      <c r="O333" s="19"/>
      <c r="P333" s="19"/>
      <c r="Q333" s="19"/>
      <c r="R333" s="19"/>
      <c r="S333" s="19"/>
      <c r="T333" s="19"/>
      <c r="U333" s="19"/>
      <c r="V333" s="19"/>
      <c r="W333" s="19"/>
      <c r="X333" s="19"/>
      <c r="Y333" s="19"/>
    </row>
    <row r="334" spans="1:25" ht="12" customHeight="1">
      <c r="A334" s="219" t="str" cm="1">
        <f t="array" ref="A334">IFERROR(INDEX('03.Muestra'!$B$8:$B$42,SMALL(IF("Documento no web"='03.Muestra'!$D$8:$D$42,ROW('03.Muestra'!$B$8:$B$42)-MIN(ROW('03.Muestra'!$D$8:$D$42))+1,""),ROW()-322)),"")</f>
        <v/>
      </c>
      <c r="B334" s="114" t="str" cm="1">
        <f t="array" ref="B334">IFERROR(INDEX('03.Muestra'!$C$8:$C$42,SMALL(IF("Documento no web"='03.Muestra'!$D$8:$D$42,ROW('03.Muestra'!$C$8:$C$42)-MIN(ROW('03.Muestra'!$D$8:$D$42))+1,""),ROW()-322)),"")</f>
        <v/>
      </c>
      <c r="C334" s="114" t="str" cm="1">
        <f t="array" ref="C334">IFERROR(INDEX('03.Muestra'!$F$8:$F$42,SMALL(IF("Documento no web"='03.Muestra'!$D$8:$D$42,ROW('03.Muestra'!$F$8:$F$42)-MIN(ROW('03.Muestra'!$D$8:$D$42))+1,""),ROW()-322)),"")</f>
        <v/>
      </c>
      <c r="D334" s="130" t="str">
        <f t="shared" si="17"/>
        <v/>
      </c>
      <c r="E334" s="107" t="str">
        <f t="shared" si="16"/>
        <v/>
      </c>
      <c r="F334" s="19"/>
      <c r="G334" s="19"/>
      <c r="H334" s="19"/>
      <c r="I334" s="19"/>
      <c r="J334" s="19"/>
      <c r="K334" s="233"/>
      <c r="L334" s="19"/>
      <c r="M334" s="19"/>
      <c r="N334" s="19"/>
      <c r="O334" s="19"/>
      <c r="P334" s="19"/>
      <c r="Q334" s="19"/>
      <c r="R334" s="19"/>
      <c r="S334" s="19"/>
      <c r="T334" s="19"/>
      <c r="U334" s="19"/>
      <c r="V334" s="19"/>
      <c r="W334" s="19"/>
      <c r="X334" s="19"/>
      <c r="Y334" s="19"/>
    </row>
    <row r="335" spans="1:25" ht="14.1" customHeight="1">
      <c r="A335" s="219" t="str" cm="1">
        <f t="array" ref="A335">IFERROR(INDEX('03.Muestra'!$B$8:$B$42,SMALL(IF("Documento no web"='03.Muestra'!$D$8:$D$42,ROW('03.Muestra'!$B$8:$B$42)-MIN(ROW('03.Muestra'!$D$8:$D$42))+1,""),ROW()-322)),"")</f>
        <v/>
      </c>
      <c r="B335" s="114" t="str" cm="1">
        <f t="array" ref="B335">IFERROR(INDEX('03.Muestra'!$C$8:$C$42,SMALL(IF("Documento no web"='03.Muestra'!$D$8:$D$42,ROW('03.Muestra'!$C$8:$C$42)-MIN(ROW('03.Muestra'!$D$8:$D$42))+1,""),ROW()-322)),"")</f>
        <v/>
      </c>
      <c r="C335" s="114" t="str" cm="1">
        <f t="array" ref="C335">IFERROR(INDEX('03.Muestra'!$F$8:$F$42,SMALL(IF("Documento no web"='03.Muestra'!$D$8:$D$42,ROW('03.Muestra'!$F$8:$F$42)-MIN(ROW('03.Muestra'!$D$8:$D$42))+1,""),ROW()-322)),"")</f>
        <v/>
      </c>
      <c r="D335" s="130" t="str">
        <f t="shared" si="17"/>
        <v/>
      </c>
      <c r="E335" s="107" t="str">
        <f t="shared" si="16"/>
        <v/>
      </c>
      <c r="F335" s="19"/>
      <c r="G335" s="19"/>
      <c r="H335" s="19"/>
      <c r="I335" s="19"/>
      <c r="J335" s="19"/>
      <c r="K335" s="233"/>
      <c r="L335" s="19"/>
      <c r="M335" s="19"/>
      <c r="N335" s="19"/>
      <c r="O335" s="19"/>
      <c r="P335" s="19"/>
      <c r="Q335" s="19"/>
      <c r="R335" s="19"/>
      <c r="S335" s="19"/>
      <c r="T335" s="19"/>
      <c r="U335" s="19"/>
      <c r="V335" s="19"/>
      <c r="W335" s="19"/>
      <c r="X335" s="19"/>
      <c r="Y335" s="19"/>
    </row>
    <row r="336" spans="1:25" ht="14.1" customHeight="1">
      <c r="A336" s="219" t="str" cm="1">
        <f t="array" ref="A336">IFERROR(INDEX('03.Muestra'!$B$8:$B$42,SMALL(IF("Documento no web"='03.Muestra'!$D$8:$D$42,ROW('03.Muestra'!$B$8:$B$42)-MIN(ROW('03.Muestra'!$D$8:$D$42))+1,""),ROW()-322)),"")</f>
        <v/>
      </c>
      <c r="B336" s="114" t="str" cm="1">
        <f t="array" ref="B336">IFERROR(INDEX('03.Muestra'!$C$8:$C$42,SMALL(IF("Documento no web"='03.Muestra'!$D$8:$D$42,ROW('03.Muestra'!$C$8:$C$42)-MIN(ROW('03.Muestra'!$D$8:$D$42))+1,""),ROW()-322)),"")</f>
        <v/>
      </c>
      <c r="C336" s="114" t="str" cm="1">
        <f t="array" ref="C336">IFERROR(INDEX('03.Muestra'!$F$8:$F$42,SMALL(IF("Documento no web"='03.Muestra'!$D$8:$D$42,ROW('03.Muestra'!$F$8:$F$42)-MIN(ROW('03.Muestra'!$D$8:$D$42))+1,""),ROW()-322)),"")</f>
        <v/>
      </c>
      <c r="D336" s="130" t="str">
        <f t="shared" si="17"/>
        <v/>
      </c>
      <c r="E336" s="107" t="str">
        <f t="shared" si="16"/>
        <v/>
      </c>
      <c r="F336" s="19"/>
      <c r="G336" s="19"/>
      <c r="H336" s="19"/>
      <c r="I336" s="19"/>
      <c r="J336" s="19"/>
      <c r="K336" s="233"/>
      <c r="L336" s="19"/>
      <c r="M336" s="19"/>
      <c r="N336" s="19"/>
      <c r="O336" s="19"/>
      <c r="P336" s="19"/>
      <c r="Q336" s="19"/>
      <c r="R336" s="19"/>
      <c r="S336" s="19"/>
      <c r="T336" s="19"/>
      <c r="U336" s="19"/>
      <c r="V336" s="19"/>
      <c r="W336" s="19"/>
      <c r="X336" s="19"/>
      <c r="Y336" s="19"/>
    </row>
    <row r="337" spans="1:25" ht="14.1" customHeight="1">
      <c r="A337" s="219" t="str" cm="1">
        <f t="array" ref="A337">IFERROR(INDEX('03.Muestra'!$B$8:$B$42,SMALL(IF("Documento no web"='03.Muestra'!$D$8:$D$42,ROW('03.Muestra'!$B$8:$B$42)-MIN(ROW('03.Muestra'!$D$8:$D$42))+1,""),ROW()-322)),"")</f>
        <v/>
      </c>
      <c r="B337" s="114" t="str" cm="1">
        <f t="array" ref="B337">IFERROR(INDEX('03.Muestra'!$C$8:$C$42,SMALL(IF("Documento no web"='03.Muestra'!$D$8:$D$42,ROW('03.Muestra'!$C$8:$C$42)-MIN(ROW('03.Muestra'!$D$8:$D$42))+1,""),ROW()-322)),"")</f>
        <v/>
      </c>
      <c r="C337" s="114" t="str" cm="1">
        <f t="array" ref="C337">IFERROR(INDEX('03.Muestra'!$F$8:$F$42,SMALL(IF("Documento no web"='03.Muestra'!$D$8:$D$42,ROW('03.Muestra'!$F$8:$F$42)-MIN(ROW('03.Muestra'!$D$8:$D$42))+1,""),ROW()-322)),"")</f>
        <v/>
      </c>
      <c r="D337" s="130" t="str">
        <f t="shared" si="17"/>
        <v/>
      </c>
      <c r="E337" s="107" t="str">
        <f t="shared" si="16"/>
        <v/>
      </c>
      <c r="F337" s="19"/>
      <c r="G337" s="19"/>
      <c r="H337" s="19"/>
      <c r="I337" s="19"/>
      <c r="J337" s="19"/>
      <c r="K337" s="233"/>
      <c r="L337" s="19"/>
      <c r="M337" s="19"/>
      <c r="N337" s="19"/>
      <c r="O337" s="19"/>
      <c r="P337" s="19"/>
      <c r="Q337" s="19"/>
      <c r="R337" s="19"/>
      <c r="S337" s="19"/>
      <c r="T337" s="19"/>
      <c r="U337" s="19"/>
      <c r="V337" s="19"/>
      <c r="W337" s="19"/>
      <c r="X337" s="19"/>
      <c r="Y337" s="19"/>
    </row>
    <row r="338" spans="1:25" ht="14.1" customHeight="1">
      <c r="A338" s="219" t="str" cm="1">
        <f t="array" ref="A338">IFERROR(INDEX('03.Muestra'!$B$8:$B$42,SMALL(IF("Documento no web"='03.Muestra'!$D$8:$D$42,ROW('03.Muestra'!$B$8:$B$42)-MIN(ROW('03.Muestra'!$D$8:$D$42))+1,""),ROW()-322)),"")</f>
        <v/>
      </c>
      <c r="B338" s="114" t="str" cm="1">
        <f t="array" ref="B338">IFERROR(INDEX('03.Muestra'!$C$8:$C$42,SMALL(IF("Documento no web"='03.Muestra'!$D$8:$D$42,ROW('03.Muestra'!$C$8:$C$42)-MIN(ROW('03.Muestra'!$D$8:$D$42))+1,""),ROW()-322)),"")</f>
        <v/>
      </c>
      <c r="C338" s="114" t="str" cm="1">
        <f t="array" ref="C338">IFERROR(INDEX('03.Muestra'!$F$8:$F$42,SMALL(IF("Documento no web"='03.Muestra'!$D$8:$D$42,ROW('03.Muestra'!$F$8:$F$42)-MIN(ROW('03.Muestra'!$D$8:$D$42))+1,""),ROW()-322)),"")</f>
        <v/>
      </c>
      <c r="D338" s="130" t="str">
        <f t="shared" si="17"/>
        <v/>
      </c>
      <c r="E338" s="107" t="str">
        <f t="shared" si="16"/>
        <v/>
      </c>
      <c r="F338" s="19"/>
      <c r="G338" s="19"/>
      <c r="H338" s="19"/>
      <c r="I338" s="19"/>
      <c r="J338" s="19"/>
      <c r="K338" s="233"/>
      <c r="L338" s="19"/>
      <c r="M338" s="19"/>
      <c r="N338" s="19"/>
      <c r="O338" s="19"/>
      <c r="P338" s="19"/>
      <c r="Q338" s="19"/>
      <c r="R338" s="19"/>
      <c r="S338" s="19"/>
      <c r="T338" s="19"/>
      <c r="U338" s="19"/>
      <c r="V338" s="19"/>
      <c r="W338" s="19"/>
      <c r="X338" s="19"/>
      <c r="Y338" s="19"/>
    </row>
    <row r="339" spans="1:25" ht="14.1" customHeight="1">
      <c r="A339" s="219" t="str" cm="1">
        <f t="array" ref="A339">IFERROR(INDEX('03.Muestra'!$B$8:$B$42,SMALL(IF("Documento no web"='03.Muestra'!$D$8:$D$42,ROW('03.Muestra'!$B$8:$B$42)-MIN(ROW('03.Muestra'!$D$8:$D$42))+1,""),ROW()-322)),"")</f>
        <v/>
      </c>
      <c r="B339" s="114" t="str" cm="1">
        <f t="array" ref="B339">IFERROR(INDEX('03.Muestra'!$C$8:$C$42,SMALL(IF("Documento no web"='03.Muestra'!$D$8:$D$42,ROW('03.Muestra'!$C$8:$C$42)-MIN(ROW('03.Muestra'!$D$8:$D$42))+1,""),ROW()-322)),"")</f>
        <v/>
      </c>
      <c r="C339" s="114" t="str" cm="1">
        <f t="array" ref="C339">IFERROR(INDEX('03.Muestra'!$F$8:$F$42,SMALL(IF("Documento no web"='03.Muestra'!$D$8:$D$42,ROW('03.Muestra'!$F$8:$F$42)-MIN(ROW('03.Muestra'!$D$8:$D$42))+1,""),ROW()-322)),"")</f>
        <v/>
      </c>
      <c r="D339" s="130" t="str">
        <f t="shared" si="17"/>
        <v/>
      </c>
      <c r="E339" s="107" t="str">
        <f t="shared" si="16"/>
        <v/>
      </c>
      <c r="F339" s="19"/>
      <c r="G339" s="19"/>
      <c r="H339" s="19"/>
      <c r="I339" s="19"/>
      <c r="J339" s="19"/>
      <c r="K339" s="233"/>
      <c r="L339" s="19"/>
      <c r="M339" s="19"/>
      <c r="N339" s="19"/>
      <c r="O339" s="19"/>
      <c r="P339" s="19"/>
      <c r="Q339" s="19"/>
      <c r="R339" s="19"/>
      <c r="S339" s="19"/>
      <c r="T339" s="19"/>
      <c r="U339" s="19"/>
      <c r="V339" s="19"/>
      <c r="W339" s="19"/>
      <c r="X339" s="19"/>
      <c r="Y339" s="19"/>
    </row>
    <row r="340" spans="1:25" ht="14.1" customHeight="1">
      <c r="A340" s="219" t="str" cm="1">
        <f t="array" ref="A340">IFERROR(INDEX('03.Muestra'!$B$8:$B$42,SMALL(IF("Documento no web"='03.Muestra'!$D$8:$D$42,ROW('03.Muestra'!$B$8:$B$42)-MIN(ROW('03.Muestra'!$D$8:$D$42))+1,""),ROW()-322)),"")</f>
        <v/>
      </c>
      <c r="B340" s="114" t="str" cm="1">
        <f t="array" ref="B340">IFERROR(INDEX('03.Muestra'!$C$8:$C$42,SMALL(IF("Documento no web"='03.Muestra'!$D$8:$D$42,ROW('03.Muestra'!$C$8:$C$42)-MIN(ROW('03.Muestra'!$D$8:$D$42))+1,""),ROW()-322)),"")</f>
        <v/>
      </c>
      <c r="C340" s="114" t="str" cm="1">
        <f t="array" ref="C340">IFERROR(INDEX('03.Muestra'!$F$8:$F$42,SMALL(IF("Documento no web"='03.Muestra'!$D$8:$D$42,ROW('03.Muestra'!$F$8:$F$42)-MIN(ROW('03.Muestra'!$D$8:$D$42))+1,""),ROW()-322)),"")</f>
        <v/>
      </c>
      <c r="D340" s="130" t="str">
        <f t="shared" si="17"/>
        <v/>
      </c>
      <c r="E340" s="107" t="str">
        <f t="shared" si="16"/>
        <v/>
      </c>
      <c r="F340" s="19"/>
      <c r="G340" s="19"/>
      <c r="H340" s="19"/>
      <c r="I340" s="19"/>
      <c r="J340" s="19"/>
      <c r="K340" s="233"/>
      <c r="L340" s="19"/>
      <c r="M340" s="19"/>
      <c r="N340" s="19"/>
      <c r="O340" s="19"/>
      <c r="P340" s="19"/>
      <c r="Q340" s="19"/>
      <c r="R340" s="19"/>
      <c r="S340" s="19"/>
      <c r="T340" s="19"/>
      <c r="U340" s="19"/>
      <c r="V340" s="19"/>
      <c r="W340" s="19"/>
      <c r="X340" s="19"/>
      <c r="Y340" s="19"/>
    </row>
    <row r="341" spans="1:25" ht="14.1" customHeight="1">
      <c r="A341" s="219" t="str" cm="1">
        <f t="array" ref="A341">IFERROR(INDEX('03.Muestra'!$B$8:$B$42,SMALL(IF("Documento no web"='03.Muestra'!$D$8:$D$42,ROW('03.Muestra'!$B$8:$B$42)-MIN(ROW('03.Muestra'!$D$8:$D$42))+1,""),ROW()-322)),"")</f>
        <v/>
      </c>
      <c r="B341" s="114" t="str" cm="1">
        <f t="array" ref="B341">IFERROR(INDEX('03.Muestra'!$C$8:$C$42,SMALL(IF("Documento no web"='03.Muestra'!$D$8:$D$42,ROW('03.Muestra'!$C$8:$C$42)-MIN(ROW('03.Muestra'!$D$8:$D$42))+1,""),ROW()-322)),"")</f>
        <v/>
      </c>
      <c r="C341" s="114" t="str" cm="1">
        <f t="array" ref="C341">IFERROR(INDEX('03.Muestra'!$F$8:$F$42,SMALL(IF("Documento no web"='03.Muestra'!$D$8:$D$42,ROW('03.Muestra'!$F$8:$F$42)-MIN(ROW('03.Muestra'!$D$8:$D$42))+1,""),ROW()-322)),"")</f>
        <v/>
      </c>
      <c r="D341" s="130" t="str">
        <f t="shared" si="17"/>
        <v/>
      </c>
      <c r="E341" s="107" t="str">
        <f t="shared" si="16"/>
        <v/>
      </c>
      <c r="F341" s="19"/>
      <c r="G341" s="19"/>
      <c r="H341" s="19"/>
      <c r="I341" s="19"/>
      <c r="J341" s="19"/>
      <c r="K341" s="233"/>
      <c r="L341" s="19"/>
      <c r="M341" s="19"/>
      <c r="N341" s="19"/>
      <c r="O341" s="19"/>
      <c r="P341" s="19"/>
      <c r="Q341" s="19"/>
      <c r="R341" s="19"/>
      <c r="S341" s="19"/>
      <c r="T341" s="19"/>
      <c r="U341" s="19"/>
      <c r="V341" s="19"/>
      <c r="W341" s="19"/>
      <c r="X341" s="19"/>
      <c r="Y341" s="19"/>
    </row>
    <row r="342" spans="1:25" ht="14.1" customHeight="1">
      <c r="A342" s="219" t="str" cm="1">
        <f t="array" ref="A342">IFERROR(INDEX('03.Muestra'!$B$8:$B$42,SMALL(IF("Documento no web"='03.Muestra'!$D$8:$D$42,ROW('03.Muestra'!$B$8:$B$42)-MIN(ROW('03.Muestra'!$D$8:$D$42))+1,""),ROW()-322)),"")</f>
        <v/>
      </c>
      <c r="B342" s="114" t="str" cm="1">
        <f t="array" ref="B342">IFERROR(INDEX('03.Muestra'!$C$8:$C$42,SMALL(IF("Documento no web"='03.Muestra'!$D$8:$D$42,ROW('03.Muestra'!$C$8:$C$42)-MIN(ROW('03.Muestra'!$D$8:$D$42))+1,""),ROW()-322)),"")</f>
        <v/>
      </c>
      <c r="C342" s="114" t="str" cm="1">
        <f t="array" ref="C342">IFERROR(INDEX('03.Muestra'!$F$8:$F$42,SMALL(IF("Documento no web"='03.Muestra'!$D$8:$D$42,ROW('03.Muestra'!$F$8:$F$42)-MIN(ROW('03.Muestra'!$D$8:$D$42))+1,""),ROW()-322)),"")</f>
        <v/>
      </c>
      <c r="D342" s="130" t="str">
        <f t="shared" si="17"/>
        <v/>
      </c>
      <c r="E342" s="107" t="str">
        <f t="shared" si="16"/>
        <v/>
      </c>
      <c r="F342" s="19"/>
      <c r="G342" s="19"/>
      <c r="H342" s="19"/>
      <c r="I342" s="19"/>
      <c r="J342" s="19"/>
      <c r="K342" s="233"/>
      <c r="L342" s="19"/>
      <c r="M342" s="19"/>
      <c r="N342" s="19"/>
      <c r="O342" s="19"/>
      <c r="P342" s="19"/>
      <c r="Q342" s="19"/>
      <c r="R342" s="19"/>
      <c r="S342" s="19"/>
      <c r="T342" s="19"/>
      <c r="U342" s="19"/>
      <c r="V342" s="19"/>
      <c r="W342" s="19"/>
      <c r="X342" s="19"/>
      <c r="Y342" s="19"/>
    </row>
    <row r="343" spans="1:25" ht="14.1" customHeight="1">
      <c r="A343" s="219" t="str" cm="1">
        <f t="array" ref="A343">IFERROR(INDEX('03.Muestra'!$B$8:$B$42,SMALL(IF("Documento no web"='03.Muestra'!$D$8:$D$42,ROW('03.Muestra'!$B$8:$B$42)-MIN(ROW('03.Muestra'!$D$8:$D$42))+1,""),ROW()-322)),"")</f>
        <v/>
      </c>
      <c r="B343" s="114" t="str" cm="1">
        <f t="array" ref="B343">IFERROR(INDEX('03.Muestra'!$C$8:$C$42,SMALL(IF("Documento no web"='03.Muestra'!$D$8:$D$42,ROW('03.Muestra'!$C$8:$C$42)-MIN(ROW('03.Muestra'!$D$8:$D$42))+1,""),ROW()-322)),"")</f>
        <v/>
      </c>
      <c r="C343" s="114" t="str" cm="1">
        <f t="array" ref="C343">IFERROR(INDEX('03.Muestra'!$F$8:$F$42,SMALL(IF("Documento no web"='03.Muestra'!$D$8:$D$42,ROW('03.Muestra'!$F$8:$F$42)-MIN(ROW('03.Muestra'!$D$8:$D$42))+1,""),ROW()-322)),"")</f>
        <v/>
      </c>
      <c r="D343" s="130" t="str">
        <f t="shared" si="17"/>
        <v/>
      </c>
      <c r="E343" s="107" t="str">
        <f t="shared" si="16"/>
        <v/>
      </c>
      <c r="F343" s="19"/>
      <c r="G343" s="19"/>
      <c r="H343" s="19"/>
      <c r="I343" s="19"/>
      <c r="J343" s="19"/>
      <c r="K343" s="233"/>
      <c r="L343" s="19"/>
      <c r="M343" s="19"/>
      <c r="N343" s="19"/>
      <c r="O343" s="19"/>
      <c r="P343" s="19"/>
      <c r="Q343" s="19"/>
      <c r="R343" s="19"/>
      <c r="S343" s="19"/>
      <c r="T343" s="19"/>
      <c r="U343" s="19"/>
      <c r="V343" s="19"/>
      <c r="W343" s="19"/>
      <c r="X343" s="19"/>
      <c r="Y343" s="19"/>
    </row>
    <row r="344" spans="1:25" ht="14.1" customHeight="1">
      <c r="A344" s="219" t="str" cm="1">
        <f t="array" ref="A344">IFERROR(INDEX('03.Muestra'!$B$8:$B$42,SMALL(IF("Documento no web"='03.Muestra'!$D$8:$D$42,ROW('03.Muestra'!$B$8:$B$42)-MIN(ROW('03.Muestra'!$D$8:$D$42))+1,""),ROW()-322)),"")</f>
        <v/>
      </c>
      <c r="B344" s="114" t="str" cm="1">
        <f t="array" ref="B344">IFERROR(INDEX('03.Muestra'!$C$8:$C$42,SMALL(IF("Documento no web"='03.Muestra'!$D$8:$D$42,ROW('03.Muestra'!$C$8:$C$42)-MIN(ROW('03.Muestra'!$D$8:$D$42))+1,""),ROW()-322)),"")</f>
        <v/>
      </c>
      <c r="C344" s="114" t="str" cm="1">
        <f t="array" ref="C344">IFERROR(INDEX('03.Muestra'!$F$8:$F$42,SMALL(IF("Documento no web"='03.Muestra'!$D$8:$D$42,ROW('03.Muestra'!$F$8:$F$42)-MIN(ROW('03.Muestra'!$D$8:$D$42))+1,""),ROW()-322)),"")</f>
        <v/>
      </c>
      <c r="D344" s="130" t="str">
        <f t="shared" si="17"/>
        <v/>
      </c>
      <c r="E344" s="107" t="str">
        <f t="shared" si="16"/>
        <v/>
      </c>
      <c r="F344" s="19"/>
      <c r="G344" s="19"/>
      <c r="H344" s="19"/>
      <c r="I344" s="19"/>
      <c r="J344" s="19"/>
      <c r="K344" s="233"/>
      <c r="L344" s="19"/>
      <c r="M344" s="19"/>
      <c r="N344" s="19"/>
      <c r="O344" s="19"/>
      <c r="P344" s="19"/>
      <c r="Q344" s="19"/>
      <c r="R344" s="19"/>
      <c r="S344" s="19"/>
      <c r="T344" s="19"/>
      <c r="U344" s="19"/>
      <c r="V344" s="19"/>
      <c r="W344" s="19"/>
      <c r="X344" s="19"/>
      <c r="Y344" s="19"/>
    </row>
    <row r="345" spans="1:25" ht="14.1" customHeight="1">
      <c r="A345" s="219" t="str" cm="1">
        <f t="array" ref="A345">IFERROR(INDEX('03.Muestra'!$B$8:$B$42,SMALL(IF("Documento no web"='03.Muestra'!$D$8:$D$42,ROW('03.Muestra'!$B$8:$B$42)-MIN(ROW('03.Muestra'!$D$8:$D$42))+1,""),ROW()-322)),"")</f>
        <v/>
      </c>
      <c r="B345" s="114" t="str" cm="1">
        <f t="array" ref="B345">IFERROR(INDEX('03.Muestra'!$C$8:$C$42,SMALL(IF("Documento no web"='03.Muestra'!$D$8:$D$42,ROW('03.Muestra'!$C$8:$C$42)-MIN(ROW('03.Muestra'!$D$8:$D$42))+1,""),ROW()-322)),"")</f>
        <v/>
      </c>
      <c r="C345" s="114" t="str" cm="1">
        <f t="array" ref="C345">IFERROR(INDEX('03.Muestra'!$F$8:$F$42,SMALL(IF("Documento no web"='03.Muestra'!$D$8:$D$42,ROW('03.Muestra'!$F$8:$F$42)-MIN(ROW('03.Muestra'!$D$8:$D$42))+1,""),ROW()-322)),"")</f>
        <v/>
      </c>
      <c r="D345" s="130" t="str">
        <f t="shared" si="17"/>
        <v/>
      </c>
      <c r="E345" s="107" t="str">
        <f t="shared" si="16"/>
        <v/>
      </c>
      <c r="F345" s="19"/>
      <c r="G345" s="19"/>
      <c r="H345" s="19"/>
      <c r="I345" s="19"/>
      <c r="J345" s="19"/>
      <c r="K345" s="233"/>
      <c r="L345" s="19"/>
      <c r="M345" s="19"/>
      <c r="N345" s="19"/>
      <c r="O345" s="19"/>
      <c r="P345" s="19"/>
      <c r="Q345" s="19"/>
      <c r="R345" s="19"/>
      <c r="S345" s="19"/>
      <c r="T345" s="19"/>
      <c r="U345" s="19"/>
      <c r="V345" s="19"/>
      <c r="W345" s="19"/>
      <c r="X345" s="19"/>
      <c r="Y345" s="19"/>
    </row>
    <row r="346" spans="1:25" ht="12" customHeight="1">
      <c r="A346" s="219" t="str" cm="1">
        <f t="array" ref="A346">IFERROR(INDEX('03.Muestra'!$B$8:$B$42,SMALL(IF("Documento no web"='03.Muestra'!$D$8:$D$42,ROW('03.Muestra'!$B$8:$B$42)-MIN(ROW('03.Muestra'!$D$8:$D$42))+1,""),ROW()-322)),"")</f>
        <v/>
      </c>
      <c r="B346" s="114" t="str" cm="1">
        <f t="array" ref="B346">IFERROR(INDEX('03.Muestra'!$C$8:$C$42,SMALL(IF("Documento no web"='03.Muestra'!$D$8:$D$42,ROW('03.Muestra'!$C$8:$C$42)-MIN(ROW('03.Muestra'!$D$8:$D$42))+1,""),ROW()-322)),"")</f>
        <v/>
      </c>
      <c r="C346" s="114" t="str" cm="1">
        <f t="array" ref="C346">IFERROR(INDEX('03.Muestra'!$F$8:$F$42,SMALL(IF("Documento no web"='03.Muestra'!$D$8:$D$42,ROW('03.Muestra'!$F$8:$F$42)-MIN(ROW('03.Muestra'!$D$8:$D$42))+1,""),ROW()-322)),"")</f>
        <v/>
      </c>
      <c r="D346" s="130" t="str">
        <f t="shared" si="17"/>
        <v/>
      </c>
      <c r="E346" s="107" t="str">
        <f t="shared" si="16"/>
        <v/>
      </c>
      <c r="F346" s="19"/>
      <c r="G346" s="19"/>
      <c r="H346" s="19"/>
      <c r="I346" s="19"/>
      <c r="J346" s="19"/>
      <c r="K346" s="233"/>
      <c r="L346" s="19"/>
      <c r="M346" s="19"/>
      <c r="N346" s="19"/>
      <c r="O346" s="19"/>
      <c r="P346" s="19"/>
      <c r="Q346" s="19"/>
      <c r="R346" s="19"/>
      <c r="S346" s="19"/>
      <c r="T346" s="19"/>
      <c r="U346" s="19"/>
      <c r="V346" s="19"/>
      <c r="W346" s="19"/>
      <c r="X346" s="19"/>
      <c r="Y346" s="19"/>
    </row>
    <row r="347" spans="1:25" ht="12" customHeight="1">
      <c r="A347" s="219" t="str" cm="1">
        <f t="array" ref="A347">IFERROR(INDEX('03.Muestra'!$B$8:$B$42,SMALL(IF("Documento no web"='03.Muestra'!$D$8:$D$42,ROW('03.Muestra'!$B$8:$B$42)-MIN(ROW('03.Muestra'!$D$8:$D$42))+1,""),ROW()-322)),"")</f>
        <v/>
      </c>
      <c r="B347" s="114" t="str" cm="1">
        <f t="array" ref="B347">IFERROR(INDEX('03.Muestra'!$C$8:$C$42,SMALL(IF("Documento no web"='03.Muestra'!$D$8:$D$42,ROW('03.Muestra'!$C$8:$C$42)-MIN(ROW('03.Muestra'!$D$8:$D$42))+1,""),ROW()-322)),"")</f>
        <v/>
      </c>
      <c r="C347" s="114" t="str" cm="1">
        <f t="array" ref="C347">IFERROR(INDEX('03.Muestra'!$F$8:$F$42,SMALL(IF("Documento no web"='03.Muestra'!$D$8:$D$42,ROW('03.Muestra'!$F$8:$F$42)-MIN(ROW('03.Muestra'!$D$8:$D$42))+1,""),ROW()-322)),"")</f>
        <v/>
      </c>
      <c r="D347" s="130" t="str">
        <f t="shared" si="17"/>
        <v/>
      </c>
      <c r="E347" s="107" t="str">
        <f t="shared" si="16"/>
        <v/>
      </c>
      <c r="F347" s="19"/>
      <c r="G347" s="19"/>
      <c r="H347" s="19"/>
      <c r="I347" s="19"/>
      <c r="J347" s="19"/>
      <c r="K347" s="233"/>
      <c r="L347" s="19"/>
      <c r="M347" s="19"/>
      <c r="N347" s="19"/>
      <c r="O347" s="19"/>
      <c r="P347" s="19"/>
      <c r="Q347" s="19"/>
      <c r="R347" s="19"/>
      <c r="S347" s="19"/>
      <c r="T347" s="19"/>
      <c r="U347" s="19"/>
      <c r="V347" s="19"/>
      <c r="W347" s="19"/>
      <c r="X347" s="19"/>
      <c r="Y347" s="19"/>
    </row>
    <row r="348" spans="1:25" ht="12" customHeight="1">
      <c r="A348" s="219" t="str" cm="1">
        <f t="array" ref="A348">IFERROR(INDEX('03.Muestra'!$B$8:$B$42,SMALL(IF("Documento no web"='03.Muestra'!$D$8:$D$42,ROW('03.Muestra'!$B$8:$B$42)-MIN(ROW('03.Muestra'!$D$8:$D$42))+1,""),ROW()-322)),"")</f>
        <v/>
      </c>
      <c r="B348" s="114" t="str" cm="1">
        <f t="array" ref="B348">IFERROR(INDEX('03.Muestra'!$C$8:$C$42,SMALL(IF("Documento no web"='03.Muestra'!$D$8:$D$42,ROW('03.Muestra'!$C$8:$C$42)-MIN(ROW('03.Muestra'!$D$8:$D$42))+1,""),ROW()-322)),"")</f>
        <v/>
      </c>
      <c r="C348" s="114" t="str" cm="1">
        <f t="array" ref="C348">IFERROR(INDEX('03.Muestra'!$F$8:$F$42,SMALL(IF("Documento no web"='03.Muestra'!$D$8:$D$42,ROW('03.Muestra'!$F$8:$F$42)-MIN(ROW('03.Muestra'!$D$8:$D$42))+1,""),ROW()-322)),"")</f>
        <v/>
      </c>
      <c r="D348" s="130" t="str">
        <f t="shared" si="17"/>
        <v/>
      </c>
      <c r="E348" s="107" t="str">
        <f t="shared" si="16"/>
        <v/>
      </c>
      <c r="F348" s="19"/>
      <c r="G348" s="19"/>
      <c r="H348" s="19"/>
      <c r="I348" s="19"/>
      <c r="J348" s="19"/>
      <c r="K348" s="233"/>
      <c r="L348" s="19"/>
      <c r="M348" s="19"/>
      <c r="N348" s="19"/>
      <c r="O348" s="19"/>
      <c r="P348" s="19"/>
      <c r="Q348" s="19"/>
      <c r="R348" s="19"/>
      <c r="S348" s="19"/>
      <c r="T348" s="19"/>
      <c r="U348" s="19"/>
      <c r="V348" s="19"/>
      <c r="W348" s="19"/>
      <c r="X348" s="19"/>
      <c r="Y348" s="19"/>
    </row>
    <row r="349" spans="1:25" ht="12" customHeight="1">
      <c r="A349" s="219" t="str" cm="1">
        <f t="array" ref="A349">IFERROR(INDEX('03.Muestra'!$B$8:$B$42,SMALL(IF("Documento no web"='03.Muestra'!$D$8:$D$42,ROW('03.Muestra'!$B$8:$B$42)-MIN(ROW('03.Muestra'!$D$8:$D$42))+1,""),ROW()-322)),"")</f>
        <v/>
      </c>
      <c r="B349" s="114" t="str" cm="1">
        <f t="array" ref="B349">IFERROR(INDEX('03.Muestra'!$C$8:$C$42,SMALL(IF("Documento no web"='03.Muestra'!$D$8:$D$42,ROW('03.Muestra'!$C$8:$C$42)-MIN(ROW('03.Muestra'!$D$8:$D$42))+1,""),ROW()-322)),"")</f>
        <v/>
      </c>
      <c r="C349" s="114" t="str" cm="1">
        <f t="array" ref="C349">IFERROR(INDEX('03.Muestra'!$F$8:$F$42,SMALL(IF("Documento no web"='03.Muestra'!$D$8:$D$42,ROW('03.Muestra'!$F$8:$F$42)-MIN(ROW('03.Muestra'!$D$8:$D$42))+1,""),ROW()-322)),"")</f>
        <v/>
      </c>
      <c r="D349" s="130" t="str">
        <f t="shared" si="17"/>
        <v/>
      </c>
      <c r="E349" s="107" t="str">
        <f t="shared" si="16"/>
        <v/>
      </c>
      <c r="F349" s="19"/>
      <c r="G349" s="19"/>
      <c r="H349" s="19"/>
      <c r="I349" s="19"/>
      <c r="J349" s="19"/>
      <c r="K349" s="233"/>
      <c r="L349" s="19"/>
      <c r="M349" s="19"/>
      <c r="N349" s="19"/>
      <c r="O349" s="19"/>
      <c r="P349" s="19"/>
      <c r="Q349" s="19"/>
      <c r="R349" s="19"/>
      <c r="S349" s="19"/>
      <c r="T349" s="19"/>
      <c r="U349" s="19"/>
      <c r="V349" s="19"/>
      <c r="W349" s="19"/>
      <c r="X349" s="19"/>
      <c r="Y349" s="19"/>
    </row>
    <row r="350" spans="1:25" ht="12" customHeight="1">
      <c r="A350" s="219" t="str" cm="1">
        <f t="array" ref="A350">IFERROR(INDEX('03.Muestra'!$B$8:$B$42,SMALL(IF("Documento no web"='03.Muestra'!$D$8:$D$42,ROW('03.Muestra'!$B$8:$B$42)-MIN(ROW('03.Muestra'!$D$8:$D$42))+1,""),ROW()-322)),"")</f>
        <v/>
      </c>
      <c r="B350" s="114" t="str" cm="1">
        <f t="array" ref="B350">IFERROR(INDEX('03.Muestra'!$C$8:$C$42,SMALL(IF("Documento no web"='03.Muestra'!$D$8:$D$42,ROW('03.Muestra'!$C$8:$C$42)-MIN(ROW('03.Muestra'!$D$8:$D$42))+1,""),ROW()-322)),"")</f>
        <v/>
      </c>
      <c r="C350" s="114" t="str" cm="1">
        <f t="array" ref="C350">IFERROR(INDEX('03.Muestra'!$F$8:$F$42,SMALL(IF("Documento no web"='03.Muestra'!$D$8:$D$42,ROW('03.Muestra'!$F$8:$F$42)-MIN(ROW('03.Muestra'!$D$8:$D$42))+1,""),ROW()-322)),"")</f>
        <v/>
      </c>
      <c r="D350" s="130" t="str">
        <f t="shared" si="17"/>
        <v/>
      </c>
      <c r="E350" s="107" t="str">
        <f t="shared" si="16"/>
        <v/>
      </c>
      <c r="G350" s="19"/>
      <c r="H350" s="19"/>
      <c r="I350" s="19"/>
      <c r="J350" s="19"/>
      <c r="K350" s="233"/>
      <c r="L350" s="19"/>
      <c r="M350" s="19"/>
      <c r="N350" s="19"/>
      <c r="O350" s="19"/>
      <c r="P350" s="19"/>
      <c r="Q350" s="19"/>
      <c r="R350" s="19"/>
      <c r="S350" s="19"/>
      <c r="T350" s="19"/>
      <c r="U350" s="19"/>
      <c r="V350" s="19"/>
      <c r="W350" s="19"/>
      <c r="X350" s="19"/>
      <c r="Y350" s="19"/>
    </row>
    <row r="351" spans="1:25" ht="12" customHeight="1">
      <c r="A351" s="219" t="str" cm="1">
        <f t="array" ref="A351">IFERROR(INDEX('03.Muestra'!$B$8:$B$42,SMALL(IF("Documento no web"='03.Muestra'!$D$8:$D$42,ROW('03.Muestra'!$B$8:$B$42)-MIN(ROW('03.Muestra'!$D$8:$D$42))+1,""),ROW()-322)),"")</f>
        <v/>
      </c>
      <c r="B351" s="114" t="str" cm="1">
        <f t="array" ref="B351">IFERROR(INDEX('03.Muestra'!$C$8:$C$42,SMALL(IF("Documento no web"='03.Muestra'!$D$8:$D$42,ROW('03.Muestra'!$C$8:$C$42)-MIN(ROW('03.Muestra'!$D$8:$D$42))+1,""),ROW()-322)),"")</f>
        <v/>
      </c>
      <c r="C351" s="114" t="str" cm="1">
        <f t="array" ref="C351">IFERROR(INDEX('03.Muestra'!$F$8:$F$42,SMALL(IF("Documento no web"='03.Muestra'!$D$8:$D$42,ROW('03.Muestra'!$F$8:$F$42)-MIN(ROW('03.Muestra'!$D$8:$D$42))+1,""),ROW()-322)),"")</f>
        <v/>
      </c>
      <c r="D351" s="130" t="str">
        <f t="shared" si="17"/>
        <v/>
      </c>
      <c r="E351" s="107" t="str">
        <f t="shared" si="16"/>
        <v/>
      </c>
      <c r="G351" s="19"/>
      <c r="H351" s="19"/>
      <c r="I351" s="19"/>
      <c r="J351" s="19"/>
      <c r="K351" s="233"/>
      <c r="L351" s="19"/>
      <c r="M351" s="19"/>
      <c r="N351" s="19"/>
      <c r="O351" s="19"/>
      <c r="P351" s="19"/>
      <c r="Q351" s="19"/>
      <c r="R351" s="19"/>
      <c r="S351" s="19"/>
      <c r="T351" s="19"/>
      <c r="U351" s="19"/>
      <c r="V351" s="19"/>
      <c r="W351" s="19"/>
      <c r="X351" s="19"/>
      <c r="Y351" s="19"/>
    </row>
    <row r="352" spans="1:25" ht="12" customHeight="1">
      <c r="A352" s="219" t="str" cm="1">
        <f t="array" ref="A352">IFERROR(INDEX('03.Muestra'!$B$8:$B$42,SMALL(IF("Documento no web"='03.Muestra'!$D$8:$D$42,ROW('03.Muestra'!$B$8:$B$42)-MIN(ROW('03.Muestra'!$D$8:$D$42))+1,""),ROW()-322)),"")</f>
        <v/>
      </c>
      <c r="B352" s="114" t="str" cm="1">
        <f t="array" ref="B352">IFERROR(INDEX('03.Muestra'!$C$8:$C$42,SMALL(IF("Documento no web"='03.Muestra'!$D$8:$D$42,ROW('03.Muestra'!$C$8:$C$42)-MIN(ROW('03.Muestra'!$D$8:$D$42))+1,""),ROW()-322)),"")</f>
        <v/>
      </c>
      <c r="C352" s="114" t="str" cm="1">
        <f t="array" ref="C352">IFERROR(INDEX('03.Muestra'!$F$8:$F$42,SMALL(IF("Documento no web"='03.Muestra'!$D$8:$D$42,ROW('03.Muestra'!$F$8:$F$42)-MIN(ROW('03.Muestra'!$D$8:$D$42))+1,""),ROW()-322)),"")</f>
        <v/>
      </c>
      <c r="D352" s="130" t="str">
        <f t="shared" si="17"/>
        <v/>
      </c>
      <c r="E352" s="107" t="str">
        <f t="shared" si="16"/>
        <v/>
      </c>
      <c r="G352" s="19"/>
      <c r="H352" s="19"/>
      <c r="I352" s="19"/>
      <c r="J352" s="19"/>
      <c r="K352" s="233"/>
      <c r="L352" s="19"/>
      <c r="M352" s="19"/>
      <c r="N352" s="19"/>
      <c r="O352" s="19"/>
      <c r="P352" s="19"/>
      <c r="Q352" s="19"/>
      <c r="R352" s="19"/>
      <c r="S352" s="19"/>
      <c r="T352" s="19"/>
      <c r="U352" s="19"/>
      <c r="V352" s="19"/>
      <c r="W352" s="19"/>
      <c r="X352" s="19"/>
      <c r="Y352" s="19"/>
    </row>
    <row r="353" spans="1:25" ht="12" customHeight="1">
      <c r="A353" s="219" t="str" cm="1">
        <f t="array" ref="A353">IFERROR(INDEX('03.Muestra'!$B$8:$B$42,SMALL(IF("Documento no web"='03.Muestra'!$D$8:$D$42,ROW('03.Muestra'!$B$8:$B$42)-MIN(ROW('03.Muestra'!$D$8:$D$42))+1,""),ROW()-322)),"")</f>
        <v/>
      </c>
      <c r="B353" s="114" t="str" cm="1">
        <f t="array" ref="B353">IFERROR(INDEX('03.Muestra'!$C$8:$C$42,SMALL(IF("Documento no web"='03.Muestra'!$D$8:$D$42,ROW('03.Muestra'!$C$8:$C$42)-MIN(ROW('03.Muestra'!$D$8:$D$42))+1,""),ROW()-322)),"")</f>
        <v/>
      </c>
      <c r="C353" s="114" t="str" cm="1">
        <f t="array" ref="C353">IFERROR(INDEX('03.Muestra'!$F$8:$F$42,SMALL(IF("Documento no web"='03.Muestra'!$D$8:$D$42,ROW('03.Muestra'!$F$8:$F$42)-MIN(ROW('03.Muestra'!$D$8:$D$42))+1,""),ROW()-322)),"")</f>
        <v/>
      </c>
      <c r="D353" s="130" t="str">
        <f t="shared" si="17"/>
        <v/>
      </c>
      <c r="E353" s="107" t="str">
        <f t="shared" si="16"/>
        <v/>
      </c>
      <c r="F353" s="124"/>
      <c r="G353" s="19"/>
      <c r="H353" s="19"/>
      <c r="I353" s="19"/>
      <c r="J353" s="19"/>
      <c r="K353" s="233"/>
      <c r="L353" s="19"/>
      <c r="M353" s="19"/>
      <c r="N353" s="19"/>
      <c r="O353" s="19"/>
      <c r="P353" s="19"/>
      <c r="Q353" s="19"/>
      <c r="R353" s="19"/>
      <c r="S353" s="19"/>
      <c r="T353" s="19"/>
      <c r="U353" s="19"/>
      <c r="V353" s="19"/>
      <c r="W353" s="19"/>
      <c r="X353" s="19"/>
      <c r="Y353" s="19"/>
    </row>
    <row r="354" spans="1:25" ht="12" customHeight="1">
      <c r="A354" s="219" t="str" cm="1">
        <f t="array" ref="A354">IFERROR(INDEX('03.Muestra'!$B$8:$B$42,SMALL(IF("Documento no web"='03.Muestra'!$D$8:$D$42,ROW('03.Muestra'!$B$8:$B$42)-MIN(ROW('03.Muestra'!$D$8:$D$42))+1,""),ROW()-322)),"")</f>
        <v/>
      </c>
      <c r="B354" s="114" t="str" cm="1">
        <f t="array" ref="B354">IFERROR(INDEX('03.Muestra'!$C$8:$C$42,SMALL(IF("Documento no web"='03.Muestra'!$D$8:$D$42,ROW('03.Muestra'!$C$8:$C$42)-MIN(ROW('03.Muestra'!$D$8:$D$42))+1,""),ROW()-322)),"")</f>
        <v/>
      </c>
      <c r="C354" s="114" t="str" cm="1">
        <f t="array" ref="C354">IFERROR(INDEX('03.Muestra'!$F$8:$F$42,SMALL(IF("Documento no web"='03.Muestra'!$D$8:$D$42,ROW('03.Muestra'!$F$8:$F$42)-MIN(ROW('03.Muestra'!$D$8:$D$42))+1,""),ROW()-322)),"")</f>
        <v/>
      </c>
      <c r="D354" s="130" t="str">
        <f t="shared" si="17"/>
        <v/>
      </c>
      <c r="E354" s="107" t="str">
        <f t="shared" si="16"/>
        <v/>
      </c>
      <c r="F354" s="124"/>
      <c r="G354" s="19"/>
      <c r="H354" s="19"/>
      <c r="I354" s="19"/>
      <c r="J354" s="19"/>
      <c r="K354" s="233"/>
      <c r="L354" s="19"/>
      <c r="M354" s="19"/>
      <c r="N354" s="19"/>
      <c r="O354" s="19"/>
      <c r="P354" s="19"/>
      <c r="Q354" s="19"/>
      <c r="R354" s="19"/>
      <c r="S354" s="19"/>
      <c r="T354" s="19"/>
      <c r="U354" s="19"/>
      <c r="V354" s="19"/>
      <c r="W354" s="19"/>
      <c r="X354" s="19"/>
      <c r="Y354" s="19"/>
    </row>
    <row r="355" spans="1:25" ht="12" customHeight="1">
      <c r="A355" s="219" t="str" cm="1">
        <f t="array" ref="A355">IFERROR(INDEX('03.Muestra'!$B$8:$B$42,SMALL(IF("Documento no web"='03.Muestra'!$D$8:$D$42,ROW('03.Muestra'!$B$8:$B$42)-MIN(ROW('03.Muestra'!$D$8:$D$42))+1,""),ROW()-322)),"")</f>
        <v/>
      </c>
      <c r="B355" s="114" t="str" cm="1">
        <f t="array" ref="B355">IFERROR(INDEX('03.Muestra'!$C$8:$C$42,SMALL(IF("Documento no web"='03.Muestra'!$D$8:$D$42,ROW('03.Muestra'!$C$8:$C$42)-MIN(ROW('03.Muestra'!$D$8:$D$42))+1,""),ROW()-322)),"")</f>
        <v/>
      </c>
      <c r="C355" s="114" t="str" cm="1">
        <f t="array" ref="C355">IFERROR(INDEX('03.Muestra'!$F$8:$F$42,SMALL(IF("Documento no web"='03.Muestra'!$D$8:$D$42,ROW('03.Muestra'!$F$8:$F$42)-MIN(ROW('03.Muestra'!$D$8:$D$42))+1,""),ROW()-322)),"")</f>
        <v/>
      </c>
      <c r="D355" s="130" t="str">
        <f t="shared" si="17"/>
        <v/>
      </c>
      <c r="E355" s="107" t="str">
        <f t="shared" si="16"/>
        <v/>
      </c>
      <c r="F355" s="124"/>
      <c r="G355" s="19"/>
      <c r="H355" s="19"/>
      <c r="I355" s="19"/>
      <c r="J355" s="19"/>
      <c r="K355" s="233"/>
      <c r="L355" s="19"/>
      <c r="M355" s="19"/>
      <c r="N355" s="19"/>
      <c r="O355" s="19"/>
      <c r="P355" s="19"/>
      <c r="Q355" s="19"/>
      <c r="R355" s="19"/>
      <c r="S355" s="19"/>
      <c r="T355" s="19"/>
      <c r="U355" s="19"/>
      <c r="V355" s="19"/>
      <c r="W355" s="19"/>
      <c r="X355" s="19"/>
      <c r="Y355" s="19"/>
    </row>
    <row r="356" spans="1:25" ht="12" customHeight="1">
      <c r="A356" s="219" t="str" cm="1">
        <f t="array" ref="A356">IFERROR(INDEX('03.Muestra'!$B$8:$B$42,SMALL(IF("Documento no web"='03.Muestra'!$D$8:$D$42,ROW('03.Muestra'!$B$8:$B$42)-MIN(ROW('03.Muestra'!$D$8:$D$42))+1,""),ROW()-322)),"")</f>
        <v/>
      </c>
      <c r="B356" s="114" t="str" cm="1">
        <f t="array" ref="B356">IFERROR(INDEX('03.Muestra'!$C$8:$C$42,SMALL(IF("Documento no web"='03.Muestra'!$D$8:$D$42,ROW('03.Muestra'!$C$8:$C$42)-MIN(ROW('03.Muestra'!$D$8:$D$42))+1,""),ROW()-322)),"")</f>
        <v/>
      </c>
      <c r="C356" s="114" t="str" cm="1">
        <f t="array" ref="C356">IFERROR(INDEX('03.Muestra'!$F$8:$F$42,SMALL(IF("Documento no web"='03.Muestra'!$D$8:$D$42,ROW('03.Muestra'!$F$8:$F$42)-MIN(ROW('03.Muestra'!$D$8:$D$42))+1,""),ROW()-322)),"")</f>
        <v/>
      </c>
      <c r="D356" s="130" t="str">
        <f t="shared" si="17"/>
        <v/>
      </c>
      <c r="E356" s="107" t="str">
        <f t="shared" si="16"/>
        <v/>
      </c>
      <c r="F356" s="124"/>
      <c r="G356" s="19"/>
      <c r="H356" s="19"/>
      <c r="I356" s="19"/>
      <c r="J356" s="19"/>
      <c r="K356" s="233"/>
      <c r="L356" s="19"/>
      <c r="M356" s="19"/>
      <c r="N356" s="19"/>
      <c r="O356" s="19"/>
      <c r="P356" s="19"/>
      <c r="Q356" s="19"/>
      <c r="R356" s="19"/>
      <c r="S356" s="19"/>
      <c r="T356" s="19"/>
      <c r="U356" s="19"/>
      <c r="V356" s="19"/>
      <c r="W356" s="19"/>
      <c r="X356" s="19"/>
      <c r="Y356" s="19"/>
    </row>
    <row r="357" spans="1:25" ht="12" customHeight="1">
      <c r="A357" s="219" t="str" cm="1">
        <f t="array" ref="A357">IFERROR(INDEX('03.Muestra'!$B$8:$B$42,SMALL(IF("Documento no web"='03.Muestra'!$D$8:$D$42,ROW('03.Muestra'!$B$8:$B$42)-MIN(ROW('03.Muestra'!$D$8:$D$42))+1,""),ROW()-322)),"")</f>
        <v/>
      </c>
      <c r="B357" s="114" t="str" cm="1">
        <f t="array" ref="B357">IFERROR(INDEX('03.Muestra'!$C$8:$C$42,SMALL(IF("Documento no web"='03.Muestra'!$D$8:$D$42,ROW('03.Muestra'!$C$8:$C$42)-MIN(ROW('03.Muestra'!$D$8:$D$42))+1,""),ROW()-322)),"")</f>
        <v/>
      </c>
      <c r="C357" s="114" t="str" cm="1">
        <f t="array" ref="C357">IFERROR(INDEX('03.Muestra'!$F$8:$F$42,SMALL(IF("Documento no web"='03.Muestra'!$D$8:$D$42,ROW('03.Muestra'!$F$8:$F$42)-MIN(ROW('03.Muestra'!$D$8:$D$42))+1,""),ROW()-322)),"")</f>
        <v/>
      </c>
      <c r="D357" s="130" t="str">
        <f t="shared" si="17"/>
        <v/>
      </c>
      <c r="E357" s="107" t="str">
        <f t="shared" si="16"/>
        <v/>
      </c>
      <c r="F357" s="19"/>
      <c r="G357" s="19"/>
      <c r="H357" s="19"/>
      <c r="I357" s="19"/>
      <c r="J357" s="19"/>
      <c r="K357" s="233"/>
      <c r="L357" s="19"/>
      <c r="M357" s="19"/>
      <c r="N357" s="19"/>
      <c r="O357" s="19"/>
      <c r="P357" s="19"/>
      <c r="Q357" s="19"/>
      <c r="R357" s="19"/>
      <c r="S357" s="19"/>
      <c r="T357" s="19"/>
      <c r="U357" s="19"/>
      <c r="V357" s="19"/>
      <c r="W357" s="19"/>
      <c r="X357" s="19"/>
      <c r="Y357" s="19"/>
    </row>
    <row r="358" spans="1:25" ht="12" customHeight="1">
      <c r="B358" s="19"/>
      <c r="C358" s="19"/>
      <c r="D358" s="107"/>
      <c r="E358" s="107"/>
      <c r="F358" s="19"/>
      <c r="G358" s="19"/>
      <c r="H358" s="19"/>
      <c r="I358" s="19"/>
      <c r="J358" s="19"/>
      <c r="K358" s="233"/>
      <c r="L358" s="19"/>
      <c r="M358" s="19"/>
      <c r="N358" s="19"/>
      <c r="O358" s="19"/>
      <c r="P358" s="19"/>
      <c r="Q358" s="19"/>
      <c r="R358" s="19"/>
      <c r="S358" s="19"/>
      <c r="T358" s="19"/>
      <c r="U358" s="19"/>
      <c r="V358" s="19"/>
      <c r="W358" s="19"/>
      <c r="X358" s="19"/>
      <c r="Y358" s="19"/>
    </row>
    <row r="359" spans="1:25" ht="12" customHeight="1">
      <c r="B359" s="19"/>
      <c r="C359" s="19"/>
      <c r="D359" s="107"/>
      <c r="E359" s="112"/>
      <c r="F359" s="19"/>
      <c r="G359" s="19"/>
      <c r="H359" s="19"/>
      <c r="I359" s="19"/>
      <c r="J359" s="19"/>
      <c r="K359" s="233"/>
      <c r="L359" s="19"/>
      <c r="M359" s="19"/>
      <c r="N359" s="19"/>
      <c r="O359" s="19"/>
      <c r="P359" s="19"/>
      <c r="Q359" s="19"/>
      <c r="R359" s="19"/>
      <c r="S359" s="19"/>
      <c r="T359" s="19"/>
      <c r="U359" s="19"/>
      <c r="V359" s="19"/>
      <c r="W359" s="19"/>
      <c r="X359" s="19"/>
      <c r="Y359" s="19"/>
    </row>
    <row r="360" spans="1:25" ht="32.25" customHeight="1">
      <c r="A360" s="218" t="s">
        <v>268</v>
      </c>
      <c r="B360" s="24" t="s">
        <v>90</v>
      </c>
      <c r="C360" s="25" t="s">
        <v>431</v>
      </c>
      <c r="D360" s="26" t="s">
        <v>32</v>
      </c>
      <c r="E360" s="123"/>
      <c r="K360" s="233"/>
      <c r="L360" s="19"/>
      <c r="M360" s="19"/>
      <c r="N360" s="19"/>
      <c r="O360" s="19"/>
      <c r="P360" s="19"/>
      <c r="Q360" s="19"/>
      <c r="R360" s="19"/>
      <c r="S360" s="19"/>
      <c r="T360" s="19"/>
      <c r="U360" s="19"/>
      <c r="V360" s="19"/>
      <c r="W360" s="19"/>
      <c r="X360" s="19"/>
      <c r="Y360" s="19"/>
    </row>
    <row r="361" spans="1:25" ht="12" customHeight="1">
      <c r="A361" s="219" t="n" cm="1">
        <f t="array" ref="A361">IFERROR(INDEX('03.Muestra'!$B$8:$B$42,SMALL(IF("Documento no web"='03.Muestra'!$D$8:$D$42,ROW('03.Muestra'!$B$8:$B$42)-MIN(ROW('03.Muestra'!$D$8:$D$42))+1,""),ROW()-360)),"")</f>
        <v>1.0</v>
      </c>
      <c r="B361" s="114" t="str" cm="1">
        <f t="array" ref="B361">IFERROR(INDEX('03.Muestra'!$C$8:$C$42,SMALL(IF("Documento no web"='03.Muestra'!$D$8:$D$42,ROW('03.Muestra'!$C$8:$C$42)-MIN(ROW('03.Muestra'!$D$8:$D$42))+1,""),ROW()-360)),"")</f>
        <v>Home - PortCastelló</v>
      </c>
      <c r="C361" s="114" t="str" cm="1">
        <f t="array" ref="C361">IFERROR(INDEX('03.Muestra'!$F$8:$F$42,SMALL(IF("Documento no web"='03.Muestra'!$D$8:$D$42,ROW('03.Muestra'!$F$8:$F$42)-MIN(ROW('03.Muestra'!$D$8:$D$42))+1,""),ROW()-360)),"")</f>
        <v>https://www.portcastello.com/</v>
      </c>
      <c r="D361" s="130" t="s">
        <v>33</v>
      </c>
      <c r="E361" s="107" t="str">
        <f t="shared" ref="E361:E395" si="18">IF(D361&lt;&gt;"",IF(AND(B361&lt;&gt;"",C361&lt;&gt;""),"","ERR"),"")</f>
        <v/>
      </c>
      <c r="F361" s="115" t="s">
        <v>33</v>
      </c>
      <c r="G361" s="116" t="s">
        <v>37</v>
      </c>
      <c r="H361" s="117" t="s">
        <v>35</v>
      </c>
      <c r="I361" s="118" t="s">
        <v>28</v>
      </c>
      <c r="J361" s="119" t="s">
        <v>26</v>
      </c>
      <c r="K361" s="226" t="s">
        <v>474</v>
      </c>
      <c r="L361" s="19"/>
      <c r="M361" s="19"/>
      <c r="N361" s="19"/>
      <c r="O361" s="19"/>
      <c r="P361" s="19"/>
      <c r="Q361" s="19"/>
      <c r="R361" s="19"/>
      <c r="S361" s="19"/>
      <c r="T361" s="19"/>
      <c r="U361" s="19"/>
      <c r="V361" s="19"/>
      <c r="W361" s="19"/>
      <c r="X361" s="19"/>
      <c r="Y361" s="19"/>
    </row>
    <row r="362" spans="1:25" ht="12" customHeight="1">
      <c r="A362" s="219" t="n" cm="1">
        <f t="array" ref="A362">IFERROR(INDEX('03.Muestra'!$B$8:$B$42,SMALL(IF("Documento no web"='03.Muestra'!$D$8:$D$42,ROW('03.Muestra'!$B$8:$B$42)-MIN(ROW('03.Muestra'!$D$8:$D$42))+1,""),ROW()-360)),"")</f>
        <v>1.0</v>
      </c>
      <c r="B362" s="114" t="str" cm="1">
        <f t="array" ref="B362">IFERROR(INDEX('03.Muestra'!$C$8:$C$42,SMALL(IF("Documento no web"='03.Muestra'!$D$8:$D$42,ROW('03.Muestra'!$C$8:$C$42)-MIN(ROW('03.Muestra'!$D$8:$D$42))+1,""),ROW()-360)),"")</f>
        <v>Home - PortCastelló</v>
      </c>
      <c r="C362" s="114" t="str" cm="1">
        <f t="array" ref="C362">IFERROR(INDEX('03.Muestra'!$F$8:$F$42,SMALL(IF("Documento no web"='03.Muestra'!$D$8:$D$42,ROW('03.Muestra'!$F$8:$F$42)-MIN(ROW('03.Muestra'!$D$8:$D$42))+1,""),ROW()-360)),"")</f>
        <v>https://www.portcastello.com/</v>
      </c>
      <c r="D362" s="130" t="s">
        <v>33</v>
      </c>
      <c r="E362" s="107" t="str">
        <f t="shared" si="18"/>
        <v/>
      </c>
      <c r="F362" s="120" t="n">
        <f ca="1">COUNTIF($D361:INDIRECT("$D" &amp;  SUM(ROW()-1,'03.Muestra'!$D$45)-1),F361)</f>
        <v>2.0</v>
      </c>
      <c r="G362" s="120" t="n">
        <f ca="1">COUNTIF($D361:INDIRECT("$D" &amp;  SUM(ROW()-1,'03.Muestra'!$D$45)-1),G361)</f>
        <v>0.0</v>
      </c>
      <c r="H362" s="120" t="n">
        <f ca="1">COUNTIF($D361:INDIRECT("$D" &amp;  SUM(ROW()-1,'03.Muestra'!$D$45)-1),H361)</f>
        <v>0.0</v>
      </c>
      <c r="I362" s="120" t="n">
        <f ca="1">COUNTIF($D361:INDIRECT("$D" &amp;  SUM(ROW()-1,'03.Muestra'!$D$45)-1),I361)</f>
        <v>0.0</v>
      </c>
      <c r="J362" s="120" t="n">
        <f ca="1">COUNTIF($D361:INDIRECT("$D" &amp;  SUM(ROW()-1,'03.Muestra'!$D$45)-1),J361)</f>
        <v>0.0</v>
      </c>
      <c r="K362" s="227" t="n">
        <f ca="1">IF(COUNTIF('03.Muestra'!$D$8:$D$42,"Documento no web")=0,0,COUNTBLANK($D361:INDIRECT("$D" &amp;  SUM(ROW()-1,COUNTIF('03.Muestra'!$D$8:$D$42,"Documento no web"))-1)))</f>
        <v>0.0</v>
      </c>
      <c r="L362" s="19"/>
      <c r="M362" s="19"/>
      <c r="N362" s="19"/>
      <c r="O362" s="19"/>
      <c r="P362" s="19"/>
      <c r="Q362" s="19"/>
      <c r="R362" s="19"/>
      <c r="S362" s="19"/>
      <c r="T362" s="19"/>
      <c r="U362" s="19"/>
      <c r="V362" s="19"/>
      <c r="W362" s="19"/>
      <c r="X362" s="19"/>
      <c r="Y362" s="19"/>
    </row>
    <row r="363" spans="1:25" ht="12" customHeight="1">
      <c r="A363" s="219" t="str" cm="1">
        <f t="array" ref="A363">IFERROR(INDEX('03.Muestra'!$B$8:$B$42,SMALL(IF("Documento no web"='03.Muestra'!$D$8:$D$42,ROW('03.Muestra'!$B$8:$B$42)-MIN(ROW('03.Muestra'!$D$8:$D$42))+1,""),ROW()-360)),"")</f>
        <v/>
      </c>
      <c r="B363" s="114" t="str" cm="1">
        <f t="array" ref="B363">IFERROR(INDEX('03.Muestra'!$C$8:$C$42,SMALL(IF("Documento no web"='03.Muestra'!$D$8:$D$42,ROW('03.Muestra'!$C$8:$C$42)-MIN(ROW('03.Muestra'!$D$8:$D$42))+1,""),ROW()-360)),"")</f>
        <v/>
      </c>
      <c r="C363" s="114" t="str" cm="1">
        <f t="array" ref="C363">IFERROR(INDEX('03.Muestra'!$F$8:$F$42,SMALL(IF("Documento no web"='03.Muestra'!$D$8:$D$42,ROW('03.Muestra'!$F$8:$F$42)-MIN(ROW('03.Muestra'!$D$8:$D$42))+1,""),ROW()-360)),"")</f>
        <v/>
      </c>
      <c r="D363" s="130" t="str">
        <f t="shared" si="19" ref="D363:D395">IF(AND(B363&lt;&gt;"",C363&lt;&gt;""),"N/T","")</f>
        <v/>
      </c>
      <c r="E363" s="107" t="str">
        <f t="shared" si="18"/>
        <v/>
      </c>
      <c r="G363" s="19"/>
      <c r="H363" s="19"/>
      <c r="I363" s="19"/>
      <c r="J363" s="19"/>
      <c r="K363" s="233"/>
      <c r="L363" s="19"/>
      <c r="M363" s="19"/>
      <c r="N363" s="19"/>
      <c r="O363" s="19"/>
      <c r="P363" s="19"/>
      <c r="Q363" s="19"/>
      <c r="R363" s="19"/>
      <c r="S363" s="19"/>
      <c r="T363" s="19"/>
      <c r="U363" s="19"/>
      <c r="V363" s="19"/>
      <c r="W363" s="19"/>
      <c r="X363" s="19"/>
      <c r="Y363" s="19"/>
    </row>
    <row r="364" spans="1:25" ht="12" customHeight="1">
      <c r="A364" s="219" t="str" cm="1">
        <f t="array" ref="A364">IFERROR(INDEX('03.Muestra'!$B$8:$B$42,SMALL(IF("Documento no web"='03.Muestra'!$D$8:$D$42,ROW('03.Muestra'!$B$8:$B$42)-MIN(ROW('03.Muestra'!$D$8:$D$42))+1,""),ROW()-360)),"")</f>
        <v/>
      </c>
      <c r="B364" s="114" t="str" cm="1">
        <f t="array" ref="B364">IFERROR(INDEX('03.Muestra'!$C$8:$C$42,SMALL(IF("Documento no web"='03.Muestra'!$D$8:$D$42,ROW('03.Muestra'!$C$8:$C$42)-MIN(ROW('03.Muestra'!$D$8:$D$42))+1,""),ROW()-360)),"")</f>
        <v/>
      </c>
      <c r="C364" s="114" t="str" cm="1">
        <f t="array" ref="C364">IFERROR(INDEX('03.Muestra'!$F$8:$F$42,SMALL(IF("Documento no web"='03.Muestra'!$D$8:$D$42,ROW('03.Muestra'!$F$8:$F$42)-MIN(ROW('03.Muestra'!$D$8:$D$42))+1,""),ROW()-360)),"")</f>
        <v/>
      </c>
      <c r="D364" s="130" t="str">
        <f t="shared" si="19"/>
        <v/>
      </c>
      <c r="E364" s="107" t="str">
        <f t="shared" si="18"/>
        <v/>
      </c>
      <c r="G364" s="19"/>
      <c r="H364" s="19"/>
      <c r="I364" s="19"/>
      <c r="J364" s="19"/>
      <c r="K364" s="233"/>
      <c r="L364" s="19"/>
      <c r="M364" s="19"/>
      <c r="N364" s="19"/>
      <c r="O364" s="19"/>
      <c r="P364" s="19"/>
      <c r="Q364" s="19"/>
      <c r="R364" s="19"/>
      <c r="S364" s="19"/>
      <c r="T364" s="19"/>
      <c r="U364" s="19"/>
      <c r="V364" s="19"/>
      <c r="W364" s="19"/>
      <c r="X364" s="19"/>
      <c r="Y364" s="19"/>
    </row>
    <row r="365" spans="1:25" ht="12" customHeight="1">
      <c r="A365" s="219" t="str" cm="1">
        <f t="array" ref="A365">IFERROR(INDEX('03.Muestra'!$B$8:$B$42,SMALL(IF("Documento no web"='03.Muestra'!$D$8:$D$42,ROW('03.Muestra'!$B$8:$B$42)-MIN(ROW('03.Muestra'!$D$8:$D$42))+1,""),ROW()-360)),"")</f>
        <v/>
      </c>
      <c r="B365" s="114" t="str" cm="1">
        <f t="array" ref="B365">IFERROR(INDEX('03.Muestra'!$C$8:$C$42,SMALL(IF("Documento no web"='03.Muestra'!$D$8:$D$42,ROW('03.Muestra'!$C$8:$C$42)-MIN(ROW('03.Muestra'!$D$8:$D$42))+1,""),ROW()-360)),"")</f>
        <v/>
      </c>
      <c r="C365" s="114" t="str" cm="1">
        <f t="array" ref="C365">IFERROR(INDEX('03.Muestra'!$F$8:$F$42,SMALL(IF("Documento no web"='03.Muestra'!$D$8:$D$42,ROW('03.Muestra'!$F$8:$F$42)-MIN(ROW('03.Muestra'!$D$8:$D$42))+1,""),ROW()-360)),"")</f>
        <v/>
      </c>
      <c r="D365" s="130" t="str">
        <f t="shared" si="19"/>
        <v/>
      </c>
      <c r="E365" s="107" t="str">
        <f t="shared" si="18"/>
        <v/>
      </c>
      <c r="G365" s="19"/>
      <c r="H365" s="19"/>
      <c r="I365" s="19"/>
      <c r="J365" s="19"/>
      <c r="K365" s="233"/>
      <c r="L365" s="19"/>
      <c r="M365" s="19"/>
      <c r="N365" s="19"/>
      <c r="O365" s="19"/>
      <c r="P365" s="19"/>
      <c r="Q365" s="19"/>
      <c r="R365" s="19"/>
      <c r="S365" s="19"/>
      <c r="T365" s="19"/>
      <c r="U365" s="19"/>
      <c r="V365" s="19"/>
      <c r="W365" s="19"/>
      <c r="X365" s="19"/>
      <c r="Y365" s="19"/>
    </row>
    <row r="366" spans="1:25" ht="12" customHeight="1">
      <c r="A366" s="219" t="str" cm="1">
        <f t="array" ref="A366">IFERROR(INDEX('03.Muestra'!$B$8:$B$42,SMALL(IF("Documento no web"='03.Muestra'!$D$8:$D$42,ROW('03.Muestra'!$B$8:$B$42)-MIN(ROW('03.Muestra'!$D$8:$D$42))+1,""),ROW()-360)),"")</f>
        <v/>
      </c>
      <c r="B366" s="114" t="str" cm="1">
        <f t="array" ref="B366">IFERROR(INDEX('03.Muestra'!$C$8:$C$42,SMALL(IF("Documento no web"='03.Muestra'!$D$8:$D$42,ROW('03.Muestra'!$C$8:$C$42)-MIN(ROW('03.Muestra'!$D$8:$D$42))+1,""),ROW()-360)),"")</f>
        <v/>
      </c>
      <c r="C366" s="114" t="str" cm="1">
        <f t="array" ref="C366">IFERROR(INDEX('03.Muestra'!$F$8:$F$42,SMALL(IF("Documento no web"='03.Muestra'!$D$8:$D$42,ROW('03.Muestra'!$F$8:$F$42)-MIN(ROW('03.Muestra'!$D$8:$D$42))+1,""),ROW()-360)),"")</f>
        <v/>
      </c>
      <c r="D366" s="130" t="str">
        <f t="shared" si="19"/>
        <v/>
      </c>
      <c r="E366" s="107" t="str">
        <f t="shared" si="18"/>
        <v/>
      </c>
      <c r="G366" s="19"/>
      <c r="H366" s="19"/>
      <c r="I366" s="19"/>
      <c r="J366" s="19"/>
      <c r="K366" s="233"/>
      <c r="L366" s="19"/>
      <c r="M366" s="19"/>
      <c r="N366" s="19"/>
      <c r="O366" s="19"/>
      <c r="P366" s="19"/>
      <c r="Q366" s="19"/>
      <c r="R366" s="19"/>
      <c r="S366" s="19"/>
      <c r="T366" s="19"/>
      <c r="U366" s="19"/>
      <c r="V366" s="19"/>
      <c r="W366" s="19"/>
      <c r="X366" s="19"/>
      <c r="Y366" s="19"/>
    </row>
    <row r="367" spans="1:25" ht="12" customHeight="1">
      <c r="A367" s="219" t="str" cm="1">
        <f t="array" ref="A367">IFERROR(INDEX('03.Muestra'!$B$8:$B$42,SMALL(IF("Documento no web"='03.Muestra'!$D$8:$D$42,ROW('03.Muestra'!$B$8:$B$42)-MIN(ROW('03.Muestra'!$D$8:$D$42))+1,""),ROW()-360)),"")</f>
        <v/>
      </c>
      <c r="B367" s="114" t="str" cm="1">
        <f t="array" ref="B367">IFERROR(INDEX('03.Muestra'!$C$8:$C$42,SMALL(IF("Documento no web"='03.Muestra'!$D$8:$D$42,ROW('03.Muestra'!$C$8:$C$42)-MIN(ROW('03.Muestra'!$D$8:$D$42))+1,""),ROW()-360)),"")</f>
        <v/>
      </c>
      <c r="C367" s="114" t="str" cm="1">
        <f t="array" ref="C367">IFERROR(INDEX('03.Muestra'!$F$8:$F$42,SMALL(IF("Documento no web"='03.Muestra'!$D$8:$D$42,ROW('03.Muestra'!$F$8:$F$42)-MIN(ROW('03.Muestra'!$D$8:$D$42))+1,""),ROW()-360)),"")</f>
        <v/>
      </c>
      <c r="D367" s="130" t="str">
        <f t="shared" si="19"/>
        <v/>
      </c>
      <c r="E367" s="107" t="str">
        <f t="shared" si="18"/>
        <v/>
      </c>
      <c r="F367" s="19"/>
      <c r="G367" s="19"/>
      <c r="H367" s="19"/>
      <c r="I367" s="19"/>
      <c r="J367" s="19"/>
      <c r="K367" s="233"/>
      <c r="L367" s="19"/>
      <c r="M367" s="19"/>
      <c r="N367" s="19"/>
      <c r="O367" s="19"/>
      <c r="P367" s="19"/>
      <c r="Q367" s="19"/>
      <c r="R367" s="19"/>
      <c r="S367" s="19"/>
      <c r="T367" s="19"/>
      <c r="U367" s="19"/>
      <c r="V367" s="19"/>
      <c r="W367" s="19"/>
      <c r="X367" s="19"/>
      <c r="Y367" s="19"/>
    </row>
    <row r="368" spans="1:25" ht="12" customHeight="1">
      <c r="A368" s="219" t="str" cm="1">
        <f t="array" ref="A368">IFERROR(INDEX('03.Muestra'!$B$8:$B$42,SMALL(IF("Documento no web"='03.Muestra'!$D$8:$D$42,ROW('03.Muestra'!$B$8:$B$42)-MIN(ROW('03.Muestra'!$D$8:$D$42))+1,""),ROW()-360)),"")</f>
        <v/>
      </c>
      <c r="B368" s="114" t="str" cm="1">
        <f t="array" ref="B368">IFERROR(INDEX('03.Muestra'!$C$8:$C$42,SMALL(IF("Documento no web"='03.Muestra'!$D$8:$D$42,ROW('03.Muestra'!$C$8:$C$42)-MIN(ROW('03.Muestra'!$D$8:$D$42))+1,""),ROW()-360)),"")</f>
        <v/>
      </c>
      <c r="C368" s="114" t="str" cm="1">
        <f t="array" ref="C368">IFERROR(INDEX('03.Muestra'!$F$8:$F$42,SMALL(IF("Documento no web"='03.Muestra'!$D$8:$D$42,ROW('03.Muestra'!$F$8:$F$42)-MIN(ROW('03.Muestra'!$D$8:$D$42))+1,""),ROW()-360)),"")</f>
        <v/>
      </c>
      <c r="D368" s="130" t="str">
        <f t="shared" si="19"/>
        <v/>
      </c>
      <c r="E368" s="107" t="str">
        <f t="shared" si="18"/>
        <v/>
      </c>
      <c r="F368" s="19"/>
      <c r="G368" s="19"/>
      <c r="H368" s="19"/>
      <c r="I368" s="19"/>
      <c r="J368" s="19"/>
      <c r="K368" s="233"/>
      <c r="L368" s="19"/>
      <c r="M368" s="19"/>
      <c r="N368" s="19"/>
      <c r="O368" s="19"/>
      <c r="P368" s="19"/>
      <c r="Q368" s="19"/>
      <c r="R368" s="19"/>
      <c r="S368" s="19"/>
      <c r="T368" s="19"/>
      <c r="U368" s="19"/>
      <c r="V368" s="19"/>
      <c r="W368" s="19"/>
      <c r="X368" s="19"/>
      <c r="Y368" s="19"/>
    </row>
    <row r="369" spans="1:25" ht="12" customHeight="1">
      <c r="A369" s="219" t="str" cm="1">
        <f t="array" ref="A369">IFERROR(INDEX('03.Muestra'!$B$8:$B$42,SMALL(IF("Documento no web"='03.Muestra'!$D$8:$D$42,ROW('03.Muestra'!$B$8:$B$42)-MIN(ROW('03.Muestra'!$D$8:$D$42))+1,""),ROW()-360)),"")</f>
        <v/>
      </c>
      <c r="B369" s="114" t="str" cm="1">
        <f t="array" ref="B369">IFERROR(INDEX('03.Muestra'!$C$8:$C$42,SMALL(IF("Documento no web"='03.Muestra'!$D$8:$D$42,ROW('03.Muestra'!$C$8:$C$42)-MIN(ROW('03.Muestra'!$D$8:$D$42))+1,""),ROW()-360)),"")</f>
        <v/>
      </c>
      <c r="C369" s="114" t="str" cm="1">
        <f t="array" ref="C369">IFERROR(INDEX('03.Muestra'!$F$8:$F$42,SMALL(IF("Documento no web"='03.Muestra'!$D$8:$D$42,ROW('03.Muestra'!$F$8:$F$42)-MIN(ROW('03.Muestra'!$D$8:$D$42))+1,""),ROW()-360)),"")</f>
        <v/>
      </c>
      <c r="D369" s="130" t="str">
        <f t="shared" si="19"/>
        <v/>
      </c>
      <c r="E369" s="107" t="str">
        <f t="shared" si="18"/>
        <v/>
      </c>
      <c r="F369" s="19"/>
      <c r="G369" s="19"/>
      <c r="H369" s="19"/>
      <c r="I369" s="19"/>
      <c r="J369" s="19"/>
      <c r="K369" s="233"/>
      <c r="L369" s="19"/>
      <c r="M369" s="19"/>
      <c r="N369" s="19"/>
      <c r="O369" s="19"/>
      <c r="P369" s="19"/>
      <c r="Q369" s="19"/>
      <c r="R369" s="19"/>
      <c r="S369" s="19"/>
      <c r="T369" s="19"/>
      <c r="U369" s="19"/>
      <c r="V369" s="19"/>
      <c r="W369" s="19"/>
      <c r="X369" s="19"/>
      <c r="Y369" s="19"/>
    </row>
    <row r="370" spans="1:25" ht="12" customHeight="1">
      <c r="A370" s="219" t="str" cm="1">
        <f t="array" ref="A370">IFERROR(INDEX('03.Muestra'!$B$8:$B$42,SMALL(IF("Documento no web"='03.Muestra'!$D$8:$D$42,ROW('03.Muestra'!$B$8:$B$42)-MIN(ROW('03.Muestra'!$D$8:$D$42))+1,""),ROW()-360)),"")</f>
        <v/>
      </c>
      <c r="B370" s="114" t="str" cm="1">
        <f t="array" ref="B370">IFERROR(INDEX('03.Muestra'!$C$8:$C$42,SMALL(IF("Documento no web"='03.Muestra'!$D$8:$D$42,ROW('03.Muestra'!$C$8:$C$42)-MIN(ROW('03.Muestra'!$D$8:$D$42))+1,""),ROW()-360)),"")</f>
        <v/>
      </c>
      <c r="C370" s="114" t="str" cm="1">
        <f t="array" ref="C370">IFERROR(INDEX('03.Muestra'!$F$8:$F$42,SMALL(IF("Documento no web"='03.Muestra'!$D$8:$D$42,ROW('03.Muestra'!$F$8:$F$42)-MIN(ROW('03.Muestra'!$D$8:$D$42))+1,""),ROW()-360)),"")</f>
        <v/>
      </c>
      <c r="D370" s="130" t="str">
        <f t="shared" si="19"/>
        <v/>
      </c>
      <c r="E370" s="107" t="str">
        <f t="shared" si="18"/>
        <v/>
      </c>
      <c r="F370" s="19"/>
      <c r="G370" s="19"/>
      <c r="H370" s="19"/>
      <c r="I370" s="19"/>
      <c r="J370" s="19"/>
      <c r="K370" s="233"/>
      <c r="L370" s="19"/>
      <c r="M370" s="19"/>
      <c r="N370" s="19"/>
      <c r="O370" s="19"/>
      <c r="P370" s="19"/>
      <c r="Q370" s="19"/>
      <c r="R370" s="19"/>
      <c r="S370" s="19"/>
      <c r="T370" s="19"/>
      <c r="U370" s="19"/>
      <c r="V370" s="19"/>
      <c r="W370" s="19"/>
      <c r="X370" s="19"/>
      <c r="Y370" s="19"/>
    </row>
    <row r="371" spans="1:25" ht="12" customHeight="1">
      <c r="A371" s="219" t="str" cm="1">
        <f t="array" ref="A371">IFERROR(INDEX('03.Muestra'!$B$8:$B$42,SMALL(IF("Documento no web"='03.Muestra'!$D$8:$D$42,ROW('03.Muestra'!$B$8:$B$42)-MIN(ROW('03.Muestra'!$D$8:$D$42))+1,""),ROW()-360)),"")</f>
        <v/>
      </c>
      <c r="B371" s="114" t="str" cm="1">
        <f t="array" ref="B371">IFERROR(INDEX('03.Muestra'!$C$8:$C$42,SMALL(IF("Documento no web"='03.Muestra'!$D$8:$D$42,ROW('03.Muestra'!$C$8:$C$42)-MIN(ROW('03.Muestra'!$D$8:$D$42))+1,""),ROW()-360)),"")</f>
        <v/>
      </c>
      <c r="C371" s="114" t="str" cm="1">
        <f t="array" ref="C371">IFERROR(INDEX('03.Muestra'!$F$8:$F$42,SMALL(IF("Documento no web"='03.Muestra'!$D$8:$D$42,ROW('03.Muestra'!$F$8:$F$42)-MIN(ROW('03.Muestra'!$D$8:$D$42))+1,""),ROW()-360)),"")</f>
        <v/>
      </c>
      <c r="D371" s="130" t="str">
        <f t="shared" si="19"/>
        <v/>
      </c>
      <c r="E371" s="107" t="str">
        <f t="shared" si="18"/>
        <v/>
      </c>
      <c r="F371" s="19"/>
      <c r="G371" s="19"/>
      <c r="H371" s="19"/>
      <c r="I371" s="19"/>
      <c r="J371" s="19"/>
      <c r="K371" s="233"/>
      <c r="L371" s="19"/>
      <c r="M371" s="19"/>
      <c r="N371" s="19"/>
      <c r="O371" s="19"/>
      <c r="P371" s="19"/>
      <c r="Q371" s="19"/>
      <c r="R371" s="19"/>
      <c r="S371" s="19"/>
      <c r="T371" s="19"/>
      <c r="U371" s="19"/>
      <c r="V371" s="19"/>
      <c r="W371" s="19"/>
      <c r="X371" s="19"/>
      <c r="Y371" s="19"/>
    </row>
    <row r="372" spans="1:25" ht="12" customHeight="1">
      <c r="A372" s="219" t="str" cm="1">
        <f t="array" ref="A372">IFERROR(INDEX('03.Muestra'!$B$8:$B$42,SMALL(IF("Documento no web"='03.Muestra'!$D$8:$D$42,ROW('03.Muestra'!$B$8:$B$42)-MIN(ROW('03.Muestra'!$D$8:$D$42))+1,""),ROW()-360)),"")</f>
        <v/>
      </c>
      <c r="B372" s="114" t="str" cm="1">
        <f t="array" ref="B372">IFERROR(INDEX('03.Muestra'!$C$8:$C$42,SMALL(IF("Documento no web"='03.Muestra'!$D$8:$D$42,ROW('03.Muestra'!$C$8:$C$42)-MIN(ROW('03.Muestra'!$D$8:$D$42))+1,""),ROW()-360)),"")</f>
        <v/>
      </c>
      <c r="C372" s="114" t="str" cm="1">
        <f t="array" ref="C372">IFERROR(INDEX('03.Muestra'!$F$8:$F$42,SMALL(IF("Documento no web"='03.Muestra'!$D$8:$D$42,ROW('03.Muestra'!$F$8:$F$42)-MIN(ROW('03.Muestra'!$D$8:$D$42))+1,""),ROW()-360)),"")</f>
        <v/>
      </c>
      <c r="D372" s="130" t="str">
        <f t="shared" si="19"/>
        <v/>
      </c>
      <c r="E372" s="107" t="str">
        <f t="shared" si="18"/>
        <v/>
      </c>
      <c r="F372" s="19"/>
      <c r="G372" s="19"/>
      <c r="H372" s="19"/>
      <c r="I372" s="19"/>
      <c r="J372" s="19"/>
      <c r="K372" s="233"/>
      <c r="L372" s="19"/>
      <c r="M372" s="19"/>
      <c r="N372" s="19"/>
      <c r="O372" s="19"/>
      <c r="P372" s="19"/>
      <c r="Q372" s="19"/>
      <c r="R372" s="19"/>
      <c r="S372" s="19"/>
      <c r="T372" s="19"/>
      <c r="U372" s="19"/>
      <c r="V372" s="19"/>
      <c r="W372" s="19"/>
      <c r="X372" s="19"/>
      <c r="Y372" s="19"/>
    </row>
    <row r="373" spans="1:25" ht="14.1" customHeight="1">
      <c r="A373" s="219" t="str" cm="1">
        <f t="array" ref="A373">IFERROR(INDEX('03.Muestra'!$B$8:$B$42,SMALL(IF("Documento no web"='03.Muestra'!$D$8:$D$42,ROW('03.Muestra'!$B$8:$B$42)-MIN(ROW('03.Muestra'!$D$8:$D$42))+1,""),ROW()-360)),"")</f>
        <v/>
      </c>
      <c r="B373" s="114" t="str" cm="1">
        <f t="array" ref="B373">IFERROR(INDEX('03.Muestra'!$C$8:$C$42,SMALL(IF("Documento no web"='03.Muestra'!$D$8:$D$42,ROW('03.Muestra'!$C$8:$C$42)-MIN(ROW('03.Muestra'!$D$8:$D$42))+1,""),ROW()-360)),"")</f>
        <v/>
      </c>
      <c r="C373" s="114" t="str" cm="1">
        <f t="array" ref="C373">IFERROR(INDEX('03.Muestra'!$F$8:$F$42,SMALL(IF("Documento no web"='03.Muestra'!$D$8:$D$42,ROW('03.Muestra'!$F$8:$F$42)-MIN(ROW('03.Muestra'!$D$8:$D$42))+1,""),ROW()-360)),"")</f>
        <v/>
      </c>
      <c r="D373" s="130" t="str">
        <f t="shared" si="19"/>
        <v/>
      </c>
      <c r="E373" s="107" t="str">
        <f t="shared" si="18"/>
        <v/>
      </c>
      <c r="F373" s="19"/>
      <c r="G373" s="19"/>
      <c r="H373" s="19"/>
      <c r="I373" s="19"/>
      <c r="J373" s="19"/>
      <c r="K373" s="233"/>
      <c r="L373" s="19"/>
      <c r="M373" s="19"/>
      <c r="N373" s="19"/>
      <c r="O373" s="19"/>
      <c r="P373" s="19"/>
      <c r="Q373" s="19"/>
      <c r="R373" s="19"/>
      <c r="S373" s="19"/>
      <c r="T373" s="19"/>
      <c r="U373" s="19"/>
      <c r="V373" s="19"/>
      <c r="W373" s="19"/>
      <c r="X373" s="19"/>
      <c r="Y373" s="19"/>
    </row>
    <row r="374" spans="1:25" ht="14.1" customHeight="1">
      <c r="A374" s="219" t="str" cm="1">
        <f t="array" ref="A374">IFERROR(INDEX('03.Muestra'!$B$8:$B$42,SMALL(IF("Documento no web"='03.Muestra'!$D$8:$D$42,ROW('03.Muestra'!$B$8:$B$42)-MIN(ROW('03.Muestra'!$D$8:$D$42))+1,""),ROW()-360)),"")</f>
        <v/>
      </c>
      <c r="B374" s="114" t="str" cm="1">
        <f t="array" ref="B374">IFERROR(INDEX('03.Muestra'!$C$8:$C$42,SMALL(IF("Documento no web"='03.Muestra'!$D$8:$D$42,ROW('03.Muestra'!$C$8:$C$42)-MIN(ROW('03.Muestra'!$D$8:$D$42))+1,""),ROW()-360)),"")</f>
        <v/>
      </c>
      <c r="C374" s="114" t="str" cm="1">
        <f t="array" ref="C374">IFERROR(INDEX('03.Muestra'!$F$8:$F$42,SMALL(IF("Documento no web"='03.Muestra'!$D$8:$D$42,ROW('03.Muestra'!$F$8:$F$42)-MIN(ROW('03.Muestra'!$D$8:$D$42))+1,""),ROW()-360)),"")</f>
        <v/>
      </c>
      <c r="D374" s="130" t="str">
        <f t="shared" si="19"/>
        <v/>
      </c>
      <c r="E374" s="107" t="str">
        <f t="shared" si="18"/>
        <v/>
      </c>
      <c r="F374" s="19"/>
      <c r="G374" s="19"/>
      <c r="H374" s="19"/>
      <c r="I374" s="19"/>
      <c r="J374" s="19"/>
      <c r="K374" s="233"/>
      <c r="L374" s="19"/>
      <c r="M374" s="19"/>
      <c r="N374" s="19"/>
      <c r="O374" s="19"/>
      <c r="P374" s="19"/>
      <c r="Q374" s="19"/>
      <c r="R374" s="19"/>
      <c r="S374" s="19"/>
      <c r="T374" s="19"/>
      <c r="U374" s="19"/>
      <c r="V374" s="19"/>
      <c r="W374" s="19"/>
      <c r="X374" s="19"/>
      <c r="Y374" s="19"/>
    </row>
    <row r="375" spans="1:25" ht="14.1" customHeight="1">
      <c r="A375" s="219" t="str" cm="1">
        <f t="array" ref="A375">IFERROR(INDEX('03.Muestra'!$B$8:$B$42,SMALL(IF("Documento no web"='03.Muestra'!$D$8:$D$42,ROW('03.Muestra'!$B$8:$B$42)-MIN(ROW('03.Muestra'!$D$8:$D$42))+1,""),ROW()-360)),"")</f>
        <v/>
      </c>
      <c r="B375" s="114" t="str" cm="1">
        <f t="array" ref="B375">IFERROR(INDEX('03.Muestra'!$C$8:$C$42,SMALL(IF("Documento no web"='03.Muestra'!$D$8:$D$42,ROW('03.Muestra'!$C$8:$C$42)-MIN(ROW('03.Muestra'!$D$8:$D$42))+1,""),ROW()-360)),"")</f>
        <v/>
      </c>
      <c r="C375" s="114" t="str" cm="1">
        <f t="array" ref="C375">IFERROR(INDEX('03.Muestra'!$F$8:$F$42,SMALL(IF("Documento no web"='03.Muestra'!$D$8:$D$42,ROW('03.Muestra'!$F$8:$F$42)-MIN(ROW('03.Muestra'!$D$8:$D$42))+1,""),ROW()-360)),"")</f>
        <v/>
      </c>
      <c r="D375" s="130" t="str">
        <f t="shared" si="19"/>
        <v/>
      </c>
      <c r="E375" s="107" t="str">
        <f t="shared" si="18"/>
        <v/>
      </c>
      <c r="F375" s="19"/>
      <c r="G375" s="19"/>
      <c r="H375" s="19"/>
      <c r="I375" s="19"/>
      <c r="J375" s="19"/>
      <c r="K375" s="233"/>
      <c r="L375" s="19"/>
      <c r="M375" s="19"/>
      <c r="N375" s="19"/>
      <c r="O375" s="19"/>
      <c r="P375" s="19"/>
      <c r="Q375" s="19"/>
      <c r="R375" s="19"/>
      <c r="S375" s="19"/>
      <c r="T375" s="19"/>
      <c r="U375" s="19"/>
      <c r="V375" s="19"/>
      <c r="W375" s="19"/>
      <c r="X375" s="19"/>
      <c r="Y375" s="19"/>
    </row>
    <row r="376" spans="1:25" ht="14.1" customHeight="1">
      <c r="A376" s="219" t="str" cm="1">
        <f t="array" ref="A376">IFERROR(INDEX('03.Muestra'!$B$8:$B$42,SMALL(IF("Documento no web"='03.Muestra'!$D$8:$D$42,ROW('03.Muestra'!$B$8:$B$42)-MIN(ROW('03.Muestra'!$D$8:$D$42))+1,""),ROW()-360)),"")</f>
        <v/>
      </c>
      <c r="B376" s="114" t="str" cm="1">
        <f t="array" ref="B376">IFERROR(INDEX('03.Muestra'!$C$8:$C$42,SMALL(IF("Documento no web"='03.Muestra'!$D$8:$D$42,ROW('03.Muestra'!$C$8:$C$42)-MIN(ROW('03.Muestra'!$D$8:$D$42))+1,""),ROW()-360)),"")</f>
        <v/>
      </c>
      <c r="C376" s="114" t="str" cm="1">
        <f t="array" ref="C376">IFERROR(INDEX('03.Muestra'!$F$8:$F$42,SMALL(IF("Documento no web"='03.Muestra'!$D$8:$D$42,ROW('03.Muestra'!$F$8:$F$42)-MIN(ROW('03.Muestra'!$D$8:$D$42))+1,""),ROW()-360)),"")</f>
        <v/>
      </c>
      <c r="D376" s="130" t="str">
        <f t="shared" si="19"/>
        <v/>
      </c>
      <c r="E376" s="107" t="str">
        <f t="shared" si="18"/>
        <v/>
      </c>
      <c r="F376" s="19"/>
      <c r="G376" s="19"/>
      <c r="H376" s="19"/>
      <c r="I376" s="19"/>
      <c r="J376" s="19"/>
      <c r="K376" s="233"/>
      <c r="L376" s="19"/>
      <c r="M376" s="19"/>
      <c r="N376" s="19"/>
      <c r="O376" s="19"/>
      <c r="P376" s="19"/>
      <c r="Q376" s="19"/>
      <c r="R376" s="19"/>
      <c r="S376" s="19"/>
      <c r="T376" s="19"/>
      <c r="U376" s="19"/>
      <c r="V376" s="19"/>
      <c r="W376" s="19"/>
      <c r="X376" s="19"/>
      <c r="Y376" s="19"/>
    </row>
    <row r="377" spans="1:25" ht="14.1" customHeight="1">
      <c r="A377" s="219" t="str" cm="1">
        <f t="array" ref="A377">IFERROR(INDEX('03.Muestra'!$B$8:$B$42,SMALL(IF("Documento no web"='03.Muestra'!$D$8:$D$42,ROW('03.Muestra'!$B$8:$B$42)-MIN(ROW('03.Muestra'!$D$8:$D$42))+1,""),ROW()-360)),"")</f>
        <v/>
      </c>
      <c r="B377" s="114" t="str" cm="1">
        <f t="array" ref="B377">IFERROR(INDEX('03.Muestra'!$C$8:$C$42,SMALL(IF("Documento no web"='03.Muestra'!$D$8:$D$42,ROW('03.Muestra'!$C$8:$C$42)-MIN(ROW('03.Muestra'!$D$8:$D$42))+1,""),ROW()-360)),"")</f>
        <v/>
      </c>
      <c r="C377" s="114" t="str" cm="1">
        <f t="array" ref="C377">IFERROR(INDEX('03.Muestra'!$F$8:$F$42,SMALL(IF("Documento no web"='03.Muestra'!$D$8:$D$42,ROW('03.Muestra'!$F$8:$F$42)-MIN(ROW('03.Muestra'!$D$8:$D$42))+1,""),ROW()-360)),"")</f>
        <v/>
      </c>
      <c r="D377" s="130" t="str">
        <f t="shared" si="19"/>
        <v/>
      </c>
      <c r="E377" s="107" t="str">
        <f t="shared" si="18"/>
        <v/>
      </c>
      <c r="F377" s="19"/>
      <c r="G377" s="19"/>
      <c r="H377" s="19"/>
      <c r="I377" s="19"/>
      <c r="J377" s="19"/>
      <c r="K377" s="233"/>
      <c r="L377" s="19"/>
      <c r="M377" s="19"/>
      <c r="N377" s="19"/>
      <c r="O377" s="19"/>
      <c r="P377" s="19"/>
      <c r="Q377" s="19"/>
      <c r="R377" s="19"/>
      <c r="S377" s="19"/>
      <c r="T377" s="19"/>
      <c r="U377" s="19"/>
      <c r="V377" s="19"/>
      <c r="W377" s="19"/>
      <c r="X377" s="19"/>
      <c r="Y377" s="19"/>
    </row>
    <row r="378" spans="1:25" ht="14.1" customHeight="1">
      <c r="A378" s="219" t="str" cm="1">
        <f t="array" ref="A378">IFERROR(INDEX('03.Muestra'!$B$8:$B$42,SMALL(IF("Documento no web"='03.Muestra'!$D$8:$D$42,ROW('03.Muestra'!$B$8:$B$42)-MIN(ROW('03.Muestra'!$D$8:$D$42))+1,""),ROW()-360)),"")</f>
        <v/>
      </c>
      <c r="B378" s="114" t="str" cm="1">
        <f t="array" ref="B378">IFERROR(INDEX('03.Muestra'!$C$8:$C$42,SMALL(IF("Documento no web"='03.Muestra'!$D$8:$D$42,ROW('03.Muestra'!$C$8:$C$42)-MIN(ROW('03.Muestra'!$D$8:$D$42))+1,""),ROW()-360)),"")</f>
        <v/>
      </c>
      <c r="C378" s="114" t="str" cm="1">
        <f t="array" ref="C378">IFERROR(INDEX('03.Muestra'!$F$8:$F$42,SMALL(IF("Documento no web"='03.Muestra'!$D$8:$D$42,ROW('03.Muestra'!$F$8:$F$42)-MIN(ROW('03.Muestra'!$D$8:$D$42))+1,""),ROW()-360)),"")</f>
        <v/>
      </c>
      <c r="D378" s="130" t="str">
        <f t="shared" si="19"/>
        <v/>
      </c>
      <c r="E378" s="107" t="str">
        <f t="shared" si="18"/>
        <v/>
      </c>
      <c r="F378" s="19"/>
      <c r="G378" s="19"/>
      <c r="H378" s="19"/>
      <c r="I378" s="19"/>
      <c r="J378" s="19"/>
      <c r="K378" s="233"/>
      <c r="L378" s="19"/>
      <c r="M378" s="19"/>
      <c r="N378" s="19"/>
      <c r="O378" s="19"/>
      <c r="P378" s="19"/>
      <c r="Q378" s="19"/>
      <c r="R378" s="19"/>
      <c r="S378" s="19"/>
      <c r="T378" s="19"/>
      <c r="U378" s="19"/>
      <c r="V378" s="19"/>
      <c r="W378" s="19"/>
      <c r="X378" s="19"/>
      <c r="Y378" s="19"/>
    </row>
    <row r="379" spans="1:25" ht="14.1" customHeight="1">
      <c r="A379" s="219" t="str" cm="1">
        <f t="array" ref="A379">IFERROR(INDEX('03.Muestra'!$B$8:$B$42,SMALL(IF("Documento no web"='03.Muestra'!$D$8:$D$42,ROW('03.Muestra'!$B$8:$B$42)-MIN(ROW('03.Muestra'!$D$8:$D$42))+1,""),ROW()-360)),"")</f>
        <v/>
      </c>
      <c r="B379" s="114" t="str" cm="1">
        <f t="array" ref="B379">IFERROR(INDEX('03.Muestra'!$C$8:$C$42,SMALL(IF("Documento no web"='03.Muestra'!$D$8:$D$42,ROW('03.Muestra'!$C$8:$C$42)-MIN(ROW('03.Muestra'!$D$8:$D$42))+1,""),ROW()-360)),"")</f>
        <v/>
      </c>
      <c r="C379" s="114" t="str" cm="1">
        <f t="array" ref="C379">IFERROR(INDEX('03.Muestra'!$F$8:$F$42,SMALL(IF("Documento no web"='03.Muestra'!$D$8:$D$42,ROW('03.Muestra'!$F$8:$F$42)-MIN(ROW('03.Muestra'!$D$8:$D$42))+1,""),ROW()-360)),"")</f>
        <v/>
      </c>
      <c r="D379" s="130" t="str">
        <f t="shared" si="19"/>
        <v/>
      </c>
      <c r="E379" s="107" t="str">
        <f t="shared" si="18"/>
        <v/>
      </c>
      <c r="F379" s="19"/>
      <c r="G379" s="19"/>
      <c r="H379" s="19"/>
      <c r="I379" s="19"/>
      <c r="J379" s="19"/>
      <c r="K379" s="233"/>
      <c r="L379" s="19"/>
      <c r="M379" s="19"/>
      <c r="N379" s="19"/>
      <c r="O379" s="19"/>
      <c r="P379" s="19"/>
      <c r="Q379" s="19"/>
      <c r="R379" s="19"/>
      <c r="S379" s="19"/>
      <c r="T379" s="19"/>
      <c r="U379" s="19"/>
      <c r="V379" s="19"/>
      <c r="W379" s="19"/>
      <c r="X379" s="19"/>
      <c r="Y379" s="19"/>
    </row>
    <row r="380" spans="1:25" ht="14.1" customHeight="1">
      <c r="A380" s="219" t="str" cm="1">
        <f t="array" ref="A380">IFERROR(INDEX('03.Muestra'!$B$8:$B$42,SMALL(IF("Documento no web"='03.Muestra'!$D$8:$D$42,ROW('03.Muestra'!$B$8:$B$42)-MIN(ROW('03.Muestra'!$D$8:$D$42))+1,""),ROW()-360)),"")</f>
        <v/>
      </c>
      <c r="B380" s="114" t="str" cm="1">
        <f t="array" ref="B380">IFERROR(INDEX('03.Muestra'!$C$8:$C$42,SMALL(IF("Documento no web"='03.Muestra'!$D$8:$D$42,ROW('03.Muestra'!$C$8:$C$42)-MIN(ROW('03.Muestra'!$D$8:$D$42))+1,""),ROW()-360)),"")</f>
        <v/>
      </c>
      <c r="C380" s="114" t="str" cm="1">
        <f t="array" ref="C380">IFERROR(INDEX('03.Muestra'!$F$8:$F$42,SMALL(IF("Documento no web"='03.Muestra'!$D$8:$D$42,ROW('03.Muestra'!$F$8:$F$42)-MIN(ROW('03.Muestra'!$D$8:$D$42))+1,""),ROW()-360)),"")</f>
        <v/>
      </c>
      <c r="D380" s="130" t="str">
        <f t="shared" si="19"/>
        <v/>
      </c>
      <c r="E380" s="107" t="str">
        <f t="shared" si="18"/>
        <v/>
      </c>
      <c r="F380" s="19"/>
      <c r="G380" s="19"/>
      <c r="H380" s="19"/>
      <c r="I380" s="19"/>
      <c r="J380" s="19"/>
      <c r="K380" s="233"/>
      <c r="L380" s="19"/>
      <c r="M380" s="19"/>
      <c r="N380" s="19"/>
      <c r="O380" s="19"/>
      <c r="P380" s="19"/>
      <c r="Q380" s="19"/>
      <c r="R380" s="19"/>
      <c r="S380" s="19"/>
      <c r="T380" s="19"/>
      <c r="U380" s="19"/>
      <c r="V380" s="19"/>
      <c r="W380" s="19"/>
      <c r="X380" s="19"/>
      <c r="Y380" s="19"/>
    </row>
    <row r="381" spans="1:25" ht="14.1" customHeight="1">
      <c r="A381" s="219" t="str" cm="1">
        <f t="array" ref="A381">IFERROR(INDEX('03.Muestra'!$B$8:$B$42,SMALL(IF("Documento no web"='03.Muestra'!$D$8:$D$42,ROW('03.Muestra'!$B$8:$B$42)-MIN(ROW('03.Muestra'!$D$8:$D$42))+1,""),ROW()-360)),"")</f>
        <v/>
      </c>
      <c r="B381" s="114" t="str" cm="1">
        <f t="array" ref="B381">IFERROR(INDEX('03.Muestra'!$C$8:$C$42,SMALL(IF("Documento no web"='03.Muestra'!$D$8:$D$42,ROW('03.Muestra'!$C$8:$C$42)-MIN(ROW('03.Muestra'!$D$8:$D$42))+1,""),ROW()-360)),"")</f>
        <v/>
      </c>
      <c r="C381" s="114" t="str" cm="1">
        <f t="array" ref="C381">IFERROR(INDEX('03.Muestra'!$F$8:$F$42,SMALL(IF("Documento no web"='03.Muestra'!$D$8:$D$42,ROW('03.Muestra'!$F$8:$F$42)-MIN(ROW('03.Muestra'!$D$8:$D$42))+1,""),ROW()-360)),"")</f>
        <v/>
      </c>
      <c r="D381" s="130" t="str">
        <f t="shared" si="19"/>
        <v/>
      </c>
      <c r="E381" s="107" t="str">
        <f t="shared" si="18"/>
        <v/>
      </c>
      <c r="F381" s="19"/>
      <c r="G381" s="19"/>
      <c r="H381" s="19"/>
      <c r="I381" s="19"/>
      <c r="J381" s="19"/>
      <c r="K381" s="233"/>
      <c r="L381" s="19"/>
      <c r="M381" s="19"/>
      <c r="N381" s="19"/>
      <c r="O381" s="19"/>
      <c r="P381" s="19"/>
      <c r="Q381" s="19"/>
      <c r="R381" s="19"/>
      <c r="S381" s="19"/>
      <c r="T381" s="19"/>
      <c r="U381" s="19"/>
      <c r="V381" s="19"/>
      <c r="W381" s="19"/>
      <c r="X381" s="19"/>
      <c r="Y381" s="19"/>
    </row>
    <row r="382" spans="1:25" ht="14.1" customHeight="1">
      <c r="A382" s="219" t="str" cm="1">
        <f t="array" ref="A382">IFERROR(INDEX('03.Muestra'!$B$8:$B$42,SMALL(IF("Documento no web"='03.Muestra'!$D$8:$D$42,ROW('03.Muestra'!$B$8:$B$42)-MIN(ROW('03.Muestra'!$D$8:$D$42))+1,""),ROW()-360)),"")</f>
        <v/>
      </c>
      <c r="B382" s="114" t="str" cm="1">
        <f t="array" ref="B382">IFERROR(INDEX('03.Muestra'!$C$8:$C$42,SMALL(IF("Documento no web"='03.Muestra'!$D$8:$D$42,ROW('03.Muestra'!$C$8:$C$42)-MIN(ROW('03.Muestra'!$D$8:$D$42))+1,""),ROW()-360)),"")</f>
        <v/>
      </c>
      <c r="C382" s="114" t="str" cm="1">
        <f t="array" ref="C382">IFERROR(INDEX('03.Muestra'!$F$8:$F$42,SMALL(IF("Documento no web"='03.Muestra'!$D$8:$D$42,ROW('03.Muestra'!$F$8:$F$42)-MIN(ROW('03.Muestra'!$D$8:$D$42))+1,""),ROW()-360)),"")</f>
        <v/>
      </c>
      <c r="D382" s="130" t="str">
        <f t="shared" si="19"/>
        <v/>
      </c>
      <c r="E382" s="107" t="str">
        <f t="shared" si="18"/>
        <v/>
      </c>
      <c r="F382" s="19"/>
      <c r="G382" s="19"/>
      <c r="H382" s="19"/>
      <c r="I382" s="19"/>
      <c r="J382" s="19"/>
      <c r="K382" s="233"/>
      <c r="L382" s="19"/>
      <c r="M382" s="19"/>
      <c r="N382" s="19"/>
      <c r="O382" s="19"/>
      <c r="P382" s="19"/>
      <c r="Q382" s="19"/>
      <c r="R382" s="19"/>
      <c r="S382" s="19"/>
      <c r="T382" s="19"/>
      <c r="U382" s="19"/>
      <c r="V382" s="19"/>
      <c r="W382" s="19"/>
      <c r="X382" s="19"/>
      <c r="Y382" s="19"/>
    </row>
    <row r="383" spans="1:25" ht="14.1" customHeight="1">
      <c r="A383" s="219" t="str" cm="1">
        <f t="array" ref="A383">IFERROR(INDEX('03.Muestra'!$B$8:$B$42,SMALL(IF("Documento no web"='03.Muestra'!$D$8:$D$42,ROW('03.Muestra'!$B$8:$B$42)-MIN(ROW('03.Muestra'!$D$8:$D$42))+1,""),ROW()-360)),"")</f>
        <v/>
      </c>
      <c r="B383" s="114" t="str" cm="1">
        <f t="array" ref="B383">IFERROR(INDEX('03.Muestra'!$C$8:$C$42,SMALL(IF("Documento no web"='03.Muestra'!$D$8:$D$42,ROW('03.Muestra'!$C$8:$C$42)-MIN(ROW('03.Muestra'!$D$8:$D$42))+1,""),ROW()-360)),"")</f>
        <v/>
      </c>
      <c r="C383" s="114" t="str" cm="1">
        <f t="array" ref="C383">IFERROR(INDEX('03.Muestra'!$F$8:$F$42,SMALL(IF("Documento no web"='03.Muestra'!$D$8:$D$42,ROW('03.Muestra'!$F$8:$F$42)-MIN(ROW('03.Muestra'!$D$8:$D$42))+1,""),ROW()-360)),"")</f>
        <v/>
      </c>
      <c r="D383" s="130" t="str">
        <f t="shared" si="19"/>
        <v/>
      </c>
      <c r="E383" s="107" t="str">
        <f t="shared" si="18"/>
        <v/>
      </c>
      <c r="F383" s="19"/>
      <c r="G383" s="19"/>
      <c r="H383" s="19"/>
      <c r="I383" s="19"/>
      <c r="J383" s="19"/>
      <c r="K383" s="233"/>
      <c r="L383" s="19"/>
      <c r="M383" s="19"/>
      <c r="N383" s="19"/>
      <c r="O383" s="19"/>
      <c r="P383" s="19"/>
      <c r="Q383" s="19"/>
      <c r="R383" s="19"/>
      <c r="S383" s="19"/>
      <c r="T383" s="19"/>
      <c r="U383" s="19"/>
      <c r="V383" s="19"/>
      <c r="W383" s="19"/>
      <c r="X383" s="19"/>
      <c r="Y383" s="19"/>
    </row>
    <row r="384" spans="1:25" ht="12" customHeight="1">
      <c r="A384" s="219" t="str" cm="1">
        <f t="array" ref="A384">IFERROR(INDEX('03.Muestra'!$B$8:$B$42,SMALL(IF("Documento no web"='03.Muestra'!$D$8:$D$42,ROW('03.Muestra'!$B$8:$B$42)-MIN(ROW('03.Muestra'!$D$8:$D$42))+1,""),ROW()-360)),"")</f>
        <v/>
      </c>
      <c r="B384" s="114" t="str" cm="1">
        <f t="array" ref="B384">IFERROR(INDEX('03.Muestra'!$C$8:$C$42,SMALL(IF("Documento no web"='03.Muestra'!$D$8:$D$42,ROW('03.Muestra'!$C$8:$C$42)-MIN(ROW('03.Muestra'!$D$8:$D$42))+1,""),ROW()-360)),"")</f>
        <v/>
      </c>
      <c r="C384" s="114" t="str" cm="1">
        <f t="array" ref="C384">IFERROR(INDEX('03.Muestra'!$F$8:$F$42,SMALL(IF("Documento no web"='03.Muestra'!$D$8:$D$42,ROW('03.Muestra'!$F$8:$F$42)-MIN(ROW('03.Muestra'!$D$8:$D$42))+1,""),ROW()-360)),"")</f>
        <v/>
      </c>
      <c r="D384" s="130" t="str">
        <f t="shared" si="19"/>
        <v/>
      </c>
      <c r="E384" s="107" t="str">
        <f t="shared" si="18"/>
        <v/>
      </c>
      <c r="F384" s="19"/>
      <c r="G384" s="19"/>
      <c r="H384" s="19"/>
      <c r="I384" s="19"/>
      <c r="J384" s="19"/>
      <c r="K384" s="233"/>
      <c r="L384" s="19"/>
      <c r="M384" s="19"/>
      <c r="N384" s="19"/>
      <c r="O384" s="19"/>
      <c r="P384" s="19"/>
      <c r="Q384" s="19"/>
      <c r="R384" s="19"/>
      <c r="S384" s="19"/>
      <c r="T384" s="19"/>
      <c r="U384" s="19"/>
      <c r="V384" s="19"/>
      <c r="W384" s="19"/>
      <c r="X384" s="19"/>
      <c r="Y384" s="19"/>
    </row>
    <row r="385" spans="1:25" ht="12" customHeight="1">
      <c r="A385" s="219" t="str" cm="1">
        <f t="array" ref="A385">IFERROR(INDEX('03.Muestra'!$B$8:$B$42,SMALL(IF("Documento no web"='03.Muestra'!$D$8:$D$42,ROW('03.Muestra'!$B$8:$B$42)-MIN(ROW('03.Muestra'!$D$8:$D$42))+1,""),ROW()-360)),"")</f>
        <v/>
      </c>
      <c r="B385" s="114" t="str" cm="1">
        <f t="array" ref="B385">IFERROR(INDEX('03.Muestra'!$C$8:$C$42,SMALL(IF("Documento no web"='03.Muestra'!$D$8:$D$42,ROW('03.Muestra'!$C$8:$C$42)-MIN(ROW('03.Muestra'!$D$8:$D$42))+1,""),ROW()-360)),"")</f>
        <v/>
      </c>
      <c r="C385" s="114" t="str" cm="1">
        <f t="array" ref="C385">IFERROR(INDEX('03.Muestra'!$F$8:$F$42,SMALL(IF("Documento no web"='03.Muestra'!$D$8:$D$42,ROW('03.Muestra'!$F$8:$F$42)-MIN(ROW('03.Muestra'!$D$8:$D$42))+1,""),ROW()-360)),"")</f>
        <v/>
      </c>
      <c r="D385" s="130" t="str">
        <f t="shared" si="19"/>
        <v/>
      </c>
      <c r="E385" s="107" t="str">
        <f t="shared" si="18"/>
        <v/>
      </c>
      <c r="F385" s="19"/>
      <c r="G385" s="19"/>
      <c r="H385" s="19"/>
      <c r="I385" s="19"/>
      <c r="J385" s="19"/>
      <c r="K385" s="233"/>
      <c r="L385" s="19"/>
      <c r="M385" s="19"/>
      <c r="N385" s="19"/>
      <c r="O385" s="19"/>
      <c r="P385" s="19"/>
      <c r="Q385" s="19"/>
      <c r="R385" s="19"/>
      <c r="S385" s="19"/>
      <c r="T385" s="19"/>
      <c r="U385" s="19"/>
      <c r="V385" s="19"/>
      <c r="W385" s="19"/>
      <c r="X385" s="19"/>
      <c r="Y385" s="19"/>
    </row>
    <row r="386" spans="1:25" ht="12" customHeight="1">
      <c r="A386" s="219" t="str" cm="1">
        <f t="array" ref="A386">IFERROR(INDEX('03.Muestra'!$B$8:$B$42,SMALL(IF("Documento no web"='03.Muestra'!$D$8:$D$42,ROW('03.Muestra'!$B$8:$B$42)-MIN(ROW('03.Muestra'!$D$8:$D$42))+1,""),ROW()-360)),"")</f>
        <v/>
      </c>
      <c r="B386" s="114" t="str" cm="1">
        <f t="array" ref="B386">IFERROR(INDEX('03.Muestra'!$C$8:$C$42,SMALL(IF("Documento no web"='03.Muestra'!$D$8:$D$42,ROW('03.Muestra'!$C$8:$C$42)-MIN(ROW('03.Muestra'!$D$8:$D$42))+1,""),ROW()-360)),"")</f>
        <v/>
      </c>
      <c r="C386" s="114" t="str" cm="1">
        <f t="array" ref="C386">IFERROR(INDEX('03.Muestra'!$F$8:$F$42,SMALL(IF("Documento no web"='03.Muestra'!$D$8:$D$42,ROW('03.Muestra'!$F$8:$F$42)-MIN(ROW('03.Muestra'!$D$8:$D$42))+1,""),ROW()-360)),"")</f>
        <v/>
      </c>
      <c r="D386" s="130" t="str">
        <f t="shared" si="19"/>
        <v/>
      </c>
      <c r="E386" s="107" t="str">
        <f t="shared" si="18"/>
        <v/>
      </c>
      <c r="F386" s="19"/>
      <c r="G386" s="19"/>
      <c r="H386" s="19"/>
      <c r="I386" s="19"/>
      <c r="J386" s="19"/>
      <c r="K386" s="233"/>
      <c r="L386" s="19"/>
      <c r="M386" s="19"/>
      <c r="N386" s="19"/>
      <c r="O386" s="19"/>
      <c r="P386" s="19"/>
      <c r="Q386" s="19"/>
      <c r="R386" s="19"/>
      <c r="S386" s="19"/>
      <c r="T386" s="19"/>
      <c r="U386" s="19"/>
      <c r="V386" s="19"/>
      <c r="W386" s="19"/>
      <c r="X386" s="19"/>
      <c r="Y386" s="19"/>
    </row>
    <row r="387" spans="1:25" ht="12" customHeight="1">
      <c r="A387" s="219" t="str" cm="1">
        <f t="array" ref="A387">IFERROR(INDEX('03.Muestra'!$B$8:$B$42,SMALL(IF("Documento no web"='03.Muestra'!$D$8:$D$42,ROW('03.Muestra'!$B$8:$B$42)-MIN(ROW('03.Muestra'!$D$8:$D$42))+1,""),ROW()-360)),"")</f>
        <v/>
      </c>
      <c r="B387" s="114" t="str" cm="1">
        <f t="array" ref="B387">IFERROR(INDEX('03.Muestra'!$C$8:$C$42,SMALL(IF("Documento no web"='03.Muestra'!$D$8:$D$42,ROW('03.Muestra'!$C$8:$C$42)-MIN(ROW('03.Muestra'!$D$8:$D$42))+1,""),ROW()-360)),"")</f>
        <v/>
      </c>
      <c r="C387" s="114" t="str" cm="1">
        <f t="array" ref="C387">IFERROR(INDEX('03.Muestra'!$F$8:$F$42,SMALL(IF("Documento no web"='03.Muestra'!$D$8:$D$42,ROW('03.Muestra'!$F$8:$F$42)-MIN(ROW('03.Muestra'!$D$8:$D$42))+1,""),ROW()-360)),"")</f>
        <v/>
      </c>
      <c r="D387" s="130" t="str">
        <f t="shared" si="19"/>
        <v/>
      </c>
      <c r="E387" s="107" t="str">
        <f t="shared" si="18"/>
        <v/>
      </c>
      <c r="F387" s="19"/>
      <c r="G387" s="19"/>
      <c r="H387" s="19"/>
      <c r="I387" s="19"/>
      <c r="J387" s="19"/>
      <c r="K387" s="233"/>
      <c r="L387" s="19"/>
      <c r="M387" s="19"/>
      <c r="N387" s="19"/>
      <c r="O387" s="19"/>
      <c r="P387" s="19"/>
      <c r="Q387" s="19"/>
      <c r="R387" s="19"/>
      <c r="S387" s="19"/>
      <c r="T387" s="19"/>
      <c r="U387" s="19"/>
      <c r="V387" s="19"/>
      <c r="W387" s="19"/>
      <c r="X387" s="19"/>
      <c r="Y387" s="19"/>
    </row>
    <row r="388" spans="1:25" ht="12" customHeight="1">
      <c r="A388" s="219" t="str" cm="1">
        <f t="array" ref="A388">IFERROR(INDEX('03.Muestra'!$B$8:$B$42,SMALL(IF("Documento no web"='03.Muestra'!$D$8:$D$42,ROW('03.Muestra'!$B$8:$B$42)-MIN(ROW('03.Muestra'!$D$8:$D$42))+1,""),ROW()-360)),"")</f>
        <v/>
      </c>
      <c r="B388" s="114" t="str" cm="1">
        <f t="array" ref="B388">IFERROR(INDEX('03.Muestra'!$C$8:$C$42,SMALL(IF("Documento no web"='03.Muestra'!$D$8:$D$42,ROW('03.Muestra'!$C$8:$C$42)-MIN(ROW('03.Muestra'!$D$8:$D$42))+1,""),ROW()-360)),"")</f>
        <v/>
      </c>
      <c r="C388" s="114" t="str" cm="1">
        <f t="array" ref="C388">IFERROR(INDEX('03.Muestra'!$F$8:$F$42,SMALL(IF("Documento no web"='03.Muestra'!$D$8:$D$42,ROW('03.Muestra'!$F$8:$F$42)-MIN(ROW('03.Muestra'!$D$8:$D$42))+1,""),ROW()-360)),"")</f>
        <v/>
      </c>
      <c r="D388" s="130" t="str">
        <f t="shared" si="19"/>
        <v/>
      </c>
      <c r="E388" s="107" t="str">
        <f t="shared" si="18"/>
        <v/>
      </c>
      <c r="G388" s="19"/>
      <c r="H388" s="19"/>
      <c r="I388" s="19"/>
      <c r="J388" s="19"/>
      <c r="K388" s="233"/>
      <c r="L388" s="19"/>
      <c r="M388" s="19"/>
      <c r="N388" s="19"/>
      <c r="O388" s="19"/>
      <c r="P388" s="19"/>
      <c r="Q388" s="19"/>
      <c r="R388" s="19"/>
      <c r="S388" s="19"/>
      <c r="T388" s="19"/>
      <c r="U388" s="19"/>
      <c r="V388" s="19"/>
      <c r="W388" s="19"/>
      <c r="X388" s="19"/>
      <c r="Y388" s="19"/>
    </row>
    <row r="389" spans="1:25" ht="12" customHeight="1">
      <c r="A389" s="219" t="str" cm="1">
        <f t="array" ref="A389">IFERROR(INDEX('03.Muestra'!$B$8:$B$42,SMALL(IF("Documento no web"='03.Muestra'!$D$8:$D$42,ROW('03.Muestra'!$B$8:$B$42)-MIN(ROW('03.Muestra'!$D$8:$D$42))+1,""),ROW()-360)),"")</f>
        <v/>
      </c>
      <c r="B389" s="114" t="str" cm="1">
        <f t="array" ref="B389">IFERROR(INDEX('03.Muestra'!$C$8:$C$42,SMALL(IF("Documento no web"='03.Muestra'!$D$8:$D$42,ROW('03.Muestra'!$C$8:$C$42)-MIN(ROW('03.Muestra'!$D$8:$D$42))+1,""),ROW()-360)),"")</f>
        <v/>
      </c>
      <c r="C389" s="114" t="str" cm="1">
        <f t="array" ref="C389">IFERROR(INDEX('03.Muestra'!$F$8:$F$42,SMALL(IF("Documento no web"='03.Muestra'!$D$8:$D$42,ROW('03.Muestra'!$F$8:$F$42)-MIN(ROW('03.Muestra'!$D$8:$D$42))+1,""),ROW()-360)),"")</f>
        <v/>
      </c>
      <c r="D389" s="130" t="str">
        <f t="shared" si="19"/>
        <v/>
      </c>
      <c r="E389" s="107" t="str">
        <f t="shared" si="18"/>
        <v/>
      </c>
      <c r="F389" s="124"/>
      <c r="G389" s="19"/>
      <c r="H389" s="19"/>
      <c r="I389" s="19"/>
      <c r="J389" s="19"/>
      <c r="K389" s="233"/>
      <c r="L389" s="19"/>
      <c r="M389" s="19"/>
      <c r="N389" s="19"/>
      <c r="O389" s="19"/>
      <c r="P389" s="19"/>
      <c r="Q389" s="19"/>
      <c r="R389" s="19"/>
      <c r="S389" s="19"/>
      <c r="T389" s="19"/>
      <c r="U389" s="19"/>
      <c r="V389" s="19"/>
      <c r="W389" s="19"/>
      <c r="X389" s="19"/>
      <c r="Y389" s="19"/>
    </row>
    <row r="390" spans="1:25" ht="12" customHeight="1">
      <c r="A390" s="219" t="str" cm="1">
        <f t="array" ref="A390">IFERROR(INDEX('03.Muestra'!$B$8:$B$42,SMALL(IF("Documento no web"='03.Muestra'!$D$8:$D$42,ROW('03.Muestra'!$B$8:$B$42)-MIN(ROW('03.Muestra'!$D$8:$D$42))+1,""),ROW()-360)),"")</f>
        <v/>
      </c>
      <c r="B390" s="114" t="str" cm="1">
        <f t="array" ref="B390">IFERROR(INDEX('03.Muestra'!$C$8:$C$42,SMALL(IF("Documento no web"='03.Muestra'!$D$8:$D$42,ROW('03.Muestra'!$C$8:$C$42)-MIN(ROW('03.Muestra'!$D$8:$D$42))+1,""),ROW()-360)),"")</f>
        <v/>
      </c>
      <c r="C390" s="114" t="str" cm="1">
        <f t="array" ref="C390">IFERROR(INDEX('03.Muestra'!$F$8:$F$42,SMALL(IF("Documento no web"='03.Muestra'!$D$8:$D$42,ROW('03.Muestra'!$F$8:$F$42)-MIN(ROW('03.Muestra'!$D$8:$D$42))+1,""),ROW()-360)),"")</f>
        <v/>
      </c>
      <c r="D390" s="130" t="str">
        <f t="shared" si="19"/>
        <v/>
      </c>
      <c r="E390" s="107" t="str">
        <f t="shared" si="18"/>
        <v/>
      </c>
      <c r="F390" s="124"/>
      <c r="G390" s="19"/>
      <c r="H390" s="19"/>
      <c r="I390" s="19"/>
      <c r="J390" s="19"/>
      <c r="K390" s="233"/>
      <c r="L390" s="19"/>
      <c r="M390" s="19"/>
      <c r="N390" s="19"/>
      <c r="O390" s="19"/>
      <c r="P390" s="19"/>
      <c r="Q390" s="19"/>
      <c r="R390" s="19"/>
      <c r="S390" s="19"/>
      <c r="T390" s="19"/>
      <c r="U390" s="19"/>
      <c r="V390" s="19"/>
      <c r="W390" s="19"/>
      <c r="X390" s="19"/>
      <c r="Y390" s="19"/>
    </row>
    <row r="391" spans="1:25" ht="12" customHeight="1">
      <c r="A391" s="219" t="str" cm="1">
        <f t="array" ref="A391">IFERROR(INDEX('03.Muestra'!$B$8:$B$42,SMALL(IF("Documento no web"='03.Muestra'!$D$8:$D$42,ROW('03.Muestra'!$B$8:$B$42)-MIN(ROW('03.Muestra'!$D$8:$D$42))+1,""),ROW()-360)),"")</f>
        <v/>
      </c>
      <c r="B391" s="114" t="str" cm="1">
        <f t="array" ref="B391">IFERROR(INDEX('03.Muestra'!$C$8:$C$42,SMALL(IF("Documento no web"='03.Muestra'!$D$8:$D$42,ROW('03.Muestra'!$C$8:$C$42)-MIN(ROW('03.Muestra'!$D$8:$D$42))+1,""),ROW()-360)),"")</f>
        <v/>
      </c>
      <c r="C391" s="114" t="str" cm="1">
        <f t="array" ref="C391">IFERROR(INDEX('03.Muestra'!$F$8:$F$42,SMALL(IF("Documento no web"='03.Muestra'!$D$8:$D$42,ROW('03.Muestra'!$F$8:$F$42)-MIN(ROW('03.Muestra'!$D$8:$D$42))+1,""),ROW()-360)),"")</f>
        <v/>
      </c>
      <c r="D391" s="130" t="str">
        <f t="shared" si="19"/>
        <v/>
      </c>
      <c r="E391" s="107" t="str">
        <f t="shared" si="18"/>
        <v/>
      </c>
      <c r="F391" s="124"/>
      <c r="G391" s="19"/>
      <c r="H391" s="19"/>
      <c r="I391" s="19"/>
      <c r="J391" s="19"/>
      <c r="K391" s="233"/>
      <c r="L391" s="19"/>
      <c r="M391" s="19"/>
      <c r="N391" s="19"/>
      <c r="O391" s="19"/>
      <c r="P391" s="19"/>
      <c r="Q391" s="19"/>
      <c r="R391" s="19"/>
      <c r="S391" s="19"/>
      <c r="T391" s="19"/>
      <c r="U391" s="19"/>
      <c r="V391" s="19"/>
      <c r="W391" s="19"/>
      <c r="X391" s="19"/>
      <c r="Y391" s="19"/>
    </row>
    <row r="392" spans="1:25" ht="12" customHeight="1">
      <c r="A392" s="219" t="str" cm="1">
        <f t="array" ref="A392">IFERROR(INDEX('03.Muestra'!$B$8:$B$42,SMALL(IF("Documento no web"='03.Muestra'!$D$8:$D$42,ROW('03.Muestra'!$B$8:$B$42)-MIN(ROW('03.Muestra'!$D$8:$D$42))+1,""),ROW()-360)),"")</f>
        <v/>
      </c>
      <c r="B392" s="114" t="str" cm="1">
        <f t="array" ref="B392">IFERROR(INDEX('03.Muestra'!$C$8:$C$42,SMALL(IF("Documento no web"='03.Muestra'!$D$8:$D$42,ROW('03.Muestra'!$C$8:$C$42)-MIN(ROW('03.Muestra'!$D$8:$D$42))+1,""),ROW()-360)),"")</f>
        <v/>
      </c>
      <c r="C392" s="114" t="str" cm="1">
        <f t="array" ref="C392">IFERROR(INDEX('03.Muestra'!$F$8:$F$42,SMALL(IF("Documento no web"='03.Muestra'!$D$8:$D$42,ROW('03.Muestra'!$F$8:$F$42)-MIN(ROW('03.Muestra'!$D$8:$D$42))+1,""),ROW()-360)),"")</f>
        <v/>
      </c>
      <c r="D392" s="130" t="str">
        <f t="shared" si="19"/>
        <v/>
      </c>
      <c r="E392" s="107" t="str">
        <f t="shared" si="18"/>
        <v/>
      </c>
      <c r="F392" s="124"/>
      <c r="G392" s="19"/>
      <c r="H392" s="19"/>
      <c r="I392" s="19"/>
      <c r="J392" s="19"/>
      <c r="K392" s="233"/>
      <c r="L392" s="19"/>
      <c r="M392" s="19"/>
      <c r="N392" s="19"/>
      <c r="O392" s="19"/>
      <c r="P392" s="19"/>
      <c r="Q392" s="19"/>
      <c r="R392" s="19"/>
      <c r="S392" s="19"/>
      <c r="T392" s="19"/>
      <c r="U392" s="19"/>
      <c r="V392" s="19"/>
      <c r="W392" s="19"/>
      <c r="X392" s="19"/>
      <c r="Y392" s="19"/>
    </row>
    <row r="393" spans="1:25" ht="12" customHeight="1">
      <c r="A393" s="219" t="str" cm="1">
        <f t="array" ref="A393">IFERROR(INDEX('03.Muestra'!$B$8:$B$42,SMALL(IF("Documento no web"='03.Muestra'!$D$8:$D$42,ROW('03.Muestra'!$B$8:$B$42)-MIN(ROW('03.Muestra'!$D$8:$D$42))+1,""),ROW()-360)),"")</f>
        <v/>
      </c>
      <c r="B393" s="114" t="str" cm="1">
        <f t="array" ref="B393">IFERROR(INDEX('03.Muestra'!$C$8:$C$42,SMALL(IF("Documento no web"='03.Muestra'!$D$8:$D$42,ROW('03.Muestra'!$C$8:$C$42)-MIN(ROW('03.Muestra'!$D$8:$D$42))+1,""),ROW()-360)),"")</f>
        <v/>
      </c>
      <c r="C393" s="114" t="str" cm="1">
        <f t="array" ref="C393">IFERROR(INDEX('03.Muestra'!$F$8:$F$42,SMALL(IF("Documento no web"='03.Muestra'!$D$8:$D$42,ROW('03.Muestra'!$F$8:$F$42)-MIN(ROW('03.Muestra'!$D$8:$D$42))+1,""),ROW()-360)),"")</f>
        <v/>
      </c>
      <c r="D393" s="130" t="str">
        <f t="shared" si="19"/>
        <v/>
      </c>
      <c r="E393" s="107" t="str">
        <f t="shared" si="18"/>
        <v/>
      </c>
      <c r="F393" s="124"/>
      <c r="G393" s="19"/>
      <c r="H393" s="19"/>
      <c r="I393" s="19"/>
      <c r="J393" s="19"/>
      <c r="K393" s="233"/>
      <c r="L393" s="19"/>
      <c r="M393" s="19"/>
      <c r="N393" s="19"/>
      <c r="O393" s="19"/>
      <c r="P393" s="19"/>
      <c r="Q393" s="19"/>
      <c r="R393" s="19"/>
      <c r="S393" s="19"/>
      <c r="T393" s="19"/>
      <c r="U393" s="19"/>
      <c r="V393" s="19"/>
      <c r="W393" s="19"/>
      <c r="X393" s="19"/>
      <c r="Y393" s="19"/>
    </row>
    <row r="394" spans="1:25" ht="12" customHeight="1">
      <c r="A394" s="219" t="str" cm="1">
        <f t="array" ref="A394">IFERROR(INDEX('03.Muestra'!$B$8:$B$42,SMALL(IF("Documento no web"='03.Muestra'!$D$8:$D$42,ROW('03.Muestra'!$B$8:$B$42)-MIN(ROW('03.Muestra'!$D$8:$D$42))+1,""),ROW()-360)),"")</f>
        <v/>
      </c>
      <c r="B394" s="114" t="str" cm="1">
        <f t="array" ref="B394">IFERROR(INDEX('03.Muestra'!$C$8:$C$42,SMALL(IF("Documento no web"='03.Muestra'!$D$8:$D$42,ROW('03.Muestra'!$C$8:$C$42)-MIN(ROW('03.Muestra'!$D$8:$D$42))+1,""),ROW()-360)),"")</f>
        <v/>
      </c>
      <c r="C394" s="114" t="str" cm="1">
        <f t="array" ref="C394">IFERROR(INDEX('03.Muestra'!$F$8:$F$42,SMALL(IF("Documento no web"='03.Muestra'!$D$8:$D$42,ROW('03.Muestra'!$F$8:$F$42)-MIN(ROW('03.Muestra'!$D$8:$D$42))+1,""),ROW()-360)),"")</f>
        <v/>
      </c>
      <c r="D394" s="130" t="str">
        <f t="shared" si="19"/>
        <v/>
      </c>
      <c r="E394" s="107" t="str">
        <f t="shared" si="18"/>
        <v/>
      </c>
      <c r="F394" s="124"/>
      <c r="G394" s="19"/>
      <c r="H394" s="19"/>
      <c r="I394" s="19"/>
      <c r="J394" s="19"/>
      <c r="K394" s="233"/>
      <c r="L394" s="19"/>
      <c r="M394" s="19"/>
      <c r="N394" s="19"/>
      <c r="O394" s="19"/>
      <c r="P394" s="19"/>
      <c r="Q394" s="19"/>
      <c r="R394" s="19"/>
      <c r="S394" s="19"/>
      <c r="T394" s="19"/>
      <c r="U394" s="19"/>
      <c r="V394" s="19"/>
      <c r="W394" s="19"/>
      <c r="X394" s="19"/>
      <c r="Y394" s="19"/>
    </row>
    <row r="395" spans="1:25" ht="12" customHeight="1">
      <c r="A395" s="219" t="str" cm="1">
        <f t="array" ref="A395">IFERROR(INDEX('03.Muestra'!$B$8:$B$42,SMALL(IF("Documento no web"='03.Muestra'!$D$8:$D$42,ROW('03.Muestra'!$B$8:$B$42)-MIN(ROW('03.Muestra'!$D$8:$D$42))+1,""),ROW()-360)),"")</f>
        <v/>
      </c>
      <c r="B395" s="114" t="str" cm="1">
        <f t="array" ref="B395">IFERROR(INDEX('03.Muestra'!$C$8:$C$42,SMALL(IF("Documento no web"='03.Muestra'!$D$8:$D$42,ROW('03.Muestra'!$C$8:$C$42)-MIN(ROW('03.Muestra'!$D$8:$D$42))+1,""),ROW()-360)),"")</f>
        <v/>
      </c>
      <c r="C395" s="114" t="str" cm="1">
        <f t="array" ref="C395">IFERROR(INDEX('03.Muestra'!$F$8:$F$42,SMALL(IF("Documento no web"='03.Muestra'!$D$8:$D$42,ROW('03.Muestra'!$F$8:$F$42)-MIN(ROW('03.Muestra'!$D$8:$D$42))+1,""),ROW()-360)),"")</f>
        <v/>
      </c>
      <c r="D395" s="130" t="str">
        <f t="shared" si="19"/>
        <v/>
      </c>
      <c r="E395" s="107" t="str">
        <f t="shared" si="18"/>
        <v/>
      </c>
      <c r="F395" s="19"/>
      <c r="G395" s="19"/>
      <c r="H395" s="19"/>
      <c r="I395" s="19"/>
      <c r="J395" s="19"/>
      <c r="K395" s="233"/>
      <c r="L395" s="19"/>
      <c r="M395" s="19"/>
      <c r="N395" s="19"/>
      <c r="O395" s="19"/>
      <c r="P395" s="19"/>
      <c r="Q395" s="19"/>
      <c r="R395" s="19"/>
      <c r="S395" s="19"/>
      <c r="T395" s="19"/>
      <c r="U395" s="19"/>
      <c r="V395" s="19"/>
      <c r="W395" s="19"/>
      <c r="X395" s="19"/>
      <c r="Y395" s="19"/>
    </row>
    <row r="396" spans="1:25" ht="12" customHeight="1">
      <c r="B396" s="19"/>
      <c r="C396" s="19"/>
      <c r="D396" s="107"/>
      <c r="E396" s="107"/>
      <c r="F396" s="19"/>
      <c r="G396" s="19"/>
      <c r="H396" s="19"/>
      <c r="I396" s="19"/>
      <c r="J396" s="19"/>
      <c r="K396" s="233"/>
      <c r="L396" s="19"/>
      <c r="M396" s="19"/>
      <c r="N396" s="19"/>
      <c r="O396" s="19"/>
      <c r="P396" s="19"/>
      <c r="Q396" s="19"/>
      <c r="R396" s="19"/>
      <c r="S396" s="19"/>
      <c r="T396" s="19"/>
      <c r="U396" s="19"/>
      <c r="V396" s="19"/>
      <c r="W396" s="19"/>
      <c r="X396" s="19"/>
      <c r="Y396" s="19"/>
    </row>
    <row r="397" spans="1:25" ht="12" customHeight="1">
      <c r="B397" s="19"/>
      <c r="C397" s="19"/>
      <c r="D397" s="107"/>
      <c r="E397" s="112"/>
      <c r="F397" s="19"/>
      <c r="G397" s="19"/>
      <c r="H397" s="19"/>
      <c r="I397" s="19"/>
      <c r="J397" s="19"/>
      <c r="K397" s="233"/>
      <c r="L397" s="19"/>
      <c r="M397" s="19"/>
      <c r="N397" s="19"/>
      <c r="O397" s="19"/>
      <c r="P397" s="19"/>
      <c r="Q397" s="19"/>
      <c r="R397" s="19"/>
      <c r="S397" s="19"/>
      <c r="T397" s="19"/>
      <c r="U397" s="19"/>
      <c r="V397" s="19"/>
      <c r="W397" s="19"/>
      <c r="X397" s="19"/>
      <c r="Y397" s="19"/>
    </row>
    <row r="398" spans="1:25" ht="32.25" customHeight="1">
      <c r="A398" s="218" t="s">
        <v>268</v>
      </c>
      <c r="B398" s="24" t="s">
        <v>90</v>
      </c>
      <c r="C398" s="25" t="s">
        <v>432</v>
      </c>
      <c r="D398" s="26" t="s">
        <v>32</v>
      </c>
      <c r="E398" s="123"/>
      <c r="K398" s="233"/>
      <c r="L398" s="19"/>
      <c r="M398" s="19"/>
      <c r="N398" s="19"/>
      <c r="O398" s="19"/>
      <c r="P398" s="19"/>
      <c r="Q398" s="19"/>
      <c r="R398" s="19"/>
      <c r="S398" s="19"/>
      <c r="T398" s="19"/>
      <c r="U398" s="19"/>
      <c r="V398" s="19"/>
      <c r="W398" s="19"/>
      <c r="X398" s="19"/>
      <c r="Y398" s="19"/>
    </row>
    <row r="399" spans="1:25" ht="12" customHeight="1">
      <c r="A399" s="219" t="n" cm="1">
        <f t="array" ref="A399">IFERROR(INDEX('03.Muestra'!$B$8:$B$42,SMALL(IF("Documento no web"='03.Muestra'!$D$8:$D$42,ROW('03.Muestra'!$B$8:$B$42)-MIN(ROW('03.Muestra'!$D$8:$D$42))+1,""),ROW()-398)),"")</f>
        <v>1.0</v>
      </c>
      <c r="B399" s="114" t="str" cm="1">
        <f t="array" ref="B399">IFERROR(INDEX('03.Muestra'!$C$8:$C$42,SMALL(IF("Documento no web"='03.Muestra'!$D$8:$D$42,ROW('03.Muestra'!$C$8:$C$42)-MIN(ROW('03.Muestra'!$D$8:$D$42))+1,""),ROW()-398)),"")</f>
        <v>Home - PortCastelló</v>
      </c>
      <c r="C399" s="114" t="str" cm="1">
        <f t="array" ref="C399">IFERROR(INDEX('03.Muestra'!$F$8:$F$42,SMALL(IF("Documento no web"='03.Muestra'!$D$8:$D$42,ROW('03.Muestra'!$F$8:$F$42)-MIN(ROW('03.Muestra'!$D$8:$D$42))+1,""),ROW()-398)),"")</f>
        <v>https://www.portcastello.com/</v>
      </c>
      <c r="D399" s="130" t="s">
        <v>33</v>
      </c>
      <c r="E399" s="107" t="str">
        <f t="shared" ref="E399:E433" si="20">IF(D399&lt;&gt;"",IF(AND(B399&lt;&gt;"",C399&lt;&gt;""),"","ERR"),"")</f>
        <v/>
      </c>
      <c r="F399" s="115" t="s">
        <v>33</v>
      </c>
      <c r="G399" s="116" t="s">
        <v>37</v>
      </c>
      <c r="H399" s="117" t="s">
        <v>35</v>
      </c>
      <c r="I399" s="118" t="s">
        <v>28</v>
      </c>
      <c r="J399" s="119" t="s">
        <v>26</v>
      </c>
      <c r="K399" s="226" t="s">
        <v>474</v>
      </c>
      <c r="L399" s="19"/>
      <c r="M399" s="19"/>
      <c r="N399" s="19"/>
      <c r="O399" s="19"/>
      <c r="P399" s="19"/>
      <c r="Q399" s="19"/>
      <c r="R399" s="19"/>
      <c r="S399" s="19"/>
      <c r="T399" s="19"/>
      <c r="U399" s="19"/>
      <c r="V399" s="19"/>
      <c r="W399" s="19"/>
      <c r="X399" s="19"/>
      <c r="Y399" s="19"/>
    </row>
    <row r="400" spans="1:25" ht="12" customHeight="1">
      <c r="A400" s="219" t="n" cm="1">
        <f t="array" ref="A400">IFERROR(INDEX('03.Muestra'!$B$8:$B$42,SMALL(IF("Documento no web"='03.Muestra'!$D$8:$D$42,ROW('03.Muestra'!$B$8:$B$42)-MIN(ROW('03.Muestra'!$D$8:$D$42))+1,""),ROW()-398)),"")</f>
        <v>1.0</v>
      </c>
      <c r="B400" s="114" t="str" cm="1">
        <f t="array" ref="B400">IFERROR(INDEX('03.Muestra'!$C$8:$C$42,SMALL(IF("Documento no web"='03.Muestra'!$D$8:$D$42,ROW('03.Muestra'!$C$8:$C$42)-MIN(ROW('03.Muestra'!$D$8:$D$42))+1,""),ROW()-398)),"")</f>
        <v>Home - PortCastelló</v>
      </c>
      <c r="C400" s="114" t="str" cm="1">
        <f t="array" ref="C400">IFERROR(INDEX('03.Muestra'!$F$8:$F$42,SMALL(IF("Documento no web"='03.Muestra'!$D$8:$D$42,ROW('03.Muestra'!$F$8:$F$42)-MIN(ROW('03.Muestra'!$D$8:$D$42))+1,""),ROW()-398)),"")</f>
        <v>https://www.portcastello.com/</v>
      </c>
      <c r="D400" s="130" t="s">
        <v>33</v>
      </c>
      <c r="E400" s="107" t="str">
        <f t="shared" si="20"/>
        <v/>
      </c>
      <c r="F400" s="120" t="n">
        <f ca="1">COUNTIF($D399:INDIRECT("$D" &amp;  SUM(ROW()-1,'03.Muestra'!$D$45)-1),F399)</f>
        <v>2.0</v>
      </c>
      <c r="G400" s="120" t="n">
        <f ca="1">COUNTIF($D399:INDIRECT("$D" &amp;  SUM(ROW()-1,'03.Muestra'!$D$45)-1),G399)</f>
        <v>0.0</v>
      </c>
      <c r="H400" s="120" t="n">
        <f ca="1">COUNTIF($D399:INDIRECT("$D" &amp;  SUM(ROW()-1,'03.Muestra'!$D$45)-1),H399)</f>
        <v>0.0</v>
      </c>
      <c r="I400" s="120" t="n">
        <f ca="1">COUNTIF($D399:INDIRECT("$D" &amp;  SUM(ROW()-1,'03.Muestra'!$D$45)-1),I399)</f>
        <v>0.0</v>
      </c>
      <c r="J400" s="120" t="n">
        <f ca="1">COUNTIF($D399:INDIRECT("$D" &amp;  SUM(ROW()-1,'03.Muestra'!$D$45)-1),J399)</f>
        <v>0.0</v>
      </c>
      <c r="K400" s="227" t="n">
        <f ca="1">IF(COUNTIF('03.Muestra'!$D$8:$D$42,"Documento no web")=0,0,COUNTBLANK($D399:INDIRECT("$D" &amp;  SUM(ROW()-1,COUNTIF('03.Muestra'!$D$8:$D$42,"Documento no web"))-1)))</f>
        <v>0.0</v>
      </c>
      <c r="L400" s="19"/>
      <c r="M400" s="19"/>
      <c r="N400" s="19"/>
      <c r="O400" s="19"/>
      <c r="P400" s="19"/>
      <c r="Q400" s="19"/>
      <c r="R400" s="19"/>
      <c r="S400" s="19"/>
      <c r="T400" s="19"/>
      <c r="U400" s="19"/>
      <c r="V400" s="19"/>
      <c r="W400" s="19"/>
      <c r="X400" s="19"/>
      <c r="Y400" s="19"/>
    </row>
    <row r="401" spans="1:25" ht="12" customHeight="1">
      <c r="A401" s="219" t="str" cm="1">
        <f t="array" ref="A401">IFERROR(INDEX('03.Muestra'!$B$8:$B$42,SMALL(IF("Documento no web"='03.Muestra'!$D$8:$D$42,ROW('03.Muestra'!$B$8:$B$42)-MIN(ROW('03.Muestra'!$D$8:$D$42))+1,""),ROW()-398)),"")</f>
        <v/>
      </c>
      <c r="B401" s="114" t="str" cm="1">
        <f t="array" ref="B401">IFERROR(INDEX('03.Muestra'!$C$8:$C$42,SMALL(IF("Documento no web"='03.Muestra'!$D$8:$D$42,ROW('03.Muestra'!$C$8:$C$42)-MIN(ROW('03.Muestra'!$D$8:$D$42))+1,""),ROW()-398)),"")</f>
        <v/>
      </c>
      <c r="C401" s="114" t="str" cm="1">
        <f t="array" ref="C401">IFERROR(INDEX('03.Muestra'!$F$8:$F$42,SMALL(IF("Documento no web"='03.Muestra'!$D$8:$D$42,ROW('03.Muestra'!$F$8:$F$42)-MIN(ROW('03.Muestra'!$D$8:$D$42))+1,""),ROW()-398)),"")</f>
        <v/>
      </c>
      <c r="D401" s="130" t="str">
        <f t="shared" si="21" ref="D401:D433">IF(AND(B401&lt;&gt;"",C401&lt;&gt;""),"N/T","")</f>
        <v/>
      </c>
      <c r="E401" s="107" t="str">
        <f t="shared" si="20"/>
        <v/>
      </c>
      <c r="G401" s="19"/>
      <c r="H401" s="19"/>
      <c r="I401" s="19"/>
      <c r="J401" s="19"/>
      <c r="K401" s="233"/>
      <c r="L401" s="19"/>
      <c r="M401" s="19"/>
      <c r="N401" s="19"/>
      <c r="O401" s="19"/>
      <c r="P401" s="19"/>
      <c r="Q401" s="19"/>
      <c r="R401" s="19"/>
      <c r="S401" s="19"/>
      <c r="T401" s="19"/>
      <c r="U401" s="19"/>
      <c r="V401" s="19"/>
      <c r="W401" s="19"/>
      <c r="X401" s="19"/>
      <c r="Y401" s="19"/>
    </row>
    <row r="402" spans="1:25" ht="12" customHeight="1">
      <c r="A402" s="219" t="str" cm="1">
        <f t="array" ref="A402">IFERROR(INDEX('03.Muestra'!$B$8:$B$42,SMALL(IF("Documento no web"='03.Muestra'!$D$8:$D$42,ROW('03.Muestra'!$B$8:$B$42)-MIN(ROW('03.Muestra'!$D$8:$D$42))+1,""),ROW()-398)),"")</f>
        <v/>
      </c>
      <c r="B402" s="114" t="str" cm="1">
        <f t="array" ref="B402">IFERROR(INDEX('03.Muestra'!$C$8:$C$42,SMALL(IF("Documento no web"='03.Muestra'!$D$8:$D$42,ROW('03.Muestra'!$C$8:$C$42)-MIN(ROW('03.Muestra'!$D$8:$D$42))+1,""),ROW()-398)),"")</f>
        <v/>
      </c>
      <c r="C402" s="114" t="str" cm="1">
        <f t="array" ref="C402">IFERROR(INDEX('03.Muestra'!$F$8:$F$42,SMALL(IF("Documento no web"='03.Muestra'!$D$8:$D$42,ROW('03.Muestra'!$F$8:$F$42)-MIN(ROW('03.Muestra'!$D$8:$D$42))+1,""),ROW()-398)),"")</f>
        <v/>
      </c>
      <c r="D402" s="130" t="str">
        <f t="shared" si="21"/>
        <v/>
      </c>
      <c r="E402" s="107" t="str">
        <f t="shared" si="20"/>
        <v/>
      </c>
      <c r="G402" s="19"/>
      <c r="H402" s="19"/>
      <c r="I402" s="19"/>
      <c r="J402" s="19"/>
      <c r="K402" s="233"/>
      <c r="L402" s="19"/>
      <c r="M402" s="19"/>
      <c r="N402" s="19"/>
      <c r="O402" s="19"/>
      <c r="P402" s="19"/>
      <c r="Q402" s="19"/>
      <c r="R402" s="19"/>
      <c r="S402" s="19"/>
      <c r="T402" s="19"/>
      <c r="U402" s="19"/>
      <c r="V402" s="19"/>
      <c r="W402" s="19"/>
      <c r="X402" s="19"/>
      <c r="Y402" s="19"/>
    </row>
    <row r="403" spans="1:25" ht="12" customHeight="1">
      <c r="A403" s="219" t="str" cm="1">
        <f t="array" ref="A403">IFERROR(INDEX('03.Muestra'!$B$8:$B$42,SMALL(IF("Documento no web"='03.Muestra'!$D$8:$D$42,ROW('03.Muestra'!$B$8:$B$42)-MIN(ROW('03.Muestra'!$D$8:$D$42))+1,""),ROW()-398)),"")</f>
        <v/>
      </c>
      <c r="B403" s="114" t="str" cm="1">
        <f t="array" ref="B403">IFERROR(INDEX('03.Muestra'!$C$8:$C$42,SMALL(IF("Documento no web"='03.Muestra'!$D$8:$D$42,ROW('03.Muestra'!$C$8:$C$42)-MIN(ROW('03.Muestra'!$D$8:$D$42))+1,""),ROW()-398)),"")</f>
        <v/>
      </c>
      <c r="C403" s="114" t="str" cm="1">
        <f t="array" ref="C403">IFERROR(INDEX('03.Muestra'!$F$8:$F$42,SMALL(IF("Documento no web"='03.Muestra'!$D$8:$D$42,ROW('03.Muestra'!$F$8:$F$42)-MIN(ROW('03.Muestra'!$D$8:$D$42))+1,""),ROW()-398)),"")</f>
        <v/>
      </c>
      <c r="D403" s="130" t="str">
        <f t="shared" si="21"/>
        <v/>
      </c>
      <c r="E403" s="107" t="str">
        <f t="shared" si="20"/>
        <v/>
      </c>
      <c r="G403" s="19"/>
      <c r="H403" s="19"/>
      <c r="I403" s="19"/>
      <c r="J403" s="19"/>
      <c r="K403" s="233"/>
      <c r="L403" s="19"/>
      <c r="M403" s="19"/>
      <c r="N403" s="19"/>
      <c r="O403" s="19"/>
      <c r="P403" s="19"/>
      <c r="Q403" s="19"/>
      <c r="R403" s="19"/>
      <c r="S403" s="19"/>
      <c r="T403" s="19"/>
      <c r="U403" s="19"/>
      <c r="V403" s="19"/>
      <c r="W403" s="19"/>
      <c r="X403" s="19"/>
      <c r="Y403" s="19"/>
    </row>
    <row r="404" spans="1:25" ht="12" customHeight="1">
      <c r="A404" s="219" t="str" cm="1">
        <f t="array" ref="A404">IFERROR(INDEX('03.Muestra'!$B$8:$B$42,SMALL(IF("Documento no web"='03.Muestra'!$D$8:$D$42,ROW('03.Muestra'!$B$8:$B$42)-MIN(ROW('03.Muestra'!$D$8:$D$42))+1,""),ROW()-398)),"")</f>
        <v/>
      </c>
      <c r="B404" s="114" t="str" cm="1">
        <f t="array" ref="B404">IFERROR(INDEX('03.Muestra'!$C$8:$C$42,SMALL(IF("Documento no web"='03.Muestra'!$D$8:$D$42,ROW('03.Muestra'!$C$8:$C$42)-MIN(ROW('03.Muestra'!$D$8:$D$42))+1,""),ROW()-398)),"")</f>
        <v/>
      </c>
      <c r="C404" s="114" t="str" cm="1">
        <f t="array" ref="C404">IFERROR(INDEX('03.Muestra'!$F$8:$F$42,SMALL(IF("Documento no web"='03.Muestra'!$D$8:$D$42,ROW('03.Muestra'!$F$8:$F$42)-MIN(ROW('03.Muestra'!$D$8:$D$42))+1,""),ROW()-398)),"")</f>
        <v/>
      </c>
      <c r="D404" s="130" t="str">
        <f t="shared" si="21"/>
        <v/>
      </c>
      <c r="E404" s="107" t="str">
        <f t="shared" si="20"/>
        <v/>
      </c>
      <c r="G404" s="19"/>
      <c r="H404" s="19"/>
      <c r="I404" s="19"/>
      <c r="J404" s="19"/>
      <c r="K404" s="233"/>
      <c r="L404" s="19"/>
      <c r="M404" s="19"/>
      <c r="N404" s="19"/>
      <c r="O404" s="19"/>
      <c r="P404" s="19"/>
      <c r="Q404" s="19"/>
      <c r="R404" s="19"/>
      <c r="S404" s="19"/>
      <c r="T404" s="19"/>
      <c r="U404" s="19"/>
      <c r="V404" s="19"/>
      <c r="W404" s="19"/>
      <c r="X404" s="19"/>
      <c r="Y404" s="19"/>
    </row>
    <row r="405" spans="1:25" ht="12" customHeight="1">
      <c r="A405" s="219" t="str" cm="1">
        <f t="array" ref="A405">IFERROR(INDEX('03.Muestra'!$B$8:$B$42,SMALL(IF("Documento no web"='03.Muestra'!$D$8:$D$42,ROW('03.Muestra'!$B$8:$B$42)-MIN(ROW('03.Muestra'!$D$8:$D$42))+1,""),ROW()-398)),"")</f>
        <v/>
      </c>
      <c r="B405" s="114" t="str" cm="1">
        <f t="array" ref="B405">IFERROR(INDEX('03.Muestra'!$C$8:$C$42,SMALL(IF("Documento no web"='03.Muestra'!$D$8:$D$42,ROW('03.Muestra'!$C$8:$C$42)-MIN(ROW('03.Muestra'!$D$8:$D$42))+1,""),ROW()-398)),"")</f>
        <v/>
      </c>
      <c r="C405" s="114" t="str" cm="1">
        <f t="array" ref="C405">IFERROR(INDEX('03.Muestra'!$F$8:$F$42,SMALL(IF("Documento no web"='03.Muestra'!$D$8:$D$42,ROW('03.Muestra'!$F$8:$F$42)-MIN(ROW('03.Muestra'!$D$8:$D$42))+1,""),ROW()-398)),"")</f>
        <v/>
      </c>
      <c r="D405" s="130" t="str">
        <f t="shared" si="21"/>
        <v/>
      </c>
      <c r="E405" s="107" t="str">
        <f t="shared" si="20"/>
        <v/>
      </c>
      <c r="F405" s="19"/>
      <c r="G405" s="19"/>
      <c r="H405" s="19"/>
      <c r="I405" s="19"/>
      <c r="J405" s="19"/>
      <c r="K405" s="233"/>
      <c r="L405" s="19"/>
      <c r="M405" s="19"/>
      <c r="N405" s="19"/>
      <c r="O405" s="19"/>
      <c r="P405" s="19"/>
      <c r="Q405" s="19"/>
      <c r="R405" s="19"/>
      <c r="S405" s="19"/>
      <c r="T405" s="19"/>
      <c r="U405" s="19"/>
      <c r="V405" s="19"/>
      <c r="W405" s="19"/>
      <c r="X405" s="19"/>
      <c r="Y405" s="19"/>
    </row>
    <row r="406" spans="1:25" ht="12" customHeight="1">
      <c r="A406" s="219" t="str" cm="1">
        <f t="array" ref="A406">IFERROR(INDEX('03.Muestra'!$B$8:$B$42,SMALL(IF("Documento no web"='03.Muestra'!$D$8:$D$42,ROW('03.Muestra'!$B$8:$B$42)-MIN(ROW('03.Muestra'!$D$8:$D$42))+1,""),ROW()-398)),"")</f>
        <v/>
      </c>
      <c r="B406" s="114" t="str" cm="1">
        <f t="array" ref="B406">IFERROR(INDEX('03.Muestra'!$C$8:$C$42,SMALL(IF("Documento no web"='03.Muestra'!$D$8:$D$42,ROW('03.Muestra'!$C$8:$C$42)-MIN(ROW('03.Muestra'!$D$8:$D$42))+1,""),ROW()-398)),"")</f>
        <v/>
      </c>
      <c r="C406" s="114" t="str" cm="1">
        <f t="array" ref="C406">IFERROR(INDEX('03.Muestra'!$F$8:$F$42,SMALL(IF("Documento no web"='03.Muestra'!$D$8:$D$42,ROW('03.Muestra'!$F$8:$F$42)-MIN(ROW('03.Muestra'!$D$8:$D$42))+1,""),ROW()-398)),"")</f>
        <v/>
      </c>
      <c r="D406" s="130" t="str">
        <f t="shared" si="21"/>
        <v/>
      </c>
      <c r="E406" s="107" t="str">
        <f t="shared" si="20"/>
        <v/>
      </c>
      <c r="F406" s="19"/>
      <c r="G406" s="19"/>
      <c r="H406" s="19"/>
      <c r="I406" s="19"/>
      <c r="J406" s="19"/>
      <c r="K406" s="233"/>
      <c r="L406" s="19"/>
      <c r="M406" s="19"/>
      <c r="N406" s="19"/>
      <c r="O406" s="19"/>
      <c r="P406" s="19"/>
      <c r="Q406" s="19"/>
      <c r="R406" s="19"/>
      <c r="S406" s="19"/>
      <c r="T406" s="19"/>
      <c r="U406" s="19"/>
      <c r="V406" s="19"/>
      <c r="W406" s="19"/>
      <c r="X406" s="19"/>
      <c r="Y406" s="19"/>
    </row>
    <row r="407" spans="1:25" ht="12" customHeight="1">
      <c r="A407" s="219" t="str" cm="1">
        <f t="array" ref="A407">IFERROR(INDEX('03.Muestra'!$B$8:$B$42,SMALL(IF("Documento no web"='03.Muestra'!$D$8:$D$42,ROW('03.Muestra'!$B$8:$B$42)-MIN(ROW('03.Muestra'!$D$8:$D$42))+1,""),ROW()-398)),"")</f>
        <v/>
      </c>
      <c r="B407" s="114" t="str" cm="1">
        <f t="array" ref="B407">IFERROR(INDEX('03.Muestra'!$C$8:$C$42,SMALL(IF("Documento no web"='03.Muestra'!$D$8:$D$42,ROW('03.Muestra'!$C$8:$C$42)-MIN(ROW('03.Muestra'!$D$8:$D$42))+1,""),ROW()-398)),"")</f>
        <v/>
      </c>
      <c r="C407" s="114" t="str" cm="1">
        <f t="array" ref="C407">IFERROR(INDEX('03.Muestra'!$F$8:$F$42,SMALL(IF("Documento no web"='03.Muestra'!$D$8:$D$42,ROW('03.Muestra'!$F$8:$F$42)-MIN(ROW('03.Muestra'!$D$8:$D$42))+1,""),ROW()-398)),"")</f>
        <v/>
      </c>
      <c r="D407" s="130" t="str">
        <f t="shared" si="21"/>
        <v/>
      </c>
      <c r="E407" s="107" t="str">
        <f t="shared" si="20"/>
        <v/>
      </c>
      <c r="F407" s="19"/>
      <c r="G407" s="19"/>
      <c r="H407" s="19"/>
      <c r="I407" s="19"/>
      <c r="J407" s="19"/>
      <c r="K407" s="233"/>
      <c r="L407" s="19"/>
      <c r="M407" s="19"/>
      <c r="N407" s="19"/>
      <c r="O407" s="19"/>
      <c r="P407" s="19"/>
      <c r="Q407" s="19"/>
      <c r="R407" s="19"/>
      <c r="S407" s="19"/>
      <c r="T407" s="19"/>
      <c r="U407" s="19"/>
      <c r="V407" s="19"/>
      <c r="W407" s="19"/>
      <c r="X407" s="19"/>
      <c r="Y407" s="19"/>
    </row>
    <row r="408" spans="1:25" ht="12" customHeight="1">
      <c r="A408" s="219" t="str" cm="1">
        <f t="array" ref="A408">IFERROR(INDEX('03.Muestra'!$B$8:$B$42,SMALL(IF("Documento no web"='03.Muestra'!$D$8:$D$42,ROW('03.Muestra'!$B$8:$B$42)-MIN(ROW('03.Muestra'!$D$8:$D$42))+1,""),ROW()-398)),"")</f>
        <v/>
      </c>
      <c r="B408" s="114" t="str" cm="1">
        <f t="array" ref="B408">IFERROR(INDEX('03.Muestra'!$C$8:$C$42,SMALL(IF("Documento no web"='03.Muestra'!$D$8:$D$42,ROW('03.Muestra'!$C$8:$C$42)-MIN(ROW('03.Muestra'!$D$8:$D$42))+1,""),ROW()-398)),"")</f>
        <v/>
      </c>
      <c r="C408" s="114" t="str" cm="1">
        <f t="array" ref="C408">IFERROR(INDEX('03.Muestra'!$F$8:$F$42,SMALL(IF("Documento no web"='03.Muestra'!$D$8:$D$42,ROW('03.Muestra'!$F$8:$F$42)-MIN(ROW('03.Muestra'!$D$8:$D$42))+1,""),ROW()-398)),"")</f>
        <v/>
      </c>
      <c r="D408" s="130" t="str">
        <f t="shared" si="21"/>
        <v/>
      </c>
      <c r="E408" s="107" t="str">
        <f t="shared" si="20"/>
        <v/>
      </c>
      <c r="F408" s="19"/>
      <c r="G408" s="19"/>
      <c r="H408" s="19"/>
      <c r="I408" s="19"/>
      <c r="J408" s="19"/>
      <c r="K408" s="233"/>
      <c r="L408" s="19"/>
      <c r="M408" s="19"/>
      <c r="N408" s="19"/>
      <c r="O408" s="19"/>
      <c r="P408" s="19"/>
      <c r="Q408" s="19"/>
      <c r="R408" s="19"/>
      <c r="S408" s="19"/>
      <c r="T408" s="19"/>
      <c r="U408" s="19"/>
      <c r="V408" s="19"/>
      <c r="W408" s="19"/>
      <c r="X408" s="19"/>
      <c r="Y408" s="19"/>
    </row>
    <row r="409" spans="1:25" ht="12" customHeight="1">
      <c r="A409" s="219" t="str" cm="1">
        <f t="array" ref="A409">IFERROR(INDEX('03.Muestra'!$B$8:$B$42,SMALL(IF("Documento no web"='03.Muestra'!$D$8:$D$42,ROW('03.Muestra'!$B$8:$B$42)-MIN(ROW('03.Muestra'!$D$8:$D$42))+1,""),ROW()-398)),"")</f>
        <v/>
      </c>
      <c r="B409" s="114" t="str" cm="1">
        <f t="array" ref="B409">IFERROR(INDEX('03.Muestra'!$C$8:$C$42,SMALL(IF("Documento no web"='03.Muestra'!$D$8:$D$42,ROW('03.Muestra'!$C$8:$C$42)-MIN(ROW('03.Muestra'!$D$8:$D$42))+1,""),ROW()-398)),"")</f>
        <v/>
      </c>
      <c r="C409" s="114" t="str" cm="1">
        <f t="array" ref="C409">IFERROR(INDEX('03.Muestra'!$F$8:$F$42,SMALL(IF("Documento no web"='03.Muestra'!$D$8:$D$42,ROW('03.Muestra'!$F$8:$F$42)-MIN(ROW('03.Muestra'!$D$8:$D$42))+1,""),ROW()-398)),"")</f>
        <v/>
      </c>
      <c r="D409" s="130" t="str">
        <f t="shared" si="21"/>
        <v/>
      </c>
      <c r="E409" s="107" t="str">
        <f t="shared" si="20"/>
        <v/>
      </c>
      <c r="F409" s="19"/>
      <c r="G409" s="19"/>
      <c r="H409" s="19"/>
      <c r="I409" s="19"/>
      <c r="J409" s="19"/>
      <c r="K409" s="233"/>
      <c r="L409" s="19"/>
      <c r="M409" s="19"/>
      <c r="N409" s="19"/>
      <c r="O409" s="19"/>
      <c r="P409" s="19"/>
      <c r="Q409" s="19"/>
      <c r="R409" s="19"/>
      <c r="S409" s="19"/>
      <c r="T409" s="19"/>
      <c r="U409" s="19"/>
      <c r="V409" s="19"/>
      <c r="W409" s="19"/>
      <c r="X409" s="19"/>
      <c r="Y409" s="19"/>
    </row>
    <row r="410" spans="1:25" ht="12" customHeight="1">
      <c r="A410" s="219" t="str" cm="1">
        <f t="array" ref="A410">IFERROR(INDEX('03.Muestra'!$B$8:$B$42,SMALL(IF("Documento no web"='03.Muestra'!$D$8:$D$42,ROW('03.Muestra'!$B$8:$B$42)-MIN(ROW('03.Muestra'!$D$8:$D$42))+1,""),ROW()-398)),"")</f>
        <v/>
      </c>
      <c r="B410" s="114" t="str" cm="1">
        <f t="array" ref="B410">IFERROR(INDEX('03.Muestra'!$C$8:$C$42,SMALL(IF("Documento no web"='03.Muestra'!$D$8:$D$42,ROW('03.Muestra'!$C$8:$C$42)-MIN(ROW('03.Muestra'!$D$8:$D$42))+1,""),ROW()-398)),"")</f>
        <v/>
      </c>
      <c r="C410" s="114" t="str" cm="1">
        <f t="array" ref="C410">IFERROR(INDEX('03.Muestra'!$F$8:$F$42,SMALL(IF("Documento no web"='03.Muestra'!$D$8:$D$42,ROW('03.Muestra'!$F$8:$F$42)-MIN(ROW('03.Muestra'!$D$8:$D$42))+1,""),ROW()-398)),"")</f>
        <v/>
      </c>
      <c r="D410" s="130" t="str">
        <f t="shared" si="21"/>
        <v/>
      </c>
      <c r="E410" s="107" t="str">
        <f t="shared" si="20"/>
        <v/>
      </c>
      <c r="F410" s="19"/>
      <c r="G410" s="19"/>
      <c r="H410" s="19"/>
      <c r="I410" s="19"/>
      <c r="J410" s="19"/>
      <c r="K410" s="233"/>
      <c r="L410" s="19"/>
      <c r="M410" s="19"/>
      <c r="N410" s="19"/>
      <c r="O410" s="19"/>
      <c r="P410" s="19"/>
      <c r="Q410" s="19"/>
      <c r="R410" s="19"/>
      <c r="S410" s="19"/>
      <c r="T410" s="19"/>
      <c r="U410" s="19"/>
      <c r="V410" s="19"/>
      <c r="W410" s="19"/>
      <c r="X410" s="19"/>
      <c r="Y410" s="19"/>
    </row>
    <row r="411" spans="1:25" ht="14.1" customHeight="1">
      <c r="A411" s="219" t="str" cm="1">
        <f t="array" ref="A411">IFERROR(INDEX('03.Muestra'!$B$8:$B$42,SMALL(IF("Documento no web"='03.Muestra'!$D$8:$D$42,ROW('03.Muestra'!$B$8:$B$42)-MIN(ROW('03.Muestra'!$D$8:$D$42))+1,""),ROW()-398)),"")</f>
        <v/>
      </c>
      <c r="B411" s="114" t="str" cm="1">
        <f t="array" ref="B411">IFERROR(INDEX('03.Muestra'!$C$8:$C$42,SMALL(IF("Documento no web"='03.Muestra'!$D$8:$D$42,ROW('03.Muestra'!$C$8:$C$42)-MIN(ROW('03.Muestra'!$D$8:$D$42))+1,""),ROW()-398)),"")</f>
        <v/>
      </c>
      <c r="C411" s="114" t="str" cm="1">
        <f t="array" ref="C411">IFERROR(INDEX('03.Muestra'!$F$8:$F$42,SMALL(IF("Documento no web"='03.Muestra'!$D$8:$D$42,ROW('03.Muestra'!$F$8:$F$42)-MIN(ROW('03.Muestra'!$D$8:$D$42))+1,""),ROW()-398)),"")</f>
        <v/>
      </c>
      <c r="D411" s="130" t="str">
        <f t="shared" si="21"/>
        <v/>
      </c>
      <c r="E411" s="107" t="str">
        <f t="shared" si="20"/>
        <v/>
      </c>
      <c r="F411" s="19"/>
      <c r="G411" s="19"/>
      <c r="H411" s="19"/>
      <c r="I411" s="19"/>
      <c r="J411" s="19"/>
      <c r="K411" s="233"/>
      <c r="L411" s="19"/>
      <c r="M411" s="19"/>
      <c r="N411" s="19"/>
      <c r="O411" s="19"/>
      <c r="P411" s="19"/>
      <c r="Q411" s="19"/>
      <c r="R411" s="19"/>
      <c r="S411" s="19"/>
      <c r="T411" s="19"/>
      <c r="U411" s="19"/>
      <c r="V411" s="19"/>
      <c r="W411" s="19"/>
      <c r="X411" s="19"/>
      <c r="Y411" s="19"/>
    </row>
    <row r="412" spans="1:25" ht="14.1" customHeight="1">
      <c r="A412" s="219" t="str" cm="1">
        <f t="array" ref="A412">IFERROR(INDEX('03.Muestra'!$B$8:$B$42,SMALL(IF("Documento no web"='03.Muestra'!$D$8:$D$42,ROW('03.Muestra'!$B$8:$B$42)-MIN(ROW('03.Muestra'!$D$8:$D$42))+1,""),ROW()-398)),"")</f>
        <v/>
      </c>
      <c r="B412" s="114" t="str" cm="1">
        <f t="array" ref="B412">IFERROR(INDEX('03.Muestra'!$C$8:$C$42,SMALL(IF("Documento no web"='03.Muestra'!$D$8:$D$42,ROW('03.Muestra'!$C$8:$C$42)-MIN(ROW('03.Muestra'!$D$8:$D$42))+1,""),ROW()-398)),"")</f>
        <v/>
      </c>
      <c r="C412" s="114" t="str" cm="1">
        <f t="array" ref="C412">IFERROR(INDEX('03.Muestra'!$F$8:$F$42,SMALL(IF("Documento no web"='03.Muestra'!$D$8:$D$42,ROW('03.Muestra'!$F$8:$F$42)-MIN(ROW('03.Muestra'!$D$8:$D$42))+1,""),ROW()-398)),"")</f>
        <v/>
      </c>
      <c r="D412" s="130" t="str">
        <f t="shared" si="21"/>
        <v/>
      </c>
      <c r="E412" s="107" t="str">
        <f t="shared" si="20"/>
        <v/>
      </c>
      <c r="F412" s="19"/>
      <c r="G412" s="19"/>
      <c r="H412" s="19"/>
      <c r="I412" s="19"/>
      <c r="J412" s="19"/>
      <c r="K412" s="233"/>
      <c r="L412" s="19"/>
      <c r="M412" s="19"/>
      <c r="N412" s="19"/>
      <c r="O412" s="19"/>
      <c r="P412" s="19"/>
      <c r="Q412" s="19"/>
      <c r="R412" s="19"/>
      <c r="S412" s="19"/>
      <c r="T412" s="19"/>
      <c r="U412" s="19"/>
      <c r="V412" s="19"/>
      <c r="W412" s="19"/>
      <c r="X412" s="19"/>
      <c r="Y412" s="19"/>
    </row>
    <row r="413" spans="1:25" ht="14.1" customHeight="1">
      <c r="A413" s="219" t="str" cm="1">
        <f t="array" ref="A413">IFERROR(INDEX('03.Muestra'!$B$8:$B$42,SMALL(IF("Documento no web"='03.Muestra'!$D$8:$D$42,ROW('03.Muestra'!$B$8:$B$42)-MIN(ROW('03.Muestra'!$D$8:$D$42))+1,""),ROW()-398)),"")</f>
        <v/>
      </c>
      <c r="B413" s="114" t="str" cm="1">
        <f t="array" ref="B413">IFERROR(INDEX('03.Muestra'!$C$8:$C$42,SMALL(IF("Documento no web"='03.Muestra'!$D$8:$D$42,ROW('03.Muestra'!$C$8:$C$42)-MIN(ROW('03.Muestra'!$D$8:$D$42))+1,""),ROW()-398)),"")</f>
        <v/>
      </c>
      <c r="C413" s="114" t="str" cm="1">
        <f t="array" ref="C413">IFERROR(INDEX('03.Muestra'!$F$8:$F$42,SMALL(IF("Documento no web"='03.Muestra'!$D$8:$D$42,ROW('03.Muestra'!$F$8:$F$42)-MIN(ROW('03.Muestra'!$D$8:$D$42))+1,""),ROW()-398)),"")</f>
        <v/>
      </c>
      <c r="D413" s="130" t="str">
        <f t="shared" si="21"/>
        <v/>
      </c>
      <c r="E413" s="107" t="str">
        <f t="shared" si="20"/>
        <v/>
      </c>
      <c r="F413" s="19"/>
      <c r="G413" s="19"/>
      <c r="H413" s="19"/>
      <c r="I413" s="19"/>
      <c r="J413" s="19"/>
      <c r="K413" s="233"/>
      <c r="L413" s="19"/>
      <c r="M413" s="19"/>
      <c r="N413" s="19"/>
      <c r="O413" s="19"/>
      <c r="P413" s="19"/>
      <c r="Q413" s="19"/>
      <c r="R413" s="19"/>
      <c r="S413" s="19"/>
      <c r="T413" s="19"/>
      <c r="U413" s="19"/>
      <c r="V413" s="19"/>
      <c r="W413" s="19"/>
      <c r="X413" s="19"/>
      <c r="Y413" s="19"/>
    </row>
    <row r="414" spans="1:25" ht="14.1" customHeight="1">
      <c r="A414" s="219" t="str" cm="1">
        <f t="array" ref="A414">IFERROR(INDEX('03.Muestra'!$B$8:$B$42,SMALL(IF("Documento no web"='03.Muestra'!$D$8:$D$42,ROW('03.Muestra'!$B$8:$B$42)-MIN(ROW('03.Muestra'!$D$8:$D$42))+1,""),ROW()-398)),"")</f>
        <v/>
      </c>
      <c r="B414" s="114" t="str" cm="1">
        <f t="array" ref="B414">IFERROR(INDEX('03.Muestra'!$C$8:$C$42,SMALL(IF("Documento no web"='03.Muestra'!$D$8:$D$42,ROW('03.Muestra'!$C$8:$C$42)-MIN(ROW('03.Muestra'!$D$8:$D$42))+1,""),ROW()-398)),"")</f>
        <v/>
      </c>
      <c r="C414" s="114" t="str" cm="1">
        <f t="array" ref="C414">IFERROR(INDEX('03.Muestra'!$F$8:$F$42,SMALL(IF("Documento no web"='03.Muestra'!$D$8:$D$42,ROW('03.Muestra'!$F$8:$F$42)-MIN(ROW('03.Muestra'!$D$8:$D$42))+1,""),ROW()-398)),"")</f>
        <v/>
      </c>
      <c r="D414" s="130" t="str">
        <f t="shared" si="21"/>
        <v/>
      </c>
      <c r="E414" s="107" t="str">
        <f t="shared" si="20"/>
        <v/>
      </c>
      <c r="F414" s="19"/>
      <c r="G414" s="19"/>
      <c r="H414" s="19"/>
      <c r="I414" s="19"/>
      <c r="J414" s="19"/>
      <c r="K414" s="233"/>
      <c r="L414" s="19"/>
      <c r="M414" s="19"/>
      <c r="N414" s="19"/>
      <c r="O414" s="19"/>
      <c r="P414" s="19"/>
      <c r="Q414" s="19"/>
      <c r="R414" s="19"/>
      <c r="S414" s="19"/>
      <c r="T414" s="19"/>
      <c r="U414" s="19"/>
      <c r="V414" s="19"/>
      <c r="W414" s="19"/>
      <c r="X414" s="19"/>
      <c r="Y414" s="19"/>
    </row>
    <row r="415" spans="1:25" ht="14.1" customHeight="1">
      <c r="A415" s="219" t="str" cm="1">
        <f t="array" ref="A415">IFERROR(INDEX('03.Muestra'!$B$8:$B$42,SMALL(IF("Documento no web"='03.Muestra'!$D$8:$D$42,ROW('03.Muestra'!$B$8:$B$42)-MIN(ROW('03.Muestra'!$D$8:$D$42))+1,""),ROW()-398)),"")</f>
        <v/>
      </c>
      <c r="B415" s="114" t="str" cm="1">
        <f t="array" ref="B415">IFERROR(INDEX('03.Muestra'!$C$8:$C$42,SMALL(IF("Documento no web"='03.Muestra'!$D$8:$D$42,ROW('03.Muestra'!$C$8:$C$42)-MIN(ROW('03.Muestra'!$D$8:$D$42))+1,""),ROW()-398)),"")</f>
        <v/>
      </c>
      <c r="C415" s="114" t="str" cm="1">
        <f t="array" ref="C415">IFERROR(INDEX('03.Muestra'!$F$8:$F$42,SMALL(IF("Documento no web"='03.Muestra'!$D$8:$D$42,ROW('03.Muestra'!$F$8:$F$42)-MIN(ROW('03.Muestra'!$D$8:$D$42))+1,""),ROW()-398)),"")</f>
        <v/>
      </c>
      <c r="D415" s="130" t="str">
        <f t="shared" si="21"/>
        <v/>
      </c>
      <c r="E415" s="107" t="str">
        <f t="shared" si="20"/>
        <v/>
      </c>
      <c r="F415" s="19"/>
      <c r="G415" s="19"/>
      <c r="H415" s="19"/>
      <c r="I415" s="19"/>
      <c r="J415" s="19"/>
      <c r="K415" s="233"/>
      <c r="L415" s="19"/>
      <c r="M415" s="19"/>
      <c r="N415" s="19"/>
      <c r="O415" s="19"/>
      <c r="P415" s="19"/>
      <c r="Q415" s="19"/>
      <c r="R415" s="19"/>
      <c r="S415" s="19"/>
      <c r="T415" s="19"/>
      <c r="U415" s="19"/>
      <c r="V415" s="19"/>
      <c r="W415" s="19"/>
      <c r="X415" s="19"/>
      <c r="Y415" s="19"/>
    </row>
    <row r="416" spans="1:25" ht="14.1" customHeight="1">
      <c r="A416" s="219" t="str" cm="1">
        <f t="array" ref="A416">IFERROR(INDEX('03.Muestra'!$B$8:$B$42,SMALL(IF("Documento no web"='03.Muestra'!$D$8:$D$42,ROW('03.Muestra'!$B$8:$B$42)-MIN(ROW('03.Muestra'!$D$8:$D$42))+1,""),ROW()-398)),"")</f>
        <v/>
      </c>
      <c r="B416" s="114" t="str" cm="1">
        <f t="array" ref="B416">IFERROR(INDEX('03.Muestra'!$C$8:$C$42,SMALL(IF("Documento no web"='03.Muestra'!$D$8:$D$42,ROW('03.Muestra'!$C$8:$C$42)-MIN(ROW('03.Muestra'!$D$8:$D$42))+1,""),ROW()-398)),"")</f>
        <v/>
      </c>
      <c r="C416" s="114" t="str" cm="1">
        <f t="array" ref="C416">IFERROR(INDEX('03.Muestra'!$F$8:$F$42,SMALL(IF("Documento no web"='03.Muestra'!$D$8:$D$42,ROW('03.Muestra'!$F$8:$F$42)-MIN(ROW('03.Muestra'!$D$8:$D$42))+1,""),ROW()-398)),"")</f>
        <v/>
      </c>
      <c r="D416" s="130" t="str">
        <f t="shared" si="21"/>
        <v/>
      </c>
      <c r="E416" s="107" t="str">
        <f t="shared" si="20"/>
        <v/>
      </c>
      <c r="F416" s="19"/>
      <c r="G416" s="19"/>
      <c r="H416" s="19"/>
      <c r="I416" s="19"/>
      <c r="J416" s="19"/>
      <c r="K416" s="233"/>
      <c r="L416" s="19"/>
      <c r="M416" s="19"/>
      <c r="N416" s="19"/>
      <c r="O416" s="19"/>
      <c r="P416" s="19"/>
      <c r="Q416" s="19"/>
      <c r="R416" s="19"/>
      <c r="S416" s="19"/>
      <c r="T416" s="19"/>
      <c r="U416" s="19"/>
      <c r="V416" s="19"/>
      <c r="W416" s="19"/>
      <c r="X416" s="19"/>
      <c r="Y416" s="19"/>
    </row>
    <row r="417" spans="1:25" ht="14.1" customHeight="1">
      <c r="A417" s="219" t="str" cm="1">
        <f t="array" ref="A417">IFERROR(INDEX('03.Muestra'!$B$8:$B$42,SMALL(IF("Documento no web"='03.Muestra'!$D$8:$D$42,ROW('03.Muestra'!$B$8:$B$42)-MIN(ROW('03.Muestra'!$D$8:$D$42))+1,""),ROW()-398)),"")</f>
        <v/>
      </c>
      <c r="B417" s="114" t="str" cm="1">
        <f t="array" ref="B417">IFERROR(INDEX('03.Muestra'!$C$8:$C$42,SMALL(IF("Documento no web"='03.Muestra'!$D$8:$D$42,ROW('03.Muestra'!$C$8:$C$42)-MIN(ROW('03.Muestra'!$D$8:$D$42))+1,""),ROW()-398)),"")</f>
        <v/>
      </c>
      <c r="C417" s="114" t="str" cm="1">
        <f t="array" ref="C417">IFERROR(INDEX('03.Muestra'!$F$8:$F$42,SMALL(IF("Documento no web"='03.Muestra'!$D$8:$D$42,ROW('03.Muestra'!$F$8:$F$42)-MIN(ROW('03.Muestra'!$D$8:$D$42))+1,""),ROW()-398)),"")</f>
        <v/>
      </c>
      <c r="D417" s="130" t="str">
        <f t="shared" si="21"/>
        <v/>
      </c>
      <c r="E417" s="107" t="str">
        <f t="shared" si="20"/>
        <v/>
      </c>
      <c r="F417" s="19"/>
      <c r="G417" s="19"/>
      <c r="H417" s="19"/>
      <c r="I417" s="19"/>
      <c r="J417" s="19"/>
      <c r="K417" s="233"/>
      <c r="L417" s="19"/>
      <c r="M417" s="19"/>
      <c r="N417" s="19"/>
      <c r="O417" s="19"/>
      <c r="P417" s="19"/>
      <c r="Q417" s="19"/>
      <c r="R417" s="19"/>
      <c r="S417" s="19"/>
      <c r="T417" s="19"/>
      <c r="U417" s="19"/>
      <c r="V417" s="19"/>
      <c r="W417" s="19"/>
      <c r="X417" s="19"/>
      <c r="Y417" s="19"/>
    </row>
    <row r="418" spans="1:25" ht="14.1" customHeight="1">
      <c r="A418" s="219" t="str" cm="1">
        <f t="array" ref="A418">IFERROR(INDEX('03.Muestra'!$B$8:$B$42,SMALL(IF("Documento no web"='03.Muestra'!$D$8:$D$42,ROW('03.Muestra'!$B$8:$B$42)-MIN(ROW('03.Muestra'!$D$8:$D$42))+1,""),ROW()-398)),"")</f>
        <v/>
      </c>
      <c r="B418" s="114" t="str" cm="1">
        <f t="array" ref="B418">IFERROR(INDEX('03.Muestra'!$C$8:$C$42,SMALL(IF("Documento no web"='03.Muestra'!$D$8:$D$42,ROW('03.Muestra'!$C$8:$C$42)-MIN(ROW('03.Muestra'!$D$8:$D$42))+1,""),ROW()-398)),"")</f>
        <v/>
      </c>
      <c r="C418" s="114" t="str" cm="1">
        <f t="array" ref="C418">IFERROR(INDEX('03.Muestra'!$F$8:$F$42,SMALL(IF("Documento no web"='03.Muestra'!$D$8:$D$42,ROW('03.Muestra'!$F$8:$F$42)-MIN(ROW('03.Muestra'!$D$8:$D$42))+1,""),ROW()-398)),"")</f>
        <v/>
      </c>
      <c r="D418" s="130" t="str">
        <f t="shared" si="21"/>
        <v/>
      </c>
      <c r="E418" s="107" t="str">
        <f t="shared" si="20"/>
        <v/>
      </c>
      <c r="F418" s="19"/>
      <c r="G418" s="19"/>
      <c r="H418" s="19"/>
      <c r="I418" s="19"/>
      <c r="J418" s="19"/>
      <c r="K418" s="233"/>
      <c r="L418" s="19"/>
      <c r="M418" s="19"/>
      <c r="N418" s="19"/>
      <c r="O418" s="19"/>
      <c r="P418" s="19"/>
      <c r="Q418" s="19"/>
      <c r="R418" s="19"/>
      <c r="S418" s="19"/>
      <c r="T418" s="19"/>
      <c r="U418" s="19"/>
      <c r="V418" s="19"/>
      <c r="W418" s="19"/>
      <c r="X418" s="19"/>
      <c r="Y418" s="19"/>
    </row>
    <row r="419" spans="1:25" ht="14.1" customHeight="1">
      <c r="A419" s="219" t="str" cm="1">
        <f t="array" ref="A419">IFERROR(INDEX('03.Muestra'!$B$8:$B$42,SMALL(IF("Documento no web"='03.Muestra'!$D$8:$D$42,ROW('03.Muestra'!$B$8:$B$42)-MIN(ROW('03.Muestra'!$D$8:$D$42))+1,""),ROW()-398)),"")</f>
        <v/>
      </c>
      <c r="B419" s="114" t="str" cm="1">
        <f t="array" ref="B419">IFERROR(INDEX('03.Muestra'!$C$8:$C$42,SMALL(IF("Documento no web"='03.Muestra'!$D$8:$D$42,ROW('03.Muestra'!$C$8:$C$42)-MIN(ROW('03.Muestra'!$D$8:$D$42))+1,""),ROW()-398)),"")</f>
        <v/>
      </c>
      <c r="C419" s="114" t="str" cm="1">
        <f t="array" ref="C419">IFERROR(INDEX('03.Muestra'!$F$8:$F$42,SMALL(IF("Documento no web"='03.Muestra'!$D$8:$D$42,ROW('03.Muestra'!$F$8:$F$42)-MIN(ROW('03.Muestra'!$D$8:$D$42))+1,""),ROW()-398)),"")</f>
        <v/>
      </c>
      <c r="D419" s="130" t="str">
        <f t="shared" si="21"/>
        <v/>
      </c>
      <c r="E419" s="107" t="str">
        <f t="shared" si="20"/>
        <v/>
      </c>
      <c r="F419" s="19"/>
      <c r="G419" s="19"/>
      <c r="H419" s="19"/>
      <c r="I419" s="19"/>
      <c r="J419" s="19"/>
      <c r="K419" s="233"/>
      <c r="L419" s="19"/>
      <c r="M419" s="19"/>
      <c r="N419" s="19"/>
      <c r="O419" s="19"/>
      <c r="P419" s="19"/>
      <c r="Q419" s="19"/>
      <c r="R419" s="19"/>
      <c r="S419" s="19"/>
      <c r="T419" s="19"/>
      <c r="U419" s="19"/>
      <c r="V419" s="19"/>
      <c r="W419" s="19"/>
      <c r="X419" s="19"/>
      <c r="Y419" s="19"/>
    </row>
    <row r="420" spans="1:25" ht="14.1" customHeight="1">
      <c r="A420" s="219" t="str" cm="1">
        <f t="array" ref="A420">IFERROR(INDEX('03.Muestra'!$B$8:$B$42,SMALL(IF("Documento no web"='03.Muestra'!$D$8:$D$42,ROW('03.Muestra'!$B$8:$B$42)-MIN(ROW('03.Muestra'!$D$8:$D$42))+1,""),ROW()-398)),"")</f>
        <v/>
      </c>
      <c r="B420" s="114" t="str" cm="1">
        <f t="array" ref="B420">IFERROR(INDEX('03.Muestra'!$C$8:$C$42,SMALL(IF("Documento no web"='03.Muestra'!$D$8:$D$42,ROW('03.Muestra'!$C$8:$C$42)-MIN(ROW('03.Muestra'!$D$8:$D$42))+1,""),ROW()-398)),"")</f>
        <v/>
      </c>
      <c r="C420" s="114" t="str" cm="1">
        <f t="array" ref="C420">IFERROR(INDEX('03.Muestra'!$F$8:$F$42,SMALL(IF("Documento no web"='03.Muestra'!$D$8:$D$42,ROW('03.Muestra'!$F$8:$F$42)-MIN(ROW('03.Muestra'!$D$8:$D$42))+1,""),ROW()-398)),"")</f>
        <v/>
      </c>
      <c r="D420" s="130" t="str">
        <f t="shared" si="21"/>
        <v/>
      </c>
      <c r="E420" s="107" t="str">
        <f t="shared" si="20"/>
        <v/>
      </c>
      <c r="F420" s="19"/>
      <c r="G420" s="19"/>
      <c r="H420" s="19"/>
      <c r="I420" s="19"/>
      <c r="J420" s="19"/>
      <c r="K420" s="233"/>
      <c r="L420" s="19"/>
      <c r="M420" s="19"/>
      <c r="N420" s="19"/>
      <c r="O420" s="19"/>
      <c r="P420" s="19"/>
      <c r="Q420" s="19"/>
      <c r="R420" s="19"/>
      <c r="S420" s="19"/>
      <c r="T420" s="19"/>
      <c r="U420" s="19"/>
      <c r="V420" s="19"/>
      <c r="W420" s="19"/>
      <c r="X420" s="19"/>
      <c r="Y420" s="19"/>
    </row>
    <row r="421" spans="1:25" ht="14.1" customHeight="1">
      <c r="A421" s="219" t="str" cm="1">
        <f t="array" ref="A421">IFERROR(INDEX('03.Muestra'!$B$8:$B$42,SMALL(IF("Documento no web"='03.Muestra'!$D$8:$D$42,ROW('03.Muestra'!$B$8:$B$42)-MIN(ROW('03.Muestra'!$D$8:$D$42))+1,""),ROW()-398)),"")</f>
        <v/>
      </c>
      <c r="B421" s="114" t="str" cm="1">
        <f t="array" ref="B421">IFERROR(INDEX('03.Muestra'!$C$8:$C$42,SMALL(IF("Documento no web"='03.Muestra'!$D$8:$D$42,ROW('03.Muestra'!$C$8:$C$42)-MIN(ROW('03.Muestra'!$D$8:$D$42))+1,""),ROW()-398)),"")</f>
        <v/>
      </c>
      <c r="C421" s="114" t="str" cm="1">
        <f t="array" ref="C421">IFERROR(INDEX('03.Muestra'!$F$8:$F$42,SMALL(IF("Documento no web"='03.Muestra'!$D$8:$D$42,ROW('03.Muestra'!$F$8:$F$42)-MIN(ROW('03.Muestra'!$D$8:$D$42))+1,""),ROW()-398)),"")</f>
        <v/>
      </c>
      <c r="D421" s="130" t="str">
        <f t="shared" si="21"/>
        <v/>
      </c>
      <c r="E421" s="107" t="str">
        <f t="shared" si="20"/>
        <v/>
      </c>
      <c r="F421" s="19"/>
      <c r="G421" s="19"/>
      <c r="H421" s="19"/>
      <c r="I421" s="19"/>
      <c r="J421" s="19"/>
      <c r="K421" s="233"/>
      <c r="L421" s="19"/>
      <c r="M421" s="19"/>
      <c r="N421" s="19"/>
      <c r="O421" s="19"/>
      <c r="P421" s="19"/>
      <c r="Q421" s="19"/>
      <c r="R421" s="19"/>
      <c r="S421" s="19"/>
      <c r="T421" s="19"/>
      <c r="U421" s="19"/>
      <c r="V421" s="19"/>
      <c r="W421" s="19"/>
      <c r="X421" s="19"/>
      <c r="Y421" s="19"/>
    </row>
    <row r="422" spans="1:25" ht="12" customHeight="1">
      <c r="A422" s="219" t="str" cm="1">
        <f t="array" ref="A422">IFERROR(INDEX('03.Muestra'!$B$8:$B$42,SMALL(IF("Documento no web"='03.Muestra'!$D$8:$D$42,ROW('03.Muestra'!$B$8:$B$42)-MIN(ROW('03.Muestra'!$D$8:$D$42))+1,""),ROW()-398)),"")</f>
        <v/>
      </c>
      <c r="B422" s="114" t="str" cm="1">
        <f t="array" ref="B422">IFERROR(INDEX('03.Muestra'!$C$8:$C$42,SMALL(IF("Documento no web"='03.Muestra'!$D$8:$D$42,ROW('03.Muestra'!$C$8:$C$42)-MIN(ROW('03.Muestra'!$D$8:$D$42))+1,""),ROW()-398)),"")</f>
        <v/>
      </c>
      <c r="C422" s="114" t="str" cm="1">
        <f t="array" ref="C422">IFERROR(INDEX('03.Muestra'!$F$8:$F$42,SMALL(IF("Documento no web"='03.Muestra'!$D$8:$D$42,ROW('03.Muestra'!$F$8:$F$42)-MIN(ROW('03.Muestra'!$D$8:$D$42))+1,""),ROW()-398)),"")</f>
        <v/>
      </c>
      <c r="D422" s="130" t="str">
        <f t="shared" si="21"/>
        <v/>
      </c>
      <c r="E422" s="107" t="str">
        <f t="shared" si="20"/>
        <v/>
      </c>
      <c r="F422" s="19"/>
      <c r="G422" s="19"/>
      <c r="H422" s="19"/>
      <c r="I422" s="19"/>
      <c r="J422" s="19"/>
      <c r="K422" s="233"/>
      <c r="L422" s="19"/>
      <c r="M422" s="19"/>
      <c r="N422" s="19"/>
      <c r="O422" s="19"/>
      <c r="P422" s="19"/>
      <c r="Q422" s="19"/>
      <c r="R422" s="19"/>
      <c r="S422" s="19"/>
      <c r="T422" s="19"/>
      <c r="U422" s="19"/>
      <c r="V422" s="19"/>
      <c r="W422" s="19"/>
      <c r="X422" s="19"/>
      <c r="Y422" s="19"/>
    </row>
    <row r="423" spans="1:25" ht="12" customHeight="1">
      <c r="A423" s="219" t="str" cm="1">
        <f t="array" ref="A423">IFERROR(INDEX('03.Muestra'!$B$8:$B$42,SMALL(IF("Documento no web"='03.Muestra'!$D$8:$D$42,ROW('03.Muestra'!$B$8:$B$42)-MIN(ROW('03.Muestra'!$D$8:$D$42))+1,""),ROW()-398)),"")</f>
        <v/>
      </c>
      <c r="B423" s="114" t="str" cm="1">
        <f t="array" ref="B423">IFERROR(INDEX('03.Muestra'!$C$8:$C$42,SMALL(IF("Documento no web"='03.Muestra'!$D$8:$D$42,ROW('03.Muestra'!$C$8:$C$42)-MIN(ROW('03.Muestra'!$D$8:$D$42))+1,""),ROW()-398)),"")</f>
        <v/>
      </c>
      <c r="C423" s="114" t="str" cm="1">
        <f t="array" ref="C423">IFERROR(INDEX('03.Muestra'!$F$8:$F$42,SMALL(IF("Documento no web"='03.Muestra'!$D$8:$D$42,ROW('03.Muestra'!$F$8:$F$42)-MIN(ROW('03.Muestra'!$D$8:$D$42))+1,""),ROW()-398)),"")</f>
        <v/>
      </c>
      <c r="D423" s="130" t="str">
        <f t="shared" si="21"/>
        <v/>
      </c>
      <c r="E423" s="107" t="str">
        <f t="shared" si="20"/>
        <v/>
      </c>
      <c r="F423" s="19"/>
      <c r="G423" s="19"/>
      <c r="H423" s="19"/>
      <c r="I423" s="19"/>
      <c r="J423" s="19"/>
      <c r="K423" s="233"/>
      <c r="L423" s="19"/>
      <c r="M423" s="19"/>
      <c r="N423" s="19"/>
      <c r="O423" s="19"/>
      <c r="P423" s="19"/>
      <c r="Q423" s="19"/>
      <c r="R423" s="19"/>
      <c r="S423" s="19"/>
      <c r="T423" s="19"/>
      <c r="U423" s="19"/>
      <c r="V423" s="19"/>
      <c r="W423" s="19"/>
      <c r="X423" s="19"/>
      <c r="Y423" s="19"/>
    </row>
    <row r="424" spans="1:25" ht="12" customHeight="1">
      <c r="A424" s="219" t="str" cm="1">
        <f t="array" ref="A424">IFERROR(INDEX('03.Muestra'!$B$8:$B$42,SMALL(IF("Documento no web"='03.Muestra'!$D$8:$D$42,ROW('03.Muestra'!$B$8:$B$42)-MIN(ROW('03.Muestra'!$D$8:$D$42))+1,""),ROW()-398)),"")</f>
        <v/>
      </c>
      <c r="B424" s="114" t="str" cm="1">
        <f t="array" ref="B424">IFERROR(INDEX('03.Muestra'!$C$8:$C$42,SMALL(IF("Documento no web"='03.Muestra'!$D$8:$D$42,ROW('03.Muestra'!$C$8:$C$42)-MIN(ROW('03.Muestra'!$D$8:$D$42))+1,""),ROW()-398)),"")</f>
        <v/>
      </c>
      <c r="C424" s="114" t="str" cm="1">
        <f t="array" ref="C424">IFERROR(INDEX('03.Muestra'!$F$8:$F$42,SMALL(IF("Documento no web"='03.Muestra'!$D$8:$D$42,ROW('03.Muestra'!$F$8:$F$42)-MIN(ROW('03.Muestra'!$D$8:$D$42))+1,""),ROW()-398)),"")</f>
        <v/>
      </c>
      <c r="D424" s="130" t="str">
        <f t="shared" si="21"/>
        <v/>
      </c>
      <c r="E424" s="107" t="str">
        <f t="shared" si="20"/>
        <v/>
      </c>
      <c r="F424" s="19"/>
      <c r="G424" s="19"/>
      <c r="H424" s="19"/>
      <c r="I424" s="19"/>
      <c r="J424" s="19"/>
      <c r="K424" s="233"/>
      <c r="L424" s="19"/>
      <c r="M424" s="19"/>
      <c r="N424" s="19"/>
      <c r="O424" s="19"/>
      <c r="P424" s="19"/>
      <c r="Q424" s="19"/>
      <c r="R424" s="19"/>
      <c r="S424" s="19"/>
      <c r="T424" s="19"/>
      <c r="U424" s="19"/>
      <c r="V424" s="19"/>
      <c r="W424" s="19"/>
      <c r="X424" s="19"/>
      <c r="Y424" s="19"/>
    </row>
    <row r="425" spans="1:25" ht="12" customHeight="1">
      <c r="A425" s="219" t="str" cm="1">
        <f t="array" ref="A425">IFERROR(INDEX('03.Muestra'!$B$8:$B$42,SMALL(IF("Documento no web"='03.Muestra'!$D$8:$D$42,ROW('03.Muestra'!$B$8:$B$42)-MIN(ROW('03.Muestra'!$D$8:$D$42))+1,""),ROW()-398)),"")</f>
        <v/>
      </c>
      <c r="B425" s="114" t="str" cm="1">
        <f t="array" ref="B425">IFERROR(INDEX('03.Muestra'!$C$8:$C$42,SMALL(IF("Documento no web"='03.Muestra'!$D$8:$D$42,ROW('03.Muestra'!$C$8:$C$42)-MIN(ROW('03.Muestra'!$D$8:$D$42))+1,""),ROW()-398)),"")</f>
        <v/>
      </c>
      <c r="C425" s="114" t="str" cm="1">
        <f t="array" ref="C425">IFERROR(INDEX('03.Muestra'!$F$8:$F$42,SMALL(IF("Documento no web"='03.Muestra'!$D$8:$D$42,ROW('03.Muestra'!$F$8:$F$42)-MIN(ROW('03.Muestra'!$D$8:$D$42))+1,""),ROW()-398)),"")</f>
        <v/>
      </c>
      <c r="D425" s="130" t="str">
        <f t="shared" si="21"/>
        <v/>
      </c>
      <c r="E425" s="107" t="str">
        <f t="shared" si="20"/>
        <v/>
      </c>
      <c r="F425" s="19"/>
      <c r="G425" s="19"/>
      <c r="H425" s="19"/>
      <c r="I425" s="19"/>
      <c r="J425" s="19"/>
      <c r="K425" s="233"/>
      <c r="L425" s="19"/>
      <c r="M425" s="19"/>
      <c r="N425" s="19"/>
      <c r="O425" s="19"/>
      <c r="P425" s="19"/>
      <c r="Q425" s="19"/>
      <c r="R425" s="19"/>
      <c r="S425" s="19"/>
      <c r="T425" s="19"/>
      <c r="U425" s="19"/>
      <c r="V425" s="19"/>
      <c r="W425" s="19"/>
      <c r="X425" s="19"/>
      <c r="Y425" s="19"/>
    </row>
    <row r="426" spans="1:25" ht="12" customHeight="1">
      <c r="A426" s="219" t="str" cm="1">
        <f t="array" ref="A426">IFERROR(INDEX('03.Muestra'!$B$8:$B$42,SMALL(IF("Documento no web"='03.Muestra'!$D$8:$D$42,ROW('03.Muestra'!$B$8:$B$42)-MIN(ROW('03.Muestra'!$D$8:$D$42))+1,""),ROW()-398)),"")</f>
        <v/>
      </c>
      <c r="B426" s="114" t="str" cm="1">
        <f t="array" ref="B426">IFERROR(INDEX('03.Muestra'!$C$8:$C$42,SMALL(IF("Documento no web"='03.Muestra'!$D$8:$D$42,ROW('03.Muestra'!$C$8:$C$42)-MIN(ROW('03.Muestra'!$D$8:$D$42))+1,""),ROW()-398)),"")</f>
        <v/>
      </c>
      <c r="C426" s="114" t="str" cm="1">
        <f t="array" ref="C426">IFERROR(INDEX('03.Muestra'!$F$8:$F$42,SMALL(IF("Documento no web"='03.Muestra'!$D$8:$D$42,ROW('03.Muestra'!$F$8:$F$42)-MIN(ROW('03.Muestra'!$D$8:$D$42))+1,""),ROW()-398)),"")</f>
        <v/>
      </c>
      <c r="D426" s="130" t="str">
        <f t="shared" si="21"/>
        <v/>
      </c>
      <c r="E426" s="107" t="str">
        <f t="shared" si="20"/>
        <v/>
      </c>
      <c r="G426" s="19"/>
      <c r="H426" s="19"/>
      <c r="I426" s="19"/>
      <c r="J426" s="19"/>
      <c r="K426" s="233"/>
      <c r="L426" s="19"/>
      <c r="M426" s="19"/>
      <c r="N426" s="19"/>
      <c r="O426" s="19"/>
      <c r="P426" s="19"/>
      <c r="Q426" s="19"/>
      <c r="R426" s="19"/>
      <c r="S426" s="19"/>
      <c r="T426" s="19"/>
      <c r="U426" s="19"/>
      <c r="V426" s="19"/>
      <c r="W426" s="19"/>
      <c r="X426" s="19"/>
      <c r="Y426" s="19"/>
    </row>
    <row r="427" spans="1:25" ht="12" customHeight="1">
      <c r="A427" s="219" t="str" cm="1">
        <f t="array" ref="A427">IFERROR(INDEX('03.Muestra'!$B$8:$B$42,SMALL(IF("Documento no web"='03.Muestra'!$D$8:$D$42,ROW('03.Muestra'!$B$8:$B$42)-MIN(ROW('03.Muestra'!$D$8:$D$42))+1,""),ROW()-398)),"")</f>
        <v/>
      </c>
      <c r="B427" s="114" t="str" cm="1">
        <f t="array" ref="B427">IFERROR(INDEX('03.Muestra'!$C$8:$C$42,SMALL(IF("Documento no web"='03.Muestra'!$D$8:$D$42,ROW('03.Muestra'!$C$8:$C$42)-MIN(ROW('03.Muestra'!$D$8:$D$42))+1,""),ROW()-398)),"")</f>
        <v/>
      </c>
      <c r="C427" s="114" t="str" cm="1">
        <f t="array" ref="C427">IFERROR(INDEX('03.Muestra'!$F$8:$F$42,SMALL(IF("Documento no web"='03.Muestra'!$D$8:$D$42,ROW('03.Muestra'!$F$8:$F$42)-MIN(ROW('03.Muestra'!$D$8:$D$42))+1,""),ROW()-398)),"")</f>
        <v/>
      </c>
      <c r="D427" s="130" t="str">
        <f t="shared" si="21"/>
        <v/>
      </c>
      <c r="E427" s="107" t="str">
        <f t="shared" si="20"/>
        <v/>
      </c>
      <c r="F427" s="124"/>
      <c r="G427" s="19"/>
      <c r="H427" s="19"/>
      <c r="I427" s="19"/>
      <c r="J427" s="19"/>
      <c r="K427" s="233"/>
      <c r="L427" s="19"/>
      <c r="M427" s="19"/>
      <c r="N427" s="19"/>
      <c r="O427" s="19"/>
      <c r="P427" s="19"/>
      <c r="Q427" s="19"/>
      <c r="R427" s="19"/>
      <c r="S427" s="19"/>
      <c r="T427" s="19"/>
      <c r="U427" s="19"/>
      <c r="V427" s="19"/>
      <c r="W427" s="19"/>
      <c r="X427" s="19"/>
      <c r="Y427" s="19"/>
    </row>
    <row r="428" spans="1:25" ht="12" customHeight="1">
      <c r="A428" s="219" t="str" cm="1">
        <f t="array" ref="A428">IFERROR(INDEX('03.Muestra'!$B$8:$B$42,SMALL(IF("Documento no web"='03.Muestra'!$D$8:$D$42,ROW('03.Muestra'!$B$8:$B$42)-MIN(ROW('03.Muestra'!$D$8:$D$42))+1,""),ROW()-398)),"")</f>
        <v/>
      </c>
      <c r="B428" s="114" t="str" cm="1">
        <f t="array" ref="B428">IFERROR(INDEX('03.Muestra'!$C$8:$C$42,SMALL(IF("Documento no web"='03.Muestra'!$D$8:$D$42,ROW('03.Muestra'!$C$8:$C$42)-MIN(ROW('03.Muestra'!$D$8:$D$42))+1,""),ROW()-398)),"")</f>
        <v/>
      </c>
      <c r="C428" s="114" t="str" cm="1">
        <f t="array" ref="C428">IFERROR(INDEX('03.Muestra'!$F$8:$F$42,SMALL(IF("Documento no web"='03.Muestra'!$D$8:$D$42,ROW('03.Muestra'!$F$8:$F$42)-MIN(ROW('03.Muestra'!$D$8:$D$42))+1,""),ROW()-398)),"")</f>
        <v/>
      </c>
      <c r="D428" s="130" t="str">
        <f t="shared" si="21"/>
        <v/>
      </c>
      <c r="E428" s="107" t="str">
        <f t="shared" si="20"/>
        <v/>
      </c>
      <c r="F428" s="124"/>
      <c r="G428" s="19"/>
      <c r="H428" s="19"/>
      <c r="I428" s="19"/>
      <c r="J428" s="19"/>
      <c r="K428" s="233"/>
      <c r="L428" s="19"/>
      <c r="M428" s="19"/>
      <c r="N428" s="19"/>
      <c r="O428" s="19"/>
      <c r="P428" s="19"/>
      <c r="Q428" s="19"/>
      <c r="R428" s="19"/>
      <c r="S428" s="19"/>
      <c r="T428" s="19"/>
      <c r="U428" s="19"/>
      <c r="V428" s="19"/>
      <c r="W428" s="19"/>
      <c r="X428" s="19"/>
      <c r="Y428" s="19"/>
    </row>
    <row r="429" spans="1:25" ht="12" customHeight="1">
      <c r="A429" s="219" t="str" cm="1">
        <f t="array" ref="A429">IFERROR(INDEX('03.Muestra'!$B$8:$B$42,SMALL(IF("Documento no web"='03.Muestra'!$D$8:$D$42,ROW('03.Muestra'!$B$8:$B$42)-MIN(ROW('03.Muestra'!$D$8:$D$42))+1,""),ROW()-398)),"")</f>
        <v/>
      </c>
      <c r="B429" s="114" t="str" cm="1">
        <f t="array" ref="B429">IFERROR(INDEX('03.Muestra'!$C$8:$C$42,SMALL(IF("Documento no web"='03.Muestra'!$D$8:$D$42,ROW('03.Muestra'!$C$8:$C$42)-MIN(ROW('03.Muestra'!$D$8:$D$42))+1,""),ROW()-398)),"")</f>
        <v/>
      </c>
      <c r="C429" s="114" t="str" cm="1">
        <f t="array" ref="C429">IFERROR(INDEX('03.Muestra'!$F$8:$F$42,SMALL(IF("Documento no web"='03.Muestra'!$D$8:$D$42,ROW('03.Muestra'!$F$8:$F$42)-MIN(ROW('03.Muestra'!$D$8:$D$42))+1,""),ROW()-398)),"")</f>
        <v/>
      </c>
      <c r="D429" s="130" t="str">
        <f t="shared" si="21"/>
        <v/>
      </c>
      <c r="E429" s="107" t="str">
        <f t="shared" si="20"/>
        <v/>
      </c>
      <c r="F429" s="124"/>
      <c r="G429" s="19"/>
      <c r="H429" s="19"/>
      <c r="I429" s="19"/>
      <c r="J429" s="19"/>
      <c r="K429" s="233"/>
      <c r="L429" s="19"/>
      <c r="M429" s="19"/>
      <c r="N429" s="19"/>
      <c r="O429" s="19"/>
      <c r="P429" s="19"/>
      <c r="Q429" s="19"/>
      <c r="R429" s="19"/>
      <c r="S429" s="19"/>
      <c r="T429" s="19"/>
      <c r="U429" s="19"/>
      <c r="V429" s="19"/>
      <c r="W429" s="19"/>
      <c r="X429" s="19"/>
      <c r="Y429" s="19"/>
    </row>
    <row r="430" spans="1:25" ht="12" customHeight="1">
      <c r="A430" s="219" t="str" cm="1">
        <f t="array" ref="A430">IFERROR(INDEX('03.Muestra'!$B$8:$B$42,SMALL(IF("Documento no web"='03.Muestra'!$D$8:$D$42,ROW('03.Muestra'!$B$8:$B$42)-MIN(ROW('03.Muestra'!$D$8:$D$42))+1,""),ROW()-398)),"")</f>
        <v/>
      </c>
      <c r="B430" s="114" t="str" cm="1">
        <f t="array" ref="B430">IFERROR(INDEX('03.Muestra'!$C$8:$C$42,SMALL(IF("Documento no web"='03.Muestra'!$D$8:$D$42,ROW('03.Muestra'!$C$8:$C$42)-MIN(ROW('03.Muestra'!$D$8:$D$42))+1,""),ROW()-398)),"")</f>
        <v/>
      </c>
      <c r="C430" s="114" t="str" cm="1">
        <f t="array" ref="C430">IFERROR(INDEX('03.Muestra'!$F$8:$F$42,SMALL(IF("Documento no web"='03.Muestra'!$D$8:$D$42,ROW('03.Muestra'!$F$8:$F$42)-MIN(ROW('03.Muestra'!$D$8:$D$42))+1,""),ROW()-398)),"")</f>
        <v/>
      </c>
      <c r="D430" s="130" t="str">
        <f t="shared" si="21"/>
        <v/>
      </c>
      <c r="E430" s="107" t="str">
        <f t="shared" si="20"/>
        <v/>
      </c>
      <c r="F430" s="124"/>
      <c r="G430" s="19"/>
      <c r="H430" s="19"/>
      <c r="I430" s="19"/>
      <c r="J430" s="19"/>
      <c r="K430" s="233"/>
      <c r="L430" s="19"/>
      <c r="M430" s="19"/>
      <c r="N430" s="19"/>
      <c r="O430" s="19"/>
      <c r="P430" s="19"/>
      <c r="Q430" s="19"/>
      <c r="R430" s="19"/>
      <c r="S430" s="19"/>
      <c r="T430" s="19"/>
      <c r="U430" s="19"/>
      <c r="V430" s="19"/>
      <c r="W430" s="19"/>
      <c r="X430" s="19"/>
      <c r="Y430" s="19"/>
    </row>
    <row r="431" spans="1:25" ht="12" customHeight="1">
      <c r="A431" s="219" t="str" cm="1">
        <f t="array" ref="A431">IFERROR(INDEX('03.Muestra'!$B$8:$B$42,SMALL(IF("Documento no web"='03.Muestra'!$D$8:$D$42,ROW('03.Muestra'!$B$8:$B$42)-MIN(ROW('03.Muestra'!$D$8:$D$42))+1,""),ROW()-398)),"")</f>
        <v/>
      </c>
      <c r="B431" s="114" t="str" cm="1">
        <f t="array" ref="B431">IFERROR(INDEX('03.Muestra'!$C$8:$C$42,SMALL(IF("Documento no web"='03.Muestra'!$D$8:$D$42,ROW('03.Muestra'!$C$8:$C$42)-MIN(ROW('03.Muestra'!$D$8:$D$42))+1,""),ROW()-398)),"")</f>
        <v/>
      </c>
      <c r="C431" s="114" t="str" cm="1">
        <f t="array" ref="C431">IFERROR(INDEX('03.Muestra'!$F$8:$F$42,SMALL(IF("Documento no web"='03.Muestra'!$D$8:$D$42,ROW('03.Muestra'!$F$8:$F$42)-MIN(ROW('03.Muestra'!$D$8:$D$42))+1,""),ROW()-398)),"")</f>
        <v/>
      </c>
      <c r="D431" s="130" t="str">
        <f t="shared" si="21"/>
        <v/>
      </c>
      <c r="E431" s="107" t="str">
        <f t="shared" si="20"/>
        <v/>
      </c>
      <c r="F431" s="124"/>
      <c r="G431" s="19"/>
      <c r="H431" s="19"/>
      <c r="I431" s="19"/>
      <c r="J431" s="19"/>
      <c r="K431" s="233"/>
      <c r="L431" s="19"/>
      <c r="M431" s="19"/>
      <c r="N431" s="19"/>
      <c r="O431" s="19"/>
      <c r="P431" s="19"/>
      <c r="Q431" s="19"/>
      <c r="R431" s="19"/>
      <c r="S431" s="19"/>
      <c r="T431" s="19"/>
      <c r="U431" s="19"/>
      <c r="V431" s="19"/>
      <c r="W431" s="19"/>
      <c r="X431" s="19"/>
      <c r="Y431" s="19"/>
    </row>
    <row r="432" spans="1:25" ht="12" customHeight="1">
      <c r="A432" s="219" t="str" cm="1">
        <f t="array" ref="A432">IFERROR(INDEX('03.Muestra'!$B$8:$B$42,SMALL(IF("Documento no web"='03.Muestra'!$D$8:$D$42,ROW('03.Muestra'!$B$8:$B$42)-MIN(ROW('03.Muestra'!$D$8:$D$42))+1,""),ROW()-398)),"")</f>
        <v/>
      </c>
      <c r="B432" s="114" t="str" cm="1">
        <f t="array" ref="B432">IFERROR(INDEX('03.Muestra'!$C$8:$C$42,SMALL(IF("Documento no web"='03.Muestra'!$D$8:$D$42,ROW('03.Muestra'!$C$8:$C$42)-MIN(ROW('03.Muestra'!$D$8:$D$42))+1,""),ROW()-398)),"")</f>
        <v/>
      </c>
      <c r="C432" s="114" t="str" cm="1">
        <f t="array" ref="C432">IFERROR(INDEX('03.Muestra'!$F$8:$F$42,SMALL(IF("Documento no web"='03.Muestra'!$D$8:$D$42,ROW('03.Muestra'!$F$8:$F$42)-MIN(ROW('03.Muestra'!$D$8:$D$42))+1,""),ROW()-398)),"")</f>
        <v/>
      </c>
      <c r="D432" s="130" t="str">
        <f t="shared" si="21"/>
        <v/>
      </c>
      <c r="E432" s="107" t="str">
        <f t="shared" si="20"/>
        <v/>
      </c>
      <c r="F432" s="124"/>
      <c r="G432" s="19"/>
      <c r="H432" s="19"/>
      <c r="I432" s="19"/>
      <c r="J432" s="19"/>
      <c r="K432" s="233"/>
      <c r="L432" s="19"/>
      <c r="M432" s="19"/>
      <c r="N432" s="19"/>
      <c r="O432" s="19"/>
      <c r="P432" s="19"/>
      <c r="Q432" s="19"/>
      <c r="R432" s="19"/>
      <c r="S432" s="19"/>
      <c r="T432" s="19"/>
      <c r="U432" s="19"/>
      <c r="V432" s="19"/>
      <c r="W432" s="19"/>
      <c r="X432" s="19"/>
      <c r="Y432" s="19"/>
    </row>
    <row r="433" spans="1:25" ht="12" customHeight="1">
      <c r="A433" s="219" t="str" cm="1">
        <f t="array" ref="A433">IFERROR(INDEX('03.Muestra'!$B$8:$B$42,SMALL(IF("Documento no web"='03.Muestra'!$D$8:$D$42,ROW('03.Muestra'!$B$8:$B$42)-MIN(ROW('03.Muestra'!$D$8:$D$42))+1,""),ROW()-398)),"")</f>
        <v/>
      </c>
      <c r="B433" s="114" t="str" cm="1">
        <f t="array" ref="B433">IFERROR(INDEX('03.Muestra'!$C$8:$C$42,SMALL(IF("Documento no web"='03.Muestra'!$D$8:$D$42,ROW('03.Muestra'!$C$8:$C$42)-MIN(ROW('03.Muestra'!$D$8:$D$42))+1,""),ROW()-398)),"")</f>
        <v/>
      </c>
      <c r="C433" s="114" t="str" cm="1">
        <f t="array" ref="C433">IFERROR(INDEX('03.Muestra'!$F$8:$F$42,SMALL(IF("Documento no web"='03.Muestra'!$D$8:$D$42,ROW('03.Muestra'!$F$8:$F$42)-MIN(ROW('03.Muestra'!$D$8:$D$42))+1,""),ROW()-398)),"")</f>
        <v/>
      </c>
      <c r="D433" s="130" t="str">
        <f t="shared" si="21"/>
        <v/>
      </c>
      <c r="E433" s="107" t="str">
        <f t="shared" si="20"/>
        <v/>
      </c>
      <c r="F433" s="19"/>
      <c r="G433" s="19"/>
      <c r="H433" s="19"/>
      <c r="I433" s="19"/>
      <c r="J433" s="19"/>
      <c r="K433" s="233"/>
      <c r="L433" s="19"/>
      <c r="M433" s="19"/>
      <c r="N433" s="19"/>
      <c r="O433" s="19"/>
      <c r="P433" s="19"/>
      <c r="Q433" s="19"/>
      <c r="R433" s="19"/>
      <c r="S433" s="19"/>
      <c r="T433" s="19"/>
      <c r="U433" s="19"/>
      <c r="V433" s="19"/>
      <c r="W433" s="19"/>
      <c r="X433" s="19"/>
      <c r="Y433" s="19"/>
    </row>
    <row r="434" spans="1:25" ht="12" customHeight="1">
      <c r="B434" s="19"/>
      <c r="C434" s="112"/>
      <c r="D434" s="112"/>
      <c r="E434" s="112"/>
      <c r="F434" s="19"/>
      <c r="G434" s="19"/>
      <c r="H434" s="19"/>
      <c r="I434" s="19"/>
      <c r="J434" s="19"/>
      <c r="K434" s="233"/>
      <c r="L434" s="19"/>
      <c r="M434" s="19"/>
      <c r="N434" s="19"/>
      <c r="O434" s="19"/>
      <c r="P434" s="19"/>
      <c r="Q434" s="19"/>
      <c r="R434" s="19"/>
      <c r="S434" s="19"/>
      <c r="T434" s="19"/>
      <c r="U434" s="19"/>
      <c r="V434" s="19"/>
      <c r="W434" s="19"/>
      <c r="X434" s="19"/>
      <c r="Y434" s="19"/>
    </row>
    <row r="435" spans="1:25" ht="12" customHeight="1">
      <c r="B435" s="19"/>
      <c r="C435" s="19"/>
      <c r="D435" s="112"/>
      <c r="E435" s="112"/>
      <c r="F435" s="19"/>
      <c r="G435" s="19"/>
      <c r="H435" s="19"/>
      <c r="I435" s="19"/>
      <c r="J435" s="19"/>
      <c r="K435" s="233"/>
      <c r="L435" s="19"/>
      <c r="M435" s="19"/>
      <c r="N435" s="19"/>
      <c r="O435" s="19"/>
      <c r="P435" s="19"/>
      <c r="Q435" s="19"/>
      <c r="R435" s="19"/>
      <c r="S435" s="19"/>
      <c r="T435" s="19"/>
      <c r="U435" s="19"/>
      <c r="V435" s="19"/>
      <c r="W435" s="19"/>
      <c r="X435" s="19"/>
      <c r="Y435" s="19"/>
    </row>
    <row r="436" spans="1:25" ht="32.25" customHeight="1">
      <c r="A436" s="218" t="s">
        <v>268</v>
      </c>
      <c r="B436" s="24" t="s">
        <v>90</v>
      </c>
      <c r="C436" s="25" t="s">
        <v>433</v>
      </c>
      <c r="D436" s="26" t="s">
        <v>32</v>
      </c>
      <c r="E436" s="123"/>
      <c r="K436" s="233"/>
      <c r="L436" s="19"/>
      <c r="M436" s="19"/>
      <c r="N436" s="19"/>
      <c r="O436" s="19"/>
      <c r="P436" s="19"/>
      <c r="Q436" s="19"/>
      <c r="R436" s="19"/>
      <c r="S436" s="19"/>
      <c r="T436" s="19"/>
      <c r="U436" s="19"/>
      <c r="V436" s="19"/>
      <c r="W436" s="19"/>
      <c r="X436" s="19"/>
      <c r="Y436" s="19"/>
    </row>
    <row r="437" spans="1:25" ht="12" customHeight="1">
      <c r="A437" s="219" t="n" cm="1">
        <f t="array" ref="A437">IFERROR(INDEX('03.Muestra'!$B$8:$B$42,SMALL(IF("Documento no web"='03.Muestra'!$D$8:$D$42,ROW('03.Muestra'!$B$8:$B$42)-MIN(ROW('03.Muestra'!$D$8:$D$42))+1,""),ROW()-436)),"")</f>
        <v>1.0</v>
      </c>
      <c r="B437" s="114" t="str" cm="1">
        <f t="array" ref="B437">IFERROR(INDEX('03.Muestra'!$C$8:$C$42,SMALL(IF("Documento no web"='03.Muestra'!$D$8:$D$42,ROW('03.Muestra'!$C$8:$C$42)-MIN(ROW('03.Muestra'!$D$8:$D$42))+1,""),ROW()-436)),"")</f>
        <v>Home - PortCastelló</v>
      </c>
      <c r="C437" s="114" t="str" cm="1">
        <f t="array" ref="C437">IFERROR(INDEX('03.Muestra'!$F$8:$F$42,SMALL(IF("Documento no web"='03.Muestra'!$D$8:$D$42,ROW('03.Muestra'!$F$8:$F$42)-MIN(ROW('03.Muestra'!$D$8:$D$42))+1,""),ROW()-436)),"")</f>
        <v>https://www.portcastello.com/</v>
      </c>
      <c r="D437" s="130" t="s">
        <v>33</v>
      </c>
      <c r="E437" s="107" t="str">
        <f t="shared" ref="E437:E471" si="22">IF(D437&lt;&gt;"",IF(AND(B437&lt;&gt;"",C437&lt;&gt;""),"","ERR"),"")</f>
        <v/>
      </c>
      <c r="F437" s="115" t="s">
        <v>33</v>
      </c>
      <c r="G437" s="116" t="s">
        <v>37</v>
      </c>
      <c r="H437" s="117" t="s">
        <v>35</v>
      </c>
      <c r="I437" s="118" t="s">
        <v>28</v>
      </c>
      <c r="J437" s="119" t="s">
        <v>26</v>
      </c>
      <c r="K437" s="226" t="s">
        <v>474</v>
      </c>
      <c r="L437" s="19"/>
      <c r="M437" s="19"/>
      <c r="N437" s="19"/>
      <c r="O437" s="19"/>
      <c r="P437" s="19"/>
      <c r="Q437" s="19"/>
      <c r="R437" s="19"/>
      <c r="S437" s="19"/>
      <c r="T437" s="19"/>
      <c r="U437" s="19"/>
      <c r="V437" s="19"/>
      <c r="W437" s="19"/>
      <c r="X437" s="19"/>
      <c r="Y437" s="19"/>
    </row>
    <row r="438" spans="1:25" ht="12" customHeight="1">
      <c r="A438" s="219" t="n" cm="1">
        <f t="array" ref="A438">IFERROR(INDEX('03.Muestra'!$B$8:$B$42,SMALL(IF("Documento no web"='03.Muestra'!$D$8:$D$42,ROW('03.Muestra'!$B$8:$B$42)-MIN(ROW('03.Muestra'!$D$8:$D$42))+1,""),ROW()-436)),"")</f>
        <v>1.0</v>
      </c>
      <c r="B438" s="114" t="str" cm="1">
        <f t="array" ref="B438">IFERROR(INDEX('03.Muestra'!$C$8:$C$42,SMALL(IF("Documento no web"='03.Muestra'!$D$8:$D$42,ROW('03.Muestra'!$C$8:$C$42)-MIN(ROW('03.Muestra'!$D$8:$D$42))+1,""),ROW()-436)),"")</f>
        <v>Home - PortCastelló</v>
      </c>
      <c r="C438" s="114" t="str" cm="1">
        <f t="array" ref="C438">IFERROR(INDEX('03.Muestra'!$F$8:$F$42,SMALL(IF("Documento no web"='03.Muestra'!$D$8:$D$42,ROW('03.Muestra'!$F$8:$F$42)-MIN(ROW('03.Muestra'!$D$8:$D$42))+1,""),ROW()-436)),"")</f>
        <v>https://www.portcastello.com/</v>
      </c>
      <c r="D438" s="130" t="s">
        <v>33</v>
      </c>
      <c r="E438" s="107" t="str">
        <f t="shared" si="22"/>
        <v/>
      </c>
      <c r="F438" s="120" t="n">
        <f ca="1">COUNTIF($D437:INDIRECT("$D" &amp;  SUM(ROW()-1,'03.Muestra'!$D$45)-1),F437)</f>
        <v>2.0</v>
      </c>
      <c r="G438" s="120" t="n">
        <f ca="1">COUNTIF($D437:INDIRECT("$D" &amp;  SUM(ROW()-1,'03.Muestra'!$D$45)-1),G437)</f>
        <v>0.0</v>
      </c>
      <c r="H438" s="120" t="n">
        <f ca="1">COUNTIF($D437:INDIRECT("$D" &amp;  SUM(ROW()-1,'03.Muestra'!$D$45)-1),H437)</f>
        <v>0.0</v>
      </c>
      <c r="I438" s="120" t="n">
        <f ca="1">COUNTIF($D437:INDIRECT("$D" &amp;  SUM(ROW()-1,'03.Muestra'!$D$45)-1),I437)</f>
        <v>0.0</v>
      </c>
      <c r="J438" s="120" t="n">
        <f ca="1">COUNTIF($D437:INDIRECT("$D" &amp;  SUM(ROW()-1,'03.Muestra'!$D$45)-1),J437)</f>
        <v>0.0</v>
      </c>
      <c r="K438" s="227" t="n">
        <f ca="1">IF(COUNTIF('03.Muestra'!$D$8:$D$42,"Documento no web")=0,0,COUNTBLANK($D437:INDIRECT("$D" &amp;  SUM(ROW()-1,COUNTIF('03.Muestra'!$D$8:$D$42,"Documento no web"))-1)))</f>
        <v>0.0</v>
      </c>
      <c r="L438" s="19"/>
      <c r="M438" s="19"/>
      <c r="N438" s="19"/>
      <c r="O438" s="19"/>
      <c r="P438" s="19"/>
      <c r="Q438" s="19"/>
      <c r="R438" s="19"/>
      <c r="S438" s="19"/>
      <c r="T438" s="19"/>
      <c r="U438" s="19"/>
      <c r="V438" s="19"/>
      <c r="W438" s="19"/>
      <c r="X438" s="19"/>
      <c r="Y438" s="19"/>
    </row>
    <row r="439" spans="1:25" ht="12" customHeight="1">
      <c r="A439" s="219" t="str" cm="1">
        <f t="array" ref="A439">IFERROR(INDEX('03.Muestra'!$B$8:$B$42,SMALL(IF("Documento no web"='03.Muestra'!$D$8:$D$42,ROW('03.Muestra'!$B$8:$B$42)-MIN(ROW('03.Muestra'!$D$8:$D$42))+1,""),ROW()-436)),"")</f>
        <v/>
      </c>
      <c r="B439" s="114" t="str" cm="1">
        <f t="array" ref="B439">IFERROR(INDEX('03.Muestra'!$C$8:$C$42,SMALL(IF("Documento no web"='03.Muestra'!$D$8:$D$42,ROW('03.Muestra'!$C$8:$C$42)-MIN(ROW('03.Muestra'!$D$8:$D$42))+1,""),ROW()-436)),"")</f>
        <v/>
      </c>
      <c r="C439" s="114" t="str" cm="1">
        <f t="array" ref="C439">IFERROR(INDEX('03.Muestra'!$F$8:$F$42,SMALL(IF("Documento no web"='03.Muestra'!$D$8:$D$42,ROW('03.Muestra'!$F$8:$F$42)-MIN(ROW('03.Muestra'!$D$8:$D$42))+1,""),ROW()-436)),"")</f>
        <v/>
      </c>
      <c r="D439" s="130" t="str">
        <f t="shared" si="23" ref="D439:D471">IF(AND(B439&lt;&gt;"",C439&lt;&gt;""),"N/T","")</f>
        <v/>
      </c>
      <c r="E439" s="107" t="str">
        <f t="shared" si="22"/>
        <v/>
      </c>
      <c r="G439" s="19"/>
      <c r="H439" s="19"/>
      <c r="I439" s="19"/>
      <c r="J439" s="19"/>
      <c r="K439" s="233"/>
      <c r="L439" s="19"/>
      <c r="M439" s="19"/>
      <c r="N439" s="19"/>
      <c r="O439" s="19"/>
      <c r="P439" s="19"/>
      <c r="Q439" s="19"/>
      <c r="R439" s="19"/>
      <c r="S439" s="19"/>
      <c r="T439" s="19"/>
      <c r="U439" s="19"/>
      <c r="V439" s="19"/>
      <c r="W439" s="19"/>
      <c r="X439" s="19"/>
      <c r="Y439" s="19"/>
    </row>
    <row r="440" spans="1:25" ht="12" customHeight="1">
      <c r="A440" s="219" t="str" cm="1">
        <f t="array" ref="A440">IFERROR(INDEX('03.Muestra'!$B$8:$B$42,SMALL(IF("Documento no web"='03.Muestra'!$D$8:$D$42,ROW('03.Muestra'!$B$8:$B$42)-MIN(ROW('03.Muestra'!$D$8:$D$42))+1,""),ROW()-436)),"")</f>
        <v/>
      </c>
      <c r="B440" s="114" t="str" cm="1">
        <f t="array" ref="B440">IFERROR(INDEX('03.Muestra'!$C$8:$C$42,SMALL(IF("Documento no web"='03.Muestra'!$D$8:$D$42,ROW('03.Muestra'!$C$8:$C$42)-MIN(ROW('03.Muestra'!$D$8:$D$42))+1,""),ROW()-436)),"")</f>
        <v/>
      </c>
      <c r="C440" s="114" t="str" cm="1">
        <f t="array" ref="C440">IFERROR(INDEX('03.Muestra'!$F$8:$F$42,SMALL(IF("Documento no web"='03.Muestra'!$D$8:$D$42,ROW('03.Muestra'!$F$8:$F$42)-MIN(ROW('03.Muestra'!$D$8:$D$42))+1,""),ROW()-436)),"")</f>
        <v/>
      </c>
      <c r="D440" s="130" t="str">
        <f t="shared" si="23"/>
        <v/>
      </c>
      <c r="E440" s="107" t="str">
        <f t="shared" si="22"/>
        <v/>
      </c>
      <c r="G440" s="19"/>
      <c r="H440" s="19"/>
      <c r="I440" s="19"/>
      <c r="J440" s="19"/>
      <c r="K440" s="233"/>
      <c r="L440" s="19"/>
      <c r="M440" s="19"/>
      <c r="N440" s="19"/>
      <c r="O440" s="19"/>
      <c r="P440" s="19"/>
      <c r="Q440" s="19"/>
      <c r="R440" s="19"/>
      <c r="S440" s="19"/>
      <c r="T440" s="19"/>
      <c r="U440" s="19"/>
      <c r="V440" s="19"/>
      <c r="W440" s="19"/>
      <c r="X440" s="19"/>
      <c r="Y440" s="19"/>
    </row>
    <row r="441" spans="1:25" ht="12" customHeight="1">
      <c r="A441" s="219" t="str" cm="1">
        <f t="array" ref="A441">IFERROR(INDEX('03.Muestra'!$B$8:$B$42,SMALL(IF("Documento no web"='03.Muestra'!$D$8:$D$42,ROW('03.Muestra'!$B$8:$B$42)-MIN(ROW('03.Muestra'!$D$8:$D$42))+1,""),ROW()-436)),"")</f>
        <v/>
      </c>
      <c r="B441" s="114" t="str" cm="1">
        <f t="array" ref="B441">IFERROR(INDEX('03.Muestra'!$C$8:$C$42,SMALL(IF("Documento no web"='03.Muestra'!$D$8:$D$42,ROW('03.Muestra'!$C$8:$C$42)-MIN(ROW('03.Muestra'!$D$8:$D$42))+1,""),ROW()-436)),"")</f>
        <v/>
      </c>
      <c r="C441" s="114" t="str" cm="1">
        <f t="array" ref="C441">IFERROR(INDEX('03.Muestra'!$F$8:$F$42,SMALL(IF("Documento no web"='03.Muestra'!$D$8:$D$42,ROW('03.Muestra'!$F$8:$F$42)-MIN(ROW('03.Muestra'!$D$8:$D$42))+1,""),ROW()-436)),"")</f>
        <v/>
      </c>
      <c r="D441" s="130" t="str">
        <f t="shared" si="23"/>
        <v/>
      </c>
      <c r="E441" s="107" t="str">
        <f t="shared" si="22"/>
        <v/>
      </c>
      <c r="G441" s="19"/>
      <c r="H441" s="19"/>
      <c r="I441" s="19"/>
      <c r="J441" s="19"/>
      <c r="K441" s="233"/>
      <c r="L441" s="19"/>
      <c r="M441" s="19"/>
      <c r="N441" s="19"/>
      <c r="O441" s="19"/>
      <c r="P441" s="19"/>
      <c r="Q441" s="19"/>
      <c r="R441" s="19"/>
      <c r="S441" s="19"/>
      <c r="T441" s="19"/>
      <c r="U441" s="19"/>
      <c r="V441" s="19"/>
      <c r="W441" s="19"/>
      <c r="X441" s="19"/>
      <c r="Y441" s="19"/>
    </row>
    <row r="442" spans="1:25" ht="12" customHeight="1">
      <c r="A442" s="219" t="str" cm="1">
        <f t="array" ref="A442">IFERROR(INDEX('03.Muestra'!$B$8:$B$42,SMALL(IF("Documento no web"='03.Muestra'!$D$8:$D$42,ROW('03.Muestra'!$B$8:$B$42)-MIN(ROW('03.Muestra'!$D$8:$D$42))+1,""),ROW()-436)),"")</f>
        <v/>
      </c>
      <c r="B442" s="114" t="str" cm="1">
        <f t="array" ref="B442">IFERROR(INDEX('03.Muestra'!$C$8:$C$42,SMALL(IF("Documento no web"='03.Muestra'!$D$8:$D$42,ROW('03.Muestra'!$C$8:$C$42)-MIN(ROW('03.Muestra'!$D$8:$D$42))+1,""),ROW()-436)),"")</f>
        <v/>
      </c>
      <c r="C442" s="114" t="str" cm="1">
        <f t="array" ref="C442">IFERROR(INDEX('03.Muestra'!$F$8:$F$42,SMALL(IF("Documento no web"='03.Muestra'!$D$8:$D$42,ROW('03.Muestra'!$F$8:$F$42)-MIN(ROW('03.Muestra'!$D$8:$D$42))+1,""),ROW()-436)),"")</f>
        <v/>
      </c>
      <c r="D442" s="130" t="str">
        <f t="shared" si="23"/>
        <v/>
      </c>
      <c r="E442" s="107" t="str">
        <f t="shared" si="22"/>
        <v/>
      </c>
      <c r="G442" s="19"/>
      <c r="H442" s="19"/>
      <c r="I442" s="19"/>
      <c r="J442" s="19"/>
      <c r="K442" s="233"/>
      <c r="L442" s="19"/>
      <c r="M442" s="19"/>
      <c r="N442" s="19"/>
      <c r="O442" s="19"/>
      <c r="P442" s="19"/>
      <c r="Q442" s="19"/>
      <c r="R442" s="19"/>
      <c r="S442" s="19"/>
      <c r="T442" s="19"/>
      <c r="U442" s="19"/>
      <c r="V442" s="19"/>
      <c r="W442" s="19"/>
      <c r="X442" s="19"/>
      <c r="Y442" s="19"/>
    </row>
    <row r="443" spans="1:25" ht="12" customHeight="1">
      <c r="A443" s="219" t="str" cm="1">
        <f t="array" ref="A443">IFERROR(INDEX('03.Muestra'!$B$8:$B$42,SMALL(IF("Documento no web"='03.Muestra'!$D$8:$D$42,ROW('03.Muestra'!$B$8:$B$42)-MIN(ROW('03.Muestra'!$D$8:$D$42))+1,""),ROW()-436)),"")</f>
        <v/>
      </c>
      <c r="B443" s="114" t="str" cm="1">
        <f t="array" ref="B443">IFERROR(INDEX('03.Muestra'!$C$8:$C$42,SMALL(IF("Documento no web"='03.Muestra'!$D$8:$D$42,ROW('03.Muestra'!$C$8:$C$42)-MIN(ROW('03.Muestra'!$D$8:$D$42))+1,""),ROW()-436)),"")</f>
        <v/>
      </c>
      <c r="C443" s="114" t="str" cm="1">
        <f t="array" ref="C443">IFERROR(INDEX('03.Muestra'!$F$8:$F$42,SMALL(IF("Documento no web"='03.Muestra'!$D$8:$D$42,ROW('03.Muestra'!$F$8:$F$42)-MIN(ROW('03.Muestra'!$D$8:$D$42))+1,""),ROW()-436)),"")</f>
        <v/>
      </c>
      <c r="D443" s="130" t="str">
        <f t="shared" si="23"/>
        <v/>
      </c>
      <c r="E443" s="107" t="str">
        <f t="shared" si="22"/>
        <v/>
      </c>
      <c r="F443" s="19"/>
      <c r="G443" s="19"/>
      <c r="H443" s="19"/>
      <c r="I443" s="19"/>
      <c r="J443" s="19"/>
      <c r="K443" s="233"/>
      <c r="L443" s="19"/>
      <c r="M443" s="19"/>
      <c r="N443" s="19"/>
      <c r="O443" s="19"/>
      <c r="P443" s="19"/>
      <c r="Q443" s="19"/>
      <c r="R443" s="19"/>
      <c r="S443" s="19"/>
      <c r="T443" s="19"/>
      <c r="U443" s="19"/>
      <c r="V443" s="19"/>
      <c r="W443" s="19"/>
      <c r="X443" s="19"/>
      <c r="Y443" s="19"/>
    </row>
    <row r="444" spans="1:25" ht="12" customHeight="1">
      <c r="A444" s="219" t="str" cm="1">
        <f t="array" ref="A444">IFERROR(INDEX('03.Muestra'!$B$8:$B$42,SMALL(IF("Documento no web"='03.Muestra'!$D$8:$D$42,ROW('03.Muestra'!$B$8:$B$42)-MIN(ROW('03.Muestra'!$D$8:$D$42))+1,""),ROW()-436)),"")</f>
        <v/>
      </c>
      <c r="B444" s="114" t="str" cm="1">
        <f t="array" ref="B444">IFERROR(INDEX('03.Muestra'!$C$8:$C$42,SMALL(IF("Documento no web"='03.Muestra'!$D$8:$D$42,ROW('03.Muestra'!$C$8:$C$42)-MIN(ROW('03.Muestra'!$D$8:$D$42))+1,""),ROW()-436)),"")</f>
        <v/>
      </c>
      <c r="C444" s="114" t="str" cm="1">
        <f t="array" ref="C444">IFERROR(INDEX('03.Muestra'!$F$8:$F$42,SMALL(IF("Documento no web"='03.Muestra'!$D$8:$D$42,ROW('03.Muestra'!$F$8:$F$42)-MIN(ROW('03.Muestra'!$D$8:$D$42))+1,""),ROW()-436)),"")</f>
        <v/>
      </c>
      <c r="D444" s="130" t="str">
        <f t="shared" si="23"/>
        <v/>
      </c>
      <c r="E444" s="107" t="str">
        <f t="shared" si="22"/>
        <v/>
      </c>
      <c r="F444" s="19"/>
      <c r="G444" s="19"/>
      <c r="H444" s="19"/>
      <c r="I444" s="19"/>
      <c r="J444" s="19"/>
      <c r="K444" s="233"/>
      <c r="L444" s="19"/>
      <c r="M444" s="19"/>
      <c r="N444" s="19"/>
      <c r="O444" s="19"/>
      <c r="P444" s="19"/>
      <c r="Q444" s="19"/>
      <c r="R444" s="19"/>
      <c r="S444" s="19"/>
      <c r="T444" s="19"/>
      <c r="U444" s="19"/>
      <c r="V444" s="19"/>
      <c r="W444" s="19"/>
      <c r="X444" s="19"/>
      <c r="Y444" s="19"/>
    </row>
    <row r="445" spans="1:25" ht="12" customHeight="1">
      <c r="A445" s="219" t="str" cm="1">
        <f t="array" ref="A445">IFERROR(INDEX('03.Muestra'!$B$8:$B$42,SMALL(IF("Documento no web"='03.Muestra'!$D$8:$D$42,ROW('03.Muestra'!$B$8:$B$42)-MIN(ROW('03.Muestra'!$D$8:$D$42))+1,""),ROW()-436)),"")</f>
        <v/>
      </c>
      <c r="B445" s="114" t="str" cm="1">
        <f t="array" ref="B445">IFERROR(INDEX('03.Muestra'!$C$8:$C$42,SMALL(IF("Documento no web"='03.Muestra'!$D$8:$D$42,ROW('03.Muestra'!$C$8:$C$42)-MIN(ROW('03.Muestra'!$D$8:$D$42))+1,""),ROW()-436)),"")</f>
        <v/>
      </c>
      <c r="C445" s="114" t="str" cm="1">
        <f t="array" ref="C445">IFERROR(INDEX('03.Muestra'!$F$8:$F$42,SMALL(IF("Documento no web"='03.Muestra'!$D$8:$D$42,ROW('03.Muestra'!$F$8:$F$42)-MIN(ROW('03.Muestra'!$D$8:$D$42))+1,""),ROW()-436)),"")</f>
        <v/>
      </c>
      <c r="D445" s="130" t="str">
        <f t="shared" si="23"/>
        <v/>
      </c>
      <c r="E445" s="107" t="str">
        <f t="shared" si="22"/>
        <v/>
      </c>
      <c r="F445" s="19"/>
      <c r="G445" s="19"/>
      <c r="H445" s="19"/>
      <c r="I445" s="19"/>
      <c r="J445" s="19"/>
      <c r="K445" s="233"/>
      <c r="L445" s="19"/>
      <c r="M445" s="19"/>
      <c r="N445" s="19"/>
      <c r="O445" s="19"/>
      <c r="P445" s="19"/>
      <c r="Q445" s="19"/>
      <c r="R445" s="19"/>
      <c r="S445" s="19"/>
      <c r="T445" s="19"/>
      <c r="U445" s="19"/>
      <c r="V445" s="19"/>
      <c r="W445" s="19"/>
      <c r="X445" s="19"/>
      <c r="Y445" s="19"/>
    </row>
    <row r="446" spans="1:25" ht="12" customHeight="1">
      <c r="A446" s="219" t="str" cm="1">
        <f t="array" ref="A446">IFERROR(INDEX('03.Muestra'!$B$8:$B$42,SMALL(IF("Documento no web"='03.Muestra'!$D$8:$D$42,ROW('03.Muestra'!$B$8:$B$42)-MIN(ROW('03.Muestra'!$D$8:$D$42))+1,""),ROW()-436)),"")</f>
        <v/>
      </c>
      <c r="B446" s="114" t="str" cm="1">
        <f t="array" ref="B446">IFERROR(INDEX('03.Muestra'!$C$8:$C$42,SMALL(IF("Documento no web"='03.Muestra'!$D$8:$D$42,ROW('03.Muestra'!$C$8:$C$42)-MIN(ROW('03.Muestra'!$D$8:$D$42))+1,""),ROW()-436)),"")</f>
        <v/>
      </c>
      <c r="C446" s="114" t="str" cm="1">
        <f t="array" ref="C446">IFERROR(INDEX('03.Muestra'!$F$8:$F$42,SMALL(IF("Documento no web"='03.Muestra'!$D$8:$D$42,ROW('03.Muestra'!$F$8:$F$42)-MIN(ROW('03.Muestra'!$D$8:$D$42))+1,""),ROW()-436)),"")</f>
        <v/>
      </c>
      <c r="D446" s="130" t="str">
        <f t="shared" si="23"/>
        <v/>
      </c>
      <c r="E446" s="107" t="str">
        <f t="shared" si="22"/>
        <v/>
      </c>
      <c r="F446" s="19"/>
      <c r="G446" s="19"/>
      <c r="H446" s="19"/>
      <c r="I446" s="19"/>
      <c r="J446" s="19"/>
      <c r="K446" s="233"/>
      <c r="L446" s="19"/>
      <c r="M446" s="19"/>
      <c r="N446" s="19"/>
      <c r="O446" s="19"/>
      <c r="P446" s="19"/>
      <c r="Q446" s="19"/>
      <c r="R446" s="19"/>
      <c r="S446" s="19"/>
      <c r="T446" s="19"/>
      <c r="U446" s="19"/>
      <c r="V446" s="19"/>
      <c r="W446" s="19"/>
      <c r="X446" s="19"/>
      <c r="Y446" s="19"/>
    </row>
    <row r="447" spans="1:25" ht="12" customHeight="1">
      <c r="A447" s="219" t="str" cm="1">
        <f t="array" ref="A447">IFERROR(INDEX('03.Muestra'!$B$8:$B$42,SMALL(IF("Documento no web"='03.Muestra'!$D$8:$D$42,ROW('03.Muestra'!$B$8:$B$42)-MIN(ROW('03.Muestra'!$D$8:$D$42))+1,""),ROW()-436)),"")</f>
        <v/>
      </c>
      <c r="B447" s="114" t="str" cm="1">
        <f t="array" ref="B447">IFERROR(INDEX('03.Muestra'!$C$8:$C$42,SMALL(IF("Documento no web"='03.Muestra'!$D$8:$D$42,ROW('03.Muestra'!$C$8:$C$42)-MIN(ROW('03.Muestra'!$D$8:$D$42))+1,""),ROW()-436)),"")</f>
        <v/>
      </c>
      <c r="C447" s="114" t="str" cm="1">
        <f t="array" ref="C447">IFERROR(INDEX('03.Muestra'!$F$8:$F$42,SMALL(IF("Documento no web"='03.Muestra'!$D$8:$D$42,ROW('03.Muestra'!$F$8:$F$42)-MIN(ROW('03.Muestra'!$D$8:$D$42))+1,""),ROW()-436)),"")</f>
        <v/>
      </c>
      <c r="D447" s="130" t="str">
        <f t="shared" si="23"/>
        <v/>
      </c>
      <c r="E447" s="107" t="str">
        <f t="shared" si="22"/>
        <v/>
      </c>
      <c r="F447" s="19"/>
      <c r="G447" s="19"/>
      <c r="H447" s="19"/>
      <c r="I447" s="19"/>
      <c r="J447" s="19"/>
      <c r="K447" s="233"/>
      <c r="L447" s="19"/>
      <c r="M447" s="19"/>
      <c r="N447" s="19"/>
      <c r="O447" s="19"/>
      <c r="P447" s="19"/>
      <c r="Q447" s="19"/>
      <c r="R447" s="19"/>
      <c r="S447" s="19"/>
      <c r="T447" s="19"/>
      <c r="U447" s="19"/>
      <c r="V447" s="19"/>
      <c r="W447" s="19"/>
      <c r="X447" s="19"/>
      <c r="Y447" s="19"/>
    </row>
    <row r="448" spans="1:25" ht="12" customHeight="1">
      <c r="A448" s="219" t="str" cm="1">
        <f t="array" ref="A448">IFERROR(INDEX('03.Muestra'!$B$8:$B$42,SMALL(IF("Documento no web"='03.Muestra'!$D$8:$D$42,ROW('03.Muestra'!$B$8:$B$42)-MIN(ROW('03.Muestra'!$D$8:$D$42))+1,""),ROW()-436)),"")</f>
        <v/>
      </c>
      <c r="B448" s="114" t="str" cm="1">
        <f t="array" ref="B448">IFERROR(INDEX('03.Muestra'!$C$8:$C$42,SMALL(IF("Documento no web"='03.Muestra'!$D$8:$D$42,ROW('03.Muestra'!$C$8:$C$42)-MIN(ROW('03.Muestra'!$D$8:$D$42))+1,""),ROW()-436)),"")</f>
        <v/>
      </c>
      <c r="C448" s="114" t="str" cm="1">
        <f t="array" ref="C448">IFERROR(INDEX('03.Muestra'!$F$8:$F$42,SMALL(IF("Documento no web"='03.Muestra'!$D$8:$D$42,ROW('03.Muestra'!$F$8:$F$42)-MIN(ROW('03.Muestra'!$D$8:$D$42))+1,""),ROW()-436)),"")</f>
        <v/>
      </c>
      <c r="D448" s="130" t="str">
        <f t="shared" si="23"/>
        <v/>
      </c>
      <c r="E448" s="107" t="str">
        <f t="shared" si="22"/>
        <v/>
      </c>
      <c r="F448" s="19"/>
      <c r="G448" s="19"/>
      <c r="H448" s="19"/>
      <c r="I448" s="19"/>
      <c r="J448" s="19"/>
      <c r="K448" s="233"/>
      <c r="L448" s="19"/>
      <c r="M448" s="19"/>
      <c r="N448" s="19"/>
      <c r="O448" s="19"/>
      <c r="P448" s="19"/>
      <c r="Q448" s="19"/>
      <c r="R448" s="19"/>
      <c r="S448" s="19"/>
      <c r="T448" s="19"/>
      <c r="U448" s="19"/>
      <c r="V448" s="19"/>
      <c r="W448" s="19"/>
      <c r="X448" s="19"/>
      <c r="Y448" s="19"/>
    </row>
    <row r="449" spans="1:25" ht="14.1" customHeight="1">
      <c r="A449" s="219" t="str" cm="1">
        <f t="array" ref="A449">IFERROR(INDEX('03.Muestra'!$B$8:$B$42,SMALL(IF("Documento no web"='03.Muestra'!$D$8:$D$42,ROW('03.Muestra'!$B$8:$B$42)-MIN(ROW('03.Muestra'!$D$8:$D$42))+1,""),ROW()-436)),"")</f>
        <v/>
      </c>
      <c r="B449" s="114" t="str" cm="1">
        <f t="array" ref="B449">IFERROR(INDEX('03.Muestra'!$C$8:$C$42,SMALL(IF("Documento no web"='03.Muestra'!$D$8:$D$42,ROW('03.Muestra'!$C$8:$C$42)-MIN(ROW('03.Muestra'!$D$8:$D$42))+1,""),ROW()-436)),"")</f>
        <v/>
      </c>
      <c r="C449" s="114" t="str" cm="1">
        <f t="array" ref="C449">IFERROR(INDEX('03.Muestra'!$F$8:$F$42,SMALL(IF("Documento no web"='03.Muestra'!$D$8:$D$42,ROW('03.Muestra'!$F$8:$F$42)-MIN(ROW('03.Muestra'!$D$8:$D$42))+1,""),ROW()-436)),"")</f>
        <v/>
      </c>
      <c r="D449" s="130" t="str">
        <f t="shared" si="23"/>
        <v/>
      </c>
      <c r="E449" s="107" t="str">
        <f t="shared" si="22"/>
        <v/>
      </c>
      <c r="F449" s="19"/>
      <c r="G449" s="19"/>
      <c r="H449" s="19"/>
      <c r="I449" s="19"/>
      <c r="J449" s="19"/>
      <c r="K449" s="233"/>
      <c r="L449" s="19"/>
      <c r="M449" s="19"/>
      <c r="N449" s="19"/>
      <c r="O449" s="19"/>
      <c r="P449" s="19"/>
      <c r="Q449" s="19"/>
      <c r="R449" s="19"/>
      <c r="S449" s="19"/>
      <c r="T449" s="19"/>
      <c r="U449" s="19"/>
      <c r="V449" s="19"/>
      <c r="W449" s="19"/>
      <c r="X449" s="19"/>
      <c r="Y449" s="19"/>
    </row>
    <row r="450" spans="1:25" ht="14.1" customHeight="1">
      <c r="A450" s="219" t="str" cm="1">
        <f t="array" ref="A450">IFERROR(INDEX('03.Muestra'!$B$8:$B$42,SMALL(IF("Documento no web"='03.Muestra'!$D$8:$D$42,ROW('03.Muestra'!$B$8:$B$42)-MIN(ROW('03.Muestra'!$D$8:$D$42))+1,""),ROW()-436)),"")</f>
        <v/>
      </c>
      <c r="B450" s="114" t="str" cm="1">
        <f t="array" ref="B450">IFERROR(INDEX('03.Muestra'!$C$8:$C$42,SMALL(IF("Documento no web"='03.Muestra'!$D$8:$D$42,ROW('03.Muestra'!$C$8:$C$42)-MIN(ROW('03.Muestra'!$D$8:$D$42))+1,""),ROW()-436)),"")</f>
        <v/>
      </c>
      <c r="C450" s="114" t="str" cm="1">
        <f t="array" ref="C450">IFERROR(INDEX('03.Muestra'!$F$8:$F$42,SMALL(IF("Documento no web"='03.Muestra'!$D$8:$D$42,ROW('03.Muestra'!$F$8:$F$42)-MIN(ROW('03.Muestra'!$D$8:$D$42))+1,""),ROW()-436)),"")</f>
        <v/>
      </c>
      <c r="D450" s="130" t="str">
        <f t="shared" si="23"/>
        <v/>
      </c>
      <c r="E450" s="107" t="str">
        <f t="shared" si="22"/>
        <v/>
      </c>
      <c r="F450" s="19"/>
      <c r="G450" s="19"/>
      <c r="H450" s="19"/>
      <c r="I450" s="19"/>
      <c r="J450" s="19"/>
      <c r="K450" s="233"/>
      <c r="L450" s="19"/>
      <c r="M450" s="19"/>
      <c r="N450" s="19"/>
      <c r="O450" s="19"/>
      <c r="P450" s="19"/>
      <c r="Q450" s="19"/>
      <c r="R450" s="19"/>
      <c r="S450" s="19"/>
      <c r="T450" s="19"/>
      <c r="U450" s="19"/>
      <c r="V450" s="19"/>
      <c r="W450" s="19"/>
      <c r="X450" s="19"/>
      <c r="Y450" s="19"/>
    </row>
    <row r="451" spans="1:25" ht="14.1" customHeight="1">
      <c r="A451" s="219" t="str" cm="1">
        <f t="array" ref="A451">IFERROR(INDEX('03.Muestra'!$B$8:$B$42,SMALL(IF("Documento no web"='03.Muestra'!$D$8:$D$42,ROW('03.Muestra'!$B$8:$B$42)-MIN(ROW('03.Muestra'!$D$8:$D$42))+1,""),ROW()-436)),"")</f>
        <v/>
      </c>
      <c r="B451" s="114" t="str" cm="1">
        <f t="array" ref="B451">IFERROR(INDEX('03.Muestra'!$C$8:$C$42,SMALL(IF("Documento no web"='03.Muestra'!$D$8:$D$42,ROW('03.Muestra'!$C$8:$C$42)-MIN(ROW('03.Muestra'!$D$8:$D$42))+1,""),ROW()-436)),"")</f>
        <v/>
      </c>
      <c r="C451" s="114" t="str" cm="1">
        <f t="array" ref="C451">IFERROR(INDEX('03.Muestra'!$F$8:$F$42,SMALL(IF("Documento no web"='03.Muestra'!$D$8:$D$42,ROW('03.Muestra'!$F$8:$F$42)-MIN(ROW('03.Muestra'!$D$8:$D$42))+1,""),ROW()-436)),"")</f>
        <v/>
      </c>
      <c r="D451" s="130" t="str">
        <f t="shared" si="23"/>
        <v/>
      </c>
      <c r="E451" s="107" t="str">
        <f t="shared" si="22"/>
        <v/>
      </c>
      <c r="F451" s="19"/>
      <c r="G451" s="19"/>
      <c r="H451" s="19"/>
      <c r="I451" s="19"/>
      <c r="J451" s="19"/>
      <c r="K451" s="233"/>
      <c r="L451" s="19"/>
      <c r="M451" s="19"/>
      <c r="N451" s="19"/>
      <c r="O451" s="19"/>
      <c r="P451" s="19"/>
      <c r="Q451" s="19"/>
      <c r="R451" s="19"/>
      <c r="S451" s="19"/>
      <c r="T451" s="19"/>
      <c r="U451" s="19"/>
      <c r="V451" s="19"/>
      <c r="W451" s="19"/>
      <c r="X451" s="19"/>
      <c r="Y451" s="19"/>
    </row>
    <row r="452" spans="1:25" ht="14.1" customHeight="1">
      <c r="A452" s="219" t="str" cm="1">
        <f t="array" ref="A452">IFERROR(INDEX('03.Muestra'!$B$8:$B$42,SMALL(IF("Documento no web"='03.Muestra'!$D$8:$D$42,ROW('03.Muestra'!$B$8:$B$42)-MIN(ROW('03.Muestra'!$D$8:$D$42))+1,""),ROW()-436)),"")</f>
        <v/>
      </c>
      <c r="B452" s="114" t="str" cm="1">
        <f t="array" ref="B452">IFERROR(INDEX('03.Muestra'!$C$8:$C$42,SMALL(IF("Documento no web"='03.Muestra'!$D$8:$D$42,ROW('03.Muestra'!$C$8:$C$42)-MIN(ROW('03.Muestra'!$D$8:$D$42))+1,""),ROW()-436)),"")</f>
        <v/>
      </c>
      <c r="C452" s="114" t="str" cm="1">
        <f t="array" ref="C452">IFERROR(INDEX('03.Muestra'!$F$8:$F$42,SMALL(IF("Documento no web"='03.Muestra'!$D$8:$D$42,ROW('03.Muestra'!$F$8:$F$42)-MIN(ROW('03.Muestra'!$D$8:$D$42))+1,""),ROW()-436)),"")</f>
        <v/>
      </c>
      <c r="D452" s="130" t="str">
        <f t="shared" si="23"/>
        <v/>
      </c>
      <c r="E452" s="107" t="str">
        <f t="shared" si="22"/>
        <v/>
      </c>
      <c r="F452" s="19"/>
      <c r="G452" s="19"/>
      <c r="H452" s="19"/>
      <c r="I452" s="19"/>
      <c r="J452" s="19"/>
      <c r="K452" s="233"/>
      <c r="L452" s="19"/>
      <c r="M452" s="19"/>
      <c r="N452" s="19"/>
      <c r="O452" s="19"/>
      <c r="P452" s="19"/>
      <c r="Q452" s="19"/>
      <c r="R452" s="19"/>
      <c r="S452" s="19"/>
      <c r="T452" s="19"/>
      <c r="U452" s="19"/>
      <c r="V452" s="19"/>
      <c r="W452" s="19"/>
      <c r="X452" s="19"/>
      <c r="Y452" s="19"/>
    </row>
    <row r="453" spans="1:25" ht="14.1" customHeight="1">
      <c r="A453" s="219" t="str" cm="1">
        <f t="array" ref="A453">IFERROR(INDEX('03.Muestra'!$B$8:$B$42,SMALL(IF("Documento no web"='03.Muestra'!$D$8:$D$42,ROW('03.Muestra'!$B$8:$B$42)-MIN(ROW('03.Muestra'!$D$8:$D$42))+1,""),ROW()-436)),"")</f>
        <v/>
      </c>
      <c r="B453" s="114" t="str" cm="1">
        <f t="array" ref="B453">IFERROR(INDEX('03.Muestra'!$C$8:$C$42,SMALL(IF("Documento no web"='03.Muestra'!$D$8:$D$42,ROW('03.Muestra'!$C$8:$C$42)-MIN(ROW('03.Muestra'!$D$8:$D$42))+1,""),ROW()-436)),"")</f>
        <v/>
      </c>
      <c r="C453" s="114" t="str" cm="1">
        <f t="array" ref="C453">IFERROR(INDEX('03.Muestra'!$F$8:$F$42,SMALL(IF("Documento no web"='03.Muestra'!$D$8:$D$42,ROW('03.Muestra'!$F$8:$F$42)-MIN(ROW('03.Muestra'!$D$8:$D$42))+1,""),ROW()-436)),"")</f>
        <v/>
      </c>
      <c r="D453" s="130" t="str">
        <f t="shared" si="23"/>
        <v/>
      </c>
      <c r="E453" s="107" t="str">
        <f t="shared" si="22"/>
        <v/>
      </c>
      <c r="F453" s="19"/>
      <c r="G453" s="19"/>
      <c r="H453" s="19"/>
      <c r="I453" s="19"/>
      <c r="J453" s="19"/>
      <c r="K453" s="233"/>
      <c r="L453" s="19"/>
      <c r="M453" s="19"/>
      <c r="N453" s="19"/>
      <c r="O453" s="19"/>
      <c r="P453" s="19"/>
      <c r="Q453" s="19"/>
      <c r="R453" s="19"/>
      <c r="S453" s="19"/>
      <c r="T453" s="19"/>
      <c r="U453" s="19"/>
      <c r="V453" s="19"/>
      <c r="W453" s="19"/>
      <c r="X453" s="19"/>
      <c r="Y453" s="19"/>
    </row>
    <row r="454" spans="1:25" ht="14.1" customHeight="1">
      <c r="A454" s="219" t="str" cm="1">
        <f t="array" ref="A454">IFERROR(INDEX('03.Muestra'!$B$8:$B$42,SMALL(IF("Documento no web"='03.Muestra'!$D$8:$D$42,ROW('03.Muestra'!$B$8:$B$42)-MIN(ROW('03.Muestra'!$D$8:$D$42))+1,""),ROW()-436)),"")</f>
        <v/>
      </c>
      <c r="B454" s="114" t="str" cm="1">
        <f t="array" ref="B454">IFERROR(INDEX('03.Muestra'!$C$8:$C$42,SMALL(IF("Documento no web"='03.Muestra'!$D$8:$D$42,ROW('03.Muestra'!$C$8:$C$42)-MIN(ROW('03.Muestra'!$D$8:$D$42))+1,""),ROW()-436)),"")</f>
        <v/>
      </c>
      <c r="C454" s="114" t="str" cm="1">
        <f t="array" ref="C454">IFERROR(INDEX('03.Muestra'!$F$8:$F$42,SMALL(IF("Documento no web"='03.Muestra'!$D$8:$D$42,ROW('03.Muestra'!$F$8:$F$42)-MIN(ROW('03.Muestra'!$D$8:$D$42))+1,""),ROW()-436)),"")</f>
        <v/>
      </c>
      <c r="D454" s="130" t="str">
        <f t="shared" si="23"/>
        <v/>
      </c>
      <c r="E454" s="107" t="str">
        <f t="shared" si="22"/>
        <v/>
      </c>
      <c r="F454" s="19"/>
      <c r="G454" s="19"/>
      <c r="H454" s="19"/>
      <c r="I454" s="19"/>
      <c r="J454" s="19"/>
      <c r="K454" s="233"/>
      <c r="L454" s="19"/>
      <c r="M454" s="19"/>
      <c r="N454" s="19"/>
      <c r="O454" s="19"/>
      <c r="P454" s="19"/>
      <c r="Q454" s="19"/>
      <c r="R454" s="19"/>
      <c r="S454" s="19"/>
      <c r="T454" s="19"/>
      <c r="U454" s="19"/>
      <c r="V454" s="19"/>
      <c r="W454" s="19"/>
      <c r="X454" s="19"/>
      <c r="Y454" s="19"/>
    </row>
    <row r="455" spans="1:25" ht="14.1" customHeight="1">
      <c r="A455" s="219" t="str" cm="1">
        <f t="array" ref="A455">IFERROR(INDEX('03.Muestra'!$B$8:$B$42,SMALL(IF("Documento no web"='03.Muestra'!$D$8:$D$42,ROW('03.Muestra'!$B$8:$B$42)-MIN(ROW('03.Muestra'!$D$8:$D$42))+1,""),ROW()-436)),"")</f>
        <v/>
      </c>
      <c r="B455" s="114" t="str" cm="1">
        <f t="array" ref="B455">IFERROR(INDEX('03.Muestra'!$C$8:$C$42,SMALL(IF("Documento no web"='03.Muestra'!$D$8:$D$42,ROW('03.Muestra'!$C$8:$C$42)-MIN(ROW('03.Muestra'!$D$8:$D$42))+1,""),ROW()-436)),"")</f>
        <v/>
      </c>
      <c r="C455" s="114" t="str" cm="1">
        <f t="array" ref="C455">IFERROR(INDEX('03.Muestra'!$F$8:$F$42,SMALL(IF("Documento no web"='03.Muestra'!$D$8:$D$42,ROW('03.Muestra'!$F$8:$F$42)-MIN(ROW('03.Muestra'!$D$8:$D$42))+1,""),ROW()-436)),"")</f>
        <v/>
      </c>
      <c r="D455" s="130" t="str">
        <f t="shared" si="23"/>
        <v/>
      </c>
      <c r="E455" s="107" t="str">
        <f t="shared" si="22"/>
        <v/>
      </c>
      <c r="F455" s="19"/>
      <c r="G455" s="19"/>
      <c r="H455" s="19"/>
      <c r="I455" s="19"/>
      <c r="J455" s="19"/>
      <c r="K455" s="233"/>
      <c r="L455" s="19"/>
      <c r="M455" s="19"/>
      <c r="N455" s="19"/>
      <c r="O455" s="19"/>
      <c r="P455" s="19"/>
      <c r="Q455" s="19"/>
      <c r="R455" s="19"/>
      <c r="S455" s="19"/>
      <c r="T455" s="19"/>
      <c r="U455" s="19"/>
      <c r="V455" s="19"/>
      <c r="W455" s="19"/>
      <c r="X455" s="19"/>
      <c r="Y455" s="19"/>
    </row>
    <row r="456" spans="1:25" ht="14.1" customHeight="1">
      <c r="A456" s="219" t="str" cm="1">
        <f t="array" ref="A456">IFERROR(INDEX('03.Muestra'!$B$8:$B$42,SMALL(IF("Documento no web"='03.Muestra'!$D$8:$D$42,ROW('03.Muestra'!$B$8:$B$42)-MIN(ROW('03.Muestra'!$D$8:$D$42))+1,""),ROW()-436)),"")</f>
        <v/>
      </c>
      <c r="B456" s="114" t="str" cm="1">
        <f t="array" ref="B456">IFERROR(INDEX('03.Muestra'!$C$8:$C$42,SMALL(IF("Documento no web"='03.Muestra'!$D$8:$D$42,ROW('03.Muestra'!$C$8:$C$42)-MIN(ROW('03.Muestra'!$D$8:$D$42))+1,""),ROW()-436)),"")</f>
        <v/>
      </c>
      <c r="C456" s="114" t="str" cm="1">
        <f t="array" ref="C456">IFERROR(INDEX('03.Muestra'!$F$8:$F$42,SMALL(IF("Documento no web"='03.Muestra'!$D$8:$D$42,ROW('03.Muestra'!$F$8:$F$42)-MIN(ROW('03.Muestra'!$D$8:$D$42))+1,""),ROW()-436)),"")</f>
        <v/>
      </c>
      <c r="D456" s="130" t="str">
        <f t="shared" si="23"/>
        <v/>
      </c>
      <c r="E456" s="107" t="str">
        <f t="shared" si="22"/>
        <v/>
      </c>
      <c r="F456" s="19"/>
      <c r="G456" s="19"/>
      <c r="H456" s="19"/>
      <c r="I456" s="19"/>
      <c r="J456" s="19"/>
      <c r="K456" s="233"/>
      <c r="L456" s="19"/>
      <c r="M456" s="19"/>
      <c r="N456" s="19"/>
      <c r="O456" s="19"/>
      <c r="P456" s="19"/>
      <c r="Q456" s="19"/>
      <c r="R456" s="19"/>
      <c r="S456" s="19"/>
      <c r="T456" s="19"/>
      <c r="U456" s="19"/>
      <c r="V456" s="19"/>
      <c r="W456" s="19"/>
      <c r="X456" s="19"/>
      <c r="Y456" s="19"/>
    </row>
    <row r="457" spans="1:25" ht="14.1" customHeight="1">
      <c r="A457" s="219" t="str" cm="1">
        <f t="array" ref="A457">IFERROR(INDEX('03.Muestra'!$B$8:$B$42,SMALL(IF("Documento no web"='03.Muestra'!$D$8:$D$42,ROW('03.Muestra'!$B$8:$B$42)-MIN(ROW('03.Muestra'!$D$8:$D$42))+1,""),ROW()-436)),"")</f>
        <v/>
      </c>
      <c r="B457" s="114" t="str" cm="1">
        <f t="array" ref="B457">IFERROR(INDEX('03.Muestra'!$C$8:$C$42,SMALL(IF("Documento no web"='03.Muestra'!$D$8:$D$42,ROW('03.Muestra'!$C$8:$C$42)-MIN(ROW('03.Muestra'!$D$8:$D$42))+1,""),ROW()-436)),"")</f>
        <v/>
      </c>
      <c r="C457" s="114" t="str" cm="1">
        <f t="array" ref="C457">IFERROR(INDEX('03.Muestra'!$F$8:$F$42,SMALL(IF("Documento no web"='03.Muestra'!$D$8:$D$42,ROW('03.Muestra'!$F$8:$F$42)-MIN(ROW('03.Muestra'!$D$8:$D$42))+1,""),ROW()-436)),"")</f>
        <v/>
      </c>
      <c r="D457" s="130" t="str">
        <f t="shared" si="23"/>
        <v/>
      </c>
      <c r="E457" s="107" t="str">
        <f t="shared" si="22"/>
        <v/>
      </c>
      <c r="F457" s="19"/>
      <c r="G457" s="19"/>
      <c r="H457" s="19"/>
      <c r="I457" s="19"/>
      <c r="J457" s="19"/>
      <c r="K457" s="233"/>
      <c r="L457" s="19"/>
      <c r="M457" s="19"/>
      <c r="N457" s="19"/>
      <c r="O457" s="19"/>
      <c r="P457" s="19"/>
      <c r="Q457" s="19"/>
      <c r="R457" s="19"/>
      <c r="S457" s="19"/>
      <c r="T457" s="19"/>
      <c r="U457" s="19"/>
      <c r="V457" s="19"/>
      <c r="W457" s="19"/>
      <c r="X457" s="19"/>
      <c r="Y457" s="19"/>
    </row>
    <row r="458" spans="1:25" ht="14.1" customHeight="1">
      <c r="A458" s="219" t="str" cm="1">
        <f t="array" ref="A458">IFERROR(INDEX('03.Muestra'!$B$8:$B$42,SMALL(IF("Documento no web"='03.Muestra'!$D$8:$D$42,ROW('03.Muestra'!$B$8:$B$42)-MIN(ROW('03.Muestra'!$D$8:$D$42))+1,""),ROW()-436)),"")</f>
        <v/>
      </c>
      <c r="B458" s="114" t="str" cm="1">
        <f t="array" ref="B458">IFERROR(INDEX('03.Muestra'!$C$8:$C$42,SMALL(IF("Documento no web"='03.Muestra'!$D$8:$D$42,ROW('03.Muestra'!$C$8:$C$42)-MIN(ROW('03.Muestra'!$D$8:$D$42))+1,""),ROW()-436)),"")</f>
        <v/>
      </c>
      <c r="C458" s="114" t="str" cm="1">
        <f t="array" ref="C458">IFERROR(INDEX('03.Muestra'!$F$8:$F$42,SMALL(IF("Documento no web"='03.Muestra'!$D$8:$D$42,ROW('03.Muestra'!$F$8:$F$42)-MIN(ROW('03.Muestra'!$D$8:$D$42))+1,""),ROW()-436)),"")</f>
        <v/>
      </c>
      <c r="D458" s="130" t="str">
        <f t="shared" si="23"/>
        <v/>
      </c>
      <c r="E458" s="107" t="str">
        <f t="shared" si="22"/>
        <v/>
      </c>
      <c r="F458" s="19"/>
      <c r="G458" s="19"/>
      <c r="H458" s="19"/>
      <c r="I458" s="19"/>
      <c r="J458" s="19"/>
      <c r="K458" s="233"/>
      <c r="L458" s="19"/>
      <c r="M458" s="19"/>
      <c r="N458" s="19"/>
      <c r="O458" s="19"/>
      <c r="P458" s="19"/>
      <c r="Q458" s="19"/>
      <c r="R458" s="19"/>
      <c r="S458" s="19"/>
      <c r="T458" s="19"/>
      <c r="U458" s="19"/>
      <c r="V458" s="19"/>
      <c r="W458" s="19"/>
      <c r="X458" s="19"/>
      <c r="Y458" s="19"/>
    </row>
    <row r="459" spans="1:25" ht="14.1" customHeight="1">
      <c r="A459" s="219" t="str" cm="1">
        <f t="array" ref="A459">IFERROR(INDEX('03.Muestra'!$B$8:$B$42,SMALL(IF("Documento no web"='03.Muestra'!$D$8:$D$42,ROW('03.Muestra'!$B$8:$B$42)-MIN(ROW('03.Muestra'!$D$8:$D$42))+1,""),ROW()-436)),"")</f>
        <v/>
      </c>
      <c r="B459" s="114" t="str" cm="1">
        <f t="array" ref="B459">IFERROR(INDEX('03.Muestra'!$C$8:$C$42,SMALL(IF("Documento no web"='03.Muestra'!$D$8:$D$42,ROW('03.Muestra'!$C$8:$C$42)-MIN(ROW('03.Muestra'!$D$8:$D$42))+1,""),ROW()-436)),"")</f>
        <v/>
      </c>
      <c r="C459" s="114" t="str" cm="1">
        <f t="array" ref="C459">IFERROR(INDEX('03.Muestra'!$F$8:$F$42,SMALL(IF("Documento no web"='03.Muestra'!$D$8:$D$42,ROW('03.Muestra'!$F$8:$F$42)-MIN(ROW('03.Muestra'!$D$8:$D$42))+1,""),ROW()-436)),"")</f>
        <v/>
      </c>
      <c r="D459" s="130" t="str">
        <f t="shared" si="23"/>
        <v/>
      </c>
      <c r="E459" s="107" t="str">
        <f t="shared" si="22"/>
        <v/>
      </c>
      <c r="F459" s="19"/>
      <c r="G459" s="19"/>
      <c r="H459" s="19"/>
      <c r="I459" s="19"/>
      <c r="J459" s="19"/>
      <c r="K459" s="233"/>
      <c r="L459" s="19"/>
      <c r="M459" s="19"/>
      <c r="N459" s="19"/>
      <c r="O459" s="19"/>
      <c r="P459" s="19"/>
      <c r="Q459" s="19"/>
      <c r="R459" s="19"/>
      <c r="S459" s="19"/>
      <c r="T459" s="19"/>
      <c r="U459" s="19"/>
      <c r="V459" s="19"/>
      <c r="W459" s="19"/>
      <c r="X459" s="19"/>
      <c r="Y459" s="19"/>
    </row>
    <row r="460" spans="1:25" ht="12" customHeight="1">
      <c r="A460" s="219" t="str" cm="1">
        <f t="array" ref="A460">IFERROR(INDEX('03.Muestra'!$B$8:$B$42,SMALL(IF("Documento no web"='03.Muestra'!$D$8:$D$42,ROW('03.Muestra'!$B$8:$B$42)-MIN(ROW('03.Muestra'!$D$8:$D$42))+1,""),ROW()-436)),"")</f>
        <v/>
      </c>
      <c r="B460" s="114" t="str" cm="1">
        <f t="array" ref="B460">IFERROR(INDEX('03.Muestra'!$C$8:$C$42,SMALL(IF("Documento no web"='03.Muestra'!$D$8:$D$42,ROW('03.Muestra'!$C$8:$C$42)-MIN(ROW('03.Muestra'!$D$8:$D$42))+1,""),ROW()-436)),"")</f>
        <v/>
      </c>
      <c r="C460" s="114" t="str" cm="1">
        <f t="array" ref="C460">IFERROR(INDEX('03.Muestra'!$F$8:$F$42,SMALL(IF("Documento no web"='03.Muestra'!$D$8:$D$42,ROW('03.Muestra'!$F$8:$F$42)-MIN(ROW('03.Muestra'!$D$8:$D$42))+1,""),ROW()-436)),"")</f>
        <v/>
      </c>
      <c r="D460" s="130" t="str">
        <f t="shared" si="23"/>
        <v/>
      </c>
      <c r="E460" s="107" t="str">
        <f t="shared" si="22"/>
        <v/>
      </c>
      <c r="F460" s="19"/>
      <c r="G460" s="19"/>
      <c r="H460" s="19"/>
      <c r="I460" s="19"/>
      <c r="J460" s="19"/>
      <c r="K460" s="233"/>
      <c r="L460" s="19"/>
      <c r="M460" s="19"/>
      <c r="N460" s="19"/>
      <c r="O460" s="19"/>
      <c r="P460" s="19"/>
      <c r="Q460" s="19"/>
      <c r="R460" s="19"/>
      <c r="S460" s="19"/>
      <c r="T460" s="19"/>
      <c r="U460" s="19"/>
      <c r="V460" s="19"/>
      <c r="W460" s="19"/>
      <c r="X460" s="19"/>
      <c r="Y460" s="19"/>
    </row>
    <row r="461" spans="1:25" ht="12" customHeight="1">
      <c r="A461" s="219" t="str" cm="1">
        <f t="array" ref="A461">IFERROR(INDEX('03.Muestra'!$B$8:$B$42,SMALL(IF("Documento no web"='03.Muestra'!$D$8:$D$42,ROW('03.Muestra'!$B$8:$B$42)-MIN(ROW('03.Muestra'!$D$8:$D$42))+1,""),ROW()-436)),"")</f>
        <v/>
      </c>
      <c r="B461" s="114" t="str" cm="1">
        <f t="array" ref="B461">IFERROR(INDEX('03.Muestra'!$C$8:$C$42,SMALL(IF("Documento no web"='03.Muestra'!$D$8:$D$42,ROW('03.Muestra'!$C$8:$C$42)-MIN(ROW('03.Muestra'!$D$8:$D$42))+1,""),ROW()-436)),"")</f>
        <v/>
      </c>
      <c r="C461" s="114" t="str" cm="1">
        <f t="array" ref="C461">IFERROR(INDEX('03.Muestra'!$F$8:$F$42,SMALL(IF("Documento no web"='03.Muestra'!$D$8:$D$42,ROW('03.Muestra'!$F$8:$F$42)-MIN(ROW('03.Muestra'!$D$8:$D$42))+1,""),ROW()-436)),"")</f>
        <v/>
      </c>
      <c r="D461" s="130" t="str">
        <f t="shared" si="23"/>
        <v/>
      </c>
      <c r="E461" s="107" t="str">
        <f t="shared" si="22"/>
        <v/>
      </c>
      <c r="F461" s="19"/>
      <c r="G461" s="19"/>
      <c r="H461" s="19"/>
      <c r="I461" s="19"/>
      <c r="J461" s="19"/>
      <c r="K461" s="233"/>
      <c r="L461" s="19"/>
      <c r="M461" s="19"/>
      <c r="N461" s="19"/>
      <c r="O461" s="19"/>
      <c r="P461" s="19"/>
      <c r="Q461" s="19"/>
      <c r="R461" s="19"/>
      <c r="S461" s="19"/>
      <c r="T461" s="19"/>
      <c r="U461" s="19"/>
      <c r="V461" s="19"/>
      <c r="W461" s="19"/>
      <c r="X461" s="19"/>
      <c r="Y461" s="19"/>
    </row>
    <row r="462" spans="1:25" ht="12" customHeight="1">
      <c r="A462" s="219" t="str" cm="1">
        <f t="array" ref="A462">IFERROR(INDEX('03.Muestra'!$B$8:$B$42,SMALL(IF("Documento no web"='03.Muestra'!$D$8:$D$42,ROW('03.Muestra'!$B$8:$B$42)-MIN(ROW('03.Muestra'!$D$8:$D$42))+1,""),ROW()-436)),"")</f>
        <v/>
      </c>
      <c r="B462" s="114" t="str" cm="1">
        <f t="array" ref="B462">IFERROR(INDEX('03.Muestra'!$C$8:$C$42,SMALL(IF("Documento no web"='03.Muestra'!$D$8:$D$42,ROW('03.Muestra'!$C$8:$C$42)-MIN(ROW('03.Muestra'!$D$8:$D$42))+1,""),ROW()-436)),"")</f>
        <v/>
      </c>
      <c r="C462" s="114" t="str" cm="1">
        <f t="array" ref="C462">IFERROR(INDEX('03.Muestra'!$F$8:$F$42,SMALL(IF("Documento no web"='03.Muestra'!$D$8:$D$42,ROW('03.Muestra'!$F$8:$F$42)-MIN(ROW('03.Muestra'!$D$8:$D$42))+1,""),ROW()-436)),"")</f>
        <v/>
      </c>
      <c r="D462" s="130" t="str">
        <f t="shared" si="23"/>
        <v/>
      </c>
      <c r="E462" s="107" t="str">
        <f t="shared" si="22"/>
        <v/>
      </c>
      <c r="F462" s="19"/>
      <c r="G462" s="19"/>
      <c r="H462" s="19"/>
      <c r="I462" s="19"/>
      <c r="J462" s="19"/>
      <c r="K462" s="233"/>
      <c r="L462" s="19"/>
      <c r="M462" s="19"/>
      <c r="N462" s="19"/>
      <c r="O462" s="19"/>
      <c r="P462" s="19"/>
      <c r="Q462" s="19"/>
      <c r="R462" s="19"/>
      <c r="S462" s="19"/>
      <c r="T462" s="19"/>
      <c r="U462" s="19"/>
      <c r="V462" s="19"/>
      <c r="W462" s="19"/>
      <c r="X462" s="19"/>
      <c r="Y462" s="19"/>
    </row>
    <row r="463" spans="1:25" ht="12" customHeight="1">
      <c r="A463" s="219" t="str" cm="1">
        <f t="array" ref="A463">IFERROR(INDEX('03.Muestra'!$B$8:$B$42,SMALL(IF("Documento no web"='03.Muestra'!$D$8:$D$42,ROW('03.Muestra'!$B$8:$B$42)-MIN(ROW('03.Muestra'!$D$8:$D$42))+1,""),ROW()-436)),"")</f>
        <v/>
      </c>
      <c r="B463" s="114" t="str" cm="1">
        <f t="array" ref="B463">IFERROR(INDEX('03.Muestra'!$C$8:$C$42,SMALL(IF("Documento no web"='03.Muestra'!$D$8:$D$42,ROW('03.Muestra'!$C$8:$C$42)-MIN(ROW('03.Muestra'!$D$8:$D$42))+1,""),ROW()-436)),"")</f>
        <v/>
      </c>
      <c r="C463" s="114" t="str" cm="1">
        <f t="array" ref="C463">IFERROR(INDEX('03.Muestra'!$F$8:$F$42,SMALL(IF("Documento no web"='03.Muestra'!$D$8:$D$42,ROW('03.Muestra'!$F$8:$F$42)-MIN(ROW('03.Muestra'!$D$8:$D$42))+1,""),ROW()-436)),"")</f>
        <v/>
      </c>
      <c r="D463" s="130" t="str">
        <f t="shared" si="23"/>
        <v/>
      </c>
      <c r="E463" s="107" t="str">
        <f t="shared" si="22"/>
        <v/>
      </c>
      <c r="F463" s="19"/>
      <c r="G463" s="19"/>
      <c r="H463" s="19"/>
      <c r="I463" s="19"/>
      <c r="J463" s="19"/>
      <c r="K463" s="233"/>
      <c r="L463" s="19"/>
      <c r="M463" s="19"/>
      <c r="N463" s="19"/>
      <c r="O463" s="19"/>
      <c r="P463" s="19"/>
      <c r="Q463" s="19"/>
      <c r="R463" s="19"/>
      <c r="S463" s="19"/>
      <c r="T463" s="19"/>
      <c r="U463" s="19"/>
      <c r="V463" s="19"/>
      <c r="W463" s="19"/>
      <c r="X463" s="19"/>
      <c r="Y463" s="19"/>
    </row>
    <row r="464" spans="1:25" ht="12" customHeight="1">
      <c r="A464" s="219" t="str" cm="1">
        <f t="array" ref="A464">IFERROR(INDEX('03.Muestra'!$B$8:$B$42,SMALL(IF("Documento no web"='03.Muestra'!$D$8:$D$42,ROW('03.Muestra'!$B$8:$B$42)-MIN(ROW('03.Muestra'!$D$8:$D$42))+1,""),ROW()-436)),"")</f>
        <v/>
      </c>
      <c r="B464" s="114" t="str" cm="1">
        <f t="array" ref="B464">IFERROR(INDEX('03.Muestra'!$C$8:$C$42,SMALL(IF("Documento no web"='03.Muestra'!$D$8:$D$42,ROW('03.Muestra'!$C$8:$C$42)-MIN(ROW('03.Muestra'!$D$8:$D$42))+1,""),ROW()-436)),"")</f>
        <v/>
      </c>
      <c r="C464" s="114" t="str" cm="1">
        <f t="array" ref="C464">IFERROR(INDEX('03.Muestra'!$F$8:$F$42,SMALL(IF("Documento no web"='03.Muestra'!$D$8:$D$42,ROW('03.Muestra'!$F$8:$F$42)-MIN(ROW('03.Muestra'!$D$8:$D$42))+1,""),ROW()-436)),"")</f>
        <v/>
      </c>
      <c r="D464" s="130" t="str">
        <f t="shared" si="23"/>
        <v/>
      </c>
      <c r="E464" s="107" t="str">
        <f t="shared" si="22"/>
        <v/>
      </c>
      <c r="G464" s="19"/>
      <c r="H464" s="19"/>
      <c r="I464" s="19"/>
      <c r="J464" s="19"/>
      <c r="K464" s="233"/>
      <c r="L464" s="19"/>
      <c r="M464" s="19"/>
      <c r="N464" s="19"/>
      <c r="O464" s="19"/>
      <c r="P464" s="19"/>
      <c r="Q464" s="19"/>
      <c r="R464" s="19"/>
      <c r="S464" s="19"/>
      <c r="T464" s="19"/>
      <c r="U464" s="19"/>
      <c r="V464" s="19"/>
      <c r="W464" s="19"/>
      <c r="X464" s="19"/>
      <c r="Y464" s="19"/>
    </row>
    <row r="465" spans="1:25" ht="12" customHeight="1">
      <c r="A465" s="219" t="str" cm="1">
        <f t="array" ref="A465">IFERROR(INDEX('03.Muestra'!$B$8:$B$42,SMALL(IF("Documento no web"='03.Muestra'!$D$8:$D$42,ROW('03.Muestra'!$B$8:$B$42)-MIN(ROW('03.Muestra'!$D$8:$D$42))+1,""),ROW()-436)),"")</f>
        <v/>
      </c>
      <c r="B465" s="114" t="str" cm="1">
        <f t="array" ref="B465">IFERROR(INDEX('03.Muestra'!$C$8:$C$42,SMALL(IF("Documento no web"='03.Muestra'!$D$8:$D$42,ROW('03.Muestra'!$C$8:$C$42)-MIN(ROW('03.Muestra'!$D$8:$D$42))+1,""),ROW()-436)),"")</f>
        <v/>
      </c>
      <c r="C465" s="114" t="str" cm="1">
        <f t="array" ref="C465">IFERROR(INDEX('03.Muestra'!$F$8:$F$42,SMALL(IF("Documento no web"='03.Muestra'!$D$8:$D$42,ROW('03.Muestra'!$F$8:$F$42)-MIN(ROW('03.Muestra'!$D$8:$D$42))+1,""),ROW()-436)),"")</f>
        <v/>
      </c>
      <c r="D465" s="130" t="str">
        <f t="shared" si="23"/>
        <v/>
      </c>
      <c r="E465" s="107" t="str">
        <f t="shared" si="22"/>
        <v/>
      </c>
      <c r="F465" s="124"/>
      <c r="G465" s="19"/>
      <c r="H465" s="19"/>
      <c r="I465" s="19"/>
      <c r="J465" s="19"/>
      <c r="K465" s="233"/>
      <c r="L465" s="19"/>
      <c r="M465" s="19"/>
      <c r="N465" s="19"/>
      <c r="O465" s="19"/>
      <c r="P465" s="19"/>
      <c r="Q465" s="19"/>
      <c r="R465" s="19"/>
      <c r="S465" s="19"/>
      <c r="T465" s="19"/>
      <c r="U465" s="19"/>
      <c r="V465" s="19"/>
      <c r="W465" s="19"/>
      <c r="X465" s="19"/>
      <c r="Y465" s="19"/>
    </row>
    <row r="466" spans="1:25" ht="12" customHeight="1">
      <c r="A466" s="219" t="str" cm="1">
        <f t="array" ref="A466">IFERROR(INDEX('03.Muestra'!$B$8:$B$42,SMALL(IF("Documento no web"='03.Muestra'!$D$8:$D$42,ROW('03.Muestra'!$B$8:$B$42)-MIN(ROW('03.Muestra'!$D$8:$D$42))+1,""),ROW()-436)),"")</f>
        <v/>
      </c>
      <c r="B466" s="114" t="str" cm="1">
        <f t="array" ref="B466">IFERROR(INDEX('03.Muestra'!$C$8:$C$42,SMALL(IF("Documento no web"='03.Muestra'!$D$8:$D$42,ROW('03.Muestra'!$C$8:$C$42)-MIN(ROW('03.Muestra'!$D$8:$D$42))+1,""),ROW()-436)),"")</f>
        <v/>
      </c>
      <c r="C466" s="114" t="str" cm="1">
        <f t="array" ref="C466">IFERROR(INDEX('03.Muestra'!$F$8:$F$42,SMALL(IF("Documento no web"='03.Muestra'!$D$8:$D$42,ROW('03.Muestra'!$F$8:$F$42)-MIN(ROW('03.Muestra'!$D$8:$D$42))+1,""),ROW()-436)),"")</f>
        <v/>
      </c>
      <c r="D466" s="130" t="str">
        <f t="shared" si="23"/>
        <v/>
      </c>
      <c r="E466" s="107" t="str">
        <f t="shared" si="22"/>
        <v/>
      </c>
      <c r="F466" s="124"/>
      <c r="G466" s="19"/>
      <c r="H466" s="19"/>
      <c r="I466" s="19"/>
      <c r="J466" s="19"/>
      <c r="K466" s="233"/>
      <c r="L466" s="19"/>
      <c r="M466" s="19"/>
      <c r="N466" s="19"/>
      <c r="O466" s="19"/>
      <c r="P466" s="19"/>
      <c r="Q466" s="19"/>
      <c r="R466" s="19"/>
      <c r="S466" s="19"/>
      <c r="T466" s="19"/>
      <c r="U466" s="19"/>
      <c r="V466" s="19"/>
      <c r="W466" s="19"/>
      <c r="X466" s="19"/>
      <c r="Y466" s="19"/>
    </row>
    <row r="467" spans="1:25" ht="12" customHeight="1">
      <c r="A467" s="219" t="str" cm="1">
        <f t="array" ref="A467">IFERROR(INDEX('03.Muestra'!$B$8:$B$42,SMALL(IF("Documento no web"='03.Muestra'!$D$8:$D$42,ROW('03.Muestra'!$B$8:$B$42)-MIN(ROW('03.Muestra'!$D$8:$D$42))+1,""),ROW()-436)),"")</f>
        <v/>
      </c>
      <c r="B467" s="114" t="str" cm="1">
        <f t="array" ref="B467">IFERROR(INDEX('03.Muestra'!$C$8:$C$42,SMALL(IF("Documento no web"='03.Muestra'!$D$8:$D$42,ROW('03.Muestra'!$C$8:$C$42)-MIN(ROW('03.Muestra'!$D$8:$D$42))+1,""),ROW()-436)),"")</f>
        <v/>
      </c>
      <c r="C467" s="114" t="str" cm="1">
        <f t="array" ref="C467">IFERROR(INDEX('03.Muestra'!$F$8:$F$42,SMALL(IF("Documento no web"='03.Muestra'!$D$8:$D$42,ROW('03.Muestra'!$F$8:$F$42)-MIN(ROW('03.Muestra'!$D$8:$D$42))+1,""),ROW()-436)),"")</f>
        <v/>
      </c>
      <c r="D467" s="130" t="str">
        <f t="shared" si="23"/>
        <v/>
      </c>
      <c r="E467" s="107" t="str">
        <f t="shared" si="22"/>
        <v/>
      </c>
      <c r="F467" s="124"/>
      <c r="G467" s="19"/>
      <c r="H467" s="19"/>
      <c r="I467" s="19"/>
      <c r="J467" s="19"/>
      <c r="K467" s="233"/>
      <c r="L467" s="19"/>
      <c r="M467" s="19"/>
      <c r="N467" s="19"/>
      <c r="O467" s="19"/>
      <c r="P467" s="19"/>
      <c r="Q467" s="19"/>
      <c r="R467" s="19"/>
      <c r="S467" s="19"/>
      <c r="T467" s="19"/>
      <c r="U467" s="19"/>
      <c r="V467" s="19"/>
      <c r="W467" s="19"/>
      <c r="X467" s="19"/>
      <c r="Y467" s="19"/>
    </row>
    <row r="468" spans="1:25" ht="12" customHeight="1">
      <c r="A468" s="219" t="str" cm="1">
        <f t="array" ref="A468">IFERROR(INDEX('03.Muestra'!$B$8:$B$42,SMALL(IF("Documento no web"='03.Muestra'!$D$8:$D$42,ROW('03.Muestra'!$B$8:$B$42)-MIN(ROW('03.Muestra'!$D$8:$D$42))+1,""),ROW()-436)),"")</f>
        <v/>
      </c>
      <c r="B468" s="114" t="str" cm="1">
        <f t="array" ref="B468">IFERROR(INDEX('03.Muestra'!$C$8:$C$42,SMALL(IF("Documento no web"='03.Muestra'!$D$8:$D$42,ROW('03.Muestra'!$C$8:$C$42)-MIN(ROW('03.Muestra'!$D$8:$D$42))+1,""),ROW()-436)),"")</f>
        <v/>
      </c>
      <c r="C468" s="114" t="str" cm="1">
        <f t="array" ref="C468">IFERROR(INDEX('03.Muestra'!$F$8:$F$42,SMALL(IF("Documento no web"='03.Muestra'!$D$8:$D$42,ROW('03.Muestra'!$F$8:$F$42)-MIN(ROW('03.Muestra'!$D$8:$D$42))+1,""),ROW()-436)),"")</f>
        <v/>
      </c>
      <c r="D468" s="130" t="str">
        <f t="shared" si="23"/>
        <v/>
      </c>
      <c r="E468" s="107" t="str">
        <f t="shared" si="22"/>
        <v/>
      </c>
      <c r="F468" s="124"/>
      <c r="G468" s="19"/>
      <c r="H468" s="19"/>
      <c r="I468" s="19"/>
      <c r="J468" s="19"/>
      <c r="K468" s="233"/>
      <c r="L468" s="19"/>
      <c r="M468" s="19"/>
      <c r="N468" s="19"/>
      <c r="O468" s="19"/>
      <c r="P468" s="19"/>
      <c r="Q468" s="19"/>
      <c r="R468" s="19"/>
      <c r="S468" s="19"/>
      <c r="T468" s="19"/>
      <c r="U468" s="19"/>
      <c r="V468" s="19"/>
      <c r="W468" s="19"/>
      <c r="X468" s="19"/>
      <c r="Y468" s="19"/>
    </row>
    <row r="469" spans="1:25" ht="12" customHeight="1">
      <c r="A469" s="219" t="str" cm="1">
        <f t="array" ref="A469">IFERROR(INDEX('03.Muestra'!$B$8:$B$42,SMALL(IF("Documento no web"='03.Muestra'!$D$8:$D$42,ROW('03.Muestra'!$B$8:$B$42)-MIN(ROW('03.Muestra'!$D$8:$D$42))+1,""),ROW()-436)),"")</f>
        <v/>
      </c>
      <c r="B469" s="114" t="str" cm="1">
        <f t="array" ref="B469">IFERROR(INDEX('03.Muestra'!$C$8:$C$42,SMALL(IF("Documento no web"='03.Muestra'!$D$8:$D$42,ROW('03.Muestra'!$C$8:$C$42)-MIN(ROW('03.Muestra'!$D$8:$D$42))+1,""),ROW()-436)),"")</f>
        <v/>
      </c>
      <c r="C469" s="114" t="str" cm="1">
        <f t="array" ref="C469">IFERROR(INDEX('03.Muestra'!$F$8:$F$42,SMALL(IF("Documento no web"='03.Muestra'!$D$8:$D$42,ROW('03.Muestra'!$F$8:$F$42)-MIN(ROW('03.Muestra'!$D$8:$D$42))+1,""),ROW()-436)),"")</f>
        <v/>
      </c>
      <c r="D469" s="130" t="str">
        <f t="shared" si="23"/>
        <v/>
      </c>
      <c r="E469" s="107" t="str">
        <f t="shared" si="22"/>
        <v/>
      </c>
      <c r="F469" s="124"/>
      <c r="G469" s="19"/>
      <c r="H469" s="19"/>
      <c r="I469" s="19"/>
      <c r="J469" s="19"/>
      <c r="K469" s="233"/>
      <c r="L469" s="19"/>
      <c r="M469" s="19"/>
      <c r="N469" s="19"/>
      <c r="O469" s="19"/>
      <c r="P469" s="19"/>
      <c r="Q469" s="19"/>
      <c r="R469" s="19"/>
      <c r="S469" s="19"/>
      <c r="T469" s="19"/>
      <c r="U469" s="19"/>
      <c r="V469" s="19"/>
      <c r="W469" s="19"/>
      <c r="X469" s="19"/>
      <c r="Y469" s="19"/>
    </row>
    <row r="470" spans="1:25" ht="12" customHeight="1">
      <c r="A470" s="219" t="str" cm="1">
        <f t="array" ref="A470">IFERROR(INDEX('03.Muestra'!$B$8:$B$42,SMALL(IF("Documento no web"='03.Muestra'!$D$8:$D$42,ROW('03.Muestra'!$B$8:$B$42)-MIN(ROW('03.Muestra'!$D$8:$D$42))+1,""),ROW()-436)),"")</f>
        <v/>
      </c>
      <c r="B470" s="114" t="str" cm="1">
        <f t="array" ref="B470">IFERROR(INDEX('03.Muestra'!$C$8:$C$42,SMALL(IF("Documento no web"='03.Muestra'!$D$8:$D$42,ROW('03.Muestra'!$C$8:$C$42)-MIN(ROW('03.Muestra'!$D$8:$D$42))+1,""),ROW()-436)),"")</f>
        <v/>
      </c>
      <c r="C470" s="114" t="str" cm="1">
        <f t="array" ref="C470">IFERROR(INDEX('03.Muestra'!$F$8:$F$42,SMALL(IF("Documento no web"='03.Muestra'!$D$8:$D$42,ROW('03.Muestra'!$F$8:$F$42)-MIN(ROW('03.Muestra'!$D$8:$D$42))+1,""),ROW()-436)),"")</f>
        <v/>
      </c>
      <c r="D470" s="130" t="str">
        <f t="shared" si="23"/>
        <v/>
      </c>
      <c r="E470" s="107" t="str">
        <f t="shared" si="22"/>
        <v/>
      </c>
      <c r="F470" s="124"/>
      <c r="G470" s="19"/>
      <c r="H470" s="19"/>
      <c r="I470" s="19"/>
      <c r="J470" s="19"/>
      <c r="K470" s="233"/>
      <c r="L470" s="19"/>
      <c r="M470" s="19"/>
      <c r="N470" s="19"/>
      <c r="O470" s="19"/>
      <c r="P470" s="19"/>
      <c r="Q470" s="19"/>
      <c r="R470" s="19"/>
      <c r="S470" s="19"/>
      <c r="T470" s="19"/>
      <c r="U470" s="19"/>
      <c r="V470" s="19"/>
      <c r="W470" s="19"/>
      <c r="X470" s="19"/>
      <c r="Y470" s="19"/>
    </row>
    <row r="471" spans="1:25" ht="12" customHeight="1">
      <c r="A471" s="219" t="str" cm="1">
        <f t="array" ref="A471">IFERROR(INDEX('03.Muestra'!$B$8:$B$42,SMALL(IF("Documento no web"='03.Muestra'!$D$8:$D$42,ROW('03.Muestra'!$B$8:$B$42)-MIN(ROW('03.Muestra'!$D$8:$D$42))+1,""),ROW()-436)),"")</f>
        <v/>
      </c>
      <c r="B471" s="114" t="str" cm="1">
        <f t="array" ref="B471">IFERROR(INDEX('03.Muestra'!$C$8:$C$42,SMALL(IF("Documento no web"='03.Muestra'!$D$8:$D$42,ROW('03.Muestra'!$C$8:$C$42)-MIN(ROW('03.Muestra'!$D$8:$D$42))+1,""),ROW()-436)),"")</f>
        <v/>
      </c>
      <c r="C471" s="114" t="str" cm="1">
        <f t="array" ref="C471">IFERROR(INDEX('03.Muestra'!$F$8:$F$42,SMALL(IF("Documento no web"='03.Muestra'!$D$8:$D$42,ROW('03.Muestra'!$F$8:$F$42)-MIN(ROW('03.Muestra'!$D$8:$D$42))+1,""),ROW()-436)),"")</f>
        <v/>
      </c>
      <c r="D471" s="130" t="str">
        <f t="shared" si="23"/>
        <v/>
      </c>
      <c r="E471" s="107" t="str">
        <f t="shared" si="22"/>
        <v/>
      </c>
      <c r="F471" s="19"/>
      <c r="G471" s="19"/>
      <c r="H471" s="19"/>
      <c r="I471" s="19"/>
      <c r="J471" s="19"/>
      <c r="K471" s="233"/>
      <c r="L471" s="19"/>
      <c r="M471" s="19"/>
      <c r="N471" s="19"/>
      <c r="O471" s="19"/>
      <c r="P471" s="19"/>
      <c r="Q471" s="19"/>
      <c r="R471" s="19"/>
      <c r="S471" s="19"/>
      <c r="T471" s="19"/>
      <c r="U471" s="19"/>
      <c r="V471" s="19"/>
      <c r="W471" s="19"/>
      <c r="X471" s="19"/>
      <c r="Y471" s="19"/>
    </row>
    <row r="472" spans="1:25" ht="12" customHeight="1">
      <c r="B472" s="19"/>
      <c r="C472" s="19"/>
      <c r="D472" s="19"/>
      <c r="E472" s="107"/>
      <c r="F472" s="19"/>
      <c r="G472" s="19"/>
      <c r="H472" s="19"/>
      <c r="I472" s="19"/>
      <c r="J472" s="19"/>
      <c r="K472" s="233"/>
      <c r="L472" s="19"/>
      <c r="M472" s="19"/>
      <c r="N472" s="19"/>
      <c r="O472" s="19"/>
      <c r="P472" s="19"/>
      <c r="Q472" s="19"/>
      <c r="R472" s="19"/>
      <c r="S472" s="19"/>
      <c r="T472" s="19"/>
      <c r="U472" s="19"/>
      <c r="V472" s="19"/>
      <c r="W472" s="19"/>
      <c r="X472" s="19"/>
      <c r="Y472" s="19"/>
    </row>
    <row r="473" spans="1:25" ht="12" customHeight="1">
      <c r="B473" s="19"/>
      <c r="C473" s="19"/>
      <c r="D473" s="107"/>
      <c r="E473" s="112"/>
      <c r="F473" s="19"/>
      <c r="G473" s="19"/>
      <c r="H473" s="19"/>
      <c r="I473" s="19"/>
      <c r="J473" s="19"/>
      <c r="K473" s="233"/>
      <c r="L473" s="19"/>
      <c r="M473" s="19"/>
      <c r="N473" s="19"/>
      <c r="O473" s="19"/>
      <c r="P473" s="19"/>
      <c r="Q473" s="19"/>
      <c r="R473" s="19"/>
      <c r="S473" s="19"/>
      <c r="T473" s="19"/>
      <c r="U473" s="19"/>
      <c r="V473" s="19"/>
      <c r="W473" s="19"/>
      <c r="X473" s="19"/>
      <c r="Y473" s="19"/>
    </row>
    <row r="474" spans="1:25" ht="32.25" customHeight="1">
      <c r="A474" s="218" t="s">
        <v>268</v>
      </c>
      <c r="B474" s="24" t="s">
        <v>90</v>
      </c>
      <c r="C474" s="25" t="s">
        <v>434</v>
      </c>
      <c r="D474" s="26" t="s">
        <v>32</v>
      </c>
      <c r="E474" s="123"/>
      <c r="K474" s="233"/>
      <c r="L474" s="19"/>
      <c r="M474" s="19"/>
      <c r="N474" s="19"/>
      <c r="O474" s="19"/>
      <c r="P474" s="19"/>
      <c r="Q474" s="19"/>
      <c r="R474" s="19"/>
      <c r="S474" s="19"/>
      <c r="T474" s="19"/>
      <c r="U474" s="19"/>
      <c r="V474" s="19"/>
      <c r="W474" s="19"/>
      <c r="X474" s="19"/>
      <c r="Y474" s="19"/>
    </row>
    <row r="475" spans="1:25" ht="12" customHeight="1">
      <c r="A475" s="219" t="n" cm="1">
        <f t="array" ref="A475">IFERROR(INDEX('03.Muestra'!$B$8:$B$42,SMALL(IF("Documento no web"='03.Muestra'!$D$8:$D$42,ROW('03.Muestra'!$B$8:$B$42)-MIN(ROW('03.Muestra'!$D$8:$D$42))+1,""),ROW()-474)),"")</f>
        <v>1.0</v>
      </c>
      <c r="B475" s="114" t="str" cm="1">
        <f t="array" ref="B475">IFERROR(INDEX('03.Muestra'!$C$8:$C$42,SMALL(IF("Documento no web"='03.Muestra'!$D$8:$D$42,ROW('03.Muestra'!$C$8:$C$42)-MIN(ROW('03.Muestra'!$D$8:$D$42))+1,""),ROW()-474)),"")</f>
        <v>Home - PortCastelló</v>
      </c>
      <c r="C475" s="114" t="str" cm="1">
        <f t="array" ref="C475">IFERROR(INDEX('03.Muestra'!$F$8:$F$42,SMALL(IF("Documento no web"='03.Muestra'!$D$8:$D$42,ROW('03.Muestra'!$F$8:$F$42)-MIN(ROW('03.Muestra'!$D$8:$D$42))+1,""),ROW()-474)),"")</f>
        <v>https://www.portcastello.com/</v>
      </c>
      <c r="D475" s="130" t="s">
        <v>33</v>
      </c>
      <c r="E475" s="107" t="str">
        <f t="shared" ref="E475:E509" si="24">IF(D475&lt;&gt;"",IF(AND(B475&lt;&gt;"",C475&lt;&gt;""),"","ERR"),"")</f>
        <v/>
      </c>
      <c r="F475" s="115" t="s">
        <v>33</v>
      </c>
      <c r="G475" s="116" t="s">
        <v>37</v>
      </c>
      <c r="H475" s="117" t="s">
        <v>35</v>
      </c>
      <c r="I475" s="118" t="s">
        <v>28</v>
      </c>
      <c r="J475" s="119" t="s">
        <v>26</v>
      </c>
      <c r="K475" s="226" t="s">
        <v>474</v>
      </c>
      <c r="L475" s="19"/>
      <c r="M475" s="19"/>
      <c r="N475" s="19"/>
      <c r="O475" s="19"/>
      <c r="P475" s="19"/>
      <c r="Q475" s="19"/>
      <c r="R475" s="19"/>
      <c r="S475" s="19"/>
      <c r="T475" s="19"/>
      <c r="U475" s="19"/>
      <c r="V475" s="19"/>
      <c r="W475" s="19"/>
      <c r="X475" s="19"/>
      <c r="Y475" s="19"/>
    </row>
    <row r="476" spans="1:25" ht="12" customHeight="1">
      <c r="A476" s="219" t="n" cm="1">
        <f t="array" ref="A476">IFERROR(INDEX('03.Muestra'!$B$8:$B$42,SMALL(IF("Documento no web"='03.Muestra'!$D$8:$D$42,ROW('03.Muestra'!$B$8:$B$42)-MIN(ROW('03.Muestra'!$D$8:$D$42))+1,""),ROW()-474)),"")</f>
        <v>1.0</v>
      </c>
      <c r="B476" s="114" t="str" cm="1">
        <f t="array" ref="B476">IFERROR(INDEX('03.Muestra'!$C$8:$C$42,SMALL(IF("Documento no web"='03.Muestra'!$D$8:$D$42,ROW('03.Muestra'!$C$8:$C$42)-MIN(ROW('03.Muestra'!$D$8:$D$42))+1,""),ROW()-474)),"")</f>
        <v>Home - PortCastelló</v>
      </c>
      <c r="C476" s="114" t="str" cm="1">
        <f t="array" ref="C476">IFERROR(INDEX('03.Muestra'!$F$8:$F$42,SMALL(IF("Documento no web"='03.Muestra'!$D$8:$D$42,ROW('03.Muestra'!$F$8:$F$42)-MIN(ROW('03.Muestra'!$D$8:$D$42))+1,""),ROW()-474)),"")</f>
        <v>https://www.portcastello.com/</v>
      </c>
      <c r="D476" s="130" t="s">
        <v>33</v>
      </c>
      <c r="E476" s="107" t="str">
        <f t="shared" si="24"/>
        <v/>
      </c>
      <c r="F476" s="120" t="n">
        <f ca="1">COUNTIF($D475:INDIRECT("$D" &amp;  SUM(ROW()-1,'03.Muestra'!$D$45)-1),F475)</f>
        <v>2.0</v>
      </c>
      <c r="G476" s="120" t="n">
        <f ca="1">COUNTIF($D475:INDIRECT("$D" &amp;  SUM(ROW()-1,'03.Muestra'!$D$45)-1),G475)</f>
        <v>0.0</v>
      </c>
      <c r="H476" s="120" t="n">
        <f ca="1">COUNTIF($D475:INDIRECT("$D" &amp;  SUM(ROW()-1,'03.Muestra'!$D$45)-1),H475)</f>
        <v>0.0</v>
      </c>
      <c r="I476" s="120" t="n">
        <f ca="1">COUNTIF($D475:INDIRECT("$D" &amp;  SUM(ROW()-1,'03.Muestra'!$D$45)-1),I475)</f>
        <v>0.0</v>
      </c>
      <c r="J476" s="120" t="n">
        <f ca="1">COUNTIF($D475:INDIRECT("$D" &amp;  SUM(ROW()-1,'03.Muestra'!$D$45)-1),J475)</f>
        <v>0.0</v>
      </c>
      <c r="K476" s="227" t="n">
        <f ca="1">IF(COUNTIF('03.Muestra'!$D$8:$D$42,"Documento no web")=0,0,COUNTBLANK($D475:INDIRECT("$D" &amp;  SUM(ROW()-1,COUNTIF('03.Muestra'!$D$8:$D$42,"Documento no web"))-1)))</f>
        <v>0.0</v>
      </c>
      <c r="L476" s="19"/>
      <c r="M476" s="19"/>
      <c r="N476" s="19"/>
      <c r="O476" s="19"/>
      <c r="P476" s="19"/>
      <c r="Q476" s="19"/>
      <c r="R476" s="19"/>
      <c r="S476" s="19"/>
      <c r="T476" s="19"/>
      <c r="U476" s="19"/>
      <c r="V476" s="19"/>
      <c r="W476" s="19"/>
      <c r="X476" s="19"/>
      <c r="Y476" s="19"/>
    </row>
    <row r="477" spans="1:25" ht="12" customHeight="1">
      <c r="A477" s="219" t="str" cm="1">
        <f t="array" ref="A477">IFERROR(INDEX('03.Muestra'!$B$8:$B$42,SMALL(IF("Documento no web"='03.Muestra'!$D$8:$D$42,ROW('03.Muestra'!$B$8:$B$42)-MIN(ROW('03.Muestra'!$D$8:$D$42))+1,""),ROW()-474)),"")</f>
        <v/>
      </c>
      <c r="B477" s="114" t="str" cm="1">
        <f t="array" ref="B477">IFERROR(INDEX('03.Muestra'!$C$8:$C$42,SMALL(IF("Documento no web"='03.Muestra'!$D$8:$D$42,ROW('03.Muestra'!$C$8:$C$42)-MIN(ROW('03.Muestra'!$D$8:$D$42))+1,""),ROW()-474)),"")</f>
        <v/>
      </c>
      <c r="C477" s="114" t="str" cm="1">
        <f t="array" ref="C477">IFERROR(INDEX('03.Muestra'!$F$8:$F$42,SMALL(IF("Documento no web"='03.Muestra'!$D$8:$D$42,ROW('03.Muestra'!$F$8:$F$42)-MIN(ROW('03.Muestra'!$D$8:$D$42))+1,""),ROW()-474)),"")</f>
        <v/>
      </c>
      <c r="D477" s="130" t="str">
        <f t="shared" si="25" ref="D477:D509">IF(AND(B477&lt;&gt;"",C477&lt;&gt;""),"N/T","")</f>
        <v/>
      </c>
      <c r="E477" s="107" t="str">
        <f t="shared" si="24"/>
        <v/>
      </c>
      <c r="G477" s="19"/>
      <c r="H477" s="19"/>
      <c r="I477" s="19"/>
      <c r="J477" s="19"/>
      <c r="K477" s="233"/>
      <c r="L477" s="19"/>
      <c r="M477" s="19"/>
      <c r="N477" s="19"/>
      <c r="O477" s="19"/>
      <c r="P477" s="19"/>
      <c r="Q477" s="19"/>
      <c r="R477" s="19"/>
      <c r="S477" s="19"/>
      <c r="T477" s="19"/>
      <c r="U477" s="19"/>
      <c r="V477" s="19"/>
      <c r="W477" s="19"/>
      <c r="X477" s="19"/>
      <c r="Y477" s="19"/>
    </row>
    <row r="478" spans="1:25" ht="12" customHeight="1">
      <c r="A478" s="219" t="str" cm="1">
        <f t="array" ref="A478">IFERROR(INDEX('03.Muestra'!$B$8:$B$42,SMALL(IF("Documento no web"='03.Muestra'!$D$8:$D$42,ROW('03.Muestra'!$B$8:$B$42)-MIN(ROW('03.Muestra'!$D$8:$D$42))+1,""),ROW()-474)),"")</f>
        <v/>
      </c>
      <c r="B478" s="114" t="str" cm="1">
        <f t="array" ref="B478">IFERROR(INDEX('03.Muestra'!$C$8:$C$42,SMALL(IF("Documento no web"='03.Muestra'!$D$8:$D$42,ROW('03.Muestra'!$C$8:$C$42)-MIN(ROW('03.Muestra'!$D$8:$D$42))+1,""),ROW()-474)),"")</f>
        <v/>
      </c>
      <c r="C478" s="114" t="str" cm="1">
        <f t="array" ref="C478">IFERROR(INDEX('03.Muestra'!$F$8:$F$42,SMALL(IF("Documento no web"='03.Muestra'!$D$8:$D$42,ROW('03.Muestra'!$F$8:$F$42)-MIN(ROW('03.Muestra'!$D$8:$D$42))+1,""),ROW()-474)),"")</f>
        <v/>
      </c>
      <c r="D478" s="130" t="str">
        <f t="shared" si="25"/>
        <v/>
      </c>
      <c r="E478" s="107" t="str">
        <f t="shared" si="24"/>
        <v/>
      </c>
      <c r="G478" s="19"/>
      <c r="H478" s="19"/>
      <c r="I478" s="19"/>
      <c r="J478" s="19"/>
      <c r="K478" s="233"/>
      <c r="L478" s="19"/>
      <c r="M478" s="19"/>
      <c r="N478" s="19"/>
      <c r="O478" s="19"/>
      <c r="P478" s="19"/>
      <c r="Q478" s="19"/>
      <c r="R478" s="19"/>
      <c r="S478" s="19"/>
      <c r="T478" s="19"/>
      <c r="U478" s="19"/>
      <c r="V478" s="19"/>
      <c r="W478" s="19"/>
      <c r="X478" s="19"/>
      <c r="Y478" s="19"/>
    </row>
    <row r="479" spans="1:25" ht="12" customHeight="1">
      <c r="A479" s="219" t="str" cm="1">
        <f t="array" ref="A479">IFERROR(INDEX('03.Muestra'!$B$8:$B$42,SMALL(IF("Documento no web"='03.Muestra'!$D$8:$D$42,ROW('03.Muestra'!$B$8:$B$42)-MIN(ROW('03.Muestra'!$D$8:$D$42))+1,""),ROW()-474)),"")</f>
        <v/>
      </c>
      <c r="B479" s="114" t="str" cm="1">
        <f t="array" ref="B479">IFERROR(INDEX('03.Muestra'!$C$8:$C$42,SMALL(IF("Documento no web"='03.Muestra'!$D$8:$D$42,ROW('03.Muestra'!$C$8:$C$42)-MIN(ROW('03.Muestra'!$D$8:$D$42))+1,""),ROW()-474)),"")</f>
        <v/>
      </c>
      <c r="C479" s="114" t="str" cm="1">
        <f t="array" ref="C479">IFERROR(INDEX('03.Muestra'!$F$8:$F$42,SMALL(IF("Documento no web"='03.Muestra'!$D$8:$D$42,ROW('03.Muestra'!$F$8:$F$42)-MIN(ROW('03.Muestra'!$D$8:$D$42))+1,""),ROW()-474)),"")</f>
        <v/>
      </c>
      <c r="D479" s="130" t="str">
        <f t="shared" si="25"/>
        <v/>
      </c>
      <c r="E479" s="107" t="str">
        <f t="shared" si="24"/>
        <v/>
      </c>
      <c r="G479" s="19"/>
      <c r="H479" s="19"/>
      <c r="I479" s="19"/>
      <c r="J479" s="19"/>
      <c r="K479" s="233"/>
      <c r="L479" s="19"/>
      <c r="M479" s="19"/>
      <c r="N479" s="19"/>
      <c r="O479" s="19"/>
      <c r="P479" s="19"/>
      <c r="Q479" s="19"/>
      <c r="R479" s="19"/>
      <c r="S479" s="19"/>
      <c r="T479" s="19"/>
      <c r="U479" s="19"/>
      <c r="V479" s="19"/>
      <c r="W479" s="19"/>
      <c r="X479" s="19"/>
      <c r="Y479" s="19"/>
    </row>
    <row r="480" spans="1:25" ht="12" customHeight="1">
      <c r="A480" s="219" t="str" cm="1">
        <f t="array" ref="A480">IFERROR(INDEX('03.Muestra'!$B$8:$B$42,SMALL(IF("Documento no web"='03.Muestra'!$D$8:$D$42,ROW('03.Muestra'!$B$8:$B$42)-MIN(ROW('03.Muestra'!$D$8:$D$42))+1,""),ROW()-474)),"")</f>
        <v/>
      </c>
      <c r="B480" s="114" t="str" cm="1">
        <f t="array" ref="B480">IFERROR(INDEX('03.Muestra'!$C$8:$C$42,SMALL(IF("Documento no web"='03.Muestra'!$D$8:$D$42,ROW('03.Muestra'!$C$8:$C$42)-MIN(ROW('03.Muestra'!$D$8:$D$42))+1,""),ROW()-474)),"")</f>
        <v/>
      </c>
      <c r="C480" s="114" t="str" cm="1">
        <f t="array" ref="C480">IFERROR(INDEX('03.Muestra'!$F$8:$F$42,SMALL(IF("Documento no web"='03.Muestra'!$D$8:$D$42,ROW('03.Muestra'!$F$8:$F$42)-MIN(ROW('03.Muestra'!$D$8:$D$42))+1,""),ROW()-474)),"")</f>
        <v/>
      </c>
      <c r="D480" s="130" t="str">
        <f t="shared" si="25"/>
        <v/>
      </c>
      <c r="E480" s="107" t="str">
        <f t="shared" si="24"/>
        <v/>
      </c>
      <c r="G480" s="19"/>
      <c r="H480" s="19"/>
      <c r="I480" s="19"/>
      <c r="J480" s="19"/>
      <c r="K480" s="233"/>
      <c r="L480" s="19"/>
      <c r="M480" s="19"/>
      <c r="N480" s="19"/>
      <c r="O480" s="19"/>
      <c r="P480" s="19"/>
      <c r="Q480" s="19"/>
      <c r="R480" s="19"/>
      <c r="S480" s="19"/>
      <c r="T480" s="19"/>
      <c r="U480" s="19"/>
      <c r="V480" s="19"/>
      <c r="W480" s="19"/>
      <c r="X480" s="19"/>
      <c r="Y480" s="19"/>
    </row>
    <row r="481" spans="1:25" ht="12" customHeight="1">
      <c r="A481" s="219" t="str" cm="1">
        <f t="array" ref="A481">IFERROR(INDEX('03.Muestra'!$B$8:$B$42,SMALL(IF("Documento no web"='03.Muestra'!$D$8:$D$42,ROW('03.Muestra'!$B$8:$B$42)-MIN(ROW('03.Muestra'!$D$8:$D$42))+1,""),ROW()-474)),"")</f>
        <v/>
      </c>
      <c r="B481" s="114" t="str" cm="1">
        <f t="array" ref="B481">IFERROR(INDEX('03.Muestra'!$C$8:$C$42,SMALL(IF("Documento no web"='03.Muestra'!$D$8:$D$42,ROW('03.Muestra'!$C$8:$C$42)-MIN(ROW('03.Muestra'!$D$8:$D$42))+1,""),ROW()-474)),"")</f>
        <v/>
      </c>
      <c r="C481" s="114" t="str" cm="1">
        <f t="array" ref="C481">IFERROR(INDEX('03.Muestra'!$F$8:$F$42,SMALL(IF("Documento no web"='03.Muestra'!$D$8:$D$42,ROW('03.Muestra'!$F$8:$F$42)-MIN(ROW('03.Muestra'!$D$8:$D$42))+1,""),ROW()-474)),"")</f>
        <v/>
      </c>
      <c r="D481" s="130" t="str">
        <f t="shared" si="25"/>
        <v/>
      </c>
      <c r="E481" s="107" t="str">
        <f t="shared" si="24"/>
        <v/>
      </c>
      <c r="F481" s="19"/>
      <c r="G481" s="19"/>
      <c r="H481" s="19"/>
      <c r="I481" s="19"/>
      <c r="J481" s="19"/>
      <c r="K481" s="233"/>
      <c r="L481" s="19"/>
      <c r="M481" s="19"/>
      <c r="N481" s="19"/>
      <c r="O481" s="19"/>
      <c r="P481" s="19"/>
      <c r="Q481" s="19"/>
      <c r="R481" s="19"/>
      <c r="S481" s="19"/>
      <c r="T481" s="19"/>
      <c r="U481" s="19"/>
      <c r="V481" s="19"/>
      <c r="W481" s="19"/>
      <c r="X481" s="19"/>
      <c r="Y481" s="19"/>
    </row>
    <row r="482" spans="1:25" ht="12" customHeight="1">
      <c r="A482" s="219" t="str" cm="1">
        <f t="array" ref="A482">IFERROR(INDEX('03.Muestra'!$B$8:$B$42,SMALL(IF("Documento no web"='03.Muestra'!$D$8:$D$42,ROW('03.Muestra'!$B$8:$B$42)-MIN(ROW('03.Muestra'!$D$8:$D$42))+1,""),ROW()-474)),"")</f>
        <v/>
      </c>
      <c r="B482" s="114" t="str" cm="1">
        <f t="array" ref="B482">IFERROR(INDEX('03.Muestra'!$C$8:$C$42,SMALL(IF("Documento no web"='03.Muestra'!$D$8:$D$42,ROW('03.Muestra'!$C$8:$C$42)-MIN(ROW('03.Muestra'!$D$8:$D$42))+1,""),ROW()-474)),"")</f>
        <v/>
      </c>
      <c r="C482" s="114" t="str" cm="1">
        <f t="array" ref="C482">IFERROR(INDEX('03.Muestra'!$F$8:$F$42,SMALL(IF("Documento no web"='03.Muestra'!$D$8:$D$42,ROW('03.Muestra'!$F$8:$F$42)-MIN(ROW('03.Muestra'!$D$8:$D$42))+1,""),ROW()-474)),"")</f>
        <v/>
      </c>
      <c r="D482" s="130" t="str">
        <f t="shared" si="25"/>
        <v/>
      </c>
      <c r="E482" s="107" t="str">
        <f t="shared" si="24"/>
        <v/>
      </c>
      <c r="F482" s="19"/>
      <c r="G482" s="19"/>
      <c r="H482" s="19"/>
      <c r="I482" s="19"/>
      <c r="J482" s="19"/>
      <c r="K482" s="233"/>
      <c r="L482" s="19"/>
      <c r="M482" s="19"/>
      <c r="N482" s="19"/>
      <c r="O482" s="19"/>
      <c r="P482" s="19"/>
      <c r="Q482" s="19"/>
      <c r="R482" s="19"/>
      <c r="S482" s="19"/>
      <c r="T482" s="19"/>
      <c r="U482" s="19"/>
      <c r="V482" s="19"/>
      <c r="W482" s="19"/>
      <c r="X482" s="19"/>
      <c r="Y482" s="19"/>
    </row>
    <row r="483" spans="1:25" ht="12" customHeight="1">
      <c r="A483" s="219" t="str" cm="1">
        <f t="array" ref="A483">IFERROR(INDEX('03.Muestra'!$B$8:$B$42,SMALL(IF("Documento no web"='03.Muestra'!$D$8:$D$42,ROW('03.Muestra'!$B$8:$B$42)-MIN(ROW('03.Muestra'!$D$8:$D$42))+1,""),ROW()-474)),"")</f>
        <v/>
      </c>
      <c r="B483" s="114" t="str" cm="1">
        <f t="array" ref="B483">IFERROR(INDEX('03.Muestra'!$C$8:$C$42,SMALL(IF("Documento no web"='03.Muestra'!$D$8:$D$42,ROW('03.Muestra'!$C$8:$C$42)-MIN(ROW('03.Muestra'!$D$8:$D$42))+1,""),ROW()-474)),"")</f>
        <v/>
      </c>
      <c r="C483" s="114" t="str" cm="1">
        <f t="array" ref="C483">IFERROR(INDEX('03.Muestra'!$F$8:$F$42,SMALL(IF("Documento no web"='03.Muestra'!$D$8:$D$42,ROW('03.Muestra'!$F$8:$F$42)-MIN(ROW('03.Muestra'!$D$8:$D$42))+1,""),ROW()-474)),"")</f>
        <v/>
      </c>
      <c r="D483" s="130" t="str">
        <f t="shared" si="25"/>
        <v/>
      </c>
      <c r="E483" s="107" t="str">
        <f t="shared" si="24"/>
        <v/>
      </c>
      <c r="F483" s="19"/>
      <c r="G483" s="19"/>
      <c r="H483" s="19"/>
      <c r="I483" s="19"/>
      <c r="J483" s="19"/>
      <c r="K483" s="233"/>
      <c r="L483" s="19"/>
      <c r="M483" s="19"/>
      <c r="N483" s="19"/>
      <c r="O483" s="19"/>
      <c r="P483" s="19"/>
      <c r="Q483" s="19"/>
      <c r="R483" s="19"/>
      <c r="S483" s="19"/>
      <c r="T483" s="19"/>
      <c r="U483" s="19"/>
      <c r="V483" s="19"/>
      <c r="W483" s="19"/>
      <c r="X483" s="19"/>
      <c r="Y483" s="19"/>
    </row>
    <row r="484" spans="1:25" ht="12" customHeight="1">
      <c r="A484" s="219" t="str" cm="1">
        <f t="array" ref="A484">IFERROR(INDEX('03.Muestra'!$B$8:$B$42,SMALL(IF("Documento no web"='03.Muestra'!$D$8:$D$42,ROW('03.Muestra'!$B$8:$B$42)-MIN(ROW('03.Muestra'!$D$8:$D$42))+1,""),ROW()-474)),"")</f>
        <v/>
      </c>
      <c r="B484" s="114" t="str" cm="1">
        <f t="array" ref="B484">IFERROR(INDEX('03.Muestra'!$C$8:$C$42,SMALL(IF("Documento no web"='03.Muestra'!$D$8:$D$42,ROW('03.Muestra'!$C$8:$C$42)-MIN(ROW('03.Muestra'!$D$8:$D$42))+1,""),ROW()-474)),"")</f>
        <v/>
      </c>
      <c r="C484" s="114" t="str" cm="1">
        <f t="array" ref="C484">IFERROR(INDEX('03.Muestra'!$F$8:$F$42,SMALL(IF("Documento no web"='03.Muestra'!$D$8:$D$42,ROW('03.Muestra'!$F$8:$F$42)-MIN(ROW('03.Muestra'!$D$8:$D$42))+1,""),ROW()-474)),"")</f>
        <v/>
      </c>
      <c r="D484" s="130" t="str">
        <f t="shared" si="25"/>
        <v/>
      </c>
      <c r="E484" s="107" t="str">
        <f t="shared" si="24"/>
        <v/>
      </c>
      <c r="F484" s="19"/>
      <c r="G484" s="19"/>
      <c r="H484" s="19"/>
      <c r="I484" s="19"/>
      <c r="J484" s="19"/>
      <c r="K484" s="233"/>
      <c r="L484" s="19"/>
      <c r="M484" s="19"/>
      <c r="N484" s="19"/>
      <c r="O484" s="19"/>
      <c r="P484" s="19"/>
      <c r="Q484" s="19"/>
      <c r="R484" s="19"/>
      <c r="S484" s="19"/>
      <c r="T484" s="19"/>
      <c r="U484" s="19"/>
      <c r="V484" s="19"/>
      <c r="W484" s="19"/>
      <c r="X484" s="19"/>
      <c r="Y484" s="19"/>
    </row>
    <row r="485" spans="1:25" ht="12" customHeight="1">
      <c r="A485" s="219" t="str" cm="1">
        <f t="array" ref="A485">IFERROR(INDEX('03.Muestra'!$B$8:$B$42,SMALL(IF("Documento no web"='03.Muestra'!$D$8:$D$42,ROW('03.Muestra'!$B$8:$B$42)-MIN(ROW('03.Muestra'!$D$8:$D$42))+1,""),ROW()-474)),"")</f>
        <v/>
      </c>
      <c r="B485" s="114" t="str" cm="1">
        <f t="array" ref="B485">IFERROR(INDEX('03.Muestra'!$C$8:$C$42,SMALL(IF("Documento no web"='03.Muestra'!$D$8:$D$42,ROW('03.Muestra'!$C$8:$C$42)-MIN(ROW('03.Muestra'!$D$8:$D$42))+1,""),ROW()-474)),"")</f>
        <v/>
      </c>
      <c r="C485" s="114" t="str" cm="1">
        <f t="array" ref="C485">IFERROR(INDEX('03.Muestra'!$F$8:$F$42,SMALL(IF("Documento no web"='03.Muestra'!$D$8:$D$42,ROW('03.Muestra'!$F$8:$F$42)-MIN(ROW('03.Muestra'!$D$8:$D$42))+1,""),ROW()-474)),"")</f>
        <v/>
      </c>
      <c r="D485" s="130" t="str">
        <f t="shared" si="25"/>
        <v/>
      </c>
      <c r="E485" s="107" t="str">
        <f t="shared" si="24"/>
        <v/>
      </c>
      <c r="F485" s="19"/>
      <c r="G485" s="19"/>
      <c r="H485" s="19"/>
      <c r="I485" s="19"/>
      <c r="J485" s="19"/>
      <c r="K485" s="233"/>
      <c r="L485" s="19"/>
      <c r="M485" s="19"/>
      <c r="N485" s="19"/>
      <c r="O485" s="19"/>
      <c r="P485" s="19"/>
      <c r="Q485" s="19"/>
      <c r="R485" s="19"/>
      <c r="S485" s="19"/>
      <c r="T485" s="19"/>
      <c r="U485" s="19"/>
      <c r="V485" s="19"/>
      <c r="W485" s="19"/>
      <c r="X485" s="19"/>
      <c r="Y485" s="19"/>
    </row>
    <row r="486" spans="1:25" ht="12" customHeight="1">
      <c r="A486" s="219" t="str" cm="1">
        <f t="array" ref="A486">IFERROR(INDEX('03.Muestra'!$B$8:$B$42,SMALL(IF("Documento no web"='03.Muestra'!$D$8:$D$42,ROW('03.Muestra'!$B$8:$B$42)-MIN(ROW('03.Muestra'!$D$8:$D$42))+1,""),ROW()-474)),"")</f>
        <v/>
      </c>
      <c r="B486" s="114" t="str" cm="1">
        <f t="array" ref="B486">IFERROR(INDEX('03.Muestra'!$C$8:$C$42,SMALL(IF("Documento no web"='03.Muestra'!$D$8:$D$42,ROW('03.Muestra'!$C$8:$C$42)-MIN(ROW('03.Muestra'!$D$8:$D$42))+1,""),ROW()-474)),"")</f>
        <v/>
      </c>
      <c r="C486" s="114" t="str" cm="1">
        <f t="array" ref="C486">IFERROR(INDEX('03.Muestra'!$F$8:$F$42,SMALL(IF("Documento no web"='03.Muestra'!$D$8:$D$42,ROW('03.Muestra'!$F$8:$F$42)-MIN(ROW('03.Muestra'!$D$8:$D$42))+1,""),ROW()-474)),"")</f>
        <v/>
      </c>
      <c r="D486" s="130" t="str">
        <f t="shared" si="25"/>
        <v/>
      </c>
      <c r="E486" s="107" t="str">
        <f t="shared" si="24"/>
        <v/>
      </c>
      <c r="F486" s="19"/>
      <c r="G486" s="19"/>
      <c r="H486" s="19"/>
      <c r="I486" s="19"/>
      <c r="J486" s="19"/>
      <c r="K486" s="233"/>
      <c r="L486" s="19"/>
      <c r="M486" s="19"/>
      <c r="N486" s="19"/>
      <c r="O486" s="19"/>
      <c r="P486" s="19"/>
      <c r="Q486" s="19"/>
      <c r="R486" s="19"/>
      <c r="S486" s="19"/>
      <c r="T486" s="19"/>
      <c r="U486" s="19"/>
      <c r="V486" s="19"/>
      <c r="W486" s="19"/>
      <c r="X486" s="19"/>
      <c r="Y486" s="19"/>
    </row>
    <row r="487" spans="1:25" ht="14.1" customHeight="1">
      <c r="A487" s="219" t="str" cm="1">
        <f t="array" ref="A487">IFERROR(INDEX('03.Muestra'!$B$8:$B$42,SMALL(IF("Documento no web"='03.Muestra'!$D$8:$D$42,ROW('03.Muestra'!$B$8:$B$42)-MIN(ROW('03.Muestra'!$D$8:$D$42))+1,""),ROW()-474)),"")</f>
        <v/>
      </c>
      <c r="B487" s="114" t="str" cm="1">
        <f t="array" ref="B487">IFERROR(INDEX('03.Muestra'!$C$8:$C$42,SMALL(IF("Documento no web"='03.Muestra'!$D$8:$D$42,ROW('03.Muestra'!$C$8:$C$42)-MIN(ROW('03.Muestra'!$D$8:$D$42))+1,""),ROW()-474)),"")</f>
        <v/>
      </c>
      <c r="C487" s="114" t="str" cm="1">
        <f t="array" ref="C487">IFERROR(INDEX('03.Muestra'!$F$8:$F$42,SMALL(IF("Documento no web"='03.Muestra'!$D$8:$D$42,ROW('03.Muestra'!$F$8:$F$42)-MIN(ROW('03.Muestra'!$D$8:$D$42))+1,""),ROW()-474)),"")</f>
        <v/>
      </c>
      <c r="D487" s="130" t="str">
        <f t="shared" si="25"/>
        <v/>
      </c>
      <c r="E487" s="107" t="str">
        <f t="shared" si="24"/>
        <v/>
      </c>
      <c r="F487" s="19"/>
      <c r="G487" s="19"/>
      <c r="H487" s="19"/>
      <c r="I487" s="19"/>
      <c r="J487" s="19"/>
      <c r="K487" s="233"/>
      <c r="L487" s="19"/>
      <c r="M487" s="19"/>
      <c r="N487" s="19"/>
      <c r="O487" s="19"/>
      <c r="P487" s="19"/>
      <c r="Q487" s="19"/>
      <c r="R487" s="19"/>
      <c r="S487" s="19"/>
      <c r="T487" s="19"/>
      <c r="U487" s="19"/>
      <c r="V487" s="19"/>
      <c r="W487" s="19"/>
      <c r="X487" s="19"/>
      <c r="Y487" s="19"/>
    </row>
    <row r="488" spans="1:25" ht="14.1" customHeight="1">
      <c r="A488" s="219" t="str" cm="1">
        <f t="array" ref="A488">IFERROR(INDEX('03.Muestra'!$B$8:$B$42,SMALL(IF("Documento no web"='03.Muestra'!$D$8:$D$42,ROW('03.Muestra'!$B$8:$B$42)-MIN(ROW('03.Muestra'!$D$8:$D$42))+1,""),ROW()-474)),"")</f>
        <v/>
      </c>
      <c r="B488" s="114" t="str" cm="1">
        <f t="array" ref="B488">IFERROR(INDEX('03.Muestra'!$C$8:$C$42,SMALL(IF("Documento no web"='03.Muestra'!$D$8:$D$42,ROW('03.Muestra'!$C$8:$C$42)-MIN(ROW('03.Muestra'!$D$8:$D$42))+1,""),ROW()-474)),"")</f>
        <v/>
      </c>
      <c r="C488" s="114" t="str" cm="1">
        <f t="array" ref="C488">IFERROR(INDEX('03.Muestra'!$F$8:$F$42,SMALL(IF("Documento no web"='03.Muestra'!$D$8:$D$42,ROW('03.Muestra'!$F$8:$F$42)-MIN(ROW('03.Muestra'!$D$8:$D$42))+1,""),ROW()-474)),"")</f>
        <v/>
      </c>
      <c r="D488" s="130" t="str">
        <f t="shared" si="25"/>
        <v/>
      </c>
      <c r="E488" s="107" t="str">
        <f t="shared" si="24"/>
        <v/>
      </c>
      <c r="F488" s="19"/>
      <c r="G488" s="19"/>
      <c r="H488" s="19"/>
      <c r="I488" s="19"/>
      <c r="J488" s="19"/>
      <c r="K488" s="233"/>
      <c r="L488" s="19"/>
      <c r="M488" s="19"/>
      <c r="N488" s="19"/>
      <c r="O488" s="19"/>
      <c r="P488" s="19"/>
      <c r="Q488" s="19"/>
      <c r="R488" s="19"/>
      <c r="S488" s="19"/>
      <c r="T488" s="19"/>
      <c r="U488" s="19"/>
      <c r="V488" s="19"/>
      <c r="W488" s="19"/>
      <c r="X488" s="19"/>
      <c r="Y488" s="19"/>
    </row>
    <row r="489" spans="1:25" ht="14.1" customHeight="1">
      <c r="A489" s="219" t="str" cm="1">
        <f t="array" ref="A489">IFERROR(INDEX('03.Muestra'!$B$8:$B$42,SMALL(IF("Documento no web"='03.Muestra'!$D$8:$D$42,ROW('03.Muestra'!$B$8:$B$42)-MIN(ROW('03.Muestra'!$D$8:$D$42))+1,""),ROW()-474)),"")</f>
        <v/>
      </c>
      <c r="B489" s="114" t="str" cm="1">
        <f t="array" ref="B489">IFERROR(INDEX('03.Muestra'!$C$8:$C$42,SMALL(IF("Documento no web"='03.Muestra'!$D$8:$D$42,ROW('03.Muestra'!$C$8:$C$42)-MIN(ROW('03.Muestra'!$D$8:$D$42))+1,""),ROW()-474)),"")</f>
        <v/>
      </c>
      <c r="C489" s="114" t="str" cm="1">
        <f t="array" ref="C489">IFERROR(INDEX('03.Muestra'!$F$8:$F$42,SMALL(IF("Documento no web"='03.Muestra'!$D$8:$D$42,ROW('03.Muestra'!$F$8:$F$42)-MIN(ROW('03.Muestra'!$D$8:$D$42))+1,""),ROW()-474)),"")</f>
        <v/>
      </c>
      <c r="D489" s="130" t="str">
        <f t="shared" si="25"/>
        <v/>
      </c>
      <c r="E489" s="107" t="str">
        <f t="shared" si="24"/>
        <v/>
      </c>
      <c r="F489" s="19"/>
      <c r="G489" s="19"/>
      <c r="H489" s="19"/>
      <c r="I489" s="19"/>
      <c r="J489" s="19"/>
      <c r="K489" s="233"/>
      <c r="L489" s="19"/>
      <c r="M489" s="19"/>
      <c r="N489" s="19"/>
      <c r="O489" s="19"/>
      <c r="P489" s="19"/>
      <c r="Q489" s="19"/>
      <c r="R489" s="19"/>
      <c r="S489" s="19"/>
      <c r="T489" s="19"/>
      <c r="U489" s="19"/>
      <c r="V489" s="19"/>
      <c r="W489" s="19"/>
      <c r="X489" s="19"/>
      <c r="Y489" s="19"/>
    </row>
    <row r="490" spans="1:25" ht="14.1" customHeight="1">
      <c r="A490" s="219" t="str" cm="1">
        <f t="array" ref="A490">IFERROR(INDEX('03.Muestra'!$B$8:$B$42,SMALL(IF("Documento no web"='03.Muestra'!$D$8:$D$42,ROW('03.Muestra'!$B$8:$B$42)-MIN(ROW('03.Muestra'!$D$8:$D$42))+1,""),ROW()-474)),"")</f>
        <v/>
      </c>
      <c r="B490" s="114" t="str" cm="1">
        <f t="array" ref="B490">IFERROR(INDEX('03.Muestra'!$C$8:$C$42,SMALL(IF("Documento no web"='03.Muestra'!$D$8:$D$42,ROW('03.Muestra'!$C$8:$C$42)-MIN(ROW('03.Muestra'!$D$8:$D$42))+1,""),ROW()-474)),"")</f>
        <v/>
      </c>
      <c r="C490" s="114" t="str" cm="1">
        <f t="array" ref="C490">IFERROR(INDEX('03.Muestra'!$F$8:$F$42,SMALL(IF("Documento no web"='03.Muestra'!$D$8:$D$42,ROW('03.Muestra'!$F$8:$F$42)-MIN(ROW('03.Muestra'!$D$8:$D$42))+1,""),ROW()-474)),"")</f>
        <v/>
      </c>
      <c r="D490" s="130" t="str">
        <f t="shared" si="25"/>
        <v/>
      </c>
      <c r="E490" s="107" t="str">
        <f t="shared" si="24"/>
        <v/>
      </c>
      <c r="F490" s="19"/>
      <c r="G490" s="19"/>
      <c r="H490" s="19"/>
      <c r="I490" s="19"/>
      <c r="J490" s="19"/>
      <c r="K490" s="233"/>
      <c r="L490" s="19"/>
      <c r="M490" s="19"/>
      <c r="N490" s="19"/>
      <c r="O490" s="19"/>
      <c r="P490" s="19"/>
      <c r="Q490" s="19"/>
      <c r="R490" s="19"/>
      <c r="S490" s="19"/>
      <c r="T490" s="19"/>
      <c r="U490" s="19"/>
      <c r="V490" s="19"/>
      <c r="W490" s="19"/>
      <c r="X490" s="19"/>
      <c r="Y490" s="19"/>
    </row>
    <row r="491" spans="1:25" ht="14.1" customHeight="1">
      <c r="A491" s="219" t="str" cm="1">
        <f t="array" ref="A491">IFERROR(INDEX('03.Muestra'!$B$8:$B$42,SMALL(IF("Documento no web"='03.Muestra'!$D$8:$D$42,ROW('03.Muestra'!$B$8:$B$42)-MIN(ROW('03.Muestra'!$D$8:$D$42))+1,""),ROW()-474)),"")</f>
        <v/>
      </c>
      <c r="B491" s="114" t="str" cm="1">
        <f t="array" ref="B491">IFERROR(INDEX('03.Muestra'!$C$8:$C$42,SMALL(IF("Documento no web"='03.Muestra'!$D$8:$D$42,ROW('03.Muestra'!$C$8:$C$42)-MIN(ROW('03.Muestra'!$D$8:$D$42))+1,""),ROW()-474)),"")</f>
        <v/>
      </c>
      <c r="C491" s="114" t="str" cm="1">
        <f t="array" ref="C491">IFERROR(INDEX('03.Muestra'!$F$8:$F$42,SMALL(IF("Documento no web"='03.Muestra'!$D$8:$D$42,ROW('03.Muestra'!$F$8:$F$42)-MIN(ROW('03.Muestra'!$D$8:$D$42))+1,""),ROW()-474)),"")</f>
        <v/>
      </c>
      <c r="D491" s="130" t="str">
        <f t="shared" si="25"/>
        <v/>
      </c>
      <c r="E491" s="107" t="str">
        <f t="shared" si="24"/>
        <v/>
      </c>
      <c r="F491" s="19"/>
      <c r="G491" s="19"/>
      <c r="H491" s="19"/>
      <c r="I491" s="19"/>
      <c r="J491" s="19"/>
      <c r="K491" s="233"/>
      <c r="L491" s="19"/>
      <c r="M491" s="19"/>
      <c r="N491" s="19"/>
      <c r="O491" s="19"/>
      <c r="P491" s="19"/>
      <c r="Q491" s="19"/>
      <c r="R491" s="19"/>
      <c r="S491" s="19"/>
      <c r="T491" s="19"/>
      <c r="U491" s="19"/>
      <c r="V491" s="19"/>
      <c r="W491" s="19"/>
      <c r="X491" s="19"/>
      <c r="Y491" s="19"/>
    </row>
    <row r="492" spans="1:25" ht="14.1" customHeight="1">
      <c r="A492" s="219" t="str" cm="1">
        <f t="array" ref="A492">IFERROR(INDEX('03.Muestra'!$B$8:$B$42,SMALL(IF("Documento no web"='03.Muestra'!$D$8:$D$42,ROW('03.Muestra'!$B$8:$B$42)-MIN(ROW('03.Muestra'!$D$8:$D$42))+1,""),ROW()-474)),"")</f>
        <v/>
      </c>
      <c r="B492" s="114" t="str" cm="1">
        <f t="array" ref="B492">IFERROR(INDEX('03.Muestra'!$C$8:$C$42,SMALL(IF("Documento no web"='03.Muestra'!$D$8:$D$42,ROW('03.Muestra'!$C$8:$C$42)-MIN(ROW('03.Muestra'!$D$8:$D$42))+1,""),ROW()-474)),"")</f>
        <v/>
      </c>
      <c r="C492" s="114" t="str" cm="1">
        <f t="array" ref="C492">IFERROR(INDEX('03.Muestra'!$F$8:$F$42,SMALL(IF("Documento no web"='03.Muestra'!$D$8:$D$42,ROW('03.Muestra'!$F$8:$F$42)-MIN(ROW('03.Muestra'!$D$8:$D$42))+1,""),ROW()-474)),"")</f>
        <v/>
      </c>
      <c r="D492" s="130" t="str">
        <f t="shared" si="25"/>
        <v/>
      </c>
      <c r="E492" s="107" t="str">
        <f t="shared" si="24"/>
        <v/>
      </c>
      <c r="F492" s="19"/>
      <c r="G492" s="19"/>
      <c r="H492" s="19"/>
      <c r="I492" s="19"/>
      <c r="J492" s="19"/>
      <c r="K492" s="233"/>
      <c r="L492" s="19"/>
      <c r="M492" s="19"/>
      <c r="N492" s="19"/>
      <c r="O492" s="19"/>
      <c r="P492" s="19"/>
      <c r="Q492" s="19"/>
      <c r="R492" s="19"/>
      <c r="S492" s="19"/>
      <c r="T492" s="19"/>
      <c r="U492" s="19"/>
      <c r="V492" s="19"/>
      <c r="W492" s="19"/>
      <c r="X492" s="19"/>
      <c r="Y492" s="19"/>
    </row>
    <row r="493" spans="1:25" ht="14.1" customHeight="1">
      <c r="A493" s="219" t="str" cm="1">
        <f t="array" ref="A493">IFERROR(INDEX('03.Muestra'!$B$8:$B$42,SMALL(IF("Documento no web"='03.Muestra'!$D$8:$D$42,ROW('03.Muestra'!$B$8:$B$42)-MIN(ROW('03.Muestra'!$D$8:$D$42))+1,""),ROW()-474)),"")</f>
        <v/>
      </c>
      <c r="B493" s="114" t="str" cm="1">
        <f t="array" ref="B493">IFERROR(INDEX('03.Muestra'!$C$8:$C$42,SMALL(IF("Documento no web"='03.Muestra'!$D$8:$D$42,ROW('03.Muestra'!$C$8:$C$42)-MIN(ROW('03.Muestra'!$D$8:$D$42))+1,""),ROW()-474)),"")</f>
        <v/>
      </c>
      <c r="C493" s="114" t="str" cm="1">
        <f t="array" ref="C493">IFERROR(INDEX('03.Muestra'!$F$8:$F$42,SMALL(IF("Documento no web"='03.Muestra'!$D$8:$D$42,ROW('03.Muestra'!$F$8:$F$42)-MIN(ROW('03.Muestra'!$D$8:$D$42))+1,""),ROW()-474)),"")</f>
        <v/>
      </c>
      <c r="D493" s="130" t="str">
        <f t="shared" si="25"/>
        <v/>
      </c>
      <c r="E493" s="107" t="str">
        <f t="shared" si="24"/>
        <v/>
      </c>
      <c r="F493" s="19"/>
      <c r="G493" s="19"/>
      <c r="H493" s="19"/>
      <c r="I493" s="19"/>
      <c r="J493" s="19"/>
      <c r="K493" s="233"/>
      <c r="L493" s="19"/>
      <c r="M493" s="19"/>
      <c r="N493" s="19"/>
      <c r="O493" s="19"/>
      <c r="P493" s="19"/>
      <c r="Q493" s="19"/>
      <c r="R493" s="19"/>
      <c r="S493" s="19"/>
      <c r="T493" s="19"/>
      <c r="U493" s="19"/>
      <c r="V493" s="19"/>
      <c r="W493" s="19"/>
      <c r="X493" s="19"/>
      <c r="Y493" s="19"/>
    </row>
    <row r="494" spans="1:25" ht="14.1" customHeight="1">
      <c r="A494" s="219" t="str" cm="1">
        <f t="array" ref="A494">IFERROR(INDEX('03.Muestra'!$B$8:$B$42,SMALL(IF("Documento no web"='03.Muestra'!$D$8:$D$42,ROW('03.Muestra'!$B$8:$B$42)-MIN(ROW('03.Muestra'!$D$8:$D$42))+1,""),ROW()-474)),"")</f>
        <v/>
      </c>
      <c r="B494" s="114" t="str" cm="1">
        <f t="array" ref="B494">IFERROR(INDEX('03.Muestra'!$C$8:$C$42,SMALL(IF("Documento no web"='03.Muestra'!$D$8:$D$42,ROW('03.Muestra'!$C$8:$C$42)-MIN(ROW('03.Muestra'!$D$8:$D$42))+1,""),ROW()-474)),"")</f>
        <v/>
      </c>
      <c r="C494" s="114" t="str" cm="1">
        <f t="array" ref="C494">IFERROR(INDEX('03.Muestra'!$F$8:$F$42,SMALL(IF("Documento no web"='03.Muestra'!$D$8:$D$42,ROW('03.Muestra'!$F$8:$F$42)-MIN(ROW('03.Muestra'!$D$8:$D$42))+1,""),ROW()-474)),"")</f>
        <v/>
      </c>
      <c r="D494" s="130" t="str">
        <f t="shared" si="25"/>
        <v/>
      </c>
      <c r="E494" s="107" t="str">
        <f t="shared" si="24"/>
        <v/>
      </c>
      <c r="F494" s="19"/>
      <c r="G494" s="19"/>
      <c r="H494" s="19"/>
      <c r="I494" s="19"/>
      <c r="J494" s="19"/>
      <c r="K494" s="233"/>
      <c r="L494" s="19"/>
      <c r="M494" s="19"/>
      <c r="N494" s="19"/>
      <c r="O494" s="19"/>
      <c r="P494" s="19"/>
      <c r="Q494" s="19"/>
      <c r="R494" s="19"/>
      <c r="S494" s="19"/>
      <c r="T494" s="19"/>
      <c r="U494" s="19"/>
      <c r="V494" s="19"/>
      <c r="W494" s="19"/>
      <c r="X494" s="19"/>
      <c r="Y494" s="19"/>
    </row>
    <row r="495" spans="1:25" ht="14.1" customHeight="1">
      <c r="A495" s="219" t="str" cm="1">
        <f t="array" ref="A495">IFERROR(INDEX('03.Muestra'!$B$8:$B$42,SMALL(IF("Documento no web"='03.Muestra'!$D$8:$D$42,ROW('03.Muestra'!$B$8:$B$42)-MIN(ROW('03.Muestra'!$D$8:$D$42))+1,""),ROW()-474)),"")</f>
        <v/>
      </c>
      <c r="B495" s="114" t="str" cm="1">
        <f t="array" ref="B495">IFERROR(INDEX('03.Muestra'!$C$8:$C$42,SMALL(IF("Documento no web"='03.Muestra'!$D$8:$D$42,ROW('03.Muestra'!$C$8:$C$42)-MIN(ROW('03.Muestra'!$D$8:$D$42))+1,""),ROW()-474)),"")</f>
        <v/>
      </c>
      <c r="C495" s="114" t="str" cm="1">
        <f t="array" ref="C495">IFERROR(INDEX('03.Muestra'!$F$8:$F$42,SMALL(IF("Documento no web"='03.Muestra'!$D$8:$D$42,ROW('03.Muestra'!$F$8:$F$42)-MIN(ROW('03.Muestra'!$D$8:$D$42))+1,""),ROW()-474)),"")</f>
        <v/>
      </c>
      <c r="D495" s="130" t="str">
        <f t="shared" si="25"/>
        <v/>
      </c>
      <c r="E495" s="107" t="str">
        <f t="shared" si="24"/>
        <v/>
      </c>
      <c r="F495" s="19"/>
      <c r="G495" s="19"/>
      <c r="H495" s="19"/>
      <c r="I495" s="19"/>
      <c r="J495" s="19"/>
      <c r="K495" s="233"/>
      <c r="L495" s="19"/>
      <c r="M495" s="19"/>
      <c r="N495" s="19"/>
      <c r="O495" s="19"/>
      <c r="P495" s="19"/>
      <c r="Q495" s="19"/>
      <c r="R495" s="19"/>
      <c r="S495" s="19"/>
      <c r="T495" s="19"/>
      <c r="U495" s="19"/>
      <c r="V495" s="19"/>
      <c r="W495" s="19"/>
      <c r="X495" s="19"/>
      <c r="Y495" s="19"/>
    </row>
    <row r="496" spans="1:25" ht="14.1" customHeight="1">
      <c r="A496" s="219" t="str" cm="1">
        <f t="array" ref="A496">IFERROR(INDEX('03.Muestra'!$B$8:$B$42,SMALL(IF("Documento no web"='03.Muestra'!$D$8:$D$42,ROW('03.Muestra'!$B$8:$B$42)-MIN(ROW('03.Muestra'!$D$8:$D$42))+1,""),ROW()-474)),"")</f>
        <v/>
      </c>
      <c r="B496" s="114" t="str" cm="1">
        <f t="array" ref="B496">IFERROR(INDEX('03.Muestra'!$C$8:$C$42,SMALL(IF("Documento no web"='03.Muestra'!$D$8:$D$42,ROW('03.Muestra'!$C$8:$C$42)-MIN(ROW('03.Muestra'!$D$8:$D$42))+1,""),ROW()-474)),"")</f>
        <v/>
      </c>
      <c r="C496" s="114" t="str" cm="1">
        <f t="array" ref="C496">IFERROR(INDEX('03.Muestra'!$F$8:$F$42,SMALL(IF("Documento no web"='03.Muestra'!$D$8:$D$42,ROW('03.Muestra'!$F$8:$F$42)-MIN(ROW('03.Muestra'!$D$8:$D$42))+1,""),ROW()-474)),"")</f>
        <v/>
      </c>
      <c r="D496" s="130" t="str">
        <f t="shared" si="25"/>
        <v/>
      </c>
      <c r="E496" s="107" t="str">
        <f t="shared" si="24"/>
        <v/>
      </c>
      <c r="F496" s="19"/>
      <c r="G496" s="19"/>
      <c r="H496" s="19"/>
      <c r="I496" s="19"/>
      <c r="J496" s="19"/>
      <c r="K496" s="233"/>
      <c r="L496" s="19"/>
      <c r="M496" s="19"/>
      <c r="N496" s="19"/>
      <c r="O496" s="19"/>
      <c r="P496" s="19"/>
      <c r="Q496" s="19"/>
      <c r="R496" s="19"/>
      <c r="S496" s="19"/>
      <c r="T496" s="19"/>
      <c r="U496" s="19"/>
      <c r="V496" s="19"/>
      <c r="W496" s="19"/>
      <c r="X496" s="19"/>
      <c r="Y496" s="19"/>
    </row>
    <row r="497" spans="1:25" ht="14.1" customHeight="1">
      <c r="A497" s="219" t="str" cm="1">
        <f t="array" ref="A497">IFERROR(INDEX('03.Muestra'!$B$8:$B$42,SMALL(IF("Documento no web"='03.Muestra'!$D$8:$D$42,ROW('03.Muestra'!$B$8:$B$42)-MIN(ROW('03.Muestra'!$D$8:$D$42))+1,""),ROW()-474)),"")</f>
        <v/>
      </c>
      <c r="B497" s="114" t="str" cm="1">
        <f t="array" ref="B497">IFERROR(INDEX('03.Muestra'!$C$8:$C$42,SMALL(IF("Documento no web"='03.Muestra'!$D$8:$D$42,ROW('03.Muestra'!$C$8:$C$42)-MIN(ROW('03.Muestra'!$D$8:$D$42))+1,""),ROW()-474)),"")</f>
        <v/>
      </c>
      <c r="C497" s="114" t="str" cm="1">
        <f t="array" ref="C497">IFERROR(INDEX('03.Muestra'!$F$8:$F$42,SMALL(IF("Documento no web"='03.Muestra'!$D$8:$D$42,ROW('03.Muestra'!$F$8:$F$42)-MIN(ROW('03.Muestra'!$D$8:$D$42))+1,""),ROW()-474)),"")</f>
        <v/>
      </c>
      <c r="D497" s="130" t="str">
        <f t="shared" si="25"/>
        <v/>
      </c>
      <c r="E497" s="107" t="str">
        <f t="shared" si="24"/>
        <v/>
      </c>
      <c r="F497" s="19"/>
      <c r="G497" s="19"/>
      <c r="H497" s="19"/>
      <c r="I497" s="19"/>
      <c r="J497" s="19"/>
      <c r="K497" s="233"/>
      <c r="L497" s="19"/>
      <c r="M497" s="19"/>
      <c r="N497" s="19"/>
      <c r="O497" s="19"/>
      <c r="P497" s="19"/>
      <c r="Q497" s="19"/>
      <c r="R497" s="19"/>
      <c r="S497" s="19"/>
      <c r="T497" s="19"/>
      <c r="U497" s="19"/>
      <c r="V497" s="19"/>
      <c r="W497" s="19"/>
      <c r="X497" s="19"/>
      <c r="Y497" s="19"/>
    </row>
    <row r="498" spans="1:25" ht="12" customHeight="1">
      <c r="A498" s="219" t="str" cm="1">
        <f t="array" ref="A498">IFERROR(INDEX('03.Muestra'!$B$8:$B$42,SMALL(IF("Documento no web"='03.Muestra'!$D$8:$D$42,ROW('03.Muestra'!$B$8:$B$42)-MIN(ROW('03.Muestra'!$D$8:$D$42))+1,""),ROW()-474)),"")</f>
        <v/>
      </c>
      <c r="B498" s="114" t="str" cm="1">
        <f t="array" ref="B498">IFERROR(INDEX('03.Muestra'!$C$8:$C$42,SMALL(IF("Documento no web"='03.Muestra'!$D$8:$D$42,ROW('03.Muestra'!$C$8:$C$42)-MIN(ROW('03.Muestra'!$D$8:$D$42))+1,""),ROW()-474)),"")</f>
        <v/>
      </c>
      <c r="C498" s="114" t="str" cm="1">
        <f t="array" ref="C498">IFERROR(INDEX('03.Muestra'!$F$8:$F$42,SMALL(IF("Documento no web"='03.Muestra'!$D$8:$D$42,ROW('03.Muestra'!$F$8:$F$42)-MIN(ROW('03.Muestra'!$D$8:$D$42))+1,""),ROW()-474)),"")</f>
        <v/>
      </c>
      <c r="D498" s="130" t="str">
        <f t="shared" si="25"/>
        <v/>
      </c>
      <c r="E498" s="107" t="str">
        <f t="shared" si="24"/>
        <v/>
      </c>
      <c r="F498" s="19"/>
      <c r="G498" s="19"/>
      <c r="H498" s="19"/>
      <c r="I498" s="19"/>
      <c r="J498" s="19"/>
      <c r="K498" s="233"/>
      <c r="L498" s="19"/>
      <c r="M498" s="19"/>
      <c r="N498" s="19"/>
      <c r="O498" s="19"/>
      <c r="P498" s="19"/>
      <c r="Q498" s="19"/>
      <c r="R498" s="19"/>
      <c r="S498" s="19"/>
      <c r="T498" s="19"/>
      <c r="U498" s="19"/>
      <c r="V498" s="19"/>
      <c r="W498" s="19"/>
      <c r="X498" s="19"/>
      <c r="Y498" s="19"/>
    </row>
    <row r="499" spans="1:25" ht="12" customHeight="1">
      <c r="A499" s="219" t="str" cm="1">
        <f t="array" ref="A499">IFERROR(INDEX('03.Muestra'!$B$8:$B$42,SMALL(IF("Documento no web"='03.Muestra'!$D$8:$D$42,ROW('03.Muestra'!$B$8:$B$42)-MIN(ROW('03.Muestra'!$D$8:$D$42))+1,""),ROW()-474)),"")</f>
        <v/>
      </c>
      <c r="B499" s="114" t="str" cm="1">
        <f t="array" ref="B499">IFERROR(INDEX('03.Muestra'!$C$8:$C$42,SMALL(IF("Documento no web"='03.Muestra'!$D$8:$D$42,ROW('03.Muestra'!$C$8:$C$42)-MIN(ROW('03.Muestra'!$D$8:$D$42))+1,""),ROW()-474)),"")</f>
        <v/>
      </c>
      <c r="C499" s="114" t="str" cm="1">
        <f t="array" ref="C499">IFERROR(INDEX('03.Muestra'!$F$8:$F$42,SMALL(IF("Documento no web"='03.Muestra'!$D$8:$D$42,ROW('03.Muestra'!$F$8:$F$42)-MIN(ROW('03.Muestra'!$D$8:$D$42))+1,""),ROW()-474)),"")</f>
        <v/>
      </c>
      <c r="D499" s="130" t="str">
        <f t="shared" si="25"/>
        <v/>
      </c>
      <c r="E499" s="107" t="str">
        <f t="shared" si="24"/>
        <v/>
      </c>
      <c r="F499" s="19"/>
      <c r="G499" s="19"/>
      <c r="H499" s="19"/>
      <c r="I499" s="19"/>
      <c r="J499" s="19"/>
      <c r="K499" s="233"/>
      <c r="L499" s="19"/>
      <c r="M499" s="19"/>
      <c r="N499" s="19"/>
      <c r="O499" s="19"/>
      <c r="P499" s="19"/>
      <c r="Q499" s="19"/>
      <c r="R499" s="19"/>
      <c r="S499" s="19"/>
      <c r="T499" s="19"/>
      <c r="U499" s="19"/>
      <c r="V499" s="19"/>
      <c r="W499" s="19"/>
      <c r="X499" s="19"/>
      <c r="Y499" s="19"/>
    </row>
    <row r="500" spans="1:25" ht="12" customHeight="1">
      <c r="A500" s="219" t="str" cm="1">
        <f t="array" ref="A500">IFERROR(INDEX('03.Muestra'!$B$8:$B$42,SMALL(IF("Documento no web"='03.Muestra'!$D$8:$D$42,ROW('03.Muestra'!$B$8:$B$42)-MIN(ROW('03.Muestra'!$D$8:$D$42))+1,""),ROW()-474)),"")</f>
        <v/>
      </c>
      <c r="B500" s="114" t="str" cm="1">
        <f t="array" ref="B500">IFERROR(INDEX('03.Muestra'!$C$8:$C$42,SMALL(IF("Documento no web"='03.Muestra'!$D$8:$D$42,ROW('03.Muestra'!$C$8:$C$42)-MIN(ROW('03.Muestra'!$D$8:$D$42))+1,""),ROW()-474)),"")</f>
        <v/>
      </c>
      <c r="C500" s="114" t="str" cm="1">
        <f t="array" ref="C500">IFERROR(INDEX('03.Muestra'!$F$8:$F$42,SMALL(IF("Documento no web"='03.Muestra'!$D$8:$D$42,ROW('03.Muestra'!$F$8:$F$42)-MIN(ROW('03.Muestra'!$D$8:$D$42))+1,""),ROW()-474)),"")</f>
        <v/>
      </c>
      <c r="D500" s="130" t="str">
        <f t="shared" si="25"/>
        <v/>
      </c>
      <c r="E500" s="107" t="str">
        <f t="shared" si="24"/>
        <v/>
      </c>
      <c r="F500" s="19"/>
      <c r="G500" s="19"/>
      <c r="H500" s="19"/>
      <c r="I500" s="19"/>
      <c r="J500" s="19"/>
      <c r="K500" s="233"/>
      <c r="L500" s="19"/>
      <c r="M500" s="19"/>
      <c r="N500" s="19"/>
      <c r="O500" s="19"/>
      <c r="P500" s="19"/>
      <c r="Q500" s="19"/>
      <c r="R500" s="19"/>
      <c r="S500" s="19"/>
      <c r="T500" s="19"/>
      <c r="U500" s="19"/>
      <c r="V500" s="19"/>
      <c r="W500" s="19"/>
      <c r="X500" s="19"/>
      <c r="Y500" s="19"/>
    </row>
    <row r="501" spans="1:25" ht="12" customHeight="1">
      <c r="A501" s="219" t="str" cm="1">
        <f t="array" ref="A501">IFERROR(INDEX('03.Muestra'!$B$8:$B$42,SMALL(IF("Documento no web"='03.Muestra'!$D$8:$D$42,ROW('03.Muestra'!$B$8:$B$42)-MIN(ROW('03.Muestra'!$D$8:$D$42))+1,""),ROW()-474)),"")</f>
        <v/>
      </c>
      <c r="B501" s="114" t="str" cm="1">
        <f t="array" ref="B501">IFERROR(INDEX('03.Muestra'!$C$8:$C$42,SMALL(IF("Documento no web"='03.Muestra'!$D$8:$D$42,ROW('03.Muestra'!$C$8:$C$42)-MIN(ROW('03.Muestra'!$D$8:$D$42))+1,""),ROW()-474)),"")</f>
        <v/>
      </c>
      <c r="C501" s="114" t="str" cm="1">
        <f t="array" ref="C501">IFERROR(INDEX('03.Muestra'!$F$8:$F$42,SMALL(IF("Documento no web"='03.Muestra'!$D$8:$D$42,ROW('03.Muestra'!$F$8:$F$42)-MIN(ROW('03.Muestra'!$D$8:$D$42))+1,""),ROW()-474)),"")</f>
        <v/>
      </c>
      <c r="D501" s="130" t="str">
        <f t="shared" si="25"/>
        <v/>
      </c>
      <c r="E501" s="107" t="str">
        <f t="shared" si="24"/>
        <v/>
      </c>
      <c r="F501" s="19"/>
      <c r="G501" s="19"/>
      <c r="H501" s="19"/>
      <c r="I501" s="19"/>
      <c r="J501" s="19"/>
      <c r="K501" s="233"/>
      <c r="L501" s="19"/>
      <c r="M501" s="19"/>
      <c r="N501" s="19"/>
      <c r="O501" s="19"/>
      <c r="P501" s="19"/>
      <c r="Q501" s="19"/>
      <c r="R501" s="19"/>
      <c r="S501" s="19"/>
      <c r="T501" s="19"/>
      <c r="U501" s="19"/>
      <c r="V501" s="19"/>
      <c r="W501" s="19"/>
      <c r="X501" s="19"/>
      <c r="Y501" s="19"/>
    </row>
    <row r="502" spans="1:25" ht="12" customHeight="1">
      <c r="A502" s="219" t="str" cm="1">
        <f t="array" ref="A502">IFERROR(INDEX('03.Muestra'!$B$8:$B$42,SMALL(IF("Documento no web"='03.Muestra'!$D$8:$D$42,ROW('03.Muestra'!$B$8:$B$42)-MIN(ROW('03.Muestra'!$D$8:$D$42))+1,""),ROW()-474)),"")</f>
        <v/>
      </c>
      <c r="B502" s="114" t="str" cm="1">
        <f t="array" ref="B502">IFERROR(INDEX('03.Muestra'!$C$8:$C$42,SMALL(IF("Documento no web"='03.Muestra'!$D$8:$D$42,ROW('03.Muestra'!$C$8:$C$42)-MIN(ROW('03.Muestra'!$D$8:$D$42))+1,""),ROW()-474)),"")</f>
        <v/>
      </c>
      <c r="C502" s="114" t="str" cm="1">
        <f t="array" ref="C502">IFERROR(INDEX('03.Muestra'!$F$8:$F$42,SMALL(IF("Documento no web"='03.Muestra'!$D$8:$D$42,ROW('03.Muestra'!$F$8:$F$42)-MIN(ROW('03.Muestra'!$D$8:$D$42))+1,""),ROW()-474)),"")</f>
        <v/>
      </c>
      <c r="D502" s="130" t="str">
        <f t="shared" si="25"/>
        <v/>
      </c>
      <c r="E502" s="107" t="str">
        <f t="shared" si="24"/>
        <v/>
      </c>
      <c r="G502" s="19"/>
      <c r="H502" s="19"/>
      <c r="I502" s="19"/>
      <c r="J502" s="19"/>
      <c r="K502" s="233"/>
      <c r="L502" s="19"/>
      <c r="M502" s="19"/>
      <c r="N502" s="19"/>
      <c r="O502" s="19"/>
      <c r="P502" s="19"/>
      <c r="Q502" s="19"/>
      <c r="R502" s="19"/>
      <c r="S502" s="19"/>
      <c r="T502" s="19"/>
      <c r="U502" s="19"/>
      <c r="V502" s="19"/>
      <c r="W502" s="19"/>
      <c r="X502" s="19"/>
      <c r="Y502" s="19"/>
    </row>
    <row r="503" spans="1:25" ht="12" customHeight="1">
      <c r="A503" s="219" t="str" cm="1">
        <f t="array" ref="A503">IFERROR(INDEX('03.Muestra'!$B$8:$B$42,SMALL(IF("Documento no web"='03.Muestra'!$D$8:$D$42,ROW('03.Muestra'!$B$8:$B$42)-MIN(ROW('03.Muestra'!$D$8:$D$42))+1,""),ROW()-474)),"")</f>
        <v/>
      </c>
      <c r="B503" s="114" t="str" cm="1">
        <f t="array" ref="B503">IFERROR(INDEX('03.Muestra'!$C$8:$C$42,SMALL(IF("Documento no web"='03.Muestra'!$D$8:$D$42,ROW('03.Muestra'!$C$8:$C$42)-MIN(ROW('03.Muestra'!$D$8:$D$42))+1,""),ROW()-474)),"")</f>
        <v/>
      </c>
      <c r="C503" s="114" t="str" cm="1">
        <f t="array" ref="C503">IFERROR(INDEX('03.Muestra'!$F$8:$F$42,SMALL(IF("Documento no web"='03.Muestra'!$D$8:$D$42,ROW('03.Muestra'!$F$8:$F$42)-MIN(ROW('03.Muestra'!$D$8:$D$42))+1,""),ROW()-474)),"")</f>
        <v/>
      </c>
      <c r="D503" s="130" t="str">
        <f t="shared" si="25"/>
        <v/>
      </c>
      <c r="E503" s="107" t="str">
        <f t="shared" si="24"/>
        <v/>
      </c>
      <c r="F503" s="124"/>
      <c r="G503" s="19"/>
      <c r="H503" s="19"/>
      <c r="I503" s="19"/>
      <c r="J503" s="19"/>
      <c r="K503" s="233"/>
      <c r="L503" s="19"/>
      <c r="M503" s="19"/>
      <c r="N503" s="19"/>
      <c r="O503" s="19"/>
      <c r="P503" s="19"/>
      <c r="Q503" s="19"/>
      <c r="R503" s="19"/>
      <c r="S503" s="19"/>
      <c r="T503" s="19"/>
      <c r="U503" s="19"/>
      <c r="V503" s="19"/>
      <c r="W503" s="19"/>
      <c r="X503" s="19"/>
      <c r="Y503" s="19"/>
    </row>
    <row r="504" spans="1:25" ht="12" customHeight="1">
      <c r="A504" s="219" t="str" cm="1">
        <f t="array" ref="A504">IFERROR(INDEX('03.Muestra'!$B$8:$B$42,SMALL(IF("Documento no web"='03.Muestra'!$D$8:$D$42,ROW('03.Muestra'!$B$8:$B$42)-MIN(ROW('03.Muestra'!$D$8:$D$42))+1,""),ROW()-474)),"")</f>
        <v/>
      </c>
      <c r="B504" s="114" t="str" cm="1">
        <f t="array" ref="B504">IFERROR(INDEX('03.Muestra'!$C$8:$C$42,SMALL(IF("Documento no web"='03.Muestra'!$D$8:$D$42,ROW('03.Muestra'!$C$8:$C$42)-MIN(ROW('03.Muestra'!$D$8:$D$42))+1,""),ROW()-474)),"")</f>
        <v/>
      </c>
      <c r="C504" s="114" t="str" cm="1">
        <f t="array" ref="C504">IFERROR(INDEX('03.Muestra'!$F$8:$F$42,SMALL(IF("Documento no web"='03.Muestra'!$D$8:$D$42,ROW('03.Muestra'!$F$8:$F$42)-MIN(ROW('03.Muestra'!$D$8:$D$42))+1,""),ROW()-474)),"")</f>
        <v/>
      </c>
      <c r="D504" s="130" t="str">
        <f t="shared" si="25"/>
        <v/>
      </c>
      <c r="E504" s="107" t="str">
        <f t="shared" si="24"/>
        <v/>
      </c>
      <c r="F504" s="124"/>
      <c r="G504" s="19"/>
      <c r="H504" s="19"/>
      <c r="I504" s="19"/>
      <c r="J504" s="19"/>
      <c r="K504" s="233"/>
      <c r="L504" s="19"/>
      <c r="M504" s="19"/>
      <c r="N504" s="19"/>
      <c r="O504" s="19"/>
      <c r="P504" s="19"/>
      <c r="Q504" s="19"/>
      <c r="R504" s="19"/>
      <c r="S504" s="19"/>
      <c r="T504" s="19"/>
      <c r="U504" s="19"/>
      <c r="V504" s="19"/>
      <c r="W504" s="19"/>
      <c r="X504" s="19"/>
      <c r="Y504" s="19"/>
    </row>
    <row r="505" spans="1:25" ht="12" customHeight="1">
      <c r="A505" s="219" t="str" cm="1">
        <f t="array" ref="A505">IFERROR(INDEX('03.Muestra'!$B$8:$B$42,SMALL(IF("Documento no web"='03.Muestra'!$D$8:$D$42,ROW('03.Muestra'!$B$8:$B$42)-MIN(ROW('03.Muestra'!$D$8:$D$42))+1,""),ROW()-474)),"")</f>
        <v/>
      </c>
      <c r="B505" s="114" t="str" cm="1">
        <f t="array" ref="B505">IFERROR(INDEX('03.Muestra'!$C$8:$C$42,SMALL(IF("Documento no web"='03.Muestra'!$D$8:$D$42,ROW('03.Muestra'!$C$8:$C$42)-MIN(ROW('03.Muestra'!$D$8:$D$42))+1,""),ROW()-474)),"")</f>
        <v/>
      </c>
      <c r="C505" s="114" t="str" cm="1">
        <f t="array" ref="C505">IFERROR(INDEX('03.Muestra'!$F$8:$F$42,SMALL(IF("Documento no web"='03.Muestra'!$D$8:$D$42,ROW('03.Muestra'!$F$8:$F$42)-MIN(ROW('03.Muestra'!$D$8:$D$42))+1,""),ROW()-474)),"")</f>
        <v/>
      </c>
      <c r="D505" s="130" t="str">
        <f t="shared" si="25"/>
        <v/>
      </c>
      <c r="E505" s="107" t="str">
        <f t="shared" si="24"/>
        <v/>
      </c>
      <c r="F505" s="124"/>
      <c r="G505" s="19"/>
      <c r="H505" s="19"/>
      <c r="I505" s="19"/>
      <c r="J505" s="19"/>
      <c r="K505" s="233"/>
      <c r="L505" s="19"/>
      <c r="M505" s="19"/>
      <c r="N505" s="19"/>
      <c r="O505" s="19"/>
      <c r="P505" s="19"/>
      <c r="Q505" s="19"/>
      <c r="R505" s="19"/>
      <c r="S505" s="19"/>
      <c r="T505" s="19"/>
      <c r="U505" s="19"/>
      <c r="V505" s="19"/>
      <c r="W505" s="19"/>
      <c r="X505" s="19"/>
      <c r="Y505" s="19"/>
    </row>
    <row r="506" spans="1:25" ht="12" customHeight="1">
      <c r="A506" s="219" t="str" cm="1">
        <f t="array" ref="A506">IFERROR(INDEX('03.Muestra'!$B$8:$B$42,SMALL(IF("Documento no web"='03.Muestra'!$D$8:$D$42,ROW('03.Muestra'!$B$8:$B$42)-MIN(ROW('03.Muestra'!$D$8:$D$42))+1,""),ROW()-474)),"")</f>
        <v/>
      </c>
      <c r="B506" s="114" t="str" cm="1">
        <f t="array" ref="B506">IFERROR(INDEX('03.Muestra'!$C$8:$C$42,SMALL(IF("Documento no web"='03.Muestra'!$D$8:$D$42,ROW('03.Muestra'!$C$8:$C$42)-MIN(ROW('03.Muestra'!$D$8:$D$42))+1,""),ROW()-474)),"")</f>
        <v/>
      </c>
      <c r="C506" s="114" t="str" cm="1">
        <f t="array" ref="C506">IFERROR(INDEX('03.Muestra'!$F$8:$F$42,SMALL(IF("Documento no web"='03.Muestra'!$D$8:$D$42,ROW('03.Muestra'!$F$8:$F$42)-MIN(ROW('03.Muestra'!$D$8:$D$42))+1,""),ROW()-474)),"")</f>
        <v/>
      </c>
      <c r="D506" s="130" t="str">
        <f t="shared" si="25"/>
        <v/>
      </c>
      <c r="E506" s="107" t="str">
        <f t="shared" si="24"/>
        <v/>
      </c>
      <c r="F506" s="124"/>
      <c r="G506" s="19"/>
      <c r="H506" s="19"/>
      <c r="I506" s="19"/>
      <c r="J506" s="19"/>
      <c r="K506" s="233"/>
      <c r="L506" s="19"/>
      <c r="M506" s="19"/>
      <c r="N506" s="19"/>
      <c r="O506" s="19"/>
      <c r="P506" s="19"/>
      <c r="Q506" s="19"/>
      <c r="R506" s="19"/>
      <c r="S506" s="19"/>
      <c r="T506" s="19"/>
      <c r="U506" s="19"/>
      <c r="V506" s="19"/>
      <c r="W506" s="19"/>
      <c r="X506" s="19"/>
      <c r="Y506" s="19"/>
    </row>
    <row r="507" spans="1:25" ht="12" customHeight="1">
      <c r="A507" s="219" t="str" cm="1">
        <f t="array" ref="A507">IFERROR(INDEX('03.Muestra'!$B$8:$B$42,SMALL(IF("Documento no web"='03.Muestra'!$D$8:$D$42,ROW('03.Muestra'!$B$8:$B$42)-MIN(ROW('03.Muestra'!$D$8:$D$42))+1,""),ROW()-474)),"")</f>
        <v/>
      </c>
      <c r="B507" s="114" t="str" cm="1">
        <f t="array" ref="B507">IFERROR(INDEX('03.Muestra'!$C$8:$C$42,SMALL(IF("Documento no web"='03.Muestra'!$D$8:$D$42,ROW('03.Muestra'!$C$8:$C$42)-MIN(ROW('03.Muestra'!$D$8:$D$42))+1,""),ROW()-474)),"")</f>
        <v/>
      </c>
      <c r="C507" s="114" t="str" cm="1">
        <f t="array" ref="C507">IFERROR(INDEX('03.Muestra'!$F$8:$F$42,SMALL(IF("Documento no web"='03.Muestra'!$D$8:$D$42,ROW('03.Muestra'!$F$8:$F$42)-MIN(ROW('03.Muestra'!$D$8:$D$42))+1,""),ROW()-474)),"")</f>
        <v/>
      </c>
      <c r="D507" s="130" t="str">
        <f t="shared" si="25"/>
        <v/>
      </c>
      <c r="E507" s="107" t="str">
        <f t="shared" si="24"/>
        <v/>
      </c>
      <c r="F507" s="124"/>
      <c r="G507" s="19"/>
      <c r="H507" s="19"/>
      <c r="I507" s="19"/>
      <c r="J507" s="19"/>
      <c r="K507" s="233"/>
      <c r="L507" s="19"/>
      <c r="M507" s="19"/>
      <c r="N507" s="19"/>
      <c r="O507" s="19"/>
      <c r="P507" s="19"/>
      <c r="Q507" s="19"/>
      <c r="R507" s="19"/>
      <c r="S507" s="19"/>
      <c r="T507" s="19"/>
      <c r="U507" s="19"/>
      <c r="V507" s="19"/>
      <c r="W507" s="19"/>
      <c r="X507" s="19"/>
      <c r="Y507" s="19"/>
    </row>
    <row r="508" spans="1:25" ht="12" customHeight="1">
      <c r="A508" s="219" t="str" cm="1">
        <f t="array" ref="A508">IFERROR(INDEX('03.Muestra'!$B$8:$B$42,SMALL(IF("Documento no web"='03.Muestra'!$D$8:$D$42,ROW('03.Muestra'!$B$8:$B$42)-MIN(ROW('03.Muestra'!$D$8:$D$42))+1,""),ROW()-474)),"")</f>
        <v/>
      </c>
      <c r="B508" s="114" t="str" cm="1">
        <f t="array" ref="B508">IFERROR(INDEX('03.Muestra'!$C$8:$C$42,SMALL(IF("Documento no web"='03.Muestra'!$D$8:$D$42,ROW('03.Muestra'!$C$8:$C$42)-MIN(ROW('03.Muestra'!$D$8:$D$42))+1,""),ROW()-474)),"")</f>
        <v/>
      </c>
      <c r="C508" s="114" t="str" cm="1">
        <f t="array" ref="C508">IFERROR(INDEX('03.Muestra'!$F$8:$F$42,SMALL(IF("Documento no web"='03.Muestra'!$D$8:$D$42,ROW('03.Muestra'!$F$8:$F$42)-MIN(ROW('03.Muestra'!$D$8:$D$42))+1,""),ROW()-474)),"")</f>
        <v/>
      </c>
      <c r="D508" s="130" t="str">
        <f t="shared" si="25"/>
        <v/>
      </c>
      <c r="E508" s="107" t="str">
        <f t="shared" si="24"/>
        <v/>
      </c>
      <c r="F508" s="124"/>
      <c r="G508" s="19"/>
      <c r="H508" s="19"/>
      <c r="I508" s="19"/>
      <c r="J508" s="19"/>
      <c r="K508" s="233"/>
      <c r="L508" s="19"/>
      <c r="M508" s="19"/>
      <c r="N508" s="19"/>
      <c r="O508" s="19"/>
      <c r="P508" s="19"/>
      <c r="Q508" s="19"/>
      <c r="R508" s="19"/>
      <c r="S508" s="19"/>
      <c r="T508" s="19"/>
      <c r="U508" s="19"/>
      <c r="V508" s="19"/>
      <c r="W508" s="19"/>
      <c r="X508" s="19"/>
      <c r="Y508" s="19"/>
    </row>
    <row r="509" spans="1:25" ht="12" customHeight="1">
      <c r="A509" s="219" t="str" cm="1">
        <f t="array" ref="A509">IFERROR(INDEX('03.Muestra'!$B$8:$B$42,SMALL(IF("Documento no web"='03.Muestra'!$D$8:$D$42,ROW('03.Muestra'!$B$8:$B$42)-MIN(ROW('03.Muestra'!$D$8:$D$42))+1,""),ROW()-474)),"")</f>
        <v/>
      </c>
      <c r="B509" s="114" t="str" cm="1">
        <f t="array" ref="B509">IFERROR(INDEX('03.Muestra'!$C$8:$C$42,SMALL(IF("Documento no web"='03.Muestra'!$D$8:$D$42,ROW('03.Muestra'!$C$8:$C$42)-MIN(ROW('03.Muestra'!$D$8:$D$42))+1,""),ROW()-474)),"")</f>
        <v/>
      </c>
      <c r="C509" s="114" t="str" cm="1">
        <f t="array" ref="C509">IFERROR(INDEX('03.Muestra'!$F$8:$F$42,SMALL(IF("Documento no web"='03.Muestra'!$D$8:$D$42,ROW('03.Muestra'!$F$8:$F$42)-MIN(ROW('03.Muestra'!$D$8:$D$42))+1,""),ROW()-474)),"")</f>
        <v/>
      </c>
      <c r="D509" s="130" t="str">
        <f t="shared" si="25"/>
        <v/>
      </c>
      <c r="E509" s="107" t="str">
        <f t="shared" si="24"/>
        <v/>
      </c>
      <c r="F509" s="19"/>
      <c r="G509" s="19"/>
      <c r="H509" s="19"/>
      <c r="I509" s="19"/>
      <c r="J509" s="19"/>
      <c r="K509" s="233"/>
      <c r="L509" s="19"/>
      <c r="M509" s="19"/>
      <c r="N509" s="19"/>
      <c r="O509" s="19"/>
      <c r="P509" s="19"/>
      <c r="Q509" s="19"/>
      <c r="R509" s="19"/>
      <c r="S509" s="19"/>
      <c r="T509" s="19"/>
      <c r="U509" s="19"/>
      <c r="V509" s="19"/>
      <c r="W509" s="19"/>
      <c r="X509" s="19"/>
      <c r="Y509" s="19"/>
    </row>
    <row r="510" spans="1:25" ht="12" customHeight="1">
      <c r="B510" s="19"/>
      <c r="C510" s="19"/>
      <c r="D510" s="107"/>
      <c r="E510" s="107"/>
      <c r="F510" s="19"/>
      <c r="G510" s="19"/>
      <c r="H510" s="19"/>
      <c r="I510" s="19"/>
      <c r="J510" s="19"/>
      <c r="K510" s="233"/>
      <c r="L510" s="19"/>
      <c r="M510" s="19"/>
      <c r="N510" s="19"/>
      <c r="O510" s="19"/>
      <c r="P510" s="19"/>
      <c r="Q510" s="19"/>
      <c r="R510" s="19"/>
      <c r="S510" s="19"/>
      <c r="T510" s="19"/>
      <c r="U510" s="19"/>
      <c r="V510" s="19"/>
      <c r="W510" s="19"/>
      <c r="X510" s="19"/>
      <c r="Y510" s="19"/>
    </row>
    <row r="511" spans="1:25" ht="14.1" customHeight="1">
      <c r="B511" s="19"/>
      <c r="C511" s="19"/>
      <c r="D511" s="107"/>
      <c r="E511" s="107"/>
      <c r="F511" s="19"/>
      <c r="G511" s="19"/>
      <c r="H511" s="19"/>
      <c r="I511" s="19"/>
      <c r="J511" s="19"/>
      <c r="K511" s="233"/>
      <c r="L511" s="19"/>
      <c r="M511" s="19"/>
      <c r="N511" s="19"/>
      <c r="O511" s="19"/>
      <c r="P511" s="19"/>
      <c r="Q511" s="19"/>
      <c r="R511" s="19"/>
      <c r="S511" s="19"/>
      <c r="T511" s="19"/>
      <c r="U511" s="19"/>
      <c r="V511" s="19"/>
      <c r="W511" s="19"/>
      <c r="X511" s="19"/>
      <c r="Y511" s="19"/>
    </row>
    <row r="512" spans="1:25" ht="32.25" customHeight="1">
      <c r="A512" s="218" t="s">
        <v>268</v>
      </c>
      <c r="B512" s="24" t="s">
        <v>90</v>
      </c>
      <c r="C512" s="25" t="s">
        <v>435</v>
      </c>
      <c r="D512" s="26" t="s">
        <v>32</v>
      </c>
      <c r="E512" s="123"/>
      <c r="K512" s="233"/>
      <c r="L512" s="19"/>
      <c r="M512" s="19"/>
      <c r="N512" s="19"/>
      <c r="O512" s="19"/>
      <c r="P512" s="19"/>
      <c r="Q512" s="19"/>
      <c r="R512" s="19"/>
      <c r="S512" s="19"/>
      <c r="T512" s="19"/>
      <c r="U512" s="19"/>
      <c r="V512" s="19"/>
      <c r="W512" s="19"/>
      <c r="X512" s="19"/>
      <c r="Y512" s="19"/>
    </row>
    <row r="513" spans="1:25" ht="12" customHeight="1">
      <c r="A513" s="219" t="n" cm="1">
        <f t="array" ref="A513">IFERROR(INDEX('03.Muestra'!$B$8:$B$42,SMALL(IF("Documento no web"='03.Muestra'!$D$8:$D$42,ROW('03.Muestra'!$B$8:$B$42)-MIN(ROW('03.Muestra'!$D$8:$D$42))+1,""),ROW()-512)),"")</f>
        <v>1.0</v>
      </c>
      <c r="B513" s="114" t="str" cm="1">
        <f t="array" ref="B513">IFERROR(INDEX('03.Muestra'!$C$8:$C$42,SMALL(IF("Documento no web"='03.Muestra'!$D$8:$D$42,ROW('03.Muestra'!$C$8:$C$42)-MIN(ROW('03.Muestra'!$D$8:$D$42))+1,""),ROW()-512)),"")</f>
        <v>Home - PortCastelló</v>
      </c>
      <c r="C513" s="114" t="str" cm="1">
        <f t="array" ref="C513">IFERROR(INDEX('03.Muestra'!$F$8:$F$42,SMALL(IF("Documento no web"='03.Muestra'!$D$8:$D$42,ROW('03.Muestra'!$F$8:$F$42)-MIN(ROW('03.Muestra'!$D$8:$D$42))+1,""),ROW()-512)),"")</f>
        <v>https://www.portcastello.com/</v>
      </c>
      <c r="D513" s="130" t="s">
        <v>33</v>
      </c>
      <c r="E513" s="107" t="str">
        <f t="shared" ref="E513:E547" si="26">IF(D513&lt;&gt;"",IF(AND(B513&lt;&gt;"",C513&lt;&gt;""),"","ERR"),"")</f>
        <v/>
      </c>
      <c r="F513" s="115" t="s">
        <v>33</v>
      </c>
      <c r="G513" s="116" t="s">
        <v>37</v>
      </c>
      <c r="H513" s="117" t="s">
        <v>35</v>
      </c>
      <c r="I513" s="118" t="s">
        <v>28</v>
      </c>
      <c r="J513" s="119" t="s">
        <v>26</v>
      </c>
      <c r="K513" s="226" t="s">
        <v>474</v>
      </c>
      <c r="L513" s="19"/>
      <c r="M513" s="19"/>
      <c r="N513" s="19"/>
      <c r="O513" s="19"/>
      <c r="P513" s="19"/>
      <c r="Q513" s="19"/>
      <c r="R513" s="19"/>
      <c r="S513" s="19"/>
      <c r="T513" s="19"/>
      <c r="U513" s="19"/>
      <c r="V513" s="19"/>
      <c r="W513" s="19"/>
      <c r="X513" s="19"/>
      <c r="Y513" s="19"/>
    </row>
    <row r="514" spans="1:25" ht="12" customHeight="1">
      <c r="A514" s="219" t="n" cm="1">
        <f t="array" ref="A514">IFERROR(INDEX('03.Muestra'!$B$8:$B$42,SMALL(IF("Documento no web"='03.Muestra'!$D$8:$D$42,ROW('03.Muestra'!$B$8:$B$42)-MIN(ROW('03.Muestra'!$D$8:$D$42))+1,""),ROW()-512)),"")</f>
        <v>1.0</v>
      </c>
      <c r="B514" s="114" t="str" cm="1">
        <f t="array" ref="B514">IFERROR(INDEX('03.Muestra'!$C$8:$C$42,SMALL(IF("Documento no web"='03.Muestra'!$D$8:$D$42,ROW('03.Muestra'!$C$8:$C$42)-MIN(ROW('03.Muestra'!$D$8:$D$42))+1,""),ROW()-512)),"")</f>
        <v>Home - PortCastelló</v>
      </c>
      <c r="C514" s="114" t="str" cm="1">
        <f t="array" ref="C514">IFERROR(INDEX('03.Muestra'!$F$8:$F$42,SMALL(IF("Documento no web"='03.Muestra'!$D$8:$D$42,ROW('03.Muestra'!$F$8:$F$42)-MIN(ROW('03.Muestra'!$D$8:$D$42))+1,""),ROW()-512)),"")</f>
        <v>https://www.portcastello.com/</v>
      </c>
      <c r="D514" s="130" t="s">
        <v>33</v>
      </c>
      <c r="E514" s="107" t="str">
        <f t="shared" si="26"/>
        <v/>
      </c>
      <c r="F514" s="120" t="n">
        <f ca="1">COUNTIF($D513:INDIRECT("$D" &amp;  SUM(ROW()-1,'03.Muestra'!$D$45)-1),F513)</f>
        <v>2.0</v>
      </c>
      <c r="G514" s="120" t="n">
        <f ca="1">COUNTIF($D513:INDIRECT("$D" &amp;  SUM(ROW()-1,'03.Muestra'!$D$45)-1),G513)</f>
        <v>0.0</v>
      </c>
      <c r="H514" s="120" t="n">
        <f ca="1">COUNTIF($D513:INDIRECT("$D" &amp;  SUM(ROW()-1,'03.Muestra'!$D$45)-1),H513)</f>
        <v>0.0</v>
      </c>
      <c r="I514" s="120" t="n">
        <f ca="1">COUNTIF($D513:INDIRECT("$D" &amp;  SUM(ROW()-1,'03.Muestra'!$D$45)-1),I513)</f>
        <v>0.0</v>
      </c>
      <c r="J514" s="120" t="n">
        <f ca="1">COUNTIF($D513:INDIRECT("$D" &amp;  SUM(ROW()-1,'03.Muestra'!$D$45)-1),J513)</f>
        <v>0.0</v>
      </c>
      <c r="K514" s="227" t="n">
        <f ca="1">IF(COUNTIF('03.Muestra'!$D$8:$D$42,"Documento no web")=0,0,COUNTBLANK($D513:INDIRECT("$D" &amp;  SUM(ROW()-1,COUNTIF('03.Muestra'!$D$8:$D$42,"Documento no web"))-1)))</f>
        <v>0.0</v>
      </c>
      <c r="L514" s="19"/>
      <c r="M514" s="19"/>
      <c r="N514" s="19"/>
      <c r="O514" s="19"/>
      <c r="P514" s="19"/>
      <c r="Q514" s="19"/>
      <c r="R514" s="19"/>
      <c r="S514" s="19"/>
      <c r="T514" s="19"/>
      <c r="U514" s="19"/>
      <c r="V514" s="19"/>
      <c r="W514" s="19"/>
      <c r="X514" s="19"/>
      <c r="Y514" s="19"/>
    </row>
    <row r="515" spans="1:25" ht="12" customHeight="1">
      <c r="A515" s="219" t="str" cm="1">
        <f t="array" ref="A515">IFERROR(INDEX('03.Muestra'!$B$8:$B$42,SMALL(IF("Documento no web"='03.Muestra'!$D$8:$D$42,ROW('03.Muestra'!$B$8:$B$42)-MIN(ROW('03.Muestra'!$D$8:$D$42))+1,""),ROW()-512)),"")</f>
        <v/>
      </c>
      <c r="B515" s="114" t="str" cm="1">
        <f t="array" ref="B515">IFERROR(INDEX('03.Muestra'!$C$8:$C$42,SMALL(IF("Documento no web"='03.Muestra'!$D$8:$D$42,ROW('03.Muestra'!$C$8:$C$42)-MIN(ROW('03.Muestra'!$D$8:$D$42))+1,""),ROW()-512)),"")</f>
        <v/>
      </c>
      <c r="C515" s="114" t="str" cm="1">
        <f t="array" ref="C515">IFERROR(INDEX('03.Muestra'!$F$8:$F$42,SMALL(IF("Documento no web"='03.Muestra'!$D$8:$D$42,ROW('03.Muestra'!$F$8:$F$42)-MIN(ROW('03.Muestra'!$D$8:$D$42))+1,""),ROW()-512)),"")</f>
        <v/>
      </c>
      <c r="D515" s="130" t="str">
        <f t="shared" si="27" ref="D515:D547">IF(AND(B515&lt;&gt;"",C515&lt;&gt;""),"N/T","")</f>
        <v/>
      </c>
      <c r="E515" s="107" t="str">
        <f t="shared" si="26"/>
        <v/>
      </c>
      <c r="G515" s="19"/>
      <c r="H515" s="19"/>
      <c r="I515" s="19"/>
      <c r="J515" s="19"/>
      <c r="K515" s="233"/>
      <c r="L515" s="19"/>
      <c r="M515" s="19"/>
      <c r="N515" s="19"/>
      <c r="O515" s="19"/>
      <c r="P515" s="19"/>
      <c r="Q515" s="19"/>
      <c r="R515" s="19"/>
      <c r="S515" s="19"/>
      <c r="T515" s="19"/>
      <c r="U515" s="19"/>
      <c r="V515" s="19"/>
      <c r="W515" s="19"/>
      <c r="X515" s="19"/>
      <c r="Y515" s="19"/>
    </row>
    <row r="516" spans="1:25" ht="12" customHeight="1">
      <c r="A516" s="219" t="str" cm="1">
        <f t="array" ref="A516">IFERROR(INDEX('03.Muestra'!$B$8:$B$42,SMALL(IF("Documento no web"='03.Muestra'!$D$8:$D$42,ROW('03.Muestra'!$B$8:$B$42)-MIN(ROW('03.Muestra'!$D$8:$D$42))+1,""),ROW()-512)),"")</f>
        <v/>
      </c>
      <c r="B516" s="114" t="str" cm="1">
        <f t="array" ref="B516">IFERROR(INDEX('03.Muestra'!$C$8:$C$42,SMALL(IF("Documento no web"='03.Muestra'!$D$8:$D$42,ROW('03.Muestra'!$C$8:$C$42)-MIN(ROW('03.Muestra'!$D$8:$D$42))+1,""),ROW()-512)),"")</f>
        <v/>
      </c>
      <c r="C516" s="114" t="str" cm="1">
        <f t="array" ref="C516">IFERROR(INDEX('03.Muestra'!$F$8:$F$42,SMALL(IF("Documento no web"='03.Muestra'!$D$8:$D$42,ROW('03.Muestra'!$F$8:$F$42)-MIN(ROW('03.Muestra'!$D$8:$D$42))+1,""),ROW()-512)),"")</f>
        <v/>
      </c>
      <c r="D516" s="130" t="str">
        <f t="shared" si="27"/>
        <v/>
      </c>
      <c r="E516" s="107" t="str">
        <f t="shared" si="26"/>
        <v/>
      </c>
      <c r="G516" s="19"/>
      <c r="H516" s="19"/>
      <c r="I516" s="19"/>
      <c r="J516" s="19"/>
      <c r="K516" s="233"/>
      <c r="L516" s="19"/>
      <c r="M516" s="19"/>
      <c r="N516" s="19"/>
      <c r="O516" s="19"/>
      <c r="P516" s="19"/>
      <c r="Q516" s="19"/>
      <c r="R516" s="19"/>
      <c r="S516" s="19"/>
      <c r="T516" s="19"/>
      <c r="U516" s="19"/>
      <c r="V516" s="19"/>
      <c r="W516" s="19"/>
      <c r="X516" s="19"/>
      <c r="Y516" s="19"/>
    </row>
    <row r="517" spans="1:25" ht="12" customHeight="1">
      <c r="A517" s="219" t="str" cm="1">
        <f t="array" ref="A517">IFERROR(INDEX('03.Muestra'!$B$8:$B$42,SMALL(IF("Documento no web"='03.Muestra'!$D$8:$D$42,ROW('03.Muestra'!$B$8:$B$42)-MIN(ROW('03.Muestra'!$D$8:$D$42))+1,""),ROW()-512)),"")</f>
        <v/>
      </c>
      <c r="B517" s="114" t="str" cm="1">
        <f t="array" ref="B517">IFERROR(INDEX('03.Muestra'!$C$8:$C$42,SMALL(IF("Documento no web"='03.Muestra'!$D$8:$D$42,ROW('03.Muestra'!$C$8:$C$42)-MIN(ROW('03.Muestra'!$D$8:$D$42))+1,""),ROW()-512)),"")</f>
        <v/>
      </c>
      <c r="C517" s="114" t="str" cm="1">
        <f t="array" ref="C517">IFERROR(INDEX('03.Muestra'!$F$8:$F$42,SMALL(IF("Documento no web"='03.Muestra'!$D$8:$D$42,ROW('03.Muestra'!$F$8:$F$42)-MIN(ROW('03.Muestra'!$D$8:$D$42))+1,""),ROW()-512)),"")</f>
        <v/>
      </c>
      <c r="D517" s="130" t="str">
        <f t="shared" si="27"/>
        <v/>
      </c>
      <c r="E517" s="107" t="str">
        <f t="shared" si="26"/>
        <v/>
      </c>
      <c r="G517" s="19"/>
      <c r="H517" s="19"/>
      <c r="I517" s="19"/>
      <c r="J517" s="19"/>
      <c r="K517" s="233"/>
      <c r="L517" s="19"/>
      <c r="M517" s="19"/>
      <c r="N517" s="19"/>
      <c r="O517" s="19"/>
      <c r="P517" s="19"/>
      <c r="Q517" s="19"/>
      <c r="R517" s="19"/>
      <c r="S517" s="19"/>
      <c r="T517" s="19"/>
      <c r="U517" s="19"/>
      <c r="V517" s="19"/>
      <c r="W517" s="19"/>
      <c r="X517" s="19"/>
      <c r="Y517" s="19"/>
    </row>
    <row r="518" spans="1:25" ht="12" customHeight="1">
      <c r="A518" s="219" t="str" cm="1">
        <f t="array" ref="A518">IFERROR(INDEX('03.Muestra'!$B$8:$B$42,SMALL(IF("Documento no web"='03.Muestra'!$D$8:$D$42,ROW('03.Muestra'!$B$8:$B$42)-MIN(ROW('03.Muestra'!$D$8:$D$42))+1,""),ROW()-512)),"")</f>
        <v/>
      </c>
      <c r="B518" s="114" t="str" cm="1">
        <f t="array" ref="B518">IFERROR(INDEX('03.Muestra'!$C$8:$C$42,SMALL(IF("Documento no web"='03.Muestra'!$D$8:$D$42,ROW('03.Muestra'!$C$8:$C$42)-MIN(ROW('03.Muestra'!$D$8:$D$42))+1,""),ROW()-512)),"")</f>
        <v/>
      </c>
      <c r="C518" s="114" t="str" cm="1">
        <f t="array" ref="C518">IFERROR(INDEX('03.Muestra'!$F$8:$F$42,SMALL(IF("Documento no web"='03.Muestra'!$D$8:$D$42,ROW('03.Muestra'!$F$8:$F$42)-MIN(ROW('03.Muestra'!$D$8:$D$42))+1,""),ROW()-512)),"")</f>
        <v/>
      </c>
      <c r="D518" s="130" t="str">
        <f t="shared" si="27"/>
        <v/>
      </c>
      <c r="E518" s="107" t="str">
        <f t="shared" si="26"/>
        <v/>
      </c>
      <c r="G518" s="19"/>
      <c r="H518" s="19"/>
      <c r="I518" s="19"/>
      <c r="J518" s="19"/>
      <c r="K518" s="233"/>
      <c r="L518" s="19"/>
      <c r="M518" s="19"/>
      <c r="N518" s="19"/>
      <c r="O518" s="19"/>
      <c r="P518" s="19"/>
      <c r="Q518" s="19"/>
      <c r="R518" s="19"/>
      <c r="S518" s="19"/>
      <c r="T518" s="19"/>
      <c r="U518" s="19"/>
      <c r="V518" s="19"/>
      <c r="W518" s="19"/>
      <c r="X518" s="19"/>
      <c r="Y518" s="19"/>
    </row>
    <row r="519" spans="1:25" ht="12" customHeight="1">
      <c r="A519" s="219" t="str" cm="1">
        <f t="array" ref="A519">IFERROR(INDEX('03.Muestra'!$B$8:$B$42,SMALL(IF("Documento no web"='03.Muestra'!$D$8:$D$42,ROW('03.Muestra'!$B$8:$B$42)-MIN(ROW('03.Muestra'!$D$8:$D$42))+1,""),ROW()-512)),"")</f>
        <v/>
      </c>
      <c r="B519" s="114" t="str" cm="1">
        <f t="array" ref="B519">IFERROR(INDEX('03.Muestra'!$C$8:$C$42,SMALL(IF("Documento no web"='03.Muestra'!$D$8:$D$42,ROW('03.Muestra'!$C$8:$C$42)-MIN(ROW('03.Muestra'!$D$8:$D$42))+1,""),ROW()-512)),"")</f>
        <v/>
      </c>
      <c r="C519" s="114" t="str" cm="1">
        <f t="array" ref="C519">IFERROR(INDEX('03.Muestra'!$F$8:$F$42,SMALL(IF("Documento no web"='03.Muestra'!$D$8:$D$42,ROW('03.Muestra'!$F$8:$F$42)-MIN(ROW('03.Muestra'!$D$8:$D$42))+1,""),ROW()-512)),"")</f>
        <v/>
      </c>
      <c r="D519" s="130" t="str">
        <f t="shared" si="27"/>
        <v/>
      </c>
      <c r="E519" s="107" t="str">
        <f t="shared" si="26"/>
        <v/>
      </c>
      <c r="F519" s="19"/>
      <c r="G519" s="19"/>
      <c r="H519" s="19"/>
      <c r="I519" s="19"/>
      <c r="J519" s="19"/>
      <c r="K519" s="233"/>
      <c r="L519" s="19"/>
      <c r="M519" s="19"/>
      <c r="N519" s="19"/>
      <c r="O519" s="19"/>
      <c r="P519" s="19"/>
      <c r="Q519" s="19"/>
      <c r="R519" s="19"/>
      <c r="S519" s="19"/>
      <c r="T519" s="19"/>
      <c r="U519" s="19"/>
      <c r="V519" s="19"/>
      <c r="W519" s="19"/>
      <c r="X519" s="19"/>
      <c r="Y519" s="19"/>
    </row>
    <row r="520" spans="1:25" ht="12" customHeight="1">
      <c r="A520" s="219" t="str" cm="1">
        <f t="array" ref="A520">IFERROR(INDEX('03.Muestra'!$B$8:$B$42,SMALL(IF("Documento no web"='03.Muestra'!$D$8:$D$42,ROW('03.Muestra'!$B$8:$B$42)-MIN(ROW('03.Muestra'!$D$8:$D$42))+1,""),ROW()-512)),"")</f>
        <v/>
      </c>
      <c r="B520" s="114" t="str" cm="1">
        <f t="array" ref="B520">IFERROR(INDEX('03.Muestra'!$C$8:$C$42,SMALL(IF("Documento no web"='03.Muestra'!$D$8:$D$42,ROW('03.Muestra'!$C$8:$C$42)-MIN(ROW('03.Muestra'!$D$8:$D$42))+1,""),ROW()-512)),"")</f>
        <v/>
      </c>
      <c r="C520" s="114" t="str" cm="1">
        <f t="array" ref="C520">IFERROR(INDEX('03.Muestra'!$F$8:$F$42,SMALL(IF("Documento no web"='03.Muestra'!$D$8:$D$42,ROW('03.Muestra'!$F$8:$F$42)-MIN(ROW('03.Muestra'!$D$8:$D$42))+1,""),ROW()-512)),"")</f>
        <v/>
      </c>
      <c r="D520" s="130" t="str">
        <f t="shared" si="27"/>
        <v/>
      </c>
      <c r="E520" s="107" t="str">
        <f t="shared" si="26"/>
        <v/>
      </c>
      <c r="F520" s="19"/>
      <c r="G520" s="19"/>
      <c r="H520" s="19"/>
      <c r="I520" s="19"/>
      <c r="J520" s="19"/>
      <c r="K520" s="233"/>
      <c r="L520" s="19"/>
      <c r="M520" s="19"/>
      <c r="N520" s="19"/>
      <c r="O520" s="19"/>
      <c r="P520" s="19"/>
      <c r="Q520" s="19"/>
      <c r="R520" s="19"/>
      <c r="S520" s="19"/>
      <c r="T520" s="19"/>
      <c r="U520" s="19"/>
      <c r="V520" s="19"/>
      <c r="W520" s="19"/>
      <c r="X520" s="19"/>
      <c r="Y520" s="19"/>
    </row>
    <row r="521" spans="1:25" ht="12" customHeight="1">
      <c r="A521" s="219" t="str" cm="1">
        <f t="array" ref="A521">IFERROR(INDEX('03.Muestra'!$B$8:$B$42,SMALL(IF("Documento no web"='03.Muestra'!$D$8:$D$42,ROW('03.Muestra'!$B$8:$B$42)-MIN(ROW('03.Muestra'!$D$8:$D$42))+1,""),ROW()-512)),"")</f>
        <v/>
      </c>
      <c r="B521" s="114" t="str" cm="1">
        <f t="array" ref="B521">IFERROR(INDEX('03.Muestra'!$C$8:$C$42,SMALL(IF("Documento no web"='03.Muestra'!$D$8:$D$42,ROW('03.Muestra'!$C$8:$C$42)-MIN(ROW('03.Muestra'!$D$8:$D$42))+1,""),ROW()-512)),"")</f>
        <v/>
      </c>
      <c r="C521" s="114" t="str" cm="1">
        <f t="array" ref="C521">IFERROR(INDEX('03.Muestra'!$F$8:$F$42,SMALL(IF("Documento no web"='03.Muestra'!$D$8:$D$42,ROW('03.Muestra'!$F$8:$F$42)-MIN(ROW('03.Muestra'!$D$8:$D$42))+1,""),ROW()-512)),"")</f>
        <v/>
      </c>
      <c r="D521" s="130" t="str">
        <f t="shared" si="27"/>
        <v/>
      </c>
      <c r="E521" s="107" t="str">
        <f t="shared" si="26"/>
        <v/>
      </c>
      <c r="F521" s="19"/>
      <c r="G521" s="19"/>
      <c r="H521" s="19"/>
      <c r="I521" s="19"/>
      <c r="J521" s="19"/>
      <c r="K521" s="233"/>
      <c r="L521" s="19"/>
      <c r="M521" s="19"/>
      <c r="N521" s="19"/>
      <c r="O521" s="19"/>
      <c r="P521" s="19"/>
      <c r="Q521" s="19"/>
      <c r="R521" s="19"/>
      <c r="S521" s="19"/>
      <c r="T521" s="19"/>
      <c r="U521" s="19"/>
      <c r="V521" s="19"/>
      <c r="W521" s="19"/>
      <c r="X521" s="19"/>
      <c r="Y521" s="19"/>
    </row>
    <row r="522" spans="1:25" ht="12" customHeight="1">
      <c r="A522" s="219" t="str" cm="1">
        <f t="array" ref="A522">IFERROR(INDEX('03.Muestra'!$B$8:$B$42,SMALL(IF("Documento no web"='03.Muestra'!$D$8:$D$42,ROW('03.Muestra'!$B$8:$B$42)-MIN(ROW('03.Muestra'!$D$8:$D$42))+1,""),ROW()-512)),"")</f>
        <v/>
      </c>
      <c r="B522" s="114" t="str" cm="1">
        <f t="array" ref="B522">IFERROR(INDEX('03.Muestra'!$C$8:$C$42,SMALL(IF("Documento no web"='03.Muestra'!$D$8:$D$42,ROW('03.Muestra'!$C$8:$C$42)-MIN(ROW('03.Muestra'!$D$8:$D$42))+1,""),ROW()-512)),"")</f>
        <v/>
      </c>
      <c r="C522" s="114" t="str" cm="1">
        <f t="array" ref="C522">IFERROR(INDEX('03.Muestra'!$F$8:$F$42,SMALL(IF("Documento no web"='03.Muestra'!$D$8:$D$42,ROW('03.Muestra'!$F$8:$F$42)-MIN(ROW('03.Muestra'!$D$8:$D$42))+1,""),ROW()-512)),"")</f>
        <v/>
      </c>
      <c r="D522" s="130" t="str">
        <f t="shared" si="27"/>
        <v/>
      </c>
      <c r="E522" s="107" t="str">
        <f t="shared" si="26"/>
        <v/>
      </c>
      <c r="F522" s="19"/>
      <c r="G522" s="19"/>
      <c r="H522" s="19"/>
      <c r="I522" s="19"/>
      <c r="J522" s="19"/>
      <c r="K522" s="233"/>
      <c r="L522" s="19"/>
      <c r="M522" s="19"/>
      <c r="N522" s="19"/>
      <c r="O522" s="19"/>
      <c r="P522" s="19"/>
      <c r="Q522" s="19"/>
      <c r="R522" s="19"/>
      <c r="S522" s="19"/>
      <c r="T522" s="19"/>
      <c r="U522" s="19"/>
      <c r="V522" s="19"/>
      <c r="W522" s="19"/>
      <c r="X522" s="19"/>
      <c r="Y522" s="19"/>
    </row>
    <row r="523" spans="1:25" ht="12" customHeight="1">
      <c r="A523" s="219" t="str" cm="1">
        <f t="array" ref="A523">IFERROR(INDEX('03.Muestra'!$B$8:$B$42,SMALL(IF("Documento no web"='03.Muestra'!$D$8:$D$42,ROW('03.Muestra'!$B$8:$B$42)-MIN(ROW('03.Muestra'!$D$8:$D$42))+1,""),ROW()-512)),"")</f>
        <v/>
      </c>
      <c r="B523" s="114" t="str" cm="1">
        <f t="array" ref="B523">IFERROR(INDEX('03.Muestra'!$C$8:$C$42,SMALL(IF("Documento no web"='03.Muestra'!$D$8:$D$42,ROW('03.Muestra'!$C$8:$C$42)-MIN(ROW('03.Muestra'!$D$8:$D$42))+1,""),ROW()-512)),"")</f>
        <v/>
      </c>
      <c r="C523" s="114" t="str" cm="1">
        <f t="array" ref="C523">IFERROR(INDEX('03.Muestra'!$F$8:$F$42,SMALL(IF("Documento no web"='03.Muestra'!$D$8:$D$42,ROW('03.Muestra'!$F$8:$F$42)-MIN(ROW('03.Muestra'!$D$8:$D$42))+1,""),ROW()-512)),"")</f>
        <v/>
      </c>
      <c r="D523" s="130" t="str">
        <f t="shared" si="27"/>
        <v/>
      </c>
      <c r="E523" s="107" t="str">
        <f t="shared" si="26"/>
        <v/>
      </c>
      <c r="F523" s="19"/>
      <c r="G523" s="19"/>
      <c r="H523" s="19"/>
      <c r="I523" s="19"/>
      <c r="J523" s="19"/>
      <c r="K523" s="233"/>
      <c r="L523" s="19"/>
      <c r="M523" s="19"/>
      <c r="N523" s="19"/>
      <c r="O523" s="19"/>
      <c r="P523" s="19"/>
      <c r="Q523" s="19"/>
      <c r="R523" s="19"/>
      <c r="S523" s="19"/>
      <c r="T523" s="19"/>
      <c r="U523" s="19"/>
      <c r="V523" s="19"/>
      <c r="W523" s="19"/>
      <c r="X523" s="19"/>
      <c r="Y523" s="19"/>
    </row>
    <row r="524" spans="1:25" ht="12" customHeight="1">
      <c r="A524" s="219" t="str" cm="1">
        <f t="array" ref="A524">IFERROR(INDEX('03.Muestra'!$B$8:$B$42,SMALL(IF("Documento no web"='03.Muestra'!$D$8:$D$42,ROW('03.Muestra'!$B$8:$B$42)-MIN(ROW('03.Muestra'!$D$8:$D$42))+1,""),ROW()-512)),"")</f>
        <v/>
      </c>
      <c r="B524" s="114" t="str" cm="1">
        <f t="array" ref="B524">IFERROR(INDEX('03.Muestra'!$C$8:$C$42,SMALL(IF("Documento no web"='03.Muestra'!$D$8:$D$42,ROW('03.Muestra'!$C$8:$C$42)-MIN(ROW('03.Muestra'!$D$8:$D$42))+1,""),ROW()-512)),"")</f>
        <v/>
      </c>
      <c r="C524" s="114" t="str" cm="1">
        <f t="array" ref="C524">IFERROR(INDEX('03.Muestra'!$F$8:$F$42,SMALL(IF("Documento no web"='03.Muestra'!$D$8:$D$42,ROW('03.Muestra'!$F$8:$F$42)-MIN(ROW('03.Muestra'!$D$8:$D$42))+1,""),ROW()-512)),"")</f>
        <v/>
      </c>
      <c r="D524" s="130" t="str">
        <f t="shared" si="27"/>
        <v/>
      </c>
      <c r="E524" s="107" t="str">
        <f t="shared" si="26"/>
        <v/>
      </c>
      <c r="F524" s="19"/>
      <c r="G524" s="19"/>
      <c r="H524" s="19"/>
      <c r="I524" s="19"/>
      <c r="J524" s="19"/>
      <c r="K524" s="233"/>
      <c r="L524" s="19"/>
      <c r="M524" s="19"/>
      <c r="N524" s="19"/>
      <c r="O524" s="19"/>
      <c r="P524" s="19"/>
      <c r="Q524" s="19"/>
      <c r="R524" s="19"/>
      <c r="S524" s="19"/>
      <c r="T524" s="19"/>
      <c r="U524" s="19"/>
      <c r="V524" s="19"/>
      <c r="W524" s="19"/>
      <c r="X524" s="19"/>
      <c r="Y524" s="19"/>
    </row>
    <row r="525" spans="1:25" ht="14.1" customHeight="1">
      <c r="A525" s="219" t="str" cm="1">
        <f t="array" ref="A525">IFERROR(INDEX('03.Muestra'!$B$8:$B$42,SMALL(IF("Documento no web"='03.Muestra'!$D$8:$D$42,ROW('03.Muestra'!$B$8:$B$42)-MIN(ROW('03.Muestra'!$D$8:$D$42))+1,""),ROW()-512)),"")</f>
        <v/>
      </c>
      <c r="B525" s="114" t="str" cm="1">
        <f t="array" ref="B525">IFERROR(INDEX('03.Muestra'!$C$8:$C$42,SMALL(IF("Documento no web"='03.Muestra'!$D$8:$D$42,ROW('03.Muestra'!$C$8:$C$42)-MIN(ROW('03.Muestra'!$D$8:$D$42))+1,""),ROW()-512)),"")</f>
        <v/>
      </c>
      <c r="C525" s="114" t="str" cm="1">
        <f t="array" ref="C525">IFERROR(INDEX('03.Muestra'!$F$8:$F$42,SMALL(IF("Documento no web"='03.Muestra'!$D$8:$D$42,ROW('03.Muestra'!$F$8:$F$42)-MIN(ROW('03.Muestra'!$D$8:$D$42))+1,""),ROW()-512)),"")</f>
        <v/>
      </c>
      <c r="D525" s="130" t="str">
        <f t="shared" si="27"/>
        <v/>
      </c>
      <c r="E525" s="107" t="str">
        <f t="shared" si="26"/>
        <v/>
      </c>
      <c r="F525" s="19"/>
      <c r="G525" s="19"/>
      <c r="H525" s="19"/>
      <c r="I525" s="19"/>
      <c r="J525" s="19"/>
      <c r="K525" s="233"/>
      <c r="L525" s="19"/>
      <c r="M525" s="19"/>
      <c r="N525" s="19"/>
      <c r="O525" s="19"/>
      <c r="P525" s="19"/>
      <c r="Q525" s="19"/>
      <c r="R525" s="19"/>
      <c r="S525" s="19"/>
      <c r="T525" s="19"/>
      <c r="U525" s="19"/>
      <c r="V525" s="19"/>
      <c r="W525" s="19"/>
      <c r="X525" s="19"/>
      <c r="Y525" s="19"/>
    </row>
    <row r="526" spans="1:25" ht="14.1" customHeight="1">
      <c r="A526" s="219" t="str" cm="1">
        <f t="array" ref="A526">IFERROR(INDEX('03.Muestra'!$B$8:$B$42,SMALL(IF("Documento no web"='03.Muestra'!$D$8:$D$42,ROW('03.Muestra'!$B$8:$B$42)-MIN(ROW('03.Muestra'!$D$8:$D$42))+1,""),ROW()-512)),"")</f>
        <v/>
      </c>
      <c r="B526" s="114" t="str" cm="1">
        <f t="array" ref="B526">IFERROR(INDEX('03.Muestra'!$C$8:$C$42,SMALL(IF("Documento no web"='03.Muestra'!$D$8:$D$42,ROW('03.Muestra'!$C$8:$C$42)-MIN(ROW('03.Muestra'!$D$8:$D$42))+1,""),ROW()-512)),"")</f>
        <v/>
      </c>
      <c r="C526" s="114" t="str" cm="1">
        <f t="array" ref="C526">IFERROR(INDEX('03.Muestra'!$F$8:$F$42,SMALL(IF("Documento no web"='03.Muestra'!$D$8:$D$42,ROW('03.Muestra'!$F$8:$F$42)-MIN(ROW('03.Muestra'!$D$8:$D$42))+1,""),ROW()-512)),"")</f>
        <v/>
      </c>
      <c r="D526" s="130" t="str">
        <f t="shared" si="27"/>
        <v/>
      </c>
      <c r="E526" s="107" t="str">
        <f t="shared" si="26"/>
        <v/>
      </c>
      <c r="F526" s="19"/>
      <c r="G526" s="19"/>
      <c r="H526" s="19"/>
      <c r="I526" s="19"/>
      <c r="J526" s="19"/>
      <c r="K526" s="233"/>
      <c r="L526" s="19"/>
      <c r="M526" s="19"/>
      <c r="N526" s="19"/>
      <c r="O526" s="19"/>
      <c r="P526" s="19"/>
      <c r="Q526" s="19"/>
      <c r="R526" s="19"/>
      <c r="S526" s="19"/>
      <c r="T526" s="19"/>
      <c r="U526" s="19"/>
      <c r="V526" s="19"/>
      <c r="W526" s="19"/>
      <c r="X526" s="19"/>
      <c r="Y526" s="19"/>
    </row>
    <row r="527" spans="1:25" ht="14.1" customHeight="1">
      <c r="A527" s="219" t="str" cm="1">
        <f t="array" ref="A527">IFERROR(INDEX('03.Muestra'!$B$8:$B$42,SMALL(IF("Documento no web"='03.Muestra'!$D$8:$D$42,ROW('03.Muestra'!$B$8:$B$42)-MIN(ROW('03.Muestra'!$D$8:$D$42))+1,""),ROW()-512)),"")</f>
        <v/>
      </c>
      <c r="B527" s="114" t="str" cm="1">
        <f t="array" ref="B527">IFERROR(INDEX('03.Muestra'!$C$8:$C$42,SMALL(IF("Documento no web"='03.Muestra'!$D$8:$D$42,ROW('03.Muestra'!$C$8:$C$42)-MIN(ROW('03.Muestra'!$D$8:$D$42))+1,""),ROW()-512)),"")</f>
        <v/>
      </c>
      <c r="C527" s="114" t="str" cm="1">
        <f t="array" ref="C527">IFERROR(INDEX('03.Muestra'!$F$8:$F$42,SMALL(IF("Documento no web"='03.Muestra'!$D$8:$D$42,ROW('03.Muestra'!$F$8:$F$42)-MIN(ROW('03.Muestra'!$D$8:$D$42))+1,""),ROW()-512)),"")</f>
        <v/>
      </c>
      <c r="D527" s="130" t="str">
        <f t="shared" si="27"/>
        <v/>
      </c>
      <c r="E527" s="107" t="str">
        <f t="shared" si="26"/>
        <v/>
      </c>
      <c r="F527" s="19"/>
      <c r="G527" s="19"/>
      <c r="H527" s="19"/>
      <c r="I527" s="19"/>
      <c r="J527" s="19"/>
      <c r="K527" s="233"/>
      <c r="L527" s="19"/>
      <c r="M527" s="19"/>
      <c r="N527" s="19"/>
      <c r="O527" s="19"/>
      <c r="P527" s="19"/>
      <c r="Q527" s="19"/>
      <c r="R527" s="19"/>
      <c r="S527" s="19"/>
      <c r="T527" s="19"/>
      <c r="U527" s="19"/>
      <c r="V527" s="19"/>
      <c r="W527" s="19"/>
      <c r="X527" s="19"/>
      <c r="Y527" s="19"/>
    </row>
    <row r="528" spans="1:25" ht="14.1" customHeight="1">
      <c r="A528" s="219" t="str" cm="1">
        <f t="array" ref="A528">IFERROR(INDEX('03.Muestra'!$B$8:$B$42,SMALL(IF("Documento no web"='03.Muestra'!$D$8:$D$42,ROW('03.Muestra'!$B$8:$B$42)-MIN(ROW('03.Muestra'!$D$8:$D$42))+1,""),ROW()-512)),"")</f>
        <v/>
      </c>
      <c r="B528" s="114" t="str" cm="1">
        <f t="array" ref="B528">IFERROR(INDEX('03.Muestra'!$C$8:$C$42,SMALL(IF("Documento no web"='03.Muestra'!$D$8:$D$42,ROW('03.Muestra'!$C$8:$C$42)-MIN(ROW('03.Muestra'!$D$8:$D$42))+1,""),ROW()-512)),"")</f>
        <v/>
      </c>
      <c r="C528" s="114" t="str" cm="1">
        <f t="array" ref="C528">IFERROR(INDEX('03.Muestra'!$F$8:$F$42,SMALL(IF("Documento no web"='03.Muestra'!$D$8:$D$42,ROW('03.Muestra'!$F$8:$F$42)-MIN(ROW('03.Muestra'!$D$8:$D$42))+1,""),ROW()-512)),"")</f>
        <v/>
      </c>
      <c r="D528" s="130" t="str">
        <f t="shared" si="27"/>
        <v/>
      </c>
      <c r="E528" s="107" t="str">
        <f t="shared" si="26"/>
        <v/>
      </c>
      <c r="F528" s="19"/>
      <c r="G528" s="19"/>
      <c r="H528" s="19"/>
      <c r="I528" s="19"/>
      <c r="J528" s="19"/>
      <c r="K528" s="233"/>
      <c r="L528" s="19"/>
      <c r="M528" s="19"/>
      <c r="N528" s="19"/>
      <c r="O528" s="19"/>
      <c r="P528" s="19"/>
      <c r="Q528" s="19"/>
      <c r="R528" s="19"/>
      <c r="S528" s="19"/>
      <c r="T528" s="19"/>
      <c r="U528" s="19"/>
      <c r="V528" s="19"/>
      <c r="W528" s="19"/>
      <c r="X528" s="19"/>
      <c r="Y528" s="19"/>
    </row>
    <row r="529" spans="1:25" ht="14.1" customHeight="1">
      <c r="A529" s="219" t="str" cm="1">
        <f t="array" ref="A529">IFERROR(INDEX('03.Muestra'!$B$8:$B$42,SMALL(IF("Documento no web"='03.Muestra'!$D$8:$D$42,ROW('03.Muestra'!$B$8:$B$42)-MIN(ROW('03.Muestra'!$D$8:$D$42))+1,""),ROW()-512)),"")</f>
        <v/>
      </c>
      <c r="B529" s="114" t="str" cm="1">
        <f t="array" ref="B529">IFERROR(INDEX('03.Muestra'!$C$8:$C$42,SMALL(IF("Documento no web"='03.Muestra'!$D$8:$D$42,ROW('03.Muestra'!$C$8:$C$42)-MIN(ROW('03.Muestra'!$D$8:$D$42))+1,""),ROW()-512)),"")</f>
        <v/>
      </c>
      <c r="C529" s="114" t="str" cm="1">
        <f t="array" ref="C529">IFERROR(INDEX('03.Muestra'!$F$8:$F$42,SMALL(IF("Documento no web"='03.Muestra'!$D$8:$D$42,ROW('03.Muestra'!$F$8:$F$42)-MIN(ROW('03.Muestra'!$D$8:$D$42))+1,""),ROW()-512)),"")</f>
        <v/>
      </c>
      <c r="D529" s="130" t="str">
        <f t="shared" si="27"/>
        <v/>
      </c>
      <c r="E529" s="107" t="str">
        <f t="shared" si="26"/>
        <v/>
      </c>
      <c r="F529" s="19"/>
      <c r="G529" s="19"/>
      <c r="H529" s="19"/>
      <c r="I529" s="19"/>
      <c r="J529" s="19"/>
      <c r="K529" s="233"/>
      <c r="L529" s="19"/>
      <c r="M529" s="19"/>
      <c r="N529" s="19"/>
      <c r="O529" s="19"/>
      <c r="P529" s="19"/>
      <c r="Q529" s="19"/>
      <c r="R529" s="19"/>
      <c r="S529" s="19"/>
      <c r="T529" s="19"/>
      <c r="U529" s="19"/>
      <c r="V529" s="19"/>
      <c r="W529" s="19"/>
      <c r="X529" s="19"/>
      <c r="Y529" s="19"/>
    </row>
    <row r="530" spans="1:25" ht="14.1" customHeight="1">
      <c r="A530" s="219" t="str" cm="1">
        <f t="array" ref="A530">IFERROR(INDEX('03.Muestra'!$B$8:$B$42,SMALL(IF("Documento no web"='03.Muestra'!$D$8:$D$42,ROW('03.Muestra'!$B$8:$B$42)-MIN(ROW('03.Muestra'!$D$8:$D$42))+1,""),ROW()-512)),"")</f>
        <v/>
      </c>
      <c r="B530" s="114" t="str" cm="1">
        <f t="array" ref="B530">IFERROR(INDEX('03.Muestra'!$C$8:$C$42,SMALL(IF("Documento no web"='03.Muestra'!$D$8:$D$42,ROW('03.Muestra'!$C$8:$C$42)-MIN(ROW('03.Muestra'!$D$8:$D$42))+1,""),ROW()-512)),"")</f>
        <v/>
      </c>
      <c r="C530" s="114" t="str" cm="1">
        <f t="array" ref="C530">IFERROR(INDEX('03.Muestra'!$F$8:$F$42,SMALL(IF("Documento no web"='03.Muestra'!$D$8:$D$42,ROW('03.Muestra'!$F$8:$F$42)-MIN(ROW('03.Muestra'!$D$8:$D$42))+1,""),ROW()-512)),"")</f>
        <v/>
      </c>
      <c r="D530" s="130" t="str">
        <f t="shared" si="27"/>
        <v/>
      </c>
      <c r="E530" s="107" t="str">
        <f t="shared" si="26"/>
        <v/>
      </c>
      <c r="F530" s="19"/>
      <c r="G530" s="19"/>
      <c r="H530" s="19"/>
      <c r="I530" s="19"/>
      <c r="J530" s="19"/>
      <c r="K530" s="233"/>
      <c r="L530" s="19"/>
      <c r="M530" s="19"/>
      <c r="N530" s="19"/>
      <c r="O530" s="19"/>
      <c r="P530" s="19"/>
      <c r="Q530" s="19"/>
      <c r="R530" s="19"/>
      <c r="S530" s="19"/>
      <c r="T530" s="19"/>
      <c r="U530" s="19"/>
      <c r="V530" s="19"/>
      <c r="W530" s="19"/>
      <c r="X530" s="19"/>
      <c r="Y530" s="19"/>
    </row>
    <row r="531" spans="1:25" ht="14.1" customHeight="1">
      <c r="A531" s="219" t="str" cm="1">
        <f t="array" ref="A531">IFERROR(INDEX('03.Muestra'!$B$8:$B$42,SMALL(IF("Documento no web"='03.Muestra'!$D$8:$D$42,ROW('03.Muestra'!$B$8:$B$42)-MIN(ROW('03.Muestra'!$D$8:$D$42))+1,""),ROW()-512)),"")</f>
        <v/>
      </c>
      <c r="B531" s="114" t="str" cm="1">
        <f t="array" ref="B531">IFERROR(INDEX('03.Muestra'!$C$8:$C$42,SMALL(IF("Documento no web"='03.Muestra'!$D$8:$D$42,ROW('03.Muestra'!$C$8:$C$42)-MIN(ROW('03.Muestra'!$D$8:$D$42))+1,""),ROW()-512)),"")</f>
        <v/>
      </c>
      <c r="C531" s="114" t="str" cm="1">
        <f t="array" ref="C531">IFERROR(INDEX('03.Muestra'!$F$8:$F$42,SMALL(IF("Documento no web"='03.Muestra'!$D$8:$D$42,ROW('03.Muestra'!$F$8:$F$42)-MIN(ROW('03.Muestra'!$D$8:$D$42))+1,""),ROW()-512)),"")</f>
        <v/>
      </c>
      <c r="D531" s="130" t="str">
        <f t="shared" si="27"/>
        <v/>
      </c>
      <c r="E531" s="107" t="str">
        <f t="shared" si="26"/>
        <v/>
      </c>
      <c r="F531" s="19"/>
      <c r="G531" s="19"/>
      <c r="H531" s="19"/>
      <c r="I531" s="19"/>
      <c r="J531" s="19"/>
      <c r="K531" s="233"/>
      <c r="L531" s="19"/>
      <c r="M531" s="19"/>
      <c r="N531" s="19"/>
      <c r="O531" s="19"/>
      <c r="P531" s="19"/>
      <c r="Q531" s="19"/>
      <c r="R531" s="19"/>
      <c r="S531" s="19"/>
      <c r="T531" s="19"/>
      <c r="U531" s="19"/>
      <c r="V531" s="19"/>
      <c r="W531" s="19"/>
      <c r="X531" s="19"/>
      <c r="Y531" s="19"/>
    </row>
    <row r="532" spans="1:25" ht="14.1" customHeight="1">
      <c r="A532" s="219" t="str" cm="1">
        <f t="array" ref="A532">IFERROR(INDEX('03.Muestra'!$B$8:$B$42,SMALL(IF("Documento no web"='03.Muestra'!$D$8:$D$42,ROW('03.Muestra'!$B$8:$B$42)-MIN(ROW('03.Muestra'!$D$8:$D$42))+1,""),ROW()-512)),"")</f>
        <v/>
      </c>
      <c r="B532" s="114" t="str" cm="1">
        <f t="array" ref="B532">IFERROR(INDEX('03.Muestra'!$C$8:$C$42,SMALL(IF("Documento no web"='03.Muestra'!$D$8:$D$42,ROW('03.Muestra'!$C$8:$C$42)-MIN(ROW('03.Muestra'!$D$8:$D$42))+1,""),ROW()-512)),"")</f>
        <v/>
      </c>
      <c r="C532" s="114" t="str" cm="1">
        <f t="array" ref="C532">IFERROR(INDEX('03.Muestra'!$F$8:$F$42,SMALL(IF("Documento no web"='03.Muestra'!$D$8:$D$42,ROW('03.Muestra'!$F$8:$F$42)-MIN(ROW('03.Muestra'!$D$8:$D$42))+1,""),ROW()-512)),"")</f>
        <v/>
      </c>
      <c r="D532" s="130" t="str">
        <f t="shared" si="27"/>
        <v/>
      </c>
      <c r="E532" s="107" t="str">
        <f t="shared" si="26"/>
        <v/>
      </c>
      <c r="F532" s="19"/>
      <c r="G532" s="19"/>
      <c r="H532" s="19"/>
      <c r="I532" s="19"/>
      <c r="J532" s="19"/>
      <c r="K532" s="233"/>
      <c r="L532" s="19"/>
      <c r="M532" s="19"/>
      <c r="N532" s="19"/>
      <c r="O532" s="19"/>
      <c r="P532" s="19"/>
      <c r="Q532" s="19"/>
      <c r="R532" s="19"/>
      <c r="S532" s="19"/>
      <c r="T532" s="19"/>
      <c r="U532" s="19"/>
      <c r="V532" s="19"/>
      <c r="W532" s="19"/>
      <c r="X532" s="19"/>
      <c r="Y532" s="19"/>
    </row>
    <row r="533" spans="1:25" ht="14.1" customHeight="1">
      <c r="A533" s="219" t="str" cm="1">
        <f t="array" ref="A533">IFERROR(INDEX('03.Muestra'!$B$8:$B$42,SMALL(IF("Documento no web"='03.Muestra'!$D$8:$D$42,ROW('03.Muestra'!$B$8:$B$42)-MIN(ROW('03.Muestra'!$D$8:$D$42))+1,""),ROW()-512)),"")</f>
        <v/>
      </c>
      <c r="B533" s="114" t="str" cm="1">
        <f t="array" ref="B533">IFERROR(INDEX('03.Muestra'!$C$8:$C$42,SMALL(IF("Documento no web"='03.Muestra'!$D$8:$D$42,ROW('03.Muestra'!$C$8:$C$42)-MIN(ROW('03.Muestra'!$D$8:$D$42))+1,""),ROW()-512)),"")</f>
        <v/>
      </c>
      <c r="C533" s="114" t="str" cm="1">
        <f t="array" ref="C533">IFERROR(INDEX('03.Muestra'!$F$8:$F$42,SMALL(IF("Documento no web"='03.Muestra'!$D$8:$D$42,ROW('03.Muestra'!$F$8:$F$42)-MIN(ROW('03.Muestra'!$D$8:$D$42))+1,""),ROW()-512)),"")</f>
        <v/>
      </c>
      <c r="D533" s="130" t="str">
        <f t="shared" si="27"/>
        <v/>
      </c>
      <c r="E533" s="107" t="str">
        <f t="shared" si="26"/>
        <v/>
      </c>
      <c r="F533" s="19"/>
      <c r="G533" s="19"/>
      <c r="H533" s="19"/>
      <c r="I533" s="19"/>
      <c r="J533" s="19"/>
      <c r="K533" s="233"/>
      <c r="L533" s="19"/>
      <c r="M533" s="19"/>
      <c r="N533" s="19"/>
      <c r="O533" s="19"/>
      <c r="P533" s="19"/>
      <c r="Q533" s="19"/>
      <c r="R533" s="19"/>
      <c r="S533" s="19"/>
      <c r="T533" s="19"/>
      <c r="U533" s="19"/>
      <c r="V533" s="19"/>
      <c r="W533" s="19"/>
      <c r="X533" s="19"/>
      <c r="Y533" s="19"/>
    </row>
    <row r="534" spans="1:25" ht="14.1" customHeight="1">
      <c r="A534" s="219" t="str" cm="1">
        <f t="array" ref="A534">IFERROR(INDEX('03.Muestra'!$B$8:$B$42,SMALL(IF("Documento no web"='03.Muestra'!$D$8:$D$42,ROW('03.Muestra'!$B$8:$B$42)-MIN(ROW('03.Muestra'!$D$8:$D$42))+1,""),ROW()-512)),"")</f>
        <v/>
      </c>
      <c r="B534" s="114" t="str" cm="1">
        <f t="array" ref="B534">IFERROR(INDEX('03.Muestra'!$C$8:$C$42,SMALL(IF("Documento no web"='03.Muestra'!$D$8:$D$42,ROW('03.Muestra'!$C$8:$C$42)-MIN(ROW('03.Muestra'!$D$8:$D$42))+1,""),ROW()-512)),"")</f>
        <v/>
      </c>
      <c r="C534" s="114" t="str" cm="1">
        <f t="array" ref="C534">IFERROR(INDEX('03.Muestra'!$F$8:$F$42,SMALL(IF("Documento no web"='03.Muestra'!$D$8:$D$42,ROW('03.Muestra'!$F$8:$F$42)-MIN(ROW('03.Muestra'!$D$8:$D$42))+1,""),ROW()-512)),"")</f>
        <v/>
      </c>
      <c r="D534" s="130" t="str">
        <f t="shared" si="27"/>
        <v/>
      </c>
      <c r="E534" s="107" t="str">
        <f t="shared" si="26"/>
        <v/>
      </c>
      <c r="F534" s="19"/>
      <c r="G534" s="19"/>
      <c r="H534" s="19"/>
      <c r="I534" s="19"/>
      <c r="J534" s="19"/>
      <c r="K534" s="233"/>
      <c r="L534" s="19"/>
      <c r="M534" s="19"/>
      <c r="N534" s="19"/>
      <c r="O534" s="19"/>
      <c r="P534" s="19"/>
      <c r="Q534" s="19"/>
      <c r="R534" s="19"/>
      <c r="S534" s="19"/>
      <c r="T534" s="19"/>
      <c r="U534" s="19"/>
      <c r="V534" s="19"/>
      <c r="W534" s="19"/>
      <c r="X534" s="19"/>
      <c r="Y534" s="19"/>
    </row>
    <row r="535" spans="1:25" ht="14.1" customHeight="1">
      <c r="A535" s="219" t="str" cm="1">
        <f t="array" ref="A535">IFERROR(INDEX('03.Muestra'!$B$8:$B$42,SMALL(IF("Documento no web"='03.Muestra'!$D$8:$D$42,ROW('03.Muestra'!$B$8:$B$42)-MIN(ROW('03.Muestra'!$D$8:$D$42))+1,""),ROW()-512)),"")</f>
        <v/>
      </c>
      <c r="B535" s="114" t="str" cm="1">
        <f t="array" ref="B535">IFERROR(INDEX('03.Muestra'!$C$8:$C$42,SMALL(IF("Documento no web"='03.Muestra'!$D$8:$D$42,ROW('03.Muestra'!$C$8:$C$42)-MIN(ROW('03.Muestra'!$D$8:$D$42))+1,""),ROW()-512)),"")</f>
        <v/>
      </c>
      <c r="C535" s="114" t="str" cm="1">
        <f t="array" ref="C535">IFERROR(INDEX('03.Muestra'!$F$8:$F$42,SMALL(IF("Documento no web"='03.Muestra'!$D$8:$D$42,ROW('03.Muestra'!$F$8:$F$42)-MIN(ROW('03.Muestra'!$D$8:$D$42))+1,""),ROW()-512)),"")</f>
        <v/>
      </c>
      <c r="D535" s="130" t="str">
        <f t="shared" si="27"/>
        <v/>
      </c>
      <c r="E535" s="107" t="str">
        <f t="shared" si="26"/>
        <v/>
      </c>
      <c r="F535" s="19"/>
      <c r="G535" s="19"/>
      <c r="H535" s="19"/>
      <c r="I535" s="19"/>
      <c r="J535" s="19"/>
      <c r="K535" s="233"/>
      <c r="L535" s="19"/>
      <c r="M535" s="19"/>
      <c r="N535" s="19"/>
      <c r="O535" s="19"/>
      <c r="P535" s="19"/>
      <c r="Q535" s="19"/>
      <c r="R535" s="19"/>
      <c r="S535" s="19"/>
      <c r="T535" s="19"/>
      <c r="U535" s="19"/>
      <c r="V535" s="19"/>
      <c r="W535" s="19"/>
      <c r="X535" s="19"/>
      <c r="Y535" s="19"/>
    </row>
    <row r="536" spans="1:25" ht="12" customHeight="1">
      <c r="A536" s="219" t="str" cm="1">
        <f t="array" ref="A536">IFERROR(INDEX('03.Muestra'!$B$8:$B$42,SMALL(IF("Documento no web"='03.Muestra'!$D$8:$D$42,ROW('03.Muestra'!$B$8:$B$42)-MIN(ROW('03.Muestra'!$D$8:$D$42))+1,""),ROW()-512)),"")</f>
        <v/>
      </c>
      <c r="B536" s="114" t="str" cm="1">
        <f t="array" ref="B536">IFERROR(INDEX('03.Muestra'!$C$8:$C$42,SMALL(IF("Documento no web"='03.Muestra'!$D$8:$D$42,ROW('03.Muestra'!$C$8:$C$42)-MIN(ROW('03.Muestra'!$D$8:$D$42))+1,""),ROW()-512)),"")</f>
        <v/>
      </c>
      <c r="C536" s="114" t="str" cm="1">
        <f t="array" ref="C536">IFERROR(INDEX('03.Muestra'!$F$8:$F$42,SMALL(IF("Documento no web"='03.Muestra'!$D$8:$D$42,ROW('03.Muestra'!$F$8:$F$42)-MIN(ROW('03.Muestra'!$D$8:$D$42))+1,""),ROW()-512)),"")</f>
        <v/>
      </c>
      <c r="D536" s="130" t="str">
        <f t="shared" si="27"/>
        <v/>
      </c>
      <c r="E536" s="107" t="str">
        <f t="shared" si="26"/>
        <v/>
      </c>
      <c r="F536" s="19"/>
      <c r="G536" s="19"/>
      <c r="H536" s="19"/>
      <c r="I536" s="19"/>
      <c r="J536" s="19"/>
      <c r="K536" s="233"/>
      <c r="L536" s="19"/>
      <c r="M536" s="19"/>
      <c r="N536" s="19"/>
      <c r="O536" s="19"/>
      <c r="P536" s="19"/>
      <c r="Q536" s="19"/>
      <c r="R536" s="19"/>
      <c r="S536" s="19"/>
      <c r="T536" s="19"/>
      <c r="U536" s="19"/>
      <c r="V536" s="19"/>
      <c r="W536" s="19"/>
      <c r="X536" s="19"/>
      <c r="Y536" s="19"/>
    </row>
    <row r="537" spans="1:25" ht="12" customHeight="1">
      <c r="A537" s="219" t="str" cm="1">
        <f t="array" ref="A537">IFERROR(INDEX('03.Muestra'!$B$8:$B$42,SMALL(IF("Documento no web"='03.Muestra'!$D$8:$D$42,ROW('03.Muestra'!$B$8:$B$42)-MIN(ROW('03.Muestra'!$D$8:$D$42))+1,""),ROW()-512)),"")</f>
        <v/>
      </c>
      <c r="B537" s="114" t="str" cm="1">
        <f t="array" ref="B537">IFERROR(INDEX('03.Muestra'!$C$8:$C$42,SMALL(IF("Documento no web"='03.Muestra'!$D$8:$D$42,ROW('03.Muestra'!$C$8:$C$42)-MIN(ROW('03.Muestra'!$D$8:$D$42))+1,""),ROW()-512)),"")</f>
        <v/>
      </c>
      <c r="C537" s="114" t="str" cm="1">
        <f t="array" ref="C537">IFERROR(INDEX('03.Muestra'!$F$8:$F$42,SMALL(IF("Documento no web"='03.Muestra'!$D$8:$D$42,ROW('03.Muestra'!$F$8:$F$42)-MIN(ROW('03.Muestra'!$D$8:$D$42))+1,""),ROW()-512)),"")</f>
        <v/>
      </c>
      <c r="D537" s="130" t="str">
        <f t="shared" si="27"/>
        <v/>
      </c>
      <c r="E537" s="107" t="str">
        <f t="shared" si="26"/>
        <v/>
      </c>
      <c r="F537" s="19"/>
      <c r="G537" s="19"/>
      <c r="H537" s="19"/>
      <c r="I537" s="19"/>
      <c r="J537" s="19"/>
      <c r="K537" s="233"/>
      <c r="L537" s="19"/>
      <c r="M537" s="19"/>
      <c r="N537" s="19"/>
      <c r="O537" s="19"/>
      <c r="P537" s="19"/>
      <c r="Q537" s="19"/>
      <c r="R537" s="19"/>
      <c r="S537" s="19"/>
      <c r="T537" s="19"/>
      <c r="U537" s="19"/>
      <c r="V537" s="19"/>
      <c r="W537" s="19"/>
      <c r="X537" s="19"/>
      <c r="Y537" s="19"/>
    </row>
    <row r="538" spans="1:25" ht="12" customHeight="1">
      <c r="A538" s="219" t="str" cm="1">
        <f t="array" ref="A538">IFERROR(INDEX('03.Muestra'!$B$8:$B$42,SMALL(IF("Documento no web"='03.Muestra'!$D$8:$D$42,ROW('03.Muestra'!$B$8:$B$42)-MIN(ROW('03.Muestra'!$D$8:$D$42))+1,""),ROW()-512)),"")</f>
        <v/>
      </c>
      <c r="B538" s="114" t="str" cm="1">
        <f t="array" ref="B538">IFERROR(INDEX('03.Muestra'!$C$8:$C$42,SMALL(IF("Documento no web"='03.Muestra'!$D$8:$D$42,ROW('03.Muestra'!$C$8:$C$42)-MIN(ROW('03.Muestra'!$D$8:$D$42))+1,""),ROW()-512)),"")</f>
        <v/>
      </c>
      <c r="C538" s="114" t="str" cm="1">
        <f t="array" ref="C538">IFERROR(INDEX('03.Muestra'!$F$8:$F$42,SMALL(IF("Documento no web"='03.Muestra'!$D$8:$D$42,ROW('03.Muestra'!$F$8:$F$42)-MIN(ROW('03.Muestra'!$D$8:$D$42))+1,""),ROW()-512)),"")</f>
        <v/>
      </c>
      <c r="D538" s="130" t="str">
        <f t="shared" si="27"/>
        <v/>
      </c>
      <c r="E538" s="107" t="str">
        <f t="shared" si="26"/>
        <v/>
      </c>
      <c r="F538" s="19"/>
      <c r="G538" s="19"/>
      <c r="H538" s="19"/>
      <c r="I538" s="19"/>
      <c r="J538" s="19"/>
      <c r="K538" s="233"/>
      <c r="L538" s="19"/>
      <c r="M538" s="19"/>
      <c r="N538" s="19"/>
      <c r="O538" s="19"/>
      <c r="P538" s="19"/>
      <c r="Q538" s="19"/>
      <c r="R538" s="19"/>
      <c r="S538" s="19"/>
      <c r="T538" s="19"/>
      <c r="U538" s="19"/>
      <c r="V538" s="19"/>
      <c r="W538" s="19"/>
      <c r="X538" s="19"/>
      <c r="Y538" s="19"/>
    </row>
    <row r="539" spans="1:25" ht="12" customHeight="1">
      <c r="A539" s="219" t="str" cm="1">
        <f t="array" ref="A539">IFERROR(INDEX('03.Muestra'!$B$8:$B$42,SMALL(IF("Documento no web"='03.Muestra'!$D$8:$D$42,ROW('03.Muestra'!$B$8:$B$42)-MIN(ROW('03.Muestra'!$D$8:$D$42))+1,""),ROW()-512)),"")</f>
        <v/>
      </c>
      <c r="B539" s="114" t="str" cm="1">
        <f t="array" ref="B539">IFERROR(INDEX('03.Muestra'!$C$8:$C$42,SMALL(IF("Documento no web"='03.Muestra'!$D$8:$D$42,ROW('03.Muestra'!$C$8:$C$42)-MIN(ROW('03.Muestra'!$D$8:$D$42))+1,""),ROW()-512)),"")</f>
        <v/>
      </c>
      <c r="C539" s="114" t="str" cm="1">
        <f t="array" ref="C539">IFERROR(INDEX('03.Muestra'!$F$8:$F$42,SMALL(IF("Documento no web"='03.Muestra'!$D$8:$D$42,ROW('03.Muestra'!$F$8:$F$42)-MIN(ROW('03.Muestra'!$D$8:$D$42))+1,""),ROW()-512)),"")</f>
        <v/>
      </c>
      <c r="D539" s="130" t="str">
        <f t="shared" si="27"/>
        <v/>
      </c>
      <c r="E539" s="107" t="str">
        <f t="shared" si="26"/>
        <v/>
      </c>
      <c r="F539" s="19"/>
      <c r="G539" s="19"/>
      <c r="H539" s="19"/>
      <c r="I539" s="19"/>
      <c r="J539" s="19"/>
      <c r="K539" s="233"/>
      <c r="L539" s="19"/>
      <c r="M539" s="19"/>
      <c r="N539" s="19"/>
      <c r="O539" s="19"/>
      <c r="P539" s="19"/>
      <c r="Q539" s="19"/>
      <c r="R539" s="19"/>
      <c r="S539" s="19"/>
      <c r="T539" s="19"/>
      <c r="U539" s="19"/>
      <c r="V539" s="19"/>
      <c r="W539" s="19"/>
      <c r="X539" s="19"/>
      <c r="Y539" s="19"/>
    </row>
    <row r="540" spans="1:25" ht="12" customHeight="1">
      <c r="A540" s="219" t="str" cm="1">
        <f t="array" ref="A540">IFERROR(INDEX('03.Muestra'!$B$8:$B$42,SMALL(IF("Documento no web"='03.Muestra'!$D$8:$D$42,ROW('03.Muestra'!$B$8:$B$42)-MIN(ROW('03.Muestra'!$D$8:$D$42))+1,""),ROW()-512)),"")</f>
        <v/>
      </c>
      <c r="B540" s="114" t="str" cm="1">
        <f t="array" ref="B540">IFERROR(INDEX('03.Muestra'!$C$8:$C$42,SMALL(IF("Documento no web"='03.Muestra'!$D$8:$D$42,ROW('03.Muestra'!$C$8:$C$42)-MIN(ROW('03.Muestra'!$D$8:$D$42))+1,""),ROW()-512)),"")</f>
        <v/>
      </c>
      <c r="C540" s="114" t="str" cm="1">
        <f t="array" ref="C540">IFERROR(INDEX('03.Muestra'!$F$8:$F$42,SMALL(IF("Documento no web"='03.Muestra'!$D$8:$D$42,ROW('03.Muestra'!$F$8:$F$42)-MIN(ROW('03.Muestra'!$D$8:$D$42))+1,""),ROW()-512)),"")</f>
        <v/>
      </c>
      <c r="D540" s="130" t="str">
        <f t="shared" si="27"/>
        <v/>
      </c>
      <c r="E540" s="107" t="str">
        <f t="shared" si="26"/>
        <v/>
      </c>
      <c r="G540" s="19"/>
      <c r="H540" s="19"/>
      <c r="I540" s="19"/>
      <c r="J540" s="19"/>
      <c r="K540" s="233"/>
      <c r="L540" s="19"/>
      <c r="M540" s="19"/>
      <c r="N540" s="19"/>
      <c r="O540" s="19"/>
      <c r="P540" s="19"/>
      <c r="Q540" s="19"/>
      <c r="R540" s="19"/>
      <c r="S540" s="19"/>
      <c r="T540" s="19"/>
      <c r="U540" s="19"/>
      <c r="V540" s="19"/>
      <c r="W540" s="19"/>
      <c r="X540" s="19"/>
      <c r="Y540" s="19"/>
    </row>
    <row r="541" spans="1:25" ht="12" customHeight="1">
      <c r="A541" s="219" t="str" cm="1">
        <f t="array" ref="A541">IFERROR(INDEX('03.Muestra'!$B$8:$B$42,SMALL(IF("Documento no web"='03.Muestra'!$D$8:$D$42,ROW('03.Muestra'!$B$8:$B$42)-MIN(ROW('03.Muestra'!$D$8:$D$42))+1,""),ROW()-512)),"")</f>
        <v/>
      </c>
      <c r="B541" s="114" t="str" cm="1">
        <f t="array" ref="B541">IFERROR(INDEX('03.Muestra'!$C$8:$C$42,SMALL(IF("Documento no web"='03.Muestra'!$D$8:$D$42,ROW('03.Muestra'!$C$8:$C$42)-MIN(ROW('03.Muestra'!$D$8:$D$42))+1,""),ROW()-512)),"")</f>
        <v/>
      </c>
      <c r="C541" s="114" t="str" cm="1">
        <f t="array" ref="C541">IFERROR(INDEX('03.Muestra'!$F$8:$F$42,SMALL(IF("Documento no web"='03.Muestra'!$D$8:$D$42,ROW('03.Muestra'!$F$8:$F$42)-MIN(ROW('03.Muestra'!$D$8:$D$42))+1,""),ROW()-512)),"")</f>
        <v/>
      </c>
      <c r="D541" s="130" t="str">
        <f t="shared" si="27"/>
        <v/>
      </c>
      <c r="E541" s="107" t="str">
        <f t="shared" si="26"/>
        <v/>
      </c>
      <c r="F541" s="124"/>
      <c r="G541" s="19"/>
      <c r="H541" s="19"/>
      <c r="I541" s="19"/>
      <c r="J541" s="19"/>
      <c r="K541" s="233"/>
      <c r="L541" s="19"/>
      <c r="M541" s="19"/>
      <c r="N541" s="19"/>
      <c r="O541" s="19"/>
      <c r="P541" s="19"/>
      <c r="Q541" s="19"/>
      <c r="R541" s="19"/>
      <c r="S541" s="19"/>
      <c r="T541" s="19"/>
      <c r="U541" s="19"/>
      <c r="V541" s="19"/>
      <c r="W541" s="19"/>
      <c r="X541" s="19"/>
      <c r="Y541" s="19"/>
    </row>
    <row r="542" spans="1:25" ht="12" customHeight="1">
      <c r="A542" s="219" t="str" cm="1">
        <f t="array" ref="A542">IFERROR(INDEX('03.Muestra'!$B$8:$B$42,SMALL(IF("Documento no web"='03.Muestra'!$D$8:$D$42,ROW('03.Muestra'!$B$8:$B$42)-MIN(ROW('03.Muestra'!$D$8:$D$42))+1,""),ROW()-512)),"")</f>
        <v/>
      </c>
      <c r="B542" s="114" t="str" cm="1">
        <f t="array" ref="B542">IFERROR(INDEX('03.Muestra'!$C$8:$C$42,SMALL(IF("Documento no web"='03.Muestra'!$D$8:$D$42,ROW('03.Muestra'!$C$8:$C$42)-MIN(ROW('03.Muestra'!$D$8:$D$42))+1,""),ROW()-512)),"")</f>
        <v/>
      </c>
      <c r="C542" s="114" t="str" cm="1">
        <f t="array" ref="C542">IFERROR(INDEX('03.Muestra'!$F$8:$F$42,SMALL(IF("Documento no web"='03.Muestra'!$D$8:$D$42,ROW('03.Muestra'!$F$8:$F$42)-MIN(ROW('03.Muestra'!$D$8:$D$42))+1,""),ROW()-512)),"")</f>
        <v/>
      </c>
      <c r="D542" s="130" t="str">
        <f t="shared" si="27"/>
        <v/>
      </c>
      <c r="E542" s="107" t="str">
        <f t="shared" si="26"/>
        <v/>
      </c>
      <c r="F542" s="124"/>
      <c r="G542" s="19"/>
      <c r="H542" s="19"/>
      <c r="I542" s="19"/>
      <c r="J542" s="19"/>
      <c r="K542" s="233"/>
      <c r="L542" s="19"/>
      <c r="M542" s="19"/>
      <c r="N542" s="19"/>
      <c r="O542" s="19"/>
      <c r="P542" s="19"/>
      <c r="Q542" s="19"/>
      <c r="R542" s="19"/>
      <c r="S542" s="19"/>
      <c r="T542" s="19"/>
      <c r="U542" s="19"/>
      <c r="V542" s="19"/>
      <c r="W542" s="19"/>
      <c r="X542" s="19"/>
      <c r="Y542" s="19"/>
    </row>
    <row r="543" spans="1:25" ht="12" customHeight="1">
      <c r="A543" s="219" t="str" cm="1">
        <f t="array" ref="A543">IFERROR(INDEX('03.Muestra'!$B$8:$B$42,SMALL(IF("Documento no web"='03.Muestra'!$D$8:$D$42,ROW('03.Muestra'!$B$8:$B$42)-MIN(ROW('03.Muestra'!$D$8:$D$42))+1,""),ROW()-512)),"")</f>
        <v/>
      </c>
      <c r="B543" s="114" t="str" cm="1">
        <f t="array" ref="B543">IFERROR(INDEX('03.Muestra'!$C$8:$C$42,SMALL(IF("Documento no web"='03.Muestra'!$D$8:$D$42,ROW('03.Muestra'!$C$8:$C$42)-MIN(ROW('03.Muestra'!$D$8:$D$42))+1,""),ROW()-512)),"")</f>
        <v/>
      </c>
      <c r="C543" s="114" t="str" cm="1">
        <f t="array" ref="C543">IFERROR(INDEX('03.Muestra'!$F$8:$F$42,SMALL(IF("Documento no web"='03.Muestra'!$D$8:$D$42,ROW('03.Muestra'!$F$8:$F$42)-MIN(ROW('03.Muestra'!$D$8:$D$42))+1,""),ROW()-512)),"")</f>
        <v/>
      </c>
      <c r="D543" s="130" t="str">
        <f t="shared" si="27"/>
        <v/>
      </c>
      <c r="E543" s="107" t="str">
        <f t="shared" si="26"/>
        <v/>
      </c>
      <c r="F543" s="124"/>
      <c r="G543" s="19"/>
      <c r="H543" s="19"/>
      <c r="I543" s="19"/>
      <c r="J543" s="19"/>
      <c r="K543" s="233"/>
      <c r="L543" s="19"/>
      <c r="M543" s="19"/>
      <c r="N543" s="19"/>
      <c r="O543" s="19"/>
      <c r="P543" s="19"/>
      <c r="Q543" s="19"/>
      <c r="R543" s="19"/>
      <c r="S543" s="19"/>
      <c r="T543" s="19"/>
      <c r="U543" s="19"/>
      <c r="V543" s="19"/>
      <c r="W543" s="19"/>
      <c r="X543" s="19"/>
      <c r="Y543" s="19"/>
    </row>
    <row r="544" spans="1:25" ht="12" customHeight="1">
      <c r="A544" s="219" t="str" cm="1">
        <f t="array" ref="A544">IFERROR(INDEX('03.Muestra'!$B$8:$B$42,SMALL(IF("Documento no web"='03.Muestra'!$D$8:$D$42,ROW('03.Muestra'!$B$8:$B$42)-MIN(ROW('03.Muestra'!$D$8:$D$42))+1,""),ROW()-512)),"")</f>
        <v/>
      </c>
      <c r="B544" s="114" t="str" cm="1">
        <f t="array" ref="B544">IFERROR(INDEX('03.Muestra'!$C$8:$C$42,SMALL(IF("Documento no web"='03.Muestra'!$D$8:$D$42,ROW('03.Muestra'!$C$8:$C$42)-MIN(ROW('03.Muestra'!$D$8:$D$42))+1,""),ROW()-512)),"")</f>
        <v/>
      </c>
      <c r="C544" s="114" t="str" cm="1">
        <f t="array" ref="C544">IFERROR(INDEX('03.Muestra'!$F$8:$F$42,SMALL(IF("Documento no web"='03.Muestra'!$D$8:$D$42,ROW('03.Muestra'!$F$8:$F$42)-MIN(ROW('03.Muestra'!$D$8:$D$42))+1,""),ROW()-512)),"")</f>
        <v/>
      </c>
      <c r="D544" s="130" t="str">
        <f t="shared" si="27"/>
        <v/>
      </c>
      <c r="E544" s="107" t="str">
        <f t="shared" si="26"/>
        <v/>
      </c>
      <c r="F544" s="124"/>
      <c r="G544" s="19"/>
      <c r="H544" s="19"/>
      <c r="I544" s="19"/>
      <c r="J544" s="19"/>
      <c r="K544" s="233"/>
      <c r="L544" s="19"/>
      <c r="M544" s="19"/>
      <c r="N544" s="19"/>
      <c r="O544" s="19"/>
      <c r="P544" s="19"/>
      <c r="Q544" s="19"/>
      <c r="R544" s="19"/>
      <c r="S544" s="19"/>
      <c r="T544" s="19"/>
      <c r="U544" s="19"/>
      <c r="V544" s="19"/>
      <c r="W544" s="19"/>
      <c r="X544" s="19"/>
      <c r="Y544" s="19"/>
    </row>
    <row r="545" spans="1:25" ht="12" customHeight="1">
      <c r="A545" s="219" t="str" cm="1">
        <f t="array" ref="A545">IFERROR(INDEX('03.Muestra'!$B$8:$B$42,SMALL(IF("Documento no web"='03.Muestra'!$D$8:$D$42,ROW('03.Muestra'!$B$8:$B$42)-MIN(ROW('03.Muestra'!$D$8:$D$42))+1,""),ROW()-512)),"")</f>
        <v/>
      </c>
      <c r="B545" s="114" t="str" cm="1">
        <f t="array" ref="B545">IFERROR(INDEX('03.Muestra'!$C$8:$C$42,SMALL(IF("Documento no web"='03.Muestra'!$D$8:$D$42,ROW('03.Muestra'!$C$8:$C$42)-MIN(ROW('03.Muestra'!$D$8:$D$42))+1,""),ROW()-512)),"")</f>
        <v/>
      </c>
      <c r="C545" s="114" t="str" cm="1">
        <f t="array" ref="C545">IFERROR(INDEX('03.Muestra'!$F$8:$F$42,SMALL(IF("Documento no web"='03.Muestra'!$D$8:$D$42,ROW('03.Muestra'!$F$8:$F$42)-MIN(ROW('03.Muestra'!$D$8:$D$42))+1,""),ROW()-512)),"")</f>
        <v/>
      </c>
      <c r="D545" s="130" t="str">
        <f t="shared" si="27"/>
        <v/>
      </c>
      <c r="E545" s="107" t="str">
        <f t="shared" si="26"/>
        <v/>
      </c>
      <c r="F545" s="124"/>
      <c r="G545" s="19"/>
      <c r="H545" s="19"/>
      <c r="I545" s="19"/>
      <c r="J545" s="19"/>
      <c r="K545" s="233"/>
      <c r="L545" s="19"/>
      <c r="M545" s="19"/>
      <c r="N545" s="19"/>
      <c r="O545" s="19"/>
      <c r="P545" s="19"/>
      <c r="Q545" s="19"/>
      <c r="R545" s="19"/>
      <c r="S545" s="19"/>
      <c r="T545" s="19"/>
      <c r="U545" s="19"/>
      <c r="V545" s="19"/>
      <c r="W545" s="19"/>
      <c r="X545" s="19"/>
      <c r="Y545" s="19"/>
    </row>
    <row r="546" spans="1:25" ht="12" customHeight="1">
      <c r="A546" s="219" t="str" cm="1">
        <f t="array" ref="A546">IFERROR(INDEX('03.Muestra'!$B$8:$B$42,SMALL(IF("Documento no web"='03.Muestra'!$D$8:$D$42,ROW('03.Muestra'!$B$8:$B$42)-MIN(ROW('03.Muestra'!$D$8:$D$42))+1,""),ROW()-512)),"")</f>
        <v/>
      </c>
      <c r="B546" s="114" t="str" cm="1">
        <f t="array" ref="B546">IFERROR(INDEX('03.Muestra'!$C$8:$C$42,SMALL(IF("Documento no web"='03.Muestra'!$D$8:$D$42,ROW('03.Muestra'!$C$8:$C$42)-MIN(ROW('03.Muestra'!$D$8:$D$42))+1,""),ROW()-512)),"")</f>
        <v/>
      </c>
      <c r="C546" s="114" t="str" cm="1">
        <f t="array" ref="C546">IFERROR(INDEX('03.Muestra'!$F$8:$F$42,SMALL(IF("Documento no web"='03.Muestra'!$D$8:$D$42,ROW('03.Muestra'!$F$8:$F$42)-MIN(ROW('03.Muestra'!$D$8:$D$42))+1,""),ROW()-512)),"")</f>
        <v/>
      </c>
      <c r="D546" s="130" t="str">
        <f t="shared" si="27"/>
        <v/>
      </c>
      <c r="E546" s="107" t="str">
        <f t="shared" si="26"/>
        <v/>
      </c>
      <c r="F546" s="124"/>
      <c r="G546" s="19"/>
      <c r="H546" s="19"/>
      <c r="I546" s="19"/>
      <c r="J546" s="19"/>
      <c r="K546" s="233"/>
      <c r="L546" s="19"/>
      <c r="M546" s="19"/>
      <c r="N546" s="19"/>
      <c r="O546" s="19"/>
      <c r="P546" s="19"/>
      <c r="Q546" s="19"/>
      <c r="R546" s="19"/>
      <c r="S546" s="19"/>
      <c r="T546" s="19"/>
      <c r="U546" s="19"/>
      <c r="V546" s="19"/>
      <c r="W546" s="19"/>
      <c r="X546" s="19"/>
      <c r="Y546" s="19"/>
    </row>
    <row r="547" spans="1:25" ht="12" customHeight="1">
      <c r="A547" s="219" t="str" cm="1">
        <f t="array" ref="A547">IFERROR(INDEX('03.Muestra'!$B$8:$B$42,SMALL(IF("Documento no web"='03.Muestra'!$D$8:$D$42,ROW('03.Muestra'!$B$8:$B$42)-MIN(ROW('03.Muestra'!$D$8:$D$42))+1,""),ROW()-512)),"")</f>
        <v/>
      </c>
      <c r="B547" s="114" t="str" cm="1">
        <f t="array" ref="B547">IFERROR(INDEX('03.Muestra'!$C$8:$C$42,SMALL(IF("Documento no web"='03.Muestra'!$D$8:$D$42,ROW('03.Muestra'!$C$8:$C$42)-MIN(ROW('03.Muestra'!$D$8:$D$42))+1,""),ROW()-512)),"")</f>
        <v/>
      </c>
      <c r="C547" s="114" t="str" cm="1">
        <f t="array" ref="C547">IFERROR(INDEX('03.Muestra'!$F$8:$F$42,SMALL(IF("Documento no web"='03.Muestra'!$D$8:$D$42,ROW('03.Muestra'!$F$8:$F$42)-MIN(ROW('03.Muestra'!$D$8:$D$42))+1,""),ROW()-512)),"")</f>
        <v/>
      </c>
      <c r="D547" s="130" t="str">
        <f t="shared" si="27"/>
        <v/>
      </c>
      <c r="E547" s="107" t="str">
        <f t="shared" si="26"/>
        <v/>
      </c>
      <c r="F547" s="19"/>
      <c r="G547" s="19"/>
      <c r="H547" s="19"/>
      <c r="I547" s="19"/>
      <c r="J547" s="19"/>
      <c r="K547" s="233"/>
      <c r="L547" s="19"/>
      <c r="M547" s="19"/>
      <c r="N547" s="19"/>
      <c r="O547" s="19"/>
      <c r="P547" s="19"/>
      <c r="Q547" s="19"/>
      <c r="R547" s="19"/>
      <c r="S547" s="19"/>
      <c r="T547" s="19"/>
      <c r="U547" s="19"/>
      <c r="V547" s="19"/>
      <c r="W547" s="19"/>
      <c r="X547" s="19"/>
      <c r="Y547" s="19"/>
    </row>
    <row r="548" spans="1:25" ht="12" customHeight="1">
      <c r="B548" s="19"/>
      <c r="C548" s="19"/>
      <c r="D548" s="107"/>
      <c r="E548" s="107"/>
      <c r="F548" s="19"/>
      <c r="G548" s="19"/>
      <c r="H548" s="19"/>
      <c r="I548" s="19"/>
      <c r="J548" s="19"/>
      <c r="K548" s="233"/>
      <c r="L548" s="19"/>
      <c r="M548" s="19"/>
      <c r="N548" s="19"/>
      <c r="O548" s="19"/>
      <c r="P548" s="19"/>
      <c r="Q548" s="19"/>
      <c r="R548" s="19"/>
      <c r="S548" s="19"/>
      <c r="T548" s="19"/>
      <c r="U548" s="19"/>
      <c r="V548" s="19"/>
      <c r="W548" s="19"/>
      <c r="X548" s="19"/>
      <c r="Y548" s="19"/>
    </row>
    <row r="549" spans="1:25" ht="12" customHeight="1">
      <c r="B549" s="19"/>
      <c r="C549" s="19"/>
      <c r="D549" s="107"/>
      <c r="E549" s="112"/>
      <c r="F549" s="19"/>
      <c r="G549" s="19"/>
      <c r="H549" s="19"/>
      <c r="I549" s="19"/>
      <c r="J549" s="19"/>
      <c r="K549" s="233"/>
      <c r="L549" s="19"/>
      <c r="M549" s="19"/>
      <c r="N549" s="19"/>
      <c r="O549" s="19"/>
      <c r="P549" s="19"/>
      <c r="Q549" s="19"/>
      <c r="R549" s="19"/>
      <c r="S549" s="19"/>
      <c r="T549" s="19"/>
      <c r="U549" s="19"/>
      <c r="V549" s="19"/>
      <c r="W549" s="19"/>
      <c r="X549" s="19"/>
      <c r="Y549" s="19"/>
    </row>
    <row r="550" spans="1:25" ht="32.25" customHeight="1">
      <c r="A550" s="218" t="s">
        <v>268</v>
      </c>
      <c r="B550" s="24" t="s">
        <v>90</v>
      </c>
      <c r="C550" s="25" t="s">
        <v>436</v>
      </c>
      <c r="D550" s="26" t="s">
        <v>32</v>
      </c>
      <c r="E550" s="123"/>
      <c r="K550" s="233"/>
      <c r="L550" s="19"/>
      <c r="M550" s="19"/>
      <c r="N550" s="19"/>
      <c r="O550" s="19"/>
      <c r="P550" s="19"/>
      <c r="Q550" s="19"/>
      <c r="R550" s="19"/>
      <c r="S550" s="19"/>
      <c r="T550" s="19"/>
      <c r="U550" s="19"/>
      <c r="V550" s="19"/>
      <c r="W550" s="19"/>
      <c r="X550" s="19"/>
      <c r="Y550" s="19"/>
    </row>
    <row r="551" spans="1:25" ht="12" customHeight="1">
      <c r="A551" s="219" t="n" cm="1">
        <f t="array" ref="A551">IFERROR(INDEX('03.Muestra'!$B$8:$B$42,SMALL(IF("Documento no web"='03.Muestra'!$D$8:$D$42,ROW('03.Muestra'!$B$8:$B$42)-MIN(ROW('03.Muestra'!$D$8:$D$42))+1,""),ROW()-550)),"")</f>
        <v>1.0</v>
      </c>
      <c r="B551" s="114" t="str" cm="1">
        <f t="array" ref="B551">IFERROR(INDEX('03.Muestra'!$C$8:$C$42,SMALL(IF("Documento no web"='03.Muestra'!$D$8:$D$42,ROW('03.Muestra'!$C$8:$C$42)-MIN(ROW('03.Muestra'!$D$8:$D$42))+1,""),ROW()-550)),"")</f>
        <v>Home - PortCastelló</v>
      </c>
      <c r="C551" s="114" t="str" cm="1">
        <f t="array" ref="C551">IFERROR(INDEX('03.Muestra'!$F$8:$F$42,SMALL(IF("Documento no web"='03.Muestra'!$D$8:$D$42,ROW('03.Muestra'!$F$8:$F$42)-MIN(ROW('03.Muestra'!$D$8:$D$42))+1,""),ROW()-550)),"")</f>
        <v>https://www.portcastello.com/</v>
      </c>
      <c r="D551" s="130" t="s">
        <v>33</v>
      </c>
      <c r="E551" s="107" t="str">
        <f t="shared" ref="E551:E585" si="28">IF(D551&lt;&gt;"",IF(AND(B551&lt;&gt;"",C551&lt;&gt;""),"","ERR"),"")</f>
        <v/>
      </c>
      <c r="F551" s="115" t="s">
        <v>33</v>
      </c>
      <c r="G551" s="116" t="s">
        <v>37</v>
      </c>
      <c r="H551" s="117" t="s">
        <v>35</v>
      </c>
      <c r="I551" s="118" t="s">
        <v>28</v>
      </c>
      <c r="J551" s="119" t="s">
        <v>26</v>
      </c>
      <c r="K551" s="226" t="s">
        <v>474</v>
      </c>
      <c r="L551" s="19"/>
      <c r="M551" s="19"/>
      <c r="N551" s="19"/>
      <c r="O551" s="19"/>
      <c r="P551" s="19"/>
      <c r="Q551" s="19"/>
      <c r="R551" s="19"/>
      <c r="S551" s="19"/>
      <c r="T551" s="19"/>
      <c r="U551" s="19"/>
      <c r="V551" s="19"/>
      <c r="W551" s="19"/>
      <c r="X551" s="19"/>
      <c r="Y551" s="19"/>
    </row>
    <row r="552" spans="1:25" ht="12" customHeight="1">
      <c r="A552" s="219" t="n" cm="1">
        <f t="array" ref="A552">IFERROR(INDEX('03.Muestra'!$B$8:$B$42,SMALL(IF("Documento no web"='03.Muestra'!$D$8:$D$42,ROW('03.Muestra'!$B$8:$B$42)-MIN(ROW('03.Muestra'!$D$8:$D$42))+1,""),ROW()-550)),"")</f>
        <v>1.0</v>
      </c>
      <c r="B552" s="114" t="str" cm="1">
        <f t="array" ref="B552">IFERROR(INDEX('03.Muestra'!$C$8:$C$42,SMALL(IF("Documento no web"='03.Muestra'!$D$8:$D$42,ROW('03.Muestra'!$C$8:$C$42)-MIN(ROW('03.Muestra'!$D$8:$D$42))+1,""),ROW()-550)),"")</f>
        <v>Home - PortCastelló</v>
      </c>
      <c r="C552" s="114" t="str" cm="1">
        <f t="array" ref="C552">IFERROR(INDEX('03.Muestra'!$F$8:$F$42,SMALL(IF("Documento no web"='03.Muestra'!$D$8:$D$42,ROW('03.Muestra'!$F$8:$F$42)-MIN(ROW('03.Muestra'!$D$8:$D$42))+1,""),ROW()-550)),"")</f>
        <v>https://www.portcastello.com/</v>
      </c>
      <c r="D552" s="130" t="s">
        <v>33</v>
      </c>
      <c r="E552" s="107" t="str">
        <f t="shared" si="28"/>
        <v/>
      </c>
      <c r="F552" s="120" t="n">
        <f ca="1">COUNTIF($D551:INDIRECT("$D" &amp;  SUM(ROW()-1,'03.Muestra'!$D$45)-1),F551)</f>
        <v>2.0</v>
      </c>
      <c r="G552" s="120" t="n">
        <f ca="1">COUNTIF($D551:INDIRECT("$D" &amp;  SUM(ROW()-1,'03.Muestra'!$D$45)-1),G551)</f>
        <v>0.0</v>
      </c>
      <c r="H552" s="120" t="n">
        <f ca="1">COUNTIF($D551:INDIRECT("$D" &amp;  SUM(ROW()-1,'03.Muestra'!$D$45)-1),H551)</f>
        <v>0.0</v>
      </c>
      <c r="I552" s="120" t="n">
        <f ca="1">COUNTIF($D551:INDIRECT("$D" &amp;  SUM(ROW()-1,'03.Muestra'!$D$45)-1),I551)</f>
        <v>0.0</v>
      </c>
      <c r="J552" s="120" t="n">
        <f ca="1">COUNTIF($D551:INDIRECT("$D" &amp;  SUM(ROW()-1,'03.Muestra'!$D$45)-1),J551)</f>
        <v>0.0</v>
      </c>
      <c r="K552" s="227" t="n">
        <f ca="1">IF(COUNTIF('03.Muestra'!$D$8:$D$42,"Documento no web")=0,0,COUNTBLANK($D551:INDIRECT("$D" &amp;  SUM(ROW()-1,COUNTIF('03.Muestra'!$D$8:$D$42,"Documento no web"))-1)))</f>
        <v>0.0</v>
      </c>
      <c r="L552" s="19"/>
      <c r="M552" s="19"/>
      <c r="N552" s="19"/>
      <c r="O552" s="19"/>
      <c r="P552" s="19"/>
      <c r="Q552" s="19"/>
      <c r="R552" s="19"/>
      <c r="S552" s="19"/>
      <c r="T552" s="19"/>
      <c r="U552" s="19"/>
      <c r="V552" s="19"/>
      <c r="W552" s="19"/>
      <c r="X552" s="19"/>
      <c r="Y552" s="19"/>
    </row>
    <row r="553" spans="1:25" ht="12" customHeight="1">
      <c r="A553" s="219" t="str" cm="1">
        <f t="array" ref="A553">IFERROR(INDEX('03.Muestra'!$B$8:$B$42,SMALL(IF("Documento no web"='03.Muestra'!$D$8:$D$42,ROW('03.Muestra'!$B$8:$B$42)-MIN(ROW('03.Muestra'!$D$8:$D$42))+1,""),ROW()-550)),"")</f>
        <v/>
      </c>
      <c r="B553" s="114" t="str" cm="1">
        <f t="array" ref="B553">IFERROR(INDEX('03.Muestra'!$C$8:$C$42,SMALL(IF("Documento no web"='03.Muestra'!$D$8:$D$42,ROW('03.Muestra'!$C$8:$C$42)-MIN(ROW('03.Muestra'!$D$8:$D$42))+1,""),ROW()-550)),"")</f>
        <v/>
      </c>
      <c r="C553" s="114" t="str" cm="1">
        <f t="array" ref="C553">IFERROR(INDEX('03.Muestra'!$F$8:$F$42,SMALL(IF("Documento no web"='03.Muestra'!$D$8:$D$42,ROW('03.Muestra'!$F$8:$F$42)-MIN(ROW('03.Muestra'!$D$8:$D$42))+1,""),ROW()-550)),"")</f>
        <v/>
      </c>
      <c r="D553" s="130" t="str">
        <f t="shared" si="29" ref="D553:D585">IF(AND(B553&lt;&gt;"",C553&lt;&gt;""),"N/T","")</f>
        <v/>
      </c>
      <c r="E553" s="107" t="str">
        <f t="shared" si="28"/>
        <v/>
      </c>
      <c r="G553" s="19"/>
      <c r="H553" s="19"/>
      <c r="I553" s="19"/>
      <c r="J553" s="19"/>
      <c r="K553" s="233"/>
      <c r="L553" s="19"/>
      <c r="M553" s="19"/>
      <c r="N553" s="19"/>
      <c r="O553" s="19"/>
      <c r="P553" s="19"/>
      <c r="Q553" s="19"/>
      <c r="R553" s="19"/>
      <c r="S553" s="19"/>
      <c r="T553" s="19"/>
      <c r="U553" s="19"/>
      <c r="V553" s="19"/>
      <c r="W553" s="19"/>
      <c r="X553" s="19"/>
      <c r="Y553" s="19"/>
    </row>
    <row r="554" spans="1:25" ht="12" customHeight="1">
      <c r="A554" s="219" t="str" cm="1">
        <f t="array" ref="A554">IFERROR(INDEX('03.Muestra'!$B$8:$B$42,SMALL(IF("Documento no web"='03.Muestra'!$D$8:$D$42,ROW('03.Muestra'!$B$8:$B$42)-MIN(ROW('03.Muestra'!$D$8:$D$42))+1,""),ROW()-550)),"")</f>
        <v/>
      </c>
      <c r="B554" s="114" t="str" cm="1">
        <f t="array" ref="B554">IFERROR(INDEX('03.Muestra'!$C$8:$C$42,SMALL(IF("Documento no web"='03.Muestra'!$D$8:$D$42,ROW('03.Muestra'!$C$8:$C$42)-MIN(ROW('03.Muestra'!$D$8:$D$42))+1,""),ROW()-550)),"")</f>
        <v/>
      </c>
      <c r="C554" s="114" t="str" cm="1">
        <f t="array" ref="C554">IFERROR(INDEX('03.Muestra'!$F$8:$F$42,SMALL(IF("Documento no web"='03.Muestra'!$D$8:$D$42,ROW('03.Muestra'!$F$8:$F$42)-MIN(ROW('03.Muestra'!$D$8:$D$42))+1,""),ROW()-550)),"")</f>
        <v/>
      </c>
      <c r="D554" s="130" t="str">
        <f t="shared" si="29"/>
        <v/>
      </c>
      <c r="E554" s="107" t="str">
        <f t="shared" si="28"/>
        <v/>
      </c>
      <c r="G554" s="19"/>
      <c r="H554" s="19"/>
      <c r="I554" s="19"/>
      <c r="J554" s="19"/>
      <c r="K554" s="233"/>
      <c r="L554" s="19"/>
      <c r="M554" s="19"/>
      <c r="N554" s="19"/>
      <c r="O554" s="19"/>
      <c r="P554" s="19"/>
      <c r="Q554" s="19"/>
      <c r="R554" s="19"/>
      <c r="S554" s="19"/>
      <c r="T554" s="19"/>
      <c r="U554" s="19"/>
      <c r="V554" s="19"/>
      <c r="W554" s="19"/>
      <c r="X554" s="19"/>
      <c r="Y554" s="19"/>
    </row>
    <row r="555" spans="1:25" ht="12" customHeight="1">
      <c r="A555" s="219" t="str" cm="1">
        <f t="array" ref="A555">IFERROR(INDEX('03.Muestra'!$B$8:$B$42,SMALL(IF("Documento no web"='03.Muestra'!$D$8:$D$42,ROW('03.Muestra'!$B$8:$B$42)-MIN(ROW('03.Muestra'!$D$8:$D$42))+1,""),ROW()-550)),"")</f>
        <v/>
      </c>
      <c r="B555" s="114" t="str" cm="1">
        <f t="array" ref="B555">IFERROR(INDEX('03.Muestra'!$C$8:$C$42,SMALL(IF("Documento no web"='03.Muestra'!$D$8:$D$42,ROW('03.Muestra'!$C$8:$C$42)-MIN(ROW('03.Muestra'!$D$8:$D$42))+1,""),ROW()-550)),"")</f>
        <v/>
      </c>
      <c r="C555" s="114" t="str" cm="1">
        <f t="array" ref="C555">IFERROR(INDEX('03.Muestra'!$F$8:$F$42,SMALL(IF("Documento no web"='03.Muestra'!$D$8:$D$42,ROW('03.Muestra'!$F$8:$F$42)-MIN(ROW('03.Muestra'!$D$8:$D$42))+1,""),ROW()-550)),"")</f>
        <v/>
      </c>
      <c r="D555" s="130" t="str">
        <f t="shared" si="29"/>
        <v/>
      </c>
      <c r="E555" s="107" t="str">
        <f t="shared" si="28"/>
        <v/>
      </c>
      <c r="G555" s="19"/>
      <c r="H555" s="19"/>
      <c r="I555" s="19"/>
      <c r="J555" s="19"/>
      <c r="K555" s="233"/>
      <c r="L555" s="19"/>
      <c r="M555" s="19"/>
      <c r="N555" s="19"/>
      <c r="O555" s="19"/>
      <c r="P555" s="19"/>
      <c r="Q555" s="19"/>
      <c r="R555" s="19"/>
      <c r="S555" s="19"/>
      <c r="T555" s="19"/>
      <c r="U555" s="19"/>
      <c r="V555" s="19"/>
      <c r="W555" s="19"/>
      <c r="X555" s="19"/>
      <c r="Y555" s="19"/>
    </row>
    <row r="556" spans="1:25" ht="12" customHeight="1">
      <c r="A556" s="219" t="str" cm="1">
        <f t="array" ref="A556">IFERROR(INDEX('03.Muestra'!$B$8:$B$42,SMALL(IF("Documento no web"='03.Muestra'!$D$8:$D$42,ROW('03.Muestra'!$B$8:$B$42)-MIN(ROW('03.Muestra'!$D$8:$D$42))+1,""),ROW()-550)),"")</f>
        <v/>
      </c>
      <c r="B556" s="114" t="str" cm="1">
        <f t="array" ref="B556">IFERROR(INDEX('03.Muestra'!$C$8:$C$42,SMALL(IF("Documento no web"='03.Muestra'!$D$8:$D$42,ROW('03.Muestra'!$C$8:$C$42)-MIN(ROW('03.Muestra'!$D$8:$D$42))+1,""),ROW()-550)),"")</f>
        <v/>
      </c>
      <c r="C556" s="114" t="str" cm="1">
        <f t="array" ref="C556">IFERROR(INDEX('03.Muestra'!$F$8:$F$42,SMALL(IF("Documento no web"='03.Muestra'!$D$8:$D$42,ROW('03.Muestra'!$F$8:$F$42)-MIN(ROW('03.Muestra'!$D$8:$D$42))+1,""),ROW()-550)),"")</f>
        <v/>
      </c>
      <c r="D556" s="130" t="str">
        <f t="shared" si="29"/>
        <v/>
      </c>
      <c r="E556" s="107" t="str">
        <f t="shared" si="28"/>
        <v/>
      </c>
      <c r="G556" s="19"/>
      <c r="H556" s="19"/>
      <c r="I556" s="19"/>
      <c r="J556" s="19"/>
      <c r="K556" s="233"/>
      <c r="L556" s="19"/>
      <c r="M556" s="19"/>
      <c r="N556" s="19"/>
      <c r="O556" s="19"/>
      <c r="P556" s="19"/>
      <c r="Q556" s="19"/>
      <c r="R556" s="19"/>
      <c r="S556" s="19"/>
      <c r="T556" s="19"/>
      <c r="U556" s="19"/>
      <c r="V556" s="19"/>
      <c r="W556" s="19"/>
      <c r="X556" s="19"/>
      <c r="Y556" s="19"/>
    </row>
    <row r="557" spans="1:25" ht="12" customHeight="1">
      <c r="A557" s="219" t="str" cm="1">
        <f t="array" ref="A557">IFERROR(INDEX('03.Muestra'!$B$8:$B$42,SMALL(IF("Documento no web"='03.Muestra'!$D$8:$D$42,ROW('03.Muestra'!$B$8:$B$42)-MIN(ROW('03.Muestra'!$D$8:$D$42))+1,""),ROW()-550)),"")</f>
        <v/>
      </c>
      <c r="B557" s="114" t="str" cm="1">
        <f t="array" ref="B557">IFERROR(INDEX('03.Muestra'!$C$8:$C$42,SMALL(IF("Documento no web"='03.Muestra'!$D$8:$D$42,ROW('03.Muestra'!$C$8:$C$42)-MIN(ROW('03.Muestra'!$D$8:$D$42))+1,""),ROW()-550)),"")</f>
        <v/>
      </c>
      <c r="C557" s="114" t="str" cm="1">
        <f t="array" ref="C557">IFERROR(INDEX('03.Muestra'!$F$8:$F$42,SMALL(IF("Documento no web"='03.Muestra'!$D$8:$D$42,ROW('03.Muestra'!$F$8:$F$42)-MIN(ROW('03.Muestra'!$D$8:$D$42))+1,""),ROW()-550)),"")</f>
        <v/>
      </c>
      <c r="D557" s="130" t="str">
        <f t="shared" si="29"/>
        <v/>
      </c>
      <c r="E557" s="107" t="str">
        <f t="shared" si="28"/>
        <v/>
      </c>
      <c r="F557" s="19"/>
      <c r="G557" s="19"/>
      <c r="H557" s="19"/>
      <c r="I557" s="19"/>
      <c r="J557" s="19"/>
      <c r="K557" s="233"/>
      <c r="L557" s="19"/>
      <c r="M557" s="19"/>
      <c r="N557" s="19"/>
      <c r="O557" s="19"/>
      <c r="P557" s="19"/>
      <c r="Q557" s="19"/>
      <c r="R557" s="19"/>
      <c r="S557" s="19"/>
      <c r="T557" s="19"/>
      <c r="U557" s="19"/>
      <c r="V557" s="19"/>
      <c r="W557" s="19"/>
      <c r="X557" s="19"/>
      <c r="Y557" s="19"/>
    </row>
    <row r="558" spans="1:25" ht="12" customHeight="1">
      <c r="A558" s="219" t="str" cm="1">
        <f t="array" ref="A558">IFERROR(INDEX('03.Muestra'!$B$8:$B$42,SMALL(IF("Documento no web"='03.Muestra'!$D$8:$D$42,ROW('03.Muestra'!$B$8:$B$42)-MIN(ROW('03.Muestra'!$D$8:$D$42))+1,""),ROW()-550)),"")</f>
        <v/>
      </c>
      <c r="B558" s="114" t="str" cm="1">
        <f t="array" ref="B558">IFERROR(INDEX('03.Muestra'!$C$8:$C$42,SMALL(IF("Documento no web"='03.Muestra'!$D$8:$D$42,ROW('03.Muestra'!$C$8:$C$42)-MIN(ROW('03.Muestra'!$D$8:$D$42))+1,""),ROW()-550)),"")</f>
        <v/>
      </c>
      <c r="C558" s="114" t="str" cm="1">
        <f t="array" ref="C558">IFERROR(INDEX('03.Muestra'!$F$8:$F$42,SMALL(IF("Documento no web"='03.Muestra'!$D$8:$D$42,ROW('03.Muestra'!$F$8:$F$42)-MIN(ROW('03.Muestra'!$D$8:$D$42))+1,""),ROW()-550)),"")</f>
        <v/>
      </c>
      <c r="D558" s="130" t="str">
        <f t="shared" si="29"/>
        <v/>
      </c>
      <c r="E558" s="107" t="str">
        <f t="shared" si="28"/>
        <v/>
      </c>
      <c r="F558" s="19"/>
      <c r="G558" s="19"/>
      <c r="H558" s="19"/>
      <c r="I558" s="19"/>
      <c r="J558" s="19"/>
      <c r="K558" s="233"/>
      <c r="L558" s="19"/>
      <c r="M558" s="19"/>
      <c r="N558" s="19"/>
      <c r="O558" s="19"/>
      <c r="P558" s="19"/>
      <c r="Q558" s="19"/>
      <c r="R558" s="19"/>
      <c r="S558" s="19"/>
      <c r="T558" s="19"/>
      <c r="U558" s="19"/>
      <c r="V558" s="19"/>
      <c r="W558" s="19"/>
      <c r="X558" s="19"/>
      <c r="Y558" s="19"/>
    </row>
    <row r="559" spans="1:25" ht="12" customHeight="1">
      <c r="A559" s="219" t="str" cm="1">
        <f t="array" ref="A559">IFERROR(INDEX('03.Muestra'!$B$8:$B$42,SMALL(IF("Documento no web"='03.Muestra'!$D$8:$D$42,ROW('03.Muestra'!$B$8:$B$42)-MIN(ROW('03.Muestra'!$D$8:$D$42))+1,""),ROW()-550)),"")</f>
        <v/>
      </c>
      <c r="B559" s="114" t="str" cm="1">
        <f t="array" ref="B559">IFERROR(INDEX('03.Muestra'!$C$8:$C$42,SMALL(IF("Documento no web"='03.Muestra'!$D$8:$D$42,ROW('03.Muestra'!$C$8:$C$42)-MIN(ROW('03.Muestra'!$D$8:$D$42))+1,""),ROW()-550)),"")</f>
        <v/>
      </c>
      <c r="C559" s="114" t="str" cm="1">
        <f t="array" ref="C559">IFERROR(INDEX('03.Muestra'!$F$8:$F$42,SMALL(IF("Documento no web"='03.Muestra'!$D$8:$D$42,ROW('03.Muestra'!$F$8:$F$42)-MIN(ROW('03.Muestra'!$D$8:$D$42))+1,""),ROW()-550)),"")</f>
        <v/>
      </c>
      <c r="D559" s="130" t="str">
        <f t="shared" si="29"/>
        <v/>
      </c>
      <c r="E559" s="107" t="str">
        <f t="shared" si="28"/>
        <v/>
      </c>
      <c r="F559" s="19"/>
      <c r="G559" s="19"/>
      <c r="H559" s="19"/>
      <c r="I559" s="19"/>
      <c r="J559" s="19"/>
      <c r="K559" s="233"/>
      <c r="L559" s="19"/>
      <c r="M559" s="19"/>
      <c r="N559" s="19"/>
      <c r="O559" s="19"/>
      <c r="P559" s="19"/>
      <c r="Q559" s="19"/>
      <c r="R559" s="19"/>
      <c r="S559" s="19"/>
      <c r="T559" s="19"/>
      <c r="U559" s="19"/>
      <c r="V559" s="19"/>
      <c r="W559" s="19"/>
      <c r="X559" s="19"/>
      <c r="Y559" s="19"/>
    </row>
    <row r="560" spans="1:25" ht="12" customHeight="1">
      <c r="A560" s="219" t="str" cm="1">
        <f t="array" ref="A560">IFERROR(INDEX('03.Muestra'!$B$8:$B$42,SMALL(IF("Documento no web"='03.Muestra'!$D$8:$D$42,ROW('03.Muestra'!$B$8:$B$42)-MIN(ROW('03.Muestra'!$D$8:$D$42))+1,""),ROW()-550)),"")</f>
        <v/>
      </c>
      <c r="B560" s="114" t="str" cm="1">
        <f t="array" ref="B560">IFERROR(INDEX('03.Muestra'!$C$8:$C$42,SMALL(IF("Documento no web"='03.Muestra'!$D$8:$D$42,ROW('03.Muestra'!$C$8:$C$42)-MIN(ROW('03.Muestra'!$D$8:$D$42))+1,""),ROW()-550)),"")</f>
        <v/>
      </c>
      <c r="C560" s="114" t="str" cm="1">
        <f t="array" ref="C560">IFERROR(INDEX('03.Muestra'!$F$8:$F$42,SMALL(IF("Documento no web"='03.Muestra'!$D$8:$D$42,ROW('03.Muestra'!$F$8:$F$42)-MIN(ROW('03.Muestra'!$D$8:$D$42))+1,""),ROW()-550)),"")</f>
        <v/>
      </c>
      <c r="D560" s="130" t="str">
        <f t="shared" si="29"/>
        <v/>
      </c>
      <c r="E560" s="107" t="str">
        <f t="shared" si="28"/>
        <v/>
      </c>
      <c r="F560" s="19"/>
      <c r="G560" s="19"/>
      <c r="H560" s="19"/>
      <c r="I560" s="19"/>
      <c r="J560" s="19"/>
      <c r="K560" s="233"/>
      <c r="L560" s="19"/>
      <c r="M560" s="19"/>
      <c r="N560" s="19"/>
      <c r="O560" s="19"/>
      <c r="P560" s="19"/>
      <c r="Q560" s="19"/>
      <c r="R560" s="19"/>
      <c r="S560" s="19"/>
      <c r="T560" s="19"/>
      <c r="U560" s="19"/>
      <c r="V560" s="19"/>
      <c r="W560" s="19"/>
      <c r="X560" s="19"/>
      <c r="Y560" s="19"/>
    </row>
    <row r="561" spans="1:25" ht="12" customHeight="1">
      <c r="A561" s="219" t="str" cm="1">
        <f t="array" ref="A561">IFERROR(INDEX('03.Muestra'!$B$8:$B$42,SMALL(IF("Documento no web"='03.Muestra'!$D$8:$D$42,ROW('03.Muestra'!$B$8:$B$42)-MIN(ROW('03.Muestra'!$D$8:$D$42))+1,""),ROW()-550)),"")</f>
        <v/>
      </c>
      <c r="B561" s="114" t="str" cm="1">
        <f t="array" ref="B561">IFERROR(INDEX('03.Muestra'!$C$8:$C$42,SMALL(IF("Documento no web"='03.Muestra'!$D$8:$D$42,ROW('03.Muestra'!$C$8:$C$42)-MIN(ROW('03.Muestra'!$D$8:$D$42))+1,""),ROW()-550)),"")</f>
        <v/>
      </c>
      <c r="C561" s="114" t="str" cm="1">
        <f t="array" ref="C561">IFERROR(INDEX('03.Muestra'!$F$8:$F$42,SMALL(IF("Documento no web"='03.Muestra'!$D$8:$D$42,ROW('03.Muestra'!$F$8:$F$42)-MIN(ROW('03.Muestra'!$D$8:$D$42))+1,""),ROW()-550)),"")</f>
        <v/>
      </c>
      <c r="D561" s="130" t="str">
        <f t="shared" si="29"/>
        <v/>
      </c>
      <c r="E561" s="107" t="str">
        <f t="shared" si="28"/>
        <v/>
      </c>
      <c r="F561" s="19"/>
      <c r="G561" s="19"/>
      <c r="H561" s="19"/>
      <c r="I561" s="19"/>
      <c r="J561" s="19"/>
      <c r="K561" s="233"/>
      <c r="L561" s="19"/>
      <c r="M561" s="19"/>
      <c r="N561" s="19"/>
      <c r="O561" s="19"/>
      <c r="P561" s="19"/>
      <c r="Q561" s="19"/>
      <c r="R561" s="19"/>
      <c r="S561" s="19"/>
      <c r="T561" s="19"/>
      <c r="U561" s="19"/>
      <c r="V561" s="19"/>
      <c r="W561" s="19"/>
      <c r="X561" s="19"/>
      <c r="Y561" s="19"/>
    </row>
    <row r="562" spans="1:25" ht="12" customHeight="1">
      <c r="A562" s="219" t="str" cm="1">
        <f t="array" ref="A562">IFERROR(INDEX('03.Muestra'!$B$8:$B$42,SMALL(IF("Documento no web"='03.Muestra'!$D$8:$D$42,ROW('03.Muestra'!$B$8:$B$42)-MIN(ROW('03.Muestra'!$D$8:$D$42))+1,""),ROW()-550)),"")</f>
        <v/>
      </c>
      <c r="B562" s="114" t="str" cm="1">
        <f t="array" ref="B562">IFERROR(INDEX('03.Muestra'!$C$8:$C$42,SMALL(IF("Documento no web"='03.Muestra'!$D$8:$D$42,ROW('03.Muestra'!$C$8:$C$42)-MIN(ROW('03.Muestra'!$D$8:$D$42))+1,""),ROW()-550)),"")</f>
        <v/>
      </c>
      <c r="C562" s="114" t="str" cm="1">
        <f t="array" ref="C562">IFERROR(INDEX('03.Muestra'!$F$8:$F$42,SMALL(IF("Documento no web"='03.Muestra'!$D$8:$D$42,ROW('03.Muestra'!$F$8:$F$42)-MIN(ROW('03.Muestra'!$D$8:$D$42))+1,""),ROW()-550)),"")</f>
        <v/>
      </c>
      <c r="D562" s="130" t="str">
        <f t="shared" si="29"/>
        <v/>
      </c>
      <c r="E562" s="107" t="str">
        <f t="shared" si="28"/>
        <v/>
      </c>
      <c r="F562" s="19"/>
      <c r="G562" s="19"/>
      <c r="H562" s="19"/>
      <c r="I562" s="19"/>
      <c r="J562" s="19"/>
      <c r="K562" s="233"/>
      <c r="L562" s="19"/>
      <c r="M562" s="19"/>
      <c r="N562" s="19"/>
      <c r="O562" s="19"/>
      <c r="P562" s="19"/>
      <c r="Q562" s="19"/>
      <c r="R562" s="19"/>
      <c r="S562" s="19"/>
      <c r="T562" s="19"/>
      <c r="U562" s="19"/>
      <c r="V562" s="19"/>
      <c r="W562" s="19"/>
      <c r="X562" s="19"/>
      <c r="Y562" s="19"/>
    </row>
    <row r="563" spans="1:25" ht="14.1" customHeight="1">
      <c r="A563" s="219" t="str" cm="1">
        <f t="array" ref="A563">IFERROR(INDEX('03.Muestra'!$B$8:$B$42,SMALL(IF("Documento no web"='03.Muestra'!$D$8:$D$42,ROW('03.Muestra'!$B$8:$B$42)-MIN(ROW('03.Muestra'!$D$8:$D$42))+1,""),ROW()-550)),"")</f>
        <v/>
      </c>
      <c r="B563" s="114" t="str" cm="1">
        <f t="array" ref="B563">IFERROR(INDEX('03.Muestra'!$C$8:$C$42,SMALL(IF("Documento no web"='03.Muestra'!$D$8:$D$42,ROW('03.Muestra'!$C$8:$C$42)-MIN(ROW('03.Muestra'!$D$8:$D$42))+1,""),ROW()-550)),"")</f>
        <v/>
      </c>
      <c r="C563" s="114" t="str" cm="1">
        <f t="array" ref="C563">IFERROR(INDEX('03.Muestra'!$F$8:$F$42,SMALL(IF("Documento no web"='03.Muestra'!$D$8:$D$42,ROW('03.Muestra'!$F$8:$F$42)-MIN(ROW('03.Muestra'!$D$8:$D$42))+1,""),ROW()-550)),"")</f>
        <v/>
      </c>
      <c r="D563" s="130" t="str">
        <f t="shared" si="29"/>
        <v/>
      </c>
      <c r="E563" s="107" t="str">
        <f t="shared" si="28"/>
        <v/>
      </c>
      <c r="F563" s="19"/>
      <c r="G563" s="19"/>
      <c r="H563" s="19"/>
      <c r="I563" s="19"/>
      <c r="J563" s="19"/>
      <c r="K563" s="233"/>
      <c r="L563" s="19"/>
      <c r="M563" s="19"/>
      <c r="N563" s="19"/>
      <c r="O563" s="19"/>
      <c r="P563" s="19"/>
      <c r="Q563" s="19"/>
      <c r="R563" s="19"/>
      <c r="S563" s="19"/>
      <c r="T563" s="19"/>
      <c r="U563" s="19"/>
      <c r="V563" s="19"/>
      <c r="W563" s="19"/>
      <c r="X563" s="19"/>
      <c r="Y563" s="19"/>
    </row>
    <row r="564" spans="1:25" ht="14.1" customHeight="1">
      <c r="A564" s="219" t="str" cm="1">
        <f t="array" ref="A564">IFERROR(INDEX('03.Muestra'!$B$8:$B$42,SMALL(IF("Documento no web"='03.Muestra'!$D$8:$D$42,ROW('03.Muestra'!$B$8:$B$42)-MIN(ROW('03.Muestra'!$D$8:$D$42))+1,""),ROW()-550)),"")</f>
        <v/>
      </c>
      <c r="B564" s="114" t="str" cm="1">
        <f t="array" ref="B564">IFERROR(INDEX('03.Muestra'!$C$8:$C$42,SMALL(IF("Documento no web"='03.Muestra'!$D$8:$D$42,ROW('03.Muestra'!$C$8:$C$42)-MIN(ROW('03.Muestra'!$D$8:$D$42))+1,""),ROW()-550)),"")</f>
        <v/>
      </c>
      <c r="C564" s="114" t="str" cm="1">
        <f t="array" ref="C564">IFERROR(INDEX('03.Muestra'!$F$8:$F$42,SMALL(IF("Documento no web"='03.Muestra'!$D$8:$D$42,ROW('03.Muestra'!$F$8:$F$42)-MIN(ROW('03.Muestra'!$D$8:$D$42))+1,""),ROW()-550)),"")</f>
        <v/>
      </c>
      <c r="D564" s="130" t="str">
        <f t="shared" si="29"/>
        <v/>
      </c>
      <c r="E564" s="107" t="str">
        <f t="shared" si="28"/>
        <v/>
      </c>
      <c r="F564" s="19"/>
      <c r="G564" s="19"/>
      <c r="H564" s="19"/>
      <c r="I564" s="19"/>
      <c r="J564" s="19"/>
      <c r="K564" s="233"/>
      <c r="L564" s="19"/>
      <c r="M564" s="19"/>
      <c r="N564" s="19"/>
      <c r="O564" s="19"/>
      <c r="P564" s="19"/>
      <c r="Q564" s="19"/>
      <c r="R564" s="19"/>
      <c r="S564" s="19"/>
      <c r="T564" s="19"/>
      <c r="U564" s="19"/>
      <c r="V564" s="19"/>
      <c r="W564" s="19"/>
      <c r="X564" s="19"/>
      <c r="Y564" s="19"/>
    </row>
    <row r="565" spans="1:25" ht="14.1" customHeight="1">
      <c r="A565" s="219" t="str" cm="1">
        <f t="array" ref="A565">IFERROR(INDEX('03.Muestra'!$B$8:$B$42,SMALL(IF("Documento no web"='03.Muestra'!$D$8:$D$42,ROW('03.Muestra'!$B$8:$B$42)-MIN(ROW('03.Muestra'!$D$8:$D$42))+1,""),ROW()-550)),"")</f>
        <v/>
      </c>
      <c r="B565" s="114" t="str" cm="1">
        <f t="array" ref="B565">IFERROR(INDEX('03.Muestra'!$C$8:$C$42,SMALL(IF("Documento no web"='03.Muestra'!$D$8:$D$42,ROW('03.Muestra'!$C$8:$C$42)-MIN(ROW('03.Muestra'!$D$8:$D$42))+1,""),ROW()-550)),"")</f>
        <v/>
      </c>
      <c r="C565" s="114" t="str" cm="1">
        <f t="array" ref="C565">IFERROR(INDEX('03.Muestra'!$F$8:$F$42,SMALL(IF("Documento no web"='03.Muestra'!$D$8:$D$42,ROW('03.Muestra'!$F$8:$F$42)-MIN(ROW('03.Muestra'!$D$8:$D$42))+1,""),ROW()-550)),"")</f>
        <v/>
      </c>
      <c r="D565" s="130" t="str">
        <f t="shared" si="29"/>
        <v/>
      </c>
      <c r="E565" s="107" t="str">
        <f t="shared" si="28"/>
        <v/>
      </c>
      <c r="F565" s="19"/>
      <c r="G565" s="19"/>
      <c r="H565" s="19"/>
      <c r="I565" s="19"/>
      <c r="J565" s="19"/>
      <c r="K565" s="233"/>
      <c r="L565" s="19"/>
      <c r="M565" s="19"/>
      <c r="N565" s="19"/>
      <c r="O565" s="19"/>
      <c r="P565" s="19"/>
      <c r="Q565" s="19"/>
      <c r="R565" s="19"/>
      <c r="S565" s="19"/>
      <c r="T565" s="19"/>
      <c r="U565" s="19"/>
      <c r="V565" s="19"/>
      <c r="W565" s="19"/>
      <c r="X565" s="19"/>
      <c r="Y565" s="19"/>
    </row>
    <row r="566" spans="1:25" ht="14.1" customHeight="1">
      <c r="A566" s="219" t="str" cm="1">
        <f t="array" ref="A566">IFERROR(INDEX('03.Muestra'!$B$8:$B$42,SMALL(IF("Documento no web"='03.Muestra'!$D$8:$D$42,ROW('03.Muestra'!$B$8:$B$42)-MIN(ROW('03.Muestra'!$D$8:$D$42))+1,""),ROW()-550)),"")</f>
        <v/>
      </c>
      <c r="B566" s="114" t="str" cm="1">
        <f t="array" ref="B566">IFERROR(INDEX('03.Muestra'!$C$8:$C$42,SMALL(IF("Documento no web"='03.Muestra'!$D$8:$D$42,ROW('03.Muestra'!$C$8:$C$42)-MIN(ROW('03.Muestra'!$D$8:$D$42))+1,""),ROW()-550)),"")</f>
        <v/>
      </c>
      <c r="C566" s="114" t="str" cm="1">
        <f t="array" ref="C566">IFERROR(INDEX('03.Muestra'!$F$8:$F$42,SMALL(IF("Documento no web"='03.Muestra'!$D$8:$D$42,ROW('03.Muestra'!$F$8:$F$42)-MIN(ROW('03.Muestra'!$D$8:$D$42))+1,""),ROW()-550)),"")</f>
        <v/>
      </c>
      <c r="D566" s="130" t="str">
        <f t="shared" si="29"/>
        <v/>
      </c>
      <c r="E566" s="107" t="str">
        <f t="shared" si="28"/>
        <v/>
      </c>
      <c r="F566" s="19"/>
      <c r="G566" s="19"/>
      <c r="H566" s="19"/>
      <c r="I566" s="19"/>
      <c r="J566" s="19"/>
      <c r="K566" s="233"/>
      <c r="L566" s="19"/>
      <c r="M566" s="19"/>
      <c r="N566" s="19"/>
      <c r="O566" s="19"/>
      <c r="P566" s="19"/>
      <c r="Q566" s="19"/>
      <c r="R566" s="19"/>
      <c r="S566" s="19"/>
      <c r="T566" s="19"/>
      <c r="U566" s="19"/>
      <c r="V566" s="19"/>
      <c r="W566" s="19"/>
      <c r="X566" s="19"/>
      <c r="Y566" s="19"/>
    </row>
    <row r="567" spans="1:25" ht="14.1" customHeight="1">
      <c r="A567" s="219" t="str" cm="1">
        <f t="array" ref="A567">IFERROR(INDEX('03.Muestra'!$B$8:$B$42,SMALL(IF("Documento no web"='03.Muestra'!$D$8:$D$42,ROW('03.Muestra'!$B$8:$B$42)-MIN(ROW('03.Muestra'!$D$8:$D$42))+1,""),ROW()-550)),"")</f>
        <v/>
      </c>
      <c r="B567" s="114" t="str" cm="1">
        <f t="array" ref="B567">IFERROR(INDEX('03.Muestra'!$C$8:$C$42,SMALL(IF("Documento no web"='03.Muestra'!$D$8:$D$42,ROW('03.Muestra'!$C$8:$C$42)-MIN(ROW('03.Muestra'!$D$8:$D$42))+1,""),ROW()-550)),"")</f>
        <v/>
      </c>
      <c r="C567" s="114" t="str" cm="1">
        <f t="array" ref="C567">IFERROR(INDEX('03.Muestra'!$F$8:$F$42,SMALL(IF("Documento no web"='03.Muestra'!$D$8:$D$42,ROW('03.Muestra'!$F$8:$F$42)-MIN(ROW('03.Muestra'!$D$8:$D$42))+1,""),ROW()-550)),"")</f>
        <v/>
      </c>
      <c r="D567" s="130" t="str">
        <f t="shared" si="29"/>
        <v/>
      </c>
      <c r="E567" s="107" t="str">
        <f t="shared" si="28"/>
        <v/>
      </c>
      <c r="F567" s="19"/>
      <c r="G567" s="19"/>
      <c r="H567" s="19"/>
      <c r="I567" s="19"/>
      <c r="J567" s="19"/>
      <c r="K567" s="233"/>
      <c r="L567" s="19"/>
      <c r="M567" s="19"/>
      <c r="N567" s="19"/>
      <c r="O567" s="19"/>
      <c r="P567" s="19"/>
      <c r="Q567" s="19"/>
      <c r="R567" s="19"/>
      <c r="S567" s="19"/>
      <c r="T567" s="19"/>
      <c r="U567" s="19"/>
      <c r="V567" s="19"/>
      <c r="W567" s="19"/>
      <c r="X567" s="19"/>
      <c r="Y567" s="19"/>
    </row>
    <row r="568" spans="1:25" ht="14.1" customHeight="1">
      <c r="A568" s="219" t="str" cm="1">
        <f t="array" ref="A568">IFERROR(INDEX('03.Muestra'!$B$8:$B$42,SMALL(IF("Documento no web"='03.Muestra'!$D$8:$D$42,ROW('03.Muestra'!$B$8:$B$42)-MIN(ROW('03.Muestra'!$D$8:$D$42))+1,""),ROW()-550)),"")</f>
        <v/>
      </c>
      <c r="B568" s="114" t="str" cm="1">
        <f t="array" ref="B568">IFERROR(INDEX('03.Muestra'!$C$8:$C$42,SMALL(IF("Documento no web"='03.Muestra'!$D$8:$D$42,ROW('03.Muestra'!$C$8:$C$42)-MIN(ROW('03.Muestra'!$D$8:$D$42))+1,""),ROW()-550)),"")</f>
        <v/>
      </c>
      <c r="C568" s="114" t="str" cm="1">
        <f t="array" ref="C568">IFERROR(INDEX('03.Muestra'!$F$8:$F$42,SMALL(IF("Documento no web"='03.Muestra'!$D$8:$D$42,ROW('03.Muestra'!$F$8:$F$42)-MIN(ROW('03.Muestra'!$D$8:$D$42))+1,""),ROW()-550)),"")</f>
        <v/>
      </c>
      <c r="D568" s="130" t="str">
        <f t="shared" si="29"/>
        <v/>
      </c>
      <c r="E568" s="107" t="str">
        <f t="shared" si="28"/>
        <v/>
      </c>
      <c r="F568" s="19"/>
      <c r="G568" s="19"/>
      <c r="H568" s="19"/>
      <c r="I568" s="19"/>
      <c r="J568" s="19"/>
      <c r="K568" s="233"/>
      <c r="L568" s="19"/>
      <c r="M568" s="19"/>
      <c r="N568" s="19"/>
      <c r="O568" s="19"/>
      <c r="P568" s="19"/>
      <c r="Q568" s="19"/>
      <c r="R568" s="19"/>
      <c r="S568" s="19"/>
      <c r="T568" s="19"/>
      <c r="U568" s="19"/>
      <c r="V568" s="19"/>
      <c r="W568" s="19"/>
      <c r="X568" s="19"/>
      <c r="Y568" s="19"/>
    </row>
    <row r="569" spans="1:25" ht="14.1" customHeight="1">
      <c r="A569" s="219" t="str" cm="1">
        <f t="array" ref="A569">IFERROR(INDEX('03.Muestra'!$B$8:$B$42,SMALL(IF("Documento no web"='03.Muestra'!$D$8:$D$42,ROW('03.Muestra'!$B$8:$B$42)-MIN(ROW('03.Muestra'!$D$8:$D$42))+1,""),ROW()-550)),"")</f>
        <v/>
      </c>
      <c r="B569" s="114" t="str" cm="1">
        <f t="array" ref="B569">IFERROR(INDEX('03.Muestra'!$C$8:$C$42,SMALL(IF("Documento no web"='03.Muestra'!$D$8:$D$42,ROW('03.Muestra'!$C$8:$C$42)-MIN(ROW('03.Muestra'!$D$8:$D$42))+1,""),ROW()-550)),"")</f>
        <v/>
      </c>
      <c r="C569" s="114" t="str" cm="1">
        <f t="array" ref="C569">IFERROR(INDEX('03.Muestra'!$F$8:$F$42,SMALL(IF("Documento no web"='03.Muestra'!$D$8:$D$42,ROW('03.Muestra'!$F$8:$F$42)-MIN(ROW('03.Muestra'!$D$8:$D$42))+1,""),ROW()-550)),"")</f>
        <v/>
      </c>
      <c r="D569" s="130" t="str">
        <f t="shared" si="29"/>
        <v/>
      </c>
      <c r="E569" s="107" t="str">
        <f t="shared" si="28"/>
        <v/>
      </c>
      <c r="F569" s="19"/>
      <c r="G569" s="19"/>
      <c r="H569" s="19"/>
      <c r="I569" s="19"/>
      <c r="J569" s="19"/>
      <c r="K569" s="233"/>
      <c r="L569" s="19"/>
      <c r="M569" s="19"/>
      <c r="N569" s="19"/>
      <c r="O569" s="19"/>
      <c r="P569" s="19"/>
      <c r="Q569" s="19"/>
      <c r="R569" s="19"/>
      <c r="S569" s="19"/>
      <c r="T569" s="19"/>
      <c r="U569" s="19"/>
      <c r="V569" s="19"/>
      <c r="W569" s="19"/>
      <c r="X569" s="19"/>
      <c r="Y569" s="19"/>
    </row>
    <row r="570" spans="1:25" ht="14.1" customHeight="1">
      <c r="A570" s="219" t="str" cm="1">
        <f t="array" ref="A570">IFERROR(INDEX('03.Muestra'!$B$8:$B$42,SMALL(IF("Documento no web"='03.Muestra'!$D$8:$D$42,ROW('03.Muestra'!$B$8:$B$42)-MIN(ROW('03.Muestra'!$D$8:$D$42))+1,""),ROW()-550)),"")</f>
        <v/>
      </c>
      <c r="B570" s="114" t="str" cm="1">
        <f t="array" ref="B570">IFERROR(INDEX('03.Muestra'!$C$8:$C$42,SMALL(IF("Documento no web"='03.Muestra'!$D$8:$D$42,ROW('03.Muestra'!$C$8:$C$42)-MIN(ROW('03.Muestra'!$D$8:$D$42))+1,""),ROW()-550)),"")</f>
        <v/>
      </c>
      <c r="C570" s="114" t="str" cm="1">
        <f t="array" ref="C570">IFERROR(INDEX('03.Muestra'!$F$8:$F$42,SMALL(IF("Documento no web"='03.Muestra'!$D$8:$D$42,ROW('03.Muestra'!$F$8:$F$42)-MIN(ROW('03.Muestra'!$D$8:$D$42))+1,""),ROW()-550)),"")</f>
        <v/>
      </c>
      <c r="D570" s="130" t="str">
        <f t="shared" si="29"/>
        <v/>
      </c>
      <c r="E570" s="107" t="str">
        <f t="shared" si="28"/>
        <v/>
      </c>
      <c r="F570" s="19"/>
      <c r="G570" s="19"/>
      <c r="H570" s="19"/>
      <c r="I570" s="19"/>
      <c r="J570" s="19"/>
      <c r="K570" s="233"/>
      <c r="L570" s="19"/>
      <c r="M570" s="19"/>
      <c r="N570" s="19"/>
      <c r="O570" s="19"/>
      <c r="P570" s="19"/>
      <c r="Q570" s="19"/>
      <c r="R570" s="19"/>
      <c r="S570" s="19"/>
      <c r="T570" s="19"/>
      <c r="U570" s="19"/>
      <c r="V570" s="19"/>
      <c r="W570" s="19"/>
      <c r="X570" s="19"/>
      <c r="Y570" s="19"/>
    </row>
    <row r="571" spans="1:25" ht="14.1" customHeight="1">
      <c r="A571" s="219" t="str" cm="1">
        <f t="array" ref="A571">IFERROR(INDEX('03.Muestra'!$B$8:$B$42,SMALL(IF("Documento no web"='03.Muestra'!$D$8:$D$42,ROW('03.Muestra'!$B$8:$B$42)-MIN(ROW('03.Muestra'!$D$8:$D$42))+1,""),ROW()-550)),"")</f>
        <v/>
      </c>
      <c r="B571" s="114" t="str" cm="1">
        <f t="array" ref="B571">IFERROR(INDEX('03.Muestra'!$C$8:$C$42,SMALL(IF("Documento no web"='03.Muestra'!$D$8:$D$42,ROW('03.Muestra'!$C$8:$C$42)-MIN(ROW('03.Muestra'!$D$8:$D$42))+1,""),ROW()-550)),"")</f>
        <v/>
      </c>
      <c r="C571" s="114" t="str" cm="1">
        <f t="array" ref="C571">IFERROR(INDEX('03.Muestra'!$F$8:$F$42,SMALL(IF("Documento no web"='03.Muestra'!$D$8:$D$42,ROW('03.Muestra'!$F$8:$F$42)-MIN(ROW('03.Muestra'!$D$8:$D$42))+1,""),ROW()-550)),"")</f>
        <v/>
      </c>
      <c r="D571" s="130" t="str">
        <f t="shared" si="29"/>
        <v/>
      </c>
      <c r="E571" s="107" t="str">
        <f t="shared" si="28"/>
        <v/>
      </c>
      <c r="F571" s="19"/>
      <c r="G571" s="19"/>
      <c r="H571" s="19"/>
      <c r="I571" s="19"/>
      <c r="J571" s="19"/>
      <c r="K571" s="233"/>
      <c r="L571" s="19"/>
      <c r="M571" s="19"/>
      <c r="N571" s="19"/>
      <c r="O571" s="19"/>
      <c r="P571" s="19"/>
      <c r="Q571" s="19"/>
      <c r="R571" s="19"/>
      <c r="S571" s="19"/>
      <c r="T571" s="19"/>
      <c r="U571" s="19"/>
      <c r="V571" s="19"/>
      <c r="W571" s="19"/>
      <c r="X571" s="19"/>
      <c r="Y571" s="19"/>
    </row>
    <row r="572" spans="1:25" ht="14.1" customHeight="1">
      <c r="A572" s="219" t="str" cm="1">
        <f t="array" ref="A572">IFERROR(INDEX('03.Muestra'!$B$8:$B$42,SMALL(IF("Documento no web"='03.Muestra'!$D$8:$D$42,ROW('03.Muestra'!$B$8:$B$42)-MIN(ROW('03.Muestra'!$D$8:$D$42))+1,""),ROW()-550)),"")</f>
        <v/>
      </c>
      <c r="B572" s="114" t="str" cm="1">
        <f t="array" ref="B572">IFERROR(INDEX('03.Muestra'!$C$8:$C$42,SMALL(IF("Documento no web"='03.Muestra'!$D$8:$D$42,ROW('03.Muestra'!$C$8:$C$42)-MIN(ROW('03.Muestra'!$D$8:$D$42))+1,""),ROW()-550)),"")</f>
        <v/>
      </c>
      <c r="C572" s="114" t="str" cm="1">
        <f t="array" ref="C572">IFERROR(INDEX('03.Muestra'!$F$8:$F$42,SMALL(IF("Documento no web"='03.Muestra'!$D$8:$D$42,ROW('03.Muestra'!$F$8:$F$42)-MIN(ROW('03.Muestra'!$D$8:$D$42))+1,""),ROW()-550)),"")</f>
        <v/>
      </c>
      <c r="D572" s="130" t="str">
        <f t="shared" si="29"/>
        <v/>
      </c>
      <c r="E572" s="107" t="str">
        <f t="shared" si="28"/>
        <v/>
      </c>
      <c r="F572" s="19"/>
      <c r="G572" s="19"/>
      <c r="H572" s="19"/>
      <c r="I572" s="19"/>
      <c r="J572" s="19"/>
      <c r="K572" s="233"/>
      <c r="L572" s="19"/>
      <c r="M572" s="19"/>
      <c r="N572" s="19"/>
      <c r="O572" s="19"/>
      <c r="P572" s="19"/>
      <c r="Q572" s="19"/>
      <c r="R572" s="19"/>
      <c r="S572" s="19"/>
      <c r="T572" s="19"/>
      <c r="U572" s="19"/>
      <c r="V572" s="19"/>
      <c r="W572" s="19"/>
      <c r="X572" s="19"/>
      <c r="Y572" s="19"/>
    </row>
    <row r="573" spans="1:25" ht="14.1" customHeight="1">
      <c r="A573" s="219" t="str" cm="1">
        <f t="array" ref="A573">IFERROR(INDEX('03.Muestra'!$B$8:$B$42,SMALL(IF("Documento no web"='03.Muestra'!$D$8:$D$42,ROW('03.Muestra'!$B$8:$B$42)-MIN(ROW('03.Muestra'!$D$8:$D$42))+1,""),ROW()-550)),"")</f>
        <v/>
      </c>
      <c r="B573" s="114" t="str" cm="1">
        <f t="array" ref="B573">IFERROR(INDEX('03.Muestra'!$C$8:$C$42,SMALL(IF("Documento no web"='03.Muestra'!$D$8:$D$42,ROW('03.Muestra'!$C$8:$C$42)-MIN(ROW('03.Muestra'!$D$8:$D$42))+1,""),ROW()-550)),"")</f>
        <v/>
      </c>
      <c r="C573" s="114" t="str" cm="1">
        <f t="array" ref="C573">IFERROR(INDEX('03.Muestra'!$F$8:$F$42,SMALL(IF("Documento no web"='03.Muestra'!$D$8:$D$42,ROW('03.Muestra'!$F$8:$F$42)-MIN(ROW('03.Muestra'!$D$8:$D$42))+1,""),ROW()-550)),"")</f>
        <v/>
      </c>
      <c r="D573" s="130" t="str">
        <f t="shared" si="29"/>
        <v/>
      </c>
      <c r="E573" s="107" t="str">
        <f t="shared" si="28"/>
        <v/>
      </c>
      <c r="F573" s="19"/>
      <c r="G573" s="19"/>
      <c r="H573" s="19"/>
      <c r="I573" s="19"/>
      <c r="J573" s="19"/>
      <c r="K573" s="233"/>
      <c r="L573" s="19"/>
      <c r="M573" s="19"/>
      <c r="N573" s="19"/>
      <c r="O573" s="19"/>
      <c r="P573" s="19"/>
      <c r="Q573" s="19"/>
      <c r="R573" s="19"/>
      <c r="S573" s="19"/>
      <c r="T573" s="19"/>
      <c r="U573" s="19"/>
      <c r="V573" s="19"/>
      <c r="W573" s="19"/>
      <c r="X573" s="19"/>
      <c r="Y573" s="19"/>
    </row>
    <row r="574" spans="1:25" ht="12" customHeight="1">
      <c r="A574" s="219" t="str" cm="1">
        <f t="array" ref="A574">IFERROR(INDEX('03.Muestra'!$B$8:$B$42,SMALL(IF("Documento no web"='03.Muestra'!$D$8:$D$42,ROW('03.Muestra'!$B$8:$B$42)-MIN(ROW('03.Muestra'!$D$8:$D$42))+1,""),ROW()-550)),"")</f>
        <v/>
      </c>
      <c r="B574" s="114" t="str" cm="1">
        <f t="array" ref="B574">IFERROR(INDEX('03.Muestra'!$C$8:$C$42,SMALL(IF("Documento no web"='03.Muestra'!$D$8:$D$42,ROW('03.Muestra'!$C$8:$C$42)-MIN(ROW('03.Muestra'!$D$8:$D$42))+1,""),ROW()-550)),"")</f>
        <v/>
      </c>
      <c r="C574" s="114" t="str" cm="1">
        <f t="array" ref="C574">IFERROR(INDEX('03.Muestra'!$F$8:$F$42,SMALL(IF("Documento no web"='03.Muestra'!$D$8:$D$42,ROW('03.Muestra'!$F$8:$F$42)-MIN(ROW('03.Muestra'!$D$8:$D$42))+1,""),ROW()-550)),"")</f>
        <v/>
      </c>
      <c r="D574" s="130" t="str">
        <f t="shared" si="29"/>
        <v/>
      </c>
      <c r="E574" s="107" t="str">
        <f t="shared" si="28"/>
        <v/>
      </c>
      <c r="F574" s="19"/>
      <c r="G574" s="19"/>
      <c r="H574" s="19"/>
      <c r="I574" s="19"/>
      <c r="J574" s="19"/>
      <c r="K574" s="233"/>
      <c r="L574" s="19"/>
      <c r="M574" s="19"/>
      <c r="N574" s="19"/>
      <c r="O574" s="19"/>
      <c r="P574" s="19"/>
      <c r="Q574" s="19"/>
      <c r="R574" s="19"/>
      <c r="S574" s="19"/>
      <c r="T574" s="19"/>
      <c r="U574" s="19"/>
      <c r="V574" s="19"/>
      <c r="W574" s="19"/>
      <c r="X574" s="19"/>
      <c r="Y574" s="19"/>
    </row>
    <row r="575" spans="1:25" ht="12" customHeight="1">
      <c r="A575" s="219" t="str" cm="1">
        <f t="array" ref="A575">IFERROR(INDEX('03.Muestra'!$B$8:$B$42,SMALL(IF("Documento no web"='03.Muestra'!$D$8:$D$42,ROW('03.Muestra'!$B$8:$B$42)-MIN(ROW('03.Muestra'!$D$8:$D$42))+1,""),ROW()-550)),"")</f>
        <v/>
      </c>
      <c r="B575" s="114" t="str" cm="1">
        <f t="array" ref="B575">IFERROR(INDEX('03.Muestra'!$C$8:$C$42,SMALL(IF("Documento no web"='03.Muestra'!$D$8:$D$42,ROW('03.Muestra'!$C$8:$C$42)-MIN(ROW('03.Muestra'!$D$8:$D$42))+1,""),ROW()-550)),"")</f>
        <v/>
      </c>
      <c r="C575" s="114" t="str" cm="1">
        <f t="array" ref="C575">IFERROR(INDEX('03.Muestra'!$F$8:$F$42,SMALL(IF("Documento no web"='03.Muestra'!$D$8:$D$42,ROW('03.Muestra'!$F$8:$F$42)-MIN(ROW('03.Muestra'!$D$8:$D$42))+1,""),ROW()-550)),"")</f>
        <v/>
      </c>
      <c r="D575" s="130" t="str">
        <f t="shared" si="29"/>
        <v/>
      </c>
      <c r="E575" s="107" t="str">
        <f t="shared" si="28"/>
        <v/>
      </c>
      <c r="F575" s="19"/>
      <c r="G575" s="19"/>
      <c r="H575" s="19"/>
      <c r="I575" s="19"/>
      <c r="J575" s="19"/>
      <c r="K575" s="233"/>
      <c r="L575" s="19"/>
      <c r="M575" s="19"/>
      <c r="N575" s="19"/>
      <c r="O575" s="19"/>
      <c r="P575" s="19"/>
      <c r="Q575" s="19"/>
      <c r="R575" s="19"/>
      <c r="S575" s="19"/>
      <c r="T575" s="19"/>
      <c r="U575" s="19"/>
      <c r="V575" s="19"/>
      <c r="W575" s="19"/>
      <c r="X575" s="19"/>
      <c r="Y575" s="19"/>
    </row>
    <row r="576" spans="1:25" ht="12" customHeight="1">
      <c r="A576" s="219" t="str" cm="1">
        <f t="array" ref="A576">IFERROR(INDEX('03.Muestra'!$B$8:$B$42,SMALL(IF("Documento no web"='03.Muestra'!$D$8:$D$42,ROW('03.Muestra'!$B$8:$B$42)-MIN(ROW('03.Muestra'!$D$8:$D$42))+1,""),ROW()-550)),"")</f>
        <v/>
      </c>
      <c r="B576" s="114" t="str" cm="1">
        <f t="array" ref="B576">IFERROR(INDEX('03.Muestra'!$C$8:$C$42,SMALL(IF("Documento no web"='03.Muestra'!$D$8:$D$42,ROW('03.Muestra'!$C$8:$C$42)-MIN(ROW('03.Muestra'!$D$8:$D$42))+1,""),ROW()-550)),"")</f>
        <v/>
      </c>
      <c r="C576" s="114" t="str" cm="1">
        <f t="array" ref="C576">IFERROR(INDEX('03.Muestra'!$F$8:$F$42,SMALL(IF("Documento no web"='03.Muestra'!$D$8:$D$42,ROW('03.Muestra'!$F$8:$F$42)-MIN(ROW('03.Muestra'!$D$8:$D$42))+1,""),ROW()-550)),"")</f>
        <v/>
      </c>
      <c r="D576" s="130" t="str">
        <f t="shared" si="29"/>
        <v/>
      </c>
      <c r="E576" s="107" t="str">
        <f t="shared" si="28"/>
        <v/>
      </c>
      <c r="F576" s="19"/>
      <c r="G576" s="19"/>
      <c r="H576" s="19"/>
      <c r="I576" s="19"/>
      <c r="J576" s="19"/>
      <c r="K576" s="233"/>
      <c r="L576" s="19"/>
      <c r="M576" s="19"/>
      <c r="N576" s="19"/>
      <c r="O576" s="19"/>
      <c r="P576" s="19"/>
      <c r="Q576" s="19"/>
      <c r="R576" s="19"/>
      <c r="S576" s="19"/>
      <c r="T576" s="19"/>
      <c r="U576" s="19"/>
      <c r="V576" s="19"/>
      <c r="W576" s="19"/>
      <c r="X576" s="19"/>
      <c r="Y576" s="19"/>
    </row>
    <row r="577" spans="1:25" ht="12" customHeight="1">
      <c r="A577" s="219" t="str" cm="1">
        <f t="array" ref="A577">IFERROR(INDEX('03.Muestra'!$B$8:$B$42,SMALL(IF("Documento no web"='03.Muestra'!$D$8:$D$42,ROW('03.Muestra'!$B$8:$B$42)-MIN(ROW('03.Muestra'!$D$8:$D$42))+1,""),ROW()-550)),"")</f>
        <v/>
      </c>
      <c r="B577" s="114" t="str" cm="1">
        <f t="array" ref="B577">IFERROR(INDEX('03.Muestra'!$C$8:$C$42,SMALL(IF("Documento no web"='03.Muestra'!$D$8:$D$42,ROW('03.Muestra'!$C$8:$C$42)-MIN(ROW('03.Muestra'!$D$8:$D$42))+1,""),ROW()-550)),"")</f>
        <v/>
      </c>
      <c r="C577" s="114" t="str" cm="1">
        <f t="array" ref="C577">IFERROR(INDEX('03.Muestra'!$F$8:$F$42,SMALL(IF("Documento no web"='03.Muestra'!$D$8:$D$42,ROW('03.Muestra'!$F$8:$F$42)-MIN(ROW('03.Muestra'!$D$8:$D$42))+1,""),ROW()-550)),"")</f>
        <v/>
      </c>
      <c r="D577" s="130" t="str">
        <f t="shared" si="29"/>
        <v/>
      </c>
      <c r="E577" s="107" t="str">
        <f t="shared" si="28"/>
        <v/>
      </c>
      <c r="F577" s="19"/>
      <c r="G577" s="19"/>
      <c r="H577" s="19"/>
      <c r="I577" s="19"/>
      <c r="J577" s="19"/>
      <c r="K577" s="233"/>
      <c r="L577" s="19"/>
      <c r="M577" s="19"/>
      <c r="N577" s="19"/>
      <c r="O577" s="19"/>
      <c r="P577" s="19"/>
      <c r="Q577" s="19"/>
      <c r="R577" s="19"/>
      <c r="S577" s="19"/>
      <c r="T577" s="19"/>
      <c r="U577" s="19"/>
      <c r="V577" s="19"/>
      <c r="W577" s="19"/>
      <c r="X577" s="19"/>
      <c r="Y577" s="19"/>
    </row>
    <row r="578" spans="1:25" ht="12" customHeight="1">
      <c r="A578" s="219" t="str" cm="1">
        <f t="array" ref="A578">IFERROR(INDEX('03.Muestra'!$B$8:$B$42,SMALL(IF("Documento no web"='03.Muestra'!$D$8:$D$42,ROW('03.Muestra'!$B$8:$B$42)-MIN(ROW('03.Muestra'!$D$8:$D$42))+1,""),ROW()-550)),"")</f>
        <v/>
      </c>
      <c r="B578" s="114" t="str" cm="1">
        <f t="array" ref="B578">IFERROR(INDEX('03.Muestra'!$C$8:$C$42,SMALL(IF("Documento no web"='03.Muestra'!$D$8:$D$42,ROW('03.Muestra'!$C$8:$C$42)-MIN(ROW('03.Muestra'!$D$8:$D$42))+1,""),ROW()-550)),"")</f>
        <v/>
      </c>
      <c r="C578" s="114" t="str" cm="1">
        <f t="array" ref="C578">IFERROR(INDEX('03.Muestra'!$F$8:$F$42,SMALL(IF("Documento no web"='03.Muestra'!$D$8:$D$42,ROW('03.Muestra'!$F$8:$F$42)-MIN(ROW('03.Muestra'!$D$8:$D$42))+1,""),ROW()-550)),"")</f>
        <v/>
      </c>
      <c r="D578" s="130" t="str">
        <f t="shared" si="29"/>
        <v/>
      </c>
      <c r="E578" s="107" t="str">
        <f t="shared" si="28"/>
        <v/>
      </c>
      <c r="G578" s="19"/>
      <c r="H578" s="19"/>
      <c r="I578" s="19"/>
      <c r="J578" s="19"/>
      <c r="K578" s="233"/>
      <c r="L578" s="19"/>
      <c r="M578" s="19"/>
      <c r="N578" s="19"/>
      <c r="O578" s="19"/>
      <c r="P578" s="19"/>
      <c r="Q578" s="19"/>
      <c r="R578" s="19"/>
      <c r="S578" s="19"/>
      <c r="T578" s="19"/>
      <c r="U578" s="19"/>
      <c r="V578" s="19"/>
      <c r="W578" s="19"/>
      <c r="X578" s="19"/>
      <c r="Y578" s="19"/>
    </row>
    <row r="579" spans="1:25" ht="12" customHeight="1">
      <c r="A579" s="219" t="str" cm="1">
        <f t="array" ref="A579">IFERROR(INDEX('03.Muestra'!$B$8:$B$42,SMALL(IF("Documento no web"='03.Muestra'!$D$8:$D$42,ROW('03.Muestra'!$B$8:$B$42)-MIN(ROW('03.Muestra'!$D$8:$D$42))+1,""),ROW()-550)),"")</f>
        <v/>
      </c>
      <c r="B579" s="114" t="str" cm="1">
        <f t="array" ref="B579">IFERROR(INDEX('03.Muestra'!$C$8:$C$42,SMALL(IF("Documento no web"='03.Muestra'!$D$8:$D$42,ROW('03.Muestra'!$C$8:$C$42)-MIN(ROW('03.Muestra'!$D$8:$D$42))+1,""),ROW()-550)),"")</f>
        <v/>
      </c>
      <c r="C579" s="114" t="str" cm="1">
        <f t="array" ref="C579">IFERROR(INDEX('03.Muestra'!$F$8:$F$42,SMALL(IF("Documento no web"='03.Muestra'!$D$8:$D$42,ROW('03.Muestra'!$F$8:$F$42)-MIN(ROW('03.Muestra'!$D$8:$D$42))+1,""),ROW()-550)),"")</f>
        <v/>
      </c>
      <c r="D579" s="130" t="str">
        <f t="shared" si="29"/>
        <v/>
      </c>
      <c r="E579" s="107" t="str">
        <f t="shared" si="28"/>
        <v/>
      </c>
      <c r="F579" s="124"/>
      <c r="G579" s="19"/>
      <c r="H579" s="19"/>
      <c r="I579" s="19"/>
      <c r="J579" s="19"/>
      <c r="K579" s="233"/>
      <c r="L579" s="19"/>
      <c r="M579" s="19"/>
      <c r="N579" s="19"/>
      <c r="O579" s="19"/>
      <c r="P579" s="19"/>
      <c r="Q579" s="19"/>
      <c r="R579" s="19"/>
      <c r="S579" s="19"/>
      <c r="T579" s="19"/>
      <c r="U579" s="19"/>
      <c r="V579" s="19"/>
      <c r="W579" s="19"/>
      <c r="X579" s="19"/>
      <c r="Y579" s="19"/>
    </row>
    <row r="580" spans="1:25" ht="12" customHeight="1">
      <c r="A580" s="219" t="str" cm="1">
        <f t="array" ref="A580">IFERROR(INDEX('03.Muestra'!$B$8:$B$42,SMALL(IF("Documento no web"='03.Muestra'!$D$8:$D$42,ROW('03.Muestra'!$B$8:$B$42)-MIN(ROW('03.Muestra'!$D$8:$D$42))+1,""),ROW()-550)),"")</f>
        <v/>
      </c>
      <c r="B580" s="114" t="str" cm="1">
        <f t="array" ref="B580">IFERROR(INDEX('03.Muestra'!$C$8:$C$42,SMALL(IF("Documento no web"='03.Muestra'!$D$8:$D$42,ROW('03.Muestra'!$C$8:$C$42)-MIN(ROW('03.Muestra'!$D$8:$D$42))+1,""),ROW()-550)),"")</f>
        <v/>
      </c>
      <c r="C580" s="114" t="str" cm="1">
        <f t="array" ref="C580">IFERROR(INDEX('03.Muestra'!$F$8:$F$42,SMALL(IF("Documento no web"='03.Muestra'!$D$8:$D$42,ROW('03.Muestra'!$F$8:$F$42)-MIN(ROW('03.Muestra'!$D$8:$D$42))+1,""),ROW()-550)),"")</f>
        <v/>
      </c>
      <c r="D580" s="130" t="str">
        <f t="shared" si="29"/>
        <v/>
      </c>
      <c r="E580" s="107" t="str">
        <f t="shared" si="28"/>
        <v/>
      </c>
      <c r="F580" s="124"/>
      <c r="G580" s="19"/>
      <c r="H580" s="19"/>
      <c r="I580" s="19"/>
      <c r="J580" s="19"/>
      <c r="K580" s="233"/>
      <c r="L580" s="19"/>
      <c r="M580" s="19"/>
      <c r="N580" s="19"/>
      <c r="O580" s="19"/>
      <c r="P580" s="19"/>
      <c r="Q580" s="19"/>
      <c r="R580" s="19"/>
      <c r="S580" s="19"/>
      <c r="T580" s="19"/>
      <c r="U580" s="19"/>
      <c r="V580" s="19"/>
      <c r="W580" s="19"/>
      <c r="X580" s="19"/>
      <c r="Y580" s="19"/>
    </row>
    <row r="581" spans="1:25" ht="12" customHeight="1">
      <c r="A581" s="219" t="str" cm="1">
        <f t="array" ref="A581">IFERROR(INDEX('03.Muestra'!$B$8:$B$42,SMALL(IF("Documento no web"='03.Muestra'!$D$8:$D$42,ROW('03.Muestra'!$B$8:$B$42)-MIN(ROW('03.Muestra'!$D$8:$D$42))+1,""),ROW()-550)),"")</f>
        <v/>
      </c>
      <c r="B581" s="114" t="str" cm="1">
        <f t="array" ref="B581">IFERROR(INDEX('03.Muestra'!$C$8:$C$42,SMALL(IF("Documento no web"='03.Muestra'!$D$8:$D$42,ROW('03.Muestra'!$C$8:$C$42)-MIN(ROW('03.Muestra'!$D$8:$D$42))+1,""),ROW()-550)),"")</f>
        <v/>
      </c>
      <c r="C581" s="114" t="str" cm="1">
        <f t="array" ref="C581">IFERROR(INDEX('03.Muestra'!$F$8:$F$42,SMALL(IF("Documento no web"='03.Muestra'!$D$8:$D$42,ROW('03.Muestra'!$F$8:$F$42)-MIN(ROW('03.Muestra'!$D$8:$D$42))+1,""),ROW()-550)),"")</f>
        <v/>
      </c>
      <c r="D581" s="130" t="str">
        <f t="shared" si="29"/>
        <v/>
      </c>
      <c r="E581" s="107" t="str">
        <f t="shared" si="28"/>
        <v/>
      </c>
      <c r="F581" s="124"/>
      <c r="G581" s="19"/>
      <c r="H581" s="19"/>
      <c r="I581" s="19"/>
      <c r="J581" s="19"/>
      <c r="K581" s="233"/>
      <c r="L581" s="19"/>
      <c r="M581" s="19"/>
      <c r="N581" s="19"/>
      <c r="O581" s="19"/>
      <c r="P581" s="19"/>
      <c r="Q581" s="19"/>
      <c r="R581" s="19"/>
      <c r="S581" s="19"/>
      <c r="T581" s="19"/>
      <c r="U581" s="19"/>
      <c r="V581" s="19"/>
      <c r="W581" s="19"/>
      <c r="X581" s="19"/>
      <c r="Y581" s="19"/>
    </row>
    <row r="582" spans="1:25" ht="12" customHeight="1">
      <c r="A582" s="219" t="str" cm="1">
        <f t="array" ref="A582">IFERROR(INDEX('03.Muestra'!$B$8:$B$42,SMALL(IF("Documento no web"='03.Muestra'!$D$8:$D$42,ROW('03.Muestra'!$B$8:$B$42)-MIN(ROW('03.Muestra'!$D$8:$D$42))+1,""),ROW()-550)),"")</f>
        <v/>
      </c>
      <c r="B582" s="114" t="str" cm="1">
        <f t="array" ref="B582">IFERROR(INDEX('03.Muestra'!$C$8:$C$42,SMALL(IF("Documento no web"='03.Muestra'!$D$8:$D$42,ROW('03.Muestra'!$C$8:$C$42)-MIN(ROW('03.Muestra'!$D$8:$D$42))+1,""),ROW()-550)),"")</f>
        <v/>
      </c>
      <c r="C582" s="114" t="str" cm="1">
        <f t="array" ref="C582">IFERROR(INDEX('03.Muestra'!$F$8:$F$42,SMALL(IF("Documento no web"='03.Muestra'!$D$8:$D$42,ROW('03.Muestra'!$F$8:$F$42)-MIN(ROW('03.Muestra'!$D$8:$D$42))+1,""),ROW()-550)),"")</f>
        <v/>
      </c>
      <c r="D582" s="130" t="str">
        <f t="shared" si="29"/>
        <v/>
      </c>
      <c r="E582" s="107" t="str">
        <f t="shared" si="28"/>
        <v/>
      </c>
      <c r="F582" s="124"/>
      <c r="G582" s="19"/>
      <c r="H582" s="19"/>
      <c r="I582" s="19"/>
      <c r="J582" s="19"/>
      <c r="K582" s="233"/>
      <c r="L582" s="19"/>
      <c r="M582" s="19"/>
      <c r="N582" s="19"/>
      <c r="O582" s="19"/>
      <c r="P582" s="19"/>
      <c r="Q582" s="19"/>
      <c r="R582" s="19"/>
      <c r="S582" s="19"/>
      <c r="T582" s="19"/>
      <c r="U582" s="19"/>
      <c r="V582" s="19"/>
      <c r="W582" s="19"/>
      <c r="X582" s="19"/>
      <c r="Y582" s="19"/>
    </row>
    <row r="583" spans="1:25" ht="12" customHeight="1">
      <c r="A583" s="219" t="str" cm="1">
        <f t="array" ref="A583">IFERROR(INDEX('03.Muestra'!$B$8:$B$42,SMALL(IF("Documento no web"='03.Muestra'!$D$8:$D$42,ROW('03.Muestra'!$B$8:$B$42)-MIN(ROW('03.Muestra'!$D$8:$D$42))+1,""),ROW()-550)),"")</f>
        <v/>
      </c>
      <c r="B583" s="114" t="str" cm="1">
        <f t="array" ref="B583">IFERROR(INDEX('03.Muestra'!$C$8:$C$42,SMALL(IF("Documento no web"='03.Muestra'!$D$8:$D$42,ROW('03.Muestra'!$C$8:$C$42)-MIN(ROW('03.Muestra'!$D$8:$D$42))+1,""),ROW()-550)),"")</f>
        <v/>
      </c>
      <c r="C583" s="114" t="str" cm="1">
        <f t="array" ref="C583">IFERROR(INDEX('03.Muestra'!$F$8:$F$42,SMALL(IF("Documento no web"='03.Muestra'!$D$8:$D$42,ROW('03.Muestra'!$F$8:$F$42)-MIN(ROW('03.Muestra'!$D$8:$D$42))+1,""),ROW()-550)),"")</f>
        <v/>
      </c>
      <c r="D583" s="130" t="str">
        <f t="shared" si="29"/>
        <v/>
      </c>
      <c r="E583" s="107" t="str">
        <f t="shared" si="28"/>
        <v/>
      </c>
      <c r="F583" s="124"/>
      <c r="G583" s="19"/>
      <c r="H583" s="19"/>
      <c r="I583" s="19"/>
      <c r="J583" s="19"/>
      <c r="K583" s="233"/>
      <c r="L583" s="19"/>
      <c r="M583" s="19"/>
      <c r="N583" s="19"/>
      <c r="O583" s="19"/>
      <c r="P583" s="19"/>
      <c r="Q583" s="19"/>
      <c r="R583" s="19"/>
      <c r="S583" s="19"/>
      <c r="T583" s="19"/>
      <c r="U583" s="19"/>
      <c r="V583" s="19"/>
      <c r="W583" s="19"/>
      <c r="X583" s="19"/>
      <c r="Y583" s="19"/>
    </row>
    <row r="584" spans="1:25" ht="12" customHeight="1">
      <c r="A584" s="219" t="str" cm="1">
        <f t="array" ref="A584">IFERROR(INDEX('03.Muestra'!$B$8:$B$42,SMALL(IF("Documento no web"='03.Muestra'!$D$8:$D$42,ROW('03.Muestra'!$B$8:$B$42)-MIN(ROW('03.Muestra'!$D$8:$D$42))+1,""),ROW()-550)),"")</f>
        <v/>
      </c>
      <c r="B584" s="114" t="str" cm="1">
        <f t="array" ref="B584">IFERROR(INDEX('03.Muestra'!$C$8:$C$42,SMALL(IF("Documento no web"='03.Muestra'!$D$8:$D$42,ROW('03.Muestra'!$C$8:$C$42)-MIN(ROW('03.Muestra'!$D$8:$D$42))+1,""),ROW()-550)),"")</f>
        <v/>
      </c>
      <c r="C584" s="114" t="str" cm="1">
        <f t="array" ref="C584">IFERROR(INDEX('03.Muestra'!$F$8:$F$42,SMALL(IF("Documento no web"='03.Muestra'!$D$8:$D$42,ROW('03.Muestra'!$F$8:$F$42)-MIN(ROW('03.Muestra'!$D$8:$D$42))+1,""),ROW()-550)),"")</f>
        <v/>
      </c>
      <c r="D584" s="130" t="str">
        <f t="shared" si="29"/>
        <v/>
      </c>
      <c r="E584" s="107" t="str">
        <f t="shared" si="28"/>
        <v/>
      </c>
      <c r="F584" s="124"/>
      <c r="G584" s="19"/>
      <c r="H584" s="19"/>
      <c r="I584" s="19"/>
      <c r="J584" s="19"/>
      <c r="K584" s="233"/>
      <c r="L584" s="19"/>
      <c r="M584" s="19"/>
      <c r="N584" s="19"/>
      <c r="O584" s="19"/>
      <c r="P584" s="19"/>
      <c r="Q584" s="19"/>
      <c r="R584" s="19"/>
      <c r="S584" s="19"/>
      <c r="T584" s="19"/>
      <c r="U584" s="19"/>
      <c r="V584" s="19"/>
      <c r="W584" s="19"/>
      <c r="X584" s="19"/>
      <c r="Y584" s="19"/>
    </row>
    <row r="585" spans="1:25" ht="12" customHeight="1">
      <c r="A585" s="219" t="str" cm="1">
        <f t="array" ref="A585">IFERROR(INDEX('03.Muestra'!$B$8:$B$42,SMALL(IF("Documento no web"='03.Muestra'!$D$8:$D$42,ROW('03.Muestra'!$B$8:$B$42)-MIN(ROW('03.Muestra'!$D$8:$D$42))+1,""),ROW()-550)),"")</f>
        <v/>
      </c>
      <c r="B585" s="114" t="str" cm="1">
        <f t="array" ref="B585">IFERROR(INDEX('03.Muestra'!$C$8:$C$42,SMALL(IF("Documento no web"='03.Muestra'!$D$8:$D$42,ROW('03.Muestra'!$C$8:$C$42)-MIN(ROW('03.Muestra'!$D$8:$D$42))+1,""),ROW()-550)),"")</f>
        <v/>
      </c>
      <c r="C585" s="114" t="str" cm="1">
        <f t="array" ref="C585">IFERROR(INDEX('03.Muestra'!$F$8:$F$42,SMALL(IF("Documento no web"='03.Muestra'!$D$8:$D$42,ROW('03.Muestra'!$F$8:$F$42)-MIN(ROW('03.Muestra'!$D$8:$D$42))+1,""),ROW()-550)),"")</f>
        <v/>
      </c>
      <c r="D585" s="130" t="str">
        <f t="shared" si="29"/>
        <v/>
      </c>
      <c r="E585" s="107" t="str">
        <f t="shared" si="28"/>
        <v/>
      </c>
      <c r="F585" s="19"/>
      <c r="G585" s="19"/>
      <c r="H585" s="19"/>
      <c r="I585" s="19"/>
      <c r="J585" s="19"/>
      <c r="K585" s="233"/>
      <c r="L585" s="19"/>
      <c r="M585" s="19"/>
      <c r="N585" s="19"/>
      <c r="O585" s="19"/>
      <c r="P585" s="19"/>
      <c r="Q585" s="19"/>
      <c r="R585" s="19"/>
      <c r="S585" s="19"/>
      <c r="T585" s="19"/>
      <c r="U585" s="19"/>
      <c r="V585" s="19"/>
      <c r="W585" s="19"/>
      <c r="X585" s="19"/>
      <c r="Y585" s="19"/>
    </row>
    <row r="586" spans="1:25" ht="12" customHeight="1">
      <c r="B586" s="19"/>
      <c r="C586" s="19"/>
      <c r="D586" s="107"/>
      <c r="E586" s="107"/>
      <c r="F586" s="19"/>
      <c r="G586" s="19"/>
      <c r="H586" s="19"/>
      <c r="I586" s="19"/>
      <c r="J586" s="19"/>
      <c r="K586" s="233"/>
      <c r="L586" s="19"/>
      <c r="M586" s="19"/>
      <c r="N586" s="19"/>
      <c r="O586" s="19"/>
      <c r="P586" s="19"/>
      <c r="Q586" s="19"/>
      <c r="R586" s="19"/>
      <c r="S586" s="19"/>
      <c r="T586" s="19"/>
      <c r="U586" s="19"/>
      <c r="V586" s="19"/>
      <c r="W586" s="19"/>
      <c r="X586" s="19"/>
      <c r="Y586" s="19"/>
    </row>
    <row r="587" spans="1:25" ht="12" customHeight="1">
      <c r="B587" s="19"/>
      <c r="C587" s="19"/>
      <c r="D587" s="107"/>
      <c r="E587" s="112"/>
      <c r="F587" s="19"/>
      <c r="G587" s="19"/>
      <c r="H587" s="19"/>
      <c r="I587" s="19"/>
      <c r="J587" s="19"/>
      <c r="K587" s="233"/>
      <c r="L587" s="19"/>
      <c r="M587" s="19"/>
      <c r="N587" s="19"/>
      <c r="O587" s="19"/>
      <c r="P587" s="19"/>
      <c r="Q587" s="19"/>
      <c r="R587" s="19"/>
      <c r="S587" s="19"/>
      <c r="T587" s="19"/>
      <c r="U587" s="19"/>
      <c r="V587" s="19"/>
      <c r="W587" s="19"/>
      <c r="X587" s="19"/>
      <c r="Y587" s="19"/>
    </row>
    <row r="588" spans="1:25" ht="32.25" customHeight="1">
      <c r="A588" s="218" t="s">
        <v>268</v>
      </c>
      <c r="B588" s="24" t="s">
        <v>90</v>
      </c>
      <c r="C588" s="25" t="s">
        <v>437</v>
      </c>
      <c r="D588" s="26" t="s">
        <v>32</v>
      </c>
      <c r="E588" s="123"/>
      <c r="K588" s="233"/>
      <c r="L588" s="19"/>
      <c r="M588" s="19"/>
      <c r="N588" s="19"/>
      <c r="O588" s="19"/>
      <c r="P588" s="19"/>
      <c r="Q588" s="19"/>
      <c r="R588" s="19"/>
      <c r="S588" s="19"/>
      <c r="T588" s="19"/>
      <c r="U588" s="19"/>
      <c r="V588" s="19"/>
      <c r="W588" s="19"/>
      <c r="X588" s="19"/>
      <c r="Y588" s="19"/>
    </row>
    <row r="589" spans="1:25" ht="12" customHeight="1">
      <c r="A589" s="219" t="n" cm="1">
        <f t="array" ref="A589">IFERROR(INDEX('03.Muestra'!$B$8:$B$42,SMALL(IF("Documento no web"='03.Muestra'!$D$8:$D$42,ROW('03.Muestra'!$B$8:$B$42)-MIN(ROW('03.Muestra'!$D$8:$D$42))+1,""),ROW()-588)),"")</f>
        <v>1.0</v>
      </c>
      <c r="B589" s="114" t="str" cm="1">
        <f t="array" ref="B589">IFERROR(INDEX('03.Muestra'!$C$8:$C$42,SMALL(IF("Documento no web"='03.Muestra'!$D$8:$D$42,ROW('03.Muestra'!$C$8:$C$42)-MIN(ROW('03.Muestra'!$D$8:$D$42))+1,""),ROW()-588)),"")</f>
        <v>Home - PortCastelló</v>
      </c>
      <c r="C589" s="114" t="str" cm="1">
        <f t="array" ref="C589">IFERROR(INDEX('03.Muestra'!$F$8:$F$42,SMALL(IF("Documento no web"='03.Muestra'!$D$8:$D$42,ROW('03.Muestra'!$F$8:$F$42)-MIN(ROW('03.Muestra'!$D$8:$D$42))+1,""),ROW()-588)),"")</f>
        <v>https://www.portcastello.com/</v>
      </c>
      <c r="D589" s="130" t="s">
        <v>33</v>
      </c>
      <c r="E589" s="107" t="str">
        <f t="shared" ref="E589:E623" si="30">IF(D589&lt;&gt;"",IF(AND(B589&lt;&gt;"",C589&lt;&gt;""),"","ERR"),"")</f>
        <v/>
      </c>
      <c r="F589" s="115" t="s">
        <v>33</v>
      </c>
      <c r="G589" s="116" t="s">
        <v>37</v>
      </c>
      <c r="H589" s="117" t="s">
        <v>35</v>
      </c>
      <c r="I589" s="118" t="s">
        <v>28</v>
      </c>
      <c r="J589" s="119" t="s">
        <v>26</v>
      </c>
      <c r="K589" s="226" t="s">
        <v>474</v>
      </c>
      <c r="L589" s="19"/>
      <c r="M589" s="19"/>
      <c r="N589" s="19"/>
      <c r="O589" s="19"/>
      <c r="P589" s="19"/>
      <c r="Q589" s="19"/>
      <c r="R589" s="19"/>
      <c r="S589" s="19"/>
      <c r="T589" s="19"/>
      <c r="U589" s="19"/>
      <c r="V589" s="19"/>
      <c r="W589" s="19"/>
      <c r="X589" s="19"/>
      <c r="Y589" s="19"/>
    </row>
    <row r="590" spans="1:25" ht="12" customHeight="1">
      <c r="A590" s="219" t="n" cm="1">
        <f t="array" ref="A590">IFERROR(INDEX('03.Muestra'!$B$8:$B$42,SMALL(IF("Documento no web"='03.Muestra'!$D$8:$D$42,ROW('03.Muestra'!$B$8:$B$42)-MIN(ROW('03.Muestra'!$D$8:$D$42))+1,""),ROW()-588)),"")</f>
        <v>1.0</v>
      </c>
      <c r="B590" s="114" t="str" cm="1">
        <f t="array" ref="B590">IFERROR(INDEX('03.Muestra'!$C$8:$C$42,SMALL(IF("Documento no web"='03.Muestra'!$D$8:$D$42,ROW('03.Muestra'!$C$8:$C$42)-MIN(ROW('03.Muestra'!$D$8:$D$42))+1,""),ROW()-588)),"")</f>
        <v>Home - PortCastelló</v>
      </c>
      <c r="C590" s="114" t="str" cm="1">
        <f t="array" ref="C590">IFERROR(INDEX('03.Muestra'!$F$8:$F$42,SMALL(IF("Documento no web"='03.Muestra'!$D$8:$D$42,ROW('03.Muestra'!$F$8:$F$42)-MIN(ROW('03.Muestra'!$D$8:$D$42))+1,""),ROW()-588)),"")</f>
        <v>https://www.portcastello.com/</v>
      </c>
      <c r="D590" s="130" t="s">
        <v>33</v>
      </c>
      <c r="E590" s="107" t="str">
        <f t="shared" si="30"/>
        <v/>
      </c>
      <c r="F590" s="120" t="n">
        <f ca="1">COUNTIF($D589:INDIRECT("$D" &amp;  SUM(ROW()-1,'03.Muestra'!$D$45)-1),F589)</f>
        <v>2.0</v>
      </c>
      <c r="G590" s="120" t="n">
        <f ca="1">COUNTIF($D589:INDIRECT("$D" &amp;  SUM(ROW()-1,'03.Muestra'!$D$45)-1),G589)</f>
        <v>0.0</v>
      </c>
      <c r="H590" s="120" t="n">
        <f ca="1">COUNTIF($D589:INDIRECT("$D" &amp;  SUM(ROW()-1,'03.Muestra'!$D$45)-1),H589)</f>
        <v>0.0</v>
      </c>
      <c r="I590" s="120" t="n">
        <f ca="1">COUNTIF($D589:INDIRECT("$D" &amp;  SUM(ROW()-1,'03.Muestra'!$D$45)-1),I589)</f>
        <v>0.0</v>
      </c>
      <c r="J590" s="120" t="n">
        <f ca="1">COUNTIF($D589:INDIRECT("$D" &amp;  SUM(ROW()-1,'03.Muestra'!$D$45)-1),J589)</f>
        <v>0.0</v>
      </c>
      <c r="K590" s="227" t="n">
        <f ca="1">IF(COUNTIF('03.Muestra'!$D$8:$D$42,"Documento no web")=0,0,COUNTBLANK($D589:INDIRECT("$D" &amp;  SUM(ROW()-1,COUNTIF('03.Muestra'!$D$8:$D$42,"Documento no web"))-1)))</f>
        <v>0.0</v>
      </c>
      <c r="L590" s="19"/>
      <c r="M590" s="19"/>
      <c r="N590" s="19"/>
      <c r="O590" s="19"/>
      <c r="P590" s="19"/>
      <c r="Q590" s="19"/>
      <c r="R590" s="19"/>
      <c r="S590" s="19"/>
      <c r="T590" s="19"/>
      <c r="U590" s="19"/>
      <c r="V590" s="19"/>
      <c r="W590" s="19"/>
      <c r="X590" s="19"/>
      <c r="Y590" s="19"/>
    </row>
    <row r="591" spans="1:25" ht="12" customHeight="1">
      <c r="A591" s="219" t="str" cm="1">
        <f t="array" ref="A591">IFERROR(INDEX('03.Muestra'!$B$8:$B$42,SMALL(IF("Documento no web"='03.Muestra'!$D$8:$D$42,ROW('03.Muestra'!$B$8:$B$42)-MIN(ROW('03.Muestra'!$D$8:$D$42))+1,""),ROW()-588)),"")</f>
        <v/>
      </c>
      <c r="B591" s="114" t="str" cm="1">
        <f t="array" ref="B591">IFERROR(INDEX('03.Muestra'!$C$8:$C$42,SMALL(IF("Documento no web"='03.Muestra'!$D$8:$D$42,ROW('03.Muestra'!$C$8:$C$42)-MIN(ROW('03.Muestra'!$D$8:$D$42))+1,""),ROW()-588)),"")</f>
        <v/>
      </c>
      <c r="C591" s="114" t="str" cm="1">
        <f t="array" ref="C591">IFERROR(INDEX('03.Muestra'!$F$8:$F$42,SMALL(IF("Documento no web"='03.Muestra'!$D$8:$D$42,ROW('03.Muestra'!$F$8:$F$42)-MIN(ROW('03.Muestra'!$D$8:$D$42))+1,""),ROW()-588)),"")</f>
        <v/>
      </c>
      <c r="D591" s="130" t="str">
        <f t="shared" si="31" ref="D591:D623">IF(AND(B591&lt;&gt;"",C591&lt;&gt;""),"N/T","")</f>
        <v/>
      </c>
      <c r="E591" s="107" t="str">
        <f t="shared" si="30"/>
        <v/>
      </c>
      <c r="G591" s="19"/>
      <c r="H591" s="19"/>
      <c r="I591" s="19"/>
      <c r="J591" s="19"/>
      <c r="K591" s="233"/>
      <c r="L591" s="19"/>
      <c r="M591" s="19"/>
      <c r="N591" s="19"/>
      <c r="O591" s="19"/>
      <c r="P591" s="19"/>
      <c r="Q591" s="19"/>
      <c r="R591" s="19"/>
      <c r="S591" s="19"/>
      <c r="T591" s="19"/>
      <c r="U591" s="19"/>
      <c r="V591" s="19"/>
      <c r="W591" s="19"/>
      <c r="X591" s="19"/>
      <c r="Y591" s="19"/>
    </row>
    <row r="592" spans="1:25" ht="12" customHeight="1">
      <c r="A592" s="219" t="str" cm="1">
        <f t="array" ref="A592">IFERROR(INDEX('03.Muestra'!$B$8:$B$42,SMALL(IF("Documento no web"='03.Muestra'!$D$8:$D$42,ROW('03.Muestra'!$B$8:$B$42)-MIN(ROW('03.Muestra'!$D$8:$D$42))+1,""),ROW()-588)),"")</f>
        <v/>
      </c>
      <c r="B592" s="114" t="str" cm="1">
        <f t="array" ref="B592">IFERROR(INDEX('03.Muestra'!$C$8:$C$42,SMALL(IF("Documento no web"='03.Muestra'!$D$8:$D$42,ROW('03.Muestra'!$C$8:$C$42)-MIN(ROW('03.Muestra'!$D$8:$D$42))+1,""),ROW()-588)),"")</f>
        <v/>
      </c>
      <c r="C592" s="114" t="str" cm="1">
        <f t="array" ref="C592">IFERROR(INDEX('03.Muestra'!$F$8:$F$42,SMALL(IF("Documento no web"='03.Muestra'!$D$8:$D$42,ROW('03.Muestra'!$F$8:$F$42)-MIN(ROW('03.Muestra'!$D$8:$D$42))+1,""),ROW()-588)),"")</f>
        <v/>
      </c>
      <c r="D592" s="130" t="str">
        <f t="shared" si="31"/>
        <v/>
      </c>
      <c r="E592" s="107" t="str">
        <f t="shared" si="30"/>
        <v/>
      </c>
      <c r="G592" s="19"/>
      <c r="H592" s="19"/>
      <c r="I592" s="19"/>
      <c r="J592" s="19"/>
      <c r="K592" s="233"/>
      <c r="L592" s="19"/>
      <c r="M592" s="19"/>
      <c r="N592" s="19"/>
      <c r="O592" s="19"/>
      <c r="P592" s="19"/>
      <c r="Q592" s="19"/>
      <c r="R592" s="19"/>
      <c r="S592" s="19"/>
      <c r="T592" s="19"/>
      <c r="U592" s="19"/>
      <c r="V592" s="19"/>
      <c r="W592" s="19"/>
      <c r="X592" s="19"/>
      <c r="Y592" s="19"/>
    </row>
    <row r="593" spans="1:25" ht="12" customHeight="1">
      <c r="A593" s="219" t="str" cm="1">
        <f t="array" ref="A593">IFERROR(INDEX('03.Muestra'!$B$8:$B$42,SMALL(IF("Documento no web"='03.Muestra'!$D$8:$D$42,ROW('03.Muestra'!$B$8:$B$42)-MIN(ROW('03.Muestra'!$D$8:$D$42))+1,""),ROW()-588)),"")</f>
        <v/>
      </c>
      <c r="B593" s="114" t="str" cm="1">
        <f t="array" ref="B593">IFERROR(INDEX('03.Muestra'!$C$8:$C$42,SMALL(IF("Documento no web"='03.Muestra'!$D$8:$D$42,ROW('03.Muestra'!$C$8:$C$42)-MIN(ROW('03.Muestra'!$D$8:$D$42))+1,""),ROW()-588)),"")</f>
        <v/>
      </c>
      <c r="C593" s="114" t="str" cm="1">
        <f t="array" ref="C593">IFERROR(INDEX('03.Muestra'!$F$8:$F$42,SMALL(IF("Documento no web"='03.Muestra'!$D$8:$D$42,ROW('03.Muestra'!$F$8:$F$42)-MIN(ROW('03.Muestra'!$D$8:$D$42))+1,""),ROW()-588)),"")</f>
        <v/>
      </c>
      <c r="D593" s="130" t="str">
        <f t="shared" si="31"/>
        <v/>
      </c>
      <c r="E593" s="107" t="str">
        <f t="shared" si="30"/>
        <v/>
      </c>
      <c r="G593" s="19"/>
      <c r="H593" s="19"/>
      <c r="I593" s="19"/>
      <c r="J593" s="19"/>
      <c r="K593" s="233"/>
      <c r="L593" s="19"/>
      <c r="M593" s="19"/>
      <c r="N593" s="19"/>
      <c r="O593" s="19"/>
      <c r="P593" s="19"/>
      <c r="Q593" s="19"/>
      <c r="R593" s="19"/>
      <c r="S593" s="19"/>
      <c r="T593" s="19"/>
      <c r="U593" s="19"/>
      <c r="V593" s="19"/>
      <c r="W593" s="19"/>
      <c r="X593" s="19"/>
      <c r="Y593" s="19"/>
    </row>
    <row r="594" spans="1:25" ht="12" customHeight="1">
      <c r="A594" s="219" t="str" cm="1">
        <f t="array" ref="A594">IFERROR(INDEX('03.Muestra'!$B$8:$B$42,SMALL(IF("Documento no web"='03.Muestra'!$D$8:$D$42,ROW('03.Muestra'!$B$8:$B$42)-MIN(ROW('03.Muestra'!$D$8:$D$42))+1,""),ROW()-588)),"")</f>
        <v/>
      </c>
      <c r="B594" s="114" t="str" cm="1">
        <f t="array" ref="B594">IFERROR(INDEX('03.Muestra'!$C$8:$C$42,SMALL(IF("Documento no web"='03.Muestra'!$D$8:$D$42,ROW('03.Muestra'!$C$8:$C$42)-MIN(ROW('03.Muestra'!$D$8:$D$42))+1,""),ROW()-588)),"")</f>
        <v/>
      </c>
      <c r="C594" s="114" t="str" cm="1">
        <f t="array" ref="C594">IFERROR(INDEX('03.Muestra'!$F$8:$F$42,SMALL(IF("Documento no web"='03.Muestra'!$D$8:$D$42,ROW('03.Muestra'!$F$8:$F$42)-MIN(ROW('03.Muestra'!$D$8:$D$42))+1,""),ROW()-588)),"")</f>
        <v/>
      </c>
      <c r="D594" s="130" t="str">
        <f t="shared" si="31"/>
        <v/>
      </c>
      <c r="E594" s="107" t="str">
        <f t="shared" si="30"/>
        <v/>
      </c>
      <c r="G594" s="19"/>
      <c r="H594" s="19"/>
      <c r="I594" s="19"/>
      <c r="J594" s="19"/>
      <c r="K594" s="233"/>
      <c r="L594" s="19"/>
      <c r="M594" s="19"/>
      <c r="N594" s="19"/>
      <c r="O594" s="19"/>
      <c r="P594" s="19"/>
      <c r="Q594" s="19"/>
      <c r="R594" s="19"/>
      <c r="S594" s="19"/>
      <c r="T594" s="19"/>
      <c r="U594" s="19"/>
      <c r="V594" s="19"/>
      <c r="W594" s="19"/>
      <c r="X594" s="19"/>
      <c r="Y594" s="19"/>
    </row>
    <row r="595" spans="1:25" ht="12" customHeight="1">
      <c r="A595" s="219" t="str" cm="1">
        <f t="array" ref="A595">IFERROR(INDEX('03.Muestra'!$B$8:$B$42,SMALL(IF("Documento no web"='03.Muestra'!$D$8:$D$42,ROW('03.Muestra'!$B$8:$B$42)-MIN(ROW('03.Muestra'!$D$8:$D$42))+1,""),ROW()-588)),"")</f>
        <v/>
      </c>
      <c r="B595" s="114" t="str" cm="1">
        <f t="array" ref="B595">IFERROR(INDEX('03.Muestra'!$C$8:$C$42,SMALL(IF("Documento no web"='03.Muestra'!$D$8:$D$42,ROW('03.Muestra'!$C$8:$C$42)-MIN(ROW('03.Muestra'!$D$8:$D$42))+1,""),ROW()-588)),"")</f>
        <v/>
      </c>
      <c r="C595" s="114" t="str" cm="1">
        <f t="array" ref="C595">IFERROR(INDEX('03.Muestra'!$F$8:$F$42,SMALL(IF("Documento no web"='03.Muestra'!$D$8:$D$42,ROW('03.Muestra'!$F$8:$F$42)-MIN(ROW('03.Muestra'!$D$8:$D$42))+1,""),ROW()-588)),"")</f>
        <v/>
      </c>
      <c r="D595" s="130" t="str">
        <f t="shared" si="31"/>
        <v/>
      </c>
      <c r="E595" s="107" t="str">
        <f t="shared" si="30"/>
        <v/>
      </c>
      <c r="F595" s="19"/>
      <c r="G595" s="19"/>
      <c r="H595" s="19"/>
      <c r="I595" s="19"/>
      <c r="J595" s="19"/>
      <c r="K595" s="233"/>
      <c r="L595" s="19"/>
      <c r="M595" s="19"/>
      <c r="N595" s="19"/>
      <c r="O595" s="19"/>
      <c r="P595" s="19"/>
      <c r="Q595" s="19"/>
      <c r="R595" s="19"/>
      <c r="S595" s="19"/>
      <c r="T595" s="19"/>
      <c r="U595" s="19"/>
      <c r="V595" s="19"/>
      <c r="W595" s="19"/>
      <c r="X595" s="19"/>
      <c r="Y595" s="19"/>
    </row>
    <row r="596" spans="1:25" ht="12" customHeight="1">
      <c r="A596" s="219" t="str" cm="1">
        <f t="array" ref="A596">IFERROR(INDEX('03.Muestra'!$B$8:$B$42,SMALL(IF("Documento no web"='03.Muestra'!$D$8:$D$42,ROW('03.Muestra'!$B$8:$B$42)-MIN(ROW('03.Muestra'!$D$8:$D$42))+1,""),ROW()-588)),"")</f>
        <v/>
      </c>
      <c r="B596" s="114" t="str" cm="1">
        <f t="array" ref="B596">IFERROR(INDEX('03.Muestra'!$C$8:$C$42,SMALL(IF("Documento no web"='03.Muestra'!$D$8:$D$42,ROW('03.Muestra'!$C$8:$C$42)-MIN(ROW('03.Muestra'!$D$8:$D$42))+1,""),ROW()-588)),"")</f>
        <v/>
      </c>
      <c r="C596" s="114" t="str" cm="1">
        <f t="array" ref="C596">IFERROR(INDEX('03.Muestra'!$F$8:$F$42,SMALL(IF("Documento no web"='03.Muestra'!$D$8:$D$42,ROW('03.Muestra'!$F$8:$F$42)-MIN(ROW('03.Muestra'!$D$8:$D$42))+1,""),ROW()-588)),"")</f>
        <v/>
      </c>
      <c r="D596" s="130" t="str">
        <f t="shared" si="31"/>
        <v/>
      </c>
      <c r="E596" s="107" t="str">
        <f t="shared" si="30"/>
        <v/>
      </c>
      <c r="F596" s="19"/>
      <c r="G596" s="19"/>
      <c r="H596" s="19"/>
      <c r="I596" s="19"/>
      <c r="J596" s="19"/>
      <c r="K596" s="233"/>
      <c r="L596" s="19"/>
      <c r="M596" s="19"/>
      <c r="N596" s="19"/>
      <c r="O596" s="19"/>
      <c r="P596" s="19"/>
      <c r="Q596" s="19"/>
      <c r="R596" s="19"/>
      <c r="S596" s="19"/>
      <c r="T596" s="19"/>
      <c r="U596" s="19"/>
      <c r="V596" s="19"/>
      <c r="W596" s="19"/>
      <c r="X596" s="19"/>
      <c r="Y596" s="19"/>
    </row>
    <row r="597" spans="1:25" ht="12" customHeight="1">
      <c r="A597" s="219" t="str" cm="1">
        <f t="array" ref="A597">IFERROR(INDEX('03.Muestra'!$B$8:$B$42,SMALL(IF("Documento no web"='03.Muestra'!$D$8:$D$42,ROW('03.Muestra'!$B$8:$B$42)-MIN(ROW('03.Muestra'!$D$8:$D$42))+1,""),ROW()-588)),"")</f>
        <v/>
      </c>
      <c r="B597" s="114" t="str" cm="1">
        <f t="array" ref="B597">IFERROR(INDEX('03.Muestra'!$C$8:$C$42,SMALL(IF("Documento no web"='03.Muestra'!$D$8:$D$42,ROW('03.Muestra'!$C$8:$C$42)-MIN(ROW('03.Muestra'!$D$8:$D$42))+1,""),ROW()-588)),"")</f>
        <v/>
      </c>
      <c r="C597" s="114" t="str" cm="1">
        <f t="array" ref="C597">IFERROR(INDEX('03.Muestra'!$F$8:$F$42,SMALL(IF("Documento no web"='03.Muestra'!$D$8:$D$42,ROW('03.Muestra'!$F$8:$F$42)-MIN(ROW('03.Muestra'!$D$8:$D$42))+1,""),ROW()-588)),"")</f>
        <v/>
      </c>
      <c r="D597" s="130" t="str">
        <f t="shared" si="31"/>
        <v/>
      </c>
      <c r="E597" s="107" t="str">
        <f t="shared" si="30"/>
        <v/>
      </c>
      <c r="F597" s="19"/>
      <c r="G597" s="19"/>
      <c r="H597" s="19"/>
      <c r="I597" s="19"/>
      <c r="J597" s="19"/>
      <c r="K597" s="233"/>
      <c r="L597" s="19"/>
      <c r="M597" s="19"/>
      <c r="N597" s="19"/>
      <c r="O597" s="19"/>
      <c r="P597" s="19"/>
      <c r="Q597" s="19"/>
      <c r="R597" s="19"/>
      <c r="S597" s="19"/>
      <c r="T597" s="19"/>
      <c r="U597" s="19"/>
      <c r="V597" s="19"/>
      <c r="W597" s="19"/>
      <c r="X597" s="19"/>
      <c r="Y597" s="19"/>
    </row>
    <row r="598" spans="1:25" ht="12" customHeight="1">
      <c r="A598" s="219" t="str" cm="1">
        <f t="array" ref="A598">IFERROR(INDEX('03.Muestra'!$B$8:$B$42,SMALL(IF("Documento no web"='03.Muestra'!$D$8:$D$42,ROW('03.Muestra'!$B$8:$B$42)-MIN(ROW('03.Muestra'!$D$8:$D$42))+1,""),ROW()-588)),"")</f>
        <v/>
      </c>
      <c r="B598" s="114" t="str" cm="1">
        <f t="array" ref="B598">IFERROR(INDEX('03.Muestra'!$C$8:$C$42,SMALL(IF("Documento no web"='03.Muestra'!$D$8:$D$42,ROW('03.Muestra'!$C$8:$C$42)-MIN(ROW('03.Muestra'!$D$8:$D$42))+1,""),ROW()-588)),"")</f>
        <v/>
      </c>
      <c r="C598" s="114" t="str" cm="1">
        <f t="array" ref="C598">IFERROR(INDEX('03.Muestra'!$F$8:$F$42,SMALL(IF("Documento no web"='03.Muestra'!$D$8:$D$42,ROW('03.Muestra'!$F$8:$F$42)-MIN(ROW('03.Muestra'!$D$8:$D$42))+1,""),ROW()-588)),"")</f>
        <v/>
      </c>
      <c r="D598" s="130" t="str">
        <f t="shared" si="31"/>
        <v/>
      </c>
      <c r="E598" s="107" t="str">
        <f t="shared" si="30"/>
        <v/>
      </c>
      <c r="F598" s="19"/>
      <c r="G598" s="19"/>
      <c r="H598" s="19"/>
      <c r="I598" s="19"/>
      <c r="J598" s="19"/>
      <c r="K598" s="233"/>
      <c r="L598" s="19"/>
      <c r="M598" s="19"/>
      <c r="N598" s="19"/>
      <c r="O598" s="19"/>
      <c r="P598" s="19"/>
      <c r="Q598" s="19"/>
      <c r="R598" s="19"/>
      <c r="S598" s="19"/>
      <c r="T598" s="19"/>
      <c r="U598" s="19"/>
      <c r="V598" s="19"/>
      <c r="W598" s="19"/>
      <c r="X598" s="19"/>
      <c r="Y598" s="19"/>
    </row>
    <row r="599" spans="1:25" ht="12" customHeight="1">
      <c r="A599" s="219" t="str" cm="1">
        <f t="array" ref="A599">IFERROR(INDEX('03.Muestra'!$B$8:$B$42,SMALL(IF("Documento no web"='03.Muestra'!$D$8:$D$42,ROW('03.Muestra'!$B$8:$B$42)-MIN(ROW('03.Muestra'!$D$8:$D$42))+1,""),ROW()-588)),"")</f>
        <v/>
      </c>
      <c r="B599" s="114" t="str" cm="1">
        <f t="array" ref="B599">IFERROR(INDEX('03.Muestra'!$C$8:$C$42,SMALL(IF("Documento no web"='03.Muestra'!$D$8:$D$42,ROW('03.Muestra'!$C$8:$C$42)-MIN(ROW('03.Muestra'!$D$8:$D$42))+1,""),ROW()-588)),"")</f>
        <v/>
      </c>
      <c r="C599" s="114" t="str" cm="1">
        <f t="array" ref="C599">IFERROR(INDEX('03.Muestra'!$F$8:$F$42,SMALL(IF("Documento no web"='03.Muestra'!$D$8:$D$42,ROW('03.Muestra'!$F$8:$F$42)-MIN(ROW('03.Muestra'!$D$8:$D$42))+1,""),ROW()-588)),"")</f>
        <v/>
      </c>
      <c r="D599" s="130" t="str">
        <f t="shared" si="31"/>
        <v/>
      </c>
      <c r="E599" s="107" t="str">
        <f t="shared" si="30"/>
        <v/>
      </c>
      <c r="F599" s="19"/>
      <c r="G599" s="19"/>
      <c r="H599" s="19"/>
      <c r="I599" s="19"/>
      <c r="J599" s="19"/>
      <c r="K599" s="233"/>
      <c r="L599" s="19"/>
      <c r="M599" s="19"/>
      <c r="N599" s="19"/>
      <c r="O599" s="19"/>
      <c r="P599" s="19"/>
      <c r="Q599" s="19"/>
      <c r="R599" s="19"/>
      <c r="S599" s="19"/>
      <c r="T599" s="19"/>
      <c r="U599" s="19"/>
      <c r="V599" s="19"/>
      <c r="W599" s="19"/>
      <c r="X599" s="19"/>
      <c r="Y599" s="19"/>
    </row>
    <row r="600" spans="1:25" ht="12" customHeight="1">
      <c r="A600" s="219" t="str" cm="1">
        <f t="array" ref="A600">IFERROR(INDEX('03.Muestra'!$B$8:$B$42,SMALL(IF("Documento no web"='03.Muestra'!$D$8:$D$42,ROW('03.Muestra'!$B$8:$B$42)-MIN(ROW('03.Muestra'!$D$8:$D$42))+1,""),ROW()-588)),"")</f>
        <v/>
      </c>
      <c r="B600" s="114" t="str" cm="1">
        <f t="array" ref="B600">IFERROR(INDEX('03.Muestra'!$C$8:$C$42,SMALL(IF("Documento no web"='03.Muestra'!$D$8:$D$42,ROW('03.Muestra'!$C$8:$C$42)-MIN(ROW('03.Muestra'!$D$8:$D$42))+1,""),ROW()-588)),"")</f>
        <v/>
      </c>
      <c r="C600" s="114" t="str" cm="1">
        <f t="array" ref="C600">IFERROR(INDEX('03.Muestra'!$F$8:$F$42,SMALL(IF("Documento no web"='03.Muestra'!$D$8:$D$42,ROW('03.Muestra'!$F$8:$F$42)-MIN(ROW('03.Muestra'!$D$8:$D$42))+1,""),ROW()-588)),"")</f>
        <v/>
      </c>
      <c r="D600" s="130" t="str">
        <f t="shared" si="31"/>
        <v/>
      </c>
      <c r="E600" s="107" t="str">
        <f t="shared" si="30"/>
        <v/>
      </c>
      <c r="F600" s="19"/>
      <c r="G600" s="19"/>
      <c r="H600" s="19"/>
      <c r="I600" s="19"/>
      <c r="J600" s="19"/>
      <c r="K600" s="233"/>
      <c r="L600" s="19"/>
      <c r="M600" s="19"/>
      <c r="N600" s="19"/>
      <c r="O600" s="19"/>
      <c r="P600" s="19"/>
      <c r="Q600" s="19"/>
      <c r="R600" s="19"/>
      <c r="S600" s="19"/>
      <c r="T600" s="19"/>
      <c r="U600" s="19"/>
      <c r="V600" s="19"/>
      <c r="W600" s="19"/>
      <c r="X600" s="19"/>
      <c r="Y600" s="19"/>
    </row>
    <row r="601" spans="1:25" ht="14.1" customHeight="1">
      <c r="A601" s="219" t="str" cm="1">
        <f t="array" ref="A601">IFERROR(INDEX('03.Muestra'!$B$8:$B$42,SMALL(IF("Documento no web"='03.Muestra'!$D$8:$D$42,ROW('03.Muestra'!$B$8:$B$42)-MIN(ROW('03.Muestra'!$D$8:$D$42))+1,""),ROW()-588)),"")</f>
        <v/>
      </c>
      <c r="B601" s="114" t="str" cm="1">
        <f t="array" ref="B601">IFERROR(INDEX('03.Muestra'!$C$8:$C$42,SMALL(IF("Documento no web"='03.Muestra'!$D$8:$D$42,ROW('03.Muestra'!$C$8:$C$42)-MIN(ROW('03.Muestra'!$D$8:$D$42))+1,""),ROW()-588)),"")</f>
        <v/>
      </c>
      <c r="C601" s="114" t="str" cm="1">
        <f t="array" ref="C601">IFERROR(INDEX('03.Muestra'!$F$8:$F$42,SMALL(IF("Documento no web"='03.Muestra'!$D$8:$D$42,ROW('03.Muestra'!$F$8:$F$42)-MIN(ROW('03.Muestra'!$D$8:$D$42))+1,""),ROW()-588)),"")</f>
        <v/>
      </c>
      <c r="D601" s="130" t="str">
        <f t="shared" si="31"/>
        <v/>
      </c>
      <c r="E601" s="107" t="str">
        <f t="shared" si="30"/>
        <v/>
      </c>
      <c r="F601" s="19"/>
      <c r="G601" s="19"/>
      <c r="H601" s="19"/>
      <c r="I601" s="19"/>
      <c r="J601" s="19"/>
      <c r="K601" s="233"/>
      <c r="L601" s="19"/>
      <c r="M601" s="19"/>
      <c r="N601" s="19"/>
      <c r="O601" s="19"/>
      <c r="P601" s="19"/>
      <c r="Q601" s="19"/>
      <c r="R601" s="19"/>
      <c r="S601" s="19"/>
      <c r="T601" s="19"/>
      <c r="U601" s="19"/>
      <c r="V601" s="19"/>
      <c r="W601" s="19"/>
      <c r="X601" s="19"/>
      <c r="Y601" s="19"/>
    </row>
    <row r="602" spans="1:25" ht="14.1" customHeight="1">
      <c r="A602" s="219" t="str" cm="1">
        <f t="array" ref="A602">IFERROR(INDEX('03.Muestra'!$B$8:$B$42,SMALL(IF("Documento no web"='03.Muestra'!$D$8:$D$42,ROW('03.Muestra'!$B$8:$B$42)-MIN(ROW('03.Muestra'!$D$8:$D$42))+1,""),ROW()-588)),"")</f>
        <v/>
      </c>
      <c r="B602" s="114" t="str" cm="1">
        <f t="array" ref="B602">IFERROR(INDEX('03.Muestra'!$C$8:$C$42,SMALL(IF("Documento no web"='03.Muestra'!$D$8:$D$42,ROW('03.Muestra'!$C$8:$C$42)-MIN(ROW('03.Muestra'!$D$8:$D$42))+1,""),ROW()-588)),"")</f>
        <v/>
      </c>
      <c r="C602" s="114" t="str" cm="1">
        <f t="array" ref="C602">IFERROR(INDEX('03.Muestra'!$F$8:$F$42,SMALL(IF("Documento no web"='03.Muestra'!$D$8:$D$42,ROW('03.Muestra'!$F$8:$F$42)-MIN(ROW('03.Muestra'!$D$8:$D$42))+1,""),ROW()-588)),"")</f>
        <v/>
      </c>
      <c r="D602" s="130" t="str">
        <f t="shared" si="31"/>
        <v/>
      </c>
      <c r="E602" s="107" t="str">
        <f t="shared" si="30"/>
        <v/>
      </c>
      <c r="F602" s="19"/>
      <c r="G602" s="19"/>
      <c r="H602" s="19"/>
      <c r="I602" s="19"/>
      <c r="J602" s="19"/>
      <c r="K602" s="233"/>
      <c r="L602" s="19"/>
      <c r="M602" s="19"/>
      <c r="N602" s="19"/>
      <c r="O602" s="19"/>
      <c r="P602" s="19"/>
      <c r="Q602" s="19"/>
      <c r="R602" s="19"/>
      <c r="S602" s="19"/>
      <c r="T602" s="19"/>
      <c r="U602" s="19"/>
      <c r="V602" s="19"/>
      <c r="W602" s="19"/>
      <c r="X602" s="19"/>
      <c r="Y602" s="19"/>
    </row>
    <row r="603" spans="1:25" ht="14.1" customHeight="1">
      <c r="A603" s="219" t="str" cm="1">
        <f t="array" ref="A603">IFERROR(INDEX('03.Muestra'!$B$8:$B$42,SMALL(IF("Documento no web"='03.Muestra'!$D$8:$D$42,ROW('03.Muestra'!$B$8:$B$42)-MIN(ROW('03.Muestra'!$D$8:$D$42))+1,""),ROW()-588)),"")</f>
        <v/>
      </c>
      <c r="B603" s="114" t="str" cm="1">
        <f t="array" ref="B603">IFERROR(INDEX('03.Muestra'!$C$8:$C$42,SMALL(IF("Documento no web"='03.Muestra'!$D$8:$D$42,ROW('03.Muestra'!$C$8:$C$42)-MIN(ROW('03.Muestra'!$D$8:$D$42))+1,""),ROW()-588)),"")</f>
        <v/>
      </c>
      <c r="C603" s="114" t="str" cm="1">
        <f t="array" ref="C603">IFERROR(INDEX('03.Muestra'!$F$8:$F$42,SMALL(IF("Documento no web"='03.Muestra'!$D$8:$D$42,ROW('03.Muestra'!$F$8:$F$42)-MIN(ROW('03.Muestra'!$D$8:$D$42))+1,""),ROW()-588)),"")</f>
        <v/>
      </c>
      <c r="D603" s="130" t="str">
        <f t="shared" si="31"/>
        <v/>
      </c>
      <c r="E603" s="107" t="str">
        <f t="shared" si="30"/>
        <v/>
      </c>
      <c r="F603" s="19"/>
      <c r="G603" s="19"/>
      <c r="H603" s="19"/>
      <c r="I603" s="19"/>
      <c r="J603" s="19"/>
      <c r="K603" s="233"/>
      <c r="L603" s="19"/>
      <c r="M603" s="19"/>
      <c r="N603" s="19"/>
      <c r="O603" s="19"/>
      <c r="P603" s="19"/>
      <c r="Q603" s="19"/>
      <c r="R603" s="19"/>
      <c r="S603" s="19"/>
      <c r="T603" s="19"/>
      <c r="U603" s="19"/>
      <c r="V603" s="19"/>
      <c r="W603" s="19"/>
      <c r="X603" s="19"/>
      <c r="Y603" s="19"/>
    </row>
    <row r="604" spans="1:25" ht="14.1" customHeight="1">
      <c r="A604" s="219" t="str" cm="1">
        <f t="array" ref="A604">IFERROR(INDEX('03.Muestra'!$B$8:$B$42,SMALL(IF("Documento no web"='03.Muestra'!$D$8:$D$42,ROW('03.Muestra'!$B$8:$B$42)-MIN(ROW('03.Muestra'!$D$8:$D$42))+1,""),ROW()-588)),"")</f>
        <v/>
      </c>
      <c r="B604" s="114" t="str" cm="1">
        <f t="array" ref="B604">IFERROR(INDEX('03.Muestra'!$C$8:$C$42,SMALL(IF("Documento no web"='03.Muestra'!$D$8:$D$42,ROW('03.Muestra'!$C$8:$C$42)-MIN(ROW('03.Muestra'!$D$8:$D$42))+1,""),ROW()-588)),"")</f>
        <v/>
      </c>
      <c r="C604" s="114" t="str" cm="1">
        <f t="array" ref="C604">IFERROR(INDEX('03.Muestra'!$F$8:$F$42,SMALL(IF("Documento no web"='03.Muestra'!$D$8:$D$42,ROW('03.Muestra'!$F$8:$F$42)-MIN(ROW('03.Muestra'!$D$8:$D$42))+1,""),ROW()-588)),"")</f>
        <v/>
      </c>
      <c r="D604" s="130" t="str">
        <f t="shared" si="31"/>
        <v/>
      </c>
      <c r="E604" s="107" t="str">
        <f t="shared" si="30"/>
        <v/>
      </c>
      <c r="F604" s="19"/>
      <c r="G604" s="19"/>
      <c r="H604" s="19"/>
      <c r="I604" s="19"/>
      <c r="J604" s="19"/>
      <c r="K604" s="233"/>
      <c r="L604" s="19"/>
      <c r="M604" s="19"/>
      <c r="N604" s="19"/>
      <c r="O604" s="19"/>
      <c r="P604" s="19"/>
      <c r="Q604" s="19"/>
      <c r="R604" s="19"/>
      <c r="S604" s="19"/>
      <c r="T604" s="19"/>
      <c r="U604" s="19"/>
      <c r="V604" s="19"/>
      <c r="W604" s="19"/>
      <c r="X604" s="19"/>
      <c r="Y604" s="19"/>
    </row>
    <row r="605" spans="1:25" ht="14.1" customHeight="1">
      <c r="A605" s="219" t="str" cm="1">
        <f t="array" ref="A605">IFERROR(INDEX('03.Muestra'!$B$8:$B$42,SMALL(IF("Documento no web"='03.Muestra'!$D$8:$D$42,ROW('03.Muestra'!$B$8:$B$42)-MIN(ROW('03.Muestra'!$D$8:$D$42))+1,""),ROW()-588)),"")</f>
        <v/>
      </c>
      <c r="B605" s="114" t="str" cm="1">
        <f t="array" ref="B605">IFERROR(INDEX('03.Muestra'!$C$8:$C$42,SMALL(IF("Documento no web"='03.Muestra'!$D$8:$D$42,ROW('03.Muestra'!$C$8:$C$42)-MIN(ROW('03.Muestra'!$D$8:$D$42))+1,""),ROW()-588)),"")</f>
        <v/>
      </c>
      <c r="C605" s="114" t="str" cm="1">
        <f t="array" ref="C605">IFERROR(INDEX('03.Muestra'!$F$8:$F$42,SMALL(IF("Documento no web"='03.Muestra'!$D$8:$D$42,ROW('03.Muestra'!$F$8:$F$42)-MIN(ROW('03.Muestra'!$D$8:$D$42))+1,""),ROW()-588)),"")</f>
        <v/>
      </c>
      <c r="D605" s="130" t="str">
        <f t="shared" si="31"/>
        <v/>
      </c>
      <c r="E605" s="107" t="str">
        <f t="shared" si="30"/>
        <v/>
      </c>
      <c r="F605" s="19"/>
      <c r="G605" s="19"/>
      <c r="H605" s="19"/>
      <c r="I605" s="19"/>
      <c r="J605" s="19"/>
      <c r="K605" s="233"/>
      <c r="L605" s="19"/>
      <c r="M605" s="19"/>
      <c r="N605" s="19"/>
      <c r="O605" s="19"/>
      <c r="P605" s="19"/>
      <c r="Q605" s="19"/>
      <c r="R605" s="19"/>
      <c r="S605" s="19"/>
      <c r="T605" s="19"/>
      <c r="U605" s="19"/>
      <c r="V605" s="19"/>
      <c r="W605" s="19"/>
      <c r="X605" s="19"/>
      <c r="Y605" s="19"/>
    </row>
    <row r="606" spans="1:25" ht="14.1" customHeight="1">
      <c r="A606" s="219" t="str" cm="1">
        <f t="array" ref="A606">IFERROR(INDEX('03.Muestra'!$B$8:$B$42,SMALL(IF("Documento no web"='03.Muestra'!$D$8:$D$42,ROW('03.Muestra'!$B$8:$B$42)-MIN(ROW('03.Muestra'!$D$8:$D$42))+1,""),ROW()-588)),"")</f>
        <v/>
      </c>
      <c r="B606" s="114" t="str" cm="1">
        <f t="array" ref="B606">IFERROR(INDEX('03.Muestra'!$C$8:$C$42,SMALL(IF("Documento no web"='03.Muestra'!$D$8:$D$42,ROW('03.Muestra'!$C$8:$C$42)-MIN(ROW('03.Muestra'!$D$8:$D$42))+1,""),ROW()-588)),"")</f>
        <v/>
      </c>
      <c r="C606" s="114" t="str" cm="1">
        <f t="array" ref="C606">IFERROR(INDEX('03.Muestra'!$F$8:$F$42,SMALL(IF("Documento no web"='03.Muestra'!$D$8:$D$42,ROW('03.Muestra'!$F$8:$F$42)-MIN(ROW('03.Muestra'!$D$8:$D$42))+1,""),ROW()-588)),"")</f>
        <v/>
      </c>
      <c r="D606" s="130" t="str">
        <f t="shared" si="31"/>
        <v/>
      </c>
      <c r="E606" s="107" t="str">
        <f t="shared" si="30"/>
        <v/>
      </c>
      <c r="F606" s="19"/>
      <c r="G606" s="19"/>
      <c r="H606" s="19"/>
      <c r="I606" s="19"/>
      <c r="J606" s="19"/>
      <c r="K606" s="233"/>
      <c r="L606" s="19"/>
      <c r="M606" s="19"/>
      <c r="N606" s="19"/>
      <c r="O606" s="19"/>
      <c r="P606" s="19"/>
      <c r="Q606" s="19"/>
      <c r="R606" s="19"/>
      <c r="S606" s="19"/>
      <c r="T606" s="19"/>
      <c r="U606" s="19"/>
      <c r="V606" s="19"/>
      <c r="W606" s="19"/>
      <c r="X606" s="19"/>
      <c r="Y606" s="19"/>
    </row>
    <row r="607" spans="1:25" ht="14.1" customHeight="1">
      <c r="A607" s="219" t="str" cm="1">
        <f t="array" ref="A607">IFERROR(INDEX('03.Muestra'!$B$8:$B$42,SMALL(IF("Documento no web"='03.Muestra'!$D$8:$D$42,ROW('03.Muestra'!$B$8:$B$42)-MIN(ROW('03.Muestra'!$D$8:$D$42))+1,""),ROW()-588)),"")</f>
        <v/>
      </c>
      <c r="B607" s="114" t="str" cm="1">
        <f t="array" ref="B607">IFERROR(INDEX('03.Muestra'!$C$8:$C$42,SMALL(IF("Documento no web"='03.Muestra'!$D$8:$D$42,ROW('03.Muestra'!$C$8:$C$42)-MIN(ROW('03.Muestra'!$D$8:$D$42))+1,""),ROW()-588)),"")</f>
        <v/>
      </c>
      <c r="C607" s="114" t="str" cm="1">
        <f t="array" ref="C607">IFERROR(INDEX('03.Muestra'!$F$8:$F$42,SMALL(IF("Documento no web"='03.Muestra'!$D$8:$D$42,ROW('03.Muestra'!$F$8:$F$42)-MIN(ROW('03.Muestra'!$D$8:$D$42))+1,""),ROW()-588)),"")</f>
        <v/>
      </c>
      <c r="D607" s="130" t="str">
        <f t="shared" si="31"/>
        <v/>
      </c>
      <c r="E607" s="107" t="str">
        <f t="shared" si="30"/>
        <v/>
      </c>
      <c r="F607" s="19"/>
      <c r="G607" s="19"/>
      <c r="H607" s="19"/>
      <c r="I607" s="19"/>
      <c r="J607" s="19"/>
      <c r="K607" s="233"/>
      <c r="L607" s="19"/>
      <c r="M607" s="19"/>
      <c r="N607" s="19"/>
      <c r="O607" s="19"/>
      <c r="P607" s="19"/>
      <c r="Q607" s="19"/>
      <c r="R607" s="19"/>
      <c r="S607" s="19"/>
      <c r="T607" s="19"/>
      <c r="U607" s="19"/>
      <c r="V607" s="19"/>
      <c r="W607" s="19"/>
      <c r="X607" s="19"/>
      <c r="Y607" s="19"/>
    </row>
    <row r="608" spans="1:25" ht="14.1" customHeight="1">
      <c r="A608" s="219" t="str" cm="1">
        <f t="array" ref="A608">IFERROR(INDEX('03.Muestra'!$B$8:$B$42,SMALL(IF("Documento no web"='03.Muestra'!$D$8:$D$42,ROW('03.Muestra'!$B$8:$B$42)-MIN(ROW('03.Muestra'!$D$8:$D$42))+1,""),ROW()-588)),"")</f>
        <v/>
      </c>
      <c r="B608" s="114" t="str" cm="1">
        <f t="array" ref="B608">IFERROR(INDEX('03.Muestra'!$C$8:$C$42,SMALL(IF("Documento no web"='03.Muestra'!$D$8:$D$42,ROW('03.Muestra'!$C$8:$C$42)-MIN(ROW('03.Muestra'!$D$8:$D$42))+1,""),ROW()-588)),"")</f>
        <v/>
      </c>
      <c r="C608" s="114" t="str" cm="1">
        <f t="array" ref="C608">IFERROR(INDEX('03.Muestra'!$F$8:$F$42,SMALL(IF("Documento no web"='03.Muestra'!$D$8:$D$42,ROW('03.Muestra'!$F$8:$F$42)-MIN(ROW('03.Muestra'!$D$8:$D$42))+1,""),ROW()-588)),"")</f>
        <v/>
      </c>
      <c r="D608" s="130" t="str">
        <f t="shared" si="31"/>
        <v/>
      </c>
      <c r="E608" s="107" t="str">
        <f t="shared" si="30"/>
        <v/>
      </c>
      <c r="F608" s="19"/>
      <c r="G608" s="19"/>
      <c r="H608" s="19"/>
      <c r="I608" s="19"/>
      <c r="J608" s="19"/>
      <c r="K608" s="233"/>
      <c r="L608" s="19"/>
      <c r="M608" s="19"/>
      <c r="N608" s="19"/>
      <c r="O608" s="19"/>
      <c r="P608" s="19"/>
      <c r="Q608" s="19"/>
      <c r="R608" s="19"/>
      <c r="S608" s="19"/>
      <c r="T608" s="19"/>
      <c r="U608" s="19"/>
      <c r="V608" s="19"/>
      <c r="W608" s="19"/>
      <c r="X608" s="19"/>
      <c r="Y608" s="19"/>
    </row>
    <row r="609" spans="1:25" ht="14.1" customHeight="1">
      <c r="A609" s="219" t="str" cm="1">
        <f t="array" ref="A609">IFERROR(INDEX('03.Muestra'!$B$8:$B$42,SMALL(IF("Documento no web"='03.Muestra'!$D$8:$D$42,ROW('03.Muestra'!$B$8:$B$42)-MIN(ROW('03.Muestra'!$D$8:$D$42))+1,""),ROW()-588)),"")</f>
        <v/>
      </c>
      <c r="B609" s="114" t="str" cm="1">
        <f t="array" ref="B609">IFERROR(INDEX('03.Muestra'!$C$8:$C$42,SMALL(IF("Documento no web"='03.Muestra'!$D$8:$D$42,ROW('03.Muestra'!$C$8:$C$42)-MIN(ROW('03.Muestra'!$D$8:$D$42))+1,""),ROW()-588)),"")</f>
        <v/>
      </c>
      <c r="C609" s="114" t="str" cm="1">
        <f t="array" ref="C609">IFERROR(INDEX('03.Muestra'!$F$8:$F$42,SMALL(IF("Documento no web"='03.Muestra'!$D$8:$D$42,ROW('03.Muestra'!$F$8:$F$42)-MIN(ROW('03.Muestra'!$D$8:$D$42))+1,""),ROW()-588)),"")</f>
        <v/>
      </c>
      <c r="D609" s="130" t="str">
        <f t="shared" si="31"/>
        <v/>
      </c>
      <c r="E609" s="107" t="str">
        <f t="shared" si="30"/>
        <v/>
      </c>
      <c r="F609" s="19"/>
      <c r="G609" s="19"/>
      <c r="H609" s="19"/>
      <c r="I609" s="19"/>
      <c r="J609" s="19"/>
      <c r="K609" s="233"/>
      <c r="L609" s="19"/>
      <c r="M609" s="19"/>
      <c r="N609" s="19"/>
      <c r="O609" s="19"/>
      <c r="P609" s="19"/>
      <c r="Q609" s="19"/>
      <c r="R609" s="19"/>
      <c r="S609" s="19"/>
      <c r="T609" s="19"/>
      <c r="U609" s="19"/>
      <c r="V609" s="19"/>
      <c r="W609" s="19"/>
      <c r="X609" s="19"/>
      <c r="Y609" s="19"/>
    </row>
    <row r="610" spans="1:25" ht="14.1" customHeight="1">
      <c r="A610" s="219" t="str" cm="1">
        <f t="array" ref="A610">IFERROR(INDEX('03.Muestra'!$B$8:$B$42,SMALL(IF("Documento no web"='03.Muestra'!$D$8:$D$42,ROW('03.Muestra'!$B$8:$B$42)-MIN(ROW('03.Muestra'!$D$8:$D$42))+1,""),ROW()-588)),"")</f>
        <v/>
      </c>
      <c r="B610" s="114" t="str" cm="1">
        <f t="array" ref="B610">IFERROR(INDEX('03.Muestra'!$C$8:$C$42,SMALL(IF("Documento no web"='03.Muestra'!$D$8:$D$42,ROW('03.Muestra'!$C$8:$C$42)-MIN(ROW('03.Muestra'!$D$8:$D$42))+1,""),ROW()-588)),"")</f>
        <v/>
      </c>
      <c r="C610" s="114" t="str" cm="1">
        <f t="array" ref="C610">IFERROR(INDEX('03.Muestra'!$F$8:$F$42,SMALL(IF("Documento no web"='03.Muestra'!$D$8:$D$42,ROW('03.Muestra'!$F$8:$F$42)-MIN(ROW('03.Muestra'!$D$8:$D$42))+1,""),ROW()-588)),"")</f>
        <v/>
      </c>
      <c r="D610" s="130" t="str">
        <f t="shared" si="31"/>
        <v/>
      </c>
      <c r="E610" s="107" t="str">
        <f t="shared" si="30"/>
        <v/>
      </c>
      <c r="F610" s="19"/>
      <c r="G610" s="19"/>
      <c r="H610" s="19"/>
      <c r="I610" s="19"/>
      <c r="J610" s="19"/>
      <c r="K610" s="233"/>
      <c r="L610" s="19"/>
      <c r="M610" s="19"/>
      <c r="N610" s="19"/>
      <c r="O610" s="19"/>
      <c r="P610" s="19"/>
      <c r="Q610" s="19"/>
      <c r="R610" s="19"/>
      <c r="S610" s="19"/>
      <c r="T610" s="19"/>
      <c r="U610" s="19"/>
      <c r="V610" s="19"/>
      <c r="W610" s="19"/>
      <c r="X610" s="19"/>
      <c r="Y610" s="19"/>
    </row>
    <row r="611" spans="1:25" ht="14.1" customHeight="1">
      <c r="A611" s="219" t="str" cm="1">
        <f t="array" ref="A611">IFERROR(INDEX('03.Muestra'!$B$8:$B$42,SMALL(IF("Documento no web"='03.Muestra'!$D$8:$D$42,ROW('03.Muestra'!$B$8:$B$42)-MIN(ROW('03.Muestra'!$D$8:$D$42))+1,""),ROW()-588)),"")</f>
        <v/>
      </c>
      <c r="B611" s="114" t="str" cm="1">
        <f t="array" ref="B611">IFERROR(INDEX('03.Muestra'!$C$8:$C$42,SMALL(IF("Documento no web"='03.Muestra'!$D$8:$D$42,ROW('03.Muestra'!$C$8:$C$42)-MIN(ROW('03.Muestra'!$D$8:$D$42))+1,""),ROW()-588)),"")</f>
        <v/>
      </c>
      <c r="C611" s="114" t="str" cm="1">
        <f t="array" ref="C611">IFERROR(INDEX('03.Muestra'!$F$8:$F$42,SMALL(IF("Documento no web"='03.Muestra'!$D$8:$D$42,ROW('03.Muestra'!$F$8:$F$42)-MIN(ROW('03.Muestra'!$D$8:$D$42))+1,""),ROW()-588)),"")</f>
        <v/>
      </c>
      <c r="D611" s="130" t="str">
        <f t="shared" si="31"/>
        <v/>
      </c>
      <c r="E611" s="107" t="str">
        <f t="shared" si="30"/>
        <v/>
      </c>
      <c r="F611" s="19"/>
      <c r="G611" s="19"/>
      <c r="H611" s="19"/>
      <c r="I611" s="19"/>
      <c r="J611" s="19"/>
      <c r="K611" s="233"/>
      <c r="L611" s="19"/>
      <c r="M611" s="19"/>
      <c r="N611" s="19"/>
      <c r="O611" s="19"/>
      <c r="P611" s="19"/>
      <c r="Q611" s="19"/>
      <c r="R611" s="19"/>
      <c r="S611" s="19"/>
      <c r="T611" s="19"/>
      <c r="U611" s="19"/>
      <c r="V611" s="19"/>
      <c r="W611" s="19"/>
      <c r="X611" s="19"/>
      <c r="Y611" s="19"/>
    </row>
    <row r="612" spans="1:25" ht="12" customHeight="1">
      <c r="A612" s="219" t="str" cm="1">
        <f t="array" ref="A612">IFERROR(INDEX('03.Muestra'!$B$8:$B$42,SMALL(IF("Documento no web"='03.Muestra'!$D$8:$D$42,ROW('03.Muestra'!$B$8:$B$42)-MIN(ROW('03.Muestra'!$D$8:$D$42))+1,""),ROW()-588)),"")</f>
        <v/>
      </c>
      <c r="B612" s="114" t="str" cm="1">
        <f t="array" ref="B612">IFERROR(INDEX('03.Muestra'!$C$8:$C$42,SMALL(IF("Documento no web"='03.Muestra'!$D$8:$D$42,ROW('03.Muestra'!$C$8:$C$42)-MIN(ROW('03.Muestra'!$D$8:$D$42))+1,""),ROW()-588)),"")</f>
        <v/>
      </c>
      <c r="C612" s="114" t="str" cm="1">
        <f t="array" ref="C612">IFERROR(INDEX('03.Muestra'!$F$8:$F$42,SMALL(IF("Documento no web"='03.Muestra'!$D$8:$D$42,ROW('03.Muestra'!$F$8:$F$42)-MIN(ROW('03.Muestra'!$D$8:$D$42))+1,""),ROW()-588)),"")</f>
        <v/>
      </c>
      <c r="D612" s="130" t="str">
        <f t="shared" si="31"/>
        <v/>
      </c>
      <c r="E612" s="107" t="str">
        <f t="shared" si="30"/>
        <v/>
      </c>
      <c r="F612" s="19"/>
      <c r="G612" s="19"/>
      <c r="H612" s="19"/>
      <c r="I612" s="19"/>
      <c r="J612" s="19"/>
      <c r="K612" s="233"/>
      <c r="L612" s="19"/>
      <c r="M612" s="19"/>
      <c r="N612" s="19"/>
      <c r="O612" s="19"/>
      <c r="P612" s="19"/>
      <c r="Q612" s="19"/>
      <c r="R612" s="19"/>
      <c r="S612" s="19"/>
      <c r="T612" s="19"/>
      <c r="U612" s="19"/>
      <c r="V612" s="19"/>
      <c r="W612" s="19"/>
      <c r="X612" s="19"/>
      <c r="Y612" s="19"/>
    </row>
    <row r="613" spans="1:25" ht="12" customHeight="1">
      <c r="A613" s="219" t="str" cm="1">
        <f t="array" ref="A613">IFERROR(INDEX('03.Muestra'!$B$8:$B$42,SMALL(IF("Documento no web"='03.Muestra'!$D$8:$D$42,ROW('03.Muestra'!$B$8:$B$42)-MIN(ROW('03.Muestra'!$D$8:$D$42))+1,""),ROW()-588)),"")</f>
        <v/>
      </c>
      <c r="B613" s="114" t="str" cm="1">
        <f t="array" ref="B613">IFERROR(INDEX('03.Muestra'!$C$8:$C$42,SMALL(IF("Documento no web"='03.Muestra'!$D$8:$D$42,ROW('03.Muestra'!$C$8:$C$42)-MIN(ROW('03.Muestra'!$D$8:$D$42))+1,""),ROW()-588)),"")</f>
        <v/>
      </c>
      <c r="C613" s="114" t="str" cm="1">
        <f t="array" ref="C613">IFERROR(INDEX('03.Muestra'!$F$8:$F$42,SMALL(IF("Documento no web"='03.Muestra'!$D$8:$D$42,ROW('03.Muestra'!$F$8:$F$42)-MIN(ROW('03.Muestra'!$D$8:$D$42))+1,""),ROW()-588)),"")</f>
        <v/>
      </c>
      <c r="D613" s="130" t="str">
        <f t="shared" si="31"/>
        <v/>
      </c>
      <c r="E613" s="107" t="str">
        <f t="shared" si="30"/>
        <v/>
      </c>
      <c r="F613" s="19"/>
      <c r="G613" s="19"/>
      <c r="H613" s="19"/>
      <c r="I613" s="19"/>
      <c r="J613" s="19"/>
      <c r="K613" s="233"/>
      <c r="L613" s="19"/>
      <c r="M613" s="19"/>
      <c r="N613" s="19"/>
      <c r="O613" s="19"/>
      <c r="P613" s="19"/>
      <c r="Q613" s="19"/>
      <c r="R613" s="19"/>
      <c r="S613" s="19"/>
      <c r="T613" s="19"/>
      <c r="U613" s="19"/>
      <c r="V613" s="19"/>
      <c r="W613" s="19"/>
      <c r="X613" s="19"/>
      <c r="Y613" s="19"/>
    </row>
    <row r="614" spans="1:25" ht="12" customHeight="1">
      <c r="A614" s="219" t="str" cm="1">
        <f t="array" ref="A614">IFERROR(INDEX('03.Muestra'!$B$8:$B$42,SMALL(IF("Documento no web"='03.Muestra'!$D$8:$D$42,ROW('03.Muestra'!$B$8:$B$42)-MIN(ROW('03.Muestra'!$D$8:$D$42))+1,""),ROW()-588)),"")</f>
        <v/>
      </c>
      <c r="B614" s="114" t="str" cm="1">
        <f t="array" ref="B614">IFERROR(INDEX('03.Muestra'!$C$8:$C$42,SMALL(IF("Documento no web"='03.Muestra'!$D$8:$D$42,ROW('03.Muestra'!$C$8:$C$42)-MIN(ROW('03.Muestra'!$D$8:$D$42))+1,""),ROW()-588)),"")</f>
        <v/>
      </c>
      <c r="C614" s="114" t="str" cm="1">
        <f t="array" ref="C614">IFERROR(INDEX('03.Muestra'!$F$8:$F$42,SMALL(IF("Documento no web"='03.Muestra'!$D$8:$D$42,ROW('03.Muestra'!$F$8:$F$42)-MIN(ROW('03.Muestra'!$D$8:$D$42))+1,""),ROW()-588)),"")</f>
        <v/>
      </c>
      <c r="D614" s="130" t="str">
        <f t="shared" si="31"/>
        <v/>
      </c>
      <c r="E614" s="107" t="str">
        <f t="shared" si="30"/>
        <v/>
      </c>
      <c r="F614" s="19"/>
      <c r="G614" s="19"/>
      <c r="H614" s="19"/>
      <c r="I614" s="19"/>
      <c r="J614" s="19"/>
      <c r="K614" s="233"/>
      <c r="L614" s="19"/>
      <c r="M614" s="19"/>
      <c r="N614" s="19"/>
      <c r="O614" s="19"/>
      <c r="P614" s="19"/>
      <c r="Q614" s="19"/>
      <c r="R614" s="19"/>
      <c r="S614" s="19"/>
      <c r="T614" s="19"/>
      <c r="U614" s="19"/>
      <c r="V614" s="19"/>
      <c r="W614" s="19"/>
      <c r="X614" s="19"/>
      <c r="Y614" s="19"/>
    </row>
    <row r="615" spans="1:25" ht="12" customHeight="1">
      <c r="A615" s="219" t="str" cm="1">
        <f t="array" ref="A615">IFERROR(INDEX('03.Muestra'!$B$8:$B$42,SMALL(IF("Documento no web"='03.Muestra'!$D$8:$D$42,ROW('03.Muestra'!$B$8:$B$42)-MIN(ROW('03.Muestra'!$D$8:$D$42))+1,""),ROW()-588)),"")</f>
        <v/>
      </c>
      <c r="B615" s="114" t="str" cm="1">
        <f t="array" ref="B615">IFERROR(INDEX('03.Muestra'!$C$8:$C$42,SMALL(IF("Documento no web"='03.Muestra'!$D$8:$D$42,ROW('03.Muestra'!$C$8:$C$42)-MIN(ROW('03.Muestra'!$D$8:$D$42))+1,""),ROW()-588)),"")</f>
        <v/>
      </c>
      <c r="C615" s="114" t="str" cm="1">
        <f t="array" ref="C615">IFERROR(INDEX('03.Muestra'!$F$8:$F$42,SMALL(IF("Documento no web"='03.Muestra'!$D$8:$D$42,ROW('03.Muestra'!$F$8:$F$42)-MIN(ROW('03.Muestra'!$D$8:$D$42))+1,""),ROW()-588)),"")</f>
        <v/>
      </c>
      <c r="D615" s="130" t="str">
        <f t="shared" si="31"/>
        <v/>
      </c>
      <c r="E615" s="107" t="str">
        <f t="shared" si="30"/>
        <v/>
      </c>
      <c r="F615" s="19"/>
      <c r="G615" s="19"/>
      <c r="H615" s="19"/>
      <c r="I615" s="19"/>
      <c r="J615" s="19"/>
      <c r="K615" s="233"/>
      <c r="L615" s="19"/>
      <c r="M615" s="19"/>
      <c r="N615" s="19"/>
      <c r="O615" s="19"/>
      <c r="P615" s="19"/>
      <c r="Q615" s="19"/>
      <c r="R615" s="19"/>
      <c r="S615" s="19"/>
      <c r="T615" s="19"/>
      <c r="U615" s="19"/>
      <c r="V615" s="19"/>
      <c r="W615" s="19"/>
      <c r="X615" s="19"/>
      <c r="Y615" s="19"/>
    </row>
    <row r="616" spans="1:25" ht="12" customHeight="1">
      <c r="A616" s="219" t="str" cm="1">
        <f t="array" ref="A616">IFERROR(INDEX('03.Muestra'!$B$8:$B$42,SMALL(IF("Documento no web"='03.Muestra'!$D$8:$D$42,ROW('03.Muestra'!$B$8:$B$42)-MIN(ROW('03.Muestra'!$D$8:$D$42))+1,""),ROW()-588)),"")</f>
        <v/>
      </c>
      <c r="B616" s="114" t="str" cm="1">
        <f t="array" ref="B616">IFERROR(INDEX('03.Muestra'!$C$8:$C$42,SMALL(IF("Documento no web"='03.Muestra'!$D$8:$D$42,ROW('03.Muestra'!$C$8:$C$42)-MIN(ROW('03.Muestra'!$D$8:$D$42))+1,""),ROW()-588)),"")</f>
        <v/>
      </c>
      <c r="C616" s="114" t="str" cm="1">
        <f t="array" ref="C616">IFERROR(INDEX('03.Muestra'!$F$8:$F$42,SMALL(IF("Documento no web"='03.Muestra'!$D$8:$D$42,ROW('03.Muestra'!$F$8:$F$42)-MIN(ROW('03.Muestra'!$D$8:$D$42))+1,""),ROW()-588)),"")</f>
        <v/>
      </c>
      <c r="D616" s="130" t="str">
        <f t="shared" si="31"/>
        <v/>
      </c>
      <c r="E616" s="107" t="str">
        <f t="shared" si="30"/>
        <v/>
      </c>
      <c r="G616" s="19"/>
      <c r="H616" s="19"/>
      <c r="I616" s="19"/>
      <c r="J616" s="19"/>
      <c r="K616" s="233"/>
      <c r="L616" s="19"/>
      <c r="M616" s="19"/>
      <c r="N616" s="19"/>
      <c r="O616" s="19"/>
      <c r="P616" s="19"/>
      <c r="Q616" s="19"/>
      <c r="R616" s="19"/>
      <c r="S616" s="19"/>
      <c r="T616" s="19"/>
      <c r="U616" s="19"/>
      <c r="V616" s="19"/>
      <c r="W616" s="19"/>
      <c r="X616" s="19"/>
      <c r="Y616" s="19"/>
    </row>
    <row r="617" spans="1:25" ht="12" customHeight="1">
      <c r="A617" s="219" t="str" cm="1">
        <f t="array" ref="A617">IFERROR(INDEX('03.Muestra'!$B$8:$B$42,SMALL(IF("Documento no web"='03.Muestra'!$D$8:$D$42,ROW('03.Muestra'!$B$8:$B$42)-MIN(ROW('03.Muestra'!$D$8:$D$42))+1,""),ROW()-588)),"")</f>
        <v/>
      </c>
      <c r="B617" s="114" t="str" cm="1">
        <f t="array" ref="B617">IFERROR(INDEX('03.Muestra'!$C$8:$C$42,SMALL(IF("Documento no web"='03.Muestra'!$D$8:$D$42,ROW('03.Muestra'!$C$8:$C$42)-MIN(ROW('03.Muestra'!$D$8:$D$42))+1,""),ROW()-588)),"")</f>
        <v/>
      </c>
      <c r="C617" s="114" t="str" cm="1">
        <f t="array" ref="C617">IFERROR(INDEX('03.Muestra'!$F$8:$F$42,SMALL(IF("Documento no web"='03.Muestra'!$D$8:$D$42,ROW('03.Muestra'!$F$8:$F$42)-MIN(ROW('03.Muestra'!$D$8:$D$42))+1,""),ROW()-588)),"")</f>
        <v/>
      </c>
      <c r="D617" s="130" t="str">
        <f t="shared" si="31"/>
        <v/>
      </c>
      <c r="E617" s="107" t="str">
        <f t="shared" si="30"/>
        <v/>
      </c>
      <c r="F617" s="124"/>
      <c r="G617" s="19"/>
      <c r="H617" s="19"/>
      <c r="I617" s="19"/>
      <c r="J617" s="19"/>
      <c r="K617" s="233"/>
      <c r="L617" s="19"/>
      <c r="M617" s="19"/>
      <c r="N617" s="19"/>
      <c r="O617" s="19"/>
      <c r="P617" s="19"/>
      <c r="Q617" s="19"/>
      <c r="R617" s="19"/>
      <c r="S617" s="19"/>
      <c r="T617" s="19"/>
      <c r="U617" s="19"/>
      <c r="V617" s="19"/>
      <c r="W617" s="19"/>
      <c r="X617" s="19"/>
      <c r="Y617" s="19"/>
    </row>
    <row r="618" spans="1:25" ht="12" customHeight="1">
      <c r="A618" s="219" t="str" cm="1">
        <f t="array" ref="A618">IFERROR(INDEX('03.Muestra'!$B$8:$B$42,SMALL(IF("Documento no web"='03.Muestra'!$D$8:$D$42,ROW('03.Muestra'!$B$8:$B$42)-MIN(ROW('03.Muestra'!$D$8:$D$42))+1,""),ROW()-588)),"")</f>
        <v/>
      </c>
      <c r="B618" s="114" t="str" cm="1">
        <f t="array" ref="B618">IFERROR(INDEX('03.Muestra'!$C$8:$C$42,SMALL(IF("Documento no web"='03.Muestra'!$D$8:$D$42,ROW('03.Muestra'!$C$8:$C$42)-MIN(ROW('03.Muestra'!$D$8:$D$42))+1,""),ROW()-588)),"")</f>
        <v/>
      </c>
      <c r="C618" s="114" t="str" cm="1">
        <f t="array" ref="C618">IFERROR(INDEX('03.Muestra'!$F$8:$F$42,SMALL(IF("Documento no web"='03.Muestra'!$D$8:$D$42,ROW('03.Muestra'!$F$8:$F$42)-MIN(ROW('03.Muestra'!$D$8:$D$42))+1,""),ROW()-588)),"")</f>
        <v/>
      </c>
      <c r="D618" s="130" t="str">
        <f t="shared" si="31"/>
        <v/>
      </c>
      <c r="E618" s="107" t="str">
        <f t="shared" si="30"/>
        <v/>
      </c>
      <c r="F618" s="124"/>
      <c r="G618" s="19"/>
      <c r="H618" s="19"/>
      <c r="I618" s="19"/>
      <c r="J618" s="19"/>
      <c r="K618" s="233"/>
      <c r="L618" s="19"/>
      <c r="M618" s="19"/>
      <c r="N618" s="19"/>
      <c r="O618" s="19"/>
      <c r="P618" s="19"/>
      <c r="Q618" s="19"/>
      <c r="R618" s="19"/>
      <c r="S618" s="19"/>
      <c r="T618" s="19"/>
      <c r="U618" s="19"/>
      <c r="V618" s="19"/>
      <c r="W618" s="19"/>
      <c r="X618" s="19"/>
      <c r="Y618" s="19"/>
    </row>
    <row r="619" spans="1:25" ht="12" customHeight="1">
      <c r="A619" s="219" t="str" cm="1">
        <f t="array" ref="A619">IFERROR(INDEX('03.Muestra'!$B$8:$B$42,SMALL(IF("Documento no web"='03.Muestra'!$D$8:$D$42,ROW('03.Muestra'!$B$8:$B$42)-MIN(ROW('03.Muestra'!$D$8:$D$42))+1,""),ROW()-588)),"")</f>
        <v/>
      </c>
      <c r="B619" s="114" t="str" cm="1">
        <f t="array" ref="B619">IFERROR(INDEX('03.Muestra'!$C$8:$C$42,SMALL(IF("Documento no web"='03.Muestra'!$D$8:$D$42,ROW('03.Muestra'!$C$8:$C$42)-MIN(ROW('03.Muestra'!$D$8:$D$42))+1,""),ROW()-588)),"")</f>
        <v/>
      </c>
      <c r="C619" s="114" t="str" cm="1">
        <f t="array" ref="C619">IFERROR(INDEX('03.Muestra'!$F$8:$F$42,SMALL(IF("Documento no web"='03.Muestra'!$D$8:$D$42,ROW('03.Muestra'!$F$8:$F$42)-MIN(ROW('03.Muestra'!$D$8:$D$42))+1,""),ROW()-588)),"")</f>
        <v/>
      </c>
      <c r="D619" s="130" t="str">
        <f t="shared" si="31"/>
        <v/>
      </c>
      <c r="E619" s="107" t="str">
        <f t="shared" si="30"/>
        <v/>
      </c>
      <c r="F619" s="124"/>
      <c r="G619" s="19"/>
      <c r="H619" s="19"/>
      <c r="I619" s="19"/>
      <c r="J619" s="19"/>
      <c r="K619" s="233"/>
      <c r="L619" s="19"/>
      <c r="M619" s="19"/>
      <c r="N619" s="19"/>
      <c r="O619" s="19"/>
      <c r="P619" s="19"/>
      <c r="Q619" s="19"/>
      <c r="R619" s="19"/>
      <c r="S619" s="19"/>
      <c r="T619" s="19"/>
      <c r="U619" s="19"/>
      <c r="V619" s="19"/>
      <c r="W619" s="19"/>
      <c r="X619" s="19"/>
      <c r="Y619" s="19"/>
    </row>
    <row r="620" spans="1:25" ht="12" customHeight="1">
      <c r="A620" s="219" t="str" cm="1">
        <f t="array" ref="A620">IFERROR(INDEX('03.Muestra'!$B$8:$B$42,SMALL(IF("Documento no web"='03.Muestra'!$D$8:$D$42,ROW('03.Muestra'!$B$8:$B$42)-MIN(ROW('03.Muestra'!$D$8:$D$42))+1,""),ROW()-588)),"")</f>
        <v/>
      </c>
      <c r="B620" s="114" t="str" cm="1">
        <f t="array" ref="B620">IFERROR(INDEX('03.Muestra'!$C$8:$C$42,SMALL(IF("Documento no web"='03.Muestra'!$D$8:$D$42,ROW('03.Muestra'!$C$8:$C$42)-MIN(ROW('03.Muestra'!$D$8:$D$42))+1,""),ROW()-588)),"")</f>
        <v/>
      </c>
      <c r="C620" s="114" t="str" cm="1">
        <f t="array" ref="C620">IFERROR(INDEX('03.Muestra'!$F$8:$F$42,SMALL(IF("Documento no web"='03.Muestra'!$D$8:$D$42,ROW('03.Muestra'!$F$8:$F$42)-MIN(ROW('03.Muestra'!$D$8:$D$42))+1,""),ROW()-588)),"")</f>
        <v/>
      </c>
      <c r="D620" s="130" t="str">
        <f t="shared" si="31"/>
        <v/>
      </c>
      <c r="E620" s="107" t="str">
        <f t="shared" si="30"/>
        <v/>
      </c>
      <c r="F620" s="124"/>
      <c r="G620" s="19"/>
      <c r="H620" s="19"/>
      <c r="I620" s="19"/>
      <c r="J620" s="19"/>
      <c r="K620" s="233"/>
      <c r="L620" s="19"/>
      <c r="M620" s="19"/>
      <c r="N620" s="19"/>
      <c r="O620" s="19"/>
      <c r="P620" s="19"/>
      <c r="Q620" s="19"/>
      <c r="R620" s="19"/>
      <c r="S620" s="19"/>
      <c r="T620" s="19"/>
      <c r="U620" s="19"/>
      <c r="V620" s="19"/>
      <c r="W620" s="19"/>
      <c r="X620" s="19"/>
      <c r="Y620" s="19"/>
    </row>
    <row r="621" spans="1:25" ht="12" customHeight="1">
      <c r="A621" s="219" t="str" cm="1">
        <f t="array" ref="A621">IFERROR(INDEX('03.Muestra'!$B$8:$B$42,SMALL(IF("Documento no web"='03.Muestra'!$D$8:$D$42,ROW('03.Muestra'!$B$8:$B$42)-MIN(ROW('03.Muestra'!$D$8:$D$42))+1,""),ROW()-588)),"")</f>
        <v/>
      </c>
      <c r="B621" s="114" t="str" cm="1">
        <f t="array" ref="B621">IFERROR(INDEX('03.Muestra'!$C$8:$C$42,SMALL(IF("Documento no web"='03.Muestra'!$D$8:$D$42,ROW('03.Muestra'!$C$8:$C$42)-MIN(ROW('03.Muestra'!$D$8:$D$42))+1,""),ROW()-588)),"")</f>
        <v/>
      </c>
      <c r="C621" s="114" t="str" cm="1">
        <f t="array" ref="C621">IFERROR(INDEX('03.Muestra'!$F$8:$F$42,SMALL(IF("Documento no web"='03.Muestra'!$D$8:$D$42,ROW('03.Muestra'!$F$8:$F$42)-MIN(ROW('03.Muestra'!$D$8:$D$42))+1,""),ROW()-588)),"")</f>
        <v/>
      </c>
      <c r="D621" s="130" t="str">
        <f t="shared" si="31"/>
        <v/>
      </c>
      <c r="E621" s="107" t="str">
        <f t="shared" si="30"/>
        <v/>
      </c>
      <c r="F621" s="124"/>
      <c r="G621" s="19"/>
      <c r="H621" s="19"/>
      <c r="I621" s="19"/>
      <c r="J621" s="19"/>
      <c r="K621" s="233"/>
      <c r="L621" s="19"/>
      <c r="M621" s="19"/>
      <c r="N621" s="19"/>
      <c r="O621" s="19"/>
      <c r="P621" s="19"/>
      <c r="Q621" s="19"/>
      <c r="R621" s="19"/>
      <c r="S621" s="19"/>
      <c r="T621" s="19"/>
      <c r="U621" s="19"/>
      <c r="V621" s="19"/>
      <c r="W621" s="19"/>
      <c r="X621" s="19"/>
      <c r="Y621" s="19"/>
    </row>
    <row r="622" spans="1:25" ht="12" customHeight="1">
      <c r="A622" s="219" t="str" cm="1">
        <f t="array" ref="A622">IFERROR(INDEX('03.Muestra'!$B$8:$B$42,SMALL(IF("Documento no web"='03.Muestra'!$D$8:$D$42,ROW('03.Muestra'!$B$8:$B$42)-MIN(ROW('03.Muestra'!$D$8:$D$42))+1,""),ROW()-588)),"")</f>
        <v/>
      </c>
      <c r="B622" s="114" t="str" cm="1">
        <f t="array" ref="B622">IFERROR(INDEX('03.Muestra'!$C$8:$C$42,SMALL(IF("Documento no web"='03.Muestra'!$D$8:$D$42,ROW('03.Muestra'!$C$8:$C$42)-MIN(ROW('03.Muestra'!$D$8:$D$42))+1,""),ROW()-588)),"")</f>
        <v/>
      </c>
      <c r="C622" s="114" t="str" cm="1">
        <f t="array" ref="C622">IFERROR(INDEX('03.Muestra'!$F$8:$F$42,SMALL(IF("Documento no web"='03.Muestra'!$D$8:$D$42,ROW('03.Muestra'!$F$8:$F$42)-MIN(ROW('03.Muestra'!$D$8:$D$42))+1,""),ROW()-588)),"")</f>
        <v/>
      </c>
      <c r="D622" s="130" t="str">
        <f t="shared" si="31"/>
        <v/>
      </c>
      <c r="E622" s="107" t="str">
        <f t="shared" si="30"/>
        <v/>
      </c>
      <c r="F622" s="124"/>
      <c r="G622" s="19"/>
      <c r="H622" s="19"/>
      <c r="I622" s="19"/>
      <c r="J622" s="19"/>
      <c r="K622" s="233"/>
      <c r="L622" s="19"/>
      <c r="M622" s="19"/>
      <c r="N622" s="19"/>
      <c r="O622" s="19"/>
      <c r="P622" s="19"/>
      <c r="Q622" s="19"/>
      <c r="R622" s="19"/>
      <c r="S622" s="19"/>
      <c r="T622" s="19"/>
      <c r="U622" s="19"/>
      <c r="V622" s="19"/>
      <c r="W622" s="19"/>
      <c r="X622" s="19"/>
      <c r="Y622" s="19"/>
    </row>
    <row r="623" spans="1:25" ht="12" customHeight="1">
      <c r="A623" s="219" t="str" cm="1">
        <f t="array" ref="A623">IFERROR(INDEX('03.Muestra'!$B$8:$B$42,SMALL(IF("Documento no web"='03.Muestra'!$D$8:$D$42,ROW('03.Muestra'!$B$8:$B$42)-MIN(ROW('03.Muestra'!$D$8:$D$42))+1,""),ROW()-588)),"")</f>
        <v/>
      </c>
      <c r="B623" s="114" t="str" cm="1">
        <f t="array" ref="B623">IFERROR(INDEX('03.Muestra'!$C$8:$C$42,SMALL(IF("Documento no web"='03.Muestra'!$D$8:$D$42,ROW('03.Muestra'!$C$8:$C$42)-MIN(ROW('03.Muestra'!$D$8:$D$42))+1,""),ROW()-588)),"")</f>
        <v/>
      </c>
      <c r="C623" s="114" t="str" cm="1">
        <f t="array" ref="C623">IFERROR(INDEX('03.Muestra'!$F$8:$F$42,SMALL(IF("Documento no web"='03.Muestra'!$D$8:$D$42,ROW('03.Muestra'!$F$8:$F$42)-MIN(ROW('03.Muestra'!$D$8:$D$42))+1,""),ROW()-588)),"")</f>
        <v/>
      </c>
      <c r="D623" s="130" t="str">
        <f t="shared" si="31"/>
        <v/>
      </c>
      <c r="E623" s="107" t="str">
        <f t="shared" si="30"/>
        <v/>
      </c>
      <c r="F623" s="19"/>
      <c r="G623" s="19"/>
      <c r="H623" s="19"/>
      <c r="I623" s="19"/>
      <c r="J623" s="19"/>
      <c r="K623" s="233"/>
      <c r="L623" s="19"/>
      <c r="M623" s="19"/>
      <c r="N623" s="19"/>
      <c r="O623" s="19"/>
      <c r="P623" s="19"/>
      <c r="Q623" s="19"/>
      <c r="R623" s="19"/>
      <c r="S623" s="19"/>
      <c r="T623" s="19"/>
      <c r="U623" s="19"/>
      <c r="V623" s="19"/>
      <c r="W623" s="19"/>
      <c r="X623" s="19"/>
      <c r="Y623" s="19"/>
    </row>
    <row r="624" spans="1:25" ht="12" customHeight="1">
      <c r="B624" s="19"/>
      <c r="C624" s="19"/>
      <c r="D624" s="107"/>
      <c r="E624" s="107"/>
      <c r="F624" s="19"/>
      <c r="G624" s="19"/>
      <c r="H624" s="19"/>
      <c r="I624" s="19"/>
      <c r="J624" s="19"/>
      <c r="K624" s="233"/>
      <c r="L624" s="19"/>
      <c r="M624" s="19"/>
      <c r="N624" s="19"/>
      <c r="O624" s="19"/>
      <c r="P624" s="19"/>
      <c r="Q624" s="19"/>
      <c r="R624" s="19"/>
      <c r="S624" s="19"/>
      <c r="T624" s="19"/>
      <c r="U624" s="19"/>
      <c r="V624" s="19"/>
      <c r="W624" s="19"/>
      <c r="X624" s="19"/>
      <c r="Y624" s="19"/>
    </row>
    <row r="625" spans="1:25" ht="12" customHeight="1">
      <c r="B625" s="19"/>
      <c r="C625" s="19"/>
      <c r="D625" s="107"/>
      <c r="E625" s="112"/>
      <c r="F625" s="19"/>
      <c r="G625" s="19"/>
      <c r="H625" s="19"/>
      <c r="I625" s="19"/>
      <c r="J625" s="19"/>
      <c r="K625" s="233"/>
      <c r="L625" s="19"/>
      <c r="M625" s="19"/>
      <c r="N625" s="19"/>
      <c r="O625" s="19"/>
      <c r="P625" s="19"/>
      <c r="Q625" s="19"/>
      <c r="R625" s="19"/>
      <c r="S625" s="19"/>
      <c r="T625" s="19"/>
      <c r="U625" s="19"/>
      <c r="V625" s="19"/>
      <c r="W625" s="19"/>
      <c r="X625" s="19"/>
      <c r="Y625" s="19"/>
    </row>
    <row r="626" spans="1:25" ht="32.65" customHeight="1">
      <c r="A626" s="218" t="s">
        <v>268</v>
      </c>
      <c r="B626" s="24" t="s">
        <v>90</v>
      </c>
      <c r="C626" s="25" t="s">
        <v>438</v>
      </c>
      <c r="D626" s="26" t="s">
        <v>32</v>
      </c>
      <c r="E626" s="123"/>
      <c r="K626" s="233"/>
      <c r="L626" s="19"/>
      <c r="M626" s="19"/>
      <c r="N626" s="19"/>
      <c r="O626" s="19"/>
      <c r="P626" s="19"/>
      <c r="Q626" s="19"/>
      <c r="R626" s="19"/>
      <c r="S626" s="19"/>
      <c r="T626" s="19"/>
      <c r="U626" s="19"/>
      <c r="V626" s="19"/>
      <c r="W626" s="19"/>
      <c r="X626" s="19"/>
      <c r="Y626" s="19"/>
    </row>
    <row r="627" spans="1:25" ht="13.15" customHeight="1">
      <c r="A627" s="219" t="n" cm="1">
        <f t="array" ref="A627">IFERROR(INDEX('03.Muestra'!$B$8:$B$42,SMALL(IF("Documento no web"='03.Muestra'!$D$8:$D$42,ROW('03.Muestra'!$B$8:$B$42)-MIN(ROW('03.Muestra'!$D$8:$D$42))+1,""),ROW()-626)),"")</f>
        <v>1.0</v>
      </c>
      <c r="B627" s="114" t="str" cm="1">
        <f t="array" ref="B627">IFERROR(INDEX('03.Muestra'!$C$8:$C$42,SMALL(IF("Documento no web"='03.Muestra'!$D$8:$D$42,ROW('03.Muestra'!$C$8:$C$42)-MIN(ROW('03.Muestra'!$D$8:$D$42))+1,""),ROW()-626)),"")</f>
        <v>Home - PortCastelló</v>
      </c>
      <c r="C627" s="114" t="str" cm="1">
        <f t="array" ref="C627">IFERROR(INDEX('03.Muestra'!$F$8:$F$42,SMALL(IF("Documento no web"='03.Muestra'!$D$8:$D$42,ROW('03.Muestra'!$F$8:$F$42)-MIN(ROW('03.Muestra'!$D$8:$D$42))+1,""),ROW()-626)),"")</f>
        <v>https://www.portcastello.com/</v>
      </c>
      <c r="D627" s="130" t="s">
        <v>33</v>
      </c>
      <c r="E627" s="107" t="str">
        <f t="shared" ref="E627:E661" si="32">IF(D627&lt;&gt;"",IF(AND(B627&lt;&gt;"",C627&lt;&gt;""),"","ERR"),"")</f>
        <v/>
      </c>
      <c r="F627" s="115" t="s">
        <v>33</v>
      </c>
      <c r="G627" s="116" t="s">
        <v>37</v>
      </c>
      <c r="H627" s="117" t="s">
        <v>35</v>
      </c>
      <c r="I627" s="118" t="s">
        <v>28</v>
      </c>
      <c r="J627" s="119" t="s">
        <v>26</v>
      </c>
      <c r="K627" s="226" t="s">
        <v>474</v>
      </c>
      <c r="L627" s="19"/>
      <c r="M627" s="19"/>
      <c r="N627" s="19"/>
      <c r="O627" s="19"/>
      <c r="P627" s="19"/>
      <c r="Q627" s="19"/>
      <c r="R627" s="19"/>
      <c r="S627" s="19"/>
      <c r="T627" s="19"/>
      <c r="U627" s="19"/>
      <c r="V627" s="19"/>
      <c r="W627" s="19"/>
      <c r="X627" s="19"/>
      <c r="Y627" s="19"/>
    </row>
    <row r="628" spans="1:25" ht="13.15" customHeight="1">
      <c r="A628" s="219" t="n" cm="1">
        <f t="array" ref="A628">IFERROR(INDEX('03.Muestra'!$B$8:$B$42,SMALL(IF("Documento no web"='03.Muestra'!$D$8:$D$42,ROW('03.Muestra'!$B$8:$B$42)-MIN(ROW('03.Muestra'!$D$8:$D$42))+1,""),ROW()-626)),"")</f>
        <v>1.0</v>
      </c>
      <c r="B628" s="114" t="str" cm="1">
        <f t="array" ref="B628">IFERROR(INDEX('03.Muestra'!$C$8:$C$42,SMALL(IF("Documento no web"='03.Muestra'!$D$8:$D$42,ROW('03.Muestra'!$C$8:$C$42)-MIN(ROW('03.Muestra'!$D$8:$D$42))+1,""),ROW()-626)),"")</f>
        <v>Home - PortCastelló</v>
      </c>
      <c r="C628" s="114" t="str" cm="1">
        <f t="array" ref="C628">IFERROR(INDEX('03.Muestra'!$F$8:$F$42,SMALL(IF("Documento no web"='03.Muestra'!$D$8:$D$42,ROW('03.Muestra'!$F$8:$F$42)-MIN(ROW('03.Muestra'!$D$8:$D$42))+1,""),ROW()-626)),"")</f>
        <v>https://www.portcastello.com/</v>
      </c>
      <c r="D628" s="130" t="s">
        <v>33</v>
      </c>
      <c r="E628" s="107" t="str">
        <f t="shared" si="32"/>
        <v/>
      </c>
      <c r="F628" s="120" t="n">
        <f ca="1">COUNTIF($D627:INDIRECT("$D" &amp;  SUM(ROW()-1,'03.Muestra'!$D$45)-1),F627)</f>
        <v>2.0</v>
      </c>
      <c r="G628" s="120" t="n">
        <f ca="1">COUNTIF($D627:INDIRECT("$D" &amp;  SUM(ROW()-1,'03.Muestra'!$D$45)-1),G627)</f>
        <v>0.0</v>
      </c>
      <c r="H628" s="120" t="n">
        <f ca="1">COUNTIF($D627:INDIRECT("$D" &amp;  SUM(ROW()-1,'03.Muestra'!$D$45)-1),H627)</f>
        <v>0.0</v>
      </c>
      <c r="I628" s="120" t="n">
        <f ca="1">COUNTIF($D627:INDIRECT("$D" &amp;  SUM(ROW()-1,'03.Muestra'!$D$45)-1),I627)</f>
        <v>0.0</v>
      </c>
      <c r="J628" s="120" t="n">
        <f ca="1">COUNTIF($D627:INDIRECT("$D" &amp;  SUM(ROW()-1,'03.Muestra'!$D$45)-1),J627)</f>
        <v>0.0</v>
      </c>
      <c r="K628" s="227" t="n">
        <f ca="1">IF(COUNTIF('03.Muestra'!$D$8:$D$42,"Documento no web")=0,0,COUNTBLANK($D627:INDIRECT("$D" &amp;  SUM(ROW()-1,COUNTIF('03.Muestra'!$D$8:$D$42,"Documento no web"))-1)))</f>
        <v>0.0</v>
      </c>
      <c r="L628" s="19"/>
      <c r="M628" s="19"/>
      <c r="N628" s="19"/>
      <c r="O628" s="19"/>
      <c r="P628" s="19"/>
      <c r="Q628" s="19"/>
      <c r="R628" s="19"/>
      <c r="S628" s="19"/>
      <c r="T628" s="19"/>
      <c r="U628" s="19"/>
      <c r="V628" s="19"/>
      <c r="W628" s="19"/>
      <c r="X628" s="19"/>
      <c r="Y628" s="19"/>
    </row>
    <row r="629" spans="1:25" ht="13.15" customHeight="1">
      <c r="A629" s="219" t="str" cm="1">
        <f t="array" ref="A629">IFERROR(INDEX('03.Muestra'!$B$8:$B$42,SMALL(IF("Documento no web"='03.Muestra'!$D$8:$D$42,ROW('03.Muestra'!$B$8:$B$42)-MIN(ROW('03.Muestra'!$D$8:$D$42))+1,""),ROW()-626)),"")</f>
        <v/>
      </c>
      <c r="B629" s="114" t="str" cm="1">
        <f t="array" ref="B629">IFERROR(INDEX('03.Muestra'!$C$8:$C$42,SMALL(IF("Documento no web"='03.Muestra'!$D$8:$D$42,ROW('03.Muestra'!$C$8:$C$42)-MIN(ROW('03.Muestra'!$D$8:$D$42))+1,""),ROW()-626)),"")</f>
        <v/>
      </c>
      <c r="C629" s="114" t="str" cm="1">
        <f t="array" ref="C629">IFERROR(INDEX('03.Muestra'!$F$8:$F$42,SMALL(IF("Documento no web"='03.Muestra'!$D$8:$D$42,ROW('03.Muestra'!$F$8:$F$42)-MIN(ROW('03.Muestra'!$D$8:$D$42))+1,""),ROW()-626)),"")</f>
        <v/>
      </c>
      <c r="D629" s="130" t="str">
        <f t="shared" si="33" ref="D629:D661">IF(AND(B629&lt;&gt;"",C629&lt;&gt;""),"N/T","")</f>
        <v/>
      </c>
      <c r="E629" s="107" t="str">
        <f t="shared" si="32"/>
        <v/>
      </c>
      <c r="G629" s="19"/>
      <c r="H629" s="19"/>
      <c r="I629" s="19"/>
      <c r="J629" s="19"/>
      <c r="K629" s="233"/>
      <c r="L629" s="19"/>
      <c r="M629" s="19"/>
      <c r="N629" s="19"/>
      <c r="O629" s="19"/>
      <c r="P629" s="19"/>
      <c r="Q629" s="19"/>
      <c r="R629" s="19"/>
      <c r="S629" s="19"/>
      <c r="T629" s="19"/>
      <c r="U629" s="19"/>
      <c r="V629" s="19"/>
      <c r="W629" s="19"/>
      <c r="X629" s="19"/>
      <c r="Y629" s="19"/>
    </row>
    <row r="630" spans="1:25" ht="13.15" customHeight="1">
      <c r="A630" s="219" t="str" cm="1">
        <f t="array" ref="A630">IFERROR(INDEX('03.Muestra'!$B$8:$B$42,SMALL(IF("Documento no web"='03.Muestra'!$D$8:$D$42,ROW('03.Muestra'!$B$8:$B$42)-MIN(ROW('03.Muestra'!$D$8:$D$42))+1,""),ROW()-626)),"")</f>
        <v/>
      </c>
      <c r="B630" s="114" t="str" cm="1">
        <f t="array" ref="B630">IFERROR(INDEX('03.Muestra'!$C$8:$C$42,SMALL(IF("Documento no web"='03.Muestra'!$D$8:$D$42,ROW('03.Muestra'!$C$8:$C$42)-MIN(ROW('03.Muestra'!$D$8:$D$42))+1,""),ROW()-626)),"")</f>
        <v/>
      </c>
      <c r="C630" s="114" t="str" cm="1">
        <f t="array" ref="C630">IFERROR(INDEX('03.Muestra'!$F$8:$F$42,SMALL(IF("Documento no web"='03.Muestra'!$D$8:$D$42,ROW('03.Muestra'!$F$8:$F$42)-MIN(ROW('03.Muestra'!$D$8:$D$42))+1,""),ROW()-626)),"")</f>
        <v/>
      </c>
      <c r="D630" s="130" t="str">
        <f t="shared" si="33"/>
        <v/>
      </c>
      <c r="E630" s="107" t="str">
        <f t="shared" si="32"/>
        <v/>
      </c>
      <c r="G630" s="19"/>
      <c r="H630" s="19"/>
      <c r="I630" s="19"/>
      <c r="J630" s="19"/>
      <c r="K630" s="233"/>
      <c r="L630" s="19"/>
      <c r="M630" s="19"/>
      <c r="N630" s="19"/>
      <c r="O630" s="19"/>
      <c r="P630" s="19"/>
      <c r="Q630" s="19"/>
      <c r="R630" s="19"/>
      <c r="S630" s="19"/>
      <c r="T630" s="19"/>
      <c r="U630" s="19"/>
      <c r="V630" s="19"/>
      <c r="W630" s="19"/>
      <c r="X630" s="19"/>
      <c r="Y630" s="19"/>
    </row>
    <row r="631" spans="1:25" ht="13.15" customHeight="1">
      <c r="A631" s="219" t="str" cm="1">
        <f t="array" ref="A631">IFERROR(INDEX('03.Muestra'!$B$8:$B$42,SMALL(IF("Documento no web"='03.Muestra'!$D$8:$D$42,ROW('03.Muestra'!$B$8:$B$42)-MIN(ROW('03.Muestra'!$D$8:$D$42))+1,""),ROW()-626)),"")</f>
        <v/>
      </c>
      <c r="B631" s="114" t="str" cm="1">
        <f t="array" ref="B631">IFERROR(INDEX('03.Muestra'!$C$8:$C$42,SMALL(IF("Documento no web"='03.Muestra'!$D$8:$D$42,ROW('03.Muestra'!$C$8:$C$42)-MIN(ROW('03.Muestra'!$D$8:$D$42))+1,""),ROW()-626)),"")</f>
        <v/>
      </c>
      <c r="C631" s="114" t="str" cm="1">
        <f t="array" ref="C631">IFERROR(INDEX('03.Muestra'!$F$8:$F$42,SMALL(IF("Documento no web"='03.Muestra'!$D$8:$D$42,ROW('03.Muestra'!$F$8:$F$42)-MIN(ROW('03.Muestra'!$D$8:$D$42))+1,""),ROW()-626)),"")</f>
        <v/>
      </c>
      <c r="D631" s="130" t="str">
        <f t="shared" si="33"/>
        <v/>
      </c>
      <c r="E631" s="107" t="str">
        <f t="shared" si="32"/>
        <v/>
      </c>
      <c r="G631" s="19"/>
      <c r="H631" s="19"/>
      <c r="I631" s="19"/>
      <c r="J631" s="19"/>
      <c r="K631" s="233"/>
      <c r="L631" s="19"/>
      <c r="M631" s="19"/>
      <c r="N631" s="19"/>
      <c r="O631" s="19"/>
      <c r="P631" s="19"/>
      <c r="Q631" s="19"/>
      <c r="R631" s="19"/>
      <c r="S631" s="19"/>
      <c r="T631" s="19"/>
      <c r="U631" s="19"/>
      <c r="V631" s="19"/>
      <c r="W631" s="19"/>
      <c r="X631" s="19"/>
      <c r="Y631" s="19"/>
    </row>
    <row r="632" spans="1:25" ht="13.15" customHeight="1">
      <c r="A632" s="219" t="str" cm="1">
        <f t="array" ref="A632">IFERROR(INDEX('03.Muestra'!$B$8:$B$42,SMALL(IF("Documento no web"='03.Muestra'!$D$8:$D$42,ROW('03.Muestra'!$B$8:$B$42)-MIN(ROW('03.Muestra'!$D$8:$D$42))+1,""),ROW()-626)),"")</f>
        <v/>
      </c>
      <c r="B632" s="114" t="str" cm="1">
        <f t="array" ref="B632">IFERROR(INDEX('03.Muestra'!$C$8:$C$42,SMALL(IF("Documento no web"='03.Muestra'!$D$8:$D$42,ROW('03.Muestra'!$C$8:$C$42)-MIN(ROW('03.Muestra'!$D$8:$D$42))+1,""),ROW()-626)),"")</f>
        <v/>
      </c>
      <c r="C632" s="114" t="str" cm="1">
        <f t="array" ref="C632">IFERROR(INDEX('03.Muestra'!$F$8:$F$42,SMALL(IF("Documento no web"='03.Muestra'!$D$8:$D$42,ROW('03.Muestra'!$F$8:$F$42)-MIN(ROW('03.Muestra'!$D$8:$D$42))+1,""),ROW()-626)),"")</f>
        <v/>
      </c>
      <c r="D632" s="130" t="str">
        <f t="shared" si="33"/>
        <v/>
      </c>
      <c r="E632" s="107" t="str">
        <f t="shared" si="32"/>
        <v/>
      </c>
      <c r="G632" s="19"/>
      <c r="H632" s="19"/>
      <c r="I632" s="19"/>
      <c r="J632" s="19"/>
      <c r="K632" s="233"/>
      <c r="L632" s="19"/>
      <c r="M632" s="19"/>
      <c r="N632" s="19"/>
      <c r="O632" s="19"/>
      <c r="P632" s="19"/>
      <c r="Q632" s="19"/>
      <c r="R632" s="19"/>
      <c r="S632" s="19"/>
      <c r="T632" s="19"/>
      <c r="U632" s="19"/>
      <c r="V632" s="19"/>
      <c r="W632" s="19"/>
      <c r="X632" s="19"/>
      <c r="Y632" s="19"/>
    </row>
    <row r="633" spans="1:25" ht="13.15" customHeight="1">
      <c r="A633" s="219" t="str" cm="1">
        <f t="array" ref="A633">IFERROR(INDEX('03.Muestra'!$B$8:$B$42,SMALL(IF("Documento no web"='03.Muestra'!$D$8:$D$42,ROW('03.Muestra'!$B$8:$B$42)-MIN(ROW('03.Muestra'!$D$8:$D$42))+1,""),ROW()-626)),"")</f>
        <v/>
      </c>
      <c r="B633" s="114" t="str" cm="1">
        <f t="array" ref="B633">IFERROR(INDEX('03.Muestra'!$C$8:$C$42,SMALL(IF("Documento no web"='03.Muestra'!$D$8:$D$42,ROW('03.Muestra'!$C$8:$C$42)-MIN(ROW('03.Muestra'!$D$8:$D$42))+1,""),ROW()-626)),"")</f>
        <v/>
      </c>
      <c r="C633" s="114" t="str" cm="1">
        <f t="array" ref="C633">IFERROR(INDEX('03.Muestra'!$F$8:$F$42,SMALL(IF("Documento no web"='03.Muestra'!$D$8:$D$42,ROW('03.Muestra'!$F$8:$F$42)-MIN(ROW('03.Muestra'!$D$8:$D$42))+1,""),ROW()-626)),"")</f>
        <v/>
      </c>
      <c r="D633" s="130" t="str">
        <f t="shared" si="33"/>
        <v/>
      </c>
      <c r="E633" s="107" t="str">
        <f t="shared" si="32"/>
        <v/>
      </c>
      <c r="F633" s="19"/>
      <c r="G633" s="19"/>
      <c r="H633" s="19"/>
      <c r="I633" s="19"/>
      <c r="J633" s="19"/>
      <c r="K633" s="233"/>
      <c r="L633" s="19"/>
      <c r="M633" s="19"/>
      <c r="N633" s="19"/>
      <c r="O633" s="19"/>
      <c r="P633" s="19"/>
      <c r="Q633" s="19"/>
      <c r="R633" s="19"/>
      <c r="S633" s="19"/>
      <c r="T633" s="19"/>
      <c r="U633" s="19"/>
      <c r="V633" s="19"/>
      <c r="W633" s="19"/>
      <c r="X633" s="19"/>
      <c r="Y633" s="19"/>
    </row>
    <row r="634" spans="1:25" ht="13.15" customHeight="1">
      <c r="A634" s="219" t="str" cm="1">
        <f t="array" ref="A634">IFERROR(INDEX('03.Muestra'!$B$8:$B$42,SMALL(IF("Documento no web"='03.Muestra'!$D$8:$D$42,ROW('03.Muestra'!$B$8:$B$42)-MIN(ROW('03.Muestra'!$D$8:$D$42))+1,""),ROW()-626)),"")</f>
        <v/>
      </c>
      <c r="B634" s="114" t="str" cm="1">
        <f t="array" ref="B634">IFERROR(INDEX('03.Muestra'!$C$8:$C$42,SMALL(IF("Documento no web"='03.Muestra'!$D$8:$D$42,ROW('03.Muestra'!$C$8:$C$42)-MIN(ROW('03.Muestra'!$D$8:$D$42))+1,""),ROW()-626)),"")</f>
        <v/>
      </c>
      <c r="C634" s="114" t="str" cm="1">
        <f t="array" ref="C634">IFERROR(INDEX('03.Muestra'!$F$8:$F$42,SMALL(IF("Documento no web"='03.Muestra'!$D$8:$D$42,ROW('03.Muestra'!$F$8:$F$42)-MIN(ROW('03.Muestra'!$D$8:$D$42))+1,""),ROW()-626)),"")</f>
        <v/>
      </c>
      <c r="D634" s="130" t="str">
        <f t="shared" si="33"/>
        <v/>
      </c>
      <c r="E634" s="107" t="str">
        <f t="shared" si="32"/>
        <v/>
      </c>
      <c r="F634" s="19"/>
      <c r="G634" s="19"/>
      <c r="H634" s="19"/>
      <c r="I634" s="19"/>
      <c r="J634" s="19"/>
      <c r="K634" s="233"/>
      <c r="L634" s="19"/>
      <c r="M634" s="19"/>
      <c r="N634" s="19"/>
      <c r="O634" s="19"/>
      <c r="P634" s="19"/>
      <c r="Q634" s="19"/>
      <c r="R634" s="19"/>
      <c r="S634" s="19"/>
      <c r="T634" s="19"/>
      <c r="U634" s="19"/>
      <c r="V634" s="19"/>
      <c r="W634" s="19"/>
      <c r="X634" s="19"/>
      <c r="Y634" s="19"/>
    </row>
    <row r="635" spans="1:25" ht="13.15" customHeight="1">
      <c r="A635" s="219" t="str" cm="1">
        <f t="array" ref="A635">IFERROR(INDEX('03.Muestra'!$B$8:$B$42,SMALL(IF("Documento no web"='03.Muestra'!$D$8:$D$42,ROW('03.Muestra'!$B$8:$B$42)-MIN(ROW('03.Muestra'!$D$8:$D$42))+1,""),ROW()-626)),"")</f>
        <v/>
      </c>
      <c r="B635" s="114" t="str" cm="1">
        <f t="array" ref="B635">IFERROR(INDEX('03.Muestra'!$C$8:$C$42,SMALL(IF("Documento no web"='03.Muestra'!$D$8:$D$42,ROW('03.Muestra'!$C$8:$C$42)-MIN(ROW('03.Muestra'!$D$8:$D$42))+1,""),ROW()-626)),"")</f>
        <v/>
      </c>
      <c r="C635" s="114" t="str" cm="1">
        <f t="array" ref="C635">IFERROR(INDEX('03.Muestra'!$F$8:$F$42,SMALL(IF("Documento no web"='03.Muestra'!$D$8:$D$42,ROW('03.Muestra'!$F$8:$F$42)-MIN(ROW('03.Muestra'!$D$8:$D$42))+1,""),ROW()-626)),"")</f>
        <v/>
      </c>
      <c r="D635" s="130" t="str">
        <f t="shared" si="33"/>
        <v/>
      </c>
      <c r="E635" s="107" t="str">
        <f t="shared" si="32"/>
        <v/>
      </c>
      <c r="F635" s="19"/>
      <c r="G635" s="19"/>
      <c r="H635" s="19"/>
      <c r="I635" s="19"/>
      <c r="J635" s="19"/>
      <c r="K635" s="233"/>
      <c r="L635" s="19"/>
      <c r="M635" s="19"/>
      <c r="N635" s="19"/>
      <c r="O635" s="19"/>
      <c r="P635" s="19"/>
      <c r="Q635" s="19"/>
      <c r="R635" s="19"/>
      <c r="S635" s="19"/>
      <c r="T635" s="19"/>
      <c r="U635" s="19"/>
      <c r="V635" s="19"/>
      <c r="W635" s="19"/>
      <c r="X635" s="19"/>
      <c r="Y635" s="19"/>
    </row>
    <row r="636" spans="1:25" ht="13.15" customHeight="1">
      <c r="A636" s="219" t="str" cm="1">
        <f t="array" ref="A636">IFERROR(INDEX('03.Muestra'!$B$8:$B$42,SMALL(IF("Documento no web"='03.Muestra'!$D$8:$D$42,ROW('03.Muestra'!$B$8:$B$42)-MIN(ROW('03.Muestra'!$D$8:$D$42))+1,""),ROW()-626)),"")</f>
        <v/>
      </c>
      <c r="B636" s="114" t="str" cm="1">
        <f t="array" ref="B636">IFERROR(INDEX('03.Muestra'!$C$8:$C$42,SMALL(IF("Documento no web"='03.Muestra'!$D$8:$D$42,ROW('03.Muestra'!$C$8:$C$42)-MIN(ROW('03.Muestra'!$D$8:$D$42))+1,""),ROW()-626)),"")</f>
        <v/>
      </c>
      <c r="C636" s="114" t="str" cm="1">
        <f t="array" ref="C636">IFERROR(INDEX('03.Muestra'!$F$8:$F$42,SMALL(IF("Documento no web"='03.Muestra'!$D$8:$D$42,ROW('03.Muestra'!$F$8:$F$42)-MIN(ROW('03.Muestra'!$D$8:$D$42))+1,""),ROW()-626)),"")</f>
        <v/>
      </c>
      <c r="D636" s="130" t="str">
        <f t="shared" si="33"/>
        <v/>
      </c>
      <c r="E636" s="107" t="str">
        <f t="shared" si="32"/>
        <v/>
      </c>
      <c r="F636" s="19"/>
      <c r="G636" s="19"/>
      <c r="H636" s="19"/>
      <c r="I636" s="19"/>
      <c r="J636" s="19"/>
      <c r="K636" s="233"/>
      <c r="L636" s="19"/>
      <c r="M636" s="19"/>
      <c r="N636" s="19"/>
      <c r="O636" s="19"/>
      <c r="P636" s="19"/>
      <c r="Q636" s="19"/>
      <c r="R636" s="19"/>
      <c r="S636" s="19"/>
      <c r="T636" s="19"/>
      <c r="U636" s="19"/>
      <c r="V636" s="19"/>
      <c r="W636" s="19"/>
      <c r="X636" s="19"/>
      <c r="Y636" s="19"/>
    </row>
    <row r="637" spans="1:25" ht="13.15" customHeight="1">
      <c r="A637" s="219" t="str" cm="1">
        <f t="array" ref="A637">IFERROR(INDEX('03.Muestra'!$B$8:$B$42,SMALL(IF("Documento no web"='03.Muestra'!$D$8:$D$42,ROW('03.Muestra'!$B$8:$B$42)-MIN(ROW('03.Muestra'!$D$8:$D$42))+1,""),ROW()-626)),"")</f>
        <v/>
      </c>
      <c r="B637" s="114" t="str" cm="1">
        <f t="array" ref="B637">IFERROR(INDEX('03.Muestra'!$C$8:$C$42,SMALL(IF("Documento no web"='03.Muestra'!$D$8:$D$42,ROW('03.Muestra'!$C$8:$C$42)-MIN(ROW('03.Muestra'!$D$8:$D$42))+1,""),ROW()-626)),"")</f>
        <v/>
      </c>
      <c r="C637" s="114" t="str" cm="1">
        <f t="array" ref="C637">IFERROR(INDEX('03.Muestra'!$F$8:$F$42,SMALL(IF("Documento no web"='03.Muestra'!$D$8:$D$42,ROW('03.Muestra'!$F$8:$F$42)-MIN(ROW('03.Muestra'!$D$8:$D$42))+1,""),ROW()-626)),"")</f>
        <v/>
      </c>
      <c r="D637" s="130" t="str">
        <f t="shared" si="33"/>
        <v/>
      </c>
      <c r="E637" s="107" t="str">
        <f t="shared" si="32"/>
        <v/>
      </c>
      <c r="F637" s="19"/>
      <c r="G637" s="19"/>
      <c r="H637" s="19"/>
      <c r="I637" s="19"/>
      <c r="J637" s="19"/>
      <c r="K637" s="233"/>
      <c r="L637" s="19"/>
      <c r="M637" s="19"/>
      <c r="N637" s="19"/>
      <c r="O637" s="19"/>
      <c r="P637" s="19"/>
      <c r="Q637" s="19"/>
      <c r="R637" s="19"/>
      <c r="S637" s="19"/>
      <c r="T637" s="19"/>
      <c r="U637" s="19"/>
      <c r="V637" s="19"/>
      <c r="W637" s="19"/>
      <c r="X637" s="19"/>
      <c r="Y637" s="19"/>
    </row>
    <row r="638" spans="1:25" ht="13.15" customHeight="1">
      <c r="A638" s="219" t="str" cm="1">
        <f t="array" ref="A638">IFERROR(INDEX('03.Muestra'!$B$8:$B$42,SMALL(IF("Documento no web"='03.Muestra'!$D$8:$D$42,ROW('03.Muestra'!$B$8:$B$42)-MIN(ROW('03.Muestra'!$D$8:$D$42))+1,""),ROW()-626)),"")</f>
        <v/>
      </c>
      <c r="B638" s="114" t="str" cm="1">
        <f t="array" ref="B638">IFERROR(INDEX('03.Muestra'!$C$8:$C$42,SMALL(IF("Documento no web"='03.Muestra'!$D$8:$D$42,ROW('03.Muestra'!$C$8:$C$42)-MIN(ROW('03.Muestra'!$D$8:$D$42))+1,""),ROW()-626)),"")</f>
        <v/>
      </c>
      <c r="C638" s="114" t="str" cm="1">
        <f t="array" ref="C638">IFERROR(INDEX('03.Muestra'!$F$8:$F$42,SMALL(IF("Documento no web"='03.Muestra'!$D$8:$D$42,ROW('03.Muestra'!$F$8:$F$42)-MIN(ROW('03.Muestra'!$D$8:$D$42))+1,""),ROW()-626)),"")</f>
        <v/>
      </c>
      <c r="D638" s="130" t="str">
        <f t="shared" si="33"/>
        <v/>
      </c>
      <c r="E638" s="107" t="str">
        <f t="shared" si="32"/>
        <v/>
      </c>
      <c r="F638" s="19"/>
      <c r="G638" s="19"/>
      <c r="H638" s="19"/>
      <c r="I638" s="19"/>
      <c r="J638" s="19"/>
      <c r="K638" s="233"/>
      <c r="L638" s="19"/>
      <c r="M638" s="19"/>
      <c r="N638" s="19"/>
      <c r="O638" s="19"/>
      <c r="P638" s="19"/>
      <c r="Q638" s="19"/>
      <c r="R638" s="19"/>
      <c r="S638" s="19"/>
      <c r="T638" s="19"/>
      <c r="U638" s="19"/>
      <c r="V638" s="19"/>
      <c r="W638" s="19"/>
      <c r="X638" s="19"/>
      <c r="Y638" s="19"/>
    </row>
    <row r="639" spans="1:25" ht="14.1" customHeight="1">
      <c r="A639" s="219" t="str" cm="1">
        <f t="array" ref="A639">IFERROR(INDEX('03.Muestra'!$B$8:$B$42,SMALL(IF("Documento no web"='03.Muestra'!$D$8:$D$42,ROW('03.Muestra'!$B$8:$B$42)-MIN(ROW('03.Muestra'!$D$8:$D$42))+1,""),ROW()-626)),"")</f>
        <v/>
      </c>
      <c r="B639" s="114" t="str" cm="1">
        <f t="array" ref="B639">IFERROR(INDEX('03.Muestra'!$C$8:$C$42,SMALL(IF("Documento no web"='03.Muestra'!$D$8:$D$42,ROW('03.Muestra'!$C$8:$C$42)-MIN(ROW('03.Muestra'!$D$8:$D$42))+1,""),ROW()-626)),"")</f>
        <v/>
      </c>
      <c r="C639" s="114" t="str" cm="1">
        <f t="array" ref="C639">IFERROR(INDEX('03.Muestra'!$F$8:$F$42,SMALL(IF("Documento no web"='03.Muestra'!$D$8:$D$42,ROW('03.Muestra'!$F$8:$F$42)-MIN(ROW('03.Muestra'!$D$8:$D$42))+1,""),ROW()-626)),"")</f>
        <v/>
      </c>
      <c r="D639" s="130" t="str">
        <f t="shared" si="33"/>
        <v/>
      </c>
      <c r="E639" s="107" t="str">
        <f t="shared" si="32"/>
        <v/>
      </c>
      <c r="F639" s="19"/>
      <c r="G639" s="19"/>
      <c r="H639" s="19"/>
      <c r="I639" s="19"/>
      <c r="J639" s="19"/>
      <c r="K639" s="233"/>
      <c r="L639" s="19"/>
      <c r="M639" s="19"/>
      <c r="N639" s="19"/>
      <c r="O639" s="19"/>
      <c r="P639" s="19"/>
      <c r="Q639" s="19"/>
      <c r="R639" s="19"/>
      <c r="S639" s="19"/>
      <c r="T639" s="19"/>
      <c r="U639" s="19"/>
      <c r="V639" s="19"/>
      <c r="W639" s="19"/>
      <c r="X639" s="19"/>
      <c r="Y639" s="19"/>
    </row>
    <row r="640" spans="1:25" ht="14.1" customHeight="1">
      <c r="A640" s="219" t="str" cm="1">
        <f t="array" ref="A640">IFERROR(INDEX('03.Muestra'!$B$8:$B$42,SMALL(IF("Documento no web"='03.Muestra'!$D$8:$D$42,ROW('03.Muestra'!$B$8:$B$42)-MIN(ROW('03.Muestra'!$D$8:$D$42))+1,""),ROW()-626)),"")</f>
        <v/>
      </c>
      <c r="B640" s="114" t="str" cm="1">
        <f t="array" ref="B640">IFERROR(INDEX('03.Muestra'!$C$8:$C$42,SMALL(IF("Documento no web"='03.Muestra'!$D$8:$D$42,ROW('03.Muestra'!$C$8:$C$42)-MIN(ROW('03.Muestra'!$D$8:$D$42))+1,""),ROW()-626)),"")</f>
        <v/>
      </c>
      <c r="C640" s="114" t="str" cm="1">
        <f t="array" ref="C640">IFERROR(INDEX('03.Muestra'!$F$8:$F$42,SMALL(IF("Documento no web"='03.Muestra'!$D$8:$D$42,ROW('03.Muestra'!$F$8:$F$42)-MIN(ROW('03.Muestra'!$D$8:$D$42))+1,""),ROW()-626)),"")</f>
        <v/>
      </c>
      <c r="D640" s="130" t="str">
        <f t="shared" si="33"/>
        <v/>
      </c>
      <c r="E640" s="107" t="str">
        <f t="shared" si="32"/>
        <v/>
      </c>
      <c r="F640" s="19"/>
      <c r="G640" s="19"/>
      <c r="H640" s="19"/>
      <c r="I640" s="19"/>
      <c r="J640" s="19"/>
      <c r="K640" s="233"/>
      <c r="L640" s="19"/>
      <c r="M640" s="19"/>
      <c r="N640" s="19"/>
      <c r="O640" s="19"/>
      <c r="P640" s="19"/>
      <c r="Q640" s="19"/>
      <c r="R640" s="19"/>
      <c r="S640" s="19"/>
      <c r="T640" s="19"/>
      <c r="U640" s="19"/>
      <c r="V640" s="19"/>
      <c r="W640" s="19"/>
      <c r="X640" s="19"/>
      <c r="Y640" s="19"/>
    </row>
    <row r="641" spans="1:25" ht="14.1" customHeight="1">
      <c r="A641" s="219" t="str" cm="1">
        <f t="array" ref="A641">IFERROR(INDEX('03.Muestra'!$B$8:$B$42,SMALL(IF("Documento no web"='03.Muestra'!$D$8:$D$42,ROW('03.Muestra'!$B$8:$B$42)-MIN(ROW('03.Muestra'!$D$8:$D$42))+1,""),ROW()-626)),"")</f>
        <v/>
      </c>
      <c r="B641" s="114" t="str" cm="1">
        <f t="array" ref="B641">IFERROR(INDEX('03.Muestra'!$C$8:$C$42,SMALL(IF("Documento no web"='03.Muestra'!$D$8:$D$42,ROW('03.Muestra'!$C$8:$C$42)-MIN(ROW('03.Muestra'!$D$8:$D$42))+1,""),ROW()-626)),"")</f>
        <v/>
      </c>
      <c r="C641" s="114" t="str" cm="1">
        <f t="array" ref="C641">IFERROR(INDEX('03.Muestra'!$F$8:$F$42,SMALL(IF("Documento no web"='03.Muestra'!$D$8:$D$42,ROW('03.Muestra'!$F$8:$F$42)-MIN(ROW('03.Muestra'!$D$8:$D$42))+1,""),ROW()-626)),"")</f>
        <v/>
      </c>
      <c r="D641" s="130" t="str">
        <f t="shared" si="33"/>
        <v/>
      </c>
      <c r="E641" s="107" t="str">
        <f t="shared" si="32"/>
        <v/>
      </c>
      <c r="F641" s="19"/>
      <c r="G641" s="19"/>
      <c r="H641" s="19"/>
      <c r="I641" s="19"/>
      <c r="J641" s="19"/>
      <c r="K641" s="233"/>
      <c r="L641" s="19"/>
      <c r="M641" s="19"/>
      <c r="N641" s="19"/>
      <c r="O641" s="19"/>
      <c r="P641" s="19"/>
      <c r="Q641" s="19"/>
      <c r="R641" s="19"/>
      <c r="S641" s="19"/>
      <c r="T641" s="19"/>
      <c r="U641" s="19"/>
      <c r="V641" s="19"/>
      <c r="W641" s="19"/>
      <c r="X641" s="19"/>
      <c r="Y641" s="19"/>
    </row>
    <row r="642" spans="1:25" ht="14.1" customHeight="1">
      <c r="A642" s="219" t="str" cm="1">
        <f t="array" ref="A642">IFERROR(INDEX('03.Muestra'!$B$8:$B$42,SMALL(IF("Documento no web"='03.Muestra'!$D$8:$D$42,ROW('03.Muestra'!$B$8:$B$42)-MIN(ROW('03.Muestra'!$D$8:$D$42))+1,""),ROW()-626)),"")</f>
        <v/>
      </c>
      <c r="B642" s="114" t="str" cm="1">
        <f t="array" ref="B642">IFERROR(INDEX('03.Muestra'!$C$8:$C$42,SMALL(IF("Documento no web"='03.Muestra'!$D$8:$D$42,ROW('03.Muestra'!$C$8:$C$42)-MIN(ROW('03.Muestra'!$D$8:$D$42))+1,""),ROW()-626)),"")</f>
        <v/>
      </c>
      <c r="C642" s="114" t="str" cm="1">
        <f t="array" ref="C642">IFERROR(INDEX('03.Muestra'!$F$8:$F$42,SMALL(IF("Documento no web"='03.Muestra'!$D$8:$D$42,ROW('03.Muestra'!$F$8:$F$42)-MIN(ROW('03.Muestra'!$D$8:$D$42))+1,""),ROW()-626)),"")</f>
        <v/>
      </c>
      <c r="D642" s="130" t="str">
        <f t="shared" si="33"/>
        <v/>
      </c>
      <c r="E642" s="107" t="str">
        <f t="shared" si="32"/>
        <v/>
      </c>
      <c r="F642" s="19"/>
      <c r="G642" s="19"/>
      <c r="H642" s="19"/>
      <c r="I642" s="19"/>
      <c r="J642" s="19"/>
      <c r="K642" s="233"/>
      <c r="L642" s="19"/>
      <c r="M642" s="19"/>
      <c r="N642" s="19"/>
      <c r="O642" s="19"/>
      <c r="P642" s="19"/>
      <c r="Q642" s="19"/>
      <c r="R642" s="19"/>
      <c r="S642" s="19"/>
      <c r="T642" s="19"/>
      <c r="U642" s="19"/>
      <c r="V642" s="19"/>
      <c r="W642" s="19"/>
      <c r="X642" s="19"/>
      <c r="Y642" s="19"/>
    </row>
    <row r="643" spans="1:25" ht="14.1" customHeight="1">
      <c r="A643" s="219" t="str" cm="1">
        <f t="array" ref="A643">IFERROR(INDEX('03.Muestra'!$B$8:$B$42,SMALL(IF("Documento no web"='03.Muestra'!$D$8:$D$42,ROW('03.Muestra'!$B$8:$B$42)-MIN(ROW('03.Muestra'!$D$8:$D$42))+1,""),ROW()-626)),"")</f>
        <v/>
      </c>
      <c r="B643" s="114" t="str" cm="1">
        <f t="array" ref="B643">IFERROR(INDEX('03.Muestra'!$C$8:$C$42,SMALL(IF("Documento no web"='03.Muestra'!$D$8:$D$42,ROW('03.Muestra'!$C$8:$C$42)-MIN(ROW('03.Muestra'!$D$8:$D$42))+1,""),ROW()-626)),"")</f>
        <v/>
      </c>
      <c r="C643" s="114" t="str" cm="1">
        <f t="array" ref="C643">IFERROR(INDEX('03.Muestra'!$F$8:$F$42,SMALL(IF("Documento no web"='03.Muestra'!$D$8:$D$42,ROW('03.Muestra'!$F$8:$F$42)-MIN(ROW('03.Muestra'!$D$8:$D$42))+1,""),ROW()-626)),"")</f>
        <v/>
      </c>
      <c r="D643" s="130" t="str">
        <f t="shared" si="33"/>
        <v/>
      </c>
      <c r="E643" s="107" t="str">
        <f t="shared" si="32"/>
        <v/>
      </c>
      <c r="F643" s="19"/>
      <c r="G643" s="19"/>
      <c r="H643" s="19"/>
      <c r="I643" s="19"/>
      <c r="J643" s="19"/>
      <c r="K643" s="233"/>
      <c r="L643" s="19"/>
      <c r="M643" s="19"/>
      <c r="N643" s="19"/>
      <c r="O643" s="19"/>
      <c r="P643" s="19"/>
      <c r="Q643" s="19"/>
      <c r="R643" s="19"/>
      <c r="S643" s="19"/>
      <c r="T643" s="19"/>
      <c r="U643" s="19"/>
      <c r="V643" s="19"/>
      <c r="W643" s="19"/>
      <c r="X643" s="19"/>
      <c r="Y643" s="19"/>
    </row>
    <row r="644" spans="1:25" ht="14.1" customHeight="1">
      <c r="A644" s="219" t="str" cm="1">
        <f t="array" ref="A644">IFERROR(INDEX('03.Muestra'!$B$8:$B$42,SMALL(IF("Documento no web"='03.Muestra'!$D$8:$D$42,ROW('03.Muestra'!$B$8:$B$42)-MIN(ROW('03.Muestra'!$D$8:$D$42))+1,""),ROW()-626)),"")</f>
        <v/>
      </c>
      <c r="B644" s="114" t="str" cm="1">
        <f t="array" ref="B644">IFERROR(INDEX('03.Muestra'!$C$8:$C$42,SMALL(IF("Documento no web"='03.Muestra'!$D$8:$D$42,ROW('03.Muestra'!$C$8:$C$42)-MIN(ROW('03.Muestra'!$D$8:$D$42))+1,""),ROW()-626)),"")</f>
        <v/>
      </c>
      <c r="C644" s="114" t="str" cm="1">
        <f t="array" ref="C644">IFERROR(INDEX('03.Muestra'!$F$8:$F$42,SMALL(IF("Documento no web"='03.Muestra'!$D$8:$D$42,ROW('03.Muestra'!$F$8:$F$42)-MIN(ROW('03.Muestra'!$D$8:$D$42))+1,""),ROW()-626)),"")</f>
        <v/>
      </c>
      <c r="D644" s="130" t="str">
        <f t="shared" si="33"/>
        <v/>
      </c>
      <c r="E644" s="107" t="str">
        <f t="shared" si="32"/>
        <v/>
      </c>
      <c r="F644" s="19"/>
      <c r="G644" s="19"/>
      <c r="H644" s="19"/>
      <c r="I644" s="19"/>
      <c r="J644" s="19"/>
      <c r="K644" s="233"/>
      <c r="L644" s="19"/>
      <c r="M644" s="19"/>
      <c r="N644" s="19"/>
      <c r="O644" s="19"/>
      <c r="P644" s="19"/>
      <c r="Q644" s="19"/>
      <c r="R644" s="19"/>
      <c r="S644" s="19"/>
      <c r="T644" s="19"/>
      <c r="U644" s="19"/>
      <c r="V644" s="19"/>
      <c r="W644" s="19"/>
      <c r="X644" s="19"/>
      <c r="Y644" s="19"/>
    </row>
    <row r="645" spans="1:25" ht="14.1" customHeight="1">
      <c r="A645" s="219" t="str" cm="1">
        <f t="array" ref="A645">IFERROR(INDEX('03.Muestra'!$B$8:$B$42,SMALL(IF("Documento no web"='03.Muestra'!$D$8:$D$42,ROW('03.Muestra'!$B$8:$B$42)-MIN(ROW('03.Muestra'!$D$8:$D$42))+1,""),ROW()-626)),"")</f>
        <v/>
      </c>
      <c r="B645" s="114" t="str" cm="1">
        <f t="array" ref="B645">IFERROR(INDEX('03.Muestra'!$C$8:$C$42,SMALL(IF("Documento no web"='03.Muestra'!$D$8:$D$42,ROW('03.Muestra'!$C$8:$C$42)-MIN(ROW('03.Muestra'!$D$8:$D$42))+1,""),ROW()-626)),"")</f>
        <v/>
      </c>
      <c r="C645" s="114" t="str" cm="1">
        <f t="array" ref="C645">IFERROR(INDEX('03.Muestra'!$F$8:$F$42,SMALL(IF("Documento no web"='03.Muestra'!$D$8:$D$42,ROW('03.Muestra'!$F$8:$F$42)-MIN(ROW('03.Muestra'!$D$8:$D$42))+1,""),ROW()-626)),"")</f>
        <v/>
      </c>
      <c r="D645" s="130" t="str">
        <f t="shared" si="33"/>
        <v/>
      </c>
      <c r="E645" s="107" t="str">
        <f t="shared" si="32"/>
        <v/>
      </c>
      <c r="F645" s="19"/>
      <c r="G645" s="19"/>
      <c r="H645" s="19"/>
      <c r="I645" s="19"/>
      <c r="J645" s="19"/>
      <c r="K645" s="233"/>
      <c r="L645" s="19"/>
      <c r="M645" s="19"/>
      <c r="N645" s="19"/>
      <c r="O645" s="19"/>
      <c r="P645" s="19"/>
      <c r="Q645" s="19"/>
      <c r="R645" s="19"/>
      <c r="S645" s="19"/>
      <c r="T645" s="19"/>
      <c r="U645" s="19"/>
      <c r="V645" s="19"/>
      <c r="W645" s="19"/>
      <c r="X645" s="19"/>
      <c r="Y645" s="19"/>
    </row>
    <row r="646" spans="1:25" ht="14.1" customHeight="1">
      <c r="A646" s="219" t="str" cm="1">
        <f t="array" ref="A646">IFERROR(INDEX('03.Muestra'!$B$8:$B$42,SMALL(IF("Documento no web"='03.Muestra'!$D$8:$D$42,ROW('03.Muestra'!$B$8:$B$42)-MIN(ROW('03.Muestra'!$D$8:$D$42))+1,""),ROW()-626)),"")</f>
        <v/>
      </c>
      <c r="B646" s="114" t="str" cm="1">
        <f t="array" ref="B646">IFERROR(INDEX('03.Muestra'!$C$8:$C$42,SMALL(IF("Documento no web"='03.Muestra'!$D$8:$D$42,ROW('03.Muestra'!$C$8:$C$42)-MIN(ROW('03.Muestra'!$D$8:$D$42))+1,""),ROW()-626)),"")</f>
        <v/>
      </c>
      <c r="C646" s="114" t="str" cm="1">
        <f t="array" ref="C646">IFERROR(INDEX('03.Muestra'!$F$8:$F$42,SMALL(IF("Documento no web"='03.Muestra'!$D$8:$D$42,ROW('03.Muestra'!$F$8:$F$42)-MIN(ROW('03.Muestra'!$D$8:$D$42))+1,""),ROW()-626)),"")</f>
        <v/>
      </c>
      <c r="D646" s="130" t="str">
        <f t="shared" si="33"/>
        <v/>
      </c>
      <c r="E646" s="107" t="str">
        <f t="shared" si="32"/>
        <v/>
      </c>
      <c r="F646" s="19"/>
      <c r="G646" s="19"/>
      <c r="H646" s="19"/>
      <c r="I646" s="19"/>
      <c r="J646" s="19"/>
      <c r="K646" s="233"/>
      <c r="L646" s="19"/>
      <c r="M646" s="19"/>
      <c r="N646" s="19"/>
      <c r="O646" s="19"/>
      <c r="P646" s="19"/>
      <c r="Q646" s="19"/>
      <c r="R646" s="19"/>
      <c r="S646" s="19"/>
      <c r="T646" s="19"/>
      <c r="U646" s="19"/>
      <c r="V646" s="19"/>
      <c r="W646" s="19"/>
      <c r="X646" s="19"/>
      <c r="Y646" s="19"/>
    </row>
    <row r="647" spans="1:25" ht="14.1" customHeight="1">
      <c r="A647" s="219" t="str" cm="1">
        <f t="array" ref="A647">IFERROR(INDEX('03.Muestra'!$B$8:$B$42,SMALL(IF("Documento no web"='03.Muestra'!$D$8:$D$42,ROW('03.Muestra'!$B$8:$B$42)-MIN(ROW('03.Muestra'!$D$8:$D$42))+1,""),ROW()-626)),"")</f>
        <v/>
      </c>
      <c r="B647" s="114" t="str" cm="1">
        <f t="array" ref="B647">IFERROR(INDEX('03.Muestra'!$C$8:$C$42,SMALL(IF("Documento no web"='03.Muestra'!$D$8:$D$42,ROW('03.Muestra'!$C$8:$C$42)-MIN(ROW('03.Muestra'!$D$8:$D$42))+1,""),ROW()-626)),"")</f>
        <v/>
      </c>
      <c r="C647" s="114" t="str" cm="1">
        <f t="array" ref="C647">IFERROR(INDEX('03.Muestra'!$F$8:$F$42,SMALL(IF("Documento no web"='03.Muestra'!$D$8:$D$42,ROW('03.Muestra'!$F$8:$F$42)-MIN(ROW('03.Muestra'!$D$8:$D$42))+1,""),ROW()-626)),"")</f>
        <v/>
      </c>
      <c r="D647" s="130" t="str">
        <f t="shared" si="33"/>
        <v/>
      </c>
      <c r="E647" s="107" t="str">
        <f t="shared" si="32"/>
        <v/>
      </c>
      <c r="F647" s="19"/>
      <c r="G647" s="19"/>
      <c r="H647" s="19"/>
      <c r="I647" s="19"/>
      <c r="J647" s="19"/>
      <c r="K647" s="233"/>
      <c r="L647" s="19"/>
      <c r="M647" s="19"/>
      <c r="N647" s="19"/>
      <c r="O647" s="19"/>
      <c r="P647" s="19"/>
      <c r="Q647" s="19"/>
      <c r="R647" s="19"/>
      <c r="S647" s="19"/>
      <c r="T647" s="19"/>
      <c r="U647" s="19"/>
      <c r="V647" s="19"/>
      <c r="W647" s="19"/>
      <c r="X647" s="19"/>
      <c r="Y647" s="19"/>
    </row>
    <row r="648" spans="1:25" ht="14.1" customHeight="1">
      <c r="A648" s="219" t="str" cm="1">
        <f t="array" ref="A648">IFERROR(INDEX('03.Muestra'!$B$8:$B$42,SMALL(IF("Documento no web"='03.Muestra'!$D$8:$D$42,ROW('03.Muestra'!$B$8:$B$42)-MIN(ROW('03.Muestra'!$D$8:$D$42))+1,""),ROW()-626)),"")</f>
        <v/>
      </c>
      <c r="B648" s="114" t="str" cm="1">
        <f t="array" ref="B648">IFERROR(INDEX('03.Muestra'!$C$8:$C$42,SMALL(IF("Documento no web"='03.Muestra'!$D$8:$D$42,ROW('03.Muestra'!$C$8:$C$42)-MIN(ROW('03.Muestra'!$D$8:$D$42))+1,""),ROW()-626)),"")</f>
        <v/>
      </c>
      <c r="C648" s="114" t="str" cm="1">
        <f t="array" ref="C648">IFERROR(INDEX('03.Muestra'!$F$8:$F$42,SMALL(IF("Documento no web"='03.Muestra'!$D$8:$D$42,ROW('03.Muestra'!$F$8:$F$42)-MIN(ROW('03.Muestra'!$D$8:$D$42))+1,""),ROW()-626)),"")</f>
        <v/>
      </c>
      <c r="D648" s="130" t="str">
        <f t="shared" si="33"/>
        <v/>
      </c>
      <c r="E648" s="107" t="str">
        <f t="shared" si="32"/>
        <v/>
      </c>
      <c r="F648" s="19"/>
      <c r="G648" s="19"/>
      <c r="H648" s="19"/>
      <c r="I648" s="19"/>
      <c r="J648" s="19"/>
      <c r="K648" s="233"/>
      <c r="L648" s="19"/>
      <c r="M648" s="19"/>
      <c r="N648" s="19"/>
      <c r="O648" s="19"/>
      <c r="P648" s="19"/>
      <c r="Q648" s="19"/>
      <c r="R648" s="19"/>
      <c r="S648" s="19"/>
      <c r="T648" s="19"/>
      <c r="U648" s="19"/>
      <c r="V648" s="19"/>
      <c r="W648" s="19"/>
      <c r="X648" s="19"/>
      <c r="Y648" s="19"/>
    </row>
    <row r="649" spans="1:25" ht="14.1" customHeight="1">
      <c r="A649" s="219" t="str" cm="1">
        <f t="array" ref="A649">IFERROR(INDEX('03.Muestra'!$B$8:$B$42,SMALL(IF("Documento no web"='03.Muestra'!$D$8:$D$42,ROW('03.Muestra'!$B$8:$B$42)-MIN(ROW('03.Muestra'!$D$8:$D$42))+1,""),ROW()-626)),"")</f>
        <v/>
      </c>
      <c r="B649" s="114" t="str" cm="1">
        <f t="array" ref="B649">IFERROR(INDEX('03.Muestra'!$C$8:$C$42,SMALL(IF("Documento no web"='03.Muestra'!$D$8:$D$42,ROW('03.Muestra'!$C$8:$C$42)-MIN(ROW('03.Muestra'!$D$8:$D$42))+1,""),ROW()-626)),"")</f>
        <v/>
      </c>
      <c r="C649" s="114" t="str" cm="1">
        <f t="array" ref="C649">IFERROR(INDEX('03.Muestra'!$F$8:$F$42,SMALL(IF("Documento no web"='03.Muestra'!$D$8:$D$42,ROW('03.Muestra'!$F$8:$F$42)-MIN(ROW('03.Muestra'!$D$8:$D$42))+1,""),ROW()-626)),"")</f>
        <v/>
      </c>
      <c r="D649" s="130" t="str">
        <f t="shared" si="33"/>
        <v/>
      </c>
      <c r="E649" s="107" t="str">
        <f t="shared" si="32"/>
        <v/>
      </c>
      <c r="F649" s="19"/>
      <c r="G649" s="19"/>
      <c r="H649" s="19"/>
      <c r="I649" s="19"/>
      <c r="J649" s="19"/>
      <c r="K649" s="233"/>
      <c r="L649" s="19"/>
      <c r="M649" s="19"/>
      <c r="N649" s="19"/>
      <c r="O649" s="19"/>
      <c r="P649" s="19"/>
      <c r="Q649" s="19"/>
      <c r="R649" s="19"/>
      <c r="S649" s="19"/>
      <c r="T649" s="19"/>
      <c r="U649" s="19"/>
      <c r="V649" s="19"/>
      <c r="W649" s="19"/>
      <c r="X649" s="19"/>
      <c r="Y649" s="19"/>
    </row>
    <row r="650" spans="1:25" ht="13.15" customHeight="1">
      <c r="A650" s="219" t="str" cm="1">
        <f t="array" ref="A650">IFERROR(INDEX('03.Muestra'!$B$8:$B$42,SMALL(IF("Documento no web"='03.Muestra'!$D$8:$D$42,ROW('03.Muestra'!$B$8:$B$42)-MIN(ROW('03.Muestra'!$D$8:$D$42))+1,""),ROW()-626)),"")</f>
        <v/>
      </c>
      <c r="B650" s="114" t="str" cm="1">
        <f t="array" ref="B650">IFERROR(INDEX('03.Muestra'!$C$8:$C$42,SMALL(IF("Documento no web"='03.Muestra'!$D$8:$D$42,ROW('03.Muestra'!$C$8:$C$42)-MIN(ROW('03.Muestra'!$D$8:$D$42))+1,""),ROW()-626)),"")</f>
        <v/>
      </c>
      <c r="C650" s="114" t="str" cm="1">
        <f t="array" ref="C650">IFERROR(INDEX('03.Muestra'!$F$8:$F$42,SMALL(IF("Documento no web"='03.Muestra'!$D$8:$D$42,ROW('03.Muestra'!$F$8:$F$42)-MIN(ROW('03.Muestra'!$D$8:$D$42))+1,""),ROW()-626)),"")</f>
        <v/>
      </c>
      <c r="D650" s="130" t="str">
        <f t="shared" si="33"/>
        <v/>
      </c>
      <c r="E650" s="107" t="str">
        <f t="shared" si="32"/>
        <v/>
      </c>
      <c r="F650" s="19"/>
      <c r="G650" s="19"/>
      <c r="H650" s="19"/>
      <c r="I650" s="19"/>
      <c r="J650" s="19"/>
      <c r="K650" s="233"/>
      <c r="L650" s="19"/>
      <c r="M650" s="19"/>
      <c r="N650" s="19"/>
      <c r="O650" s="19"/>
      <c r="P650" s="19"/>
      <c r="Q650" s="19"/>
      <c r="R650" s="19"/>
      <c r="S650" s="19"/>
      <c r="T650" s="19"/>
      <c r="U650" s="19"/>
      <c r="V650" s="19"/>
      <c r="W650" s="19"/>
      <c r="X650" s="19"/>
      <c r="Y650" s="19"/>
    </row>
    <row r="651" spans="1:25" ht="13.15" customHeight="1">
      <c r="A651" s="219" t="str" cm="1">
        <f t="array" ref="A651">IFERROR(INDEX('03.Muestra'!$B$8:$B$42,SMALL(IF("Documento no web"='03.Muestra'!$D$8:$D$42,ROW('03.Muestra'!$B$8:$B$42)-MIN(ROW('03.Muestra'!$D$8:$D$42))+1,""),ROW()-626)),"")</f>
        <v/>
      </c>
      <c r="B651" s="114" t="str" cm="1">
        <f t="array" ref="B651">IFERROR(INDEX('03.Muestra'!$C$8:$C$42,SMALL(IF("Documento no web"='03.Muestra'!$D$8:$D$42,ROW('03.Muestra'!$C$8:$C$42)-MIN(ROW('03.Muestra'!$D$8:$D$42))+1,""),ROW()-626)),"")</f>
        <v/>
      </c>
      <c r="C651" s="114" t="str" cm="1">
        <f t="array" ref="C651">IFERROR(INDEX('03.Muestra'!$F$8:$F$42,SMALL(IF("Documento no web"='03.Muestra'!$D$8:$D$42,ROW('03.Muestra'!$F$8:$F$42)-MIN(ROW('03.Muestra'!$D$8:$D$42))+1,""),ROW()-626)),"")</f>
        <v/>
      </c>
      <c r="D651" s="130" t="str">
        <f t="shared" si="33"/>
        <v/>
      </c>
      <c r="E651" s="107" t="str">
        <f t="shared" si="32"/>
        <v/>
      </c>
      <c r="F651" s="19"/>
      <c r="G651" s="19"/>
      <c r="H651" s="19"/>
      <c r="I651" s="19"/>
      <c r="J651" s="19"/>
      <c r="K651" s="233"/>
      <c r="L651" s="19"/>
      <c r="M651" s="19"/>
      <c r="N651" s="19"/>
      <c r="O651" s="19"/>
      <c r="P651" s="19"/>
      <c r="Q651" s="19"/>
      <c r="R651" s="19"/>
      <c r="S651" s="19"/>
      <c r="T651" s="19"/>
      <c r="U651" s="19"/>
      <c r="V651" s="19"/>
      <c r="W651" s="19"/>
      <c r="X651" s="19"/>
      <c r="Y651" s="19"/>
    </row>
    <row r="652" spans="1:25" ht="13.15" customHeight="1">
      <c r="A652" s="219" t="str" cm="1">
        <f t="array" ref="A652">IFERROR(INDEX('03.Muestra'!$B$8:$B$42,SMALL(IF("Documento no web"='03.Muestra'!$D$8:$D$42,ROW('03.Muestra'!$B$8:$B$42)-MIN(ROW('03.Muestra'!$D$8:$D$42))+1,""),ROW()-626)),"")</f>
        <v/>
      </c>
      <c r="B652" s="114" t="str" cm="1">
        <f t="array" ref="B652">IFERROR(INDEX('03.Muestra'!$C$8:$C$42,SMALL(IF("Documento no web"='03.Muestra'!$D$8:$D$42,ROW('03.Muestra'!$C$8:$C$42)-MIN(ROW('03.Muestra'!$D$8:$D$42))+1,""),ROW()-626)),"")</f>
        <v/>
      </c>
      <c r="C652" s="114" t="str" cm="1">
        <f t="array" ref="C652">IFERROR(INDEX('03.Muestra'!$F$8:$F$42,SMALL(IF("Documento no web"='03.Muestra'!$D$8:$D$42,ROW('03.Muestra'!$F$8:$F$42)-MIN(ROW('03.Muestra'!$D$8:$D$42))+1,""),ROW()-626)),"")</f>
        <v/>
      </c>
      <c r="D652" s="130" t="str">
        <f t="shared" si="33"/>
        <v/>
      </c>
      <c r="E652" s="107" t="str">
        <f t="shared" si="32"/>
        <v/>
      </c>
      <c r="F652" s="19"/>
      <c r="G652" s="19"/>
      <c r="H652" s="19"/>
      <c r="I652" s="19"/>
      <c r="J652" s="19"/>
      <c r="K652" s="233"/>
      <c r="L652" s="19"/>
      <c r="M652" s="19"/>
      <c r="N652" s="19"/>
      <c r="O652" s="19"/>
      <c r="P652" s="19"/>
      <c r="Q652" s="19"/>
      <c r="R652" s="19"/>
      <c r="S652" s="19"/>
      <c r="T652" s="19"/>
      <c r="U652" s="19"/>
      <c r="V652" s="19"/>
      <c r="W652" s="19"/>
      <c r="X652" s="19"/>
      <c r="Y652" s="19"/>
    </row>
    <row r="653" spans="1:25" ht="13.15" customHeight="1">
      <c r="A653" s="219" t="str" cm="1">
        <f t="array" ref="A653">IFERROR(INDEX('03.Muestra'!$B$8:$B$42,SMALL(IF("Documento no web"='03.Muestra'!$D$8:$D$42,ROW('03.Muestra'!$B$8:$B$42)-MIN(ROW('03.Muestra'!$D$8:$D$42))+1,""),ROW()-626)),"")</f>
        <v/>
      </c>
      <c r="B653" s="114" t="str" cm="1">
        <f t="array" ref="B653">IFERROR(INDEX('03.Muestra'!$C$8:$C$42,SMALL(IF("Documento no web"='03.Muestra'!$D$8:$D$42,ROW('03.Muestra'!$C$8:$C$42)-MIN(ROW('03.Muestra'!$D$8:$D$42))+1,""),ROW()-626)),"")</f>
        <v/>
      </c>
      <c r="C653" s="114" t="str" cm="1">
        <f t="array" ref="C653">IFERROR(INDEX('03.Muestra'!$F$8:$F$42,SMALL(IF("Documento no web"='03.Muestra'!$D$8:$D$42,ROW('03.Muestra'!$F$8:$F$42)-MIN(ROW('03.Muestra'!$D$8:$D$42))+1,""),ROW()-626)),"")</f>
        <v/>
      </c>
      <c r="D653" s="130" t="str">
        <f t="shared" si="33"/>
        <v/>
      </c>
      <c r="E653" s="107" t="str">
        <f t="shared" si="32"/>
        <v/>
      </c>
      <c r="F653" s="19"/>
      <c r="G653" s="19"/>
      <c r="H653" s="19"/>
      <c r="I653" s="19"/>
      <c r="J653" s="19"/>
      <c r="K653" s="233"/>
      <c r="L653" s="19"/>
      <c r="M653" s="19"/>
      <c r="N653" s="19"/>
      <c r="O653" s="19"/>
      <c r="P653" s="19"/>
      <c r="Q653" s="19"/>
      <c r="R653" s="19"/>
      <c r="S653" s="19"/>
      <c r="T653" s="19"/>
      <c r="U653" s="19"/>
      <c r="V653" s="19"/>
      <c r="W653" s="19"/>
      <c r="X653" s="19"/>
      <c r="Y653" s="19"/>
    </row>
    <row r="654" spans="1:25" ht="13.15" customHeight="1">
      <c r="A654" s="219" t="str" cm="1">
        <f t="array" ref="A654">IFERROR(INDEX('03.Muestra'!$B$8:$B$42,SMALL(IF("Documento no web"='03.Muestra'!$D$8:$D$42,ROW('03.Muestra'!$B$8:$B$42)-MIN(ROW('03.Muestra'!$D$8:$D$42))+1,""),ROW()-626)),"")</f>
        <v/>
      </c>
      <c r="B654" s="114" t="str" cm="1">
        <f t="array" ref="B654">IFERROR(INDEX('03.Muestra'!$C$8:$C$42,SMALL(IF("Documento no web"='03.Muestra'!$D$8:$D$42,ROW('03.Muestra'!$C$8:$C$42)-MIN(ROW('03.Muestra'!$D$8:$D$42))+1,""),ROW()-626)),"")</f>
        <v/>
      </c>
      <c r="C654" s="114" t="str" cm="1">
        <f t="array" ref="C654">IFERROR(INDEX('03.Muestra'!$F$8:$F$42,SMALL(IF("Documento no web"='03.Muestra'!$D$8:$D$42,ROW('03.Muestra'!$F$8:$F$42)-MIN(ROW('03.Muestra'!$D$8:$D$42))+1,""),ROW()-626)),"")</f>
        <v/>
      </c>
      <c r="D654" s="130" t="str">
        <f t="shared" si="33"/>
        <v/>
      </c>
      <c r="E654" s="107" t="str">
        <f t="shared" si="32"/>
        <v/>
      </c>
      <c r="G654" s="19"/>
      <c r="H654" s="19"/>
      <c r="I654" s="19"/>
      <c r="J654" s="19"/>
      <c r="K654" s="233"/>
      <c r="L654" s="19"/>
      <c r="M654" s="19"/>
      <c r="N654" s="19"/>
      <c r="O654" s="19"/>
      <c r="P654" s="19"/>
      <c r="Q654" s="19"/>
      <c r="R654" s="19"/>
      <c r="S654" s="19"/>
      <c r="T654" s="19"/>
      <c r="U654" s="19"/>
      <c r="V654" s="19"/>
      <c r="W654" s="19"/>
      <c r="X654" s="19"/>
      <c r="Y654" s="19"/>
    </row>
    <row r="655" spans="1:25" ht="13.15" customHeight="1">
      <c r="A655" s="219" t="str" cm="1">
        <f t="array" ref="A655">IFERROR(INDEX('03.Muestra'!$B$8:$B$42,SMALL(IF("Documento no web"='03.Muestra'!$D$8:$D$42,ROW('03.Muestra'!$B$8:$B$42)-MIN(ROW('03.Muestra'!$D$8:$D$42))+1,""),ROW()-626)),"")</f>
        <v/>
      </c>
      <c r="B655" s="114" t="str" cm="1">
        <f t="array" ref="B655">IFERROR(INDEX('03.Muestra'!$C$8:$C$42,SMALL(IF("Documento no web"='03.Muestra'!$D$8:$D$42,ROW('03.Muestra'!$C$8:$C$42)-MIN(ROW('03.Muestra'!$D$8:$D$42))+1,""),ROW()-626)),"")</f>
        <v/>
      </c>
      <c r="C655" s="114" t="str" cm="1">
        <f t="array" ref="C655">IFERROR(INDEX('03.Muestra'!$F$8:$F$42,SMALL(IF("Documento no web"='03.Muestra'!$D$8:$D$42,ROW('03.Muestra'!$F$8:$F$42)-MIN(ROW('03.Muestra'!$D$8:$D$42))+1,""),ROW()-626)),"")</f>
        <v/>
      </c>
      <c r="D655" s="130" t="str">
        <f t="shared" si="33"/>
        <v/>
      </c>
      <c r="E655" s="107" t="str">
        <f t="shared" si="32"/>
        <v/>
      </c>
      <c r="F655" s="124"/>
      <c r="G655" s="19"/>
      <c r="H655" s="19"/>
      <c r="I655" s="19"/>
      <c r="J655" s="19"/>
      <c r="K655" s="233"/>
      <c r="L655" s="19"/>
      <c r="M655" s="19"/>
      <c r="N655" s="19"/>
      <c r="O655" s="19"/>
      <c r="P655" s="19"/>
      <c r="Q655" s="19"/>
      <c r="R655" s="19"/>
      <c r="S655" s="19"/>
      <c r="T655" s="19"/>
      <c r="U655" s="19"/>
      <c r="V655" s="19"/>
      <c r="W655" s="19"/>
      <c r="X655" s="19"/>
      <c r="Y655" s="19"/>
    </row>
    <row r="656" spans="1:25" ht="13.15" customHeight="1">
      <c r="A656" s="219" t="str" cm="1">
        <f t="array" ref="A656">IFERROR(INDEX('03.Muestra'!$B$8:$B$42,SMALL(IF("Documento no web"='03.Muestra'!$D$8:$D$42,ROW('03.Muestra'!$B$8:$B$42)-MIN(ROW('03.Muestra'!$D$8:$D$42))+1,""),ROW()-626)),"")</f>
        <v/>
      </c>
      <c r="B656" s="114" t="str" cm="1">
        <f t="array" ref="B656">IFERROR(INDEX('03.Muestra'!$C$8:$C$42,SMALL(IF("Documento no web"='03.Muestra'!$D$8:$D$42,ROW('03.Muestra'!$C$8:$C$42)-MIN(ROW('03.Muestra'!$D$8:$D$42))+1,""),ROW()-626)),"")</f>
        <v/>
      </c>
      <c r="C656" s="114" t="str" cm="1">
        <f t="array" ref="C656">IFERROR(INDEX('03.Muestra'!$F$8:$F$42,SMALL(IF("Documento no web"='03.Muestra'!$D$8:$D$42,ROW('03.Muestra'!$F$8:$F$42)-MIN(ROW('03.Muestra'!$D$8:$D$42))+1,""),ROW()-626)),"")</f>
        <v/>
      </c>
      <c r="D656" s="130" t="str">
        <f t="shared" si="33"/>
        <v/>
      </c>
      <c r="E656" s="107" t="str">
        <f t="shared" si="32"/>
        <v/>
      </c>
      <c r="F656" s="124"/>
      <c r="G656" s="19"/>
      <c r="H656" s="19"/>
      <c r="I656" s="19"/>
      <c r="J656" s="19"/>
      <c r="K656" s="233"/>
      <c r="L656" s="19"/>
      <c r="M656" s="19"/>
      <c r="N656" s="19"/>
      <c r="O656" s="19"/>
      <c r="P656" s="19"/>
      <c r="Q656" s="19"/>
      <c r="R656" s="19"/>
      <c r="S656" s="19"/>
      <c r="T656" s="19"/>
      <c r="U656" s="19"/>
      <c r="V656" s="19"/>
      <c r="W656" s="19"/>
      <c r="X656" s="19"/>
      <c r="Y656" s="19"/>
    </row>
    <row r="657" spans="1:25" ht="13.15" customHeight="1">
      <c r="A657" s="219" t="str" cm="1">
        <f t="array" ref="A657">IFERROR(INDEX('03.Muestra'!$B$8:$B$42,SMALL(IF("Documento no web"='03.Muestra'!$D$8:$D$42,ROW('03.Muestra'!$B$8:$B$42)-MIN(ROW('03.Muestra'!$D$8:$D$42))+1,""),ROW()-626)),"")</f>
        <v/>
      </c>
      <c r="B657" s="114" t="str" cm="1">
        <f t="array" ref="B657">IFERROR(INDEX('03.Muestra'!$C$8:$C$42,SMALL(IF("Documento no web"='03.Muestra'!$D$8:$D$42,ROW('03.Muestra'!$C$8:$C$42)-MIN(ROW('03.Muestra'!$D$8:$D$42))+1,""),ROW()-626)),"")</f>
        <v/>
      </c>
      <c r="C657" s="114" t="str" cm="1">
        <f t="array" ref="C657">IFERROR(INDEX('03.Muestra'!$F$8:$F$42,SMALL(IF("Documento no web"='03.Muestra'!$D$8:$D$42,ROW('03.Muestra'!$F$8:$F$42)-MIN(ROW('03.Muestra'!$D$8:$D$42))+1,""),ROW()-626)),"")</f>
        <v/>
      </c>
      <c r="D657" s="130" t="str">
        <f t="shared" si="33"/>
        <v/>
      </c>
      <c r="E657" s="107" t="str">
        <f t="shared" si="32"/>
        <v/>
      </c>
      <c r="F657" s="124"/>
      <c r="G657" s="19"/>
      <c r="H657" s="19"/>
      <c r="I657" s="19"/>
      <c r="J657" s="19"/>
      <c r="K657" s="233"/>
      <c r="L657" s="19"/>
      <c r="M657" s="19"/>
      <c r="N657" s="19"/>
      <c r="O657" s="19"/>
      <c r="P657" s="19"/>
      <c r="Q657" s="19"/>
      <c r="R657" s="19"/>
      <c r="S657" s="19"/>
      <c r="T657" s="19"/>
      <c r="U657" s="19"/>
      <c r="V657" s="19"/>
      <c r="W657" s="19"/>
      <c r="X657" s="19"/>
      <c r="Y657" s="19"/>
    </row>
    <row r="658" spans="1:25" ht="13.15" customHeight="1">
      <c r="A658" s="219" t="str" cm="1">
        <f t="array" ref="A658">IFERROR(INDEX('03.Muestra'!$B$8:$B$42,SMALL(IF("Documento no web"='03.Muestra'!$D$8:$D$42,ROW('03.Muestra'!$B$8:$B$42)-MIN(ROW('03.Muestra'!$D$8:$D$42))+1,""),ROW()-626)),"")</f>
        <v/>
      </c>
      <c r="B658" s="114" t="str" cm="1">
        <f t="array" ref="B658">IFERROR(INDEX('03.Muestra'!$C$8:$C$42,SMALL(IF("Documento no web"='03.Muestra'!$D$8:$D$42,ROW('03.Muestra'!$C$8:$C$42)-MIN(ROW('03.Muestra'!$D$8:$D$42))+1,""),ROW()-626)),"")</f>
        <v/>
      </c>
      <c r="C658" s="114" t="str" cm="1">
        <f t="array" ref="C658">IFERROR(INDEX('03.Muestra'!$F$8:$F$42,SMALL(IF("Documento no web"='03.Muestra'!$D$8:$D$42,ROW('03.Muestra'!$F$8:$F$42)-MIN(ROW('03.Muestra'!$D$8:$D$42))+1,""),ROW()-626)),"")</f>
        <v/>
      </c>
      <c r="D658" s="130" t="str">
        <f t="shared" si="33"/>
        <v/>
      </c>
      <c r="E658" s="107" t="str">
        <f t="shared" si="32"/>
        <v/>
      </c>
      <c r="F658" s="124"/>
      <c r="G658" s="19"/>
      <c r="H658" s="19"/>
      <c r="I658" s="19"/>
      <c r="J658" s="19"/>
      <c r="K658" s="233"/>
      <c r="L658" s="19"/>
      <c r="M658" s="19"/>
      <c r="N658" s="19"/>
      <c r="O658" s="19"/>
      <c r="P658" s="19"/>
      <c r="Q658" s="19"/>
      <c r="R658" s="19"/>
      <c r="S658" s="19"/>
      <c r="T658" s="19"/>
      <c r="U658" s="19"/>
      <c r="V658" s="19"/>
      <c r="W658" s="19"/>
      <c r="X658" s="19"/>
      <c r="Y658" s="19"/>
    </row>
    <row r="659" spans="1:25" ht="13.15" customHeight="1">
      <c r="A659" s="219" t="str" cm="1">
        <f t="array" ref="A659">IFERROR(INDEX('03.Muestra'!$B$8:$B$42,SMALL(IF("Documento no web"='03.Muestra'!$D$8:$D$42,ROW('03.Muestra'!$B$8:$B$42)-MIN(ROW('03.Muestra'!$D$8:$D$42))+1,""),ROW()-626)),"")</f>
        <v/>
      </c>
      <c r="B659" s="114" t="str" cm="1">
        <f t="array" ref="B659">IFERROR(INDEX('03.Muestra'!$C$8:$C$42,SMALL(IF("Documento no web"='03.Muestra'!$D$8:$D$42,ROW('03.Muestra'!$C$8:$C$42)-MIN(ROW('03.Muestra'!$D$8:$D$42))+1,""),ROW()-626)),"")</f>
        <v/>
      </c>
      <c r="C659" s="114" t="str" cm="1">
        <f t="array" ref="C659">IFERROR(INDEX('03.Muestra'!$F$8:$F$42,SMALL(IF("Documento no web"='03.Muestra'!$D$8:$D$42,ROW('03.Muestra'!$F$8:$F$42)-MIN(ROW('03.Muestra'!$D$8:$D$42))+1,""),ROW()-626)),"")</f>
        <v/>
      </c>
      <c r="D659" s="130" t="str">
        <f t="shared" si="33"/>
        <v/>
      </c>
      <c r="E659" s="107" t="str">
        <f t="shared" si="32"/>
        <v/>
      </c>
      <c r="F659" s="124"/>
      <c r="G659" s="19"/>
      <c r="H659" s="19"/>
      <c r="I659" s="19"/>
      <c r="J659" s="19"/>
      <c r="K659" s="233"/>
      <c r="L659" s="19"/>
      <c r="M659" s="19"/>
      <c r="N659" s="19"/>
      <c r="O659" s="19"/>
      <c r="P659" s="19"/>
      <c r="Q659" s="19"/>
      <c r="R659" s="19"/>
      <c r="S659" s="19"/>
      <c r="T659" s="19"/>
      <c r="U659" s="19"/>
      <c r="V659" s="19"/>
      <c r="W659" s="19"/>
      <c r="X659" s="19"/>
      <c r="Y659" s="19"/>
    </row>
    <row r="660" spans="1:25" ht="13.15" customHeight="1">
      <c r="A660" s="219" t="str" cm="1">
        <f t="array" ref="A660">IFERROR(INDEX('03.Muestra'!$B$8:$B$42,SMALL(IF("Documento no web"='03.Muestra'!$D$8:$D$42,ROW('03.Muestra'!$B$8:$B$42)-MIN(ROW('03.Muestra'!$D$8:$D$42))+1,""),ROW()-626)),"")</f>
        <v/>
      </c>
      <c r="B660" s="114" t="str" cm="1">
        <f t="array" ref="B660">IFERROR(INDEX('03.Muestra'!$C$8:$C$42,SMALL(IF("Documento no web"='03.Muestra'!$D$8:$D$42,ROW('03.Muestra'!$C$8:$C$42)-MIN(ROW('03.Muestra'!$D$8:$D$42))+1,""),ROW()-626)),"")</f>
        <v/>
      </c>
      <c r="C660" s="114" t="str" cm="1">
        <f t="array" ref="C660">IFERROR(INDEX('03.Muestra'!$F$8:$F$42,SMALL(IF("Documento no web"='03.Muestra'!$D$8:$D$42,ROW('03.Muestra'!$F$8:$F$42)-MIN(ROW('03.Muestra'!$D$8:$D$42))+1,""),ROW()-626)),"")</f>
        <v/>
      </c>
      <c r="D660" s="130" t="str">
        <f t="shared" si="33"/>
        <v/>
      </c>
      <c r="E660" s="107" t="str">
        <f t="shared" si="32"/>
        <v/>
      </c>
      <c r="F660" s="124"/>
      <c r="G660" s="19"/>
      <c r="H660" s="19"/>
      <c r="I660" s="19"/>
      <c r="J660" s="19"/>
      <c r="K660" s="233"/>
      <c r="L660" s="19"/>
      <c r="M660" s="19"/>
      <c r="N660" s="19"/>
      <c r="O660" s="19"/>
      <c r="P660" s="19"/>
      <c r="Q660" s="19"/>
      <c r="R660" s="19"/>
      <c r="S660" s="19"/>
      <c r="T660" s="19"/>
      <c r="U660" s="19"/>
      <c r="V660" s="19"/>
      <c r="W660" s="19"/>
      <c r="X660" s="19"/>
      <c r="Y660" s="19"/>
    </row>
    <row r="661" spans="1:25" ht="13.15" customHeight="1">
      <c r="A661" s="219" t="str" cm="1">
        <f t="array" ref="A661">IFERROR(INDEX('03.Muestra'!$B$8:$B$42,SMALL(IF("Documento no web"='03.Muestra'!$D$8:$D$42,ROW('03.Muestra'!$B$8:$B$42)-MIN(ROW('03.Muestra'!$D$8:$D$42))+1,""),ROW()-626)),"")</f>
        <v/>
      </c>
      <c r="B661" s="114" t="str" cm="1">
        <f t="array" ref="B661">IFERROR(INDEX('03.Muestra'!$C$8:$C$42,SMALL(IF("Documento no web"='03.Muestra'!$D$8:$D$42,ROW('03.Muestra'!$C$8:$C$42)-MIN(ROW('03.Muestra'!$D$8:$D$42))+1,""),ROW()-626)),"")</f>
        <v/>
      </c>
      <c r="C661" s="114" t="str" cm="1">
        <f t="array" ref="C661">IFERROR(INDEX('03.Muestra'!$F$8:$F$42,SMALL(IF("Documento no web"='03.Muestra'!$D$8:$D$42,ROW('03.Muestra'!$F$8:$F$42)-MIN(ROW('03.Muestra'!$D$8:$D$42))+1,""),ROW()-626)),"")</f>
        <v/>
      </c>
      <c r="D661" s="130" t="str">
        <f t="shared" si="33"/>
        <v/>
      </c>
      <c r="E661" s="107" t="str">
        <f t="shared" si="32"/>
        <v/>
      </c>
      <c r="F661" s="19"/>
      <c r="G661" s="19"/>
      <c r="H661" s="19"/>
      <c r="I661" s="19"/>
      <c r="J661" s="19"/>
      <c r="K661" s="233"/>
      <c r="L661" s="19"/>
      <c r="M661" s="19"/>
      <c r="N661" s="19"/>
      <c r="O661" s="19"/>
      <c r="P661" s="19"/>
      <c r="Q661" s="19"/>
      <c r="R661" s="19"/>
      <c r="S661" s="19"/>
      <c r="T661" s="19"/>
      <c r="U661" s="19"/>
      <c r="V661" s="19"/>
      <c r="W661" s="19"/>
      <c r="X661" s="19"/>
      <c r="Y661" s="19"/>
    </row>
    <row r="662" spans="1:25" ht="12" customHeight="1">
      <c r="B662" s="19"/>
      <c r="C662" s="19"/>
      <c r="D662" s="107"/>
      <c r="E662" s="107"/>
      <c r="F662" s="19"/>
      <c r="G662" s="19"/>
      <c r="H662" s="19"/>
      <c r="I662" s="19"/>
      <c r="J662" s="19"/>
      <c r="K662" s="233"/>
      <c r="L662" s="19"/>
      <c r="M662" s="19"/>
      <c r="N662" s="19"/>
      <c r="O662" s="19"/>
      <c r="P662" s="19"/>
      <c r="Q662" s="19"/>
      <c r="R662" s="19"/>
      <c r="S662" s="19"/>
      <c r="T662" s="19"/>
      <c r="U662" s="19"/>
      <c r="V662" s="19"/>
      <c r="W662" s="19"/>
      <c r="X662" s="19"/>
      <c r="Y662" s="19"/>
    </row>
    <row r="663" spans="1:25" ht="12" customHeight="1">
      <c r="B663" s="19"/>
      <c r="C663" s="19"/>
      <c r="D663" s="107"/>
      <c r="E663" s="112"/>
      <c r="F663" s="19"/>
      <c r="G663" s="19"/>
      <c r="H663" s="19"/>
      <c r="I663" s="19"/>
      <c r="J663" s="19"/>
      <c r="K663" s="233"/>
      <c r="L663" s="19"/>
      <c r="M663" s="19"/>
      <c r="N663" s="19"/>
      <c r="O663" s="19"/>
      <c r="P663" s="19"/>
      <c r="Q663" s="19"/>
      <c r="R663" s="19"/>
      <c r="S663" s="19"/>
      <c r="T663" s="19"/>
      <c r="U663" s="19"/>
      <c r="V663" s="19"/>
      <c r="W663" s="19"/>
      <c r="X663" s="19"/>
      <c r="Y663" s="19"/>
    </row>
    <row r="664" spans="1:25" ht="32.65" customHeight="1">
      <c r="A664" s="218" t="s">
        <v>268</v>
      </c>
      <c r="B664" s="24" t="s">
        <v>90</v>
      </c>
      <c r="C664" s="25" t="s">
        <v>439</v>
      </c>
      <c r="D664" s="26" t="s">
        <v>32</v>
      </c>
      <c r="E664" s="123"/>
      <c r="K664" s="233"/>
      <c r="L664" s="19"/>
      <c r="M664" s="19"/>
      <c r="N664" s="19"/>
      <c r="O664" s="19"/>
      <c r="P664" s="19"/>
      <c r="Q664" s="19"/>
      <c r="R664" s="19"/>
      <c r="S664" s="19"/>
      <c r="T664" s="19"/>
      <c r="U664" s="19"/>
      <c r="V664" s="19"/>
      <c r="W664" s="19"/>
      <c r="X664" s="19"/>
      <c r="Y664" s="19"/>
    </row>
    <row r="665" spans="1:25" ht="14.1" customHeight="1">
      <c r="A665" s="219" t="n" cm="1">
        <f t="array" ref="A665">IFERROR(INDEX('03.Muestra'!$B$8:$B$42,SMALL(IF("Documento no web"='03.Muestra'!$D$8:$D$42,ROW('03.Muestra'!$B$8:$B$42)-MIN(ROW('03.Muestra'!$D$8:$D$42))+1,""),ROW()-664)),"")</f>
        <v>1.0</v>
      </c>
      <c r="B665" s="114" t="str" cm="1">
        <f t="array" ref="B665">IFERROR(INDEX('03.Muestra'!$C$8:$C$42,SMALL(IF("Documento no web"='03.Muestra'!$D$8:$D$42,ROW('03.Muestra'!$C$8:$C$42)-MIN(ROW('03.Muestra'!$D$8:$D$42))+1,""),ROW()-664)),"")</f>
        <v>Home - PortCastelló</v>
      </c>
      <c r="C665" s="114" t="str" cm="1">
        <f t="array" ref="C665">IFERROR(INDEX('03.Muestra'!$F$8:$F$42,SMALL(IF("Documento no web"='03.Muestra'!$D$8:$D$42,ROW('03.Muestra'!$F$8:$F$42)-MIN(ROW('03.Muestra'!$D$8:$D$42))+1,""),ROW()-664)),"")</f>
        <v>https://www.portcastello.com/</v>
      </c>
      <c r="D665" s="130" t="s">
        <v>33</v>
      </c>
      <c r="E665" s="107" t="str">
        <f t="shared" ref="E665:E699" si="34">IF(D665&lt;&gt;"",IF(AND(B665&lt;&gt;"",C665&lt;&gt;""),"","ERR"),"")</f>
        <v/>
      </c>
      <c r="F665" s="115" t="s">
        <v>33</v>
      </c>
      <c r="G665" s="116" t="s">
        <v>37</v>
      </c>
      <c r="H665" s="117" t="s">
        <v>35</v>
      </c>
      <c r="I665" s="118" t="s">
        <v>28</v>
      </c>
      <c r="J665" s="119" t="s">
        <v>26</v>
      </c>
      <c r="K665" s="226" t="s">
        <v>474</v>
      </c>
      <c r="L665" s="19"/>
      <c r="M665" s="19"/>
      <c r="N665" s="19"/>
      <c r="O665" s="19"/>
      <c r="P665" s="19"/>
      <c r="Q665" s="19"/>
      <c r="R665" s="19"/>
      <c r="S665" s="19"/>
      <c r="T665" s="19"/>
      <c r="U665" s="19"/>
      <c r="V665" s="19"/>
      <c r="W665" s="19"/>
      <c r="X665" s="19"/>
      <c r="Y665" s="19"/>
    </row>
    <row r="666" spans="1:25" ht="14.1" customHeight="1">
      <c r="A666" s="219" t="n" cm="1">
        <f t="array" ref="A666">IFERROR(INDEX('03.Muestra'!$B$8:$B$42,SMALL(IF("Documento no web"='03.Muestra'!$D$8:$D$42,ROW('03.Muestra'!$B$8:$B$42)-MIN(ROW('03.Muestra'!$D$8:$D$42))+1,""),ROW()-664)),"")</f>
        <v>1.0</v>
      </c>
      <c r="B666" s="114" t="str" cm="1">
        <f t="array" ref="B666">IFERROR(INDEX('03.Muestra'!$C$8:$C$42,SMALL(IF("Documento no web"='03.Muestra'!$D$8:$D$42,ROW('03.Muestra'!$C$8:$C$42)-MIN(ROW('03.Muestra'!$D$8:$D$42))+1,""),ROW()-664)),"")</f>
        <v>Home - PortCastelló</v>
      </c>
      <c r="C666" s="114" t="str" cm="1">
        <f t="array" ref="C666">IFERROR(INDEX('03.Muestra'!$F$8:$F$42,SMALL(IF("Documento no web"='03.Muestra'!$D$8:$D$42,ROW('03.Muestra'!$F$8:$F$42)-MIN(ROW('03.Muestra'!$D$8:$D$42))+1,""),ROW()-664)),"")</f>
        <v>https://www.portcastello.com/</v>
      </c>
      <c r="D666" s="130" t="s">
        <v>33</v>
      </c>
      <c r="E666" s="107" t="str">
        <f t="shared" si="34"/>
        <v/>
      </c>
      <c r="F666" s="120" t="n">
        <f ca="1">COUNTIF($D665:INDIRECT("$D" &amp;  SUM(ROW()-1,'03.Muestra'!$D$45)-1),F665)</f>
        <v>2.0</v>
      </c>
      <c r="G666" s="120" t="n">
        <f ca="1">COUNTIF($D665:INDIRECT("$D" &amp;  SUM(ROW()-1,'03.Muestra'!$D$45)-1),G665)</f>
        <v>0.0</v>
      </c>
      <c r="H666" s="120" t="n">
        <f ca="1">COUNTIF($D665:INDIRECT("$D" &amp;  SUM(ROW()-1,'03.Muestra'!$D$45)-1),H665)</f>
        <v>0.0</v>
      </c>
      <c r="I666" s="120" t="n">
        <f ca="1">COUNTIF($D665:INDIRECT("$D" &amp;  SUM(ROW()-1,'03.Muestra'!$D$45)-1),I665)</f>
        <v>0.0</v>
      </c>
      <c r="J666" s="120" t="n">
        <f ca="1">COUNTIF($D665:INDIRECT("$D" &amp;  SUM(ROW()-1,'03.Muestra'!$D$45)-1),J665)</f>
        <v>0.0</v>
      </c>
      <c r="K666" s="227" t="n">
        <f ca="1">IF(COUNTIF('03.Muestra'!$D$8:$D$42,"Documento no web")=0,0,COUNTBLANK($D665:INDIRECT("$D" &amp;  SUM(ROW()-1,COUNTIF('03.Muestra'!$D$8:$D$42,"Documento no web"))-1)))</f>
        <v>0.0</v>
      </c>
      <c r="L666" s="19"/>
      <c r="M666" s="19"/>
      <c r="N666" s="19"/>
      <c r="O666" s="19"/>
      <c r="P666" s="19"/>
      <c r="Q666" s="19"/>
      <c r="R666" s="19"/>
      <c r="S666" s="19"/>
      <c r="T666" s="19"/>
      <c r="U666" s="19"/>
      <c r="V666" s="19"/>
      <c r="W666" s="19"/>
      <c r="X666" s="19"/>
      <c r="Y666" s="19"/>
    </row>
    <row r="667" spans="1:25" ht="14.1" customHeight="1">
      <c r="A667" s="219" t="str" cm="1">
        <f t="array" ref="A667">IFERROR(INDEX('03.Muestra'!$B$8:$B$42,SMALL(IF("Documento no web"='03.Muestra'!$D$8:$D$42,ROW('03.Muestra'!$B$8:$B$42)-MIN(ROW('03.Muestra'!$D$8:$D$42))+1,""),ROW()-664)),"")</f>
        <v/>
      </c>
      <c r="B667" s="114" t="str" cm="1">
        <f t="array" ref="B667">IFERROR(INDEX('03.Muestra'!$C$8:$C$42,SMALL(IF("Documento no web"='03.Muestra'!$D$8:$D$42,ROW('03.Muestra'!$C$8:$C$42)-MIN(ROW('03.Muestra'!$D$8:$D$42))+1,""),ROW()-664)),"")</f>
        <v/>
      </c>
      <c r="C667" s="114" t="str" cm="1">
        <f t="array" ref="C667">IFERROR(INDEX('03.Muestra'!$F$8:$F$42,SMALL(IF("Documento no web"='03.Muestra'!$D$8:$D$42,ROW('03.Muestra'!$F$8:$F$42)-MIN(ROW('03.Muestra'!$D$8:$D$42))+1,""),ROW()-664)),"")</f>
        <v/>
      </c>
      <c r="D667" s="130" t="str">
        <f t="shared" si="35" ref="D667:D699">IF(AND(B667&lt;&gt;"",C667&lt;&gt;""),"N/T","")</f>
        <v/>
      </c>
      <c r="E667" s="107" t="str">
        <f t="shared" si="34"/>
        <v/>
      </c>
      <c r="G667" s="19"/>
      <c r="H667" s="19"/>
      <c r="I667" s="19"/>
      <c r="J667" s="19"/>
      <c r="K667" s="233"/>
      <c r="L667" s="19"/>
      <c r="M667" s="19"/>
      <c r="N667" s="19"/>
      <c r="O667" s="19"/>
      <c r="P667" s="19"/>
      <c r="Q667" s="19"/>
      <c r="R667" s="19"/>
      <c r="S667" s="19"/>
      <c r="T667" s="19"/>
      <c r="U667" s="19"/>
      <c r="V667" s="19"/>
      <c r="W667" s="19"/>
      <c r="X667" s="19"/>
      <c r="Y667" s="19"/>
    </row>
    <row r="668" spans="1:25" ht="14.1" customHeight="1">
      <c r="A668" s="219" t="str" cm="1">
        <f t="array" ref="A668">IFERROR(INDEX('03.Muestra'!$B$8:$B$42,SMALL(IF("Documento no web"='03.Muestra'!$D$8:$D$42,ROW('03.Muestra'!$B$8:$B$42)-MIN(ROW('03.Muestra'!$D$8:$D$42))+1,""),ROW()-664)),"")</f>
        <v/>
      </c>
      <c r="B668" s="114" t="str" cm="1">
        <f t="array" ref="B668">IFERROR(INDEX('03.Muestra'!$C$8:$C$42,SMALL(IF("Documento no web"='03.Muestra'!$D$8:$D$42,ROW('03.Muestra'!$C$8:$C$42)-MIN(ROW('03.Muestra'!$D$8:$D$42))+1,""),ROW()-664)),"")</f>
        <v/>
      </c>
      <c r="C668" s="114" t="str" cm="1">
        <f t="array" ref="C668">IFERROR(INDEX('03.Muestra'!$F$8:$F$42,SMALL(IF("Documento no web"='03.Muestra'!$D$8:$D$42,ROW('03.Muestra'!$F$8:$F$42)-MIN(ROW('03.Muestra'!$D$8:$D$42))+1,""),ROW()-664)),"")</f>
        <v/>
      </c>
      <c r="D668" s="130" t="str">
        <f t="shared" si="35"/>
        <v/>
      </c>
      <c r="E668" s="107" t="str">
        <f t="shared" si="34"/>
        <v/>
      </c>
      <c r="G668" s="19"/>
      <c r="H668" s="19"/>
      <c r="I668" s="19"/>
      <c r="J668" s="19"/>
      <c r="K668" s="233"/>
      <c r="L668" s="19"/>
      <c r="M668" s="19"/>
      <c r="N668" s="19"/>
      <c r="O668" s="19"/>
      <c r="P668" s="19"/>
      <c r="Q668" s="19"/>
      <c r="R668" s="19"/>
      <c r="S668" s="19"/>
      <c r="T668" s="19"/>
      <c r="U668" s="19"/>
      <c r="V668" s="19"/>
      <c r="W668" s="19"/>
      <c r="X668" s="19"/>
      <c r="Y668" s="19"/>
    </row>
    <row r="669" spans="1:25" ht="14.1" customHeight="1">
      <c r="A669" s="219" t="str" cm="1">
        <f t="array" ref="A669">IFERROR(INDEX('03.Muestra'!$B$8:$B$42,SMALL(IF("Documento no web"='03.Muestra'!$D$8:$D$42,ROW('03.Muestra'!$B$8:$B$42)-MIN(ROW('03.Muestra'!$D$8:$D$42))+1,""),ROW()-664)),"")</f>
        <v/>
      </c>
      <c r="B669" s="114" t="str" cm="1">
        <f t="array" ref="B669">IFERROR(INDEX('03.Muestra'!$C$8:$C$42,SMALL(IF("Documento no web"='03.Muestra'!$D$8:$D$42,ROW('03.Muestra'!$C$8:$C$42)-MIN(ROW('03.Muestra'!$D$8:$D$42))+1,""),ROW()-664)),"")</f>
        <v/>
      </c>
      <c r="C669" s="114" t="str" cm="1">
        <f t="array" ref="C669">IFERROR(INDEX('03.Muestra'!$F$8:$F$42,SMALL(IF("Documento no web"='03.Muestra'!$D$8:$D$42,ROW('03.Muestra'!$F$8:$F$42)-MIN(ROW('03.Muestra'!$D$8:$D$42))+1,""),ROW()-664)),"")</f>
        <v/>
      </c>
      <c r="D669" s="130" t="str">
        <f t="shared" si="35"/>
        <v/>
      </c>
      <c r="E669" s="107" t="str">
        <f t="shared" si="34"/>
        <v/>
      </c>
      <c r="G669" s="19"/>
      <c r="H669" s="19"/>
      <c r="I669" s="19"/>
      <c r="J669" s="19"/>
      <c r="K669" s="233"/>
      <c r="L669" s="19"/>
      <c r="M669" s="19"/>
      <c r="N669" s="19"/>
      <c r="O669" s="19"/>
      <c r="P669" s="19"/>
      <c r="Q669" s="19"/>
      <c r="R669" s="19"/>
      <c r="S669" s="19"/>
      <c r="T669" s="19"/>
      <c r="U669" s="19"/>
      <c r="V669" s="19"/>
      <c r="W669" s="19"/>
      <c r="X669" s="19"/>
      <c r="Y669" s="19"/>
    </row>
    <row r="670" spans="1:25" ht="14.1" customHeight="1">
      <c r="A670" s="219" t="str" cm="1">
        <f t="array" ref="A670">IFERROR(INDEX('03.Muestra'!$B$8:$B$42,SMALL(IF("Documento no web"='03.Muestra'!$D$8:$D$42,ROW('03.Muestra'!$B$8:$B$42)-MIN(ROW('03.Muestra'!$D$8:$D$42))+1,""),ROW()-664)),"")</f>
        <v/>
      </c>
      <c r="B670" s="114" t="str" cm="1">
        <f t="array" ref="B670">IFERROR(INDEX('03.Muestra'!$C$8:$C$42,SMALL(IF("Documento no web"='03.Muestra'!$D$8:$D$42,ROW('03.Muestra'!$C$8:$C$42)-MIN(ROW('03.Muestra'!$D$8:$D$42))+1,""),ROW()-664)),"")</f>
        <v/>
      </c>
      <c r="C670" s="114" t="str" cm="1">
        <f t="array" ref="C670">IFERROR(INDEX('03.Muestra'!$F$8:$F$42,SMALL(IF("Documento no web"='03.Muestra'!$D$8:$D$42,ROW('03.Muestra'!$F$8:$F$42)-MIN(ROW('03.Muestra'!$D$8:$D$42))+1,""),ROW()-664)),"")</f>
        <v/>
      </c>
      <c r="D670" s="130" t="str">
        <f t="shared" si="35"/>
        <v/>
      </c>
      <c r="E670" s="107" t="str">
        <f t="shared" si="34"/>
        <v/>
      </c>
      <c r="G670" s="19"/>
      <c r="H670" s="19"/>
      <c r="I670" s="19"/>
      <c r="J670" s="19"/>
      <c r="K670" s="233"/>
      <c r="L670" s="19"/>
      <c r="M670" s="19"/>
      <c r="N670" s="19"/>
      <c r="O670" s="19"/>
      <c r="P670" s="19"/>
      <c r="Q670" s="19"/>
      <c r="R670" s="19"/>
      <c r="S670" s="19"/>
      <c r="T670" s="19"/>
      <c r="U670" s="19"/>
      <c r="V670" s="19"/>
      <c r="W670" s="19"/>
      <c r="X670" s="19"/>
      <c r="Y670" s="19"/>
    </row>
    <row r="671" spans="1:25" ht="14.1" customHeight="1">
      <c r="A671" s="219" t="str" cm="1">
        <f t="array" ref="A671">IFERROR(INDEX('03.Muestra'!$B$8:$B$42,SMALL(IF("Documento no web"='03.Muestra'!$D$8:$D$42,ROW('03.Muestra'!$B$8:$B$42)-MIN(ROW('03.Muestra'!$D$8:$D$42))+1,""),ROW()-664)),"")</f>
        <v/>
      </c>
      <c r="B671" s="114" t="str" cm="1">
        <f t="array" ref="B671">IFERROR(INDEX('03.Muestra'!$C$8:$C$42,SMALL(IF("Documento no web"='03.Muestra'!$D$8:$D$42,ROW('03.Muestra'!$C$8:$C$42)-MIN(ROW('03.Muestra'!$D$8:$D$42))+1,""),ROW()-664)),"")</f>
        <v/>
      </c>
      <c r="C671" s="114" t="str" cm="1">
        <f t="array" ref="C671">IFERROR(INDEX('03.Muestra'!$F$8:$F$42,SMALL(IF("Documento no web"='03.Muestra'!$D$8:$D$42,ROW('03.Muestra'!$F$8:$F$42)-MIN(ROW('03.Muestra'!$D$8:$D$42))+1,""),ROW()-664)),"")</f>
        <v/>
      </c>
      <c r="D671" s="130" t="str">
        <f t="shared" si="35"/>
        <v/>
      </c>
      <c r="E671" s="107" t="str">
        <f t="shared" si="34"/>
        <v/>
      </c>
      <c r="F671" s="19"/>
      <c r="G671" s="19"/>
      <c r="H671" s="19"/>
      <c r="I671" s="19"/>
      <c r="J671" s="19"/>
      <c r="K671" s="233"/>
      <c r="L671" s="19"/>
      <c r="M671" s="19"/>
      <c r="N671" s="19"/>
      <c r="O671" s="19"/>
      <c r="P671" s="19"/>
      <c r="Q671" s="19"/>
      <c r="R671" s="19"/>
      <c r="S671" s="19"/>
      <c r="T671" s="19"/>
      <c r="U671" s="19"/>
      <c r="V671" s="19"/>
      <c r="W671" s="19"/>
      <c r="X671" s="19"/>
      <c r="Y671" s="19"/>
    </row>
    <row r="672" spans="1:25" ht="14.1" customHeight="1">
      <c r="A672" s="219" t="str" cm="1">
        <f t="array" ref="A672">IFERROR(INDEX('03.Muestra'!$B$8:$B$42,SMALL(IF("Documento no web"='03.Muestra'!$D$8:$D$42,ROW('03.Muestra'!$B$8:$B$42)-MIN(ROW('03.Muestra'!$D$8:$D$42))+1,""),ROW()-664)),"")</f>
        <v/>
      </c>
      <c r="B672" s="114" t="str" cm="1">
        <f t="array" ref="B672">IFERROR(INDEX('03.Muestra'!$C$8:$C$42,SMALL(IF("Documento no web"='03.Muestra'!$D$8:$D$42,ROW('03.Muestra'!$C$8:$C$42)-MIN(ROW('03.Muestra'!$D$8:$D$42))+1,""),ROW()-664)),"")</f>
        <v/>
      </c>
      <c r="C672" s="114" t="str" cm="1">
        <f t="array" ref="C672">IFERROR(INDEX('03.Muestra'!$F$8:$F$42,SMALL(IF("Documento no web"='03.Muestra'!$D$8:$D$42,ROW('03.Muestra'!$F$8:$F$42)-MIN(ROW('03.Muestra'!$D$8:$D$42))+1,""),ROW()-664)),"")</f>
        <v/>
      </c>
      <c r="D672" s="130" t="str">
        <f t="shared" si="35"/>
        <v/>
      </c>
      <c r="E672" s="107" t="str">
        <f t="shared" si="34"/>
        <v/>
      </c>
      <c r="F672" s="19"/>
      <c r="G672" s="19"/>
      <c r="H672" s="19"/>
      <c r="I672" s="19"/>
      <c r="J672" s="19"/>
      <c r="K672" s="233"/>
      <c r="L672" s="19"/>
      <c r="M672" s="19"/>
      <c r="N672" s="19"/>
      <c r="O672" s="19"/>
      <c r="P672" s="19"/>
      <c r="Q672" s="19"/>
      <c r="R672" s="19"/>
      <c r="S672" s="19"/>
      <c r="T672" s="19"/>
      <c r="U672" s="19"/>
      <c r="V672" s="19"/>
      <c r="W672" s="19"/>
      <c r="X672" s="19"/>
      <c r="Y672" s="19"/>
    </row>
    <row r="673" spans="1:25" ht="14.1" customHeight="1">
      <c r="A673" s="219" t="str" cm="1">
        <f t="array" ref="A673">IFERROR(INDEX('03.Muestra'!$B$8:$B$42,SMALL(IF("Documento no web"='03.Muestra'!$D$8:$D$42,ROW('03.Muestra'!$B$8:$B$42)-MIN(ROW('03.Muestra'!$D$8:$D$42))+1,""),ROW()-664)),"")</f>
        <v/>
      </c>
      <c r="B673" s="114" t="str" cm="1">
        <f t="array" ref="B673">IFERROR(INDEX('03.Muestra'!$C$8:$C$42,SMALL(IF("Documento no web"='03.Muestra'!$D$8:$D$42,ROW('03.Muestra'!$C$8:$C$42)-MIN(ROW('03.Muestra'!$D$8:$D$42))+1,""),ROW()-664)),"")</f>
        <v/>
      </c>
      <c r="C673" s="114" t="str" cm="1">
        <f t="array" ref="C673">IFERROR(INDEX('03.Muestra'!$F$8:$F$42,SMALL(IF("Documento no web"='03.Muestra'!$D$8:$D$42,ROW('03.Muestra'!$F$8:$F$42)-MIN(ROW('03.Muestra'!$D$8:$D$42))+1,""),ROW()-664)),"")</f>
        <v/>
      </c>
      <c r="D673" s="130" t="str">
        <f t="shared" si="35"/>
        <v/>
      </c>
      <c r="E673" s="107" t="str">
        <f t="shared" si="34"/>
        <v/>
      </c>
      <c r="F673" s="19"/>
      <c r="G673" s="19"/>
      <c r="H673" s="19"/>
      <c r="I673" s="19"/>
      <c r="J673" s="19"/>
      <c r="K673" s="233"/>
      <c r="L673" s="19"/>
      <c r="M673" s="19"/>
      <c r="N673" s="19"/>
      <c r="O673" s="19"/>
      <c r="P673" s="19"/>
      <c r="Q673" s="19"/>
      <c r="R673" s="19"/>
      <c r="S673" s="19"/>
      <c r="T673" s="19"/>
      <c r="U673" s="19"/>
      <c r="V673" s="19"/>
      <c r="W673" s="19"/>
      <c r="X673" s="19"/>
      <c r="Y673" s="19"/>
    </row>
    <row r="674" spans="1:25" ht="14.1" customHeight="1">
      <c r="A674" s="219" t="str" cm="1">
        <f t="array" ref="A674">IFERROR(INDEX('03.Muestra'!$B$8:$B$42,SMALL(IF("Documento no web"='03.Muestra'!$D$8:$D$42,ROW('03.Muestra'!$B$8:$B$42)-MIN(ROW('03.Muestra'!$D$8:$D$42))+1,""),ROW()-664)),"")</f>
        <v/>
      </c>
      <c r="B674" s="114" t="str" cm="1">
        <f t="array" ref="B674">IFERROR(INDEX('03.Muestra'!$C$8:$C$42,SMALL(IF("Documento no web"='03.Muestra'!$D$8:$D$42,ROW('03.Muestra'!$C$8:$C$42)-MIN(ROW('03.Muestra'!$D$8:$D$42))+1,""),ROW()-664)),"")</f>
        <v/>
      </c>
      <c r="C674" s="114" t="str" cm="1">
        <f t="array" ref="C674">IFERROR(INDEX('03.Muestra'!$F$8:$F$42,SMALL(IF("Documento no web"='03.Muestra'!$D$8:$D$42,ROW('03.Muestra'!$F$8:$F$42)-MIN(ROW('03.Muestra'!$D$8:$D$42))+1,""),ROW()-664)),"")</f>
        <v/>
      </c>
      <c r="D674" s="130" t="str">
        <f t="shared" si="35"/>
        <v/>
      </c>
      <c r="E674" s="107" t="str">
        <f t="shared" si="34"/>
        <v/>
      </c>
      <c r="F674" s="19"/>
      <c r="G674" s="19"/>
      <c r="H674" s="19"/>
      <c r="I674" s="19"/>
      <c r="J674" s="19"/>
      <c r="K674" s="233"/>
      <c r="L674" s="19"/>
      <c r="M674" s="19"/>
      <c r="N674" s="19"/>
      <c r="O674" s="19"/>
      <c r="P674" s="19"/>
      <c r="Q674" s="19"/>
      <c r="R674" s="19"/>
      <c r="S674" s="19"/>
      <c r="T674" s="19"/>
      <c r="U674" s="19"/>
      <c r="V674" s="19"/>
      <c r="W674" s="19"/>
      <c r="X674" s="19"/>
      <c r="Y674" s="19"/>
    </row>
    <row r="675" spans="1:25" ht="14.1" customHeight="1">
      <c r="A675" s="219" t="str" cm="1">
        <f t="array" ref="A675">IFERROR(INDEX('03.Muestra'!$B$8:$B$42,SMALL(IF("Documento no web"='03.Muestra'!$D$8:$D$42,ROW('03.Muestra'!$B$8:$B$42)-MIN(ROW('03.Muestra'!$D$8:$D$42))+1,""),ROW()-664)),"")</f>
        <v/>
      </c>
      <c r="B675" s="114" t="str" cm="1">
        <f t="array" ref="B675">IFERROR(INDEX('03.Muestra'!$C$8:$C$42,SMALL(IF("Documento no web"='03.Muestra'!$D$8:$D$42,ROW('03.Muestra'!$C$8:$C$42)-MIN(ROW('03.Muestra'!$D$8:$D$42))+1,""),ROW()-664)),"")</f>
        <v/>
      </c>
      <c r="C675" s="114" t="str" cm="1">
        <f t="array" ref="C675">IFERROR(INDEX('03.Muestra'!$F$8:$F$42,SMALL(IF("Documento no web"='03.Muestra'!$D$8:$D$42,ROW('03.Muestra'!$F$8:$F$42)-MIN(ROW('03.Muestra'!$D$8:$D$42))+1,""),ROW()-664)),"")</f>
        <v/>
      </c>
      <c r="D675" s="130" t="str">
        <f t="shared" si="35"/>
        <v/>
      </c>
      <c r="E675" s="107" t="str">
        <f t="shared" si="34"/>
        <v/>
      </c>
      <c r="F675" s="19"/>
      <c r="G675" s="19"/>
      <c r="H675" s="19"/>
      <c r="I675" s="19"/>
      <c r="J675" s="19"/>
      <c r="K675" s="233"/>
      <c r="L675" s="19"/>
      <c r="M675" s="19"/>
      <c r="N675" s="19"/>
      <c r="O675" s="19"/>
      <c r="P675" s="19"/>
      <c r="Q675" s="19"/>
      <c r="R675" s="19"/>
      <c r="S675" s="19"/>
      <c r="T675" s="19"/>
      <c r="U675" s="19"/>
      <c r="V675" s="19"/>
      <c r="W675" s="19"/>
      <c r="X675" s="19"/>
      <c r="Y675" s="19"/>
    </row>
    <row r="676" spans="1:25" ht="14.1" customHeight="1">
      <c r="A676" s="219" t="str" cm="1">
        <f t="array" ref="A676">IFERROR(INDEX('03.Muestra'!$B$8:$B$42,SMALL(IF("Documento no web"='03.Muestra'!$D$8:$D$42,ROW('03.Muestra'!$B$8:$B$42)-MIN(ROW('03.Muestra'!$D$8:$D$42))+1,""),ROW()-664)),"")</f>
        <v/>
      </c>
      <c r="B676" s="114" t="str" cm="1">
        <f t="array" ref="B676">IFERROR(INDEX('03.Muestra'!$C$8:$C$42,SMALL(IF("Documento no web"='03.Muestra'!$D$8:$D$42,ROW('03.Muestra'!$C$8:$C$42)-MIN(ROW('03.Muestra'!$D$8:$D$42))+1,""),ROW()-664)),"")</f>
        <v/>
      </c>
      <c r="C676" s="114" t="str" cm="1">
        <f t="array" ref="C676">IFERROR(INDEX('03.Muestra'!$F$8:$F$42,SMALL(IF("Documento no web"='03.Muestra'!$D$8:$D$42,ROW('03.Muestra'!$F$8:$F$42)-MIN(ROW('03.Muestra'!$D$8:$D$42))+1,""),ROW()-664)),"")</f>
        <v/>
      </c>
      <c r="D676" s="130" t="str">
        <f t="shared" si="35"/>
        <v/>
      </c>
      <c r="E676" s="107" t="str">
        <f t="shared" si="34"/>
        <v/>
      </c>
      <c r="F676" s="19"/>
      <c r="G676" s="19"/>
      <c r="H676" s="19"/>
      <c r="I676" s="19"/>
      <c r="J676" s="19"/>
      <c r="K676" s="233"/>
      <c r="L676" s="19"/>
      <c r="M676" s="19"/>
      <c r="N676" s="19"/>
      <c r="O676" s="19"/>
      <c r="P676" s="19"/>
      <c r="Q676" s="19"/>
      <c r="R676" s="19"/>
      <c r="S676" s="19"/>
      <c r="T676" s="19"/>
      <c r="U676" s="19"/>
      <c r="V676" s="19"/>
      <c r="W676" s="19"/>
      <c r="X676" s="19"/>
      <c r="Y676" s="19"/>
    </row>
    <row r="677" spans="1:25" ht="14.1" customHeight="1">
      <c r="A677" s="219" t="str" cm="1">
        <f t="array" ref="A677">IFERROR(INDEX('03.Muestra'!$B$8:$B$42,SMALL(IF("Documento no web"='03.Muestra'!$D$8:$D$42,ROW('03.Muestra'!$B$8:$B$42)-MIN(ROW('03.Muestra'!$D$8:$D$42))+1,""),ROW()-664)),"")</f>
        <v/>
      </c>
      <c r="B677" s="114" t="str" cm="1">
        <f t="array" ref="B677">IFERROR(INDEX('03.Muestra'!$C$8:$C$42,SMALL(IF("Documento no web"='03.Muestra'!$D$8:$D$42,ROW('03.Muestra'!$C$8:$C$42)-MIN(ROW('03.Muestra'!$D$8:$D$42))+1,""),ROW()-664)),"")</f>
        <v/>
      </c>
      <c r="C677" s="114" t="str" cm="1">
        <f t="array" ref="C677">IFERROR(INDEX('03.Muestra'!$F$8:$F$42,SMALL(IF("Documento no web"='03.Muestra'!$D$8:$D$42,ROW('03.Muestra'!$F$8:$F$42)-MIN(ROW('03.Muestra'!$D$8:$D$42))+1,""),ROW()-664)),"")</f>
        <v/>
      </c>
      <c r="D677" s="130" t="str">
        <f t="shared" si="35"/>
        <v/>
      </c>
      <c r="E677" s="107" t="str">
        <f t="shared" si="34"/>
        <v/>
      </c>
      <c r="F677" s="19"/>
      <c r="G677" s="19"/>
      <c r="H677" s="19"/>
      <c r="I677" s="19"/>
      <c r="J677" s="19"/>
      <c r="K677" s="233"/>
      <c r="L677" s="19"/>
      <c r="M677" s="19"/>
      <c r="N677" s="19"/>
      <c r="O677" s="19"/>
      <c r="P677" s="19"/>
      <c r="Q677" s="19"/>
      <c r="R677" s="19"/>
      <c r="S677" s="19"/>
      <c r="T677" s="19"/>
      <c r="U677" s="19"/>
      <c r="V677" s="19"/>
      <c r="W677" s="19"/>
      <c r="X677" s="19"/>
      <c r="Y677" s="19"/>
    </row>
    <row r="678" spans="1:25" ht="14.1" customHeight="1">
      <c r="A678" s="219" t="str" cm="1">
        <f t="array" ref="A678">IFERROR(INDEX('03.Muestra'!$B$8:$B$42,SMALL(IF("Documento no web"='03.Muestra'!$D$8:$D$42,ROW('03.Muestra'!$B$8:$B$42)-MIN(ROW('03.Muestra'!$D$8:$D$42))+1,""),ROW()-664)),"")</f>
        <v/>
      </c>
      <c r="B678" s="114" t="str" cm="1">
        <f t="array" ref="B678">IFERROR(INDEX('03.Muestra'!$C$8:$C$42,SMALL(IF("Documento no web"='03.Muestra'!$D$8:$D$42,ROW('03.Muestra'!$C$8:$C$42)-MIN(ROW('03.Muestra'!$D$8:$D$42))+1,""),ROW()-664)),"")</f>
        <v/>
      </c>
      <c r="C678" s="114" t="str" cm="1">
        <f t="array" ref="C678">IFERROR(INDEX('03.Muestra'!$F$8:$F$42,SMALL(IF("Documento no web"='03.Muestra'!$D$8:$D$42,ROW('03.Muestra'!$F$8:$F$42)-MIN(ROW('03.Muestra'!$D$8:$D$42))+1,""),ROW()-664)),"")</f>
        <v/>
      </c>
      <c r="D678" s="130" t="str">
        <f t="shared" si="35"/>
        <v/>
      </c>
      <c r="E678" s="107" t="str">
        <f t="shared" si="34"/>
        <v/>
      </c>
      <c r="F678" s="19"/>
      <c r="G678" s="19"/>
      <c r="H678" s="19"/>
      <c r="I678" s="19"/>
      <c r="J678" s="19"/>
      <c r="K678" s="233"/>
      <c r="L678" s="19"/>
      <c r="M678" s="19"/>
      <c r="N678" s="19"/>
      <c r="O678" s="19"/>
      <c r="P678" s="19"/>
      <c r="Q678" s="19"/>
      <c r="R678" s="19"/>
      <c r="S678" s="19"/>
      <c r="T678" s="19"/>
      <c r="U678" s="19"/>
      <c r="V678" s="19"/>
      <c r="W678" s="19"/>
      <c r="X678" s="19"/>
      <c r="Y678" s="19"/>
    </row>
    <row r="679" spans="1:25" ht="14.1" customHeight="1">
      <c r="A679" s="219" t="str" cm="1">
        <f t="array" ref="A679">IFERROR(INDEX('03.Muestra'!$B$8:$B$42,SMALL(IF("Documento no web"='03.Muestra'!$D$8:$D$42,ROW('03.Muestra'!$B$8:$B$42)-MIN(ROW('03.Muestra'!$D$8:$D$42))+1,""),ROW()-664)),"")</f>
        <v/>
      </c>
      <c r="B679" s="114" t="str" cm="1">
        <f t="array" ref="B679">IFERROR(INDEX('03.Muestra'!$C$8:$C$42,SMALL(IF("Documento no web"='03.Muestra'!$D$8:$D$42,ROW('03.Muestra'!$C$8:$C$42)-MIN(ROW('03.Muestra'!$D$8:$D$42))+1,""),ROW()-664)),"")</f>
        <v/>
      </c>
      <c r="C679" s="114" t="str" cm="1">
        <f t="array" ref="C679">IFERROR(INDEX('03.Muestra'!$F$8:$F$42,SMALL(IF("Documento no web"='03.Muestra'!$D$8:$D$42,ROW('03.Muestra'!$F$8:$F$42)-MIN(ROW('03.Muestra'!$D$8:$D$42))+1,""),ROW()-664)),"")</f>
        <v/>
      </c>
      <c r="D679" s="130" t="str">
        <f t="shared" si="35"/>
        <v/>
      </c>
      <c r="E679" s="107" t="str">
        <f t="shared" si="34"/>
        <v/>
      </c>
      <c r="F679" s="19"/>
      <c r="G679" s="19"/>
      <c r="H679" s="19"/>
      <c r="I679" s="19"/>
      <c r="J679" s="19"/>
      <c r="K679" s="233"/>
      <c r="L679" s="19"/>
      <c r="M679" s="19"/>
      <c r="N679" s="19"/>
      <c r="O679" s="19"/>
      <c r="P679" s="19"/>
      <c r="Q679" s="19"/>
      <c r="R679" s="19"/>
      <c r="S679" s="19"/>
      <c r="T679" s="19"/>
      <c r="U679" s="19"/>
      <c r="V679" s="19"/>
      <c r="W679" s="19"/>
      <c r="X679" s="19"/>
      <c r="Y679" s="19"/>
    </row>
    <row r="680" spans="1:25" ht="14.1" customHeight="1">
      <c r="A680" s="219" t="str" cm="1">
        <f t="array" ref="A680">IFERROR(INDEX('03.Muestra'!$B$8:$B$42,SMALL(IF("Documento no web"='03.Muestra'!$D$8:$D$42,ROW('03.Muestra'!$B$8:$B$42)-MIN(ROW('03.Muestra'!$D$8:$D$42))+1,""),ROW()-664)),"")</f>
        <v/>
      </c>
      <c r="B680" s="114" t="str" cm="1">
        <f t="array" ref="B680">IFERROR(INDEX('03.Muestra'!$C$8:$C$42,SMALL(IF("Documento no web"='03.Muestra'!$D$8:$D$42,ROW('03.Muestra'!$C$8:$C$42)-MIN(ROW('03.Muestra'!$D$8:$D$42))+1,""),ROW()-664)),"")</f>
        <v/>
      </c>
      <c r="C680" s="114" t="str" cm="1">
        <f t="array" ref="C680">IFERROR(INDEX('03.Muestra'!$F$8:$F$42,SMALL(IF("Documento no web"='03.Muestra'!$D$8:$D$42,ROW('03.Muestra'!$F$8:$F$42)-MIN(ROW('03.Muestra'!$D$8:$D$42))+1,""),ROW()-664)),"")</f>
        <v/>
      </c>
      <c r="D680" s="130" t="str">
        <f t="shared" si="35"/>
        <v/>
      </c>
      <c r="E680" s="107" t="str">
        <f t="shared" si="34"/>
        <v/>
      </c>
      <c r="F680" s="19"/>
      <c r="G680" s="19"/>
      <c r="H680" s="19"/>
      <c r="I680" s="19"/>
      <c r="J680" s="19"/>
      <c r="K680" s="233"/>
      <c r="L680" s="19"/>
      <c r="M680" s="19"/>
      <c r="N680" s="19"/>
      <c r="O680" s="19"/>
      <c r="P680" s="19"/>
      <c r="Q680" s="19"/>
      <c r="R680" s="19"/>
      <c r="S680" s="19"/>
      <c r="T680" s="19"/>
      <c r="U680" s="19"/>
      <c r="V680" s="19"/>
      <c r="W680" s="19"/>
      <c r="X680" s="19"/>
      <c r="Y680" s="19"/>
    </row>
    <row r="681" spans="1:25" ht="14.1" customHeight="1">
      <c r="A681" s="219" t="str" cm="1">
        <f t="array" ref="A681">IFERROR(INDEX('03.Muestra'!$B$8:$B$42,SMALL(IF("Documento no web"='03.Muestra'!$D$8:$D$42,ROW('03.Muestra'!$B$8:$B$42)-MIN(ROW('03.Muestra'!$D$8:$D$42))+1,""),ROW()-664)),"")</f>
        <v/>
      </c>
      <c r="B681" s="114" t="str" cm="1">
        <f t="array" ref="B681">IFERROR(INDEX('03.Muestra'!$C$8:$C$42,SMALL(IF("Documento no web"='03.Muestra'!$D$8:$D$42,ROW('03.Muestra'!$C$8:$C$42)-MIN(ROW('03.Muestra'!$D$8:$D$42))+1,""),ROW()-664)),"")</f>
        <v/>
      </c>
      <c r="C681" s="114" t="str" cm="1">
        <f t="array" ref="C681">IFERROR(INDEX('03.Muestra'!$F$8:$F$42,SMALL(IF("Documento no web"='03.Muestra'!$D$8:$D$42,ROW('03.Muestra'!$F$8:$F$42)-MIN(ROW('03.Muestra'!$D$8:$D$42))+1,""),ROW()-664)),"")</f>
        <v/>
      </c>
      <c r="D681" s="130" t="str">
        <f t="shared" si="35"/>
        <v/>
      </c>
      <c r="E681" s="107" t="str">
        <f t="shared" si="34"/>
        <v/>
      </c>
      <c r="F681" s="19"/>
      <c r="G681" s="19"/>
      <c r="H681" s="19"/>
      <c r="I681" s="19"/>
      <c r="J681" s="19"/>
      <c r="K681" s="233"/>
      <c r="L681" s="19"/>
      <c r="M681" s="19"/>
      <c r="N681" s="19"/>
      <c r="O681" s="19"/>
      <c r="P681" s="19"/>
      <c r="Q681" s="19"/>
      <c r="R681" s="19"/>
      <c r="S681" s="19"/>
      <c r="T681" s="19"/>
      <c r="U681" s="19"/>
      <c r="V681" s="19"/>
      <c r="W681" s="19"/>
      <c r="X681" s="19"/>
      <c r="Y681" s="19"/>
    </row>
    <row r="682" spans="1:25" ht="14.1" customHeight="1">
      <c r="A682" s="219" t="str" cm="1">
        <f t="array" ref="A682">IFERROR(INDEX('03.Muestra'!$B$8:$B$42,SMALL(IF("Documento no web"='03.Muestra'!$D$8:$D$42,ROW('03.Muestra'!$B$8:$B$42)-MIN(ROW('03.Muestra'!$D$8:$D$42))+1,""),ROW()-664)),"")</f>
        <v/>
      </c>
      <c r="B682" s="114" t="str" cm="1">
        <f t="array" ref="B682">IFERROR(INDEX('03.Muestra'!$C$8:$C$42,SMALL(IF("Documento no web"='03.Muestra'!$D$8:$D$42,ROW('03.Muestra'!$C$8:$C$42)-MIN(ROW('03.Muestra'!$D$8:$D$42))+1,""),ROW()-664)),"")</f>
        <v/>
      </c>
      <c r="C682" s="114" t="str" cm="1">
        <f t="array" ref="C682">IFERROR(INDEX('03.Muestra'!$F$8:$F$42,SMALL(IF("Documento no web"='03.Muestra'!$D$8:$D$42,ROW('03.Muestra'!$F$8:$F$42)-MIN(ROW('03.Muestra'!$D$8:$D$42))+1,""),ROW()-664)),"")</f>
        <v/>
      </c>
      <c r="D682" s="130" t="str">
        <f t="shared" si="35"/>
        <v/>
      </c>
      <c r="E682" s="107" t="str">
        <f t="shared" si="34"/>
        <v/>
      </c>
      <c r="F682" s="19"/>
      <c r="G682" s="19"/>
      <c r="H682" s="19"/>
      <c r="I682" s="19"/>
      <c r="J682" s="19"/>
      <c r="K682" s="233"/>
      <c r="L682" s="19"/>
      <c r="M682" s="19"/>
      <c r="N682" s="19"/>
      <c r="O682" s="19"/>
      <c r="P682" s="19"/>
      <c r="Q682" s="19"/>
      <c r="R682" s="19"/>
      <c r="S682" s="19"/>
      <c r="T682" s="19"/>
      <c r="U682" s="19"/>
      <c r="V682" s="19"/>
      <c r="W682" s="19"/>
      <c r="X682" s="19"/>
      <c r="Y682" s="19"/>
    </row>
    <row r="683" spans="1:25" ht="14.1" customHeight="1">
      <c r="A683" s="219" t="str" cm="1">
        <f t="array" ref="A683">IFERROR(INDEX('03.Muestra'!$B$8:$B$42,SMALL(IF("Documento no web"='03.Muestra'!$D$8:$D$42,ROW('03.Muestra'!$B$8:$B$42)-MIN(ROW('03.Muestra'!$D$8:$D$42))+1,""),ROW()-664)),"")</f>
        <v/>
      </c>
      <c r="B683" s="114" t="str" cm="1">
        <f t="array" ref="B683">IFERROR(INDEX('03.Muestra'!$C$8:$C$42,SMALL(IF("Documento no web"='03.Muestra'!$D$8:$D$42,ROW('03.Muestra'!$C$8:$C$42)-MIN(ROW('03.Muestra'!$D$8:$D$42))+1,""),ROW()-664)),"")</f>
        <v/>
      </c>
      <c r="C683" s="114" t="str" cm="1">
        <f t="array" ref="C683">IFERROR(INDEX('03.Muestra'!$F$8:$F$42,SMALL(IF("Documento no web"='03.Muestra'!$D$8:$D$42,ROW('03.Muestra'!$F$8:$F$42)-MIN(ROW('03.Muestra'!$D$8:$D$42))+1,""),ROW()-664)),"")</f>
        <v/>
      </c>
      <c r="D683" s="130" t="str">
        <f t="shared" si="35"/>
        <v/>
      </c>
      <c r="E683" s="107" t="str">
        <f t="shared" si="34"/>
        <v/>
      </c>
      <c r="F683" s="19"/>
      <c r="G683" s="19"/>
      <c r="H683" s="19"/>
      <c r="I683" s="19"/>
      <c r="J683" s="19"/>
      <c r="K683" s="233"/>
      <c r="L683" s="19"/>
      <c r="M683" s="19"/>
      <c r="N683" s="19"/>
      <c r="O683" s="19"/>
      <c r="P683" s="19"/>
      <c r="Q683" s="19"/>
      <c r="R683" s="19"/>
      <c r="S683" s="19"/>
      <c r="T683" s="19"/>
      <c r="U683" s="19"/>
      <c r="V683" s="19"/>
      <c r="W683" s="19"/>
      <c r="X683" s="19"/>
      <c r="Y683" s="19"/>
    </row>
    <row r="684" spans="1:25" ht="14.1" customHeight="1">
      <c r="A684" s="219" t="str" cm="1">
        <f t="array" ref="A684">IFERROR(INDEX('03.Muestra'!$B$8:$B$42,SMALL(IF("Documento no web"='03.Muestra'!$D$8:$D$42,ROW('03.Muestra'!$B$8:$B$42)-MIN(ROW('03.Muestra'!$D$8:$D$42))+1,""),ROW()-664)),"")</f>
        <v/>
      </c>
      <c r="B684" s="114" t="str" cm="1">
        <f t="array" ref="B684">IFERROR(INDEX('03.Muestra'!$C$8:$C$42,SMALL(IF("Documento no web"='03.Muestra'!$D$8:$D$42,ROW('03.Muestra'!$C$8:$C$42)-MIN(ROW('03.Muestra'!$D$8:$D$42))+1,""),ROW()-664)),"")</f>
        <v/>
      </c>
      <c r="C684" s="114" t="str" cm="1">
        <f t="array" ref="C684">IFERROR(INDEX('03.Muestra'!$F$8:$F$42,SMALL(IF("Documento no web"='03.Muestra'!$D$8:$D$42,ROW('03.Muestra'!$F$8:$F$42)-MIN(ROW('03.Muestra'!$D$8:$D$42))+1,""),ROW()-664)),"")</f>
        <v/>
      </c>
      <c r="D684" s="130" t="str">
        <f t="shared" si="35"/>
        <v/>
      </c>
      <c r="E684" s="107" t="str">
        <f t="shared" si="34"/>
        <v/>
      </c>
      <c r="F684" s="19"/>
      <c r="G684" s="19"/>
      <c r="H684" s="19"/>
      <c r="I684" s="19"/>
      <c r="J684" s="19"/>
      <c r="K684" s="233"/>
      <c r="L684" s="19"/>
      <c r="M684" s="19"/>
      <c r="N684" s="19"/>
      <c r="O684" s="19"/>
      <c r="P684" s="19"/>
      <c r="Q684" s="19"/>
      <c r="R684" s="19"/>
      <c r="S684" s="19"/>
      <c r="T684" s="19"/>
      <c r="U684" s="19"/>
      <c r="V684" s="19"/>
      <c r="W684" s="19"/>
      <c r="X684" s="19"/>
      <c r="Y684" s="19"/>
    </row>
    <row r="685" spans="1:25" ht="14.1" customHeight="1">
      <c r="A685" s="219" t="str" cm="1">
        <f t="array" ref="A685">IFERROR(INDEX('03.Muestra'!$B$8:$B$42,SMALL(IF("Documento no web"='03.Muestra'!$D$8:$D$42,ROW('03.Muestra'!$B$8:$B$42)-MIN(ROW('03.Muestra'!$D$8:$D$42))+1,""),ROW()-664)),"")</f>
        <v/>
      </c>
      <c r="B685" s="114" t="str" cm="1">
        <f t="array" ref="B685">IFERROR(INDEX('03.Muestra'!$C$8:$C$42,SMALL(IF("Documento no web"='03.Muestra'!$D$8:$D$42,ROW('03.Muestra'!$C$8:$C$42)-MIN(ROW('03.Muestra'!$D$8:$D$42))+1,""),ROW()-664)),"")</f>
        <v/>
      </c>
      <c r="C685" s="114" t="str" cm="1">
        <f t="array" ref="C685">IFERROR(INDEX('03.Muestra'!$F$8:$F$42,SMALL(IF("Documento no web"='03.Muestra'!$D$8:$D$42,ROW('03.Muestra'!$F$8:$F$42)-MIN(ROW('03.Muestra'!$D$8:$D$42))+1,""),ROW()-664)),"")</f>
        <v/>
      </c>
      <c r="D685" s="130" t="str">
        <f t="shared" si="35"/>
        <v/>
      </c>
      <c r="E685" s="107" t="str">
        <f t="shared" si="34"/>
        <v/>
      </c>
      <c r="F685" s="19"/>
      <c r="G685" s="19"/>
      <c r="H685" s="19"/>
      <c r="I685" s="19"/>
      <c r="J685" s="19"/>
      <c r="K685" s="233"/>
      <c r="L685" s="19"/>
      <c r="M685" s="19"/>
      <c r="N685" s="19"/>
      <c r="O685" s="19"/>
      <c r="P685" s="19"/>
      <c r="Q685" s="19"/>
      <c r="R685" s="19"/>
      <c r="S685" s="19"/>
      <c r="T685" s="19"/>
      <c r="U685" s="19"/>
      <c r="V685" s="19"/>
      <c r="W685" s="19"/>
      <c r="X685" s="19"/>
      <c r="Y685" s="19"/>
    </row>
    <row r="686" spans="1:25" ht="14.1" customHeight="1">
      <c r="A686" s="219" t="str" cm="1">
        <f t="array" ref="A686">IFERROR(INDEX('03.Muestra'!$B$8:$B$42,SMALL(IF("Documento no web"='03.Muestra'!$D$8:$D$42,ROW('03.Muestra'!$B$8:$B$42)-MIN(ROW('03.Muestra'!$D$8:$D$42))+1,""),ROW()-664)),"")</f>
        <v/>
      </c>
      <c r="B686" s="114" t="str" cm="1">
        <f t="array" ref="B686">IFERROR(INDEX('03.Muestra'!$C$8:$C$42,SMALL(IF("Documento no web"='03.Muestra'!$D$8:$D$42,ROW('03.Muestra'!$C$8:$C$42)-MIN(ROW('03.Muestra'!$D$8:$D$42))+1,""),ROW()-664)),"")</f>
        <v/>
      </c>
      <c r="C686" s="114" t="str" cm="1">
        <f t="array" ref="C686">IFERROR(INDEX('03.Muestra'!$F$8:$F$42,SMALL(IF("Documento no web"='03.Muestra'!$D$8:$D$42,ROW('03.Muestra'!$F$8:$F$42)-MIN(ROW('03.Muestra'!$D$8:$D$42))+1,""),ROW()-664)),"")</f>
        <v/>
      </c>
      <c r="D686" s="130" t="str">
        <f t="shared" si="35"/>
        <v/>
      </c>
      <c r="E686" s="107" t="str">
        <f t="shared" si="34"/>
        <v/>
      </c>
      <c r="F686" s="19"/>
      <c r="G686" s="19"/>
      <c r="H686" s="19"/>
      <c r="I686" s="19"/>
      <c r="J686" s="19"/>
      <c r="K686" s="233"/>
      <c r="L686" s="19"/>
      <c r="M686" s="19"/>
      <c r="N686" s="19"/>
      <c r="O686" s="19"/>
      <c r="P686" s="19"/>
      <c r="Q686" s="19"/>
      <c r="R686" s="19"/>
      <c r="S686" s="19"/>
      <c r="T686" s="19"/>
      <c r="U686" s="19"/>
      <c r="V686" s="19"/>
      <c r="W686" s="19"/>
      <c r="X686" s="19"/>
      <c r="Y686" s="19"/>
    </row>
    <row r="687" spans="1:25" ht="14.1" customHeight="1">
      <c r="A687" s="219" t="str" cm="1">
        <f t="array" ref="A687">IFERROR(INDEX('03.Muestra'!$B$8:$B$42,SMALL(IF("Documento no web"='03.Muestra'!$D$8:$D$42,ROW('03.Muestra'!$B$8:$B$42)-MIN(ROW('03.Muestra'!$D$8:$D$42))+1,""),ROW()-664)),"")</f>
        <v/>
      </c>
      <c r="B687" s="114" t="str" cm="1">
        <f t="array" ref="B687">IFERROR(INDEX('03.Muestra'!$C$8:$C$42,SMALL(IF("Documento no web"='03.Muestra'!$D$8:$D$42,ROW('03.Muestra'!$C$8:$C$42)-MIN(ROW('03.Muestra'!$D$8:$D$42))+1,""),ROW()-664)),"")</f>
        <v/>
      </c>
      <c r="C687" s="114" t="str" cm="1">
        <f t="array" ref="C687">IFERROR(INDEX('03.Muestra'!$F$8:$F$42,SMALL(IF("Documento no web"='03.Muestra'!$D$8:$D$42,ROW('03.Muestra'!$F$8:$F$42)-MIN(ROW('03.Muestra'!$D$8:$D$42))+1,""),ROW()-664)),"")</f>
        <v/>
      </c>
      <c r="D687" s="130" t="str">
        <f t="shared" si="35"/>
        <v/>
      </c>
      <c r="E687" s="107" t="str">
        <f t="shared" si="34"/>
        <v/>
      </c>
      <c r="F687" s="19"/>
      <c r="G687" s="19"/>
      <c r="H687" s="19"/>
      <c r="I687" s="19"/>
      <c r="J687" s="19"/>
      <c r="K687" s="233"/>
      <c r="L687" s="19"/>
      <c r="M687" s="19"/>
      <c r="N687" s="19"/>
      <c r="O687" s="19"/>
      <c r="P687" s="19"/>
      <c r="Q687" s="19"/>
      <c r="R687" s="19"/>
      <c r="S687" s="19"/>
      <c r="T687" s="19"/>
      <c r="U687" s="19"/>
      <c r="V687" s="19"/>
      <c r="W687" s="19"/>
      <c r="X687" s="19"/>
      <c r="Y687" s="19"/>
    </row>
    <row r="688" spans="1:25" ht="14.1" customHeight="1">
      <c r="A688" s="219" t="str" cm="1">
        <f t="array" ref="A688">IFERROR(INDEX('03.Muestra'!$B$8:$B$42,SMALL(IF("Documento no web"='03.Muestra'!$D$8:$D$42,ROW('03.Muestra'!$B$8:$B$42)-MIN(ROW('03.Muestra'!$D$8:$D$42))+1,""),ROW()-664)),"")</f>
        <v/>
      </c>
      <c r="B688" s="114" t="str" cm="1">
        <f t="array" ref="B688">IFERROR(INDEX('03.Muestra'!$C$8:$C$42,SMALL(IF("Documento no web"='03.Muestra'!$D$8:$D$42,ROW('03.Muestra'!$C$8:$C$42)-MIN(ROW('03.Muestra'!$D$8:$D$42))+1,""),ROW()-664)),"")</f>
        <v/>
      </c>
      <c r="C688" s="114" t="str" cm="1">
        <f t="array" ref="C688">IFERROR(INDEX('03.Muestra'!$F$8:$F$42,SMALL(IF("Documento no web"='03.Muestra'!$D$8:$D$42,ROW('03.Muestra'!$F$8:$F$42)-MIN(ROW('03.Muestra'!$D$8:$D$42))+1,""),ROW()-664)),"")</f>
        <v/>
      </c>
      <c r="D688" s="130" t="str">
        <f t="shared" si="35"/>
        <v/>
      </c>
      <c r="E688" s="107" t="str">
        <f t="shared" si="34"/>
        <v/>
      </c>
      <c r="F688" s="19"/>
      <c r="G688" s="19"/>
      <c r="H688" s="19"/>
      <c r="I688" s="19"/>
      <c r="J688" s="19"/>
      <c r="K688" s="233"/>
      <c r="L688" s="19"/>
      <c r="M688" s="19"/>
      <c r="N688" s="19"/>
      <c r="O688" s="19"/>
      <c r="P688" s="19"/>
      <c r="Q688" s="19"/>
      <c r="R688" s="19"/>
      <c r="S688" s="19"/>
      <c r="T688" s="19"/>
      <c r="U688" s="19"/>
      <c r="V688" s="19"/>
      <c r="W688" s="19"/>
      <c r="X688" s="19"/>
      <c r="Y688" s="19"/>
    </row>
    <row r="689" spans="1:25" ht="14.1" customHeight="1">
      <c r="A689" s="219" t="str" cm="1">
        <f t="array" ref="A689">IFERROR(INDEX('03.Muestra'!$B$8:$B$42,SMALL(IF("Documento no web"='03.Muestra'!$D$8:$D$42,ROW('03.Muestra'!$B$8:$B$42)-MIN(ROW('03.Muestra'!$D$8:$D$42))+1,""),ROW()-664)),"")</f>
        <v/>
      </c>
      <c r="B689" s="114" t="str" cm="1">
        <f t="array" ref="B689">IFERROR(INDEX('03.Muestra'!$C$8:$C$42,SMALL(IF("Documento no web"='03.Muestra'!$D$8:$D$42,ROW('03.Muestra'!$C$8:$C$42)-MIN(ROW('03.Muestra'!$D$8:$D$42))+1,""),ROW()-664)),"")</f>
        <v/>
      </c>
      <c r="C689" s="114" t="str" cm="1">
        <f t="array" ref="C689">IFERROR(INDEX('03.Muestra'!$F$8:$F$42,SMALL(IF("Documento no web"='03.Muestra'!$D$8:$D$42,ROW('03.Muestra'!$F$8:$F$42)-MIN(ROW('03.Muestra'!$D$8:$D$42))+1,""),ROW()-664)),"")</f>
        <v/>
      </c>
      <c r="D689" s="130" t="str">
        <f t="shared" si="35"/>
        <v/>
      </c>
      <c r="E689" s="107" t="str">
        <f t="shared" si="34"/>
        <v/>
      </c>
      <c r="F689" s="19"/>
      <c r="G689" s="19"/>
      <c r="H689" s="19"/>
      <c r="I689" s="19"/>
      <c r="J689" s="19"/>
      <c r="K689" s="233"/>
      <c r="L689" s="19"/>
      <c r="M689" s="19"/>
      <c r="N689" s="19"/>
      <c r="O689" s="19"/>
      <c r="P689" s="19"/>
      <c r="Q689" s="19"/>
      <c r="R689" s="19"/>
      <c r="S689" s="19"/>
      <c r="T689" s="19"/>
      <c r="U689" s="19"/>
      <c r="V689" s="19"/>
      <c r="W689" s="19"/>
      <c r="X689" s="19"/>
      <c r="Y689" s="19"/>
    </row>
    <row r="690" spans="1:25" ht="14.1" customHeight="1">
      <c r="A690" s="219" t="str" cm="1">
        <f t="array" ref="A690">IFERROR(INDEX('03.Muestra'!$B$8:$B$42,SMALL(IF("Documento no web"='03.Muestra'!$D$8:$D$42,ROW('03.Muestra'!$B$8:$B$42)-MIN(ROW('03.Muestra'!$D$8:$D$42))+1,""),ROW()-664)),"")</f>
        <v/>
      </c>
      <c r="B690" s="114" t="str" cm="1">
        <f t="array" ref="B690">IFERROR(INDEX('03.Muestra'!$C$8:$C$42,SMALL(IF("Documento no web"='03.Muestra'!$D$8:$D$42,ROW('03.Muestra'!$C$8:$C$42)-MIN(ROW('03.Muestra'!$D$8:$D$42))+1,""),ROW()-664)),"")</f>
        <v/>
      </c>
      <c r="C690" s="114" t="str" cm="1">
        <f t="array" ref="C690">IFERROR(INDEX('03.Muestra'!$F$8:$F$42,SMALL(IF("Documento no web"='03.Muestra'!$D$8:$D$42,ROW('03.Muestra'!$F$8:$F$42)-MIN(ROW('03.Muestra'!$D$8:$D$42))+1,""),ROW()-664)),"")</f>
        <v/>
      </c>
      <c r="D690" s="130" t="str">
        <f t="shared" si="35"/>
        <v/>
      </c>
      <c r="E690" s="107" t="str">
        <f t="shared" si="34"/>
        <v/>
      </c>
      <c r="F690" s="19"/>
      <c r="G690" s="19"/>
      <c r="H690" s="19"/>
      <c r="I690" s="19"/>
      <c r="J690" s="19"/>
      <c r="K690" s="233"/>
      <c r="L690" s="19"/>
      <c r="M690" s="19"/>
      <c r="N690" s="19"/>
      <c r="O690" s="19"/>
      <c r="P690" s="19"/>
      <c r="Q690" s="19"/>
      <c r="R690" s="19"/>
      <c r="S690" s="19"/>
      <c r="T690" s="19"/>
      <c r="U690" s="19"/>
      <c r="V690" s="19"/>
      <c r="W690" s="19"/>
      <c r="X690" s="19"/>
      <c r="Y690" s="19"/>
    </row>
    <row r="691" spans="1:25" ht="14.1" customHeight="1">
      <c r="A691" s="219" t="str" cm="1">
        <f t="array" ref="A691">IFERROR(INDEX('03.Muestra'!$B$8:$B$42,SMALL(IF("Documento no web"='03.Muestra'!$D$8:$D$42,ROW('03.Muestra'!$B$8:$B$42)-MIN(ROW('03.Muestra'!$D$8:$D$42))+1,""),ROW()-664)),"")</f>
        <v/>
      </c>
      <c r="B691" s="114" t="str" cm="1">
        <f t="array" ref="B691">IFERROR(INDEX('03.Muestra'!$C$8:$C$42,SMALL(IF("Documento no web"='03.Muestra'!$D$8:$D$42,ROW('03.Muestra'!$C$8:$C$42)-MIN(ROW('03.Muestra'!$D$8:$D$42))+1,""),ROW()-664)),"")</f>
        <v/>
      </c>
      <c r="C691" s="114" t="str" cm="1">
        <f t="array" ref="C691">IFERROR(INDEX('03.Muestra'!$F$8:$F$42,SMALL(IF("Documento no web"='03.Muestra'!$D$8:$D$42,ROW('03.Muestra'!$F$8:$F$42)-MIN(ROW('03.Muestra'!$D$8:$D$42))+1,""),ROW()-664)),"")</f>
        <v/>
      </c>
      <c r="D691" s="130" t="str">
        <f t="shared" si="35"/>
        <v/>
      </c>
      <c r="E691" s="107" t="str">
        <f t="shared" si="34"/>
        <v/>
      </c>
      <c r="F691" s="19"/>
      <c r="G691" s="19"/>
      <c r="H691" s="19"/>
      <c r="I691" s="19"/>
      <c r="J691" s="19"/>
      <c r="K691" s="233"/>
      <c r="L691" s="19"/>
      <c r="M691" s="19"/>
      <c r="N691" s="19"/>
      <c r="O691" s="19"/>
      <c r="P691" s="19"/>
      <c r="Q691" s="19"/>
      <c r="R691" s="19"/>
      <c r="S691" s="19"/>
      <c r="T691" s="19"/>
      <c r="U691" s="19"/>
      <c r="V691" s="19"/>
      <c r="W691" s="19"/>
      <c r="X691" s="19"/>
      <c r="Y691" s="19"/>
    </row>
    <row r="692" spans="1:25" ht="14.1" customHeight="1">
      <c r="A692" s="219" t="str" cm="1">
        <f t="array" ref="A692">IFERROR(INDEX('03.Muestra'!$B$8:$B$42,SMALL(IF("Documento no web"='03.Muestra'!$D$8:$D$42,ROW('03.Muestra'!$B$8:$B$42)-MIN(ROW('03.Muestra'!$D$8:$D$42))+1,""),ROW()-664)),"")</f>
        <v/>
      </c>
      <c r="B692" s="114" t="str" cm="1">
        <f t="array" ref="B692">IFERROR(INDEX('03.Muestra'!$C$8:$C$42,SMALL(IF("Documento no web"='03.Muestra'!$D$8:$D$42,ROW('03.Muestra'!$C$8:$C$42)-MIN(ROW('03.Muestra'!$D$8:$D$42))+1,""),ROW()-664)),"")</f>
        <v/>
      </c>
      <c r="C692" s="114" t="str" cm="1">
        <f t="array" ref="C692">IFERROR(INDEX('03.Muestra'!$F$8:$F$42,SMALL(IF("Documento no web"='03.Muestra'!$D$8:$D$42,ROW('03.Muestra'!$F$8:$F$42)-MIN(ROW('03.Muestra'!$D$8:$D$42))+1,""),ROW()-664)),"")</f>
        <v/>
      </c>
      <c r="D692" s="130" t="str">
        <f t="shared" si="35"/>
        <v/>
      </c>
      <c r="E692" s="107" t="str">
        <f t="shared" si="34"/>
        <v/>
      </c>
      <c r="G692" s="19"/>
      <c r="H692" s="19"/>
      <c r="I692" s="19"/>
      <c r="J692" s="19"/>
      <c r="K692" s="233"/>
      <c r="L692" s="19"/>
      <c r="M692" s="19"/>
      <c r="N692" s="19"/>
      <c r="O692" s="19"/>
      <c r="P692" s="19"/>
      <c r="Q692" s="19"/>
      <c r="R692" s="19"/>
      <c r="S692" s="19"/>
      <c r="T692" s="19"/>
      <c r="U692" s="19"/>
      <c r="V692" s="19"/>
      <c r="W692" s="19"/>
      <c r="X692" s="19"/>
      <c r="Y692" s="19"/>
    </row>
    <row r="693" spans="1:25" ht="14.1" customHeight="1">
      <c r="A693" s="219" t="str" cm="1">
        <f t="array" ref="A693">IFERROR(INDEX('03.Muestra'!$B$8:$B$42,SMALL(IF("Documento no web"='03.Muestra'!$D$8:$D$42,ROW('03.Muestra'!$B$8:$B$42)-MIN(ROW('03.Muestra'!$D$8:$D$42))+1,""),ROW()-664)),"")</f>
        <v/>
      </c>
      <c r="B693" s="114" t="str" cm="1">
        <f t="array" ref="B693">IFERROR(INDEX('03.Muestra'!$C$8:$C$42,SMALL(IF("Documento no web"='03.Muestra'!$D$8:$D$42,ROW('03.Muestra'!$C$8:$C$42)-MIN(ROW('03.Muestra'!$D$8:$D$42))+1,""),ROW()-664)),"")</f>
        <v/>
      </c>
      <c r="C693" s="114" t="str" cm="1">
        <f t="array" ref="C693">IFERROR(INDEX('03.Muestra'!$F$8:$F$42,SMALL(IF("Documento no web"='03.Muestra'!$D$8:$D$42,ROW('03.Muestra'!$F$8:$F$42)-MIN(ROW('03.Muestra'!$D$8:$D$42))+1,""),ROW()-664)),"")</f>
        <v/>
      </c>
      <c r="D693" s="130" t="str">
        <f t="shared" si="35"/>
        <v/>
      </c>
      <c r="E693" s="107" t="str">
        <f t="shared" si="34"/>
        <v/>
      </c>
      <c r="F693" s="124"/>
      <c r="G693" s="19"/>
      <c r="H693" s="19"/>
      <c r="I693" s="19"/>
      <c r="J693" s="19"/>
      <c r="K693" s="233"/>
      <c r="L693" s="19"/>
      <c r="M693" s="19"/>
      <c r="N693" s="19"/>
      <c r="O693" s="19"/>
      <c r="P693" s="19"/>
      <c r="Q693" s="19"/>
      <c r="R693" s="19"/>
      <c r="S693" s="19"/>
      <c r="T693" s="19"/>
      <c r="U693" s="19"/>
      <c r="V693" s="19"/>
      <c r="W693" s="19"/>
      <c r="X693" s="19"/>
      <c r="Y693" s="19"/>
    </row>
    <row r="694" spans="1:25" ht="14.1" customHeight="1">
      <c r="A694" s="219" t="str" cm="1">
        <f t="array" ref="A694">IFERROR(INDEX('03.Muestra'!$B$8:$B$42,SMALL(IF("Documento no web"='03.Muestra'!$D$8:$D$42,ROW('03.Muestra'!$B$8:$B$42)-MIN(ROW('03.Muestra'!$D$8:$D$42))+1,""),ROW()-664)),"")</f>
        <v/>
      </c>
      <c r="B694" s="114" t="str" cm="1">
        <f t="array" ref="B694">IFERROR(INDEX('03.Muestra'!$C$8:$C$42,SMALL(IF("Documento no web"='03.Muestra'!$D$8:$D$42,ROW('03.Muestra'!$C$8:$C$42)-MIN(ROW('03.Muestra'!$D$8:$D$42))+1,""),ROW()-664)),"")</f>
        <v/>
      </c>
      <c r="C694" s="114" t="str" cm="1">
        <f t="array" ref="C694">IFERROR(INDEX('03.Muestra'!$F$8:$F$42,SMALL(IF("Documento no web"='03.Muestra'!$D$8:$D$42,ROW('03.Muestra'!$F$8:$F$42)-MIN(ROW('03.Muestra'!$D$8:$D$42))+1,""),ROW()-664)),"")</f>
        <v/>
      </c>
      <c r="D694" s="130" t="str">
        <f t="shared" si="35"/>
        <v/>
      </c>
      <c r="E694" s="107" t="str">
        <f t="shared" si="34"/>
        <v/>
      </c>
      <c r="F694" s="124"/>
      <c r="G694" s="19"/>
      <c r="H694" s="19"/>
      <c r="I694" s="19"/>
      <c r="J694" s="19"/>
      <c r="K694" s="233"/>
      <c r="L694" s="19"/>
      <c r="M694" s="19"/>
      <c r="N694" s="19"/>
      <c r="O694" s="19"/>
      <c r="P694" s="19"/>
      <c r="Q694" s="19"/>
      <c r="R694" s="19"/>
      <c r="S694" s="19"/>
      <c r="T694" s="19"/>
      <c r="U694" s="19"/>
      <c r="V694" s="19"/>
      <c r="W694" s="19"/>
      <c r="X694" s="19"/>
      <c r="Y694" s="19"/>
    </row>
    <row r="695" spans="1:25" ht="14.1" customHeight="1">
      <c r="A695" s="219" t="str" cm="1">
        <f t="array" ref="A695">IFERROR(INDEX('03.Muestra'!$B$8:$B$42,SMALL(IF("Documento no web"='03.Muestra'!$D$8:$D$42,ROW('03.Muestra'!$B$8:$B$42)-MIN(ROW('03.Muestra'!$D$8:$D$42))+1,""),ROW()-664)),"")</f>
        <v/>
      </c>
      <c r="B695" s="114" t="str" cm="1">
        <f t="array" ref="B695">IFERROR(INDEX('03.Muestra'!$C$8:$C$42,SMALL(IF("Documento no web"='03.Muestra'!$D$8:$D$42,ROW('03.Muestra'!$C$8:$C$42)-MIN(ROW('03.Muestra'!$D$8:$D$42))+1,""),ROW()-664)),"")</f>
        <v/>
      </c>
      <c r="C695" s="114" t="str" cm="1">
        <f t="array" ref="C695">IFERROR(INDEX('03.Muestra'!$F$8:$F$42,SMALL(IF("Documento no web"='03.Muestra'!$D$8:$D$42,ROW('03.Muestra'!$F$8:$F$42)-MIN(ROW('03.Muestra'!$D$8:$D$42))+1,""),ROW()-664)),"")</f>
        <v/>
      </c>
      <c r="D695" s="130" t="str">
        <f t="shared" si="35"/>
        <v/>
      </c>
      <c r="E695" s="107" t="str">
        <f t="shared" si="34"/>
        <v/>
      </c>
      <c r="F695" s="124"/>
      <c r="G695" s="19"/>
      <c r="H695" s="19"/>
      <c r="I695" s="19"/>
      <c r="J695" s="19"/>
      <c r="K695" s="233"/>
      <c r="L695" s="19"/>
      <c r="M695" s="19"/>
      <c r="N695" s="19"/>
      <c r="O695" s="19"/>
      <c r="P695" s="19"/>
      <c r="Q695" s="19"/>
      <c r="R695" s="19"/>
      <c r="S695" s="19"/>
      <c r="T695" s="19"/>
      <c r="U695" s="19"/>
      <c r="V695" s="19"/>
      <c r="W695" s="19"/>
      <c r="X695" s="19"/>
      <c r="Y695" s="19"/>
    </row>
    <row r="696" spans="1:25" ht="14.1" customHeight="1">
      <c r="A696" s="219" t="str" cm="1">
        <f t="array" ref="A696">IFERROR(INDEX('03.Muestra'!$B$8:$B$42,SMALL(IF("Documento no web"='03.Muestra'!$D$8:$D$42,ROW('03.Muestra'!$B$8:$B$42)-MIN(ROW('03.Muestra'!$D$8:$D$42))+1,""),ROW()-664)),"")</f>
        <v/>
      </c>
      <c r="B696" s="114" t="str" cm="1">
        <f t="array" ref="B696">IFERROR(INDEX('03.Muestra'!$C$8:$C$42,SMALL(IF("Documento no web"='03.Muestra'!$D$8:$D$42,ROW('03.Muestra'!$C$8:$C$42)-MIN(ROW('03.Muestra'!$D$8:$D$42))+1,""),ROW()-664)),"")</f>
        <v/>
      </c>
      <c r="C696" s="114" t="str" cm="1">
        <f t="array" ref="C696">IFERROR(INDEX('03.Muestra'!$F$8:$F$42,SMALL(IF("Documento no web"='03.Muestra'!$D$8:$D$42,ROW('03.Muestra'!$F$8:$F$42)-MIN(ROW('03.Muestra'!$D$8:$D$42))+1,""),ROW()-664)),"")</f>
        <v/>
      </c>
      <c r="D696" s="130" t="str">
        <f t="shared" si="35"/>
        <v/>
      </c>
      <c r="E696" s="107" t="str">
        <f t="shared" si="34"/>
        <v/>
      </c>
      <c r="F696" s="124"/>
      <c r="G696" s="19"/>
      <c r="H696" s="19"/>
      <c r="I696" s="19"/>
      <c r="J696" s="19"/>
      <c r="K696" s="233"/>
      <c r="L696" s="19"/>
      <c r="M696" s="19"/>
      <c r="N696" s="19"/>
      <c r="O696" s="19"/>
      <c r="P696" s="19"/>
      <c r="Q696" s="19"/>
      <c r="R696" s="19"/>
      <c r="S696" s="19"/>
      <c r="T696" s="19"/>
      <c r="U696" s="19"/>
      <c r="V696" s="19"/>
      <c r="W696" s="19"/>
      <c r="X696" s="19"/>
      <c r="Y696" s="19"/>
    </row>
    <row r="697" spans="1:25" ht="14.1" customHeight="1">
      <c r="A697" s="219" t="str" cm="1">
        <f t="array" ref="A697">IFERROR(INDEX('03.Muestra'!$B$8:$B$42,SMALL(IF("Documento no web"='03.Muestra'!$D$8:$D$42,ROW('03.Muestra'!$B$8:$B$42)-MIN(ROW('03.Muestra'!$D$8:$D$42))+1,""),ROW()-664)),"")</f>
        <v/>
      </c>
      <c r="B697" s="114" t="str" cm="1">
        <f t="array" ref="B697">IFERROR(INDEX('03.Muestra'!$C$8:$C$42,SMALL(IF("Documento no web"='03.Muestra'!$D$8:$D$42,ROW('03.Muestra'!$C$8:$C$42)-MIN(ROW('03.Muestra'!$D$8:$D$42))+1,""),ROW()-664)),"")</f>
        <v/>
      </c>
      <c r="C697" s="114" t="str" cm="1">
        <f t="array" ref="C697">IFERROR(INDEX('03.Muestra'!$F$8:$F$42,SMALL(IF("Documento no web"='03.Muestra'!$D$8:$D$42,ROW('03.Muestra'!$F$8:$F$42)-MIN(ROW('03.Muestra'!$D$8:$D$42))+1,""),ROW()-664)),"")</f>
        <v/>
      </c>
      <c r="D697" s="130" t="str">
        <f t="shared" si="35"/>
        <v/>
      </c>
      <c r="E697" s="107" t="str">
        <f t="shared" si="34"/>
        <v/>
      </c>
      <c r="F697" s="124"/>
      <c r="G697" s="19"/>
      <c r="H697" s="19"/>
      <c r="I697" s="19"/>
      <c r="J697" s="19"/>
      <c r="K697" s="233"/>
      <c r="L697" s="19"/>
      <c r="M697" s="19"/>
      <c r="N697" s="19"/>
      <c r="O697" s="19"/>
      <c r="P697" s="19"/>
      <c r="Q697" s="19"/>
      <c r="R697" s="19"/>
      <c r="S697" s="19"/>
      <c r="T697" s="19"/>
      <c r="U697" s="19"/>
      <c r="V697" s="19"/>
      <c r="W697" s="19"/>
      <c r="X697" s="19"/>
      <c r="Y697" s="19"/>
    </row>
    <row r="698" spans="1:25" ht="14.1" customHeight="1">
      <c r="A698" s="219" t="str" cm="1">
        <f t="array" ref="A698">IFERROR(INDEX('03.Muestra'!$B$8:$B$42,SMALL(IF("Documento no web"='03.Muestra'!$D$8:$D$42,ROW('03.Muestra'!$B$8:$B$42)-MIN(ROW('03.Muestra'!$D$8:$D$42))+1,""),ROW()-664)),"")</f>
        <v/>
      </c>
      <c r="B698" s="114" t="str" cm="1">
        <f t="array" ref="B698">IFERROR(INDEX('03.Muestra'!$C$8:$C$42,SMALL(IF("Documento no web"='03.Muestra'!$D$8:$D$42,ROW('03.Muestra'!$C$8:$C$42)-MIN(ROW('03.Muestra'!$D$8:$D$42))+1,""),ROW()-664)),"")</f>
        <v/>
      </c>
      <c r="C698" s="114" t="str" cm="1">
        <f t="array" ref="C698">IFERROR(INDEX('03.Muestra'!$F$8:$F$42,SMALL(IF("Documento no web"='03.Muestra'!$D$8:$D$42,ROW('03.Muestra'!$F$8:$F$42)-MIN(ROW('03.Muestra'!$D$8:$D$42))+1,""),ROW()-664)),"")</f>
        <v/>
      </c>
      <c r="D698" s="130" t="str">
        <f t="shared" si="35"/>
        <v/>
      </c>
      <c r="E698" s="107" t="str">
        <f t="shared" si="34"/>
        <v/>
      </c>
      <c r="F698" s="124"/>
      <c r="G698" s="19"/>
      <c r="H698" s="19"/>
      <c r="I698" s="19"/>
      <c r="J698" s="19"/>
      <c r="K698" s="233"/>
      <c r="L698" s="19"/>
      <c r="M698" s="19"/>
      <c r="N698" s="19"/>
      <c r="O698" s="19"/>
      <c r="P698" s="19"/>
      <c r="Q698" s="19"/>
      <c r="R698" s="19"/>
      <c r="S698" s="19"/>
      <c r="T698" s="19"/>
      <c r="U698" s="19"/>
      <c r="V698" s="19"/>
      <c r="W698" s="19"/>
      <c r="X698" s="19"/>
      <c r="Y698" s="19"/>
    </row>
    <row r="699" spans="1:25" ht="14.1" customHeight="1">
      <c r="A699" s="219" t="str" cm="1">
        <f t="array" ref="A699">IFERROR(INDEX('03.Muestra'!$B$8:$B$42,SMALL(IF("Documento no web"='03.Muestra'!$D$8:$D$42,ROW('03.Muestra'!$B$8:$B$42)-MIN(ROW('03.Muestra'!$D$8:$D$42))+1,""),ROW()-664)),"")</f>
        <v/>
      </c>
      <c r="B699" s="114" t="str" cm="1">
        <f t="array" ref="B699">IFERROR(INDEX('03.Muestra'!$C$8:$C$42,SMALL(IF("Documento no web"='03.Muestra'!$D$8:$D$42,ROW('03.Muestra'!$C$8:$C$42)-MIN(ROW('03.Muestra'!$D$8:$D$42))+1,""),ROW()-664)),"")</f>
        <v/>
      </c>
      <c r="C699" s="114" t="str" cm="1">
        <f t="array" ref="C699">IFERROR(INDEX('03.Muestra'!$F$8:$F$42,SMALL(IF("Documento no web"='03.Muestra'!$D$8:$D$42,ROW('03.Muestra'!$F$8:$F$42)-MIN(ROW('03.Muestra'!$D$8:$D$42))+1,""),ROW()-664)),"")</f>
        <v/>
      </c>
      <c r="D699" s="130" t="str">
        <f t="shared" si="35"/>
        <v/>
      </c>
      <c r="E699" s="107" t="str">
        <f t="shared" si="34"/>
        <v/>
      </c>
      <c r="F699" s="19"/>
      <c r="G699" s="19"/>
      <c r="H699" s="19"/>
      <c r="I699" s="19"/>
      <c r="J699" s="19"/>
      <c r="K699" s="233"/>
      <c r="L699" s="19"/>
      <c r="M699" s="19"/>
      <c r="N699" s="19"/>
      <c r="O699" s="19"/>
      <c r="P699" s="19"/>
      <c r="Q699" s="19"/>
      <c r="R699" s="19"/>
      <c r="S699" s="19"/>
      <c r="T699" s="19"/>
      <c r="U699" s="19"/>
      <c r="V699" s="19"/>
      <c r="W699" s="19"/>
      <c r="X699" s="19"/>
      <c r="Y699" s="19"/>
    </row>
    <row r="700" spans="1:25" ht="14.1" customHeight="1">
      <c r="B700" s="19"/>
      <c r="C700" s="19"/>
      <c r="D700" s="107"/>
      <c r="E700" s="107"/>
      <c r="F700" s="19"/>
      <c r="G700" s="19"/>
      <c r="H700" s="19"/>
      <c r="I700" s="19"/>
      <c r="J700" s="19"/>
      <c r="K700" s="233"/>
      <c r="L700" s="19"/>
      <c r="M700" s="19"/>
      <c r="N700" s="19"/>
      <c r="O700" s="19"/>
      <c r="P700" s="19"/>
      <c r="Q700" s="19"/>
      <c r="R700" s="19"/>
      <c r="S700" s="19"/>
      <c r="T700" s="19"/>
      <c r="U700" s="19"/>
      <c r="V700" s="19"/>
      <c r="W700" s="19"/>
      <c r="X700" s="19"/>
      <c r="Y700" s="19"/>
    </row>
    <row r="701" spans="1:25" ht="14.1" customHeight="1">
      <c r="B701" s="19"/>
      <c r="C701" s="19"/>
      <c r="D701" s="107"/>
      <c r="E701" s="112"/>
      <c r="F701" s="19"/>
      <c r="G701" s="19"/>
      <c r="H701" s="19"/>
      <c r="I701" s="19"/>
      <c r="J701" s="19"/>
      <c r="K701" s="233"/>
      <c r="L701" s="19"/>
      <c r="M701" s="19"/>
      <c r="N701" s="19"/>
      <c r="O701" s="19"/>
      <c r="P701" s="19"/>
      <c r="Q701" s="19"/>
      <c r="R701" s="19"/>
      <c r="S701" s="19"/>
      <c r="T701" s="19"/>
      <c r="U701" s="19"/>
      <c r="V701" s="19"/>
      <c r="W701" s="19"/>
      <c r="X701" s="19"/>
      <c r="Y701" s="19"/>
    </row>
    <row r="702" spans="1:25" ht="30.4" customHeight="1">
      <c r="A702" s="218" t="s">
        <v>268</v>
      </c>
      <c r="B702" s="24" t="s">
        <v>90</v>
      </c>
      <c r="C702" s="25" t="s">
        <v>440</v>
      </c>
      <c r="D702" s="26" t="s">
        <v>32</v>
      </c>
      <c r="E702" s="123"/>
      <c r="J702" s="125"/>
      <c r="K702" s="233"/>
      <c r="L702" s="19"/>
      <c r="M702" s="19"/>
      <c r="N702" s="19"/>
      <c r="O702" s="19"/>
      <c r="P702" s="19"/>
      <c r="Q702" s="19"/>
      <c r="R702" s="19"/>
      <c r="S702" s="19"/>
      <c r="T702" s="19"/>
      <c r="U702" s="19"/>
      <c r="V702" s="19"/>
      <c r="W702" s="19"/>
      <c r="X702" s="19"/>
      <c r="Y702" s="19"/>
    </row>
    <row r="703" spans="1:25" ht="14.1" customHeight="1">
      <c r="A703" s="219" t="n" cm="1">
        <f t="array" ref="A703">IFERROR(INDEX('03.Muestra'!$B$8:$B$42,SMALL(IF("Documento no web"='03.Muestra'!$D$8:$D$42,ROW('03.Muestra'!$B$8:$B$42)-MIN(ROW('03.Muestra'!$D$8:$D$42))+1,""),ROW()-702)),"")</f>
        <v>1.0</v>
      </c>
      <c r="B703" s="114" t="str" cm="1">
        <f t="array" ref="B703">IFERROR(INDEX('03.Muestra'!$C$8:$C$42,SMALL(IF("Documento no web"='03.Muestra'!$D$8:$D$42,ROW('03.Muestra'!$C$8:$C$42)-MIN(ROW('03.Muestra'!$D$8:$D$42))+1,""),ROW()-702)),"")</f>
        <v>Home - PortCastelló</v>
      </c>
      <c r="C703" s="114" t="str" cm="1">
        <f t="array" ref="C703">IFERROR(INDEX('03.Muestra'!$F$8:$F$42,SMALL(IF("Documento no web"='03.Muestra'!$D$8:$D$42,ROW('03.Muestra'!$F$8:$F$42)-MIN(ROW('03.Muestra'!$D$8:$D$42))+1,""),ROW()-702)),"")</f>
        <v>https://www.portcastello.com/</v>
      </c>
      <c r="D703" s="130" t="s">
        <v>33</v>
      </c>
      <c r="E703" s="107" t="str">
        <f t="shared" ref="E703:E737" si="36">IF(D703&lt;&gt;"",IF(AND(B703&lt;&gt;"",C703&lt;&gt;""),"","ERR"),"")</f>
        <v/>
      </c>
      <c r="F703" s="115" t="s">
        <v>33</v>
      </c>
      <c r="G703" s="116" t="s">
        <v>37</v>
      </c>
      <c r="H703" s="117" t="s">
        <v>35</v>
      </c>
      <c r="I703" s="118" t="s">
        <v>28</v>
      </c>
      <c r="J703" s="119" t="s">
        <v>26</v>
      </c>
      <c r="K703" s="226" t="s">
        <v>474</v>
      </c>
      <c r="L703" s="19"/>
      <c r="M703" s="19"/>
      <c r="N703" s="19"/>
      <c r="O703" s="19"/>
      <c r="P703" s="19"/>
      <c r="Q703" s="19"/>
      <c r="R703" s="19"/>
      <c r="S703" s="19"/>
      <c r="T703" s="19"/>
      <c r="U703" s="19"/>
      <c r="V703" s="19"/>
      <c r="W703" s="19"/>
      <c r="X703" s="19"/>
      <c r="Y703" s="19"/>
    </row>
    <row r="704" spans="1:25" ht="14.1" customHeight="1">
      <c r="A704" s="219" t="n" cm="1">
        <f t="array" ref="A704">IFERROR(INDEX('03.Muestra'!$B$8:$B$42,SMALL(IF("Documento no web"='03.Muestra'!$D$8:$D$42,ROW('03.Muestra'!$B$8:$B$42)-MIN(ROW('03.Muestra'!$D$8:$D$42))+1,""),ROW()-702)),"")</f>
        <v>1.0</v>
      </c>
      <c r="B704" s="114" t="str" cm="1">
        <f t="array" ref="B704">IFERROR(INDEX('03.Muestra'!$C$8:$C$42,SMALL(IF("Documento no web"='03.Muestra'!$D$8:$D$42,ROW('03.Muestra'!$C$8:$C$42)-MIN(ROW('03.Muestra'!$D$8:$D$42))+1,""),ROW()-702)),"")</f>
        <v>Home - PortCastelló</v>
      </c>
      <c r="C704" s="114" t="str" cm="1">
        <f t="array" ref="C704">IFERROR(INDEX('03.Muestra'!$F$8:$F$42,SMALL(IF("Documento no web"='03.Muestra'!$D$8:$D$42,ROW('03.Muestra'!$F$8:$F$42)-MIN(ROW('03.Muestra'!$D$8:$D$42))+1,""),ROW()-702)),"")</f>
        <v>https://www.portcastello.com/</v>
      </c>
      <c r="D704" s="130" t="s">
        <v>33</v>
      </c>
      <c r="E704" s="107" t="str">
        <f t="shared" si="36"/>
        <v/>
      </c>
      <c r="F704" s="120" t="n">
        <f ca="1">COUNTIF($D703:INDIRECT("$D" &amp;  SUM(ROW()-1,'03.Muestra'!$D$45)-1),F703)</f>
        <v>2.0</v>
      </c>
      <c r="G704" s="120" t="n">
        <f ca="1">COUNTIF($D703:INDIRECT("$D" &amp;  SUM(ROW()-1,'03.Muestra'!$D$45)-1),G703)</f>
        <v>0.0</v>
      </c>
      <c r="H704" s="120" t="n">
        <f ca="1">COUNTIF($D703:INDIRECT("$D" &amp;  SUM(ROW()-1,'03.Muestra'!$D$45)-1),H703)</f>
        <v>0.0</v>
      </c>
      <c r="I704" s="120" t="n">
        <f ca="1">COUNTIF($D703:INDIRECT("$D" &amp;  SUM(ROW()-1,'03.Muestra'!$D$45)-1),I703)</f>
        <v>0.0</v>
      </c>
      <c r="J704" s="120" t="n">
        <f ca="1">COUNTIF($D703:INDIRECT("$D" &amp;  SUM(ROW()-1,'03.Muestra'!$D$45)-1),J703)</f>
        <v>0.0</v>
      </c>
      <c r="K704" s="227" t="n">
        <f ca="1">IF(COUNTIF('03.Muestra'!$D$8:$D$42,"Documento no web")=0,0,COUNTBLANK($D703:INDIRECT("$D" &amp;  SUM(ROW()-1,COUNTIF('03.Muestra'!$D$8:$D$42,"Documento no web"))-1)))</f>
        <v>0.0</v>
      </c>
      <c r="L704" s="19"/>
      <c r="M704" s="19"/>
      <c r="N704" s="19"/>
      <c r="O704" s="19"/>
      <c r="P704" s="19"/>
      <c r="Q704" s="19"/>
      <c r="R704" s="19"/>
      <c r="S704" s="19"/>
      <c r="T704" s="19"/>
      <c r="U704" s="19"/>
      <c r="V704" s="19"/>
      <c r="W704" s="19"/>
      <c r="X704" s="19"/>
      <c r="Y704" s="19"/>
    </row>
    <row r="705" spans="1:25" ht="14.1" customHeight="1">
      <c r="A705" s="219" t="str" cm="1">
        <f t="array" ref="A705">IFERROR(INDEX('03.Muestra'!$B$8:$B$42,SMALL(IF("Documento no web"='03.Muestra'!$D$8:$D$42,ROW('03.Muestra'!$B$8:$B$42)-MIN(ROW('03.Muestra'!$D$8:$D$42))+1,""),ROW()-702)),"")</f>
        <v/>
      </c>
      <c r="B705" s="114" t="str" cm="1">
        <f t="array" ref="B705">IFERROR(INDEX('03.Muestra'!$C$8:$C$42,SMALL(IF("Documento no web"='03.Muestra'!$D$8:$D$42,ROW('03.Muestra'!$C$8:$C$42)-MIN(ROW('03.Muestra'!$D$8:$D$42))+1,""),ROW()-702)),"")</f>
        <v/>
      </c>
      <c r="C705" s="114" t="str" cm="1">
        <f t="array" ref="C705">IFERROR(INDEX('03.Muestra'!$F$8:$F$42,SMALL(IF("Documento no web"='03.Muestra'!$D$8:$D$42,ROW('03.Muestra'!$F$8:$F$42)-MIN(ROW('03.Muestra'!$D$8:$D$42))+1,""),ROW()-702)),"")</f>
        <v/>
      </c>
      <c r="D705" s="130" t="str">
        <f t="shared" si="37" ref="D705:D737">IF(AND(B705&lt;&gt;"",C705&lt;&gt;""),"N/T","")</f>
        <v/>
      </c>
      <c r="E705" s="107" t="str">
        <f t="shared" si="36"/>
        <v/>
      </c>
      <c r="G705" s="19"/>
      <c r="H705" s="19"/>
      <c r="I705" s="19"/>
      <c r="J705" s="19"/>
      <c r="K705" s="233"/>
      <c r="L705" s="19"/>
      <c r="M705" s="19"/>
      <c r="N705" s="19"/>
      <c r="O705" s="19"/>
      <c r="P705" s="19"/>
      <c r="Q705" s="19"/>
      <c r="R705" s="19"/>
      <c r="S705" s="19"/>
      <c r="T705" s="19"/>
      <c r="U705" s="19"/>
      <c r="V705" s="19"/>
      <c r="W705" s="19"/>
      <c r="X705" s="19"/>
      <c r="Y705" s="19"/>
    </row>
    <row r="706" spans="1:25" ht="14.1" customHeight="1">
      <c r="A706" s="219" t="str" cm="1">
        <f t="array" ref="A706">IFERROR(INDEX('03.Muestra'!$B$8:$B$42,SMALL(IF("Documento no web"='03.Muestra'!$D$8:$D$42,ROW('03.Muestra'!$B$8:$B$42)-MIN(ROW('03.Muestra'!$D$8:$D$42))+1,""),ROW()-702)),"")</f>
        <v/>
      </c>
      <c r="B706" s="114" t="str" cm="1">
        <f t="array" ref="B706">IFERROR(INDEX('03.Muestra'!$C$8:$C$42,SMALL(IF("Documento no web"='03.Muestra'!$D$8:$D$42,ROW('03.Muestra'!$C$8:$C$42)-MIN(ROW('03.Muestra'!$D$8:$D$42))+1,""),ROW()-702)),"")</f>
        <v/>
      </c>
      <c r="C706" s="114" t="str" cm="1">
        <f t="array" ref="C706">IFERROR(INDEX('03.Muestra'!$F$8:$F$42,SMALL(IF("Documento no web"='03.Muestra'!$D$8:$D$42,ROW('03.Muestra'!$F$8:$F$42)-MIN(ROW('03.Muestra'!$D$8:$D$42))+1,""),ROW()-702)),"")</f>
        <v/>
      </c>
      <c r="D706" s="130" t="str">
        <f t="shared" si="37"/>
        <v/>
      </c>
      <c r="E706" s="107" t="str">
        <f t="shared" si="36"/>
        <v/>
      </c>
      <c r="G706" s="19"/>
      <c r="H706" s="19"/>
      <c r="I706" s="19"/>
      <c r="J706" s="19"/>
      <c r="K706" s="233"/>
      <c r="L706" s="19"/>
      <c r="M706" s="19"/>
      <c r="N706" s="19"/>
      <c r="O706" s="19"/>
      <c r="P706" s="19"/>
      <c r="Q706" s="19"/>
      <c r="R706" s="19"/>
      <c r="S706" s="19"/>
      <c r="T706" s="19"/>
      <c r="U706" s="19"/>
      <c r="V706" s="19"/>
      <c r="W706" s="19"/>
      <c r="X706" s="19"/>
      <c r="Y706" s="19"/>
    </row>
    <row r="707" spans="1:25" ht="14.1" customHeight="1">
      <c r="A707" s="219" t="str" cm="1">
        <f t="array" ref="A707">IFERROR(INDEX('03.Muestra'!$B$8:$B$42,SMALL(IF("Documento no web"='03.Muestra'!$D$8:$D$42,ROW('03.Muestra'!$B$8:$B$42)-MIN(ROW('03.Muestra'!$D$8:$D$42))+1,""),ROW()-702)),"")</f>
        <v/>
      </c>
      <c r="B707" s="114" t="str" cm="1">
        <f t="array" ref="B707">IFERROR(INDEX('03.Muestra'!$C$8:$C$42,SMALL(IF("Documento no web"='03.Muestra'!$D$8:$D$42,ROW('03.Muestra'!$C$8:$C$42)-MIN(ROW('03.Muestra'!$D$8:$D$42))+1,""),ROW()-702)),"")</f>
        <v/>
      </c>
      <c r="C707" s="114" t="str" cm="1">
        <f t="array" ref="C707">IFERROR(INDEX('03.Muestra'!$F$8:$F$42,SMALL(IF("Documento no web"='03.Muestra'!$D$8:$D$42,ROW('03.Muestra'!$F$8:$F$42)-MIN(ROW('03.Muestra'!$D$8:$D$42))+1,""),ROW()-702)),"")</f>
        <v/>
      </c>
      <c r="D707" s="130" t="str">
        <f t="shared" si="37"/>
        <v/>
      </c>
      <c r="E707" s="107" t="str">
        <f t="shared" si="36"/>
        <v/>
      </c>
      <c r="G707" s="19"/>
      <c r="H707" s="19"/>
      <c r="I707" s="19"/>
      <c r="J707" s="19"/>
      <c r="K707" s="233"/>
      <c r="L707" s="19"/>
      <c r="M707" s="19"/>
      <c r="N707" s="19"/>
      <c r="O707" s="19"/>
      <c r="P707" s="19"/>
      <c r="Q707" s="19"/>
      <c r="R707" s="19"/>
      <c r="S707" s="19"/>
      <c r="T707" s="19"/>
      <c r="U707" s="19"/>
      <c r="V707" s="19"/>
      <c r="W707" s="19"/>
      <c r="X707" s="19"/>
      <c r="Y707" s="19"/>
    </row>
    <row r="708" spans="1:25" ht="14.1" customHeight="1">
      <c r="A708" s="219" t="str" cm="1">
        <f t="array" ref="A708">IFERROR(INDEX('03.Muestra'!$B$8:$B$42,SMALL(IF("Documento no web"='03.Muestra'!$D$8:$D$42,ROW('03.Muestra'!$B$8:$B$42)-MIN(ROW('03.Muestra'!$D$8:$D$42))+1,""),ROW()-702)),"")</f>
        <v/>
      </c>
      <c r="B708" s="114" t="str" cm="1">
        <f t="array" ref="B708">IFERROR(INDEX('03.Muestra'!$C$8:$C$42,SMALL(IF("Documento no web"='03.Muestra'!$D$8:$D$42,ROW('03.Muestra'!$C$8:$C$42)-MIN(ROW('03.Muestra'!$D$8:$D$42))+1,""),ROW()-702)),"")</f>
        <v/>
      </c>
      <c r="C708" s="114" t="str" cm="1">
        <f t="array" ref="C708">IFERROR(INDEX('03.Muestra'!$F$8:$F$42,SMALL(IF("Documento no web"='03.Muestra'!$D$8:$D$42,ROW('03.Muestra'!$F$8:$F$42)-MIN(ROW('03.Muestra'!$D$8:$D$42))+1,""),ROW()-702)),"")</f>
        <v/>
      </c>
      <c r="D708" s="130" t="str">
        <f t="shared" si="37"/>
        <v/>
      </c>
      <c r="E708" s="107" t="str">
        <f t="shared" si="36"/>
        <v/>
      </c>
      <c r="G708" s="19"/>
      <c r="H708" s="19"/>
      <c r="I708" s="19"/>
      <c r="J708" s="19"/>
      <c r="K708" s="233"/>
      <c r="L708" s="19"/>
      <c r="M708" s="19"/>
      <c r="N708" s="19"/>
      <c r="O708" s="19"/>
      <c r="P708" s="19"/>
      <c r="Q708" s="19"/>
      <c r="R708" s="19"/>
      <c r="S708" s="19"/>
      <c r="T708" s="19"/>
      <c r="U708" s="19"/>
      <c r="V708" s="19"/>
      <c r="W708" s="19"/>
      <c r="X708" s="19"/>
      <c r="Y708" s="19"/>
    </row>
    <row r="709" spans="1:25" ht="14.1" customHeight="1">
      <c r="A709" s="219" t="str" cm="1">
        <f t="array" ref="A709">IFERROR(INDEX('03.Muestra'!$B$8:$B$42,SMALL(IF("Documento no web"='03.Muestra'!$D$8:$D$42,ROW('03.Muestra'!$B$8:$B$42)-MIN(ROW('03.Muestra'!$D$8:$D$42))+1,""),ROW()-702)),"")</f>
        <v/>
      </c>
      <c r="B709" s="114" t="str" cm="1">
        <f t="array" ref="B709">IFERROR(INDEX('03.Muestra'!$C$8:$C$42,SMALL(IF("Documento no web"='03.Muestra'!$D$8:$D$42,ROW('03.Muestra'!$C$8:$C$42)-MIN(ROW('03.Muestra'!$D$8:$D$42))+1,""),ROW()-702)),"")</f>
        <v/>
      </c>
      <c r="C709" s="114" t="str" cm="1">
        <f t="array" ref="C709">IFERROR(INDEX('03.Muestra'!$F$8:$F$42,SMALL(IF("Documento no web"='03.Muestra'!$D$8:$D$42,ROW('03.Muestra'!$F$8:$F$42)-MIN(ROW('03.Muestra'!$D$8:$D$42))+1,""),ROW()-702)),"")</f>
        <v/>
      </c>
      <c r="D709" s="130" t="str">
        <f t="shared" si="37"/>
        <v/>
      </c>
      <c r="E709" s="107" t="str">
        <f t="shared" si="36"/>
        <v/>
      </c>
      <c r="F709" s="19"/>
      <c r="G709" s="19"/>
      <c r="H709" s="19"/>
      <c r="I709" s="19"/>
      <c r="J709" s="19"/>
      <c r="K709" s="233"/>
      <c r="L709" s="19"/>
      <c r="M709" s="19"/>
      <c r="N709" s="19"/>
      <c r="O709" s="19"/>
      <c r="P709" s="19"/>
      <c r="Q709" s="19"/>
      <c r="R709" s="19"/>
      <c r="S709" s="19"/>
      <c r="T709" s="19"/>
      <c r="U709" s="19"/>
      <c r="V709" s="19"/>
      <c r="W709" s="19"/>
      <c r="X709" s="19"/>
      <c r="Y709" s="19"/>
    </row>
    <row r="710" spans="1:25" ht="14.1" customHeight="1">
      <c r="A710" s="219" t="str" cm="1">
        <f t="array" ref="A710">IFERROR(INDEX('03.Muestra'!$B$8:$B$42,SMALL(IF("Documento no web"='03.Muestra'!$D$8:$D$42,ROW('03.Muestra'!$B$8:$B$42)-MIN(ROW('03.Muestra'!$D$8:$D$42))+1,""),ROW()-702)),"")</f>
        <v/>
      </c>
      <c r="B710" s="114" t="str" cm="1">
        <f t="array" ref="B710">IFERROR(INDEX('03.Muestra'!$C$8:$C$42,SMALL(IF("Documento no web"='03.Muestra'!$D$8:$D$42,ROW('03.Muestra'!$C$8:$C$42)-MIN(ROW('03.Muestra'!$D$8:$D$42))+1,""),ROW()-702)),"")</f>
        <v/>
      </c>
      <c r="C710" s="114" t="str" cm="1">
        <f t="array" ref="C710">IFERROR(INDEX('03.Muestra'!$F$8:$F$42,SMALL(IF("Documento no web"='03.Muestra'!$D$8:$D$42,ROW('03.Muestra'!$F$8:$F$42)-MIN(ROW('03.Muestra'!$D$8:$D$42))+1,""),ROW()-702)),"")</f>
        <v/>
      </c>
      <c r="D710" s="130" t="str">
        <f t="shared" si="37"/>
        <v/>
      </c>
      <c r="E710" s="107" t="str">
        <f t="shared" si="36"/>
        <v/>
      </c>
      <c r="F710" s="19"/>
      <c r="G710" s="19"/>
      <c r="H710" s="19"/>
      <c r="I710" s="19"/>
      <c r="J710" s="19"/>
      <c r="K710" s="233"/>
      <c r="L710" s="19"/>
      <c r="M710" s="19"/>
      <c r="N710" s="19"/>
      <c r="O710" s="19"/>
      <c r="P710" s="19"/>
      <c r="Q710" s="19"/>
      <c r="R710" s="19"/>
      <c r="S710" s="19"/>
      <c r="T710" s="19"/>
      <c r="U710" s="19"/>
      <c r="V710" s="19"/>
      <c r="W710" s="19"/>
      <c r="X710" s="19"/>
      <c r="Y710" s="19"/>
    </row>
    <row r="711" spans="1:25" ht="14.1" customHeight="1">
      <c r="A711" s="219" t="str" cm="1">
        <f t="array" ref="A711">IFERROR(INDEX('03.Muestra'!$B$8:$B$42,SMALL(IF("Documento no web"='03.Muestra'!$D$8:$D$42,ROW('03.Muestra'!$B$8:$B$42)-MIN(ROW('03.Muestra'!$D$8:$D$42))+1,""),ROW()-702)),"")</f>
        <v/>
      </c>
      <c r="B711" s="114" t="str" cm="1">
        <f t="array" ref="B711">IFERROR(INDEX('03.Muestra'!$C$8:$C$42,SMALL(IF("Documento no web"='03.Muestra'!$D$8:$D$42,ROW('03.Muestra'!$C$8:$C$42)-MIN(ROW('03.Muestra'!$D$8:$D$42))+1,""),ROW()-702)),"")</f>
        <v/>
      </c>
      <c r="C711" s="114" t="str" cm="1">
        <f t="array" ref="C711">IFERROR(INDEX('03.Muestra'!$F$8:$F$42,SMALL(IF("Documento no web"='03.Muestra'!$D$8:$D$42,ROW('03.Muestra'!$F$8:$F$42)-MIN(ROW('03.Muestra'!$D$8:$D$42))+1,""),ROW()-702)),"")</f>
        <v/>
      </c>
      <c r="D711" s="130" t="str">
        <f t="shared" si="37"/>
        <v/>
      </c>
      <c r="E711" s="107" t="str">
        <f t="shared" si="36"/>
        <v/>
      </c>
      <c r="F711" s="19"/>
      <c r="G711" s="19"/>
      <c r="H711" s="19"/>
      <c r="I711" s="19"/>
      <c r="J711" s="19"/>
      <c r="K711" s="233"/>
      <c r="L711" s="19"/>
      <c r="M711" s="19"/>
      <c r="N711" s="19"/>
      <c r="O711" s="19"/>
      <c r="P711" s="19"/>
      <c r="Q711" s="19"/>
      <c r="R711" s="19"/>
      <c r="S711" s="19"/>
      <c r="T711" s="19"/>
      <c r="U711" s="19"/>
      <c r="V711" s="19"/>
      <c r="W711" s="19"/>
      <c r="X711" s="19"/>
      <c r="Y711" s="19"/>
    </row>
    <row r="712" spans="1:25" ht="14.1" customHeight="1">
      <c r="A712" s="219" t="str" cm="1">
        <f t="array" ref="A712">IFERROR(INDEX('03.Muestra'!$B$8:$B$42,SMALL(IF("Documento no web"='03.Muestra'!$D$8:$D$42,ROW('03.Muestra'!$B$8:$B$42)-MIN(ROW('03.Muestra'!$D$8:$D$42))+1,""),ROW()-702)),"")</f>
        <v/>
      </c>
      <c r="B712" s="114" t="str" cm="1">
        <f t="array" ref="B712">IFERROR(INDEX('03.Muestra'!$C$8:$C$42,SMALL(IF("Documento no web"='03.Muestra'!$D$8:$D$42,ROW('03.Muestra'!$C$8:$C$42)-MIN(ROW('03.Muestra'!$D$8:$D$42))+1,""),ROW()-702)),"")</f>
        <v/>
      </c>
      <c r="C712" s="114" t="str" cm="1">
        <f t="array" ref="C712">IFERROR(INDEX('03.Muestra'!$F$8:$F$42,SMALL(IF("Documento no web"='03.Muestra'!$D$8:$D$42,ROW('03.Muestra'!$F$8:$F$42)-MIN(ROW('03.Muestra'!$D$8:$D$42))+1,""),ROW()-702)),"")</f>
        <v/>
      </c>
      <c r="D712" s="130" t="str">
        <f t="shared" si="37"/>
        <v/>
      </c>
      <c r="E712" s="107" t="str">
        <f t="shared" si="36"/>
        <v/>
      </c>
      <c r="F712" s="19"/>
      <c r="G712" s="19"/>
      <c r="H712" s="19"/>
      <c r="I712" s="19"/>
      <c r="J712" s="19"/>
      <c r="K712" s="233"/>
      <c r="L712" s="19"/>
      <c r="M712" s="19"/>
      <c r="N712" s="19"/>
      <c r="O712" s="19"/>
      <c r="P712" s="19"/>
      <c r="Q712" s="19"/>
      <c r="R712" s="19"/>
      <c r="S712" s="19"/>
      <c r="T712" s="19"/>
      <c r="U712" s="19"/>
      <c r="V712" s="19"/>
      <c r="W712" s="19"/>
      <c r="X712" s="19"/>
      <c r="Y712" s="19"/>
    </row>
    <row r="713" spans="1:25" ht="14.1" customHeight="1">
      <c r="A713" s="219" t="str" cm="1">
        <f t="array" ref="A713">IFERROR(INDEX('03.Muestra'!$B$8:$B$42,SMALL(IF("Documento no web"='03.Muestra'!$D$8:$D$42,ROW('03.Muestra'!$B$8:$B$42)-MIN(ROW('03.Muestra'!$D$8:$D$42))+1,""),ROW()-702)),"")</f>
        <v/>
      </c>
      <c r="B713" s="114" t="str" cm="1">
        <f t="array" ref="B713">IFERROR(INDEX('03.Muestra'!$C$8:$C$42,SMALL(IF("Documento no web"='03.Muestra'!$D$8:$D$42,ROW('03.Muestra'!$C$8:$C$42)-MIN(ROW('03.Muestra'!$D$8:$D$42))+1,""),ROW()-702)),"")</f>
        <v/>
      </c>
      <c r="C713" s="114" t="str" cm="1">
        <f t="array" ref="C713">IFERROR(INDEX('03.Muestra'!$F$8:$F$42,SMALL(IF("Documento no web"='03.Muestra'!$D$8:$D$42,ROW('03.Muestra'!$F$8:$F$42)-MIN(ROW('03.Muestra'!$D$8:$D$42))+1,""),ROW()-702)),"")</f>
        <v/>
      </c>
      <c r="D713" s="130" t="str">
        <f t="shared" si="37"/>
        <v/>
      </c>
      <c r="E713" s="107" t="str">
        <f t="shared" si="36"/>
        <v/>
      </c>
      <c r="F713" s="19"/>
      <c r="G713" s="19"/>
      <c r="H713" s="19"/>
      <c r="I713" s="19"/>
      <c r="J713" s="19"/>
      <c r="K713" s="233"/>
      <c r="L713" s="19"/>
      <c r="M713" s="19"/>
      <c r="N713" s="19"/>
      <c r="O713" s="19"/>
      <c r="P713" s="19"/>
      <c r="Q713" s="19"/>
      <c r="R713" s="19"/>
      <c r="S713" s="19"/>
      <c r="T713" s="19"/>
      <c r="U713" s="19"/>
      <c r="V713" s="19"/>
      <c r="W713" s="19"/>
      <c r="X713" s="19"/>
      <c r="Y713" s="19"/>
    </row>
    <row r="714" spans="1:25" ht="14.1" customHeight="1">
      <c r="A714" s="219" t="str" cm="1">
        <f t="array" ref="A714">IFERROR(INDEX('03.Muestra'!$B$8:$B$42,SMALL(IF("Documento no web"='03.Muestra'!$D$8:$D$42,ROW('03.Muestra'!$B$8:$B$42)-MIN(ROW('03.Muestra'!$D$8:$D$42))+1,""),ROW()-702)),"")</f>
        <v/>
      </c>
      <c r="B714" s="114" t="str" cm="1">
        <f t="array" ref="B714">IFERROR(INDEX('03.Muestra'!$C$8:$C$42,SMALL(IF("Documento no web"='03.Muestra'!$D$8:$D$42,ROW('03.Muestra'!$C$8:$C$42)-MIN(ROW('03.Muestra'!$D$8:$D$42))+1,""),ROW()-702)),"")</f>
        <v/>
      </c>
      <c r="C714" s="114" t="str" cm="1">
        <f t="array" ref="C714">IFERROR(INDEX('03.Muestra'!$F$8:$F$42,SMALL(IF("Documento no web"='03.Muestra'!$D$8:$D$42,ROW('03.Muestra'!$F$8:$F$42)-MIN(ROW('03.Muestra'!$D$8:$D$42))+1,""),ROW()-702)),"")</f>
        <v/>
      </c>
      <c r="D714" s="130" t="str">
        <f t="shared" si="37"/>
        <v/>
      </c>
      <c r="E714" s="107" t="str">
        <f t="shared" si="36"/>
        <v/>
      </c>
      <c r="F714" s="19"/>
      <c r="G714" s="19"/>
      <c r="H714" s="19"/>
      <c r="I714" s="19"/>
      <c r="J714" s="19"/>
      <c r="K714" s="233"/>
      <c r="L714" s="19"/>
      <c r="M714" s="19"/>
      <c r="N714" s="19"/>
      <c r="O714" s="19"/>
      <c r="P714" s="19"/>
      <c r="Q714" s="19"/>
      <c r="R714" s="19"/>
      <c r="S714" s="19"/>
      <c r="T714" s="19"/>
      <c r="U714" s="19"/>
      <c r="V714" s="19"/>
      <c r="W714" s="19"/>
      <c r="X714" s="19"/>
      <c r="Y714" s="19"/>
    </row>
    <row r="715" spans="1:25" ht="14.1" customHeight="1">
      <c r="A715" s="219" t="str" cm="1">
        <f t="array" ref="A715">IFERROR(INDEX('03.Muestra'!$B$8:$B$42,SMALL(IF("Documento no web"='03.Muestra'!$D$8:$D$42,ROW('03.Muestra'!$B$8:$B$42)-MIN(ROW('03.Muestra'!$D$8:$D$42))+1,""),ROW()-702)),"")</f>
        <v/>
      </c>
      <c r="B715" s="114" t="str" cm="1">
        <f t="array" ref="B715">IFERROR(INDEX('03.Muestra'!$C$8:$C$42,SMALL(IF("Documento no web"='03.Muestra'!$D$8:$D$42,ROW('03.Muestra'!$C$8:$C$42)-MIN(ROW('03.Muestra'!$D$8:$D$42))+1,""),ROW()-702)),"")</f>
        <v/>
      </c>
      <c r="C715" s="114" t="str" cm="1">
        <f t="array" ref="C715">IFERROR(INDEX('03.Muestra'!$F$8:$F$42,SMALL(IF("Documento no web"='03.Muestra'!$D$8:$D$42,ROW('03.Muestra'!$F$8:$F$42)-MIN(ROW('03.Muestra'!$D$8:$D$42))+1,""),ROW()-702)),"")</f>
        <v/>
      </c>
      <c r="D715" s="130" t="str">
        <f t="shared" si="37"/>
        <v/>
      </c>
      <c r="E715" s="107" t="str">
        <f t="shared" si="36"/>
        <v/>
      </c>
      <c r="F715" s="19"/>
      <c r="G715" s="19"/>
      <c r="H715" s="19"/>
      <c r="I715" s="19"/>
      <c r="J715" s="19"/>
      <c r="K715" s="233"/>
      <c r="L715" s="19"/>
      <c r="M715" s="19"/>
      <c r="N715" s="19"/>
      <c r="O715" s="19"/>
      <c r="P715" s="19"/>
      <c r="Q715" s="19"/>
      <c r="R715" s="19"/>
      <c r="S715" s="19"/>
      <c r="T715" s="19"/>
      <c r="U715" s="19"/>
      <c r="V715" s="19"/>
      <c r="W715" s="19"/>
      <c r="X715" s="19"/>
      <c r="Y715" s="19"/>
    </row>
    <row r="716" spans="1:25" ht="14.1" customHeight="1">
      <c r="A716" s="219" t="str" cm="1">
        <f t="array" ref="A716">IFERROR(INDEX('03.Muestra'!$B$8:$B$42,SMALL(IF("Documento no web"='03.Muestra'!$D$8:$D$42,ROW('03.Muestra'!$B$8:$B$42)-MIN(ROW('03.Muestra'!$D$8:$D$42))+1,""),ROW()-702)),"")</f>
        <v/>
      </c>
      <c r="B716" s="114" t="str" cm="1">
        <f t="array" ref="B716">IFERROR(INDEX('03.Muestra'!$C$8:$C$42,SMALL(IF("Documento no web"='03.Muestra'!$D$8:$D$42,ROW('03.Muestra'!$C$8:$C$42)-MIN(ROW('03.Muestra'!$D$8:$D$42))+1,""),ROW()-702)),"")</f>
        <v/>
      </c>
      <c r="C716" s="114" t="str" cm="1">
        <f t="array" ref="C716">IFERROR(INDEX('03.Muestra'!$F$8:$F$42,SMALL(IF("Documento no web"='03.Muestra'!$D$8:$D$42,ROW('03.Muestra'!$F$8:$F$42)-MIN(ROW('03.Muestra'!$D$8:$D$42))+1,""),ROW()-702)),"")</f>
        <v/>
      </c>
      <c r="D716" s="130" t="str">
        <f t="shared" si="37"/>
        <v/>
      </c>
      <c r="E716" s="107" t="str">
        <f t="shared" si="36"/>
        <v/>
      </c>
      <c r="F716" s="19"/>
      <c r="G716" s="19"/>
      <c r="H716" s="19"/>
      <c r="I716" s="19"/>
      <c r="J716" s="19"/>
      <c r="K716" s="233"/>
      <c r="L716" s="19"/>
      <c r="M716" s="19"/>
      <c r="N716" s="19"/>
      <c r="O716" s="19"/>
      <c r="P716" s="19"/>
      <c r="Q716" s="19"/>
      <c r="R716" s="19"/>
      <c r="S716" s="19"/>
      <c r="T716" s="19"/>
      <c r="U716" s="19"/>
      <c r="V716" s="19"/>
      <c r="W716" s="19"/>
      <c r="X716" s="19"/>
      <c r="Y716" s="19"/>
    </row>
    <row r="717" spans="1:25" ht="14.1" customHeight="1">
      <c r="A717" s="219" t="str" cm="1">
        <f t="array" ref="A717">IFERROR(INDEX('03.Muestra'!$B$8:$B$42,SMALL(IF("Documento no web"='03.Muestra'!$D$8:$D$42,ROW('03.Muestra'!$B$8:$B$42)-MIN(ROW('03.Muestra'!$D$8:$D$42))+1,""),ROW()-702)),"")</f>
        <v/>
      </c>
      <c r="B717" s="114" t="str" cm="1">
        <f t="array" ref="B717">IFERROR(INDEX('03.Muestra'!$C$8:$C$42,SMALL(IF("Documento no web"='03.Muestra'!$D$8:$D$42,ROW('03.Muestra'!$C$8:$C$42)-MIN(ROW('03.Muestra'!$D$8:$D$42))+1,""),ROW()-702)),"")</f>
        <v/>
      </c>
      <c r="C717" s="114" t="str" cm="1">
        <f t="array" ref="C717">IFERROR(INDEX('03.Muestra'!$F$8:$F$42,SMALL(IF("Documento no web"='03.Muestra'!$D$8:$D$42,ROW('03.Muestra'!$F$8:$F$42)-MIN(ROW('03.Muestra'!$D$8:$D$42))+1,""),ROW()-702)),"")</f>
        <v/>
      </c>
      <c r="D717" s="130" t="str">
        <f t="shared" si="37"/>
        <v/>
      </c>
      <c r="E717" s="107" t="str">
        <f t="shared" si="36"/>
        <v/>
      </c>
      <c r="F717" s="19"/>
      <c r="G717" s="19"/>
      <c r="H717" s="19"/>
      <c r="I717" s="19"/>
      <c r="J717" s="19"/>
      <c r="K717" s="233"/>
      <c r="L717" s="19"/>
      <c r="M717" s="19"/>
      <c r="N717" s="19"/>
      <c r="O717" s="19"/>
      <c r="P717" s="19"/>
      <c r="Q717" s="19"/>
      <c r="R717" s="19"/>
      <c r="S717" s="19"/>
      <c r="T717" s="19"/>
      <c r="U717" s="19"/>
      <c r="V717" s="19"/>
      <c r="W717" s="19"/>
      <c r="X717" s="19"/>
      <c r="Y717" s="19"/>
    </row>
    <row r="718" spans="1:25" ht="14.1" customHeight="1">
      <c r="A718" s="219" t="str" cm="1">
        <f t="array" ref="A718">IFERROR(INDEX('03.Muestra'!$B$8:$B$42,SMALL(IF("Documento no web"='03.Muestra'!$D$8:$D$42,ROW('03.Muestra'!$B$8:$B$42)-MIN(ROW('03.Muestra'!$D$8:$D$42))+1,""),ROW()-702)),"")</f>
        <v/>
      </c>
      <c r="B718" s="114" t="str" cm="1">
        <f t="array" ref="B718">IFERROR(INDEX('03.Muestra'!$C$8:$C$42,SMALL(IF("Documento no web"='03.Muestra'!$D$8:$D$42,ROW('03.Muestra'!$C$8:$C$42)-MIN(ROW('03.Muestra'!$D$8:$D$42))+1,""),ROW()-702)),"")</f>
        <v/>
      </c>
      <c r="C718" s="114" t="str" cm="1">
        <f t="array" ref="C718">IFERROR(INDEX('03.Muestra'!$F$8:$F$42,SMALL(IF("Documento no web"='03.Muestra'!$D$8:$D$42,ROW('03.Muestra'!$F$8:$F$42)-MIN(ROW('03.Muestra'!$D$8:$D$42))+1,""),ROW()-702)),"")</f>
        <v/>
      </c>
      <c r="D718" s="130" t="str">
        <f t="shared" si="37"/>
        <v/>
      </c>
      <c r="E718" s="107" t="str">
        <f t="shared" si="36"/>
        <v/>
      </c>
      <c r="F718" s="19"/>
      <c r="G718" s="19"/>
      <c r="H718" s="19"/>
      <c r="I718" s="19"/>
      <c r="J718" s="19"/>
      <c r="K718" s="233"/>
      <c r="L718" s="19"/>
      <c r="M718" s="19"/>
      <c r="N718" s="19"/>
      <c r="O718" s="19"/>
      <c r="P718" s="19"/>
      <c r="Q718" s="19"/>
      <c r="R718" s="19"/>
      <c r="S718" s="19"/>
      <c r="T718" s="19"/>
      <c r="U718" s="19"/>
      <c r="V718" s="19"/>
      <c r="W718" s="19"/>
      <c r="X718" s="19"/>
      <c r="Y718" s="19"/>
    </row>
    <row r="719" spans="1:25" ht="14.1" customHeight="1">
      <c r="A719" s="219" t="str" cm="1">
        <f t="array" ref="A719">IFERROR(INDEX('03.Muestra'!$B$8:$B$42,SMALL(IF("Documento no web"='03.Muestra'!$D$8:$D$42,ROW('03.Muestra'!$B$8:$B$42)-MIN(ROW('03.Muestra'!$D$8:$D$42))+1,""),ROW()-702)),"")</f>
        <v/>
      </c>
      <c r="B719" s="114" t="str" cm="1">
        <f t="array" ref="B719">IFERROR(INDEX('03.Muestra'!$C$8:$C$42,SMALL(IF("Documento no web"='03.Muestra'!$D$8:$D$42,ROW('03.Muestra'!$C$8:$C$42)-MIN(ROW('03.Muestra'!$D$8:$D$42))+1,""),ROW()-702)),"")</f>
        <v/>
      </c>
      <c r="C719" s="114" t="str" cm="1">
        <f t="array" ref="C719">IFERROR(INDEX('03.Muestra'!$F$8:$F$42,SMALL(IF("Documento no web"='03.Muestra'!$D$8:$D$42,ROW('03.Muestra'!$F$8:$F$42)-MIN(ROW('03.Muestra'!$D$8:$D$42))+1,""),ROW()-702)),"")</f>
        <v/>
      </c>
      <c r="D719" s="130" t="str">
        <f t="shared" si="37"/>
        <v/>
      </c>
      <c r="E719" s="107" t="str">
        <f t="shared" si="36"/>
        <v/>
      </c>
      <c r="F719" s="19"/>
      <c r="G719" s="19"/>
      <c r="H719" s="19"/>
      <c r="I719" s="19"/>
      <c r="J719" s="19"/>
      <c r="K719" s="233"/>
      <c r="L719" s="19"/>
      <c r="M719" s="19"/>
      <c r="N719" s="19"/>
      <c r="O719" s="19"/>
      <c r="P719" s="19"/>
      <c r="Q719" s="19"/>
      <c r="R719" s="19"/>
      <c r="S719" s="19"/>
      <c r="T719" s="19"/>
      <c r="U719" s="19"/>
      <c r="V719" s="19"/>
      <c r="W719" s="19"/>
      <c r="X719" s="19"/>
      <c r="Y719" s="19"/>
    </row>
    <row r="720" spans="1:25" ht="14.1" customHeight="1">
      <c r="A720" s="219" t="str" cm="1">
        <f t="array" ref="A720">IFERROR(INDEX('03.Muestra'!$B$8:$B$42,SMALL(IF("Documento no web"='03.Muestra'!$D$8:$D$42,ROW('03.Muestra'!$B$8:$B$42)-MIN(ROW('03.Muestra'!$D$8:$D$42))+1,""),ROW()-702)),"")</f>
        <v/>
      </c>
      <c r="B720" s="114" t="str" cm="1">
        <f t="array" ref="B720">IFERROR(INDEX('03.Muestra'!$C$8:$C$42,SMALL(IF("Documento no web"='03.Muestra'!$D$8:$D$42,ROW('03.Muestra'!$C$8:$C$42)-MIN(ROW('03.Muestra'!$D$8:$D$42))+1,""),ROW()-702)),"")</f>
        <v/>
      </c>
      <c r="C720" s="114" t="str" cm="1">
        <f t="array" ref="C720">IFERROR(INDEX('03.Muestra'!$F$8:$F$42,SMALL(IF("Documento no web"='03.Muestra'!$D$8:$D$42,ROW('03.Muestra'!$F$8:$F$42)-MIN(ROW('03.Muestra'!$D$8:$D$42))+1,""),ROW()-702)),"")</f>
        <v/>
      </c>
      <c r="D720" s="130" t="str">
        <f t="shared" si="37"/>
        <v/>
      </c>
      <c r="E720" s="107" t="str">
        <f t="shared" si="36"/>
        <v/>
      </c>
      <c r="F720" s="19"/>
      <c r="G720" s="19"/>
      <c r="H720" s="19"/>
      <c r="I720" s="19"/>
      <c r="J720" s="19"/>
      <c r="K720" s="233"/>
      <c r="L720" s="19"/>
      <c r="M720" s="19"/>
      <c r="N720" s="19"/>
      <c r="O720" s="19"/>
      <c r="P720" s="19"/>
      <c r="Q720" s="19"/>
      <c r="R720" s="19"/>
      <c r="S720" s="19"/>
      <c r="T720" s="19"/>
      <c r="U720" s="19"/>
      <c r="V720" s="19"/>
      <c r="W720" s="19"/>
      <c r="X720" s="19"/>
      <c r="Y720" s="19"/>
    </row>
    <row r="721" spans="1:25" ht="14.1" customHeight="1">
      <c r="A721" s="219" t="str" cm="1">
        <f t="array" ref="A721">IFERROR(INDEX('03.Muestra'!$B$8:$B$42,SMALL(IF("Documento no web"='03.Muestra'!$D$8:$D$42,ROW('03.Muestra'!$B$8:$B$42)-MIN(ROW('03.Muestra'!$D$8:$D$42))+1,""),ROW()-702)),"")</f>
        <v/>
      </c>
      <c r="B721" s="114" t="str" cm="1">
        <f t="array" ref="B721">IFERROR(INDEX('03.Muestra'!$C$8:$C$42,SMALL(IF("Documento no web"='03.Muestra'!$D$8:$D$42,ROW('03.Muestra'!$C$8:$C$42)-MIN(ROW('03.Muestra'!$D$8:$D$42))+1,""),ROW()-702)),"")</f>
        <v/>
      </c>
      <c r="C721" s="114" t="str" cm="1">
        <f t="array" ref="C721">IFERROR(INDEX('03.Muestra'!$F$8:$F$42,SMALL(IF("Documento no web"='03.Muestra'!$D$8:$D$42,ROW('03.Muestra'!$F$8:$F$42)-MIN(ROW('03.Muestra'!$D$8:$D$42))+1,""),ROW()-702)),"")</f>
        <v/>
      </c>
      <c r="D721" s="130" t="str">
        <f t="shared" si="37"/>
        <v/>
      </c>
      <c r="E721" s="107" t="str">
        <f t="shared" si="36"/>
        <v/>
      </c>
      <c r="F721" s="19"/>
      <c r="G721" s="19"/>
      <c r="H721" s="19"/>
      <c r="I721" s="19"/>
      <c r="J721" s="19"/>
      <c r="K721" s="233"/>
      <c r="L721" s="19"/>
      <c r="M721" s="19"/>
      <c r="N721" s="19"/>
      <c r="O721" s="19"/>
      <c r="P721" s="19"/>
      <c r="Q721" s="19"/>
      <c r="R721" s="19"/>
      <c r="S721" s="19"/>
      <c r="T721" s="19"/>
      <c r="U721" s="19"/>
      <c r="V721" s="19"/>
      <c r="W721" s="19"/>
      <c r="X721" s="19"/>
      <c r="Y721" s="19"/>
    </row>
    <row r="722" spans="1:25" ht="14.1" customHeight="1">
      <c r="A722" s="219" t="str" cm="1">
        <f t="array" ref="A722">IFERROR(INDEX('03.Muestra'!$B$8:$B$42,SMALL(IF("Documento no web"='03.Muestra'!$D$8:$D$42,ROW('03.Muestra'!$B$8:$B$42)-MIN(ROW('03.Muestra'!$D$8:$D$42))+1,""),ROW()-702)),"")</f>
        <v/>
      </c>
      <c r="B722" s="114" t="str" cm="1">
        <f t="array" ref="B722">IFERROR(INDEX('03.Muestra'!$C$8:$C$42,SMALL(IF("Documento no web"='03.Muestra'!$D$8:$D$42,ROW('03.Muestra'!$C$8:$C$42)-MIN(ROW('03.Muestra'!$D$8:$D$42))+1,""),ROW()-702)),"")</f>
        <v/>
      </c>
      <c r="C722" s="114" t="str" cm="1">
        <f t="array" ref="C722">IFERROR(INDEX('03.Muestra'!$F$8:$F$42,SMALL(IF("Documento no web"='03.Muestra'!$D$8:$D$42,ROW('03.Muestra'!$F$8:$F$42)-MIN(ROW('03.Muestra'!$D$8:$D$42))+1,""),ROW()-702)),"")</f>
        <v/>
      </c>
      <c r="D722" s="130" t="str">
        <f t="shared" si="37"/>
        <v/>
      </c>
      <c r="E722" s="107" t="str">
        <f t="shared" si="36"/>
        <v/>
      </c>
      <c r="F722" s="19"/>
      <c r="G722" s="19"/>
      <c r="H722" s="19"/>
      <c r="I722" s="19"/>
      <c r="J722" s="19"/>
      <c r="K722" s="233"/>
      <c r="L722" s="19"/>
      <c r="M722" s="19"/>
      <c r="N722" s="19"/>
      <c r="O722" s="19"/>
      <c r="P722" s="19"/>
      <c r="Q722" s="19"/>
      <c r="R722" s="19"/>
      <c r="S722" s="19"/>
      <c r="T722" s="19"/>
      <c r="U722" s="19"/>
      <c r="V722" s="19"/>
      <c r="W722" s="19"/>
      <c r="X722" s="19"/>
      <c r="Y722" s="19"/>
    </row>
    <row r="723" spans="1:25" ht="14.1" customHeight="1">
      <c r="A723" s="219" t="str" cm="1">
        <f t="array" ref="A723">IFERROR(INDEX('03.Muestra'!$B$8:$B$42,SMALL(IF("Documento no web"='03.Muestra'!$D$8:$D$42,ROW('03.Muestra'!$B$8:$B$42)-MIN(ROW('03.Muestra'!$D$8:$D$42))+1,""),ROW()-702)),"")</f>
        <v/>
      </c>
      <c r="B723" s="114" t="str" cm="1">
        <f t="array" ref="B723">IFERROR(INDEX('03.Muestra'!$C$8:$C$42,SMALL(IF("Documento no web"='03.Muestra'!$D$8:$D$42,ROW('03.Muestra'!$C$8:$C$42)-MIN(ROW('03.Muestra'!$D$8:$D$42))+1,""),ROW()-702)),"")</f>
        <v/>
      </c>
      <c r="C723" s="114" t="str" cm="1">
        <f t="array" ref="C723">IFERROR(INDEX('03.Muestra'!$F$8:$F$42,SMALL(IF("Documento no web"='03.Muestra'!$D$8:$D$42,ROW('03.Muestra'!$F$8:$F$42)-MIN(ROW('03.Muestra'!$D$8:$D$42))+1,""),ROW()-702)),"")</f>
        <v/>
      </c>
      <c r="D723" s="130" t="str">
        <f t="shared" si="37"/>
        <v/>
      </c>
      <c r="E723" s="107" t="str">
        <f t="shared" si="36"/>
        <v/>
      </c>
      <c r="F723" s="19"/>
      <c r="G723" s="19"/>
      <c r="H723" s="19"/>
      <c r="I723" s="19"/>
      <c r="J723" s="19"/>
      <c r="K723" s="233"/>
      <c r="L723" s="19"/>
      <c r="M723" s="19"/>
      <c r="N723" s="19"/>
      <c r="O723" s="19"/>
      <c r="P723" s="19"/>
      <c r="Q723" s="19"/>
      <c r="R723" s="19"/>
      <c r="S723" s="19"/>
      <c r="T723" s="19"/>
      <c r="U723" s="19"/>
      <c r="V723" s="19"/>
      <c r="W723" s="19"/>
      <c r="X723" s="19"/>
      <c r="Y723" s="19"/>
    </row>
    <row r="724" spans="1:25" ht="14.1" customHeight="1">
      <c r="A724" s="219" t="str" cm="1">
        <f t="array" ref="A724">IFERROR(INDEX('03.Muestra'!$B$8:$B$42,SMALL(IF("Documento no web"='03.Muestra'!$D$8:$D$42,ROW('03.Muestra'!$B$8:$B$42)-MIN(ROW('03.Muestra'!$D$8:$D$42))+1,""),ROW()-702)),"")</f>
        <v/>
      </c>
      <c r="B724" s="114" t="str" cm="1">
        <f t="array" ref="B724">IFERROR(INDEX('03.Muestra'!$C$8:$C$42,SMALL(IF("Documento no web"='03.Muestra'!$D$8:$D$42,ROW('03.Muestra'!$C$8:$C$42)-MIN(ROW('03.Muestra'!$D$8:$D$42))+1,""),ROW()-702)),"")</f>
        <v/>
      </c>
      <c r="C724" s="114" t="str" cm="1">
        <f t="array" ref="C724">IFERROR(INDEX('03.Muestra'!$F$8:$F$42,SMALL(IF("Documento no web"='03.Muestra'!$D$8:$D$42,ROW('03.Muestra'!$F$8:$F$42)-MIN(ROW('03.Muestra'!$D$8:$D$42))+1,""),ROW()-702)),"")</f>
        <v/>
      </c>
      <c r="D724" s="130" t="str">
        <f t="shared" si="37"/>
        <v/>
      </c>
      <c r="E724" s="107" t="str">
        <f t="shared" si="36"/>
        <v/>
      </c>
      <c r="F724" s="19"/>
      <c r="G724" s="19"/>
      <c r="H724" s="19"/>
      <c r="I724" s="19"/>
      <c r="J724" s="19"/>
      <c r="K724" s="233"/>
      <c r="L724" s="19"/>
      <c r="M724" s="19"/>
      <c r="N724" s="19"/>
      <c r="O724" s="19"/>
      <c r="P724" s="19"/>
      <c r="Q724" s="19"/>
      <c r="R724" s="19"/>
      <c r="S724" s="19"/>
      <c r="T724" s="19"/>
      <c r="U724" s="19"/>
      <c r="V724" s="19"/>
      <c r="W724" s="19"/>
      <c r="X724" s="19"/>
      <c r="Y724" s="19"/>
    </row>
    <row r="725" spans="1:25" ht="14.1" customHeight="1">
      <c r="A725" s="219" t="str" cm="1">
        <f t="array" ref="A725">IFERROR(INDEX('03.Muestra'!$B$8:$B$42,SMALL(IF("Documento no web"='03.Muestra'!$D$8:$D$42,ROW('03.Muestra'!$B$8:$B$42)-MIN(ROW('03.Muestra'!$D$8:$D$42))+1,""),ROW()-702)),"")</f>
        <v/>
      </c>
      <c r="B725" s="114" t="str" cm="1">
        <f t="array" ref="B725">IFERROR(INDEX('03.Muestra'!$C$8:$C$42,SMALL(IF("Documento no web"='03.Muestra'!$D$8:$D$42,ROW('03.Muestra'!$C$8:$C$42)-MIN(ROW('03.Muestra'!$D$8:$D$42))+1,""),ROW()-702)),"")</f>
        <v/>
      </c>
      <c r="C725" s="114" t="str" cm="1">
        <f t="array" ref="C725">IFERROR(INDEX('03.Muestra'!$F$8:$F$42,SMALL(IF("Documento no web"='03.Muestra'!$D$8:$D$42,ROW('03.Muestra'!$F$8:$F$42)-MIN(ROW('03.Muestra'!$D$8:$D$42))+1,""),ROW()-702)),"")</f>
        <v/>
      </c>
      <c r="D725" s="130" t="str">
        <f t="shared" si="37"/>
        <v/>
      </c>
      <c r="E725" s="107" t="str">
        <f t="shared" si="36"/>
        <v/>
      </c>
      <c r="F725" s="19"/>
      <c r="G725" s="19"/>
      <c r="H725" s="19"/>
      <c r="I725" s="19"/>
      <c r="J725" s="19"/>
      <c r="K725" s="233"/>
      <c r="L725" s="19"/>
      <c r="M725" s="19"/>
      <c r="N725" s="19"/>
      <c r="O725" s="19"/>
      <c r="P725" s="19"/>
      <c r="Q725" s="19"/>
      <c r="R725" s="19"/>
      <c r="S725" s="19"/>
      <c r="T725" s="19"/>
      <c r="U725" s="19"/>
      <c r="V725" s="19"/>
      <c r="W725" s="19"/>
      <c r="X725" s="19"/>
      <c r="Y725" s="19"/>
    </row>
    <row r="726" spans="1:25" ht="14.1" customHeight="1">
      <c r="A726" s="219" t="str" cm="1">
        <f t="array" ref="A726">IFERROR(INDEX('03.Muestra'!$B$8:$B$42,SMALL(IF("Documento no web"='03.Muestra'!$D$8:$D$42,ROW('03.Muestra'!$B$8:$B$42)-MIN(ROW('03.Muestra'!$D$8:$D$42))+1,""),ROW()-702)),"")</f>
        <v/>
      </c>
      <c r="B726" s="114" t="str" cm="1">
        <f t="array" ref="B726">IFERROR(INDEX('03.Muestra'!$C$8:$C$42,SMALL(IF("Documento no web"='03.Muestra'!$D$8:$D$42,ROW('03.Muestra'!$C$8:$C$42)-MIN(ROW('03.Muestra'!$D$8:$D$42))+1,""),ROW()-702)),"")</f>
        <v/>
      </c>
      <c r="C726" s="114" t="str" cm="1">
        <f t="array" ref="C726">IFERROR(INDEX('03.Muestra'!$F$8:$F$42,SMALL(IF("Documento no web"='03.Muestra'!$D$8:$D$42,ROW('03.Muestra'!$F$8:$F$42)-MIN(ROW('03.Muestra'!$D$8:$D$42))+1,""),ROW()-702)),"")</f>
        <v/>
      </c>
      <c r="D726" s="130" t="str">
        <f t="shared" si="37"/>
        <v/>
      </c>
      <c r="E726" s="107" t="str">
        <f t="shared" si="36"/>
        <v/>
      </c>
      <c r="F726" s="19"/>
      <c r="G726" s="19"/>
      <c r="H726" s="19"/>
      <c r="I726" s="19"/>
      <c r="J726" s="19"/>
      <c r="K726" s="233"/>
      <c r="L726" s="19"/>
      <c r="M726" s="19"/>
      <c r="N726" s="19"/>
      <c r="O726" s="19"/>
      <c r="P726" s="19"/>
      <c r="Q726" s="19"/>
      <c r="R726" s="19"/>
      <c r="S726" s="19"/>
      <c r="T726" s="19"/>
      <c r="U726" s="19"/>
      <c r="V726" s="19"/>
      <c r="W726" s="19"/>
      <c r="X726" s="19"/>
      <c r="Y726" s="19"/>
    </row>
    <row r="727" spans="1:25" ht="14.1" customHeight="1">
      <c r="A727" s="219" t="str" cm="1">
        <f t="array" ref="A727">IFERROR(INDEX('03.Muestra'!$B$8:$B$42,SMALL(IF("Documento no web"='03.Muestra'!$D$8:$D$42,ROW('03.Muestra'!$B$8:$B$42)-MIN(ROW('03.Muestra'!$D$8:$D$42))+1,""),ROW()-702)),"")</f>
        <v/>
      </c>
      <c r="B727" s="114" t="str" cm="1">
        <f t="array" ref="B727">IFERROR(INDEX('03.Muestra'!$C$8:$C$42,SMALL(IF("Documento no web"='03.Muestra'!$D$8:$D$42,ROW('03.Muestra'!$C$8:$C$42)-MIN(ROW('03.Muestra'!$D$8:$D$42))+1,""),ROW()-702)),"")</f>
        <v/>
      </c>
      <c r="C727" s="114" t="str" cm="1">
        <f t="array" ref="C727">IFERROR(INDEX('03.Muestra'!$F$8:$F$42,SMALL(IF("Documento no web"='03.Muestra'!$D$8:$D$42,ROW('03.Muestra'!$F$8:$F$42)-MIN(ROW('03.Muestra'!$D$8:$D$42))+1,""),ROW()-702)),"")</f>
        <v/>
      </c>
      <c r="D727" s="130" t="str">
        <f t="shared" si="37"/>
        <v/>
      </c>
      <c r="E727" s="107" t="str">
        <f t="shared" si="36"/>
        <v/>
      </c>
      <c r="F727" s="19"/>
      <c r="G727" s="19"/>
      <c r="H727" s="19"/>
      <c r="I727" s="19"/>
      <c r="J727" s="19"/>
      <c r="K727" s="233"/>
      <c r="L727" s="19"/>
      <c r="M727" s="19"/>
      <c r="N727" s="19"/>
      <c r="O727" s="19"/>
      <c r="P727" s="19"/>
      <c r="Q727" s="19"/>
      <c r="R727" s="19"/>
      <c r="S727" s="19"/>
      <c r="T727" s="19"/>
      <c r="U727" s="19"/>
      <c r="V727" s="19"/>
      <c r="W727" s="19"/>
      <c r="X727" s="19"/>
      <c r="Y727" s="19"/>
    </row>
    <row r="728" spans="1:25" ht="14.1" customHeight="1">
      <c r="A728" s="219" t="str" cm="1">
        <f t="array" ref="A728">IFERROR(INDEX('03.Muestra'!$B$8:$B$42,SMALL(IF("Documento no web"='03.Muestra'!$D$8:$D$42,ROW('03.Muestra'!$B$8:$B$42)-MIN(ROW('03.Muestra'!$D$8:$D$42))+1,""),ROW()-702)),"")</f>
        <v/>
      </c>
      <c r="B728" s="114" t="str" cm="1">
        <f t="array" ref="B728">IFERROR(INDEX('03.Muestra'!$C$8:$C$42,SMALL(IF("Documento no web"='03.Muestra'!$D$8:$D$42,ROW('03.Muestra'!$C$8:$C$42)-MIN(ROW('03.Muestra'!$D$8:$D$42))+1,""),ROW()-702)),"")</f>
        <v/>
      </c>
      <c r="C728" s="114" t="str" cm="1">
        <f t="array" ref="C728">IFERROR(INDEX('03.Muestra'!$F$8:$F$42,SMALL(IF("Documento no web"='03.Muestra'!$D$8:$D$42,ROW('03.Muestra'!$F$8:$F$42)-MIN(ROW('03.Muestra'!$D$8:$D$42))+1,""),ROW()-702)),"")</f>
        <v/>
      </c>
      <c r="D728" s="130" t="str">
        <f t="shared" si="37"/>
        <v/>
      </c>
      <c r="E728" s="107" t="str">
        <f t="shared" si="36"/>
        <v/>
      </c>
      <c r="F728" s="19"/>
      <c r="G728" s="19"/>
      <c r="H728" s="19"/>
      <c r="I728" s="19"/>
      <c r="J728" s="19"/>
      <c r="K728" s="233"/>
      <c r="L728" s="19"/>
      <c r="M728" s="19"/>
      <c r="N728" s="19"/>
      <c r="O728" s="19"/>
      <c r="P728" s="19"/>
      <c r="Q728" s="19"/>
      <c r="R728" s="19"/>
      <c r="S728" s="19"/>
      <c r="T728" s="19"/>
      <c r="U728" s="19"/>
      <c r="V728" s="19"/>
      <c r="W728" s="19"/>
      <c r="X728" s="19"/>
      <c r="Y728" s="19"/>
    </row>
    <row r="729" spans="1:25" ht="14.1" customHeight="1">
      <c r="A729" s="219" t="str" cm="1">
        <f t="array" ref="A729">IFERROR(INDEX('03.Muestra'!$B$8:$B$42,SMALL(IF("Documento no web"='03.Muestra'!$D$8:$D$42,ROW('03.Muestra'!$B$8:$B$42)-MIN(ROW('03.Muestra'!$D$8:$D$42))+1,""),ROW()-702)),"")</f>
        <v/>
      </c>
      <c r="B729" s="114" t="str" cm="1">
        <f t="array" ref="B729">IFERROR(INDEX('03.Muestra'!$C$8:$C$42,SMALL(IF("Documento no web"='03.Muestra'!$D$8:$D$42,ROW('03.Muestra'!$C$8:$C$42)-MIN(ROW('03.Muestra'!$D$8:$D$42))+1,""),ROW()-702)),"")</f>
        <v/>
      </c>
      <c r="C729" s="114" t="str" cm="1">
        <f t="array" ref="C729">IFERROR(INDEX('03.Muestra'!$F$8:$F$42,SMALL(IF("Documento no web"='03.Muestra'!$D$8:$D$42,ROW('03.Muestra'!$F$8:$F$42)-MIN(ROW('03.Muestra'!$D$8:$D$42))+1,""),ROW()-702)),"")</f>
        <v/>
      </c>
      <c r="D729" s="130" t="str">
        <f t="shared" si="37"/>
        <v/>
      </c>
      <c r="E729" s="107" t="str">
        <f t="shared" si="36"/>
        <v/>
      </c>
      <c r="F729" s="19"/>
      <c r="G729" s="19"/>
      <c r="H729" s="19"/>
      <c r="I729" s="19"/>
      <c r="J729" s="19"/>
      <c r="K729" s="233"/>
      <c r="L729" s="19"/>
      <c r="M729" s="19"/>
      <c r="N729" s="19"/>
      <c r="O729" s="19"/>
      <c r="P729" s="19"/>
      <c r="Q729" s="19"/>
      <c r="R729" s="19"/>
      <c r="S729" s="19"/>
      <c r="T729" s="19"/>
      <c r="U729" s="19"/>
      <c r="V729" s="19"/>
      <c r="W729" s="19"/>
      <c r="X729" s="19"/>
      <c r="Y729" s="19"/>
    </row>
    <row r="730" spans="1:25" ht="14.1" customHeight="1">
      <c r="A730" s="219" t="str" cm="1">
        <f t="array" ref="A730">IFERROR(INDEX('03.Muestra'!$B$8:$B$42,SMALL(IF("Documento no web"='03.Muestra'!$D$8:$D$42,ROW('03.Muestra'!$B$8:$B$42)-MIN(ROW('03.Muestra'!$D$8:$D$42))+1,""),ROW()-702)),"")</f>
        <v/>
      </c>
      <c r="B730" s="114" t="str" cm="1">
        <f t="array" ref="B730">IFERROR(INDEX('03.Muestra'!$C$8:$C$42,SMALL(IF("Documento no web"='03.Muestra'!$D$8:$D$42,ROW('03.Muestra'!$C$8:$C$42)-MIN(ROW('03.Muestra'!$D$8:$D$42))+1,""),ROW()-702)),"")</f>
        <v/>
      </c>
      <c r="C730" s="114" t="str" cm="1">
        <f t="array" ref="C730">IFERROR(INDEX('03.Muestra'!$F$8:$F$42,SMALL(IF("Documento no web"='03.Muestra'!$D$8:$D$42,ROW('03.Muestra'!$F$8:$F$42)-MIN(ROW('03.Muestra'!$D$8:$D$42))+1,""),ROW()-702)),"")</f>
        <v/>
      </c>
      <c r="D730" s="130" t="str">
        <f t="shared" si="37"/>
        <v/>
      </c>
      <c r="E730" s="107" t="str">
        <f t="shared" si="36"/>
        <v/>
      </c>
      <c r="G730" s="19"/>
      <c r="H730" s="19"/>
      <c r="I730" s="19"/>
      <c r="J730" s="19"/>
      <c r="K730" s="233"/>
      <c r="L730" s="19"/>
      <c r="M730" s="19"/>
      <c r="N730" s="19"/>
      <c r="O730" s="19"/>
      <c r="P730" s="19"/>
      <c r="Q730" s="19"/>
      <c r="R730" s="19"/>
      <c r="S730" s="19"/>
      <c r="T730" s="19"/>
      <c r="U730" s="19"/>
      <c r="V730" s="19"/>
      <c r="W730" s="19"/>
      <c r="X730" s="19"/>
      <c r="Y730" s="19"/>
    </row>
    <row r="731" spans="1:25" ht="14.1" customHeight="1">
      <c r="A731" s="219" t="str" cm="1">
        <f t="array" ref="A731">IFERROR(INDEX('03.Muestra'!$B$8:$B$42,SMALL(IF("Documento no web"='03.Muestra'!$D$8:$D$42,ROW('03.Muestra'!$B$8:$B$42)-MIN(ROW('03.Muestra'!$D$8:$D$42))+1,""),ROW()-702)),"")</f>
        <v/>
      </c>
      <c r="B731" s="114" t="str" cm="1">
        <f t="array" ref="B731">IFERROR(INDEX('03.Muestra'!$C$8:$C$42,SMALL(IF("Documento no web"='03.Muestra'!$D$8:$D$42,ROW('03.Muestra'!$C$8:$C$42)-MIN(ROW('03.Muestra'!$D$8:$D$42))+1,""),ROW()-702)),"")</f>
        <v/>
      </c>
      <c r="C731" s="114" t="str" cm="1">
        <f t="array" ref="C731">IFERROR(INDEX('03.Muestra'!$F$8:$F$42,SMALL(IF("Documento no web"='03.Muestra'!$D$8:$D$42,ROW('03.Muestra'!$F$8:$F$42)-MIN(ROW('03.Muestra'!$D$8:$D$42))+1,""),ROW()-702)),"")</f>
        <v/>
      </c>
      <c r="D731" s="130" t="str">
        <f t="shared" si="37"/>
        <v/>
      </c>
      <c r="E731" s="107" t="str">
        <f t="shared" si="36"/>
        <v/>
      </c>
      <c r="G731" s="19"/>
      <c r="H731" s="19"/>
      <c r="I731" s="19"/>
      <c r="J731" s="19"/>
      <c r="K731" s="233"/>
      <c r="L731" s="19"/>
      <c r="M731" s="19"/>
      <c r="N731" s="19"/>
      <c r="O731" s="19"/>
      <c r="P731" s="19"/>
      <c r="Q731" s="19"/>
      <c r="R731" s="19"/>
      <c r="S731" s="19"/>
      <c r="T731" s="19"/>
      <c r="U731" s="19"/>
      <c r="V731" s="19"/>
      <c r="W731" s="19"/>
      <c r="X731" s="19"/>
      <c r="Y731" s="19"/>
    </row>
    <row r="732" spans="1:25" ht="14.1" customHeight="1">
      <c r="A732" s="219" t="str" cm="1">
        <f t="array" ref="A732">IFERROR(INDEX('03.Muestra'!$B$8:$B$42,SMALL(IF("Documento no web"='03.Muestra'!$D$8:$D$42,ROW('03.Muestra'!$B$8:$B$42)-MIN(ROW('03.Muestra'!$D$8:$D$42))+1,""),ROW()-702)),"")</f>
        <v/>
      </c>
      <c r="B732" s="114" t="str" cm="1">
        <f t="array" ref="B732">IFERROR(INDEX('03.Muestra'!$C$8:$C$42,SMALL(IF("Documento no web"='03.Muestra'!$D$8:$D$42,ROW('03.Muestra'!$C$8:$C$42)-MIN(ROW('03.Muestra'!$D$8:$D$42))+1,""),ROW()-702)),"")</f>
        <v/>
      </c>
      <c r="C732" s="114" t="str" cm="1">
        <f t="array" ref="C732">IFERROR(INDEX('03.Muestra'!$F$8:$F$42,SMALL(IF("Documento no web"='03.Muestra'!$D$8:$D$42,ROW('03.Muestra'!$F$8:$F$42)-MIN(ROW('03.Muestra'!$D$8:$D$42))+1,""),ROW()-702)),"")</f>
        <v/>
      </c>
      <c r="D732" s="130" t="str">
        <f t="shared" si="37"/>
        <v/>
      </c>
      <c r="E732" s="107" t="str">
        <f t="shared" si="36"/>
        <v/>
      </c>
      <c r="G732" s="19"/>
      <c r="H732" s="19"/>
      <c r="I732" s="19"/>
      <c r="J732" s="19"/>
      <c r="K732" s="233"/>
      <c r="L732" s="19"/>
      <c r="M732" s="19"/>
      <c r="N732" s="19"/>
      <c r="O732" s="19"/>
      <c r="P732" s="19"/>
      <c r="Q732" s="19"/>
      <c r="R732" s="19"/>
      <c r="S732" s="19"/>
      <c r="T732" s="19"/>
      <c r="U732" s="19"/>
      <c r="V732" s="19"/>
      <c r="W732" s="19"/>
      <c r="X732" s="19"/>
      <c r="Y732" s="19"/>
    </row>
    <row r="733" spans="1:25" ht="14.1" customHeight="1">
      <c r="A733" s="219" t="str" cm="1">
        <f t="array" ref="A733">IFERROR(INDEX('03.Muestra'!$B$8:$B$42,SMALL(IF("Documento no web"='03.Muestra'!$D$8:$D$42,ROW('03.Muestra'!$B$8:$B$42)-MIN(ROW('03.Muestra'!$D$8:$D$42))+1,""),ROW()-702)),"")</f>
        <v/>
      </c>
      <c r="B733" s="114" t="str" cm="1">
        <f t="array" ref="B733">IFERROR(INDEX('03.Muestra'!$C$8:$C$42,SMALL(IF("Documento no web"='03.Muestra'!$D$8:$D$42,ROW('03.Muestra'!$C$8:$C$42)-MIN(ROW('03.Muestra'!$D$8:$D$42))+1,""),ROW()-702)),"")</f>
        <v/>
      </c>
      <c r="C733" s="114" t="str" cm="1">
        <f t="array" ref="C733">IFERROR(INDEX('03.Muestra'!$F$8:$F$42,SMALL(IF("Documento no web"='03.Muestra'!$D$8:$D$42,ROW('03.Muestra'!$F$8:$F$42)-MIN(ROW('03.Muestra'!$D$8:$D$42))+1,""),ROW()-702)),"")</f>
        <v/>
      </c>
      <c r="D733" s="130" t="str">
        <f t="shared" si="37"/>
        <v/>
      </c>
      <c r="E733" s="107" t="str">
        <f t="shared" si="36"/>
        <v/>
      </c>
      <c r="G733" s="19"/>
      <c r="H733" s="19"/>
      <c r="I733" s="19"/>
      <c r="J733" s="19"/>
      <c r="K733" s="233"/>
      <c r="L733" s="19"/>
      <c r="M733" s="19"/>
      <c r="N733" s="19"/>
      <c r="O733" s="19"/>
      <c r="P733" s="19"/>
      <c r="Q733" s="19"/>
      <c r="R733" s="19"/>
      <c r="S733" s="19"/>
      <c r="T733" s="19"/>
      <c r="U733" s="19"/>
      <c r="V733" s="19"/>
      <c r="W733" s="19"/>
      <c r="X733" s="19"/>
      <c r="Y733" s="19"/>
    </row>
    <row r="734" spans="1:25" ht="14.1" customHeight="1">
      <c r="A734" s="219" t="str" cm="1">
        <f t="array" ref="A734">IFERROR(INDEX('03.Muestra'!$B$8:$B$42,SMALL(IF("Documento no web"='03.Muestra'!$D$8:$D$42,ROW('03.Muestra'!$B$8:$B$42)-MIN(ROW('03.Muestra'!$D$8:$D$42))+1,""),ROW()-702)),"")</f>
        <v/>
      </c>
      <c r="B734" s="114" t="str" cm="1">
        <f t="array" ref="B734">IFERROR(INDEX('03.Muestra'!$C$8:$C$42,SMALL(IF("Documento no web"='03.Muestra'!$D$8:$D$42,ROW('03.Muestra'!$C$8:$C$42)-MIN(ROW('03.Muestra'!$D$8:$D$42))+1,""),ROW()-702)),"")</f>
        <v/>
      </c>
      <c r="C734" s="114" t="str" cm="1">
        <f t="array" ref="C734">IFERROR(INDEX('03.Muestra'!$F$8:$F$42,SMALL(IF("Documento no web"='03.Muestra'!$D$8:$D$42,ROW('03.Muestra'!$F$8:$F$42)-MIN(ROW('03.Muestra'!$D$8:$D$42))+1,""),ROW()-702)),"")</f>
        <v/>
      </c>
      <c r="D734" s="130" t="str">
        <f t="shared" si="37"/>
        <v/>
      </c>
      <c r="E734" s="107" t="str">
        <f t="shared" si="36"/>
        <v/>
      </c>
      <c r="G734" s="19"/>
      <c r="H734" s="19"/>
      <c r="I734" s="19"/>
      <c r="J734" s="19"/>
      <c r="K734" s="233"/>
      <c r="L734" s="19"/>
      <c r="M734" s="19"/>
      <c r="N734" s="19"/>
      <c r="O734" s="19"/>
      <c r="P734" s="19"/>
      <c r="Q734" s="19"/>
      <c r="R734" s="19"/>
      <c r="S734" s="19"/>
      <c r="T734" s="19"/>
      <c r="U734" s="19"/>
      <c r="V734" s="19"/>
      <c r="W734" s="19"/>
      <c r="X734" s="19"/>
      <c r="Y734" s="19"/>
    </row>
    <row r="735" spans="1:25" ht="14.1" customHeight="1">
      <c r="A735" s="219" t="str" cm="1">
        <f t="array" ref="A735">IFERROR(INDEX('03.Muestra'!$B$8:$B$42,SMALL(IF("Documento no web"='03.Muestra'!$D$8:$D$42,ROW('03.Muestra'!$B$8:$B$42)-MIN(ROW('03.Muestra'!$D$8:$D$42))+1,""),ROW()-702)),"")</f>
        <v/>
      </c>
      <c r="B735" s="114" t="str" cm="1">
        <f t="array" ref="B735">IFERROR(INDEX('03.Muestra'!$C$8:$C$42,SMALL(IF("Documento no web"='03.Muestra'!$D$8:$D$42,ROW('03.Muestra'!$C$8:$C$42)-MIN(ROW('03.Muestra'!$D$8:$D$42))+1,""),ROW()-702)),"")</f>
        <v/>
      </c>
      <c r="C735" s="114" t="str" cm="1">
        <f t="array" ref="C735">IFERROR(INDEX('03.Muestra'!$F$8:$F$42,SMALL(IF("Documento no web"='03.Muestra'!$D$8:$D$42,ROW('03.Muestra'!$F$8:$F$42)-MIN(ROW('03.Muestra'!$D$8:$D$42))+1,""),ROW()-702)),"")</f>
        <v/>
      </c>
      <c r="D735" s="130" t="str">
        <f t="shared" si="37"/>
        <v/>
      </c>
      <c r="E735" s="107" t="str">
        <f t="shared" si="36"/>
        <v/>
      </c>
      <c r="G735" s="19"/>
      <c r="H735" s="19"/>
      <c r="I735" s="19"/>
      <c r="J735" s="19"/>
      <c r="K735" s="233"/>
      <c r="L735" s="19"/>
      <c r="M735" s="19"/>
      <c r="N735" s="19"/>
      <c r="O735" s="19"/>
      <c r="P735" s="19"/>
      <c r="Q735" s="19"/>
      <c r="R735" s="19"/>
      <c r="S735" s="19"/>
      <c r="T735" s="19"/>
      <c r="U735" s="19"/>
      <c r="V735" s="19"/>
      <c r="W735" s="19"/>
      <c r="X735" s="19"/>
      <c r="Y735" s="19"/>
    </row>
    <row r="736" spans="1:25" ht="14.1" customHeight="1">
      <c r="A736" s="219" t="str" cm="1">
        <f t="array" ref="A736">IFERROR(INDEX('03.Muestra'!$B$8:$B$42,SMALL(IF("Documento no web"='03.Muestra'!$D$8:$D$42,ROW('03.Muestra'!$B$8:$B$42)-MIN(ROW('03.Muestra'!$D$8:$D$42))+1,""),ROW()-702)),"")</f>
        <v/>
      </c>
      <c r="B736" s="114" t="str" cm="1">
        <f t="array" ref="B736">IFERROR(INDEX('03.Muestra'!$C$8:$C$42,SMALL(IF("Documento no web"='03.Muestra'!$D$8:$D$42,ROW('03.Muestra'!$C$8:$C$42)-MIN(ROW('03.Muestra'!$D$8:$D$42))+1,""),ROW()-702)),"")</f>
        <v/>
      </c>
      <c r="C736" s="114" t="str" cm="1">
        <f t="array" ref="C736">IFERROR(INDEX('03.Muestra'!$F$8:$F$42,SMALL(IF("Documento no web"='03.Muestra'!$D$8:$D$42,ROW('03.Muestra'!$F$8:$F$42)-MIN(ROW('03.Muestra'!$D$8:$D$42))+1,""),ROW()-702)),"")</f>
        <v/>
      </c>
      <c r="D736" s="130" t="str">
        <f t="shared" si="37"/>
        <v/>
      </c>
      <c r="E736" s="107" t="str">
        <f t="shared" si="36"/>
        <v/>
      </c>
      <c r="F736" s="124"/>
      <c r="G736" s="19"/>
      <c r="H736" s="19"/>
      <c r="I736" s="19"/>
      <c r="J736" s="19"/>
      <c r="K736" s="233"/>
      <c r="L736" s="19"/>
      <c r="M736" s="19"/>
      <c r="N736" s="19"/>
      <c r="O736" s="19"/>
      <c r="P736" s="19"/>
      <c r="Q736" s="19"/>
      <c r="R736" s="19"/>
      <c r="S736" s="19"/>
      <c r="T736" s="19"/>
      <c r="U736" s="19"/>
      <c r="V736" s="19"/>
      <c r="W736" s="19"/>
      <c r="X736" s="19"/>
      <c r="Y736" s="19"/>
    </row>
    <row r="737" spans="1:25" ht="14.1" customHeight="1">
      <c r="A737" s="219" t="str" cm="1">
        <f t="array" ref="A737">IFERROR(INDEX('03.Muestra'!$B$8:$B$42,SMALL(IF("Documento no web"='03.Muestra'!$D$8:$D$42,ROW('03.Muestra'!$B$8:$B$42)-MIN(ROW('03.Muestra'!$D$8:$D$42))+1,""),ROW()-702)),"")</f>
        <v/>
      </c>
      <c r="B737" s="114" t="str" cm="1">
        <f t="array" ref="B737">IFERROR(INDEX('03.Muestra'!$C$8:$C$42,SMALL(IF("Documento no web"='03.Muestra'!$D$8:$D$42,ROW('03.Muestra'!$C$8:$C$42)-MIN(ROW('03.Muestra'!$D$8:$D$42))+1,""),ROW()-702)),"")</f>
        <v/>
      </c>
      <c r="C737" s="114" t="str" cm="1">
        <f t="array" ref="C737">IFERROR(INDEX('03.Muestra'!$F$8:$F$42,SMALL(IF("Documento no web"='03.Muestra'!$D$8:$D$42,ROW('03.Muestra'!$F$8:$F$42)-MIN(ROW('03.Muestra'!$D$8:$D$42))+1,""),ROW()-702)),"")</f>
        <v/>
      </c>
      <c r="D737" s="130" t="str">
        <f t="shared" si="37"/>
        <v/>
      </c>
      <c r="E737" s="107" t="str">
        <f t="shared" si="36"/>
        <v/>
      </c>
      <c r="F737" s="19"/>
      <c r="G737" s="19"/>
      <c r="H737" s="19"/>
      <c r="I737" s="19"/>
      <c r="J737" s="19"/>
      <c r="K737" s="233"/>
      <c r="L737" s="19"/>
      <c r="M737" s="19"/>
      <c r="N737" s="19"/>
      <c r="O737" s="19"/>
      <c r="P737" s="19"/>
      <c r="Q737" s="19"/>
      <c r="R737" s="19"/>
      <c r="S737" s="19"/>
      <c r="T737" s="19"/>
      <c r="U737" s="19"/>
      <c r="V737" s="19"/>
      <c r="W737" s="19"/>
      <c r="X737" s="19"/>
      <c r="Y737" s="19"/>
    </row>
    <row r="738" spans="1:25" ht="12" customHeight="1">
      <c r="B738" s="19"/>
      <c r="C738" s="19"/>
      <c r="D738" s="107"/>
      <c r="E738" s="107"/>
      <c r="F738" s="19"/>
      <c r="G738" s="19"/>
      <c r="H738" s="19"/>
      <c r="I738" s="19"/>
      <c r="J738" s="19"/>
      <c r="K738" s="233"/>
      <c r="L738" s="19"/>
      <c r="M738" s="19"/>
      <c r="N738" s="19"/>
      <c r="O738" s="19"/>
      <c r="P738" s="19"/>
      <c r="Q738" s="19"/>
      <c r="R738" s="19"/>
      <c r="S738" s="19"/>
      <c r="T738" s="19"/>
      <c r="U738" s="19"/>
      <c r="V738" s="19"/>
      <c r="W738" s="19"/>
      <c r="X738" s="19"/>
      <c r="Y738" s="19"/>
    </row>
    <row r="739" spans="1:25" ht="12" customHeight="1">
      <c r="B739" s="126"/>
      <c r="C739" s="19"/>
      <c r="D739" s="107"/>
      <c r="E739" s="112"/>
      <c r="K739" s="233"/>
      <c r="L739" s="19"/>
      <c r="M739" s="19"/>
      <c r="N739" s="19"/>
      <c r="O739" s="19"/>
      <c r="P739" s="19"/>
      <c r="Q739" s="19"/>
      <c r="R739" s="19"/>
      <c r="S739" s="19"/>
      <c r="T739" s="19"/>
      <c r="U739" s="19"/>
      <c r="V739" s="19"/>
      <c r="W739" s="19"/>
      <c r="X739" s="19"/>
      <c r="Y739" s="19"/>
    </row>
    <row r="740" spans="1:25" ht="30" customHeight="1">
      <c r="A740" s="218" t="s">
        <v>268</v>
      </c>
      <c r="B740" s="24" t="s">
        <v>90</v>
      </c>
      <c r="C740" s="25" t="s">
        <v>441</v>
      </c>
      <c r="D740" s="26" t="s">
        <v>32</v>
      </c>
      <c r="E740" s="123"/>
      <c r="K740" s="233"/>
      <c r="M740" s="19"/>
      <c r="N740" s="19"/>
      <c r="O740" s="19"/>
      <c r="P740" s="19"/>
      <c r="Q740" s="19"/>
      <c r="R740" s="19"/>
      <c r="S740" s="19"/>
      <c r="T740" s="19"/>
      <c r="U740" s="19"/>
      <c r="V740" s="19"/>
      <c r="W740" s="19"/>
      <c r="X740" s="19"/>
      <c r="Y740" s="19"/>
    </row>
    <row r="741" spans="1:25" ht="12" customHeight="1">
      <c r="A741" s="219" t="n" cm="1">
        <f t="array" ref="A741">IFERROR(INDEX('03.Muestra'!$B$8:$B$42,SMALL(IF("Documento no web"='03.Muestra'!$D$8:$D$42,ROW('03.Muestra'!$B$8:$B$42)-MIN(ROW('03.Muestra'!$D$8:$D$42))+1,""),ROW()-740)),"")</f>
        <v>1.0</v>
      </c>
      <c r="B741" s="114" t="str" cm="1">
        <f t="array" ref="B741">IFERROR(INDEX('03.Muestra'!$C$8:$C$42,SMALL(IF("Documento no web"='03.Muestra'!$D$8:$D$42,ROW('03.Muestra'!$C$8:$C$42)-MIN(ROW('03.Muestra'!$D$8:$D$42))+1,""),ROW()-740)),"")</f>
        <v>Home - PortCastelló</v>
      </c>
      <c r="C741" s="114" t="str" cm="1">
        <f t="array" ref="C741">IFERROR(INDEX('03.Muestra'!$F$8:$F$42,SMALL(IF("Documento no web"='03.Muestra'!$D$8:$D$42,ROW('03.Muestra'!$F$8:$F$42)-MIN(ROW('03.Muestra'!$D$8:$D$42))+1,""),ROW()-740)),"")</f>
        <v>https://www.portcastello.com/</v>
      </c>
      <c r="D741" s="130" t="s">
        <v>33</v>
      </c>
      <c r="E741" s="107" t="str">
        <f t="shared" ref="E741:E775" si="38">IF(D741&lt;&gt;"",IF(AND(B741&lt;&gt;"",C741&lt;&gt;""),"","ERR"),"")</f>
        <v/>
      </c>
      <c r="F741" s="115" t="s">
        <v>33</v>
      </c>
      <c r="G741" s="116" t="s">
        <v>37</v>
      </c>
      <c r="H741" s="117" t="s">
        <v>35</v>
      </c>
      <c r="I741" s="118" t="s">
        <v>28</v>
      </c>
      <c r="J741" s="119" t="s">
        <v>26</v>
      </c>
      <c r="K741" s="226" t="s">
        <v>474</v>
      </c>
      <c r="L741" s="19"/>
      <c r="M741" s="19"/>
      <c r="N741" s="19"/>
      <c r="O741" s="19"/>
      <c r="P741" s="19"/>
      <c r="Q741" s="19"/>
      <c r="R741" s="19"/>
      <c r="S741" s="19"/>
      <c r="T741" s="19"/>
      <c r="U741" s="19"/>
      <c r="V741" s="19"/>
      <c r="W741" s="19"/>
      <c r="X741" s="19"/>
      <c r="Y741" s="19"/>
    </row>
    <row r="742" spans="1:25" ht="12" customHeight="1">
      <c r="A742" s="219" t="n" cm="1">
        <f t="array" ref="A742">IFERROR(INDEX('03.Muestra'!$B$8:$B$42,SMALL(IF("Documento no web"='03.Muestra'!$D$8:$D$42,ROW('03.Muestra'!$B$8:$B$42)-MIN(ROW('03.Muestra'!$D$8:$D$42))+1,""),ROW()-740)),"")</f>
        <v>1.0</v>
      </c>
      <c r="B742" s="114" t="str" cm="1">
        <f t="array" ref="B742">IFERROR(INDEX('03.Muestra'!$C$8:$C$42,SMALL(IF("Documento no web"='03.Muestra'!$D$8:$D$42,ROW('03.Muestra'!$C$8:$C$42)-MIN(ROW('03.Muestra'!$D$8:$D$42))+1,""),ROW()-740)),"")</f>
        <v>Home - PortCastelló</v>
      </c>
      <c r="C742" s="114" t="str" cm="1">
        <f t="array" ref="C742">IFERROR(INDEX('03.Muestra'!$F$8:$F$42,SMALL(IF("Documento no web"='03.Muestra'!$D$8:$D$42,ROW('03.Muestra'!$F$8:$F$42)-MIN(ROW('03.Muestra'!$D$8:$D$42))+1,""),ROW()-740)),"")</f>
        <v>https://www.portcastello.com/</v>
      </c>
      <c r="D742" s="130" t="s">
        <v>33</v>
      </c>
      <c r="E742" s="107" t="str">
        <f t="shared" si="38"/>
        <v/>
      </c>
      <c r="F742" s="120" t="n">
        <f ca="1">COUNTIF($D741:INDIRECT("$D" &amp;  SUM(ROW()-1,'03.Muestra'!$D$45)-1),F741)</f>
        <v>2.0</v>
      </c>
      <c r="G742" s="120" t="n">
        <f ca="1">COUNTIF($D741:INDIRECT("$D" &amp;  SUM(ROW()-1,'03.Muestra'!$D$45)-1),G741)</f>
        <v>0.0</v>
      </c>
      <c r="H742" s="120" t="n">
        <f ca="1">COUNTIF($D741:INDIRECT("$D" &amp;  SUM(ROW()-1,'03.Muestra'!$D$45)-1),H741)</f>
        <v>0.0</v>
      </c>
      <c r="I742" s="120" t="n">
        <f ca="1">COUNTIF($D741:INDIRECT("$D" &amp;  SUM(ROW()-1,'03.Muestra'!$D$45)-1),I741)</f>
        <v>0.0</v>
      </c>
      <c r="J742" s="120" t="n">
        <f ca="1">COUNTIF($D741:INDIRECT("$D" &amp;  SUM(ROW()-1,'03.Muestra'!$D$45)-1),J741)</f>
        <v>0.0</v>
      </c>
      <c r="K742" s="227" t="n">
        <f ca="1">IF(COUNTIF('03.Muestra'!$D$8:$D$42,"Documento no web")=0,0,COUNTBLANK($D741:INDIRECT("$D" &amp;  SUM(ROW()-1,COUNTIF('03.Muestra'!$D$8:$D$42,"Documento no web"))-1)))</f>
        <v>0.0</v>
      </c>
      <c r="M742" s="19"/>
      <c r="N742" s="19"/>
      <c r="O742" s="19"/>
      <c r="P742" s="19"/>
      <c r="Q742" s="19"/>
      <c r="R742" s="19"/>
      <c r="S742" s="19"/>
      <c r="T742" s="19"/>
      <c r="U742" s="19"/>
      <c r="V742" s="19"/>
      <c r="W742" s="19"/>
      <c r="X742" s="19"/>
      <c r="Y742" s="19"/>
    </row>
    <row r="743" spans="1:25" ht="12" customHeight="1">
      <c r="A743" s="219" t="str" cm="1">
        <f t="array" ref="A743">IFERROR(INDEX('03.Muestra'!$B$8:$B$42,SMALL(IF("Documento no web"='03.Muestra'!$D$8:$D$42,ROW('03.Muestra'!$B$8:$B$42)-MIN(ROW('03.Muestra'!$D$8:$D$42))+1,""),ROW()-740)),"")</f>
        <v/>
      </c>
      <c r="B743" s="114" t="str" cm="1">
        <f t="array" ref="B743">IFERROR(INDEX('03.Muestra'!$C$8:$C$42,SMALL(IF("Documento no web"='03.Muestra'!$D$8:$D$42,ROW('03.Muestra'!$C$8:$C$42)-MIN(ROW('03.Muestra'!$D$8:$D$42))+1,""),ROW()-740)),"")</f>
        <v/>
      </c>
      <c r="C743" s="114" t="str" cm="1">
        <f t="array" ref="C743">IFERROR(INDEX('03.Muestra'!$F$8:$F$42,SMALL(IF("Documento no web"='03.Muestra'!$D$8:$D$42,ROW('03.Muestra'!$F$8:$F$42)-MIN(ROW('03.Muestra'!$D$8:$D$42))+1,""),ROW()-740)),"")</f>
        <v/>
      </c>
      <c r="D743" s="130" t="str">
        <f t="shared" si="39" ref="D743:D775">IF(AND(B743&lt;&gt;"",C743&lt;&gt;""),"N/T","")</f>
        <v/>
      </c>
      <c r="E743" s="107" t="str">
        <f t="shared" si="38"/>
        <v/>
      </c>
      <c r="F743" s="19"/>
      <c r="G743" s="19"/>
      <c r="H743" s="19"/>
      <c r="I743" s="19"/>
      <c r="J743" s="19"/>
      <c r="K743" s="233"/>
      <c r="M743" s="19"/>
      <c r="N743" s="19"/>
      <c r="O743" s="19"/>
      <c r="P743" s="19"/>
      <c r="Q743" s="19"/>
      <c r="R743" s="19"/>
      <c r="S743" s="19"/>
      <c r="T743" s="19"/>
      <c r="U743" s="19"/>
      <c r="V743" s="19"/>
      <c r="W743" s="19"/>
      <c r="X743" s="19"/>
      <c r="Y743" s="19"/>
    </row>
    <row r="744" spans="1:25" ht="12" customHeight="1">
      <c r="A744" s="219" t="str" cm="1">
        <f t="array" ref="A744">IFERROR(INDEX('03.Muestra'!$B$8:$B$42,SMALL(IF("Documento no web"='03.Muestra'!$D$8:$D$42,ROW('03.Muestra'!$B$8:$B$42)-MIN(ROW('03.Muestra'!$D$8:$D$42))+1,""),ROW()-740)),"")</f>
        <v/>
      </c>
      <c r="B744" s="114" t="str" cm="1">
        <f t="array" ref="B744">IFERROR(INDEX('03.Muestra'!$C$8:$C$42,SMALL(IF("Documento no web"='03.Muestra'!$D$8:$D$42,ROW('03.Muestra'!$C$8:$C$42)-MIN(ROW('03.Muestra'!$D$8:$D$42))+1,""),ROW()-740)),"")</f>
        <v/>
      </c>
      <c r="C744" s="114" t="str" cm="1">
        <f t="array" ref="C744">IFERROR(INDEX('03.Muestra'!$F$8:$F$42,SMALL(IF("Documento no web"='03.Muestra'!$D$8:$D$42,ROW('03.Muestra'!$F$8:$F$42)-MIN(ROW('03.Muestra'!$D$8:$D$42))+1,""),ROW()-740)),"")</f>
        <v/>
      </c>
      <c r="D744" s="130" t="str">
        <f t="shared" si="39"/>
        <v/>
      </c>
      <c r="E744" s="107" t="str">
        <f t="shared" si="38"/>
        <v/>
      </c>
      <c r="F744" s="19"/>
      <c r="G744" s="19"/>
      <c r="H744" s="19"/>
      <c r="I744" s="19"/>
      <c r="K744" s="233"/>
      <c r="L744" s="19"/>
      <c r="M744" s="19"/>
      <c r="N744" s="19"/>
      <c r="O744" s="19"/>
      <c r="P744" s="19"/>
      <c r="Q744" s="19"/>
      <c r="R744" s="19"/>
      <c r="S744" s="19"/>
      <c r="T744" s="19"/>
      <c r="U744" s="19"/>
      <c r="V744" s="19"/>
      <c r="W744" s="19"/>
      <c r="X744" s="19"/>
      <c r="Y744" s="19"/>
    </row>
    <row r="745" spans="1:25" ht="12" customHeight="1">
      <c r="A745" s="219" t="str" cm="1">
        <f t="array" ref="A745">IFERROR(INDEX('03.Muestra'!$B$8:$B$42,SMALL(IF("Documento no web"='03.Muestra'!$D$8:$D$42,ROW('03.Muestra'!$B$8:$B$42)-MIN(ROW('03.Muestra'!$D$8:$D$42))+1,""),ROW()-740)),"")</f>
        <v/>
      </c>
      <c r="B745" s="114" t="str" cm="1">
        <f t="array" ref="B745">IFERROR(INDEX('03.Muestra'!$C$8:$C$42,SMALL(IF("Documento no web"='03.Muestra'!$D$8:$D$42,ROW('03.Muestra'!$C$8:$C$42)-MIN(ROW('03.Muestra'!$D$8:$D$42))+1,""),ROW()-740)),"")</f>
        <v/>
      </c>
      <c r="C745" s="114" t="str" cm="1">
        <f t="array" ref="C745">IFERROR(INDEX('03.Muestra'!$F$8:$F$42,SMALL(IF("Documento no web"='03.Muestra'!$D$8:$D$42,ROW('03.Muestra'!$F$8:$F$42)-MIN(ROW('03.Muestra'!$D$8:$D$42))+1,""),ROW()-740)),"")</f>
        <v/>
      </c>
      <c r="D745" s="130" t="str">
        <f t="shared" si="39"/>
        <v/>
      </c>
      <c r="E745" s="107" t="str">
        <f t="shared" si="38"/>
        <v/>
      </c>
      <c r="F745" s="122"/>
      <c r="G745" s="19"/>
      <c r="H745" s="19"/>
      <c r="I745" s="19"/>
      <c r="K745" s="233"/>
      <c r="L745" s="19"/>
      <c r="M745" s="19"/>
      <c r="N745" s="19"/>
      <c r="O745" s="19"/>
      <c r="P745" s="19"/>
      <c r="Q745" s="19"/>
      <c r="R745" s="19"/>
      <c r="S745" s="19"/>
      <c r="T745" s="19"/>
      <c r="U745" s="19"/>
      <c r="V745" s="19"/>
      <c r="W745" s="19"/>
      <c r="X745" s="19"/>
      <c r="Y745" s="19"/>
    </row>
    <row r="746" spans="1:25" ht="12" customHeight="1">
      <c r="A746" s="219" t="str" cm="1">
        <f t="array" ref="A746">IFERROR(INDEX('03.Muestra'!$B$8:$B$42,SMALL(IF("Documento no web"='03.Muestra'!$D$8:$D$42,ROW('03.Muestra'!$B$8:$B$42)-MIN(ROW('03.Muestra'!$D$8:$D$42))+1,""),ROW()-740)),"")</f>
        <v/>
      </c>
      <c r="B746" s="114" t="str" cm="1">
        <f t="array" ref="B746">IFERROR(INDEX('03.Muestra'!$C$8:$C$42,SMALL(IF("Documento no web"='03.Muestra'!$D$8:$D$42,ROW('03.Muestra'!$C$8:$C$42)-MIN(ROW('03.Muestra'!$D$8:$D$42))+1,""),ROW()-740)),"")</f>
        <v/>
      </c>
      <c r="C746" s="114" t="str" cm="1">
        <f t="array" ref="C746">IFERROR(INDEX('03.Muestra'!$F$8:$F$42,SMALL(IF("Documento no web"='03.Muestra'!$D$8:$D$42,ROW('03.Muestra'!$F$8:$F$42)-MIN(ROW('03.Muestra'!$D$8:$D$42))+1,""),ROW()-740)),"")</f>
        <v/>
      </c>
      <c r="D746" s="130" t="str">
        <f t="shared" si="39"/>
        <v/>
      </c>
      <c r="E746" s="107" t="str">
        <f t="shared" si="38"/>
        <v/>
      </c>
      <c r="F746" s="19"/>
      <c r="G746" s="19"/>
      <c r="H746" s="19"/>
      <c r="I746" s="19"/>
      <c r="K746" s="233"/>
      <c r="L746" s="19"/>
      <c r="M746" s="19"/>
      <c r="N746" s="19"/>
      <c r="O746" s="19"/>
      <c r="P746" s="19"/>
      <c r="Q746" s="19"/>
      <c r="R746" s="19"/>
      <c r="S746" s="19"/>
      <c r="T746" s="19"/>
      <c r="U746" s="19"/>
      <c r="V746" s="19"/>
      <c r="W746" s="19"/>
      <c r="X746" s="19"/>
      <c r="Y746" s="19"/>
    </row>
    <row r="747" spans="1:25" ht="12" customHeight="1">
      <c r="A747" s="219" t="str" cm="1">
        <f t="array" ref="A747">IFERROR(INDEX('03.Muestra'!$B$8:$B$42,SMALL(IF("Documento no web"='03.Muestra'!$D$8:$D$42,ROW('03.Muestra'!$B$8:$B$42)-MIN(ROW('03.Muestra'!$D$8:$D$42))+1,""),ROW()-740)),"")</f>
        <v/>
      </c>
      <c r="B747" s="114" t="str" cm="1">
        <f t="array" ref="B747">IFERROR(INDEX('03.Muestra'!$C$8:$C$42,SMALL(IF("Documento no web"='03.Muestra'!$D$8:$D$42,ROW('03.Muestra'!$C$8:$C$42)-MIN(ROW('03.Muestra'!$D$8:$D$42))+1,""),ROW()-740)),"")</f>
        <v/>
      </c>
      <c r="C747" s="114" t="str" cm="1">
        <f t="array" ref="C747">IFERROR(INDEX('03.Muestra'!$F$8:$F$42,SMALL(IF("Documento no web"='03.Muestra'!$D$8:$D$42,ROW('03.Muestra'!$F$8:$F$42)-MIN(ROW('03.Muestra'!$D$8:$D$42))+1,""),ROW()-740)),"")</f>
        <v/>
      </c>
      <c r="D747" s="130" t="str">
        <f t="shared" si="39"/>
        <v/>
      </c>
      <c r="E747" s="107" t="str">
        <f t="shared" si="38"/>
        <v/>
      </c>
      <c r="F747" s="19"/>
      <c r="G747" s="19"/>
      <c r="H747" s="19"/>
      <c r="I747" s="19"/>
      <c r="J747" s="19"/>
      <c r="K747" s="233"/>
      <c r="L747" s="19"/>
      <c r="M747" s="19"/>
      <c r="N747" s="19"/>
      <c r="O747" s="19"/>
      <c r="P747" s="19"/>
      <c r="Q747" s="19"/>
      <c r="R747" s="19"/>
      <c r="S747" s="19"/>
      <c r="T747" s="19"/>
      <c r="U747" s="19"/>
      <c r="V747" s="19"/>
      <c r="W747" s="19"/>
      <c r="X747" s="19"/>
      <c r="Y747" s="19"/>
    </row>
    <row r="748" spans="1:25" ht="12" customHeight="1">
      <c r="A748" s="219" t="str" cm="1">
        <f t="array" ref="A748">IFERROR(INDEX('03.Muestra'!$B$8:$B$42,SMALL(IF("Documento no web"='03.Muestra'!$D$8:$D$42,ROW('03.Muestra'!$B$8:$B$42)-MIN(ROW('03.Muestra'!$D$8:$D$42))+1,""),ROW()-740)),"")</f>
        <v/>
      </c>
      <c r="B748" s="114" t="str" cm="1">
        <f t="array" ref="B748">IFERROR(INDEX('03.Muestra'!$C$8:$C$42,SMALL(IF("Documento no web"='03.Muestra'!$D$8:$D$42,ROW('03.Muestra'!$C$8:$C$42)-MIN(ROW('03.Muestra'!$D$8:$D$42))+1,""),ROW()-740)),"")</f>
        <v/>
      </c>
      <c r="C748" s="114" t="str" cm="1">
        <f t="array" ref="C748">IFERROR(INDEX('03.Muestra'!$F$8:$F$42,SMALL(IF("Documento no web"='03.Muestra'!$D$8:$D$42,ROW('03.Muestra'!$F$8:$F$42)-MIN(ROW('03.Muestra'!$D$8:$D$42))+1,""),ROW()-740)),"")</f>
        <v/>
      </c>
      <c r="D748" s="130" t="str">
        <f t="shared" si="39"/>
        <v/>
      </c>
      <c r="E748" s="107" t="str">
        <f t="shared" si="38"/>
        <v/>
      </c>
      <c r="F748" s="19"/>
      <c r="G748" s="19"/>
      <c r="H748" s="19"/>
      <c r="I748" s="19"/>
      <c r="J748" s="19"/>
      <c r="K748" s="233"/>
      <c r="L748" s="19"/>
      <c r="M748" s="19"/>
      <c r="N748" s="19"/>
      <c r="O748" s="19"/>
      <c r="P748" s="19"/>
      <c r="Q748" s="19"/>
      <c r="R748" s="19"/>
      <c r="S748" s="19"/>
      <c r="T748" s="19"/>
      <c r="U748" s="19"/>
      <c r="V748" s="19"/>
      <c r="W748" s="19"/>
      <c r="X748" s="19"/>
      <c r="Y748" s="19"/>
    </row>
    <row r="749" spans="1:25" ht="12" customHeight="1">
      <c r="A749" s="219" t="str" cm="1">
        <f t="array" ref="A749">IFERROR(INDEX('03.Muestra'!$B$8:$B$42,SMALL(IF("Documento no web"='03.Muestra'!$D$8:$D$42,ROW('03.Muestra'!$B$8:$B$42)-MIN(ROW('03.Muestra'!$D$8:$D$42))+1,""),ROW()-740)),"")</f>
        <v/>
      </c>
      <c r="B749" s="114" t="str" cm="1">
        <f t="array" ref="B749">IFERROR(INDEX('03.Muestra'!$C$8:$C$42,SMALL(IF("Documento no web"='03.Muestra'!$D$8:$D$42,ROW('03.Muestra'!$C$8:$C$42)-MIN(ROW('03.Muestra'!$D$8:$D$42))+1,""),ROW()-740)),"")</f>
        <v/>
      </c>
      <c r="C749" s="114" t="str" cm="1">
        <f t="array" ref="C749">IFERROR(INDEX('03.Muestra'!$F$8:$F$42,SMALL(IF("Documento no web"='03.Muestra'!$D$8:$D$42,ROW('03.Muestra'!$F$8:$F$42)-MIN(ROW('03.Muestra'!$D$8:$D$42))+1,""),ROW()-740)),"")</f>
        <v/>
      </c>
      <c r="D749" s="130" t="str">
        <f t="shared" si="39"/>
        <v/>
      </c>
      <c r="E749" s="107" t="str">
        <f t="shared" si="38"/>
        <v/>
      </c>
      <c r="F749" s="19"/>
      <c r="G749" s="19"/>
      <c r="H749" s="19"/>
      <c r="I749" s="19"/>
      <c r="J749" s="19"/>
      <c r="K749" s="233"/>
      <c r="M749" s="19"/>
      <c r="N749" s="19"/>
      <c r="O749" s="19"/>
      <c r="P749" s="19"/>
      <c r="Q749" s="19"/>
      <c r="R749" s="19"/>
      <c r="S749" s="19"/>
      <c r="T749" s="19"/>
      <c r="U749" s="19"/>
      <c r="V749" s="19"/>
      <c r="W749" s="19"/>
      <c r="X749" s="19"/>
      <c r="Y749" s="19"/>
    </row>
    <row r="750" spans="1:25" ht="12" customHeight="1">
      <c r="A750" s="219" t="str" cm="1">
        <f t="array" ref="A750">IFERROR(INDEX('03.Muestra'!$B$8:$B$42,SMALL(IF("Documento no web"='03.Muestra'!$D$8:$D$42,ROW('03.Muestra'!$B$8:$B$42)-MIN(ROW('03.Muestra'!$D$8:$D$42))+1,""),ROW()-740)),"")</f>
        <v/>
      </c>
      <c r="B750" s="114" t="str" cm="1">
        <f t="array" ref="B750">IFERROR(INDEX('03.Muestra'!$C$8:$C$42,SMALL(IF("Documento no web"='03.Muestra'!$D$8:$D$42,ROW('03.Muestra'!$C$8:$C$42)-MIN(ROW('03.Muestra'!$D$8:$D$42))+1,""),ROW()-740)),"")</f>
        <v/>
      </c>
      <c r="C750" s="114" t="str" cm="1">
        <f t="array" ref="C750">IFERROR(INDEX('03.Muestra'!$F$8:$F$42,SMALL(IF("Documento no web"='03.Muestra'!$D$8:$D$42,ROW('03.Muestra'!$F$8:$F$42)-MIN(ROW('03.Muestra'!$D$8:$D$42))+1,""),ROW()-740)),"")</f>
        <v/>
      </c>
      <c r="D750" s="130" t="str">
        <f t="shared" si="39"/>
        <v/>
      </c>
      <c r="E750" s="107" t="str">
        <f t="shared" si="38"/>
        <v/>
      </c>
      <c r="F750" s="19"/>
      <c r="G750" s="19"/>
      <c r="H750" s="19"/>
      <c r="I750" s="19"/>
      <c r="J750" s="19"/>
      <c r="K750" s="233"/>
      <c r="M750" s="19"/>
      <c r="N750" s="19"/>
      <c r="O750" s="19"/>
      <c r="P750" s="19"/>
      <c r="Q750" s="19"/>
      <c r="R750" s="19"/>
      <c r="S750" s="19"/>
      <c r="T750" s="19"/>
      <c r="U750" s="19"/>
      <c r="V750" s="19"/>
      <c r="W750" s="19"/>
      <c r="X750" s="19"/>
      <c r="Y750" s="19"/>
    </row>
    <row r="751" spans="1:25" ht="12" customHeight="1">
      <c r="A751" s="219" t="str" cm="1">
        <f t="array" ref="A751">IFERROR(INDEX('03.Muestra'!$B$8:$B$42,SMALL(IF("Documento no web"='03.Muestra'!$D$8:$D$42,ROW('03.Muestra'!$B$8:$B$42)-MIN(ROW('03.Muestra'!$D$8:$D$42))+1,""),ROW()-740)),"")</f>
        <v/>
      </c>
      <c r="B751" s="114" t="str" cm="1">
        <f t="array" ref="B751">IFERROR(INDEX('03.Muestra'!$C$8:$C$42,SMALL(IF("Documento no web"='03.Muestra'!$D$8:$D$42,ROW('03.Muestra'!$C$8:$C$42)-MIN(ROW('03.Muestra'!$D$8:$D$42))+1,""),ROW()-740)),"")</f>
        <v/>
      </c>
      <c r="C751" s="114" t="str" cm="1">
        <f t="array" ref="C751">IFERROR(INDEX('03.Muestra'!$F$8:$F$42,SMALL(IF("Documento no web"='03.Muestra'!$D$8:$D$42,ROW('03.Muestra'!$F$8:$F$42)-MIN(ROW('03.Muestra'!$D$8:$D$42))+1,""),ROW()-740)),"")</f>
        <v/>
      </c>
      <c r="D751" s="130" t="str">
        <f t="shared" si="39"/>
        <v/>
      </c>
      <c r="E751" s="107" t="str">
        <f t="shared" si="38"/>
        <v/>
      </c>
      <c r="F751" s="19"/>
      <c r="G751" s="19"/>
      <c r="H751" s="19"/>
      <c r="I751" s="19"/>
      <c r="J751" s="19"/>
      <c r="K751" s="233"/>
      <c r="M751" s="19"/>
      <c r="N751" s="19"/>
      <c r="O751" s="19"/>
      <c r="P751" s="19"/>
      <c r="Q751" s="19"/>
      <c r="R751" s="19"/>
      <c r="S751" s="19"/>
      <c r="T751" s="19"/>
      <c r="U751" s="19"/>
      <c r="V751" s="19"/>
      <c r="W751" s="19"/>
      <c r="X751" s="19"/>
      <c r="Y751" s="19"/>
    </row>
    <row r="752" spans="1:25" ht="12" customHeight="1">
      <c r="A752" s="219" t="str" cm="1">
        <f t="array" ref="A752">IFERROR(INDEX('03.Muestra'!$B$8:$B$42,SMALL(IF("Documento no web"='03.Muestra'!$D$8:$D$42,ROW('03.Muestra'!$B$8:$B$42)-MIN(ROW('03.Muestra'!$D$8:$D$42))+1,""),ROW()-740)),"")</f>
        <v/>
      </c>
      <c r="B752" s="114" t="str" cm="1">
        <f t="array" ref="B752">IFERROR(INDEX('03.Muestra'!$C$8:$C$42,SMALL(IF("Documento no web"='03.Muestra'!$D$8:$D$42,ROW('03.Muestra'!$C$8:$C$42)-MIN(ROW('03.Muestra'!$D$8:$D$42))+1,""),ROW()-740)),"")</f>
        <v/>
      </c>
      <c r="C752" s="114" t="str" cm="1">
        <f t="array" ref="C752">IFERROR(INDEX('03.Muestra'!$F$8:$F$42,SMALL(IF("Documento no web"='03.Muestra'!$D$8:$D$42,ROW('03.Muestra'!$F$8:$F$42)-MIN(ROW('03.Muestra'!$D$8:$D$42))+1,""),ROW()-740)),"")</f>
        <v/>
      </c>
      <c r="D752" s="130" t="str">
        <f t="shared" si="39"/>
        <v/>
      </c>
      <c r="E752" s="107" t="str">
        <f t="shared" si="38"/>
        <v/>
      </c>
      <c r="F752" s="19"/>
      <c r="G752" s="19"/>
      <c r="H752" s="19"/>
      <c r="I752" s="19"/>
      <c r="J752" s="19"/>
      <c r="K752" s="233"/>
      <c r="L752" s="19"/>
      <c r="M752" s="19"/>
      <c r="N752" s="19"/>
      <c r="O752" s="19"/>
      <c r="P752" s="19"/>
      <c r="Q752" s="19"/>
      <c r="R752" s="19"/>
      <c r="S752" s="19"/>
      <c r="T752" s="19"/>
      <c r="U752" s="19"/>
      <c r="V752" s="19"/>
      <c r="W752" s="19"/>
      <c r="X752" s="19"/>
      <c r="Y752" s="19"/>
    </row>
    <row r="753" spans="1:25" ht="12" customHeight="1">
      <c r="A753" s="219" t="str" cm="1">
        <f t="array" ref="A753">IFERROR(INDEX('03.Muestra'!$B$8:$B$42,SMALL(IF("Documento no web"='03.Muestra'!$D$8:$D$42,ROW('03.Muestra'!$B$8:$B$42)-MIN(ROW('03.Muestra'!$D$8:$D$42))+1,""),ROW()-740)),"")</f>
        <v/>
      </c>
      <c r="B753" s="114" t="str" cm="1">
        <f t="array" ref="B753">IFERROR(INDEX('03.Muestra'!$C$8:$C$42,SMALL(IF("Documento no web"='03.Muestra'!$D$8:$D$42,ROW('03.Muestra'!$C$8:$C$42)-MIN(ROW('03.Muestra'!$D$8:$D$42))+1,""),ROW()-740)),"")</f>
        <v/>
      </c>
      <c r="C753" s="114" t="str" cm="1">
        <f t="array" ref="C753">IFERROR(INDEX('03.Muestra'!$F$8:$F$42,SMALL(IF("Documento no web"='03.Muestra'!$D$8:$D$42,ROW('03.Muestra'!$F$8:$F$42)-MIN(ROW('03.Muestra'!$D$8:$D$42))+1,""),ROW()-740)),"")</f>
        <v/>
      </c>
      <c r="D753" s="130" t="str">
        <f t="shared" si="39"/>
        <v/>
      </c>
      <c r="E753" s="107" t="str">
        <f t="shared" si="38"/>
        <v/>
      </c>
      <c r="F753" s="19"/>
      <c r="G753" s="19"/>
      <c r="H753" s="19"/>
      <c r="I753" s="19"/>
      <c r="J753" s="19"/>
      <c r="K753" s="233"/>
      <c r="L753" s="19"/>
      <c r="M753" s="19"/>
      <c r="N753" s="19"/>
      <c r="O753" s="19"/>
      <c r="P753" s="19"/>
      <c r="Q753" s="19"/>
      <c r="R753" s="19"/>
      <c r="S753" s="19"/>
      <c r="T753" s="19"/>
      <c r="U753" s="19"/>
      <c r="V753" s="19"/>
      <c r="W753" s="19"/>
      <c r="X753" s="19"/>
      <c r="Y753" s="19"/>
    </row>
    <row r="754" spans="1:25" ht="12" customHeight="1">
      <c r="A754" s="219" t="str" cm="1">
        <f t="array" ref="A754">IFERROR(INDEX('03.Muestra'!$B$8:$B$42,SMALL(IF("Documento no web"='03.Muestra'!$D$8:$D$42,ROW('03.Muestra'!$B$8:$B$42)-MIN(ROW('03.Muestra'!$D$8:$D$42))+1,""),ROW()-740)),"")</f>
        <v/>
      </c>
      <c r="B754" s="114" t="str" cm="1">
        <f t="array" ref="B754">IFERROR(INDEX('03.Muestra'!$C$8:$C$42,SMALL(IF("Documento no web"='03.Muestra'!$D$8:$D$42,ROW('03.Muestra'!$C$8:$C$42)-MIN(ROW('03.Muestra'!$D$8:$D$42))+1,""),ROW()-740)),"")</f>
        <v/>
      </c>
      <c r="C754" s="114" t="str" cm="1">
        <f t="array" ref="C754">IFERROR(INDEX('03.Muestra'!$F$8:$F$42,SMALL(IF("Documento no web"='03.Muestra'!$D$8:$D$42,ROW('03.Muestra'!$F$8:$F$42)-MIN(ROW('03.Muestra'!$D$8:$D$42))+1,""),ROW()-740)),"")</f>
        <v/>
      </c>
      <c r="D754" s="130" t="str">
        <f t="shared" si="39"/>
        <v/>
      </c>
      <c r="E754" s="107" t="str">
        <f t="shared" si="38"/>
        <v/>
      </c>
      <c r="F754" s="19"/>
      <c r="G754" s="19"/>
      <c r="H754" s="19"/>
      <c r="I754" s="19"/>
      <c r="J754" s="19"/>
      <c r="K754" s="233"/>
      <c r="L754" s="19"/>
      <c r="M754" s="19"/>
      <c r="N754" s="19"/>
      <c r="O754" s="19"/>
      <c r="P754" s="19"/>
      <c r="Q754" s="19"/>
      <c r="R754" s="19"/>
      <c r="S754" s="19"/>
      <c r="T754" s="19"/>
      <c r="U754" s="19"/>
      <c r="V754" s="19"/>
      <c r="W754" s="19"/>
      <c r="X754" s="19"/>
      <c r="Y754" s="19"/>
    </row>
    <row r="755" spans="1:25" ht="12" customHeight="1">
      <c r="A755" s="219" t="str" cm="1">
        <f t="array" ref="A755">IFERROR(INDEX('03.Muestra'!$B$8:$B$42,SMALL(IF("Documento no web"='03.Muestra'!$D$8:$D$42,ROW('03.Muestra'!$B$8:$B$42)-MIN(ROW('03.Muestra'!$D$8:$D$42))+1,""),ROW()-740)),"")</f>
        <v/>
      </c>
      <c r="B755" s="114" t="str" cm="1">
        <f t="array" ref="B755">IFERROR(INDEX('03.Muestra'!$C$8:$C$42,SMALL(IF("Documento no web"='03.Muestra'!$D$8:$D$42,ROW('03.Muestra'!$C$8:$C$42)-MIN(ROW('03.Muestra'!$D$8:$D$42))+1,""),ROW()-740)),"")</f>
        <v/>
      </c>
      <c r="C755" s="114" t="str" cm="1">
        <f t="array" ref="C755">IFERROR(INDEX('03.Muestra'!$F$8:$F$42,SMALL(IF("Documento no web"='03.Muestra'!$D$8:$D$42,ROW('03.Muestra'!$F$8:$F$42)-MIN(ROW('03.Muestra'!$D$8:$D$42))+1,""),ROW()-740)),"")</f>
        <v/>
      </c>
      <c r="D755" s="130" t="str">
        <f t="shared" si="39"/>
        <v/>
      </c>
      <c r="E755" s="107" t="str">
        <f t="shared" si="38"/>
        <v/>
      </c>
      <c r="F755" s="19"/>
      <c r="G755" s="19"/>
      <c r="H755" s="19"/>
      <c r="I755" s="19"/>
      <c r="J755" s="19"/>
      <c r="K755" s="233"/>
      <c r="L755" s="19"/>
      <c r="M755" s="19"/>
      <c r="N755" s="19"/>
      <c r="O755" s="19"/>
      <c r="P755" s="19"/>
      <c r="Q755" s="19"/>
      <c r="R755" s="19"/>
      <c r="S755" s="19"/>
      <c r="T755" s="19"/>
      <c r="U755" s="19"/>
      <c r="V755" s="19"/>
      <c r="W755" s="19"/>
      <c r="X755" s="19"/>
      <c r="Y755" s="19"/>
    </row>
    <row r="756" spans="1:25" ht="12" customHeight="1">
      <c r="A756" s="219" t="str" cm="1">
        <f t="array" ref="A756">IFERROR(INDEX('03.Muestra'!$B$8:$B$42,SMALL(IF("Documento no web"='03.Muestra'!$D$8:$D$42,ROW('03.Muestra'!$B$8:$B$42)-MIN(ROW('03.Muestra'!$D$8:$D$42))+1,""),ROW()-740)),"")</f>
        <v/>
      </c>
      <c r="B756" s="114" t="str" cm="1">
        <f t="array" ref="B756">IFERROR(INDEX('03.Muestra'!$C$8:$C$42,SMALL(IF("Documento no web"='03.Muestra'!$D$8:$D$42,ROW('03.Muestra'!$C$8:$C$42)-MIN(ROW('03.Muestra'!$D$8:$D$42))+1,""),ROW()-740)),"")</f>
        <v/>
      </c>
      <c r="C756" s="114" t="str" cm="1">
        <f t="array" ref="C756">IFERROR(INDEX('03.Muestra'!$F$8:$F$42,SMALL(IF("Documento no web"='03.Muestra'!$D$8:$D$42,ROW('03.Muestra'!$F$8:$F$42)-MIN(ROW('03.Muestra'!$D$8:$D$42))+1,""),ROW()-740)),"")</f>
        <v/>
      </c>
      <c r="D756" s="130" t="str">
        <f t="shared" si="39"/>
        <v/>
      </c>
      <c r="E756" s="107" t="str">
        <f t="shared" si="38"/>
        <v/>
      </c>
      <c r="F756" s="19"/>
      <c r="G756" s="19"/>
      <c r="H756" s="19"/>
      <c r="I756" s="19"/>
      <c r="J756" s="19"/>
      <c r="K756" s="233"/>
      <c r="L756" s="19"/>
      <c r="M756" s="19"/>
      <c r="N756" s="19"/>
      <c r="O756" s="19"/>
      <c r="P756" s="19"/>
      <c r="Q756" s="19"/>
      <c r="R756" s="19"/>
      <c r="S756" s="19"/>
      <c r="T756" s="19"/>
      <c r="U756" s="19"/>
      <c r="V756" s="19"/>
      <c r="W756" s="19"/>
      <c r="X756" s="19"/>
      <c r="Y756" s="19"/>
    </row>
    <row r="757" spans="1:25" ht="12" customHeight="1">
      <c r="A757" s="219" t="str" cm="1">
        <f t="array" ref="A757">IFERROR(INDEX('03.Muestra'!$B$8:$B$42,SMALL(IF("Documento no web"='03.Muestra'!$D$8:$D$42,ROW('03.Muestra'!$B$8:$B$42)-MIN(ROW('03.Muestra'!$D$8:$D$42))+1,""),ROW()-740)),"")</f>
        <v/>
      </c>
      <c r="B757" s="114" t="str" cm="1">
        <f t="array" ref="B757">IFERROR(INDEX('03.Muestra'!$C$8:$C$42,SMALL(IF("Documento no web"='03.Muestra'!$D$8:$D$42,ROW('03.Muestra'!$C$8:$C$42)-MIN(ROW('03.Muestra'!$D$8:$D$42))+1,""),ROW()-740)),"")</f>
        <v/>
      </c>
      <c r="C757" s="114" t="str" cm="1">
        <f t="array" ref="C757">IFERROR(INDEX('03.Muestra'!$F$8:$F$42,SMALL(IF("Documento no web"='03.Muestra'!$D$8:$D$42,ROW('03.Muestra'!$F$8:$F$42)-MIN(ROW('03.Muestra'!$D$8:$D$42))+1,""),ROW()-740)),"")</f>
        <v/>
      </c>
      <c r="D757" s="130" t="str">
        <f t="shared" si="39"/>
        <v/>
      </c>
      <c r="E757" s="107" t="str">
        <f t="shared" si="38"/>
        <v/>
      </c>
      <c r="F757" s="19"/>
      <c r="G757" s="19"/>
      <c r="H757" s="19"/>
      <c r="I757" s="19"/>
      <c r="J757" s="19"/>
      <c r="K757" s="233"/>
      <c r="L757" s="19"/>
      <c r="M757" s="19"/>
      <c r="N757" s="19"/>
      <c r="O757" s="19"/>
      <c r="P757" s="19"/>
      <c r="Q757" s="19"/>
      <c r="R757" s="19"/>
      <c r="S757" s="19"/>
      <c r="T757" s="19"/>
      <c r="U757" s="19"/>
      <c r="V757" s="19"/>
      <c r="W757" s="19"/>
      <c r="X757" s="19"/>
      <c r="Y757" s="19"/>
    </row>
    <row r="758" spans="1:25" ht="12" customHeight="1">
      <c r="A758" s="219" t="str" cm="1">
        <f t="array" ref="A758">IFERROR(INDEX('03.Muestra'!$B$8:$B$42,SMALL(IF("Documento no web"='03.Muestra'!$D$8:$D$42,ROW('03.Muestra'!$B$8:$B$42)-MIN(ROW('03.Muestra'!$D$8:$D$42))+1,""),ROW()-740)),"")</f>
        <v/>
      </c>
      <c r="B758" s="114" t="str" cm="1">
        <f t="array" ref="B758">IFERROR(INDEX('03.Muestra'!$C$8:$C$42,SMALL(IF("Documento no web"='03.Muestra'!$D$8:$D$42,ROW('03.Muestra'!$C$8:$C$42)-MIN(ROW('03.Muestra'!$D$8:$D$42))+1,""),ROW()-740)),"")</f>
        <v/>
      </c>
      <c r="C758" s="114" t="str" cm="1">
        <f t="array" ref="C758">IFERROR(INDEX('03.Muestra'!$F$8:$F$42,SMALL(IF("Documento no web"='03.Muestra'!$D$8:$D$42,ROW('03.Muestra'!$F$8:$F$42)-MIN(ROW('03.Muestra'!$D$8:$D$42))+1,""),ROW()-740)),"")</f>
        <v/>
      </c>
      <c r="D758" s="130" t="str">
        <f t="shared" si="39"/>
        <v/>
      </c>
      <c r="E758" s="107" t="str">
        <f t="shared" si="38"/>
        <v/>
      </c>
      <c r="F758" s="19"/>
      <c r="G758" s="19"/>
      <c r="H758" s="19"/>
      <c r="I758" s="19"/>
      <c r="J758" s="19"/>
      <c r="K758" s="233"/>
      <c r="L758" s="19"/>
      <c r="M758" s="19"/>
      <c r="N758" s="19"/>
      <c r="O758" s="19"/>
      <c r="P758" s="19"/>
      <c r="Q758" s="19"/>
      <c r="R758" s="19"/>
      <c r="S758" s="19"/>
      <c r="T758" s="19"/>
      <c r="U758" s="19"/>
      <c r="V758" s="19"/>
      <c r="W758" s="19"/>
      <c r="X758" s="19"/>
      <c r="Y758" s="19"/>
    </row>
    <row r="759" spans="1:25" ht="12" customHeight="1">
      <c r="A759" s="219" t="str" cm="1">
        <f t="array" ref="A759">IFERROR(INDEX('03.Muestra'!$B$8:$B$42,SMALL(IF("Documento no web"='03.Muestra'!$D$8:$D$42,ROW('03.Muestra'!$B$8:$B$42)-MIN(ROW('03.Muestra'!$D$8:$D$42))+1,""),ROW()-740)),"")</f>
        <v/>
      </c>
      <c r="B759" s="114" t="str" cm="1">
        <f t="array" ref="B759">IFERROR(INDEX('03.Muestra'!$C$8:$C$42,SMALL(IF("Documento no web"='03.Muestra'!$D$8:$D$42,ROW('03.Muestra'!$C$8:$C$42)-MIN(ROW('03.Muestra'!$D$8:$D$42))+1,""),ROW()-740)),"")</f>
        <v/>
      </c>
      <c r="C759" s="114" t="str" cm="1">
        <f t="array" ref="C759">IFERROR(INDEX('03.Muestra'!$F$8:$F$42,SMALL(IF("Documento no web"='03.Muestra'!$D$8:$D$42,ROW('03.Muestra'!$F$8:$F$42)-MIN(ROW('03.Muestra'!$D$8:$D$42))+1,""),ROW()-740)),"")</f>
        <v/>
      </c>
      <c r="D759" s="130" t="str">
        <f t="shared" si="39"/>
        <v/>
      </c>
      <c r="E759" s="107" t="str">
        <f t="shared" si="38"/>
        <v/>
      </c>
      <c r="F759" s="19"/>
      <c r="G759" s="19"/>
      <c r="H759" s="19"/>
      <c r="I759" s="19"/>
      <c r="J759" s="19"/>
      <c r="K759" s="233"/>
      <c r="L759" s="19"/>
      <c r="M759" s="19"/>
      <c r="N759" s="19"/>
      <c r="O759" s="19"/>
      <c r="P759" s="19"/>
      <c r="Q759" s="19"/>
      <c r="R759" s="19"/>
      <c r="S759" s="19"/>
      <c r="T759" s="19"/>
      <c r="U759" s="19"/>
      <c r="V759" s="19"/>
      <c r="W759" s="19"/>
      <c r="X759" s="19"/>
      <c r="Y759" s="19"/>
    </row>
    <row r="760" spans="1:25" ht="12" customHeight="1">
      <c r="A760" s="219" t="str" cm="1">
        <f t="array" ref="A760">IFERROR(INDEX('03.Muestra'!$B$8:$B$42,SMALL(IF("Documento no web"='03.Muestra'!$D$8:$D$42,ROW('03.Muestra'!$B$8:$B$42)-MIN(ROW('03.Muestra'!$D$8:$D$42))+1,""),ROW()-740)),"")</f>
        <v/>
      </c>
      <c r="B760" s="114" t="str" cm="1">
        <f t="array" ref="B760">IFERROR(INDEX('03.Muestra'!$C$8:$C$42,SMALL(IF("Documento no web"='03.Muestra'!$D$8:$D$42,ROW('03.Muestra'!$C$8:$C$42)-MIN(ROW('03.Muestra'!$D$8:$D$42))+1,""),ROW()-740)),"")</f>
        <v/>
      </c>
      <c r="C760" s="114" t="str" cm="1">
        <f t="array" ref="C760">IFERROR(INDEX('03.Muestra'!$F$8:$F$42,SMALL(IF("Documento no web"='03.Muestra'!$D$8:$D$42,ROW('03.Muestra'!$F$8:$F$42)-MIN(ROW('03.Muestra'!$D$8:$D$42))+1,""),ROW()-740)),"")</f>
        <v/>
      </c>
      <c r="D760" s="130" t="str">
        <f t="shared" si="39"/>
        <v/>
      </c>
      <c r="E760" s="107" t="str">
        <f t="shared" si="38"/>
        <v/>
      </c>
      <c r="F760" s="19"/>
      <c r="G760" s="19"/>
      <c r="H760" s="19"/>
      <c r="I760" s="19"/>
      <c r="J760" s="19"/>
      <c r="K760" s="233"/>
      <c r="L760" s="19"/>
      <c r="M760" s="19"/>
      <c r="N760" s="19"/>
      <c r="O760" s="19"/>
      <c r="P760" s="19"/>
      <c r="Q760" s="19"/>
      <c r="R760" s="19"/>
      <c r="S760" s="19"/>
      <c r="T760" s="19"/>
      <c r="U760" s="19"/>
      <c r="V760" s="19"/>
      <c r="W760" s="19"/>
      <c r="X760" s="19"/>
      <c r="Y760" s="19"/>
    </row>
    <row r="761" spans="1:25" ht="12" customHeight="1">
      <c r="A761" s="219" t="str" cm="1">
        <f t="array" ref="A761">IFERROR(INDEX('03.Muestra'!$B$8:$B$42,SMALL(IF("Documento no web"='03.Muestra'!$D$8:$D$42,ROW('03.Muestra'!$B$8:$B$42)-MIN(ROW('03.Muestra'!$D$8:$D$42))+1,""),ROW()-740)),"")</f>
        <v/>
      </c>
      <c r="B761" s="114" t="str" cm="1">
        <f t="array" ref="B761">IFERROR(INDEX('03.Muestra'!$C$8:$C$42,SMALL(IF("Documento no web"='03.Muestra'!$D$8:$D$42,ROW('03.Muestra'!$C$8:$C$42)-MIN(ROW('03.Muestra'!$D$8:$D$42))+1,""),ROW()-740)),"")</f>
        <v/>
      </c>
      <c r="C761" s="114" t="str" cm="1">
        <f t="array" ref="C761">IFERROR(INDEX('03.Muestra'!$F$8:$F$42,SMALL(IF("Documento no web"='03.Muestra'!$D$8:$D$42,ROW('03.Muestra'!$F$8:$F$42)-MIN(ROW('03.Muestra'!$D$8:$D$42))+1,""),ROW()-740)),"")</f>
        <v/>
      </c>
      <c r="D761" s="130" t="str">
        <f t="shared" si="39"/>
        <v/>
      </c>
      <c r="E761" s="107" t="str">
        <f t="shared" si="38"/>
        <v/>
      </c>
      <c r="F761" s="19"/>
      <c r="G761" s="19"/>
      <c r="H761" s="19"/>
      <c r="I761" s="19"/>
      <c r="J761" s="19"/>
      <c r="K761" s="233"/>
      <c r="L761" s="19"/>
      <c r="M761" s="19"/>
      <c r="N761" s="19"/>
      <c r="O761" s="19"/>
      <c r="P761" s="19"/>
      <c r="Q761" s="19"/>
      <c r="R761" s="19"/>
      <c r="S761" s="19"/>
      <c r="T761" s="19"/>
      <c r="U761" s="19"/>
      <c r="V761" s="19"/>
      <c r="W761" s="19"/>
      <c r="X761" s="19"/>
      <c r="Y761" s="19"/>
    </row>
    <row r="762" spans="1:25" ht="12" customHeight="1">
      <c r="A762" s="219" t="str" cm="1">
        <f t="array" ref="A762">IFERROR(INDEX('03.Muestra'!$B$8:$B$42,SMALL(IF("Documento no web"='03.Muestra'!$D$8:$D$42,ROW('03.Muestra'!$B$8:$B$42)-MIN(ROW('03.Muestra'!$D$8:$D$42))+1,""),ROW()-740)),"")</f>
        <v/>
      </c>
      <c r="B762" s="114" t="str" cm="1">
        <f t="array" ref="B762">IFERROR(INDEX('03.Muestra'!$C$8:$C$42,SMALL(IF("Documento no web"='03.Muestra'!$D$8:$D$42,ROW('03.Muestra'!$C$8:$C$42)-MIN(ROW('03.Muestra'!$D$8:$D$42))+1,""),ROW()-740)),"")</f>
        <v/>
      </c>
      <c r="C762" s="114" t="str" cm="1">
        <f t="array" ref="C762">IFERROR(INDEX('03.Muestra'!$F$8:$F$42,SMALL(IF("Documento no web"='03.Muestra'!$D$8:$D$42,ROW('03.Muestra'!$F$8:$F$42)-MIN(ROW('03.Muestra'!$D$8:$D$42))+1,""),ROW()-740)),"")</f>
        <v/>
      </c>
      <c r="D762" s="130" t="str">
        <f t="shared" si="39"/>
        <v/>
      </c>
      <c r="E762" s="107" t="str">
        <f t="shared" si="38"/>
        <v/>
      </c>
      <c r="F762" s="19"/>
      <c r="G762" s="19"/>
      <c r="H762" s="19"/>
      <c r="I762" s="19"/>
      <c r="J762" s="19"/>
      <c r="K762" s="233"/>
      <c r="L762" s="19"/>
      <c r="M762" s="19"/>
      <c r="N762" s="19"/>
      <c r="O762" s="19"/>
      <c r="P762" s="19"/>
      <c r="Q762" s="19"/>
      <c r="R762" s="19"/>
      <c r="S762" s="19"/>
      <c r="T762" s="19"/>
      <c r="U762" s="19"/>
      <c r="V762" s="19"/>
      <c r="W762" s="19"/>
      <c r="X762" s="19"/>
      <c r="Y762" s="19"/>
    </row>
    <row r="763" spans="1:25" ht="12" customHeight="1">
      <c r="A763" s="219" t="str" cm="1">
        <f t="array" ref="A763">IFERROR(INDEX('03.Muestra'!$B$8:$B$42,SMALL(IF("Documento no web"='03.Muestra'!$D$8:$D$42,ROW('03.Muestra'!$B$8:$B$42)-MIN(ROW('03.Muestra'!$D$8:$D$42))+1,""),ROW()-740)),"")</f>
        <v/>
      </c>
      <c r="B763" s="114" t="str" cm="1">
        <f t="array" ref="B763">IFERROR(INDEX('03.Muestra'!$C$8:$C$42,SMALL(IF("Documento no web"='03.Muestra'!$D$8:$D$42,ROW('03.Muestra'!$C$8:$C$42)-MIN(ROW('03.Muestra'!$D$8:$D$42))+1,""),ROW()-740)),"")</f>
        <v/>
      </c>
      <c r="C763" s="114" t="str" cm="1">
        <f t="array" ref="C763">IFERROR(INDEX('03.Muestra'!$F$8:$F$42,SMALL(IF("Documento no web"='03.Muestra'!$D$8:$D$42,ROW('03.Muestra'!$F$8:$F$42)-MIN(ROW('03.Muestra'!$D$8:$D$42))+1,""),ROW()-740)),"")</f>
        <v/>
      </c>
      <c r="D763" s="130" t="str">
        <f t="shared" si="39"/>
        <v/>
      </c>
      <c r="E763" s="107" t="str">
        <f t="shared" si="38"/>
        <v/>
      </c>
      <c r="F763" s="19"/>
      <c r="G763" s="19"/>
      <c r="H763" s="19"/>
      <c r="I763" s="19"/>
      <c r="J763" s="19"/>
      <c r="K763" s="233"/>
      <c r="L763" s="19"/>
      <c r="M763" s="19"/>
      <c r="N763" s="19"/>
      <c r="O763" s="19"/>
      <c r="P763" s="19"/>
      <c r="Q763" s="19"/>
      <c r="R763" s="19"/>
      <c r="S763" s="19"/>
      <c r="T763" s="19"/>
      <c r="U763" s="19"/>
      <c r="V763" s="19"/>
      <c r="W763" s="19"/>
      <c r="X763" s="19"/>
      <c r="Y763" s="19"/>
    </row>
    <row r="764" spans="1:25" ht="12" customHeight="1">
      <c r="A764" s="219" t="str" cm="1">
        <f t="array" ref="A764">IFERROR(INDEX('03.Muestra'!$B$8:$B$42,SMALL(IF("Documento no web"='03.Muestra'!$D$8:$D$42,ROW('03.Muestra'!$B$8:$B$42)-MIN(ROW('03.Muestra'!$D$8:$D$42))+1,""),ROW()-740)),"")</f>
        <v/>
      </c>
      <c r="B764" s="114" t="str" cm="1">
        <f t="array" ref="B764">IFERROR(INDEX('03.Muestra'!$C$8:$C$42,SMALL(IF("Documento no web"='03.Muestra'!$D$8:$D$42,ROW('03.Muestra'!$C$8:$C$42)-MIN(ROW('03.Muestra'!$D$8:$D$42))+1,""),ROW()-740)),"")</f>
        <v/>
      </c>
      <c r="C764" s="114" t="str" cm="1">
        <f t="array" ref="C764">IFERROR(INDEX('03.Muestra'!$F$8:$F$42,SMALL(IF("Documento no web"='03.Muestra'!$D$8:$D$42,ROW('03.Muestra'!$F$8:$F$42)-MIN(ROW('03.Muestra'!$D$8:$D$42))+1,""),ROW()-740)),"")</f>
        <v/>
      </c>
      <c r="D764" s="130" t="str">
        <f t="shared" si="39"/>
        <v/>
      </c>
      <c r="E764" s="107" t="str">
        <f t="shared" si="38"/>
        <v/>
      </c>
      <c r="F764" s="19"/>
      <c r="G764" s="19"/>
      <c r="H764" s="19"/>
      <c r="I764" s="19"/>
      <c r="J764" s="19"/>
      <c r="K764" s="233"/>
      <c r="L764" s="19"/>
      <c r="M764" s="19"/>
      <c r="N764" s="19"/>
      <c r="O764" s="19"/>
      <c r="P764" s="19"/>
      <c r="Q764" s="19"/>
      <c r="R764" s="19"/>
      <c r="S764" s="19"/>
      <c r="T764" s="19"/>
      <c r="U764" s="19"/>
      <c r="V764" s="19"/>
      <c r="W764" s="19"/>
      <c r="X764" s="19"/>
      <c r="Y764" s="19"/>
    </row>
    <row r="765" spans="1:25" ht="12" customHeight="1">
      <c r="A765" s="219" t="str" cm="1">
        <f t="array" ref="A765">IFERROR(INDEX('03.Muestra'!$B$8:$B$42,SMALL(IF("Documento no web"='03.Muestra'!$D$8:$D$42,ROW('03.Muestra'!$B$8:$B$42)-MIN(ROW('03.Muestra'!$D$8:$D$42))+1,""),ROW()-740)),"")</f>
        <v/>
      </c>
      <c r="B765" s="114" t="str" cm="1">
        <f t="array" ref="B765">IFERROR(INDEX('03.Muestra'!$C$8:$C$42,SMALL(IF("Documento no web"='03.Muestra'!$D$8:$D$42,ROW('03.Muestra'!$C$8:$C$42)-MIN(ROW('03.Muestra'!$D$8:$D$42))+1,""),ROW()-740)),"")</f>
        <v/>
      </c>
      <c r="C765" s="114" t="str" cm="1">
        <f t="array" ref="C765">IFERROR(INDEX('03.Muestra'!$F$8:$F$42,SMALL(IF("Documento no web"='03.Muestra'!$D$8:$D$42,ROW('03.Muestra'!$F$8:$F$42)-MIN(ROW('03.Muestra'!$D$8:$D$42))+1,""),ROW()-740)),"")</f>
        <v/>
      </c>
      <c r="D765" s="130" t="str">
        <f t="shared" si="39"/>
        <v/>
      </c>
      <c r="E765" s="107" t="str">
        <f t="shared" si="38"/>
        <v/>
      </c>
      <c r="F765" s="19"/>
      <c r="G765" s="19"/>
      <c r="H765" s="19"/>
      <c r="I765" s="19"/>
      <c r="J765" s="19"/>
      <c r="K765" s="233"/>
      <c r="L765" s="19"/>
      <c r="M765" s="19"/>
      <c r="N765" s="19"/>
      <c r="O765" s="19"/>
      <c r="P765" s="19"/>
      <c r="Q765" s="19"/>
      <c r="R765" s="19"/>
      <c r="S765" s="19"/>
      <c r="T765" s="19"/>
      <c r="U765" s="19"/>
      <c r="V765" s="19"/>
      <c r="W765" s="19"/>
      <c r="X765" s="19"/>
      <c r="Y765" s="19"/>
    </row>
    <row r="766" spans="1:25" ht="12" customHeight="1">
      <c r="A766" s="219" t="str" cm="1">
        <f t="array" ref="A766">IFERROR(INDEX('03.Muestra'!$B$8:$B$42,SMALL(IF("Documento no web"='03.Muestra'!$D$8:$D$42,ROW('03.Muestra'!$B$8:$B$42)-MIN(ROW('03.Muestra'!$D$8:$D$42))+1,""),ROW()-740)),"")</f>
        <v/>
      </c>
      <c r="B766" s="114" t="str" cm="1">
        <f t="array" ref="B766">IFERROR(INDEX('03.Muestra'!$C$8:$C$42,SMALL(IF("Documento no web"='03.Muestra'!$D$8:$D$42,ROW('03.Muestra'!$C$8:$C$42)-MIN(ROW('03.Muestra'!$D$8:$D$42))+1,""),ROW()-740)),"")</f>
        <v/>
      </c>
      <c r="C766" s="114" t="str" cm="1">
        <f t="array" ref="C766">IFERROR(INDEX('03.Muestra'!$F$8:$F$42,SMALL(IF("Documento no web"='03.Muestra'!$D$8:$D$42,ROW('03.Muestra'!$F$8:$F$42)-MIN(ROW('03.Muestra'!$D$8:$D$42))+1,""),ROW()-740)),"")</f>
        <v/>
      </c>
      <c r="D766" s="130" t="str">
        <f t="shared" si="39"/>
        <v/>
      </c>
      <c r="E766" s="107" t="str">
        <f t="shared" si="38"/>
        <v/>
      </c>
      <c r="F766" s="19"/>
      <c r="G766" s="19"/>
      <c r="H766" s="19"/>
      <c r="I766" s="19"/>
      <c r="J766" s="19"/>
      <c r="K766" s="233"/>
      <c r="L766" s="19"/>
      <c r="M766" s="19"/>
      <c r="N766" s="19"/>
      <c r="O766" s="19"/>
      <c r="P766" s="19"/>
      <c r="Q766" s="19"/>
      <c r="R766" s="19"/>
      <c r="S766" s="19"/>
      <c r="T766" s="19"/>
      <c r="U766" s="19"/>
      <c r="V766" s="19"/>
      <c r="W766" s="19"/>
      <c r="X766" s="19"/>
      <c r="Y766" s="19"/>
    </row>
    <row r="767" spans="1:25" ht="12" customHeight="1">
      <c r="A767" s="219" t="str" cm="1">
        <f t="array" ref="A767">IFERROR(INDEX('03.Muestra'!$B$8:$B$42,SMALL(IF("Documento no web"='03.Muestra'!$D$8:$D$42,ROW('03.Muestra'!$B$8:$B$42)-MIN(ROW('03.Muestra'!$D$8:$D$42))+1,""),ROW()-740)),"")</f>
        <v/>
      </c>
      <c r="B767" s="114" t="str" cm="1">
        <f t="array" ref="B767">IFERROR(INDEX('03.Muestra'!$C$8:$C$42,SMALL(IF("Documento no web"='03.Muestra'!$D$8:$D$42,ROW('03.Muestra'!$C$8:$C$42)-MIN(ROW('03.Muestra'!$D$8:$D$42))+1,""),ROW()-740)),"")</f>
        <v/>
      </c>
      <c r="C767" s="114" t="str" cm="1">
        <f t="array" ref="C767">IFERROR(INDEX('03.Muestra'!$F$8:$F$42,SMALL(IF("Documento no web"='03.Muestra'!$D$8:$D$42,ROW('03.Muestra'!$F$8:$F$42)-MIN(ROW('03.Muestra'!$D$8:$D$42))+1,""),ROW()-740)),"")</f>
        <v/>
      </c>
      <c r="D767" s="130" t="str">
        <f t="shared" si="39"/>
        <v/>
      </c>
      <c r="E767" s="107" t="str">
        <f t="shared" si="38"/>
        <v/>
      </c>
      <c r="F767" s="19"/>
      <c r="G767" s="19"/>
      <c r="H767" s="19"/>
      <c r="I767" s="19"/>
      <c r="J767" s="19"/>
      <c r="K767" s="233"/>
      <c r="L767" s="19"/>
      <c r="M767" s="19"/>
      <c r="N767" s="19"/>
      <c r="O767" s="19"/>
      <c r="P767" s="19"/>
      <c r="Q767" s="19"/>
      <c r="R767" s="19"/>
      <c r="S767" s="19"/>
      <c r="T767" s="19"/>
      <c r="U767" s="19"/>
      <c r="V767" s="19"/>
      <c r="W767" s="19"/>
      <c r="X767" s="19"/>
      <c r="Y767" s="19"/>
    </row>
    <row r="768" spans="1:25" ht="12" customHeight="1">
      <c r="A768" s="219" t="str" cm="1">
        <f t="array" ref="A768">IFERROR(INDEX('03.Muestra'!$B$8:$B$42,SMALL(IF("Documento no web"='03.Muestra'!$D$8:$D$42,ROW('03.Muestra'!$B$8:$B$42)-MIN(ROW('03.Muestra'!$D$8:$D$42))+1,""),ROW()-740)),"")</f>
        <v/>
      </c>
      <c r="B768" s="114" t="str" cm="1">
        <f t="array" ref="B768">IFERROR(INDEX('03.Muestra'!$C$8:$C$42,SMALL(IF("Documento no web"='03.Muestra'!$D$8:$D$42,ROW('03.Muestra'!$C$8:$C$42)-MIN(ROW('03.Muestra'!$D$8:$D$42))+1,""),ROW()-740)),"")</f>
        <v/>
      </c>
      <c r="C768" s="114" t="str" cm="1">
        <f t="array" ref="C768">IFERROR(INDEX('03.Muestra'!$F$8:$F$42,SMALL(IF("Documento no web"='03.Muestra'!$D$8:$D$42,ROW('03.Muestra'!$F$8:$F$42)-MIN(ROW('03.Muestra'!$D$8:$D$42))+1,""),ROW()-740)),"")</f>
        <v/>
      </c>
      <c r="D768" s="130" t="str">
        <f t="shared" si="39"/>
        <v/>
      </c>
      <c r="E768" s="107" t="str">
        <f t="shared" si="38"/>
        <v/>
      </c>
      <c r="F768" s="19"/>
      <c r="G768" s="19"/>
      <c r="H768" s="19"/>
      <c r="I768" s="19"/>
      <c r="J768" s="19"/>
      <c r="K768" s="233"/>
      <c r="L768" s="19"/>
      <c r="M768" s="19"/>
      <c r="N768" s="19"/>
      <c r="O768" s="19"/>
      <c r="P768" s="19"/>
      <c r="Q768" s="19"/>
      <c r="R768" s="19"/>
      <c r="S768" s="19"/>
      <c r="T768" s="19"/>
      <c r="U768" s="19"/>
      <c r="V768" s="19"/>
      <c r="W768" s="19"/>
      <c r="X768" s="19"/>
      <c r="Y768" s="19"/>
    </row>
    <row r="769" spans="1:25" ht="12" customHeight="1">
      <c r="A769" s="219" t="str" cm="1">
        <f t="array" ref="A769">IFERROR(INDEX('03.Muestra'!$B$8:$B$42,SMALL(IF("Documento no web"='03.Muestra'!$D$8:$D$42,ROW('03.Muestra'!$B$8:$B$42)-MIN(ROW('03.Muestra'!$D$8:$D$42))+1,""),ROW()-740)),"")</f>
        <v/>
      </c>
      <c r="B769" s="114" t="str" cm="1">
        <f t="array" ref="B769">IFERROR(INDEX('03.Muestra'!$C$8:$C$42,SMALL(IF("Documento no web"='03.Muestra'!$D$8:$D$42,ROW('03.Muestra'!$C$8:$C$42)-MIN(ROW('03.Muestra'!$D$8:$D$42))+1,""),ROW()-740)),"")</f>
        <v/>
      </c>
      <c r="C769" s="114" t="str" cm="1">
        <f t="array" ref="C769">IFERROR(INDEX('03.Muestra'!$F$8:$F$42,SMALL(IF("Documento no web"='03.Muestra'!$D$8:$D$42,ROW('03.Muestra'!$F$8:$F$42)-MIN(ROW('03.Muestra'!$D$8:$D$42))+1,""),ROW()-740)),"")</f>
        <v/>
      </c>
      <c r="D769" s="130" t="str">
        <f t="shared" si="39"/>
        <v/>
      </c>
      <c r="E769" s="107" t="str">
        <f t="shared" si="38"/>
        <v/>
      </c>
      <c r="F769" s="19"/>
      <c r="G769" s="19"/>
      <c r="H769" s="19"/>
      <c r="I769" s="19"/>
      <c r="J769" s="19"/>
      <c r="K769" s="233"/>
      <c r="L769" s="19"/>
      <c r="M769" s="19"/>
      <c r="N769" s="19"/>
      <c r="O769" s="19"/>
      <c r="P769" s="19"/>
      <c r="Q769" s="19"/>
      <c r="R769" s="19"/>
      <c r="S769" s="19"/>
      <c r="T769" s="19"/>
      <c r="U769" s="19"/>
      <c r="V769" s="19"/>
      <c r="W769" s="19"/>
      <c r="X769" s="19"/>
      <c r="Y769" s="19"/>
    </row>
    <row r="770" spans="1:25" ht="12" customHeight="1">
      <c r="A770" s="219" t="str" cm="1">
        <f t="array" ref="A770">IFERROR(INDEX('03.Muestra'!$B$8:$B$42,SMALL(IF("Documento no web"='03.Muestra'!$D$8:$D$42,ROW('03.Muestra'!$B$8:$B$42)-MIN(ROW('03.Muestra'!$D$8:$D$42))+1,""),ROW()-740)),"")</f>
        <v/>
      </c>
      <c r="B770" s="114" t="str" cm="1">
        <f t="array" ref="B770">IFERROR(INDEX('03.Muestra'!$C$8:$C$42,SMALL(IF("Documento no web"='03.Muestra'!$D$8:$D$42,ROW('03.Muestra'!$C$8:$C$42)-MIN(ROW('03.Muestra'!$D$8:$D$42))+1,""),ROW()-740)),"")</f>
        <v/>
      </c>
      <c r="C770" s="114" t="str" cm="1">
        <f t="array" ref="C770">IFERROR(INDEX('03.Muestra'!$F$8:$F$42,SMALL(IF("Documento no web"='03.Muestra'!$D$8:$D$42,ROW('03.Muestra'!$F$8:$F$42)-MIN(ROW('03.Muestra'!$D$8:$D$42))+1,""),ROW()-740)),"")</f>
        <v/>
      </c>
      <c r="D770" s="130" t="str">
        <f t="shared" si="39"/>
        <v/>
      </c>
      <c r="E770" s="107" t="str">
        <f t="shared" si="38"/>
        <v/>
      </c>
      <c r="F770" s="19"/>
      <c r="G770" s="19"/>
      <c r="H770" s="19"/>
      <c r="I770" s="19"/>
      <c r="J770" s="19"/>
      <c r="K770" s="233"/>
      <c r="L770" s="19"/>
      <c r="M770" s="19"/>
      <c r="N770" s="19"/>
      <c r="O770" s="19"/>
      <c r="P770" s="19"/>
      <c r="Q770" s="19"/>
      <c r="R770" s="19"/>
      <c r="S770" s="19"/>
      <c r="T770" s="19"/>
      <c r="U770" s="19"/>
      <c r="V770" s="19"/>
      <c r="W770" s="19"/>
      <c r="X770" s="19"/>
      <c r="Y770" s="19"/>
    </row>
    <row r="771" spans="1:25" ht="12" customHeight="1">
      <c r="A771" s="219" t="str" cm="1">
        <f t="array" ref="A771">IFERROR(INDEX('03.Muestra'!$B$8:$B$42,SMALL(IF("Documento no web"='03.Muestra'!$D$8:$D$42,ROW('03.Muestra'!$B$8:$B$42)-MIN(ROW('03.Muestra'!$D$8:$D$42))+1,""),ROW()-740)),"")</f>
        <v/>
      </c>
      <c r="B771" s="114" t="str" cm="1">
        <f t="array" ref="B771">IFERROR(INDEX('03.Muestra'!$C$8:$C$42,SMALL(IF("Documento no web"='03.Muestra'!$D$8:$D$42,ROW('03.Muestra'!$C$8:$C$42)-MIN(ROW('03.Muestra'!$D$8:$D$42))+1,""),ROW()-740)),"")</f>
        <v/>
      </c>
      <c r="C771" s="114" t="str" cm="1">
        <f t="array" ref="C771">IFERROR(INDEX('03.Muestra'!$F$8:$F$42,SMALL(IF("Documento no web"='03.Muestra'!$D$8:$D$42,ROW('03.Muestra'!$F$8:$F$42)-MIN(ROW('03.Muestra'!$D$8:$D$42))+1,""),ROW()-740)),"")</f>
        <v/>
      </c>
      <c r="D771" s="130" t="str">
        <f t="shared" si="39"/>
        <v/>
      </c>
      <c r="E771" s="107" t="str">
        <f t="shared" si="38"/>
        <v/>
      </c>
      <c r="F771" s="19"/>
      <c r="G771" s="19"/>
      <c r="H771" s="19"/>
      <c r="I771" s="19"/>
      <c r="J771" s="19"/>
      <c r="K771" s="233"/>
      <c r="L771" s="19"/>
      <c r="M771" s="19"/>
      <c r="N771" s="19"/>
      <c r="O771" s="19"/>
      <c r="P771" s="19"/>
      <c r="Q771" s="19"/>
      <c r="R771" s="19"/>
      <c r="S771" s="19"/>
      <c r="T771" s="19"/>
      <c r="U771" s="19"/>
      <c r="V771" s="19"/>
      <c r="W771" s="19"/>
      <c r="X771" s="19"/>
      <c r="Y771" s="19"/>
    </row>
    <row r="772" spans="1:25" ht="12" customHeight="1">
      <c r="A772" s="219" t="str" cm="1">
        <f t="array" ref="A772">IFERROR(INDEX('03.Muestra'!$B$8:$B$42,SMALL(IF("Documento no web"='03.Muestra'!$D$8:$D$42,ROW('03.Muestra'!$B$8:$B$42)-MIN(ROW('03.Muestra'!$D$8:$D$42))+1,""),ROW()-740)),"")</f>
        <v/>
      </c>
      <c r="B772" s="114" t="str" cm="1">
        <f t="array" ref="B772">IFERROR(INDEX('03.Muestra'!$C$8:$C$42,SMALL(IF("Documento no web"='03.Muestra'!$D$8:$D$42,ROW('03.Muestra'!$C$8:$C$42)-MIN(ROW('03.Muestra'!$D$8:$D$42))+1,""),ROW()-740)),"")</f>
        <v/>
      </c>
      <c r="C772" s="114" t="str" cm="1">
        <f t="array" ref="C772">IFERROR(INDEX('03.Muestra'!$F$8:$F$42,SMALL(IF("Documento no web"='03.Muestra'!$D$8:$D$42,ROW('03.Muestra'!$F$8:$F$42)-MIN(ROW('03.Muestra'!$D$8:$D$42))+1,""),ROW()-740)),"")</f>
        <v/>
      </c>
      <c r="D772" s="130" t="str">
        <f t="shared" si="39"/>
        <v/>
      </c>
      <c r="E772" s="107" t="str">
        <f t="shared" si="38"/>
        <v/>
      </c>
      <c r="F772" s="19"/>
      <c r="G772" s="19"/>
      <c r="H772" s="19"/>
      <c r="I772" s="19"/>
      <c r="J772" s="19"/>
      <c r="K772" s="233"/>
      <c r="L772" s="19"/>
      <c r="M772" s="19"/>
      <c r="N772" s="19"/>
      <c r="O772" s="19"/>
      <c r="P772" s="19"/>
      <c r="Q772" s="19"/>
      <c r="R772" s="19"/>
      <c r="S772" s="19"/>
      <c r="T772" s="19"/>
      <c r="U772" s="19"/>
      <c r="V772" s="19"/>
      <c r="W772" s="19"/>
      <c r="X772" s="19"/>
      <c r="Y772" s="19"/>
    </row>
    <row r="773" spans="1:25" ht="12" customHeight="1">
      <c r="A773" s="219" t="str" cm="1">
        <f t="array" ref="A773">IFERROR(INDEX('03.Muestra'!$B$8:$B$42,SMALL(IF("Documento no web"='03.Muestra'!$D$8:$D$42,ROW('03.Muestra'!$B$8:$B$42)-MIN(ROW('03.Muestra'!$D$8:$D$42))+1,""),ROW()-740)),"")</f>
        <v/>
      </c>
      <c r="B773" s="114" t="str" cm="1">
        <f t="array" ref="B773">IFERROR(INDEX('03.Muestra'!$C$8:$C$42,SMALL(IF("Documento no web"='03.Muestra'!$D$8:$D$42,ROW('03.Muestra'!$C$8:$C$42)-MIN(ROW('03.Muestra'!$D$8:$D$42))+1,""),ROW()-740)),"")</f>
        <v/>
      </c>
      <c r="C773" s="114" t="str" cm="1">
        <f t="array" ref="C773">IFERROR(INDEX('03.Muestra'!$F$8:$F$42,SMALL(IF("Documento no web"='03.Muestra'!$D$8:$D$42,ROW('03.Muestra'!$F$8:$F$42)-MIN(ROW('03.Muestra'!$D$8:$D$42))+1,""),ROW()-740)),"")</f>
        <v/>
      </c>
      <c r="D773" s="130" t="str">
        <f t="shared" si="39"/>
        <v/>
      </c>
      <c r="E773" s="107" t="str">
        <f t="shared" si="38"/>
        <v/>
      </c>
      <c r="F773" s="19"/>
      <c r="G773" s="19"/>
      <c r="H773" s="19"/>
      <c r="I773" s="19"/>
      <c r="J773" s="19"/>
      <c r="K773" s="233"/>
      <c r="L773" s="19"/>
      <c r="M773" s="19"/>
      <c r="N773" s="19"/>
      <c r="O773" s="19"/>
      <c r="P773" s="19"/>
      <c r="Q773" s="19"/>
      <c r="R773" s="19"/>
      <c r="S773" s="19"/>
      <c r="T773" s="19"/>
      <c r="U773" s="19"/>
      <c r="V773" s="19"/>
      <c r="W773" s="19"/>
      <c r="X773" s="19"/>
      <c r="Y773" s="19"/>
    </row>
    <row r="774" spans="1:25" ht="12" customHeight="1">
      <c r="A774" s="219" t="str" cm="1">
        <f t="array" ref="A774">IFERROR(INDEX('03.Muestra'!$B$8:$B$42,SMALL(IF("Documento no web"='03.Muestra'!$D$8:$D$42,ROW('03.Muestra'!$B$8:$B$42)-MIN(ROW('03.Muestra'!$D$8:$D$42))+1,""),ROW()-740)),"")</f>
        <v/>
      </c>
      <c r="B774" s="114" t="str" cm="1">
        <f t="array" ref="B774">IFERROR(INDEX('03.Muestra'!$C$8:$C$42,SMALL(IF("Documento no web"='03.Muestra'!$D$8:$D$42,ROW('03.Muestra'!$C$8:$C$42)-MIN(ROW('03.Muestra'!$D$8:$D$42))+1,""),ROW()-740)),"")</f>
        <v/>
      </c>
      <c r="C774" s="114" t="str" cm="1">
        <f t="array" ref="C774">IFERROR(INDEX('03.Muestra'!$F$8:$F$42,SMALL(IF("Documento no web"='03.Muestra'!$D$8:$D$42,ROW('03.Muestra'!$F$8:$F$42)-MIN(ROW('03.Muestra'!$D$8:$D$42))+1,""),ROW()-740)),"")</f>
        <v/>
      </c>
      <c r="D774" s="130" t="str">
        <f t="shared" si="39"/>
        <v/>
      </c>
      <c r="E774" s="107" t="str">
        <f t="shared" si="38"/>
        <v/>
      </c>
      <c r="F774" s="19"/>
      <c r="G774" s="19"/>
      <c r="H774" s="19"/>
      <c r="I774" s="19"/>
      <c r="J774" s="19"/>
      <c r="K774" s="233"/>
      <c r="L774" s="19"/>
      <c r="M774" s="19"/>
      <c r="N774" s="19"/>
      <c r="O774" s="19"/>
      <c r="P774" s="19"/>
      <c r="Q774" s="19"/>
      <c r="R774" s="19"/>
      <c r="S774" s="19"/>
      <c r="T774" s="19"/>
      <c r="U774" s="19"/>
      <c r="V774" s="19"/>
      <c r="W774" s="19"/>
      <c r="X774" s="19"/>
      <c r="Y774" s="19"/>
    </row>
    <row r="775" spans="1:25" ht="12" customHeight="1">
      <c r="A775" s="219" t="str" cm="1">
        <f t="array" ref="A775">IFERROR(INDEX('03.Muestra'!$B$8:$B$42,SMALL(IF("Documento no web"='03.Muestra'!$D$8:$D$42,ROW('03.Muestra'!$B$8:$B$42)-MIN(ROW('03.Muestra'!$D$8:$D$42))+1,""),ROW()-740)),"")</f>
        <v/>
      </c>
      <c r="B775" s="114" t="str" cm="1">
        <f t="array" ref="B775">IFERROR(INDEX('03.Muestra'!$C$8:$C$42,SMALL(IF("Documento no web"='03.Muestra'!$D$8:$D$42,ROW('03.Muestra'!$C$8:$C$42)-MIN(ROW('03.Muestra'!$D$8:$D$42))+1,""),ROW()-740)),"")</f>
        <v/>
      </c>
      <c r="C775" s="114" t="str" cm="1">
        <f t="array" ref="C775">IFERROR(INDEX('03.Muestra'!$F$8:$F$42,SMALL(IF("Documento no web"='03.Muestra'!$D$8:$D$42,ROW('03.Muestra'!$F$8:$F$42)-MIN(ROW('03.Muestra'!$D$8:$D$42))+1,""),ROW()-740)),"")</f>
        <v/>
      </c>
      <c r="D775" s="130" t="str">
        <f t="shared" si="39"/>
        <v/>
      </c>
      <c r="E775" s="107" t="str">
        <f t="shared" si="38"/>
        <v/>
      </c>
      <c r="F775" s="19"/>
      <c r="G775" s="19"/>
      <c r="H775" s="19"/>
      <c r="I775" s="19"/>
      <c r="J775" s="19"/>
      <c r="K775" s="233"/>
      <c r="L775" s="19"/>
      <c r="M775" s="19"/>
      <c r="N775" s="19"/>
      <c r="O775" s="19"/>
      <c r="P775" s="19"/>
      <c r="Q775" s="19"/>
      <c r="R775" s="19"/>
      <c r="S775" s="19"/>
      <c r="T775" s="19"/>
      <c r="U775" s="19"/>
      <c r="V775" s="19"/>
      <c r="W775" s="19"/>
      <c r="X775" s="19"/>
      <c r="Y775" s="19"/>
    </row>
    <row r="776" spans="1:25" ht="12" customHeight="1">
      <c r="B776" s="19"/>
      <c r="C776" s="19"/>
      <c r="D776" s="107"/>
      <c r="E776" s="19"/>
      <c r="F776" s="19"/>
      <c r="G776" s="19"/>
      <c r="H776" s="19"/>
      <c r="I776" s="19"/>
      <c r="J776" s="19"/>
      <c r="K776" s="233"/>
      <c r="L776" s="19"/>
      <c r="M776" s="19"/>
      <c r="N776" s="19"/>
      <c r="O776" s="19"/>
      <c r="P776" s="19"/>
      <c r="Q776" s="19"/>
      <c r="R776" s="19"/>
      <c r="S776" s="19"/>
      <c r="T776" s="19"/>
      <c r="U776" s="19"/>
      <c r="V776" s="19"/>
      <c r="W776" s="19"/>
      <c r="X776" s="19"/>
      <c r="Y776" s="19"/>
    </row>
    <row r="777" spans="1:25" ht="12" customHeight="1">
      <c r="B777" s="126"/>
      <c r="C777" s="19"/>
      <c r="D777" s="107"/>
      <c r="E777" s="112"/>
      <c r="F777" s="19"/>
      <c r="G777" s="19"/>
      <c r="H777" s="19"/>
      <c r="I777" s="19"/>
      <c r="J777" s="19"/>
      <c r="K777" s="233"/>
      <c r="L777" s="19"/>
      <c r="M777" s="19"/>
      <c r="N777" s="19"/>
      <c r="O777" s="19"/>
      <c r="P777" s="19"/>
      <c r="Q777" s="19"/>
      <c r="R777" s="19"/>
      <c r="S777" s="19"/>
      <c r="T777" s="19"/>
      <c r="U777" s="19"/>
      <c r="V777" s="19"/>
      <c r="W777" s="19"/>
      <c r="X777" s="19"/>
      <c r="Y777" s="19"/>
    </row>
    <row r="778" spans="1:25" ht="30" customHeight="1">
      <c r="A778" s="218" t="s">
        <v>268</v>
      </c>
      <c r="B778" s="24" t="s">
        <v>90</v>
      </c>
      <c r="C778" s="25" t="s">
        <v>442</v>
      </c>
      <c r="D778" s="26" t="s">
        <v>32</v>
      </c>
      <c r="E778" s="123"/>
      <c r="K778" s="233"/>
      <c r="L778" s="19"/>
      <c r="M778" s="19"/>
      <c r="N778" s="19"/>
      <c r="O778" s="19"/>
      <c r="P778" s="19"/>
      <c r="Q778" s="19"/>
      <c r="R778" s="19"/>
      <c r="S778" s="19"/>
      <c r="T778" s="19"/>
      <c r="U778" s="19"/>
      <c r="V778" s="19"/>
      <c r="W778" s="19"/>
      <c r="X778" s="19"/>
      <c r="Y778" s="19"/>
    </row>
    <row r="779" spans="1:25" ht="13.5" customHeight="1">
      <c r="A779" s="219" t="n" cm="1">
        <f t="array" ref="A779">IFERROR(INDEX('03.Muestra'!$B$8:$B$42,SMALL(IF("Documento no web"='03.Muestra'!$D$8:$D$42,ROW('03.Muestra'!$B$8:$B$42)-MIN(ROW('03.Muestra'!$D$8:$D$42))+1,""),ROW()-778)),"")</f>
        <v>1.0</v>
      </c>
      <c r="B779" s="114" t="str" cm="1">
        <f t="array" ref="B779">IFERROR(INDEX('03.Muestra'!$C$8:$C$42,SMALL(IF("Documento no web"='03.Muestra'!$D$8:$D$42,ROW('03.Muestra'!$C$8:$C$42)-MIN(ROW('03.Muestra'!$D$8:$D$42))+1,""),ROW()-778)),"")</f>
        <v>Home - PortCastelló</v>
      </c>
      <c r="C779" s="114" t="str" cm="1">
        <f t="array" ref="C779">IFERROR(INDEX('03.Muestra'!$F$8:$F$42,SMALL(IF("Documento no web"='03.Muestra'!$D$8:$D$42,ROW('03.Muestra'!$F$8:$F$42)-MIN(ROW('03.Muestra'!$D$8:$D$42))+1,""),ROW()-778)),"")</f>
        <v>https://www.portcastello.com/</v>
      </c>
      <c r="D779" s="130" t="s">
        <v>33</v>
      </c>
      <c r="E779" s="107" t="str">
        <f t="shared" ref="E779:E813" si="40">IF(D779&lt;&gt;"",IF(AND(B779&lt;&gt;"",C779&lt;&gt;""),"","ERR"),"")</f>
        <v/>
      </c>
      <c r="F779" s="115" t="s">
        <v>33</v>
      </c>
      <c r="G779" s="116" t="s">
        <v>37</v>
      </c>
      <c r="H779" s="117" t="s">
        <v>35</v>
      </c>
      <c r="I779" s="118" t="s">
        <v>28</v>
      </c>
      <c r="J779" s="119" t="s">
        <v>26</v>
      </c>
      <c r="K779" s="226" t="s">
        <v>474</v>
      </c>
      <c r="L779" s="19"/>
      <c r="M779" s="19"/>
      <c r="N779" s="19"/>
      <c r="O779" s="19"/>
      <c r="P779" s="19"/>
      <c r="Q779" s="19"/>
      <c r="R779" s="19"/>
      <c r="S779" s="19"/>
      <c r="T779" s="19"/>
      <c r="U779" s="19"/>
      <c r="V779" s="19"/>
      <c r="W779" s="19"/>
      <c r="X779" s="19"/>
      <c r="Y779" s="19"/>
    </row>
    <row r="780" spans="1:25" ht="13.5" customHeight="1">
      <c r="A780" s="219" t="n" cm="1">
        <f t="array" ref="A780">IFERROR(INDEX('03.Muestra'!$B$8:$B$42,SMALL(IF("Documento no web"='03.Muestra'!$D$8:$D$42,ROW('03.Muestra'!$B$8:$B$42)-MIN(ROW('03.Muestra'!$D$8:$D$42))+1,""),ROW()-778)),"")</f>
        <v>1.0</v>
      </c>
      <c r="B780" s="114" t="str" cm="1">
        <f t="array" ref="B780">IFERROR(INDEX('03.Muestra'!$C$8:$C$42,SMALL(IF("Documento no web"='03.Muestra'!$D$8:$D$42,ROW('03.Muestra'!$C$8:$C$42)-MIN(ROW('03.Muestra'!$D$8:$D$42))+1,""),ROW()-778)),"")</f>
        <v>Home - PortCastelló</v>
      </c>
      <c r="C780" s="114" t="str" cm="1">
        <f t="array" ref="C780">IFERROR(INDEX('03.Muestra'!$F$8:$F$42,SMALL(IF("Documento no web"='03.Muestra'!$D$8:$D$42,ROW('03.Muestra'!$F$8:$F$42)-MIN(ROW('03.Muestra'!$D$8:$D$42))+1,""),ROW()-778)),"")</f>
        <v>https://www.portcastello.com/</v>
      </c>
      <c r="D780" s="130" t="s">
        <v>33</v>
      </c>
      <c r="E780" s="107" t="str">
        <f t="shared" si="40"/>
        <v/>
      </c>
      <c r="F780" s="120" t="n">
        <f ca="1">COUNTIF($D779:INDIRECT("$D" &amp;  SUM(ROW()-1,'03.Muestra'!$D$45)-1),F779)</f>
        <v>2.0</v>
      </c>
      <c r="G780" s="120" t="n">
        <f ca="1">COUNTIF($D779:INDIRECT("$D" &amp;  SUM(ROW()-1,'03.Muestra'!$D$45)-1),G779)</f>
        <v>0.0</v>
      </c>
      <c r="H780" s="120" t="n">
        <f ca="1">COUNTIF($D779:INDIRECT("$D" &amp;  SUM(ROW()-1,'03.Muestra'!$D$45)-1),H779)</f>
        <v>0.0</v>
      </c>
      <c r="I780" s="120" t="n">
        <f ca="1">COUNTIF($D779:INDIRECT("$D" &amp;  SUM(ROW()-1,'03.Muestra'!$D$45)-1),I779)</f>
        <v>0.0</v>
      </c>
      <c r="J780" s="120" t="n">
        <f ca="1">COUNTIF($D779:INDIRECT("$D" &amp;  SUM(ROW()-1,'03.Muestra'!$D$45)-1),J779)</f>
        <v>0.0</v>
      </c>
      <c r="K780" s="227" t="n">
        <f ca="1">IF(COUNTIF('03.Muestra'!$D$8:$D$42,"Documento no web")=0,0,COUNTBLANK($D779:INDIRECT("$D" &amp;  SUM(ROW()-1,COUNTIF('03.Muestra'!$D$8:$D$42,"Documento no web"))-1)))</f>
        <v>0.0</v>
      </c>
      <c r="L780" s="19"/>
      <c r="M780" s="19"/>
      <c r="N780" s="19"/>
      <c r="O780" s="19"/>
      <c r="P780" s="19"/>
      <c r="Q780" s="19"/>
      <c r="R780" s="19"/>
      <c r="S780" s="19"/>
      <c r="T780" s="19"/>
      <c r="U780" s="19"/>
      <c r="V780" s="19"/>
      <c r="W780" s="19"/>
      <c r="X780" s="19"/>
      <c r="Y780" s="19"/>
    </row>
    <row r="781" spans="1:25" ht="13.5" customHeight="1">
      <c r="A781" s="219" t="str" cm="1">
        <f t="array" ref="A781">IFERROR(INDEX('03.Muestra'!$B$8:$B$42,SMALL(IF("Documento no web"='03.Muestra'!$D$8:$D$42,ROW('03.Muestra'!$B$8:$B$42)-MIN(ROW('03.Muestra'!$D$8:$D$42))+1,""),ROW()-778)),"")</f>
        <v/>
      </c>
      <c r="B781" s="114" t="str" cm="1">
        <f t="array" ref="B781">IFERROR(INDEX('03.Muestra'!$C$8:$C$42,SMALL(IF("Documento no web"='03.Muestra'!$D$8:$D$42,ROW('03.Muestra'!$C$8:$C$42)-MIN(ROW('03.Muestra'!$D$8:$D$42))+1,""),ROW()-778)),"")</f>
        <v/>
      </c>
      <c r="C781" s="114" t="str" cm="1">
        <f t="array" ref="C781">IFERROR(INDEX('03.Muestra'!$F$8:$F$42,SMALL(IF("Documento no web"='03.Muestra'!$D$8:$D$42,ROW('03.Muestra'!$F$8:$F$42)-MIN(ROW('03.Muestra'!$D$8:$D$42))+1,""),ROW()-778)),"")</f>
        <v/>
      </c>
      <c r="D781" s="130" t="str">
        <f t="shared" si="41" ref="D781:D813">IF(AND(B781&lt;&gt;"",C781&lt;&gt;""),"N/T","")</f>
        <v/>
      </c>
      <c r="E781" s="107" t="str">
        <f t="shared" si="40"/>
        <v/>
      </c>
      <c r="G781" s="19"/>
      <c r="H781" s="19"/>
      <c r="I781" s="19"/>
      <c r="J781" s="19"/>
      <c r="K781" s="233"/>
      <c r="L781" s="19"/>
      <c r="M781" s="19"/>
      <c r="N781" s="19"/>
      <c r="O781" s="19"/>
      <c r="P781" s="19"/>
      <c r="Q781" s="19"/>
      <c r="R781" s="19"/>
      <c r="S781" s="19"/>
      <c r="T781" s="19"/>
      <c r="U781" s="19"/>
      <c r="V781" s="19"/>
      <c r="W781" s="19"/>
      <c r="X781" s="19"/>
      <c r="Y781" s="19"/>
    </row>
    <row r="782" spans="1:25" ht="13.5" customHeight="1">
      <c r="A782" s="219" t="str" cm="1">
        <f t="array" ref="A782">IFERROR(INDEX('03.Muestra'!$B$8:$B$42,SMALL(IF("Documento no web"='03.Muestra'!$D$8:$D$42,ROW('03.Muestra'!$B$8:$B$42)-MIN(ROW('03.Muestra'!$D$8:$D$42))+1,""),ROW()-778)),"")</f>
        <v/>
      </c>
      <c r="B782" s="114" t="str" cm="1">
        <f t="array" ref="B782">IFERROR(INDEX('03.Muestra'!$C$8:$C$42,SMALL(IF("Documento no web"='03.Muestra'!$D$8:$D$42,ROW('03.Muestra'!$C$8:$C$42)-MIN(ROW('03.Muestra'!$D$8:$D$42))+1,""),ROW()-778)),"")</f>
        <v/>
      </c>
      <c r="C782" s="114" t="str" cm="1">
        <f t="array" ref="C782">IFERROR(INDEX('03.Muestra'!$F$8:$F$42,SMALL(IF("Documento no web"='03.Muestra'!$D$8:$D$42,ROW('03.Muestra'!$F$8:$F$42)-MIN(ROW('03.Muestra'!$D$8:$D$42))+1,""),ROW()-778)),"")</f>
        <v/>
      </c>
      <c r="D782" s="130" t="str">
        <f t="shared" si="41"/>
        <v/>
      </c>
      <c r="E782" s="107" t="str">
        <f t="shared" si="40"/>
        <v/>
      </c>
      <c r="G782" s="19"/>
      <c r="H782" s="19"/>
      <c r="I782" s="19"/>
      <c r="J782" s="19"/>
      <c r="K782" s="233"/>
      <c r="L782" s="19"/>
      <c r="M782" s="19"/>
      <c r="N782" s="19"/>
      <c r="O782" s="19"/>
      <c r="P782" s="19"/>
      <c r="Q782" s="19"/>
      <c r="R782" s="19"/>
      <c r="S782" s="19"/>
      <c r="T782" s="19"/>
      <c r="U782" s="19"/>
      <c r="V782" s="19"/>
      <c r="W782" s="19"/>
      <c r="X782" s="19"/>
      <c r="Y782" s="19"/>
    </row>
    <row r="783" spans="1:25" ht="13.5" customHeight="1">
      <c r="A783" s="219" t="str" cm="1">
        <f t="array" ref="A783">IFERROR(INDEX('03.Muestra'!$B$8:$B$42,SMALL(IF("Documento no web"='03.Muestra'!$D$8:$D$42,ROW('03.Muestra'!$B$8:$B$42)-MIN(ROW('03.Muestra'!$D$8:$D$42))+1,""),ROW()-778)),"")</f>
        <v/>
      </c>
      <c r="B783" s="114" t="str" cm="1">
        <f t="array" ref="B783">IFERROR(INDEX('03.Muestra'!$C$8:$C$42,SMALL(IF("Documento no web"='03.Muestra'!$D$8:$D$42,ROW('03.Muestra'!$C$8:$C$42)-MIN(ROW('03.Muestra'!$D$8:$D$42))+1,""),ROW()-778)),"")</f>
        <v/>
      </c>
      <c r="C783" s="114" t="str" cm="1">
        <f t="array" ref="C783">IFERROR(INDEX('03.Muestra'!$F$8:$F$42,SMALL(IF("Documento no web"='03.Muestra'!$D$8:$D$42,ROW('03.Muestra'!$F$8:$F$42)-MIN(ROW('03.Muestra'!$D$8:$D$42))+1,""),ROW()-778)),"")</f>
        <v/>
      </c>
      <c r="D783" s="130" t="str">
        <f t="shared" si="41"/>
        <v/>
      </c>
      <c r="E783" s="107" t="str">
        <f t="shared" si="40"/>
        <v/>
      </c>
      <c r="G783" s="19"/>
      <c r="H783" s="19"/>
      <c r="I783" s="19"/>
      <c r="J783" s="19"/>
      <c r="K783" s="233"/>
      <c r="L783" s="19"/>
      <c r="M783" s="19"/>
      <c r="N783" s="19"/>
      <c r="O783" s="19"/>
      <c r="P783" s="19"/>
      <c r="Q783" s="19"/>
      <c r="R783" s="19"/>
      <c r="S783" s="19"/>
      <c r="T783" s="19"/>
      <c r="U783" s="19"/>
      <c r="V783" s="19"/>
      <c r="W783" s="19"/>
      <c r="X783" s="19"/>
      <c r="Y783" s="19"/>
    </row>
    <row r="784" spans="1:25" ht="13.5" customHeight="1">
      <c r="A784" s="219" t="str" cm="1">
        <f t="array" ref="A784">IFERROR(INDEX('03.Muestra'!$B$8:$B$42,SMALL(IF("Documento no web"='03.Muestra'!$D$8:$D$42,ROW('03.Muestra'!$B$8:$B$42)-MIN(ROW('03.Muestra'!$D$8:$D$42))+1,""),ROW()-778)),"")</f>
        <v/>
      </c>
      <c r="B784" s="114" t="str" cm="1">
        <f t="array" ref="B784">IFERROR(INDEX('03.Muestra'!$C$8:$C$42,SMALL(IF("Documento no web"='03.Muestra'!$D$8:$D$42,ROW('03.Muestra'!$C$8:$C$42)-MIN(ROW('03.Muestra'!$D$8:$D$42))+1,""),ROW()-778)),"")</f>
        <v/>
      </c>
      <c r="C784" s="114" t="str" cm="1">
        <f t="array" ref="C784">IFERROR(INDEX('03.Muestra'!$F$8:$F$42,SMALL(IF("Documento no web"='03.Muestra'!$D$8:$D$42,ROW('03.Muestra'!$F$8:$F$42)-MIN(ROW('03.Muestra'!$D$8:$D$42))+1,""),ROW()-778)),"")</f>
        <v/>
      </c>
      <c r="D784" s="130" t="str">
        <f t="shared" si="41"/>
        <v/>
      </c>
      <c r="E784" s="107" t="str">
        <f t="shared" si="40"/>
        <v/>
      </c>
      <c r="G784" s="19"/>
      <c r="H784" s="19"/>
      <c r="I784" s="19"/>
      <c r="J784" s="19"/>
      <c r="K784" s="233"/>
      <c r="L784" s="19"/>
      <c r="M784" s="19"/>
      <c r="N784" s="19"/>
      <c r="O784" s="19"/>
      <c r="P784" s="19"/>
      <c r="Q784" s="19"/>
      <c r="R784" s="19"/>
      <c r="S784" s="19"/>
      <c r="T784" s="19"/>
      <c r="U784" s="19"/>
      <c r="V784" s="19"/>
      <c r="W784" s="19"/>
      <c r="X784" s="19"/>
      <c r="Y784" s="19"/>
    </row>
    <row r="785" spans="1:25" ht="13.5" customHeight="1">
      <c r="A785" s="219" t="str" cm="1">
        <f t="array" ref="A785">IFERROR(INDEX('03.Muestra'!$B$8:$B$42,SMALL(IF("Documento no web"='03.Muestra'!$D$8:$D$42,ROW('03.Muestra'!$B$8:$B$42)-MIN(ROW('03.Muestra'!$D$8:$D$42))+1,""),ROW()-778)),"")</f>
        <v/>
      </c>
      <c r="B785" s="114" t="str" cm="1">
        <f t="array" ref="B785">IFERROR(INDEX('03.Muestra'!$C$8:$C$42,SMALL(IF("Documento no web"='03.Muestra'!$D$8:$D$42,ROW('03.Muestra'!$C$8:$C$42)-MIN(ROW('03.Muestra'!$D$8:$D$42))+1,""),ROW()-778)),"")</f>
        <v/>
      </c>
      <c r="C785" s="114" t="str" cm="1">
        <f t="array" ref="C785">IFERROR(INDEX('03.Muestra'!$F$8:$F$42,SMALL(IF("Documento no web"='03.Muestra'!$D$8:$D$42,ROW('03.Muestra'!$F$8:$F$42)-MIN(ROW('03.Muestra'!$D$8:$D$42))+1,""),ROW()-778)),"")</f>
        <v/>
      </c>
      <c r="D785" s="130" t="str">
        <f t="shared" si="41"/>
        <v/>
      </c>
      <c r="E785" s="107" t="str">
        <f t="shared" si="40"/>
        <v/>
      </c>
      <c r="F785" s="19"/>
      <c r="G785" s="19"/>
      <c r="H785" s="19"/>
      <c r="I785" s="19"/>
      <c r="J785" s="19"/>
      <c r="K785" s="233"/>
      <c r="L785" s="19"/>
      <c r="M785" s="19"/>
      <c r="N785" s="19"/>
      <c r="O785" s="19"/>
      <c r="P785" s="19"/>
      <c r="Q785" s="19"/>
      <c r="R785" s="19"/>
      <c r="S785" s="19"/>
      <c r="T785" s="19"/>
      <c r="U785" s="19"/>
      <c r="V785" s="19"/>
      <c r="W785" s="19"/>
      <c r="X785" s="19"/>
      <c r="Y785" s="19"/>
    </row>
    <row r="786" spans="1:25" ht="13.5" customHeight="1">
      <c r="A786" s="219" t="str" cm="1">
        <f t="array" ref="A786">IFERROR(INDEX('03.Muestra'!$B$8:$B$42,SMALL(IF("Documento no web"='03.Muestra'!$D$8:$D$42,ROW('03.Muestra'!$B$8:$B$42)-MIN(ROW('03.Muestra'!$D$8:$D$42))+1,""),ROW()-778)),"")</f>
        <v/>
      </c>
      <c r="B786" s="114" t="str" cm="1">
        <f t="array" ref="B786">IFERROR(INDEX('03.Muestra'!$C$8:$C$42,SMALL(IF("Documento no web"='03.Muestra'!$D$8:$D$42,ROW('03.Muestra'!$C$8:$C$42)-MIN(ROW('03.Muestra'!$D$8:$D$42))+1,""),ROW()-778)),"")</f>
        <v/>
      </c>
      <c r="C786" s="114" t="str" cm="1">
        <f t="array" ref="C786">IFERROR(INDEX('03.Muestra'!$F$8:$F$42,SMALL(IF("Documento no web"='03.Muestra'!$D$8:$D$42,ROW('03.Muestra'!$F$8:$F$42)-MIN(ROW('03.Muestra'!$D$8:$D$42))+1,""),ROW()-778)),"")</f>
        <v/>
      </c>
      <c r="D786" s="130" t="str">
        <f t="shared" si="41"/>
        <v/>
      </c>
      <c r="E786" s="107" t="str">
        <f t="shared" si="40"/>
        <v/>
      </c>
      <c r="F786" s="19"/>
      <c r="G786" s="19"/>
      <c r="H786" s="19"/>
      <c r="I786" s="19"/>
      <c r="J786" s="19"/>
      <c r="K786" s="233"/>
      <c r="L786" s="19"/>
      <c r="M786" s="19"/>
      <c r="N786" s="19"/>
      <c r="O786" s="19"/>
      <c r="P786" s="19"/>
      <c r="Q786" s="19"/>
      <c r="R786" s="19"/>
      <c r="S786" s="19"/>
      <c r="T786" s="19"/>
      <c r="U786" s="19"/>
      <c r="V786" s="19"/>
      <c r="W786" s="19"/>
      <c r="X786" s="19"/>
      <c r="Y786" s="19"/>
    </row>
    <row r="787" spans="1:25" ht="13.5" customHeight="1">
      <c r="A787" s="219" t="str" cm="1">
        <f t="array" ref="A787">IFERROR(INDEX('03.Muestra'!$B$8:$B$42,SMALL(IF("Documento no web"='03.Muestra'!$D$8:$D$42,ROW('03.Muestra'!$B$8:$B$42)-MIN(ROW('03.Muestra'!$D$8:$D$42))+1,""),ROW()-778)),"")</f>
        <v/>
      </c>
      <c r="B787" s="114" t="str" cm="1">
        <f t="array" ref="B787">IFERROR(INDEX('03.Muestra'!$C$8:$C$42,SMALL(IF("Documento no web"='03.Muestra'!$D$8:$D$42,ROW('03.Muestra'!$C$8:$C$42)-MIN(ROW('03.Muestra'!$D$8:$D$42))+1,""),ROW()-778)),"")</f>
        <v/>
      </c>
      <c r="C787" s="114" t="str" cm="1">
        <f t="array" ref="C787">IFERROR(INDEX('03.Muestra'!$F$8:$F$42,SMALL(IF("Documento no web"='03.Muestra'!$D$8:$D$42,ROW('03.Muestra'!$F$8:$F$42)-MIN(ROW('03.Muestra'!$D$8:$D$42))+1,""),ROW()-778)),"")</f>
        <v/>
      </c>
      <c r="D787" s="130" t="str">
        <f t="shared" si="41"/>
        <v/>
      </c>
      <c r="E787" s="107" t="str">
        <f t="shared" si="40"/>
        <v/>
      </c>
      <c r="F787" s="19"/>
      <c r="G787" s="19"/>
      <c r="H787" s="19"/>
      <c r="I787" s="19"/>
      <c r="J787" s="19"/>
      <c r="K787" s="233"/>
      <c r="L787" s="19"/>
      <c r="M787" s="19"/>
      <c r="N787" s="19"/>
      <c r="O787" s="19"/>
      <c r="P787" s="19"/>
      <c r="Q787" s="19"/>
      <c r="R787" s="19"/>
      <c r="S787" s="19"/>
      <c r="T787" s="19"/>
      <c r="U787" s="19"/>
      <c r="V787" s="19"/>
      <c r="W787" s="19"/>
      <c r="X787" s="19"/>
      <c r="Y787" s="19"/>
    </row>
    <row r="788" spans="1:25" ht="13.5" customHeight="1">
      <c r="A788" s="219" t="str" cm="1">
        <f t="array" ref="A788">IFERROR(INDEX('03.Muestra'!$B$8:$B$42,SMALL(IF("Documento no web"='03.Muestra'!$D$8:$D$42,ROW('03.Muestra'!$B$8:$B$42)-MIN(ROW('03.Muestra'!$D$8:$D$42))+1,""),ROW()-778)),"")</f>
        <v/>
      </c>
      <c r="B788" s="114" t="str" cm="1">
        <f t="array" ref="B788">IFERROR(INDEX('03.Muestra'!$C$8:$C$42,SMALL(IF("Documento no web"='03.Muestra'!$D$8:$D$42,ROW('03.Muestra'!$C$8:$C$42)-MIN(ROW('03.Muestra'!$D$8:$D$42))+1,""),ROW()-778)),"")</f>
        <v/>
      </c>
      <c r="C788" s="114" t="str" cm="1">
        <f t="array" ref="C788">IFERROR(INDEX('03.Muestra'!$F$8:$F$42,SMALL(IF("Documento no web"='03.Muestra'!$D$8:$D$42,ROW('03.Muestra'!$F$8:$F$42)-MIN(ROW('03.Muestra'!$D$8:$D$42))+1,""),ROW()-778)),"")</f>
        <v/>
      </c>
      <c r="D788" s="130" t="str">
        <f t="shared" si="41"/>
        <v/>
      </c>
      <c r="E788" s="107" t="str">
        <f t="shared" si="40"/>
        <v/>
      </c>
      <c r="F788" s="19"/>
      <c r="G788" s="19"/>
      <c r="H788" s="19"/>
      <c r="I788" s="19"/>
      <c r="J788" s="19"/>
      <c r="K788" s="233"/>
      <c r="L788" s="19"/>
      <c r="M788" s="19"/>
      <c r="N788" s="19"/>
      <c r="O788" s="19"/>
      <c r="P788" s="19"/>
      <c r="Q788" s="19"/>
      <c r="R788" s="19"/>
      <c r="S788" s="19"/>
      <c r="T788" s="19"/>
      <c r="U788" s="19"/>
      <c r="V788" s="19"/>
      <c r="W788" s="19"/>
      <c r="X788" s="19"/>
      <c r="Y788" s="19"/>
    </row>
    <row r="789" spans="1:25" ht="13.5" customHeight="1">
      <c r="A789" s="219" t="str" cm="1">
        <f t="array" ref="A789">IFERROR(INDEX('03.Muestra'!$B$8:$B$42,SMALL(IF("Documento no web"='03.Muestra'!$D$8:$D$42,ROW('03.Muestra'!$B$8:$B$42)-MIN(ROW('03.Muestra'!$D$8:$D$42))+1,""),ROW()-778)),"")</f>
        <v/>
      </c>
      <c r="B789" s="114" t="str" cm="1">
        <f t="array" ref="B789">IFERROR(INDEX('03.Muestra'!$C$8:$C$42,SMALL(IF("Documento no web"='03.Muestra'!$D$8:$D$42,ROW('03.Muestra'!$C$8:$C$42)-MIN(ROW('03.Muestra'!$D$8:$D$42))+1,""),ROW()-778)),"")</f>
        <v/>
      </c>
      <c r="C789" s="114" t="str" cm="1">
        <f t="array" ref="C789">IFERROR(INDEX('03.Muestra'!$F$8:$F$42,SMALL(IF("Documento no web"='03.Muestra'!$D$8:$D$42,ROW('03.Muestra'!$F$8:$F$42)-MIN(ROW('03.Muestra'!$D$8:$D$42))+1,""),ROW()-778)),"")</f>
        <v/>
      </c>
      <c r="D789" s="130" t="str">
        <f t="shared" si="41"/>
        <v/>
      </c>
      <c r="E789" s="107" t="str">
        <f t="shared" si="40"/>
        <v/>
      </c>
      <c r="F789" s="19"/>
      <c r="G789" s="19"/>
      <c r="H789" s="19"/>
      <c r="I789" s="19"/>
      <c r="J789" s="19"/>
      <c r="K789" s="233"/>
      <c r="L789" s="19"/>
      <c r="M789" s="19"/>
      <c r="N789" s="19"/>
      <c r="O789" s="19"/>
      <c r="P789" s="19"/>
      <c r="Q789" s="19"/>
      <c r="R789" s="19"/>
      <c r="S789" s="19"/>
      <c r="T789" s="19"/>
      <c r="U789" s="19"/>
      <c r="V789" s="19"/>
      <c r="W789" s="19"/>
      <c r="X789" s="19"/>
      <c r="Y789" s="19"/>
    </row>
    <row r="790" spans="1:25" ht="13.5" customHeight="1">
      <c r="A790" s="219" t="str" cm="1">
        <f t="array" ref="A790">IFERROR(INDEX('03.Muestra'!$B$8:$B$42,SMALL(IF("Documento no web"='03.Muestra'!$D$8:$D$42,ROW('03.Muestra'!$B$8:$B$42)-MIN(ROW('03.Muestra'!$D$8:$D$42))+1,""),ROW()-778)),"")</f>
        <v/>
      </c>
      <c r="B790" s="114" t="str" cm="1">
        <f t="array" ref="B790">IFERROR(INDEX('03.Muestra'!$C$8:$C$42,SMALL(IF("Documento no web"='03.Muestra'!$D$8:$D$42,ROW('03.Muestra'!$C$8:$C$42)-MIN(ROW('03.Muestra'!$D$8:$D$42))+1,""),ROW()-778)),"")</f>
        <v/>
      </c>
      <c r="C790" s="114" t="str" cm="1">
        <f t="array" ref="C790">IFERROR(INDEX('03.Muestra'!$F$8:$F$42,SMALL(IF("Documento no web"='03.Muestra'!$D$8:$D$42,ROW('03.Muestra'!$F$8:$F$42)-MIN(ROW('03.Muestra'!$D$8:$D$42))+1,""),ROW()-778)),"")</f>
        <v/>
      </c>
      <c r="D790" s="130" t="str">
        <f t="shared" si="41"/>
        <v/>
      </c>
      <c r="E790" s="107" t="str">
        <f t="shared" si="40"/>
        <v/>
      </c>
      <c r="F790" s="19"/>
      <c r="G790" s="19"/>
      <c r="H790" s="19"/>
      <c r="I790" s="19"/>
      <c r="J790" s="19"/>
      <c r="K790" s="233"/>
      <c r="L790" s="19"/>
      <c r="M790" s="19"/>
      <c r="N790" s="19"/>
      <c r="O790" s="19"/>
      <c r="P790" s="19"/>
      <c r="Q790" s="19"/>
      <c r="R790" s="19"/>
      <c r="S790" s="19"/>
      <c r="T790" s="19"/>
      <c r="U790" s="19"/>
      <c r="V790" s="19"/>
      <c r="W790" s="19"/>
      <c r="X790" s="19"/>
      <c r="Y790" s="19"/>
    </row>
    <row r="791" spans="1:25" ht="13.5" customHeight="1">
      <c r="A791" s="219" t="str" cm="1">
        <f t="array" ref="A791">IFERROR(INDEX('03.Muestra'!$B$8:$B$42,SMALL(IF("Documento no web"='03.Muestra'!$D$8:$D$42,ROW('03.Muestra'!$B$8:$B$42)-MIN(ROW('03.Muestra'!$D$8:$D$42))+1,""),ROW()-778)),"")</f>
        <v/>
      </c>
      <c r="B791" s="114" t="str" cm="1">
        <f t="array" ref="B791">IFERROR(INDEX('03.Muestra'!$C$8:$C$42,SMALL(IF("Documento no web"='03.Muestra'!$D$8:$D$42,ROW('03.Muestra'!$C$8:$C$42)-MIN(ROW('03.Muestra'!$D$8:$D$42))+1,""),ROW()-778)),"")</f>
        <v/>
      </c>
      <c r="C791" s="114" t="str" cm="1">
        <f t="array" ref="C791">IFERROR(INDEX('03.Muestra'!$F$8:$F$42,SMALL(IF("Documento no web"='03.Muestra'!$D$8:$D$42,ROW('03.Muestra'!$F$8:$F$42)-MIN(ROW('03.Muestra'!$D$8:$D$42))+1,""),ROW()-778)),"")</f>
        <v/>
      </c>
      <c r="D791" s="130" t="str">
        <f t="shared" si="41"/>
        <v/>
      </c>
      <c r="E791" s="107" t="str">
        <f t="shared" si="40"/>
        <v/>
      </c>
      <c r="F791" s="19"/>
      <c r="G791" s="19"/>
      <c r="H791" s="19"/>
      <c r="I791" s="19"/>
      <c r="J791" s="19"/>
      <c r="K791" s="233"/>
      <c r="L791" s="19"/>
      <c r="M791" s="19"/>
      <c r="N791" s="19"/>
      <c r="O791" s="19"/>
      <c r="P791" s="19"/>
      <c r="Q791" s="19"/>
      <c r="R791" s="19"/>
      <c r="S791" s="19"/>
      <c r="T791" s="19"/>
      <c r="U791" s="19"/>
      <c r="V791" s="19"/>
      <c r="W791" s="19"/>
      <c r="X791" s="19"/>
      <c r="Y791" s="19"/>
    </row>
    <row r="792" spans="1:25" ht="13.5" customHeight="1">
      <c r="A792" s="219" t="str" cm="1">
        <f t="array" ref="A792">IFERROR(INDEX('03.Muestra'!$B$8:$B$42,SMALL(IF("Documento no web"='03.Muestra'!$D$8:$D$42,ROW('03.Muestra'!$B$8:$B$42)-MIN(ROW('03.Muestra'!$D$8:$D$42))+1,""),ROW()-778)),"")</f>
        <v/>
      </c>
      <c r="B792" s="114" t="str" cm="1">
        <f t="array" ref="B792">IFERROR(INDEX('03.Muestra'!$C$8:$C$42,SMALL(IF("Documento no web"='03.Muestra'!$D$8:$D$42,ROW('03.Muestra'!$C$8:$C$42)-MIN(ROW('03.Muestra'!$D$8:$D$42))+1,""),ROW()-778)),"")</f>
        <v/>
      </c>
      <c r="C792" s="114" t="str" cm="1">
        <f t="array" ref="C792">IFERROR(INDEX('03.Muestra'!$F$8:$F$42,SMALL(IF("Documento no web"='03.Muestra'!$D$8:$D$42,ROW('03.Muestra'!$F$8:$F$42)-MIN(ROW('03.Muestra'!$D$8:$D$42))+1,""),ROW()-778)),"")</f>
        <v/>
      </c>
      <c r="D792" s="130" t="str">
        <f t="shared" si="41"/>
        <v/>
      </c>
      <c r="E792" s="107" t="str">
        <f t="shared" si="40"/>
        <v/>
      </c>
      <c r="F792" s="19"/>
      <c r="G792" s="19"/>
      <c r="H792" s="19"/>
      <c r="I792" s="19"/>
      <c r="J792" s="19"/>
      <c r="K792" s="233"/>
      <c r="L792" s="19"/>
      <c r="M792" s="19"/>
      <c r="N792" s="19"/>
      <c r="O792" s="19"/>
      <c r="P792" s="19"/>
      <c r="Q792" s="19"/>
      <c r="R792" s="19"/>
      <c r="S792" s="19"/>
      <c r="T792" s="19"/>
      <c r="U792" s="19"/>
      <c r="V792" s="19"/>
      <c r="W792" s="19"/>
      <c r="X792" s="19"/>
      <c r="Y792" s="19"/>
    </row>
    <row r="793" spans="1:25" ht="13.5" customHeight="1">
      <c r="A793" s="219" t="str" cm="1">
        <f t="array" ref="A793">IFERROR(INDEX('03.Muestra'!$B$8:$B$42,SMALL(IF("Documento no web"='03.Muestra'!$D$8:$D$42,ROW('03.Muestra'!$B$8:$B$42)-MIN(ROW('03.Muestra'!$D$8:$D$42))+1,""),ROW()-778)),"")</f>
        <v/>
      </c>
      <c r="B793" s="114" t="str" cm="1">
        <f t="array" ref="B793">IFERROR(INDEX('03.Muestra'!$C$8:$C$42,SMALL(IF("Documento no web"='03.Muestra'!$D$8:$D$42,ROW('03.Muestra'!$C$8:$C$42)-MIN(ROW('03.Muestra'!$D$8:$D$42))+1,""),ROW()-778)),"")</f>
        <v/>
      </c>
      <c r="C793" s="114" t="str" cm="1">
        <f t="array" ref="C793">IFERROR(INDEX('03.Muestra'!$F$8:$F$42,SMALL(IF("Documento no web"='03.Muestra'!$D$8:$D$42,ROW('03.Muestra'!$F$8:$F$42)-MIN(ROW('03.Muestra'!$D$8:$D$42))+1,""),ROW()-778)),"")</f>
        <v/>
      </c>
      <c r="D793" s="130" t="str">
        <f t="shared" si="41"/>
        <v/>
      </c>
      <c r="E793" s="107" t="str">
        <f t="shared" si="40"/>
        <v/>
      </c>
      <c r="F793" s="19"/>
      <c r="G793" s="19"/>
      <c r="H793" s="19"/>
      <c r="I793" s="19"/>
      <c r="J793" s="19"/>
      <c r="K793" s="233"/>
      <c r="L793" s="19"/>
      <c r="M793" s="19"/>
      <c r="N793" s="19"/>
      <c r="O793" s="19"/>
      <c r="P793" s="19"/>
      <c r="Q793" s="19"/>
      <c r="R793" s="19"/>
      <c r="S793" s="19"/>
      <c r="T793" s="19"/>
      <c r="U793" s="19"/>
      <c r="V793" s="19"/>
      <c r="W793" s="19"/>
      <c r="X793" s="19"/>
      <c r="Y793" s="19"/>
    </row>
    <row r="794" spans="1:25" ht="13.5" customHeight="1">
      <c r="A794" s="219" t="str" cm="1">
        <f t="array" ref="A794">IFERROR(INDEX('03.Muestra'!$B$8:$B$42,SMALL(IF("Documento no web"='03.Muestra'!$D$8:$D$42,ROW('03.Muestra'!$B$8:$B$42)-MIN(ROW('03.Muestra'!$D$8:$D$42))+1,""),ROW()-778)),"")</f>
        <v/>
      </c>
      <c r="B794" s="114" t="str" cm="1">
        <f t="array" ref="B794">IFERROR(INDEX('03.Muestra'!$C$8:$C$42,SMALL(IF("Documento no web"='03.Muestra'!$D$8:$D$42,ROW('03.Muestra'!$C$8:$C$42)-MIN(ROW('03.Muestra'!$D$8:$D$42))+1,""),ROW()-778)),"")</f>
        <v/>
      </c>
      <c r="C794" s="114" t="str" cm="1">
        <f t="array" ref="C794">IFERROR(INDEX('03.Muestra'!$F$8:$F$42,SMALL(IF("Documento no web"='03.Muestra'!$D$8:$D$42,ROW('03.Muestra'!$F$8:$F$42)-MIN(ROW('03.Muestra'!$D$8:$D$42))+1,""),ROW()-778)),"")</f>
        <v/>
      </c>
      <c r="D794" s="130" t="str">
        <f t="shared" si="41"/>
        <v/>
      </c>
      <c r="E794" s="107" t="str">
        <f t="shared" si="40"/>
        <v/>
      </c>
      <c r="F794" s="19"/>
      <c r="G794" s="19"/>
      <c r="H794" s="19"/>
      <c r="I794" s="19"/>
      <c r="J794" s="19"/>
      <c r="K794" s="233"/>
      <c r="L794" s="19"/>
      <c r="M794" s="19"/>
      <c r="N794" s="19"/>
      <c r="O794" s="19"/>
      <c r="P794" s="19"/>
      <c r="Q794" s="19"/>
      <c r="R794" s="19"/>
      <c r="S794" s="19"/>
      <c r="T794" s="19"/>
      <c r="U794" s="19"/>
      <c r="V794" s="19"/>
      <c r="W794" s="19"/>
      <c r="X794" s="19"/>
      <c r="Y794" s="19"/>
    </row>
    <row r="795" spans="1:25" ht="13.5" customHeight="1">
      <c r="A795" s="219" t="str" cm="1">
        <f t="array" ref="A795">IFERROR(INDEX('03.Muestra'!$B$8:$B$42,SMALL(IF("Documento no web"='03.Muestra'!$D$8:$D$42,ROW('03.Muestra'!$B$8:$B$42)-MIN(ROW('03.Muestra'!$D$8:$D$42))+1,""),ROW()-778)),"")</f>
        <v/>
      </c>
      <c r="B795" s="114" t="str" cm="1">
        <f t="array" ref="B795">IFERROR(INDEX('03.Muestra'!$C$8:$C$42,SMALL(IF("Documento no web"='03.Muestra'!$D$8:$D$42,ROW('03.Muestra'!$C$8:$C$42)-MIN(ROW('03.Muestra'!$D$8:$D$42))+1,""),ROW()-778)),"")</f>
        <v/>
      </c>
      <c r="C795" s="114" t="str" cm="1">
        <f t="array" ref="C795">IFERROR(INDEX('03.Muestra'!$F$8:$F$42,SMALL(IF("Documento no web"='03.Muestra'!$D$8:$D$42,ROW('03.Muestra'!$F$8:$F$42)-MIN(ROW('03.Muestra'!$D$8:$D$42))+1,""),ROW()-778)),"")</f>
        <v/>
      </c>
      <c r="D795" s="130" t="str">
        <f t="shared" si="41"/>
        <v/>
      </c>
      <c r="E795" s="107" t="str">
        <f t="shared" si="40"/>
        <v/>
      </c>
      <c r="F795" s="19"/>
      <c r="G795" s="19"/>
      <c r="H795" s="19"/>
      <c r="I795" s="19"/>
      <c r="J795" s="19"/>
      <c r="K795" s="233"/>
      <c r="L795" s="19"/>
      <c r="M795" s="19"/>
      <c r="N795" s="19"/>
      <c r="O795" s="19"/>
      <c r="P795" s="19"/>
      <c r="Q795" s="19"/>
      <c r="R795" s="19"/>
      <c r="S795" s="19"/>
      <c r="T795" s="19"/>
      <c r="U795" s="19"/>
      <c r="V795" s="19"/>
      <c r="W795" s="19"/>
      <c r="X795" s="19"/>
      <c r="Y795" s="19"/>
    </row>
    <row r="796" spans="1:25" ht="13.5" customHeight="1">
      <c r="A796" s="219" t="str" cm="1">
        <f t="array" ref="A796">IFERROR(INDEX('03.Muestra'!$B$8:$B$42,SMALL(IF("Documento no web"='03.Muestra'!$D$8:$D$42,ROW('03.Muestra'!$B$8:$B$42)-MIN(ROW('03.Muestra'!$D$8:$D$42))+1,""),ROW()-778)),"")</f>
        <v/>
      </c>
      <c r="B796" s="114" t="str" cm="1">
        <f t="array" ref="B796">IFERROR(INDEX('03.Muestra'!$C$8:$C$42,SMALL(IF("Documento no web"='03.Muestra'!$D$8:$D$42,ROW('03.Muestra'!$C$8:$C$42)-MIN(ROW('03.Muestra'!$D$8:$D$42))+1,""),ROW()-778)),"")</f>
        <v/>
      </c>
      <c r="C796" s="114" t="str" cm="1">
        <f t="array" ref="C796">IFERROR(INDEX('03.Muestra'!$F$8:$F$42,SMALL(IF("Documento no web"='03.Muestra'!$D$8:$D$42,ROW('03.Muestra'!$F$8:$F$42)-MIN(ROW('03.Muestra'!$D$8:$D$42))+1,""),ROW()-778)),"")</f>
        <v/>
      </c>
      <c r="D796" s="130" t="str">
        <f t="shared" si="41"/>
        <v/>
      </c>
      <c r="E796" s="107" t="str">
        <f t="shared" si="40"/>
        <v/>
      </c>
      <c r="F796" s="19"/>
      <c r="G796" s="19"/>
      <c r="H796" s="19"/>
      <c r="I796" s="19"/>
      <c r="J796" s="19"/>
      <c r="K796" s="233"/>
      <c r="L796" s="19"/>
      <c r="M796" s="19"/>
      <c r="N796" s="19"/>
      <c r="O796" s="19"/>
      <c r="P796" s="19"/>
      <c r="Q796" s="19"/>
      <c r="R796" s="19"/>
      <c r="S796" s="19"/>
      <c r="T796" s="19"/>
      <c r="U796" s="19"/>
      <c r="V796" s="19"/>
      <c r="W796" s="19"/>
      <c r="X796" s="19"/>
      <c r="Y796" s="19"/>
    </row>
    <row r="797" spans="1:25" ht="13.5" customHeight="1">
      <c r="A797" s="219" t="str" cm="1">
        <f t="array" ref="A797">IFERROR(INDEX('03.Muestra'!$B$8:$B$42,SMALL(IF("Documento no web"='03.Muestra'!$D$8:$D$42,ROW('03.Muestra'!$B$8:$B$42)-MIN(ROW('03.Muestra'!$D$8:$D$42))+1,""),ROW()-778)),"")</f>
        <v/>
      </c>
      <c r="B797" s="114" t="str" cm="1">
        <f t="array" ref="B797">IFERROR(INDEX('03.Muestra'!$C$8:$C$42,SMALL(IF("Documento no web"='03.Muestra'!$D$8:$D$42,ROW('03.Muestra'!$C$8:$C$42)-MIN(ROW('03.Muestra'!$D$8:$D$42))+1,""),ROW()-778)),"")</f>
        <v/>
      </c>
      <c r="C797" s="114" t="str" cm="1">
        <f t="array" ref="C797">IFERROR(INDEX('03.Muestra'!$F$8:$F$42,SMALL(IF("Documento no web"='03.Muestra'!$D$8:$D$42,ROW('03.Muestra'!$F$8:$F$42)-MIN(ROW('03.Muestra'!$D$8:$D$42))+1,""),ROW()-778)),"")</f>
        <v/>
      </c>
      <c r="D797" s="130" t="str">
        <f t="shared" si="41"/>
        <v/>
      </c>
      <c r="E797" s="107" t="str">
        <f t="shared" si="40"/>
        <v/>
      </c>
      <c r="F797" s="19"/>
      <c r="G797" s="19"/>
      <c r="H797" s="19"/>
      <c r="I797" s="19"/>
      <c r="J797" s="19"/>
      <c r="K797" s="233"/>
      <c r="L797" s="19"/>
      <c r="M797" s="19"/>
      <c r="N797" s="19"/>
      <c r="O797" s="19"/>
      <c r="P797" s="19"/>
      <c r="Q797" s="19"/>
      <c r="R797" s="19"/>
      <c r="S797" s="19"/>
      <c r="T797" s="19"/>
      <c r="U797" s="19"/>
      <c r="V797" s="19"/>
      <c r="W797" s="19"/>
      <c r="X797" s="19"/>
      <c r="Y797" s="19"/>
    </row>
    <row r="798" spans="1:25" ht="13.5" customHeight="1">
      <c r="A798" s="219" t="str" cm="1">
        <f t="array" ref="A798">IFERROR(INDEX('03.Muestra'!$B$8:$B$42,SMALL(IF("Documento no web"='03.Muestra'!$D$8:$D$42,ROW('03.Muestra'!$B$8:$B$42)-MIN(ROW('03.Muestra'!$D$8:$D$42))+1,""),ROW()-778)),"")</f>
        <v/>
      </c>
      <c r="B798" s="114" t="str" cm="1">
        <f t="array" ref="B798">IFERROR(INDEX('03.Muestra'!$C$8:$C$42,SMALL(IF("Documento no web"='03.Muestra'!$D$8:$D$42,ROW('03.Muestra'!$C$8:$C$42)-MIN(ROW('03.Muestra'!$D$8:$D$42))+1,""),ROW()-778)),"")</f>
        <v/>
      </c>
      <c r="C798" s="114" t="str" cm="1">
        <f t="array" ref="C798">IFERROR(INDEX('03.Muestra'!$F$8:$F$42,SMALL(IF("Documento no web"='03.Muestra'!$D$8:$D$42,ROW('03.Muestra'!$F$8:$F$42)-MIN(ROW('03.Muestra'!$D$8:$D$42))+1,""),ROW()-778)),"")</f>
        <v/>
      </c>
      <c r="D798" s="130" t="str">
        <f t="shared" si="41"/>
        <v/>
      </c>
      <c r="E798" s="107" t="str">
        <f t="shared" si="40"/>
        <v/>
      </c>
      <c r="F798" s="19"/>
      <c r="G798" s="19"/>
      <c r="H798" s="19"/>
      <c r="I798" s="19"/>
      <c r="J798" s="19"/>
      <c r="K798" s="233"/>
      <c r="L798" s="19"/>
      <c r="M798" s="19"/>
      <c r="N798" s="19"/>
      <c r="O798" s="19"/>
      <c r="P798" s="19"/>
      <c r="Q798" s="19"/>
      <c r="R798" s="19"/>
      <c r="S798" s="19"/>
      <c r="T798" s="19"/>
      <c r="U798" s="19"/>
      <c r="V798" s="19"/>
      <c r="W798" s="19"/>
      <c r="X798" s="19"/>
      <c r="Y798" s="19"/>
    </row>
    <row r="799" spans="1:25" ht="13.5" customHeight="1">
      <c r="A799" s="219" t="str" cm="1">
        <f t="array" ref="A799">IFERROR(INDEX('03.Muestra'!$B$8:$B$42,SMALL(IF("Documento no web"='03.Muestra'!$D$8:$D$42,ROW('03.Muestra'!$B$8:$B$42)-MIN(ROW('03.Muestra'!$D$8:$D$42))+1,""),ROW()-778)),"")</f>
        <v/>
      </c>
      <c r="B799" s="114" t="str" cm="1">
        <f t="array" ref="B799">IFERROR(INDEX('03.Muestra'!$C$8:$C$42,SMALL(IF("Documento no web"='03.Muestra'!$D$8:$D$42,ROW('03.Muestra'!$C$8:$C$42)-MIN(ROW('03.Muestra'!$D$8:$D$42))+1,""),ROW()-778)),"")</f>
        <v/>
      </c>
      <c r="C799" s="114" t="str" cm="1">
        <f t="array" ref="C799">IFERROR(INDEX('03.Muestra'!$F$8:$F$42,SMALL(IF("Documento no web"='03.Muestra'!$D$8:$D$42,ROW('03.Muestra'!$F$8:$F$42)-MIN(ROW('03.Muestra'!$D$8:$D$42))+1,""),ROW()-778)),"")</f>
        <v/>
      </c>
      <c r="D799" s="130" t="str">
        <f t="shared" si="41"/>
        <v/>
      </c>
      <c r="E799" s="107" t="str">
        <f t="shared" si="40"/>
        <v/>
      </c>
      <c r="F799" s="19"/>
      <c r="G799" s="19"/>
      <c r="H799" s="19"/>
      <c r="I799" s="19"/>
      <c r="J799" s="19"/>
      <c r="K799" s="233"/>
      <c r="L799" s="19"/>
      <c r="M799" s="19"/>
      <c r="N799" s="19"/>
      <c r="O799" s="19"/>
      <c r="P799" s="19"/>
      <c r="Q799" s="19"/>
      <c r="R799" s="19"/>
      <c r="S799" s="19"/>
      <c r="T799" s="19"/>
      <c r="U799" s="19"/>
      <c r="V799" s="19"/>
      <c r="W799" s="19"/>
      <c r="X799" s="19"/>
      <c r="Y799" s="19"/>
    </row>
    <row r="800" spans="1:25" ht="13.5" customHeight="1">
      <c r="A800" s="219" t="str" cm="1">
        <f t="array" ref="A800">IFERROR(INDEX('03.Muestra'!$B$8:$B$42,SMALL(IF("Documento no web"='03.Muestra'!$D$8:$D$42,ROW('03.Muestra'!$B$8:$B$42)-MIN(ROW('03.Muestra'!$D$8:$D$42))+1,""),ROW()-778)),"")</f>
        <v/>
      </c>
      <c r="B800" s="114" t="str" cm="1">
        <f t="array" ref="B800">IFERROR(INDEX('03.Muestra'!$C$8:$C$42,SMALL(IF("Documento no web"='03.Muestra'!$D$8:$D$42,ROW('03.Muestra'!$C$8:$C$42)-MIN(ROW('03.Muestra'!$D$8:$D$42))+1,""),ROW()-778)),"")</f>
        <v/>
      </c>
      <c r="C800" s="114" t="str" cm="1">
        <f t="array" ref="C800">IFERROR(INDEX('03.Muestra'!$F$8:$F$42,SMALL(IF("Documento no web"='03.Muestra'!$D$8:$D$42,ROW('03.Muestra'!$F$8:$F$42)-MIN(ROW('03.Muestra'!$D$8:$D$42))+1,""),ROW()-778)),"")</f>
        <v/>
      </c>
      <c r="D800" s="130" t="str">
        <f t="shared" si="41"/>
        <v/>
      </c>
      <c r="E800" s="107" t="str">
        <f t="shared" si="40"/>
        <v/>
      </c>
      <c r="F800" s="19"/>
      <c r="G800" s="19"/>
      <c r="H800" s="19"/>
      <c r="I800" s="19"/>
      <c r="J800" s="19"/>
      <c r="K800" s="233"/>
      <c r="L800" s="19"/>
      <c r="M800" s="19"/>
      <c r="N800" s="19"/>
      <c r="O800" s="19"/>
      <c r="P800" s="19"/>
      <c r="Q800" s="19"/>
      <c r="R800" s="19"/>
      <c r="S800" s="19"/>
      <c r="T800" s="19"/>
      <c r="U800" s="19"/>
      <c r="V800" s="19"/>
      <c r="W800" s="19"/>
      <c r="X800" s="19"/>
      <c r="Y800" s="19"/>
    </row>
    <row r="801" spans="1:25" ht="13.5" customHeight="1">
      <c r="A801" s="219" t="str" cm="1">
        <f t="array" ref="A801">IFERROR(INDEX('03.Muestra'!$B$8:$B$42,SMALL(IF("Documento no web"='03.Muestra'!$D$8:$D$42,ROW('03.Muestra'!$B$8:$B$42)-MIN(ROW('03.Muestra'!$D$8:$D$42))+1,""),ROW()-778)),"")</f>
        <v/>
      </c>
      <c r="B801" s="114" t="str" cm="1">
        <f t="array" ref="B801">IFERROR(INDEX('03.Muestra'!$C$8:$C$42,SMALL(IF("Documento no web"='03.Muestra'!$D$8:$D$42,ROW('03.Muestra'!$C$8:$C$42)-MIN(ROW('03.Muestra'!$D$8:$D$42))+1,""),ROW()-778)),"")</f>
        <v/>
      </c>
      <c r="C801" s="114" t="str" cm="1">
        <f t="array" ref="C801">IFERROR(INDEX('03.Muestra'!$F$8:$F$42,SMALL(IF("Documento no web"='03.Muestra'!$D$8:$D$42,ROW('03.Muestra'!$F$8:$F$42)-MIN(ROW('03.Muestra'!$D$8:$D$42))+1,""),ROW()-778)),"")</f>
        <v/>
      </c>
      <c r="D801" s="130" t="str">
        <f t="shared" si="41"/>
        <v/>
      </c>
      <c r="E801" s="107" t="str">
        <f t="shared" si="40"/>
        <v/>
      </c>
      <c r="F801" s="19"/>
      <c r="G801" s="19"/>
      <c r="H801" s="19"/>
      <c r="I801" s="19"/>
      <c r="J801" s="19"/>
      <c r="K801" s="233"/>
      <c r="L801" s="19"/>
      <c r="M801" s="19"/>
      <c r="N801" s="19"/>
      <c r="O801" s="19"/>
      <c r="P801" s="19"/>
      <c r="Q801" s="19"/>
      <c r="R801" s="19"/>
      <c r="S801" s="19"/>
      <c r="T801" s="19"/>
      <c r="U801" s="19"/>
      <c r="V801" s="19"/>
      <c r="W801" s="19"/>
      <c r="X801" s="19"/>
      <c r="Y801" s="19"/>
    </row>
    <row r="802" spans="1:25" ht="13.5" customHeight="1">
      <c r="A802" s="219" t="str" cm="1">
        <f t="array" ref="A802">IFERROR(INDEX('03.Muestra'!$B$8:$B$42,SMALL(IF("Documento no web"='03.Muestra'!$D$8:$D$42,ROW('03.Muestra'!$B$8:$B$42)-MIN(ROW('03.Muestra'!$D$8:$D$42))+1,""),ROW()-778)),"")</f>
        <v/>
      </c>
      <c r="B802" s="114" t="str" cm="1">
        <f t="array" ref="B802">IFERROR(INDEX('03.Muestra'!$C$8:$C$42,SMALL(IF("Documento no web"='03.Muestra'!$D$8:$D$42,ROW('03.Muestra'!$C$8:$C$42)-MIN(ROW('03.Muestra'!$D$8:$D$42))+1,""),ROW()-778)),"")</f>
        <v/>
      </c>
      <c r="C802" s="114" t="str" cm="1">
        <f t="array" ref="C802">IFERROR(INDEX('03.Muestra'!$F$8:$F$42,SMALL(IF("Documento no web"='03.Muestra'!$D$8:$D$42,ROW('03.Muestra'!$F$8:$F$42)-MIN(ROW('03.Muestra'!$D$8:$D$42))+1,""),ROW()-778)),"")</f>
        <v/>
      </c>
      <c r="D802" s="130" t="str">
        <f t="shared" si="41"/>
        <v/>
      </c>
      <c r="E802" s="107" t="str">
        <f t="shared" si="40"/>
        <v/>
      </c>
      <c r="F802" s="19"/>
      <c r="G802" s="19"/>
      <c r="H802" s="19"/>
      <c r="I802" s="19"/>
      <c r="J802" s="19"/>
      <c r="K802" s="233"/>
      <c r="L802" s="19"/>
      <c r="M802" s="19"/>
      <c r="N802" s="19"/>
      <c r="O802" s="19"/>
      <c r="P802" s="19"/>
      <c r="Q802" s="19"/>
      <c r="R802" s="19"/>
      <c r="S802" s="19"/>
      <c r="T802" s="19"/>
      <c r="U802" s="19"/>
      <c r="V802" s="19"/>
      <c r="W802" s="19"/>
      <c r="X802" s="19"/>
      <c r="Y802" s="19"/>
    </row>
    <row r="803" spans="1:25" ht="13.5" customHeight="1">
      <c r="A803" s="219" t="str" cm="1">
        <f t="array" ref="A803">IFERROR(INDEX('03.Muestra'!$B$8:$B$42,SMALL(IF("Documento no web"='03.Muestra'!$D$8:$D$42,ROW('03.Muestra'!$B$8:$B$42)-MIN(ROW('03.Muestra'!$D$8:$D$42))+1,""),ROW()-778)),"")</f>
        <v/>
      </c>
      <c r="B803" s="114" t="str" cm="1">
        <f t="array" ref="B803">IFERROR(INDEX('03.Muestra'!$C$8:$C$42,SMALL(IF("Documento no web"='03.Muestra'!$D$8:$D$42,ROW('03.Muestra'!$C$8:$C$42)-MIN(ROW('03.Muestra'!$D$8:$D$42))+1,""),ROW()-778)),"")</f>
        <v/>
      </c>
      <c r="C803" s="114" t="str" cm="1">
        <f t="array" ref="C803">IFERROR(INDEX('03.Muestra'!$F$8:$F$42,SMALL(IF("Documento no web"='03.Muestra'!$D$8:$D$42,ROW('03.Muestra'!$F$8:$F$42)-MIN(ROW('03.Muestra'!$D$8:$D$42))+1,""),ROW()-778)),"")</f>
        <v/>
      </c>
      <c r="D803" s="130" t="str">
        <f t="shared" si="41"/>
        <v/>
      </c>
      <c r="E803" s="107" t="str">
        <f t="shared" si="40"/>
        <v/>
      </c>
      <c r="F803" s="19"/>
      <c r="G803" s="19"/>
      <c r="H803" s="19"/>
      <c r="I803" s="19"/>
      <c r="J803" s="19"/>
      <c r="K803" s="233"/>
      <c r="L803" s="19"/>
      <c r="M803" s="19"/>
      <c r="N803" s="19"/>
      <c r="O803" s="19"/>
      <c r="P803" s="19"/>
      <c r="Q803" s="19"/>
      <c r="R803" s="19"/>
      <c r="S803" s="19"/>
      <c r="T803" s="19"/>
      <c r="U803" s="19"/>
      <c r="V803" s="19"/>
      <c r="W803" s="19"/>
      <c r="X803" s="19"/>
      <c r="Y803" s="19"/>
    </row>
    <row r="804" spans="1:25" ht="13.5" customHeight="1">
      <c r="A804" s="219" t="str" cm="1">
        <f t="array" ref="A804">IFERROR(INDEX('03.Muestra'!$B$8:$B$42,SMALL(IF("Documento no web"='03.Muestra'!$D$8:$D$42,ROW('03.Muestra'!$B$8:$B$42)-MIN(ROW('03.Muestra'!$D$8:$D$42))+1,""),ROW()-778)),"")</f>
        <v/>
      </c>
      <c r="B804" s="114" t="str" cm="1">
        <f t="array" ref="B804">IFERROR(INDEX('03.Muestra'!$C$8:$C$42,SMALL(IF("Documento no web"='03.Muestra'!$D$8:$D$42,ROW('03.Muestra'!$C$8:$C$42)-MIN(ROW('03.Muestra'!$D$8:$D$42))+1,""),ROW()-778)),"")</f>
        <v/>
      </c>
      <c r="C804" s="114" t="str" cm="1">
        <f t="array" ref="C804">IFERROR(INDEX('03.Muestra'!$F$8:$F$42,SMALL(IF("Documento no web"='03.Muestra'!$D$8:$D$42,ROW('03.Muestra'!$F$8:$F$42)-MIN(ROW('03.Muestra'!$D$8:$D$42))+1,""),ROW()-778)),"")</f>
        <v/>
      </c>
      <c r="D804" s="130" t="str">
        <f t="shared" si="41"/>
        <v/>
      </c>
      <c r="E804" s="107" t="str">
        <f t="shared" si="40"/>
        <v/>
      </c>
      <c r="F804" s="19"/>
      <c r="G804" s="19"/>
      <c r="H804" s="19"/>
      <c r="I804" s="19"/>
      <c r="J804" s="19"/>
      <c r="K804" s="233"/>
      <c r="L804" s="19"/>
      <c r="M804" s="19"/>
      <c r="N804" s="19"/>
      <c r="O804" s="19"/>
      <c r="P804" s="19"/>
      <c r="Q804" s="19"/>
      <c r="R804" s="19"/>
      <c r="S804" s="19"/>
      <c r="T804" s="19"/>
      <c r="U804" s="19"/>
      <c r="V804" s="19"/>
      <c r="W804" s="19"/>
      <c r="X804" s="19"/>
      <c r="Y804" s="19"/>
    </row>
    <row r="805" spans="1:25" ht="13.5" customHeight="1">
      <c r="A805" s="219" t="str" cm="1">
        <f t="array" ref="A805">IFERROR(INDEX('03.Muestra'!$B$8:$B$42,SMALL(IF("Documento no web"='03.Muestra'!$D$8:$D$42,ROW('03.Muestra'!$B$8:$B$42)-MIN(ROW('03.Muestra'!$D$8:$D$42))+1,""),ROW()-778)),"")</f>
        <v/>
      </c>
      <c r="B805" s="114" t="str" cm="1">
        <f t="array" ref="B805">IFERROR(INDEX('03.Muestra'!$C$8:$C$42,SMALL(IF("Documento no web"='03.Muestra'!$D$8:$D$42,ROW('03.Muestra'!$C$8:$C$42)-MIN(ROW('03.Muestra'!$D$8:$D$42))+1,""),ROW()-778)),"")</f>
        <v/>
      </c>
      <c r="C805" s="114" t="str" cm="1">
        <f t="array" ref="C805">IFERROR(INDEX('03.Muestra'!$F$8:$F$42,SMALL(IF("Documento no web"='03.Muestra'!$D$8:$D$42,ROW('03.Muestra'!$F$8:$F$42)-MIN(ROW('03.Muestra'!$D$8:$D$42))+1,""),ROW()-778)),"")</f>
        <v/>
      </c>
      <c r="D805" s="130" t="str">
        <f t="shared" si="41"/>
        <v/>
      </c>
      <c r="E805" s="107" t="str">
        <f t="shared" si="40"/>
        <v/>
      </c>
      <c r="F805" s="19"/>
      <c r="G805" s="19"/>
      <c r="H805" s="19"/>
      <c r="I805" s="19"/>
      <c r="J805" s="19"/>
      <c r="K805" s="233"/>
      <c r="L805" s="19"/>
      <c r="M805" s="19"/>
      <c r="N805" s="19"/>
      <c r="O805" s="19"/>
      <c r="P805" s="19"/>
      <c r="Q805" s="19"/>
      <c r="R805" s="19"/>
      <c r="S805" s="19"/>
      <c r="T805" s="19"/>
      <c r="U805" s="19"/>
      <c r="V805" s="19"/>
      <c r="W805" s="19"/>
      <c r="X805" s="19"/>
      <c r="Y805" s="19"/>
    </row>
    <row r="806" spans="1:25" ht="13.5" customHeight="1">
      <c r="A806" s="219" t="str" cm="1">
        <f t="array" ref="A806">IFERROR(INDEX('03.Muestra'!$B$8:$B$42,SMALL(IF("Documento no web"='03.Muestra'!$D$8:$D$42,ROW('03.Muestra'!$B$8:$B$42)-MIN(ROW('03.Muestra'!$D$8:$D$42))+1,""),ROW()-778)),"")</f>
        <v/>
      </c>
      <c r="B806" s="114" t="str" cm="1">
        <f t="array" ref="B806">IFERROR(INDEX('03.Muestra'!$C$8:$C$42,SMALL(IF("Documento no web"='03.Muestra'!$D$8:$D$42,ROW('03.Muestra'!$C$8:$C$42)-MIN(ROW('03.Muestra'!$D$8:$D$42))+1,""),ROW()-778)),"")</f>
        <v/>
      </c>
      <c r="C806" s="114" t="str" cm="1">
        <f t="array" ref="C806">IFERROR(INDEX('03.Muestra'!$F$8:$F$42,SMALL(IF("Documento no web"='03.Muestra'!$D$8:$D$42,ROW('03.Muestra'!$F$8:$F$42)-MIN(ROW('03.Muestra'!$D$8:$D$42))+1,""),ROW()-778)),"")</f>
        <v/>
      </c>
      <c r="D806" s="130" t="str">
        <f t="shared" si="41"/>
        <v/>
      </c>
      <c r="E806" s="107" t="str">
        <f t="shared" si="40"/>
        <v/>
      </c>
      <c r="G806" s="19"/>
      <c r="H806" s="19"/>
      <c r="I806" s="19"/>
      <c r="J806" s="19"/>
      <c r="K806" s="233"/>
      <c r="L806" s="19"/>
      <c r="M806" s="19"/>
      <c r="N806" s="19"/>
      <c r="O806" s="19"/>
      <c r="P806" s="19"/>
      <c r="Q806" s="19"/>
      <c r="R806" s="19"/>
      <c r="S806" s="19"/>
      <c r="T806" s="19"/>
      <c r="U806" s="19"/>
      <c r="V806" s="19"/>
      <c r="W806" s="19"/>
      <c r="X806" s="19"/>
      <c r="Y806" s="19"/>
    </row>
    <row r="807" spans="1:25" ht="13.5" customHeight="1">
      <c r="A807" s="219" t="str" cm="1">
        <f t="array" ref="A807">IFERROR(INDEX('03.Muestra'!$B$8:$B$42,SMALL(IF("Documento no web"='03.Muestra'!$D$8:$D$42,ROW('03.Muestra'!$B$8:$B$42)-MIN(ROW('03.Muestra'!$D$8:$D$42))+1,""),ROW()-778)),"")</f>
        <v/>
      </c>
      <c r="B807" s="114" t="str" cm="1">
        <f t="array" ref="B807">IFERROR(INDEX('03.Muestra'!$C$8:$C$42,SMALL(IF("Documento no web"='03.Muestra'!$D$8:$D$42,ROW('03.Muestra'!$C$8:$C$42)-MIN(ROW('03.Muestra'!$D$8:$D$42))+1,""),ROW()-778)),"")</f>
        <v/>
      </c>
      <c r="C807" s="114" t="str" cm="1">
        <f t="array" ref="C807">IFERROR(INDEX('03.Muestra'!$F$8:$F$42,SMALL(IF("Documento no web"='03.Muestra'!$D$8:$D$42,ROW('03.Muestra'!$F$8:$F$42)-MIN(ROW('03.Muestra'!$D$8:$D$42))+1,""),ROW()-778)),"")</f>
        <v/>
      </c>
      <c r="D807" s="130" t="str">
        <f t="shared" si="41"/>
        <v/>
      </c>
      <c r="E807" s="107" t="str">
        <f t="shared" si="40"/>
        <v/>
      </c>
      <c r="F807" s="124"/>
      <c r="G807" s="19"/>
      <c r="H807" s="19"/>
      <c r="I807" s="19"/>
      <c r="J807" s="19"/>
      <c r="K807" s="233"/>
      <c r="L807" s="19"/>
      <c r="M807" s="19"/>
      <c r="N807" s="19"/>
      <c r="O807" s="19"/>
      <c r="P807" s="19"/>
      <c r="Q807" s="19"/>
      <c r="R807" s="19"/>
      <c r="S807" s="19"/>
      <c r="T807" s="19"/>
      <c r="U807" s="19"/>
      <c r="V807" s="19"/>
      <c r="W807" s="19"/>
      <c r="X807" s="19"/>
      <c r="Y807" s="19"/>
    </row>
    <row r="808" spans="1:25" ht="13.5" customHeight="1">
      <c r="A808" s="219" t="str" cm="1">
        <f t="array" ref="A808">IFERROR(INDEX('03.Muestra'!$B$8:$B$42,SMALL(IF("Documento no web"='03.Muestra'!$D$8:$D$42,ROW('03.Muestra'!$B$8:$B$42)-MIN(ROW('03.Muestra'!$D$8:$D$42))+1,""),ROW()-778)),"")</f>
        <v/>
      </c>
      <c r="B808" s="114" t="str" cm="1">
        <f t="array" ref="B808">IFERROR(INDEX('03.Muestra'!$C$8:$C$42,SMALL(IF("Documento no web"='03.Muestra'!$D$8:$D$42,ROW('03.Muestra'!$C$8:$C$42)-MIN(ROW('03.Muestra'!$D$8:$D$42))+1,""),ROW()-778)),"")</f>
        <v/>
      </c>
      <c r="C808" s="114" t="str" cm="1">
        <f t="array" ref="C808">IFERROR(INDEX('03.Muestra'!$F$8:$F$42,SMALL(IF("Documento no web"='03.Muestra'!$D$8:$D$42,ROW('03.Muestra'!$F$8:$F$42)-MIN(ROW('03.Muestra'!$D$8:$D$42))+1,""),ROW()-778)),"")</f>
        <v/>
      </c>
      <c r="D808" s="130" t="str">
        <f t="shared" si="41"/>
        <v/>
      </c>
      <c r="E808" s="107" t="str">
        <f t="shared" si="40"/>
        <v/>
      </c>
      <c r="F808" s="124"/>
      <c r="G808" s="19"/>
      <c r="H808" s="19"/>
      <c r="I808" s="19"/>
      <c r="J808" s="19"/>
      <c r="K808" s="233"/>
      <c r="L808" s="19"/>
      <c r="M808" s="19"/>
      <c r="N808" s="19"/>
      <c r="O808" s="19"/>
      <c r="P808" s="19"/>
      <c r="Q808" s="19"/>
      <c r="R808" s="19"/>
      <c r="S808" s="19"/>
      <c r="T808" s="19"/>
      <c r="U808" s="19"/>
      <c r="V808" s="19"/>
      <c r="W808" s="19"/>
      <c r="X808" s="19"/>
      <c r="Y808" s="19"/>
    </row>
    <row r="809" spans="1:25" ht="13.5" customHeight="1">
      <c r="A809" s="219" t="str" cm="1">
        <f t="array" ref="A809">IFERROR(INDEX('03.Muestra'!$B$8:$B$42,SMALL(IF("Documento no web"='03.Muestra'!$D$8:$D$42,ROW('03.Muestra'!$B$8:$B$42)-MIN(ROW('03.Muestra'!$D$8:$D$42))+1,""),ROW()-778)),"")</f>
        <v/>
      </c>
      <c r="B809" s="114" t="str" cm="1">
        <f t="array" ref="B809">IFERROR(INDEX('03.Muestra'!$C$8:$C$42,SMALL(IF("Documento no web"='03.Muestra'!$D$8:$D$42,ROW('03.Muestra'!$C$8:$C$42)-MIN(ROW('03.Muestra'!$D$8:$D$42))+1,""),ROW()-778)),"")</f>
        <v/>
      </c>
      <c r="C809" s="114" t="str" cm="1">
        <f t="array" ref="C809">IFERROR(INDEX('03.Muestra'!$F$8:$F$42,SMALL(IF("Documento no web"='03.Muestra'!$D$8:$D$42,ROW('03.Muestra'!$F$8:$F$42)-MIN(ROW('03.Muestra'!$D$8:$D$42))+1,""),ROW()-778)),"")</f>
        <v/>
      </c>
      <c r="D809" s="130" t="str">
        <f t="shared" si="41"/>
        <v/>
      </c>
      <c r="E809" s="107" t="str">
        <f t="shared" si="40"/>
        <v/>
      </c>
      <c r="F809" s="124"/>
      <c r="G809" s="19"/>
      <c r="H809" s="19"/>
      <c r="I809" s="19"/>
      <c r="J809" s="19"/>
      <c r="K809" s="233"/>
      <c r="L809" s="19"/>
      <c r="M809" s="19"/>
      <c r="N809" s="19"/>
      <c r="O809" s="19"/>
      <c r="P809" s="19"/>
      <c r="Q809" s="19"/>
      <c r="R809" s="19"/>
      <c r="S809" s="19"/>
      <c r="T809" s="19"/>
      <c r="U809" s="19"/>
      <c r="V809" s="19"/>
      <c r="W809" s="19"/>
      <c r="X809" s="19"/>
      <c r="Y809" s="19"/>
    </row>
    <row r="810" spans="1:25" ht="13.5" customHeight="1">
      <c r="A810" s="219" t="str" cm="1">
        <f t="array" ref="A810">IFERROR(INDEX('03.Muestra'!$B$8:$B$42,SMALL(IF("Documento no web"='03.Muestra'!$D$8:$D$42,ROW('03.Muestra'!$B$8:$B$42)-MIN(ROW('03.Muestra'!$D$8:$D$42))+1,""),ROW()-778)),"")</f>
        <v/>
      </c>
      <c r="B810" s="114" t="str" cm="1">
        <f t="array" ref="B810">IFERROR(INDEX('03.Muestra'!$C$8:$C$42,SMALL(IF("Documento no web"='03.Muestra'!$D$8:$D$42,ROW('03.Muestra'!$C$8:$C$42)-MIN(ROW('03.Muestra'!$D$8:$D$42))+1,""),ROW()-778)),"")</f>
        <v/>
      </c>
      <c r="C810" s="114" t="str" cm="1">
        <f t="array" ref="C810">IFERROR(INDEX('03.Muestra'!$F$8:$F$42,SMALL(IF("Documento no web"='03.Muestra'!$D$8:$D$42,ROW('03.Muestra'!$F$8:$F$42)-MIN(ROW('03.Muestra'!$D$8:$D$42))+1,""),ROW()-778)),"")</f>
        <v/>
      </c>
      <c r="D810" s="130" t="str">
        <f t="shared" si="41"/>
        <v/>
      </c>
      <c r="E810" s="107" t="str">
        <f t="shared" si="40"/>
        <v/>
      </c>
      <c r="F810" s="124"/>
      <c r="G810" s="19"/>
      <c r="H810" s="19"/>
      <c r="I810" s="19"/>
      <c r="J810" s="19"/>
      <c r="K810" s="233"/>
      <c r="L810" s="19"/>
      <c r="M810" s="19"/>
      <c r="N810" s="19"/>
      <c r="O810" s="19"/>
      <c r="P810" s="19"/>
      <c r="Q810" s="19"/>
      <c r="R810" s="19"/>
      <c r="S810" s="19"/>
      <c r="T810" s="19"/>
      <c r="U810" s="19"/>
      <c r="V810" s="19"/>
      <c r="W810" s="19"/>
      <c r="X810" s="19"/>
      <c r="Y810" s="19"/>
    </row>
    <row r="811" spans="1:25" ht="13.5" customHeight="1">
      <c r="A811" s="219" t="str" cm="1">
        <f t="array" ref="A811">IFERROR(INDEX('03.Muestra'!$B$8:$B$42,SMALL(IF("Documento no web"='03.Muestra'!$D$8:$D$42,ROW('03.Muestra'!$B$8:$B$42)-MIN(ROW('03.Muestra'!$D$8:$D$42))+1,""),ROW()-778)),"")</f>
        <v/>
      </c>
      <c r="B811" s="114" t="str" cm="1">
        <f t="array" ref="B811">IFERROR(INDEX('03.Muestra'!$C$8:$C$42,SMALL(IF("Documento no web"='03.Muestra'!$D$8:$D$42,ROW('03.Muestra'!$C$8:$C$42)-MIN(ROW('03.Muestra'!$D$8:$D$42))+1,""),ROW()-778)),"")</f>
        <v/>
      </c>
      <c r="C811" s="114" t="str" cm="1">
        <f t="array" ref="C811">IFERROR(INDEX('03.Muestra'!$F$8:$F$42,SMALL(IF("Documento no web"='03.Muestra'!$D$8:$D$42,ROW('03.Muestra'!$F$8:$F$42)-MIN(ROW('03.Muestra'!$D$8:$D$42))+1,""),ROW()-778)),"")</f>
        <v/>
      </c>
      <c r="D811" s="130" t="str">
        <f t="shared" si="41"/>
        <v/>
      </c>
      <c r="E811" s="107" t="str">
        <f t="shared" si="40"/>
        <v/>
      </c>
      <c r="F811" s="124"/>
      <c r="G811" s="19"/>
      <c r="H811" s="19"/>
      <c r="I811" s="19"/>
      <c r="J811" s="19"/>
      <c r="K811" s="233"/>
      <c r="L811" s="19"/>
      <c r="M811" s="19"/>
      <c r="N811" s="19"/>
      <c r="O811" s="19"/>
      <c r="P811" s="19"/>
      <c r="Q811" s="19"/>
      <c r="R811" s="19"/>
      <c r="S811" s="19"/>
      <c r="T811" s="19"/>
      <c r="U811" s="19"/>
      <c r="V811" s="19"/>
      <c r="W811" s="19"/>
      <c r="X811" s="19"/>
      <c r="Y811" s="19"/>
    </row>
    <row r="812" spans="1:25" ht="13.5" customHeight="1">
      <c r="A812" s="219" t="str" cm="1">
        <f t="array" ref="A812">IFERROR(INDEX('03.Muestra'!$B$8:$B$42,SMALL(IF("Documento no web"='03.Muestra'!$D$8:$D$42,ROW('03.Muestra'!$B$8:$B$42)-MIN(ROW('03.Muestra'!$D$8:$D$42))+1,""),ROW()-778)),"")</f>
        <v/>
      </c>
      <c r="B812" s="114" t="str" cm="1">
        <f t="array" ref="B812">IFERROR(INDEX('03.Muestra'!$C$8:$C$42,SMALL(IF("Documento no web"='03.Muestra'!$D$8:$D$42,ROW('03.Muestra'!$C$8:$C$42)-MIN(ROW('03.Muestra'!$D$8:$D$42))+1,""),ROW()-778)),"")</f>
        <v/>
      </c>
      <c r="C812" s="114" t="str" cm="1">
        <f t="array" ref="C812">IFERROR(INDEX('03.Muestra'!$F$8:$F$42,SMALL(IF("Documento no web"='03.Muestra'!$D$8:$D$42,ROW('03.Muestra'!$F$8:$F$42)-MIN(ROW('03.Muestra'!$D$8:$D$42))+1,""),ROW()-778)),"")</f>
        <v/>
      </c>
      <c r="D812" s="130" t="str">
        <f t="shared" si="41"/>
        <v/>
      </c>
      <c r="E812" s="107" t="str">
        <f t="shared" si="40"/>
        <v/>
      </c>
      <c r="F812" s="124"/>
      <c r="G812" s="19"/>
      <c r="H812" s="19"/>
      <c r="I812" s="19"/>
      <c r="J812" s="19"/>
      <c r="K812" s="233"/>
      <c r="L812" s="19"/>
      <c r="M812" s="19"/>
      <c r="N812" s="19"/>
      <c r="O812" s="19"/>
      <c r="P812" s="19"/>
      <c r="Q812" s="19"/>
      <c r="R812" s="19"/>
      <c r="S812" s="19"/>
      <c r="T812" s="19"/>
      <c r="U812" s="19"/>
      <c r="V812" s="19"/>
      <c r="W812" s="19"/>
      <c r="X812" s="19"/>
      <c r="Y812" s="19"/>
    </row>
    <row r="813" spans="1:25" ht="13.5" customHeight="1">
      <c r="A813" s="219" t="str" cm="1">
        <f t="array" ref="A813">IFERROR(INDEX('03.Muestra'!$B$8:$B$42,SMALL(IF("Documento no web"='03.Muestra'!$D$8:$D$42,ROW('03.Muestra'!$B$8:$B$42)-MIN(ROW('03.Muestra'!$D$8:$D$42))+1,""),ROW()-778)),"")</f>
        <v/>
      </c>
      <c r="B813" s="114" t="str" cm="1">
        <f t="array" ref="B813">IFERROR(INDEX('03.Muestra'!$C$8:$C$42,SMALL(IF("Documento no web"='03.Muestra'!$D$8:$D$42,ROW('03.Muestra'!$C$8:$C$42)-MIN(ROW('03.Muestra'!$D$8:$D$42))+1,""),ROW()-778)),"")</f>
        <v/>
      </c>
      <c r="C813" s="114" t="str" cm="1">
        <f t="array" ref="C813">IFERROR(INDEX('03.Muestra'!$F$8:$F$42,SMALL(IF("Documento no web"='03.Muestra'!$D$8:$D$42,ROW('03.Muestra'!$F$8:$F$42)-MIN(ROW('03.Muestra'!$D$8:$D$42))+1,""),ROW()-778)),"")</f>
        <v/>
      </c>
      <c r="D813" s="130" t="str">
        <f t="shared" si="41"/>
        <v/>
      </c>
      <c r="E813" s="107" t="str">
        <f t="shared" si="40"/>
        <v/>
      </c>
      <c r="F813" s="19"/>
      <c r="G813" s="19"/>
      <c r="H813" s="19"/>
      <c r="I813" s="19"/>
      <c r="J813" s="19"/>
      <c r="K813" s="233"/>
      <c r="L813" s="19"/>
      <c r="M813" s="19"/>
      <c r="N813" s="19"/>
      <c r="O813" s="19"/>
      <c r="P813" s="19"/>
      <c r="Q813" s="19"/>
      <c r="R813" s="19"/>
      <c r="S813" s="19"/>
      <c r="T813" s="19"/>
      <c r="U813" s="19"/>
      <c r="V813" s="19"/>
      <c r="W813" s="19"/>
      <c r="X813" s="19"/>
      <c r="Y813" s="19"/>
    </row>
    <row r="814" spans="1:25" ht="13.5" customHeight="1">
      <c r="B814" s="19"/>
      <c r="C814" s="19"/>
      <c r="D814" s="19"/>
      <c r="E814" s="19"/>
      <c r="F814" s="19"/>
      <c r="G814" s="19"/>
      <c r="H814" s="19"/>
      <c r="I814" s="19"/>
      <c r="J814" s="19"/>
      <c r="K814" s="233"/>
      <c r="L814" s="19"/>
      <c r="M814" s="19"/>
      <c r="N814" s="19"/>
      <c r="O814" s="19"/>
      <c r="P814" s="19"/>
      <c r="Q814" s="19"/>
      <c r="R814" s="19"/>
      <c r="S814" s="19"/>
      <c r="T814" s="19"/>
      <c r="U814" s="19"/>
      <c r="V814" s="19"/>
      <c r="W814" s="19"/>
      <c r="X814" s="19"/>
      <c r="Y814" s="19"/>
    </row>
    <row r="815" spans="1:25" ht="13.5" customHeight="1">
      <c r="B815" s="126"/>
      <c r="C815" s="19"/>
      <c r="D815" s="19"/>
      <c r="E815" s="112"/>
      <c r="F815" s="19"/>
      <c r="G815" s="19"/>
      <c r="H815" s="19"/>
      <c r="I815" s="19"/>
      <c r="J815" s="19"/>
      <c r="K815" s="233"/>
      <c r="L815" s="19"/>
      <c r="M815" s="19"/>
      <c r="N815" s="19"/>
      <c r="O815" s="19"/>
      <c r="P815" s="19"/>
      <c r="Q815" s="19"/>
      <c r="R815" s="19"/>
      <c r="S815" s="19"/>
      <c r="T815" s="19"/>
      <c r="U815" s="19"/>
      <c r="V815" s="19"/>
      <c r="W815" s="19"/>
      <c r="X815" s="19"/>
      <c r="Y815" s="19"/>
    </row>
    <row r="816" spans="1:25" ht="30" customHeight="1">
      <c r="A816" s="218" t="s">
        <v>268</v>
      </c>
      <c r="B816" s="24" t="s">
        <v>90</v>
      </c>
      <c r="C816" s="25" t="s">
        <v>443</v>
      </c>
      <c r="D816" s="26" t="s">
        <v>32</v>
      </c>
      <c r="E816" s="123"/>
      <c r="K816" s="233"/>
      <c r="L816" s="19"/>
      <c r="M816" s="19"/>
      <c r="N816" s="19"/>
      <c r="O816" s="19"/>
      <c r="P816" s="19"/>
      <c r="Q816" s="19"/>
      <c r="R816" s="19"/>
      <c r="S816" s="19"/>
      <c r="T816" s="19"/>
      <c r="U816" s="19"/>
      <c r="V816" s="19"/>
      <c r="W816" s="19"/>
      <c r="X816" s="19"/>
      <c r="Y816" s="19"/>
    </row>
    <row r="817" spans="1:25" ht="13.5" customHeight="1">
      <c r="A817" s="219" t="n" cm="1">
        <f t="array" ref="A817">IFERROR(INDEX('03.Muestra'!$B$8:$B$42,SMALL(IF("Documento no web"='03.Muestra'!$D$8:$D$42,ROW('03.Muestra'!$B$8:$B$42)-MIN(ROW('03.Muestra'!$D$8:$D$42))+1,""),ROW()-816)),"")</f>
        <v>1.0</v>
      </c>
      <c r="B817" s="114" t="str" cm="1">
        <f t="array" ref="B817">IFERROR(INDEX('03.Muestra'!$C$8:$C$42,SMALL(IF("Documento no web"='03.Muestra'!$D$8:$D$42,ROW('03.Muestra'!$C$8:$C$42)-MIN(ROW('03.Muestra'!$D$8:$D$42))+1,""),ROW()-816)),"")</f>
        <v>Home - PortCastelló</v>
      </c>
      <c r="C817" s="114" t="str" cm="1">
        <f t="array" ref="C817">IFERROR(INDEX('03.Muestra'!$F$8:$F$42,SMALL(IF("Documento no web"='03.Muestra'!$D$8:$D$42,ROW('03.Muestra'!$F$8:$F$42)-MIN(ROW('03.Muestra'!$D$8:$D$42))+1,""),ROW()-816)),"")</f>
        <v>https://www.portcastello.com/</v>
      </c>
      <c r="D817" s="130" t="s">
        <v>33</v>
      </c>
      <c r="E817" s="107" t="str">
        <f t="shared" ref="E817:E851" si="42">IF(D817&lt;&gt;"",IF(AND(B817&lt;&gt;"",C817&lt;&gt;""),"","ERR"),"")</f>
        <v/>
      </c>
      <c r="F817" s="115" t="s">
        <v>33</v>
      </c>
      <c r="G817" s="116" t="s">
        <v>37</v>
      </c>
      <c r="H817" s="117" t="s">
        <v>35</v>
      </c>
      <c r="I817" s="118" t="s">
        <v>28</v>
      </c>
      <c r="J817" s="119" t="s">
        <v>26</v>
      </c>
      <c r="K817" s="226" t="s">
        <v>474</v>
      </c>
      <c r="L817" s="19"/>
      <c r="M817" s="19"/>
      <c r="N817" s="19"/>
      <c r="O817" s="19"/>
      <c r="P817" s="19"/>
      <c r="Q817" s="19"/>
      <c r="R817" s="19"/>
      <c r="S817" s="19"/>
      <c r="T817" s="19"/>
      <c r="U817" s="19"/>
      <c r="V817" s="19"/>
      <c r="W817" s="19"/>
      <c r="X817" s="19"/>
      <c r="Y817" s="19"/>
    </row>
    <row r="818" spans="1:25" ht="13.5" customHeight="1">
      <c r="A818" s="219" t="n" cm="1">
        <f t="array" ref="A818">IFERROR(INDEX('03.Muestra'!$B$8:$B$42,SMALL(IF("Documento no web"='03.Muestra'!$D$8:$D$42,ROW('03.Muestra'!$B$8:$B$42)-MIN(ROW('03.Muestra'!$D$8:$D$42))+1,""),ROW()-816)),"")</f>
        <v>1.0</v>
      </c>
      <c r="B818" s="114" t="str" cm="1">
        <f t="array" ref="B818">IFERROR(INDEX('03.Muestra'!$C$8:$C$42,SMALL(IF("Documento no web"='03.Muestra'!$D$8:$D$42,ROW('03.Muestra'!$C$8:$C$42)-MIN(ROW('03.Muestra'!$D$8:$D$42))+1,""),ROW()-816)),"")</f>
        <v>Home - PortCastelló</v>
      </c>
      <c r="C818" s="114" t="str" cm="1">
        <f t="array" ref="C818">IFERROR(INDEX('03.Muestra'!$F$8:$F$42,SMALL(IF("Documento no web"='03.Muestra'!$D$8:$D$42,ROW('03.Muestra'!$F$8:$F$42)-MIN(ROW('03.Muestra'!$D$8:$D$42))+1,""),ROW()-816)),"")</f>
        <v>https://www.portcastello.com/</v>
      </c>
      <c r="D818" s="130" t="s">
        <v>33</v>
      </c>
      <c r="E818" s="107" t="str">
        <f t="shared" si="42"/>
        <v/>
      </c>
      <c r="F818" s="120" t="n">
        <f ca="1">COUNTIF($D817:INDIRECT("$D" &amp;  SUM(ROW()-1,'03.Muestra'!$D$45)-1),F817)</f>
        <v>2.0</v>
      </c>
      <c r="G818" s="120" t="n">
        <f ca="1">COUNTIF($D817:INDIRECT("$D" &amp;  SUM(ROW()-1,'03.Muestra'!$D$45)-1),G817)</f>
        <v>0.0</v>
      </c>
      <c r="H818" s="120" t="n">
        <f ca="1">COUNTIF($D817:INDIRECT("$D" &amp;  SUM(ROW()-1,'03.Muestra'!$D$45)-1),H817)</f>
        <v>0.0</v>
      </c>
      <c r="I818" s="120" t="n">
        <f ca="1">COUNTIF($D817:INDIRECT("$D" &amp;  SUM(ROW()-1,'03.Muestra'!$D$45)-1),I817)</f>
        <v>0.0</v>
      </c>
      <c r="J818" s="120" t="n">
        <f ca="1">COUNTIF($D817:INDIRECT("$D" &amp;  SUM(ROW()-1,'03.Muestra'!$D$45)-1),J817)</f>
        <v>0.0</v>
      </c>
      <c r="K818" s="227" t="n">
        <f ca="1">IF(COUNTIF('03.Muestra'!$D$8:$D$42,"Documento no web")=0,0,COUNTBLANK($D817:INDIRECT("$D" &amp;  SUM(ROW()-1,COUNTIF('03.Muestra'!$D$8:$D$42,"Documento no web"))-1)))</f>
        <v>0.0</v>
      </c>
      <c r="L818" s="19"/>
      <c r="M818" s="19"/>
      <c r="N818" s="19"/>
      <c r="O818" s="19"/>
      <c r="P818" s="19"/>
      <c r="Q818" s="19"/>
      <c r="R818" s="19"/>
      <c r="S818" s="19"/>
      <c r="T818" s="19"/>
      <c r="U818" s="19"/>
      <c r="V818" s="19"/>
      <c r="W818" s="19"/>
      <c r="X818" s="19"/>
      <c r="Y818" s="19"/>
    </row>
    <row r="819" spans="1:25" ht="13.5" customHeight="1">
      <c r="A819" s="219" t="str" cm="1">
        <f t="array" ref="A819">IFERROR(INDEX('03.Muestra'!$B$8:$B$42,SMALL(IF("Documento no web"='03.Muestra'!$D$8:$D$42,ROW('03.Muestra'!$B$8:$B$42)-MIN(ROW('03.Muestra'!$D$8:$D$42))+1,""),ROW()-816)),"")</f>
        <v/>
      </c>
      <c r="B819" s="114" t="str" cm="1">
        <f t="array" ref="B819">IFERROR(INDEX('03.Muestra'!$C$8:$C$42,SMALL(IF("Documento no web"='03.Muestra'!$D$8:$D$42,ROW('03.Muestra'!$C$8:$C$42)-MIN(ROW('03.Muestra'!$D$8:$D$42))+1,""),ROW()-816)),"")</f>
        <v/>
      </c>
      <c r="C819" s="114" t="str" cm="1">
        <f t="array" ref="C819">IFERROR(INDEX('03.Muestra'!$F$8:$F$42,SMALL(IF("Documento no web"='03.Muestra'!$D$8:$D$42,ROW('03.Muestra'!$F$8:$F$42)-MIN(ROW('03.Muestra'!$D$8:$D$42))+1,""),ROW()-816)),"")</f>
        <v/>
      </c>
      <c r="D819" s="130" t="str">
        <f t="shared" si="43" ref="D819:D851">IF(AND(B819&lt;&gt;"",C819&lt;&gt;""),"N/T","")</f>
        <v/>
      </c>
      <c r="E819" s="107" t="str">
        <f t="shared" si="42"/>
        <v/>
      </c>
      <c r="G819" s="19"/>
      <c r="H819" s="19"/>
      <c r="I819" s="19"/>
      <c r="J819" s="19"/>
      <c r="K819" s="233"/>
      <c r="L819" s="19"/>
      <c r="M819" s="19"/>
      <c r="N819" s="19"/>
      <c r="O819" s="19"/>
      <c r="P819" s="19"/>
      <c r="Q819" s="19"/>
      <c r="R819" s="19"/>
      <c r="S819" s="19"/>
      <c r="T819" s="19"/>
      <c r="U819" s="19"/>
      <c r="V819" s="19"/>
      <c r="W819" s="19"/>
      <c r="X819" s="19"/>
      <c r="Y819" s="19"/>
    </row>
    <row r="820" spans="1:25" ht="13.5" customHeight="1">
      <c r="A820" s="219" t="str" cm="1">
        <f t="array" ref="A820">IFERROR(INDEX('03.Muestra'!$B$8:$B$42,SMALL(IF("Documento no web"='03.Muestra'!$D$8:$D$42,ROW('03.Muestra'!$B$8:$B$42)-MIN(ROW('03.Muestra'!$D$8:$D$42))+1,""),ROW()-816)),"")</f>
        <v/>
      </c>
      <c r="B820" s="114" t="str" cm="1">
        <f t="array" ref="B820">IFERROR(INDEX('03.Muestra'!$C$8:$C$42,SMALL(IF("Documento no web"='03.Muestra'!$D$8:$D$42,ROW('03.Muestra'!$C$8:$C$42)-MIN(ROW('03.Muestra'!$D$8:$D$42))+1,""),ROW()-816)),"")</f>
        <v/>
      </c>
      <c r="C820" s="114" t="str" cm="1">
        <f t="array" ref="C820">IFERROR(INDEX('03.Muestra'!$F$8:$F$42,SMALL(IF("Documento no web"='03.Muestra'!$D$8:$D$42,ROW('03.Muestra'!$F$8:$F$42)-MIN(ROW('03.Muestra'!$D$8:$D$42))+1,""),ROW()-816)),"")</f>
        <v/>
      </c>
      <c r="D820" s="130" t="str">
        <f t="shared" si="43"/>
        <v/>
      </c>
      <c r="E820" s="107" t="str">
        <f t="shared" si="42"/>
        <v/>
      </c>
      <c r="G820" s="19"/>
      <c r="H820" s="19"/>
      <c r="I820" s="19"/>
      <c r="J820" s="19"/>
      <c r="K820" s="233"/>
      <c r="L820" s="19"/>
      <c r="M820" s="19"/>
      <c r="N820" s="19"/>
      <c r="O820" s="19"/>
      <c r="P820" s="19"/>
      <c r="Q820" s="19"/>
      <c r="R820" s="19"/>
      <c r="S820" s="19"/>
      <c r="T820" s="19"/>
      <c r="U820" s="19"/>
      <c r="V820" s="19"/>
      <c r="W820" s="19"/>
      <c r="X820" s="19"/>
      <c r="Y820" s="19"/>
    </row>
    <row r="821" spans="1:25" ht="13.5" customHeight="1">
      <c r="A821" s="219" t="str" cm="1">
        <f t="array" ref="A821">IFERROR(INDEX('03.Muestra'!$B$8:$B$42,SMALL(IF("Documento no web"='03.Muestra'!$D$8:$D$42,ROW('03.Muestra'!$B$8:$B$42)-MIN(ROW('03.Muestra'!$D$8:$D$42))+1,""),ROW()-816)),"")</f>
        <v/>
      </c>
      <c r="B821" s="114" t="str" cm="1">
        <f t="array" ref="B821">IFERROR(INDEX('03.Muestra'!$C$8:$C$42,SMALL(IF("Documento no web"='03.Muestra'!$D$8:$D$42,ROW('03.Muestra'!$C$8:$C$42)-MIN(ROW('03.Muestra'!$D$8:$D$42))+1,""),ROW()-816)),"")</f>
        <v/>
      </c>
      <c r="C821" s="114" t="str" cm="1">
        <f t="array" ref="C821">IFERROR(INDEX('03.Muestra'!$F$8:$F$42,SMALL(IF("Documento no web"='03.Muestra'!$D$8:$D$42,ROW('03.Muestra'!$F$8:$F$42)-MIN(ROW('03.Muestra'!$D$8:$D$42))+1,""),ROW()-816)),"")</f>
        <v/>
      </c>
      <c r="D821" s="130" t="str">
        <f t="shared" si="43"/>
        <v/>
      </c>
      <c r="E821" s="107" t="str">
        <f t="shared" si="42"/>
        <v/>
      </c>
      <c r="G821" s="19"/>
      <c r="H821" s="19"/>
      <c r="I821" s="19"/>
      <c r="J821" s="19"/>
      <c r="K821" s="233"/>
      <c r="L821" s="19"/>
      <c r="M821" s="19"/>
      <c r="N821" s="19"/>
      <c r="O821" s="19"/>
      <c r="P821" s="19"/>
      <c r="Q821" s="19"/>
      <c r="R821" s="19"/>
      <c r="S821" s="19"/>
      <c r="T821" s="19"/>
      <c r="U821" s="19"/>
      <c r="V821" s="19"/>
      <c r="W821" s="19"/>
      <c r="X821" s="19"/>
      <c r="Y821" s="19"/>
    </row>
    <row r="822" spans="1:25" ht="13.5" customHeight="1">
      <c r="A822" s="219" t="str" cm="1">
        <f t="array" ref="A822">IFERROR(INDEX('03.Muestra'!$B$8:$B$42,SMALL(IF("Documento no web"='03.Muestra'!$D$8:$D$42,ROW('03.Muestra'!$B$8:$B$42)-MIN(ROW('03.Muestra'!$D$8:$D$42))+1,""),ROW()-816)),"")</f>
        <v/>
      </c>
      <c r="B822" s="114" t="str" cm="1">
        <f t="array" ref="B822">IFERROR(INDEX('03.Muestra'!$C$8:$C$42,SMALL(IF("Documento no web"='03.Muestra'!$D$8:$D$42,ROW('03.Muestra'!$C$8:$C$42)-MIN(ROW('03.Muestra'!$D$8:$D$42))+1,""),ROW()-816)),"")</f>
        <v/>
      </c>
      <c r="C822" s="114" t="str" cm="1">
        <f t="array" ref="C822">IFERROR(INDEX('03.Muestra'!$F$8:$F$42,SMALL(IF("Documento no web"='03.Muestra'!$D$8:$D$42,ROW('03.Muestra'!$F$8:$F$42)-MIN(ROW('03.Muestra'!$D$8:$D$42))+1,""),ROW()-816)),"")</f>
        <v/>
      </c>
      <c r="D822" s="130" t="str">
        <f t="shared" si="43"/>
        <v/>
      </c>
      <c r="E822" s="107" t="str">
        <f t="shared" si="42"/>
        <v/>
      </c>
      <c r="G822" s="19"/>
      <c r="H822" s="19"/>
      <c r="I822" s="19"/>
      <c r="J822" s="19"/>
      <c r="K822" s="233"/>
      <c r="L822" s="19"/>
      <c r="M822" s="19"/>
      <c r="N822" s="19"/>
      <c r="O822" s="19"/>
      <c r="P822" s="19"/>
      <c r="Q822" s="19"/>
      <c r="R822" s="19"/>
      <c r="S822" s="19"/>
      <c r="T822" s="19"/>
      <c r="U822" s="19"/>
      <c r="V822" s="19"/>
      <c r="W822" s="19"/>
      <c r="X822" s="19"/>
      <c r="Y822" s="19"/>
    </row>
    <row r="823" spans="1:25" ht="13.5" customHeight="1">
      <c r="A823" s="219" t="str" cm="1">
        <f t="array" ref="A823">IFERROR(INDEX('03.Muestra'!$B$8:$B$42,SMALL(IF("Documento no web"='03.Muestra'!$D$8:$D$42,ROW('03.Muestra'!$B$8:$B$42)-MIN(ROW('03.Muestra'!$D$8:$D$42))+1,""),ROW()-816)),"")</f>
        <v/>
      </c>
      <c r="B823" s="114" t="str" cm="1">
        <f t="array" ref="B823">IFERROR(INDEX('03.Muestra'!$C$8:$C$42,SMALL(IF("Documento no web"='03.Muestra'!$D$8:$D$42,ROW('03.Muestra'!$C$8:$C$42)-MIN(ROW('03.Muestra'!$D$8:$D$42))+1,""),ROW()-816)),"")</f>
        <v/>
      </c>
      <c r="C823" s="114" t="str" cm="1">
        <f t="array" ref="C823">IFERROR(INDEX('03.Muestra'!$F$8:$F$42,SMALL(IF("Documento no web"='03.Muestra'!$D$8:$D$42,ROW('03.Muestra'!$F$8:$F$42)-MIN(ROW('03.Muestra'!$D$8:$D$42))+1,""),ROW()-816)),"")</f>
        <v/>
      </c>
      <c r="D823" s="130" t="str">
        <f t="shared" si="43"/>
        <v/>
      </c>
      <c r="E823" s="107" t="str">
        <f t="shared" si="42"/>
        <v/>
      </c>
      <c r="F823" s="19"/>
      <c r="G823" s="19"/>
      <c r="H823" s="19"/>
      <c r="I823" s="19"/>
      <c r="J823" s="19"/>
      <c r="K823" s="233"/>
      <c r="L823" s="19"/>
      <c r="M823" s="19"/>
      <c r="N823" s="19"/>
      <c r="O823" s="19"/>
      <c r="P823" s="19"/>
      <c r="Q823" s="19"/>
      <c r="R823" s="19"/>
      <c r="S823" s="19"/>
      <c r="T823" s="19"/>
      <c r="U823" s="19"/>
      <c r="V823" s="19"/>
      <c r="W823" s="19"/>
      <c r="X823" s="19"/>
      <c r="Y823" s="19"/>
    </row>
    <row r="824" spans="1:25" ht="13.5" customHeight="1">
      <c r="A824" s="219" t="str" cm="1">
        <f t="array" ref="A824">IFERROR(INDEX('03.Muestra'!$B$8:$B$42,SMALL(IF("Documento no web"='03.Muestra'!$D$8:$D$42,ROW('03.Muestra'!$B$8:$B$42)-MIN(ROW('03.Muestra'!$D$8:$D$42))+1,""),ROW()-816)),"")</f>
        <v/>
      </c>
      <c r="B824" s="114" t="str" cm="1">
        <f t="array" ref="B824">IFERROR(INDEX('03.Muestra'!$C$8:$C$42,SMALL(IF("Documento no web"='03.Muestra'!$D$8:$D$42,ROW('03.Muestra'!$C$8:$C$42)-MIN(ROW('03.Muestra'!$D$8:$D$42))+1,""),ROW()-816)),"")</f>
        <v/>
      </c>
      <c r="C824" s="114" t="str" cm="1">
        <f t="array" ref="C824">IFERROR(INDEX('03.Muestra'!$F$8:$F$42,SMALL(IF("Documento no web"='03.Muestra'!$D$8:$D$42,ROW('03.Muestra'!$F$8:$F$42)-MIN(ROW('03.Muestra'!$D$8:$D$42))+1,""),ROW()-816)),"")</f>
        <v/>
      </c>
      <c r="D824" s="130" t="str">
        <f t="shared" si="43"/>
        <v/>
      </c>
      <c r="E824" s="107" t="str">
        <f t="shared" si="42"/>
        <v/>
      </c>
      <c r="F824" s="19"/>
      <c r="G824" s="19"/>
      <c r="H824" s="19"/>
      <c r="I824" s="19"/>
      <c r="J824" s="19"/>
      <c r="K824" s="233"/>
      <c r="L824" s="19"/>
      <c r="M824" s="19"/>
      <c r="N824" s="19"/>
      <c r="O824" s="19"/>
      <c r="P824" s="19"/>
      <c r="Q824" s="19"/>
      <c r="R824" s="19"/>
      <c r="S824" s="19"/>
      <c r="T824" s="19"/>
      <c r="U824" s="19"/>
      <c r="V824" s="19"/>
      <c r="W824" s="19"/>
      <c r="X824" s="19"/>
      <c r="Y824" s="19"/>
    </row>
    <row r="825" spans="1:25" ht="13.5" customHeight="1">
      <c r="A825" s="219" t="str" cm="1">
        <f t="array" ref="A825">IFERROR(INDEX('03.Muestra'!$B$8:$B$42,SMALL(IF("Documento no web"='03.Muestra'!$D$8:$D$42,ROW('03.Muestra'!$B$8:$B$42)-MIN(ROW('03.Muestra'!$D$8:$D$42))+1,""),ROW()-816)),"")</f>
        <v/>
      </c>
      <c r="B825" s="114" t="str" cm="1">
        <f t="array" ref="B825">IFERROR(INDEX('03.Muestra'!$C$8:$C$42,SMALL(IF("Documento no web"='03.Muestra'!$D$8:$D$42,ROW('03.Muestra'!$C$8:$C$42)-MIN(ROW('03.Muestra'!$D$8:$D$42))+1,""),ROW()-816)),"")</f>
        <v/>
      </c>
      <c r="C825" s="114" t="str" cm="1">
        <f t="array" ref="C825">IFERROR(INDEX('03.Muestra'!$F$8:$F$42,SMALL(IF("Documento no web"='03.Muestra'!$D$8:$D$42,ROW('03.Muestra'!$F$8:$F$42)-MIN(ROW('03.Muestra'!$D$8:$D$42))+1,""),ROW()-816)),"")</f>
        <v/>
      </c>
      <c r="D825" s="130" t="str">
        <f t="shared" si="43"/>
        <v/>
      </c>
      <c r="E825" s="107" t="str">
        <f t="shared" si="42"/>
        <v/>
      </c>
      <c r="F825" s="19"/>
      <c r="G825" s="19"/>
      <c r="H825" s="19"/>
      <c r="I825" s="19"/>
      <c r="J825" s="19"/>
      <c r="K825" s="233"/>
      <c r="L825" s="19"/>
      <c r="M825" s="19"/>
      <c r="N825" s="19"/>
      <c r="O825" s="19"/>
      <c r="P825" s="19"/>
      <c r="Q825" s="19"/>
      <c r="R825" s="19"/>
      <c r="S825" s="19"/>
      <c r="T825" s="19"/>
      <c r="U825" s="19"/>
      <c r="V825" s="19"/>
      <c r="W825" s="19"/>
      <c r="X825" s="19"/>
      <c r="Y825" s="19"/>
    </row>
    <row r="826" spans="1:25" ht="13.5" customHeight="1">
      <c r="A826" s="219" t="str" cm="1">
        <f t="array" ref="A826">IFERROR(INDEX('03.Muestra'!$B$8:$B$42,SMALL(IF("Documento no web"='03.Muestra'!$D$8:$D$42,ROW('03.Muestra'!$B$8:$B$42)-MIN(ROW('03.Muestra'!$D$8:$D$42))+1,""),ROW()-816)),"")</f>
        <v/>
      </c>
      <c r="B826" s="114" t="str" cm="1">
        <f t="array" ref="B826">IFERROR(INDEX('03.Muestra'!$C$8:$C$42,SMALL(IF("Documento no web"='03.Muestra'!$D$8:$D$42,ROW('03.Muestra'!$C$8:$C$42)-MIN(ROW('03.Muestra'!$D$8:$D$42))+1,""),ROW()-816)),"")</f>
        <v/>
      </c>
      <c r="C826" s="114" t="str" cm="1">
        <f t="array" ref="C826">IFERROR(INDEX('03.Muestra'!$F$8:$F$42,SMALL(IF("Documento no web"='03.Muestra'!$D$8:$D$42,ROW('03.Muestra'!$F$8:$F$42)-MIN(ROW('03.Muestra'!$D$8:$D$42))+1,""),ROW()-816)),"")</f>
        <v/>
      </c>
      <c r="D826" s="130" t="str">
        <f t="shared" si="43"/>
        <v/>
      </c>
      <c r="E826" s="107" t="str">
        <f t="shared" si="42"/>
        <v/>
      </c>
      <c r="F826" s="19"/>
      <c r="G826" s="19"/>
      <c r="H826" s="19"/>
      <c r="I826" s="19"/>
      <c r="J826" s="19"/>
      <c r="K826" s="233"/>
      <c r="L826" s="19"/>
      <c r="M826" s="19"/>
      <c r="N826" s="19"/>
      <c r="O826" s="19"/>
      <c r="P826" s="19"/>
      <c r="Q826" s="19"/>
      <c r="R826" s="19"/>
      <c r="S826" s="19"/>
      <c r="T826" s="19"/>
      <c r="U826" s="19"/>
      <c r="V826" s="19"/>
      <c r="W826" s="19"/>
      <c r="X826" s="19"/>
      <c r="Y826" s="19"/>
    </row>
    <row r="827" spans="1:25" ht="13.5" customHeight="1">
      <c r="A827" s="219" t="str" cm="1">
        <f t="array" ref="A827">IFERROR(INDEX('03.Muestra'!$B$8:$B$42,SMALL(IF("Documento no web"='03.Muestra'!$D$8:$D$42,ROW('03.Muestra'!$B$8:$B$42)-MIN(ROW('03.Muestra'!$D$8:$D$42))+1,""),ROW()-816)),"")</f>
        <v/>
      </c>
      <c r="B827" s="114" t="str" cm="1">
        <f t="array" ref="B827">IFERROR(INDEX('03.Muestra'!$C$8:$C$42,SMALL(IF("Documento no web"='03.Muestra'!$D$8:$D$42,ROW('03.Muestra'!$C$8:$C$42)-MIN(ROW('03.Muestra'!$D$8:$D$42))+1,""),ROW()-816)),"")</f>
        <v/>
      </c>
      <c r="C827" s="114" t="str" cm="1">
        <f t="array" ref="C827">IFERROR(INDEX('03.Muestra'!$F$8:$F$42,SMALL(IF("Documento no web"='03.Muestra'!$D$8:$D$42,ROW('03.Muestra'!$F$8:$F$42)-MIN(ROW('03.Muestra'!$D$8:$D$42))+1,""),ROW()-816)),"")</f>
        <v/>
      </c>
      <c r="D827" s="130" t="str">
        <f t="shared" si="43"/>
        <v/>
      </c>
      <c r="E827" s="107" t="str">
        <f t="shared" si="42"/>
        <v/>
      </c>
      <c r="F827" s="19"/>
      <c r="G827" s="19"/>
      <c r="H827" s="19"/>
      <c r="I827" s="19"/>
      <c r="J827" s="19"/>
      <c r="K827" s="233"/>
      <c r="L827" s="19"/>
      <c r="M827" s="19"/>
      <c r="N827" s="19"/>
      <c r="O827" s="19"/>
      <c r="P827" s="19"/>
      <c r="Q827" s="19"/>
      <c r="R827" s="19"/>
      <c r="S827" s="19"/>
      <c r="T827" s="19"/>
      <c r="U827" s="19"/>
      <c r="V827" s="19"/>
      <c r="W827" s="19"/>
      <c r="X827" s="19"/>
      <c r="Y827" s="19"/>
    </row>
    <row r="828" spans="1:25" ht="13.5" customHeight="1">
      <c r="A828" s="219" t="str" cm="1">
        <f t="array" ref="A828">IFERROR(INDEX('03.Muestra'!$B$8:$B$42,SMALL(IF("Documento no web"='03.Muestra'!$D$8:$D$42,ROW('03.Muestra'!$B$8:$B$42)-MIN(ROW('03.Muestra'!$D$8:$D$42))+1,""),ROW()-816)),"")</f>
        <v/>
      </c>
      <c r="B828" s="114" t="str" cm="1">
        <f t="array" ref="B828">IFERROR(INDEX('03.Muestra'!$C$8:$C$42,SMALL(IF("Documento no web"='03.Muestra'!$D$8:$D$42,ROW('03.Muestra'!$C$8:$C$42)-MIN(ROW('03.Muestra'!$D$8:$D$42))+1,""),ROW()-816)),"")</f>
        <v/>
      </c>
      <c r="C828" s="114" t="str" cm="1">
        <f t="array" ref="C828">IFERROR(INDEX('03.Muestra'!$F$8:$F$42,SMALL(IF("Documento no web"='03.Muestra'!$D$8:$D$42,ROW('03.Muestra'!$F$8:$F$42)-MIN(ROW('03.Muestra'!$D$8:$D$42))+1,""),ROW()-816)),"")</f>
        <v/>
      </c>
      <c r="D828" s="130" t="str">
        <f t="shared" si="43"/>
        <v/>
      </c>
      <c r="E828" s="107" t="str">
        <f t="shared" si="42"/>
        <v/>
      </c>
      <c r="F828" s="19"/>
      <c r="G828" s="19"/>
      <c r="H828" s="19"/>
      <c r="I828" s="19"/>
      <c r="J828" s="19"/>
      <c r="K828" s="233"/>
      <c r="L828" s="19"/>
      <c r="M828" s="19"/>
      <c r="N828" s="19"/>
      <c r="O828" s="19"/>
      <c r="P828" s="19"/>
      <c r="Q828" s="19"/>
      <c r="R828" s="19"/>
      <c r="S828" s="19"/>
      <c r="T828" s="19"/>
      <c r="U828" s="19"/>
      <c r="V828" s="19"/>
      <c r="W828" s="19"/>
      <c r="X828" s="19"/>
      <c r="Y828" s="19"/>
    </row>
    <row r="829" spans="1:25" ht="13.5" customHeight="1">
      <c r="A829" s="219" t="str" cm="1">
        <f t="array" ref="A829">IFERROR(INDEX('03.Muestra'!$B$8:$B$42,SMALL(IF("Documento no web"='03.Muestra'!$D$8:$D$42,ROW('03.Muestra'!$B$8:$B$42)-MIN(ROW('03.Muestra'!$D$8:$D$42))+1,""),ROW()-816)),"")</f>
        <v/>
      </c>
      <c r="B829" s="114" t="str" cm="1">
        <f t="array" ref="B829">IFERROR(INDEX('03.Muestra'!$C$8:$C$42,SMALL(IF("Documento no web"='03.Muestra'!$D$8:$D$42,ROW('03.Muestra'!$C$8:$C$42)-MIN(ROW('03.Muestra'!$D$8:$D$42))+1,""),ROW()-816)),"")</f>
        <v/>
      </c>
      <c r="C829" s="114" t="str" cm="1">
        <f t="array" ref="C829">IFERROR(INDEX('03.Muestra'!$F$8:$F$42,SMALL(IF("Documento no web"='03.Muestra'!$D$8:$D$42,ROW('03.Muestra'!$F$8:$F$42)-MIN(ROW('03.Muestra'!$D$8:$D$42))+1,""),ROW()-816)),"")</f>
        <v/>
      </c>
      <c r="D829" s="130" t="str">
        <f t="shared" si="43"/>
        <v/>
      </c>
      <c r="E829" s="107" t="str">
        <f t="shared" si="42"/>
        <v/>
      </c>
      <c r="F829" s="19"/>
      <c r="G829" s="19"/>
      <c r="H829" s="19"/>
      <c r="I829" s="19"/>
      <c r="J829" s="19"/>
      <c r="K829" s="233"/>
      <c r="L829" s="19"/>
      <c r="M829" s="19"/>
      <c r="N829" s="19"/>
      <c r="O829" s="19"/>
      <c r="P829" s="19"/>
      <c r="Q829" s="19"/>
      <c r="R829" s="19"/>
      <c r="S829" s="19"/>
      <c r="T829" s="19"/>
      <c r="U829" s="19"/>
      <c r="V829" s="19"/>
      <c r="W829" s="19"/>
      <c r="X829" s="19"/>
      <c r="Y829" s="19"/>
    </row>
    <row r="830" spans="1:25" ht="13.5" customHeight="1">
      <c r="A830" s="219" t="str" cm="1">
        <f t="array" ref="A830">IFERROR(INDEX('03.Muestra'!$B$8:$B$42,SMALL(IF("Documento no web"='03.Muestra'!$D$8:$D$42,ROW('03.Muestra'!$B$8:$B$42)-MIN(ROW('03.Muestra'!$D$8:$D$42))+1,""),ROW()-816)),"")</f>
        <v/>
      </c>
      <c r="B830" s="114" t="str" cm="1">
        <f t="array" ref="B830">IFERROR(INDEX('03.Muestra'!$C$8:$C$42,SMALL(IF("Documento no web"='03.Muestra'!$D$8:$D$42,ROW('03.Muestra'!$C$8:$C$42)-MIN(ROW('03.Muestra'!$D$8:$D$42))+1,""),ROW()-816)),"")</f>
        <v/>
      </c>
      <c r="C830" s="114" t="str" cm="1">
        <f t="array" ref="C830">IFERROR(INDEX('03.Muestra'!$F$8:$F$42,SMALL(IF("Documento no web"='03.Muestra'!$D$8:$D$42,ROW('03.Muestra'!$F$8:$F$42)-MIN(ROW('03.Muestra'!$D$8:$D$42))+1,""),ROW()-816)),"")</f>
        <v/>
      </c>
      <c r="D830" s="130" t="str">
        <f t="shared" si="43"/>
        <v/>
      </c>
      <c r="E830" s="107" t="str">
        <f t="shared" si="42"/>
        <v/>
      </c>
      <c r="F830" s="19"/>
      <c r="G830" s="19"/>
      <c r="H830" s="19"/>
      <c r="I830" s="19"/>
      <c r="J830" s="19"/>
      <c r="K830" s="233"/>
      <c r="L830" s="19"/>
      <c r="M830" s="19"/>
      <c r="N830" s="19"/>
      <c r="O830" s="19"/>
      <c r="P830" s="19"/>
      <c r="Q830" s="19"/>
      <c r="R830" s="19"/>
      <c r="S830" s="19"/>
      <c r="T830" s="19"/>
      <c r="U830" s="19"/>
      <c r="V830" s="19"/>
      <c r="W830" s="19"/>
      <c r="X830" s="19"/>
      <c r="Y830" s="19"/>
    </row>
    <row r="831" spans="1:25" ht="13.5" customHeight="1">
      <c r="A831" s="219" t="str" cm="1">
        <f t="array" ref="A831">IFERROR(INDEX('03.Muestra'!$B$8:$B$42,SMALL(IF("Documento no web"='03.Muestra'!$D$8:$D$42,ROW('03.Muestra'!$B$8:$B$42)-MIN(ROW('03.Muestra'!$D$8:$D$42))+1,""),ROW()-816)),"")</f>
        <v/>
      </c>
      <c r="B831" s="114" t="str" cm="1">
        <f t="array" ref="B831">IFERROR(INDEX('03.Muestra'!$C$8:$C$42,SMALL(IF("Documento no web"='03.Muestra'!$D$8:$D$42,ROW('03.Muestra'!$C$8:$C$42)-MIN(ROW('03.Muestra'!$D$8:$D$42))+1,""),ROW()-816)),"")</f>
        <v/>
      </c>
      <c r="C831" s="114" t="str" cm="1">
        <f t="array" ref="C831">IFERROR(INDEX('03.Muestra'!$F$8:$F$42,SMALL(IF("Documento no web"='03.Muestra'!$D$8:$D$42,ROW('03.Muestra'!$F$8:$F$42)-MIN(ROW('03.Muestra'!$D$8:$D$42))+1,""),ROW()-816)),"")</f>
        <v/>
      </c>
      <c r="D831" s="130" t="str">
        <f t="shared" si="43"/>
        <v/>
      </c>
      <c r="E831" s="107" t="str">
        <f t="shared" si="42"/>
        <v/>
      </c>
      <c r="F831" s="19"/>
      <c r="G831" s="19"/>
      <c r="H831" s="19"/>
      <c r="I831" s="19"/>
      <c r="J831" s="19"/>
      <c r="K831" s="233"/>
      <c r="L831" s="19"/>
      <c r="M831" s="19"/>
      <c r="N831" s="19"/>
      <c r="O831" s="19"/>
      <c r="P831" s="19"/>
      <c r="Q831" s="19"/>
      <c r="R831" s="19"/>
      <c r="S831" s="19"/>
      <c r="T831" s="19"/>
      <c r="U831" s="19"/>
      <c r="V831" s="19"/>
      <c r="W831" s="19"/>
      <c r="X831" s="19"/>
      <c r="Y831" s="19"/>
    </row>
    <row r="832" spans="1:25" ht="13.5" customHeight="1">
      <c r="A832" s="219" t="str" cm="1">
        <f t="array" ref="A832">IFERROR(INDEX('03.Muestra'!$B$8:$B$42,SMALL(IF("Documento no web"='03.Muestra'!$D$8:$D$42,ROW('03.Muestra'!$B$8:$B$42)-MIN(ROW('03.Muestra'!$D$8:$D$42))+1,""),ROW()-816)),"")</f>
        <v/>
      </c>
      <c r="B832" s="114" t="str" cm="1">
        <f t="array" ref="B832">IFERROR(INDEX('03.Muestra'!$C$8:$C$42,SMALL(IF("Documento no web"='03.Muestra'!$D$8:$D$42,ROW('03.Muestra'!$C$8:$C$42)-MIN(ROW('03.Muestra'!$D$8:$D$42))+1,""),ROW()-816)),"")</f>
        <v/>
      </c>
      <c r="C832" s="114" t="str" cm="1">
        <f t="array" ref="C832">IFERROR(INDEX('03.Muestra'!$F$8:$F$42,SMALL(IF("Documento no web"='03.Muestra'!$D$8:$D$42,ROW('03.Muestra'!$F$8:$F$42)-MIN(ROW('03.Muestra'!$D$8:$D$42))+1,""),ROW()-816)),"")</f>
        <v/>
      </c>
      <c r="D832" s="130" t="str">
        <f t="shared" si="43"/>
        <v/>
      </c>
      <c r="E832" s="107" t="str">
        <f t="shared" si="42"/>
        <v/>
      </c>
      <c r="F832" s="19"/>
      <c r="G832" s="19"/>
      <c r="H832" s="19"/>
      <c r="I832" s="19"/>
      <c r="J832" s="19"/>
      <c r="K832" s="233"/>
      <c r="L832" s="19"/>
      <c r="M832" s="19"/>
      <c r="N832" s="19"/>
      <c r="O832" s="19"/>
      <c r="P832" s="19"/>
      <c r="Q832" s="19"/>
      <c r="R832" s="19"/>
      <c r="S832" s="19"/>
      <c r="T832" s="19"/>
      <c r="U832" s="19"/>
      <c r="V832" s="19"/>
      <c r="W832" s="19"/>
      <c r="X832" s="19"/>
      <c r="Y832" s="19"/>
    </row>
    <row r="833" spans="1:25" ht="13.5" customHeight="1">
      <c r="A833" s="219" t="str" cm="1">
        <f t="array" ref="A833">IFERROR(INDEX('03.Muestra'!$B$8:$B$42,SMALL(IF("Documento no web"='03.Muestra'!$D$8:$D$42,ROW('03.Muestra'!$B$8:$B$42)-MIN(ROW('03.Muestra'!$D$8:$D$42))+1,""),ROW()-816)),"")</f>
        <v/>
      </c>
      <c r="B833" s="114" t="str" cm="1">
        <f t="array" ref="B833">IFERROR(INDEX('03.Muestra'!$C$8:$C$42,SMALL(IF("Documento no web"='03.Muestra'!$D$8:$D$42,ROW('03.Muestra'!$C$8:$C$42)-MIN(ROW('03.Muestra'!$D$8:$D$42))+1,""),ROW()-816)),"")</f>
        <v/>
      </c>
      <c r="C833" s="114" t="str" cm="1">
        <f t="array" ref="C833">IFERROR(INDEX('03.Muestra'!$F$8:$F$42,SMALL(IF("Documento no web"='03.Muestra'!$D$8:$D$42,ROW('03.Muestra'!$F$8:$F$42)-MIN(ROW('03.Muestra'!$D$8:$D$42))+1,""),ROW()-816)),"")</f>
        <v/>
      </c>
      <c r="D833" s="130" t="str">
        <f t="shared" si="43"/>
        <v/>
      </c>
      <c r="E833" s="107" t="str">
        <f t="shared" si="42"/>
        <v/>
      </c>
      <c r="F833" s="19"/>
      <c r="G833" s="19"/>
      <c r="H833" s="19"/>
      <c r="I833" s="19"/>
      <c r="J833" s="19"/>
      <c r="K833" s="233"/>
      <c r="L833" s="19"/>
      <c r="M833" s="19"/>
      <c r="N833" s="19"/>
      <c r="O833" s="19"/>
      <c r="P833" s="19"/>
      <c r="Q833" s="19"/>
      <c r="R833" s="19"/>
      <c r="S833" s="19"/>
      <c r="T833" s="19"/>
      <c r="U833" s="19"/>
      <c r="V833" s="19"/>
      <c r="W833" s="19"/>
      <c r="X833" s="19"/>
      <c r="Y833" s="19"/>
    </row>
    <row r="834" spans="1:25" ht="13.5" customHeight="1">
      <c r="A834" s="219" t="str" cm="1">
        <f t="array" ref="A834">IFERROR(INDEX('03.Muestra'!$B$8:$B$42,SMALL(IF("Documento no web"='03.Muestra'!$D$8:$D$42,ROW('03.Muestra'!$B$8:$B$42)-MIN(ROW('03.Muestra'!$D$8:$D$42))+1,""),ROW()-816)),"")</f>
        <v/>
      </c>
      <c r="B834" s="114" t="str" cm="1">
        <f t="array" ref="B834">IFERROR(INDEX('03.Muestra'!$C$8:$C$42,SMALL(IF("Documento no web"='03.Muestra'!$D$8:$D$42,ROW('03.Muestra'!$C$8:$C$42)-MIN(ROW('03.Muestra'!$D$8:$D$42))+1,""),ROW()-816)),"")</f>
        <v/>
      </c>
      <c r="C834" s="114" t="str" cm="1">
        <f t="array" ref="C834">IFERROR(INDEX('03.Muestra'!$F$8:$F$42,SMALL(IF("Documento no web"='03.Muestra'!$D$8:$D$42,ROW('03.Muestra'!$F$8:$F$42)-MIN(ROW('03.Muestra'!$D$8:$D$42))+1,""),ROW()-816)),"")</f>
        <v/>
      </c>
      <c r="D834" s="130" t="str">
        <f t="shared" si="43"/>
        <v/>
      </c>
      <c r="E834" s="107" t="str">
        <f t="shared" si="42"/>
        <v/>
      </c>
      <c r="F834" s="19"/>
      <c r="G834" s="19"/>
      <c r="H834" s="19"/>
      <c r="I834" s="19"/>
      <c r="J834" s="19"/>
      <c r="K834" s="233"/>
      <c r="L834" s="19"/>
      <c r="M834" s="19"/>
      <c r="N834" s="19"/>
      <c r="O834" s="19"/>
      <c r="P834" s="19"/>
      <c r="Q834" s="19"/>
      <c r="R834" s="19"/>
      <c r="S834" s="19"/>
      <c r="T834" s="19"/>
      <c r="U834" s="19"/>
      <c r="V834" s="19"/>
      <c r="W834" s="19"/>
      <c r="X834" s="19"/>
      <c r="Y834" s="19"/>
    </row>
    <row r="835" spans="1:25" ht="13.5" customHeight="1">
      <c r="A835" s="219" t="str" cm="1">
        <f t="array" ref="A835">IFERROR(INDEX('03.Muestra'!$B$8:$B$42,SMALL(IF("Documento no web"='03.Muestra'!$D$8:$D$42,ROW('03.Muestra'!$B$8:$B$42)-MIN(ROW('03.Muestra'!$D$8:$D$42))+1,""),ROW()-816)),"")</f>
        <v/>
      </c>
      <c r="B835" s="114" t="str" cm="1">
        <f t="array" ref="B835">IFERROR(INDEX('03.Muestra'!$C$8:$C$42,SMALL(IF("Documento no web"='03.Muestra'!$D$8:$D$42,ROW('03.Muestra'!$C$8:$C$42)-MIN(ROW('03.Muestra'!$D$8:$D$42))+1,""),ROW()-816)),"")</f>
        <v/>
      </c>
      <c r="C835" s="114" t="str" cm="1">
        <f t="array" ref="C835">IFERROR(INDEX('03.Muestra'!$F$8:$F$42,SMALL(IF("Documento no web"='03.Muestra'!$D$8:$D$42,ROW('03.Muestra'!$F$8:$F$42)-MIN(ROW('03.Muestra'!$D$8:$D$42))+1,""),ROW()-816)),"")</f>
        <v/>
      </c>
      <c r="D835" s="130" t="str">
        <f t="shared" si="43"/>
        <v/>
      </c>
      <c r="E835" s="107" t="str">
        <f t="shared" si="42"/>
        <v/>
      </c>
      <c r="F835" s="19"/>
      <c r="G835" s="19"/>
      <c r="H835" s="19"/>
      <c r="I835" s="19"/>
      <c r="J835" s="19"/>
      <c r="K835" s="233"/>
      <c r="L835" s="19"/>
      <c r="M835" s="19"/>
      <c r="N835" s="19"/>
      <c r="O835" s="19"/>
      <c r="P835" s="19"/>
      <c r="Q835" s="19"/>
      <c r="R835" s="19"/>
      <c r="S835" s="19"/>
      <c r="T835" s="19"/>
      <c r="U835" s="19"/>
      <c r="V835" s="19"/>
      <c r="W835" s="19"/>
      <c r="X835" s="19"/>
      <c r="Y835" s="19"/>
    </row>
    <row r="836" spans="1:25" ht="13.5" customHeight="1">
      <c r="A836" s="219" t="str" cm="1">
        <f t="array" ref="A836">IFERROR(INDEX('03.Muestra'!$B$8:$B$42,SMALL(IF("Documento no web"='03.Muestra'!$D$8:$D$42,ROW('03.Muestra'!$B$8:$B$42)-MIN(ROW('03.Muestra'!$D$8:$D$42))+1,""),ROW()-816)),"")</f>
        <v/>
      </c>
      <c r="B836" s="114" t="str" cm="1">
        <f t="array" ref="B836">IFERROR(INDEX('03.Muestra'!$C$8:$C$42,SMALL(IF("Documento no web"='03.Muestra'!$D$8:$D$42,ROW('03.Muestra'!$C$8:$C$42)-MIN(ROW('03.Muestra'!$D$8:$D$42))+1,""),ROW()-816)),"")</f>
        <v/>
      </c>
      <c r="C836" s="114" t="str" cm="1">
        <f t="array" ref="C836">IFERROR(INDEX('03.Muestra'!$F$8:$F$42,SMALL(IF("Documento no web"='03.Muestra'!$D$8:$D$42,ROW('03.Muestra'!$F$8:$F$42)-MIN(ROW('03.Muestra'!$D$8:$D$42))+1,""),ROW()-816)),"")</f>
        <v/>
      </c>
      <c r="D836" s="130" t="str">
        <f t="shared" si="43"/>
        <v/>
      </c>
      <c r="E836" s="107" t="str">
        <f t="shared" si="42"/>
        <v/>
      </c>
      <c r="F836" s="19"/>
      <c r="G836" s="19"/>
      <c r="H836" s="19"/>
      <c r="I836" s="19"/>
      <c r="J836" s="19"/>
      <c r="K836" s="233"/>
      <c r="L836" s="19"/>
      <c r="M836" s="19"/>
      <c r="N836" s="19"/>
      <c r="O836" s="19"/>
      <c r="P836" s="19"/>
      <c r="Q836" s="19"/>
      <c r="R836" s="19"/>
      <c r="S836" s="19"/>
      <c r="T836" s="19"/>
      <c r="U836" s="19"/>
      <c r="V836" s="19"/>
      <c r="W836" s="19"/>
      <c r="X836" s="19"/>
      <c r="Y836" s="19"/>
    </row>
    <row r="837" spans="1:25" ht="13.5" customHeight="1">
      <c r="A837" s="219" t="str" cm="1">
        <f t="array" ref="A837">IFERROR(INDEX('03.Muestra'!$B$8:$B$42,SMALL(IF("Documento no web"='03.Muestra'!$D$8:$D$42,ROW('03.Muestra'!$B$8:$B$42)-MIN(ROW('03.Muestra'!$D$8:$D$42))+1,""),ROW()-816)),"")</f>
        <v/>
      </c>
      <c r="B837" s="114" t="str" cm="1">
        <f t="array" ref="B837">IFERROR(INDEX('03.Muestra'!$C$8:$C$42,SMALL(IF("Documento no web"='03.Muestra'!$D$8:$D$42,ROW('03.Muestra'!$C$8:$C$42)-MIN(ROW('03.Muestra'!$D$8:$D$42))+1,""),ROW()-816)),"")</f>
        <v/>
      </c>
      <c r="C837" s="114" t="str" cm="1">
        <f t="array" ref="C837">IFERROR(INDEX('03.Muestra'!$F$8:$F$42,SMALL(IF("Documento no web"='03.Muestra'!$D$8:$D$42,ROW('03.Muestra'!$F$8:$F$42)-MIN(ROW('03.Muestra'!$D$8:$D$42))+1,""),ROW()-816)),"")</f>
        <v/>
      </c>
      <c r="D837" s="130" t="str">
        <f t="shared" si="43"/>
        <v/>
      </c>
      <c r="E837" s="107" t="str">
        <f t="shared" si="42"/>
        <v/>
      </c>
      <c r="F837" s="19"/>
      <c r="G837" s="19"/>
      <c r="H837" s="19"/>
      <c r="I837" s="19"/>
      <c r="J837" s="19"/>
      <c r="K837" s="233"/>
      <c r="L837" s="19"/>
      <c r="M837" s="19"/>
      <c r="N837" s="19"/>
      <c r="O837" s="19"/>
      <c r="P837" s="19"/>
      <c r="Q837" s="19"/>
      <c r="R837" s="19"/>
      <c r="S837" s="19"/>
      <c r="T837" s="19"/>
      <c r="U837" s="19"/>
      <c r="V837" s="19"/>
      <c r="W837" s="19"/>
      <c r="X837" s="19"/>
      <c r="Y837" s="19"/>
    </row>
    <row r="838" spans="1:25" ht="13.5" customHeight="1">
      <c r="A838" s="219" t="str" cm="1">
        <f t="array" ref="A838">IFERROR(INDEX('03.Muestra'!$B$8:$B$42,SMALL(IF("Documento no web"='03.Muestra'!$D$8:$D$42,ROW('03.Muestra'!$B$8:$B$42)-MIN(ROW('03.Muestra'!$D$8:$D$42))+1,""),ROW()-816)),"")</f>
        <v/>
      </c>
      <c r="B838" s="114" t="str" cm="1">
        <f t="array" ref="B838">IFERROR(INDEX('03.Muestra'!$C$8:$C$42,SMALL(IF("Documento no web"='03.Muestra'!$D$8:$D$42,ROW('03.Muestra'!$C$8:$C$42)-MIN(ROW('03.Muestra'!$D$8:$D$42))+1,""),ROW()-816)),"")</f>
        <v/>
      </c>
      <c r="C838" s="114" t="str" cm="1">
        <f t="array" ref="C838">IFERROR(INDEX('03.Muestra'!$F$8:$F$42,SMALL(IF("Documento no web"='03.Muestra'!$D$8:$D$42,ROW('03.Muestra'!$F$8:$F$42)-MIN(ROW('03.Muestra'!$D$8:$D$42))+1,""),ROW()-816)),"")</f>
        <v/>
      </c>
      <c r="D838" s="130" t="str">
        <f t="shared" si="43"/>
        <v/>
      </c>
      <c r="E838" s="107" t="str">
        <f t="shared" si="42"/>
        <v/>
      </c>
      <c r="F838" s="19"/>
      <c r="G838" s="19"/>
      <c r="H838" s="19"/>
      <c r="I838" s="19"/>
      <c r="J838" s="19"/>
      <c r="K838" s="233"/>
      <c r="L838" s="19"/>
      <c r="M838" s="19"/>
      <c r="N838" s="19"/>
      <c r="O838" s="19"/>
      <c r="P838" s="19"/>
      <c r="Q838" s="19"/>
      <c r="R838" s="19"/>
      <c r="S838" s="19"/>
      <c r="T838" s="19"/>
      <c r="U838" s="19"/>
      <c r="V838" s="19"/>
      <c r="W838" s="19"/>
      <c r="X838" s="19"/>
      <c r="Y838" s="19"/>
    </row>
    <row r="839" spans="1:25" ht="13.5" customHeight="1">
      <c r="A839" s="219" t="str" cm="1">
        <f t="array" ref="A839">IFERROR(INDEX('03.Muestra'!$B$8:$B$42,SMALL(IF("Documento no web"='03.Muestra'!$D$8:$D$42,ROW('03.Muestra'!$B$8:$B$42)-MIN(ROW('03.Muestra'!$D$8:$D$42))+1,""),ROW()-816)),"")</f>
        <v/>
      </c>
      <c r="B839" s="114" t="str" cm="1">
        <f t="array" ref="B839">IFERROR(INDEX('03.Muestra'!$C$8:$C$42,SMALL(IF("Documento no web"='03.Muestra'!$D$8:$D$42,ROW('03.Muestra'!$C$8:$C$42)-MIN(ROW('03.Muestra'!$D$8:$D$42))+1,""),ROW()-816)),"")</f>
        <v/>
      </c>
      <c r="C839" s="114" t="str" cm="1">
        <f t="array" ref="C839">IFERROR(INDEX('03.Muestra'!$F$8:$F$42,SMALL(IF("Documento no web"='03.Muestra'!$D$8:$D$42,ROW('03.Muestra'!$F$8:$F$42)-MIN(ROW('03.Muestra'!$D$8:$D$42))+1,""),ROW()-816)),"")</f>
        <v/>
      </c>
      <c r="D839" s="130" t="str">
        <f t="shared" si="43"/>
        <v/>
      </c>
      <c r="E839" s="107" t="str">
        <f t="shared" si="42"/>
        <v/>
      </c>
      <c r="F839" s="19"/>
      <c r="G839" s="19"/>
      <c r="H839" s="19"/>
      <c r="I839" s="19"/>
      <c r="J839" s="19"/>
      <c r="K839" s="233"/>
      <c r="L839" s="19"/>
      <c r="M839" s="19"/>
      <c r="N839" s="19"/>
      <c r="O839" s="19"/>
      <c r="P839" s="19"/>
      <c r="Q839" s="19"/>
      <c r="R839" s="19"/>
      <c r="S839" s="19"/>
      <c r="T839" s="19"/>
      <c r="U839" s="19"/>
      <c r="V839" s="19"/>
      <c r="W839" s="19"/>
      <c r="X839" s="19"/>
      <c r="Y839" s="19"/>
    </row>
    <row r="840" spans="1:25" ht="13.5" customHeight="1">
      <c r="A840" s="219" t="str" cm="1">
        <f t="array" ref="A840">IFERROR(INDEX('03.Muestra'!$B$8:$B$42,SMALL(IF("Documento no web"='03.Muestra'!$D$8:$D$42,ROW('03.Muestra'!$B$8:$B$42)-MIN(ROW('03.Muestra'!$D$8:$D$42))+1,""),ROW()-816)),"")</f>
        <v/>
      </c>
      <c r="B840" s="114" t="str" cm="1">
        <f t="array" ref="B840">IFERROR(INDEX('03.Muestra'!$C$8:$C$42,SMALL(IF("Documento no web"='03.Muestra'!$D$8:$D$42,ROW('03.Muestra'!$C$8:$C$42)-MIN(ROW('03.Muestra'!$D$8:$D$42))+1,""),ROW()-816)),"")</f>
        <v/>
      </c>
      <c r="C840" s="114" t="str" cm="1">
        <f t="array" ref="C840">IFERROR(INDEX('03.Muestra'!$F$8:$F$42,SMALL(IF("Documento no web"='03.Muestra'!$D$8:$D$42,ROW('03.Muestra'!$F$8:$F$42)-MIN(ROW('03.Muestra'!$D$8:$D$42))+1,""),ROW()-816)),"")</f>
        <v/>
      </c>
      <c r="D840" s="130" t="str">
        <f t="shared" si="43"/>
        <v/>
      </c>
      <c r="E840" s="107" t="str">
        <f t="shared" si="42"/>
        <v/>
      </c>
      <c r="F840" s="19"/>
      <c r="G840" s="19"/>
      <c r="H840" s="19"/>
      <c r="I840" s="19"/>
      <c r="J840" s="19"/>
      <c r="K840" s="233"/>
      <c r="L840" s="19"/>
      <c r="M840" s="19"/>
      <c r="N840" s="19"/>
      <c r="O840" s="19"/>
      <c r="P840" s="19"/>
      <c r="Q840" s="19"/>
      <c r="R840" s="19"/>
      <c r="S840" s="19"/>
      <c r="T840" s="19"/>
      <c r="U840" s="19"/>
      <c r="V840" s="19"/>
      <c r="W840" s="19"/>
      <c r="X840" s="19"/>
      <c r="Y840" s="19"/>
    </row>
    <row r="841" spans="1:25" ht="13.5" customHeight="1">
      <c r="A841" s="219" t="str" cm="1">
        <f t="array" ref="A841">IFERROR(INDEX('03.Muestra'!$B$8:$B$42,SMALL(IF("Documento no web"='03.Muestra'!$D$8:$D$42,ROW('03.Muestra'!$B$8:$B$42)-MIN(ROW('03.Muestra'!$D$8:$D$42))+1,""),ROW()-816)),"")</f>
        <v/>
      </c>
      <c r="B841" s="114" t="str" cm="1">
        <f t="array" ref="B841">IFERROR(INDEX('03.Muestra'!$C$8:$C$42,SMALL(IF("Documento no web"='03.Muestra'!$D$8:$D$42,ROW('03.Muestra'!$C$8:$C$42)-MIN(ROW('03.Muestra'!$D$8:$D$42))+1,""),ROW()-816)),"")</f>
        <v/>
      </c>
      <c r="C841" s="114" t="str" cm="1">
        <f t="array" ref="C841">IFERROR(INDEX('03.Muestra'!$F$8:$F$42,SMALL(IF("Documento no web"='03.Muestra'!$D$8:$D$42,ROW('03.Muestra'!$F$8:$F$42)-MIN(ROW('03.Muestra'!$D$8:$D$42))+1,""),ROW()-816)),"")</f>
        <v/>
      </c>
      <c r="D841" s="130" t="str">
        <f t="shared" si="43"/>
        <v/>
      </c>
      <c r="E841" s="107" t="str">
        <f t="shared" si="42"/>
        <v/>
      </c>
      <c r="F841" s="19"/>
      <c r="G841" s="19"/>
      <c r="H841" s="19"/>
      <c r="I841" s="19"/>
      <c r="J841" s="19"/>
      <c r="K841" s="233"/>
      <c r="L841" s="19"/>
      <c r="M841" s="19"/>
      <c r="N841" s="19"/>
      <c r="O841" s="19"/>
      <c r="P841" s="19"/>
      <c r="Q841" s="19"/>
      <c r="R841" s="19"/>
      <c r="S841" s="19"/>
      <c r="T841" s="19"/>
      <c r="U841" s="19"/>
      <c r="V841" s="19"/>
      <c r="W841" s="19"/>
      <c r="X841" s="19"/>
      <c r="Y841" s="19"/>
    </row>
    <row r="842" spans="1:25" ht="13.5" customHeight="1">
      <c r="A842" s="219" t="str" cm="1">
        <f t="array" ref="A842">IFERROR(INDEX('03.Muestra'!$B$8:$B$42,SMALL(IF("Documento no web"='03.Muestra'!$D$8:$D$42,ROW('03.Muestra'!$B$8:$B$42)-MIN(ROW('03.Muestra'!$D$8:$D$42))+1,""),ROW()-816)),"")</f>
        <v/>
      </c>
      <c r="B842" s="114" t="str" cm="1">
        <f t="array" ref="B842">IFERROR(INDEX('03.Muestra'!$C$8:$C$42,SMALL(IF("Documento no web"='03.Muestra'!$D$8:$D$42,ROW('03.Muestra'!$C$8:$C$42)-MIN(ROW('03.Muestra'!$D$8:$D$42))+1,""),ROW()-816)),"")</f>
        <v/>
      </c>
      <c r="C842" s="114" t="str" cm="1">
        <f t="array" ref="C842">IFERROR(INDEX('03.Muestra'!$F$8:$F$42,SMALL(IF("Documento no web"='03.Muestra'!$D$8:$D$42,ROW('03.Muestra'!$F$8:$F$42)-MIN(ROW('03.Muestra'!$D$8:$D$42))+1,""),ROW()-816)),"")</f>
        <v/>
      </c>
      <c r="D842" s="130" t="str">
        <f t="shared" si="43"/>
        <v/>
      </c>
      <c r="E842" s="107" t="str">
        <f t="shared" si="42"/>
        <v/>
      </c>
      <c r="F842" s="19"/>
      <c r="G842" s="19"/>
      <c r="H842" s="19"/>
      <c r="I842" s="19"/>
      <c r="J842" s="19"/>
      <c r="K842" s="233"/>
      <c r="L842" s="19"/>
      <c r="M842" s="19"/>
      <c r="N842" s="19"/>
      <c r="O842" s="19"/>
      <c r="P842" s="19"/>
      <c r="Q842" s="19"/>
      <c r="R842" s="19"/>
      <c r="S842" s="19"/>
      <c r="T842" s="19"/>
      <c r="U842" s="19"/>
      <c r="V842" s="19"/>
      <c r="W842" s="19"/>
      <c r="X842" s="19"/>
      <c r="Y842" s="19"/>
    </row>
    <row r="843" spans="1:25" ht="13.5" customHeight="1">
      <c r="A843" s="219" t="str" cm="1">
        <f t="array" ref="A843">IFERROR(INDEX('03.Muestra'!$B$8:$B$42,SMALL(IF("Documento no web"='03.Muestra'!$D$8:$D$42,ROW('03.Muestra'!$B$8:$B$42)-MIN(ROW('03.Muestra'!$D$8:$D$42))+1,""),ROW()-816)),"")</f>
        <v/>
      </c>
      <c r="B843" s="114" t="str" cm="1">
        <f t="array" ref="B843">IFERROR(INDEX('03.Muestra'!$C$8:$C$42,SMALL(IF("Documento no web"='03.Muestra'!$D$8:$D$42,ROW('03.Muestra'!$C$8:$C$42)-MIN(ROW('03.Muestra'!$D$8:$D$42))+1,""),ROW()-816)),"")</f>
        <v/>
      </c>
      <c r="C843" s="114" t="str" cm="1">
        <f t="array" ref="C843">IFERROR(INDEX('03.Muestra'!$F$8:$F$42,SMALL(IF("Documento no web"='03.Muestra'!$D$8:$D$42,ROW('03.Muestra'!$F$8:$F$42)-MIN(ROW('03.Muestra'!$D$8:$D$42))+1,""),ROW()-816)),"")</f>
        <v/>
      </c>
      <c r="D843" s="130" t="str">
        <f t="shared" si="43"/>
        <v/>
      </c>
      <c r="E843" s="107" t="str">
        <f t="shared" si="42"/>
        <v/>
      </c>
      <c r="F843" s="19"/>
      <c r="G843" s="19"/>
      <c r="H843" s="19"/>
      <c r="I843" s="19"/>
      <c r="J843" s="19"/>
      <c r="K843" s="233"/>
      <c r="L843" s="19"/>
      <c r="M843" s="19"/>
      <c r="N843" s="19"/>
      <c r="O843" s="19"/>
      <c r="P843" s="19"/>
      <c r="Q843" s="19"/>
      <c r="R843" s="19"/>
      <c r="S843" s="19"/>
      <c r="T843" s="19"/>
      <c r="U843" s="19"/>
      <c r="V843" s="19"/>
      <c r="W843" s="19"/>
      <c r="X843" s="19"/>
      <c r="Y843" s="19"/>
    </row>
    <row r="844" spans="1:25" ht="13.5" customHeight="1">
      <c r="A844" s="219" t="str" cm="1">
        <f t="array" ref="A844">IFERROR(INDEX('03.Muestra'!$B$8:$B$42,SMALL(IF("Documento no web"='03.Muestra'!$D$8:$D$42,ROW('03.Muestra'!$B$8:$B$42)-MIN(ROW('03.Muestra'!$D$8:$D$42))+1,""),ROW()-816)),"")</f>
        <v/>
      </c>
      <c r="B844" s="114" t="str" cm="1">
        <f t="array" ref="B844">IFERROR(INDEX('03.Muestra'!$C$8:$C$42,SMALL(IF("Documento no web"='03.Muestra'!$D$8:$D$42,ROW('03.Muestra'!$C$8:$C$42)-MIN(ROW('03.Muestra'!$D$8:$D$42))+1,""),ROW()-816)),"")</f>
        <v/>
      </c>
      <c r="C844" s="114" t="str" cm="1">
        <f t="array" ref="C844">IFERROR(INDEX('03.Muestra'!$F$8:$F$42,SMALL(IF("Documento no web"='03.Muestra'!$D$8:$D$42,ROW('03.Muestra'!$F$8:$F$42)-MIN(ROW('03.Muestra'!$D$8:$D$42))+1,""),ROW()-816)),"")</f>
        <v/>
      </c>
      <c r="D844" s="130" t="str">
        <f t="shared" si="43"/>
        <v/>
      </c>
      <c r="E844" s="107" t="str">
        <f t="shared" si="42"/>
        <v/>
      </c>
      <c r="G844" s="19"/>
      <c r="H844" s="19"/>
      <c r="I844" s="19"/>
      <c r="J844" s="19"/>
      <c r="K844" s="233"/>
      <c r="L844" s="19"/>
      <c r="M844" s="19"/>
      <c r="N844" s="19"/>
      <c r="O844" s="19"/>
      <c r="P844" s="19"/>
      <c r="Q844" s="19"/>
      <c r="R844" s="19"/>
      <c r="S844" s="19"/>
      <c r="T844" s="19"/>
      <c r="U844" s="19"/>
      <c r="V844" s="19"/>
      <c r="W844" s="19"/>
      <c r="X844" s="19"/>
      <c r="Y844" s="19"/>
    </row>
    <row r="845" spans="1:25" ht="13.5" customHeight="1">
      <c r="A845" s="219" t="str" cm="1">
        <f t="array" ref="A845">IFERROR(INDEX('03.Muestra'!$B$8:$B$42,SMALL(IF("Documento no web"='03.Muestra'!$D$8:$D$42,ROW('03.Muestra'!$B$8:$B$42)-MIN(ROW('03.Muestra'!$D$8:$D$42))+1,""),ROW()-816)),"")</f>
        <v/>
      </c>
      <c r="B845" s="114" t="str" cm="1">
        <f t="array" ref="B845">IFERROR(INDEX('03.Muestra'!$C$8:$C$42,SMALL(IF("Documento no web"='03.Muestra'!$D$8:$D$42,ROW('03.Muestra'!$C$8:$C$42)-MIN(ROW('03.Muestra'!$D$8:$D$42))+1,""),ROW()-816)),"")</f>
        <v/>
      </c>
      <c r="C845" s="114" t="str" cm="1">
        <f t="array" ref="C845">IFERROR(INDEX('03.Muestra'!$F$8:$F$42,SMALL(IF("Documento no web"='03.Muestra'!$D$8:$D$42,ROW('03.Muestra'!$F$8:$F$42)-MIN(ROW('03.Muestra'!$D$8:$D$42))+1,""),ROW()-816)),"")</f>
        <v/>
      </c>
      <c r="D845" s="130" t="str">
        <f t="shared" si="43"/>
        <v/>
      </c>
      <c r="E845" s="107" t="str">
        <f t="shared" si="42"/>
        <v/>
      </c>
      <c r="F845" s="124"/>
      <c r="G845" s="19"/>
      <c r="H845" s="19"/>
      <c r="I845" s="19"/>
      <c r="J845" s="19"/>
      <c r="K845" s="233"/>
      <c r="L845" s="19"/>
      <c r="M845" s="19"/>
      <c r="N845" s="19"/>
      <c r="O845" s="19"/>
      <c r="P845" s="19"/>
      <c r="Q845" s="19"/>
      <c r="R845" s="19"/>
      <c r="S845" s="19"/>
      <c r="T845" s="19"/>
      <c r="U845" s="19"/>
      <c r="V845" s="19"/>
      <c r="W845" s="19"/>
      <c r="X845" s="19"/>
      <c r="Y845" s="19"/>
    </row>
    <row r="846" spans="1:25" ht="13.5" customHeight="1">
      <c r="A846" s="219" t="str" cm="1">
        <f t="array" ref="A846">IFERROR(INDEX('03.Muestra'!$B$8:$B$42,SMALL(IF("Documento no web"='03.Muestra'!$D$8:$D$42,ROW('03.Muestra'!$B$8:$B$42)-MIN(ROW('03.Muestra'!$D$8:$D$42))+1,""),ROW()-816)),"")</f>
        <v/>
      </c>
      <c r="B846" s="114" t="str" cm="1">
        <f t="array" ref="B846">IFERROR(INDEX('03.Muestra'!$C$8:$C$42,SMALL(IF("Documento no web"='03.Muestra'!$D$8:$D$42,ROW('03.Muestra'!$C$8:$C$42)-MIN(ROW('03.Muestra'!$D$8:$D$42))+1,""),ROW()-816)),"")</f>
        <v/>
      </c>
      <c r="C846" s="114" t="str" cm="1">
        <f t="array" ref="C846">IFERROR(INDEX('03.Muestra'!$F$8:$F$42,SMALL(IF("Documento no web"='03.Muestra'!$D$8:$D$42,ROW('03.Muestra'!$F$8:$F$42)-MIN(ROW('03.Muestra'!$D$8:$D$42))+1,""),ROW()-816)),"")</f>
        <v/>
      </c>
      <c r="D846" s="130" t="str">
        <f t="shared" si="43"/>
        <v/>
      </c>
      <c r="E846" s="107" t="str">
        <f t="shared" si="42"/>
        <v/>
      </c>
      <c r="F846" s="124"/>
      <c r="G846" s="19"/>
      <c r="H846" s="19"/>
      <c r="I846" s="19"/>
      <c r="J846" s="19"/>
      <c r="K846" s="233"/>
      <c r="L846" s="19"/>
      <c r="M846" s="19"/>
      <c r="N846" s="19"/>
      <c r="O846" s="19"/>
      <c r="P846" s="19"/>
      <c r="Q846" s="19"/>
      <c r="R846" s="19"/>
      <c r="S846" s="19"/>
      <c r="T846" s="19"/>
      <c r="U846" s="19"/>
      <c r="V846" s="19"/>
      <c r="W846" s="19"/>
      <c r="X846" s="19"/>
      <c r="Y846" s="19"/>
    </row>
    <row r="847" spans="1:25" ht="13.5" customHeight="1">
      <c r="A847" s="219" t="str" cm="1">
        <f t="array" ref="A847">IFERROR(INDEX('03.Muestra'!$B$8:$B$42,SMALL(IF("Documento no web"='03.Muestra'!$D$8:$D$42,ROW('03.Muestra'!$B$8:$B$42)-MIN(ROW('03.Muestra'!$D$8:$D$42))+1,""),ROW()-816)),"")</f>
        <v/>
      </c>
      <c r="B847" s="114" t="str" cm="1">
        <f t="array" ref="B847">IFERROR(INDEX('03.Muestra'!$C$8:$C$42,SMALL(IF("Documento no web"='03.Muestra'!$D$8:$D$42,ROW('03.Muestra'!$C$8:$C$42)-MIN(ROW('03.Muestra'!$D$8:$D$42))+1,""),ROW()-816)),"")</f>
        <v/>
      </c>
      <c r="C847" s="114" t="str" cm="1">
        <f t="array" ref="C847">IFERROR(INDEX('03.Muestra'!$F$8:$F$42,SMALL(IF("Documento no web"='03.Muestra'!$D$8:$D$42,ROW('03.Muestra'!$F$8:$F$42)-MIN(ROW('03.Muestra'!$D$8:$D$42))+1,""),ROW()-816)),"")</f>
        <v/>
      </c>
      <c r="D847" s="130" t="str">
        <f t="shared" si="43"/>
        <v/>
      </c>
      <c r="E847" s="107" t="str">
        <f t="shared" si="42"/>
        <v/>
      </c>
      <c r="F847" s="124"/>
      <c r="G847" s="19"/>
      <c r="H847" s="19"/>
      <c r="I847" s="19"/>
      <c r="J847" s="19"/>
      <c r="K847" s="233"/>
      <c r="L847" s="19"/>
      <c r="M847" s="19"/>
      <c r="N847" s="19"/>
      <c r="O847" s="19"/>
      <c r="P847" s="19"/>
      <c r="Q847" s="19"/>
      <c r="R847" s="19"/>
      <c r="S847" s="19"/>
      <c r="T847" s="19"/>
      <c r="U847" s="19"/>
      <c r="V847" s="19"/>
      <c r="W847" s="19"/>
      <c r="X847" s="19"/>
      <c r="Y847" s="19"/>
    </row>
    <row r="848" spans="1:25" ht="13.5" customHeight="1">
      <c r="A848" s="219" t="str" cm="1">
        <f t="array" ref="A848">IFERROR(INDEX('03.Muestra'!$B$8:$B$42,SMALL(IF("Documento no web"='03.Muestra'!$D$8:$D$42,ROW('03.Muestra'!$B$8:$B$42)-MIN(ROW('03.Muestra'!$D$8:$D$42))+1,""),ROW()-816)),"")</f>
        <v/>
      </c>
      <c r="B848" s="114" t="str" cm="1">
        <f t="array" ref="B848">IFERROR(INDEX('03.Muestra'!$C$8:$C$42,SMALL(IF("Documento no web"='03.Muestra'!$D$8:$D$42,ROW('03.Muestra'!$C$8:$C$42)-MIN(ROW('03.Muestra'!$D$8:$D$42))+1,""),ROW()-816)),"")</f>
        <v/>
      </c>
      <c r="C848" s="114" t="str" cm="1">
        <f t="array" ref="C848">IFERROR(INDEX('03.Muestra'!$F$8:$F$42,SMALL(IF("Documento no web"='03.Muestra'!$D$8:$D$42,ROW('03.Muestra'!$F$8:$F$42)-MIN(ROW('03.Muestra'!$D$8:$D$42))+1,""),ROW()-816)),"")</f>
        <v/>
      </c>
      <c r="D848" s="130" t="str">
        <f t="shared" si="43"/>
        <v/>
      </c>
      <c r="E848" s="107" t="str">
        <f t="shared" si="42"/>
        <v/>
      </c>
      <c r="F848" s="124"/>
      <c r="G848" s="19"/>
      <c r="H848" s="19"/>
      <c r="I848" s="19"/>
      <c r="J848" s="19"/>
      <c r="K848" s="233"/>
      <c r="L848" s="19"/>
      <c r="M848" s="19"/>
      <c r="N848" s="19"/>
      <c r="O848" s="19"/>
      <c r="P848" s="19"/>
      <c r="Q848" s="19"/>
      <c r="R848" s="19"/>
      <c r="S848" s="19"/>
      <c r="T848" s="19"/>
      <c r="U848" s="19"/>
      <c r="V848" s="19"/>
      <c r="W848" s="19"/>
      <c r="X848" s="19"/>
      <c r="Y848" s="19"/>
    </row>
    <row r="849" spans="1:25" ht="13.5" customHeight="1">
      <c r="A849" s="219" t="str" cm="1">
        <f t="array" ref="A849">IFERROR(INDEX('03.Muestra'!$B$8:$B$42,SMALL(IF("Documento no web"='03.Muestra'!$D$8:$D$42,ROW('03.Muestra'!$B$8:$B$42)-MIN(ROW('03.Muestra'!$D$8:$D$42))+1,""),ROW()-816)),"")</f>
        <v/>
      </c>
      <c r="B849" s="114" t="str" cm="1">
        <f t="array" ref="B849">IFERROR(INDEX('03.Muestra'!$C$8:$C$42,SMALL(IF("Documento no web"='03.Muestra'!$D$8:$D$42,ROW('03.Muestra'!$C$8:$C$42)-MIN(ROW('03.Muestra'!$D$8:$D$42))+1,""),ROW()-816)),"")</f>
        <v/>
      </c>
      <c r="C849" s="114" t="str" cm="1">
        <f t="array" ref="C849">IFERROR(INDEX('03.Muestra'!$F$8:$F$42,SMALL(IF("Documento no web"='03.Muestra'!$D$8:$D$42,ROW('03.Muestra'!$F$8:$F$42)-MIN(ROW('03.Muestra'!$D$8:$D$42))+1,""),ROW()-816)),"")</f>
        <v/>
      </c>
      <c r="D849" s="130" t="str">
        <f t="shared" si="43"/>
        <v/>
      </c>
      <c r="E849" s="107" t="str">
        <f t="shared" si="42"/>
        <v/>
      </c>
      <c r="F849" s="124"/>
      <c r="G849" s="19"/>
      <c r="H849" s="19"/>
      <c r="I849" s="19"/>
      <c r="J849" s="19"/>
      <c r="K849" s="233"/>
      <c r="L849" s="19"/>
      <c r="M849" s="19"/>
      <c r="N849" s="19"/>
      <c r="O849" s="19"/>
      <c r="P849" s="19"/>
      <c r="Q849" s="19"/>
      <c r="R849" s="19"/>
      <c r="S849" s="19"/>
      <c r="T849" s="19"/>
      <c r="U849" s="19"/>
      <c r="V849" s="19"/>
      <c r="W849" s="19"/>
      <c r="X849" s="19"/>
      <c r="Y849" s="19"/>
    </row>
    <row r="850" spans="1:25" ht="13.5" customHeight="1">
      <c r="A850" s="219" t="str" cm="1">
        <f t="array" ref="A850">IFERROR(INDEX('03.Muestra'!$B$8:$B$42,SMALL(IF("Documento no web"='03.Muestra'!$D$8:$D$42,ROW('03.Muestra'!$B$8:$B$42)-MIN(ROW('03.Muestra'!$D$8:$D$42))+1,""),ROW()-816)),"")</f>
        <v/>
      </c>
      <c r="B850" s="114" t="str" cm="1">
        <f t="array" ref="B850">IFERROR(INDEX('03.Muestra'!$C$8:$C$42,SMALL(IF("Documento no web"='03.Muestra'!$D$8:$D$42,ROW('03.Muestra'!$C$8:$C$42)-MIN(ROW('03.Muestra'!$D$8:$D$42))+1,""),ROW()-816)),"")</f>
        <v/>
      </c>
      <c r="C850" s="114" t="str" cm="1">
        <f t="array" ref="C850">IFERROR(INDEX('03.Muestra'!$F$8:$F$42,SMALL(IF("Documento no web"='03.Muestra'!$D$8:$D$42,ROW('03.Muestra'!$F$8:$F$42)-MIN(ROW('03.Muestra'!$D$8:$D$42))+1,""),ROW()-816)),"")</f>
        <v/>
      </c>
      <c r="D850" s="130" t="str">
        <f t="shared" si="43"/>
        <v/>
      </c>
      <c r="E850" s="107" t="str">
        <f t="shared" si="42"/>
        <v/>
      </c>
      <c r="F850" s="124"/>
      <c r="G850" s="19"/>
      <c r="H850" s="19"/>
      <c r="I850" s="19"/>
      <c r="J850" s="19"/>
      <c r="K850" s="233"/>
      <c r="L850" s="19"/>
      <c r="M850" s="19"/>
      <c r="N850" s="19"/>
      <c r="O850" s="19"/>
      <c r="P850" s="19"/>
      <c r="Q850" s="19"/>
      <c r="R850" s="19"/>
      <c r="S850" s="19"/>
      <c r="T850" s="19"/>
      <c r="U850" s="19"/>
      <c r="V850" s="19"/>
      <c r="W850" s="19"/>
      <c r="X850" s="19"/>
      <c r="Y850" s="19"/>
    </row>
    <row r="851" spans="1:25" ht="13.5" customHeight="1">
      <c r="A851" s="219" t="str" cm="1">
        <f t="array" ref="A851">IFERROR(INDEX('03.Muestra'!$B$8:$B$42,SMALL(IF("Documento no web"='03.Muestra'!$D$8:$D$42,ROW('03.Muestra'!$B$8:$B$42)-MIN(ROW('03.Muestra'!$D$8:$D$42))+1,""),ROW()-816)),"")</f>
        <v/>
      </c>
      <c r="B851" s="114" t="str" cm="1">
        <f t="array" ref="B851">IFERROR(INDEX('03.Muestra'!$C$8:$C$42,SMALL(IF("Documento no web"='03.Muestra'!$D$8:$D$42,ROW('03.Muestra'!$C$8:$C$42)-MIN(ROW('03.Muestra'!$D$8:$D$42))+1,""),ROW()-816)),"")</f>
        <v/>
      </c>
      <c r="C851" s="114" t="str" cm="1">
        <f t="array" ref="C851">IFERROR(INDEX('03.Muestra'!$F$8:$F$42,SMALL(IF("Documento no web"='03.Muestra'!$D$8:$D$42,ROW('03.Muestra'!$F$8:$F$42)-MIN(ROW('03.Muestra'!$D$8:$D$42))+1,""),ROW()-816)),"")</f>
        <v/>
      </c>
      <c r="D851" s="130" t="str">
        <f t="shared" si="43"/>
        <v/>
      </c>
      <c r="E851" s="107" t="str">
        <f t="shared" si="42"/>
        <v/>
      </c>
      <c r="F851" s="19"/>
      <c r="G851" s="19"/>
      <c r="H851" s="19"/>
      <c r="I851" s="19"/>
      <c r="J851" s="19"/>
      <c r="K851" s="233"/>
      <c r="L851" s="19"/>
      <c r="M851" s="19"/>
      <c r="N851" s="19"/>
      <c r="O851" s="19"/>
      <c r="P851" s="19"/>
      <c r="Q851" s="19"/>
      <c r="R851" s="19"/>
      <c r="S851" s="19"/>
      <c r="T851" s="19"/>
      <c r="U851" s="19"/>
      <c r="V851" s="19"/>
      <c r="W851" s="19"/>
      <c r="X851" s="19"/>
      <c r="Y851" s="19"/>
    </row>
    <row r="852" spans="1:25" ht="13.5" customHeight="1">
      <c r="B852" s="19"/>
      <c r="C852" s="19"/>
      <c r="D852" s="107"/>
      <c r="E852" s="19"/>
      <c r="F852" s="19"/>
      <c r="G852" s="19"/>
      <c r="H852" s="19"/>
      <c r="I852" s="19"/>
      <c r="J852" s="19"/>
      <c r="K852" s="233"/>
      <c r="L852" s="19"/>
      <c r="M852" s="19"/>
      <c r="N852" s="19"/>
      <c r="O852" s="19"/>
      <c r="P852" s="19"/>
      <c r="Q852" s="19"/>
      <c r="R852" s="19"/>
      <c r="S852" s="19"/>
      <c r="T852" s="19"/>
      <c r="U852" s="19"/>
      <c r="V852" s="19"/>
      <c r="W852" s="19"/>
      <c r="X852" s="19"/>
      <c r="Y852" s="19"/>
    </row>
    <row r="853" spans="1:25" ht="13.5" customHeight="1">
      <c r="B853" s="126"/>
      <c r="C853" s="19"/>
      <c r="D853" s="107"/>
      <c r="E853" s="112"/>
      <c r="F853" s="19"/>
      <c r="G853" s="19"/>
      <c r="H853" s="19"/>
      <c r="I853" s="19"/>
      <c r="J853" s="19"/>
      <c r="K853" s="233"/>
      <c r="L853" s="19"/>
      <c r="M853" s="19"/>
      <c r="N853" s="19"/>
      <c r="O853" s="19"/>
      <c r="P853" s="19"/>
      <c r="Q853" s="19"/>
      <c r="R853" s="19"/>
      <c r="S853" s="19"/>
      <c r="T853" s="19"/>
      <c r="U853" s="19"/>
      <c r="V853" s="19"/>
      <c r="W853" s="19"/>
      <c r="X853" s="19"/>
      <c r="Y853" s="19"/>
    </row>
    <row r="854" spans="1:25" ht="30" customHeight="1">
      <c r="A854" s="218" t="s">
        <v>268</v>
      </c>
      <c r="B854" s="24" t="s">
        <v>90</v>
      </c>
      <c r="C854" s="25" t="s">
        <v>444</v>
      </c>
      <c r="D854" s="26" t="s">
        <v>32</v>
      </c>
      <c r="E854" s="123"/>
      <c r="K854" s="233"/>
      <c r="L854" s="19"/>
      <c r="M854" s="19"/>
      <c r="N854" s="19"/>
      <c r="O854" s="19"/>
      <c r="P854" s="19"/>
      <c r="Q854" s="19"/>
      <c r="R854" s="19"/>
      <c r="S854" s="19"/>
      <c r="T854" s="19"/>
      <c r="U854" s="19"/>
      <c r="V854" s="19"/>
      <c r="W854" s="19"/>
      <c r="X854" s="19"/>
      <c r="Y854" s="19"/>
    </row>
    <row r="855" spans="1:25" ht="13.5" customHeight="1">
      <c r="A855" s="219" t="n" cm="1">
        <f t="array" ref="A855">IFERROR(INDEX('03.Muestra'!$B$8:$B$42,SMALL(IF("Documento no web"='03.Muestra'!$D$8:$D$42,ROW('03.Muestra'!$B$8:$B$42)-MIN(ROW('03.Muestra'!$D$8:$D$42))+1,""),ROW()-854)),"")</f>
        <v>1.0</v>
      </c>
      <c r="B855" s="114" t="str" cm="1">
        <f t="array" ref="B855">IFERROR(INDEX('03.Muestra'!$C$8:$C$42,SMALL(IF("Documento no web"='03.Muestra'!$D$8:$D$42,ROW('03.Muestra'!$C$8:$C$42)-MIN(ROW('03.Muestra'!$D$8:$D$42))+1,""),ROW()-854)),"")</f>
        <v>Home - PortCastelló</v>
      </c>
      <c r="C855" s="114" t="str" cm="1">
        <f t="array" ref="C855">IFERROR(INDEX('03.Muestra'!$F$8:$F$42,SMALL(IF("Documento no web"='03.Muestra'!$D$8:$D$42,ROW('03.Muestra'!$F$8:$F$42)-MIN(ROW('03.Muestra'!$D$8:$D$42))+1,""),ROW()-854)),"")</f>
        <v>https://www.portcastello.com/</v>
      </c>
      <c r="D855" s="130" t="s">
        <v>33</v>
      </c>
      <c r="E855" s="107" t="str">
        <f t="shared" ref="E855:E889" si="44">IF(D855&lt;&gt;"",IF(AND(B855&lt;&gt;"",C855&lt;&gt;""),"","ERR"),"")</f>
        <v/>
      </c>
      <c r="F855" s="115" t="s">
        <v>33</v>
      </c>
      <c r="G855" s="116" t="s">
        <v>37</v>
      </c>
      <c r="H855" s="117" t="s">
        <v>35</v>
      </c>
      <c r="I855" s="118" t="s">
        <v>28</v>
      </c>
      <c r="J855" s="119" t="s">
        <v>26</v>
      </c>
      <c r="K855" s="226" t="s">
        <v>474</v>
      </c>
      <c r="L855" s="19"/>
      <c r="M855" s="19"/>
      <c r="N855" s="19"/>
      <c r="O855" s="19"/>
      <c r="P855" s="19"/>
      <c r="Q855" s="19"/>
      <c r="R855" s="19"/>
      <c r="S855" s="19"/>
      <c r="T855" s="19"/>
      <c r="U855" s="19"/>
      <c r="V855" s="19"/>
      <c r="W855" s="19"/>
      <c r="X855" s="19"/>
      <c r="Y855" s="19"/>
    </row>
    <row r="856" spans="1:25" ht="13.5" customHeight="1">
      <c r="A856" s="219" t="n" cm="1">
        <f t="array" ref="A856">IFERROR(INDEX('03.Muestra'!$B$8:$B$42,SMALL(IF("Documento no web"='03.Muestra'!$D$8:$D$42,ROW('03.Muestra'!$B$8:$B$42)-MIN(ROW('03.Muestra'!$D$8:$D$42))+1,""),ROW()-854)),"")</f>
        <v>1.0</v>
      </c>
      <c r="B856" s="114" t="str" cm="1">
        <f t="array" ref="B856">IFERROR(INDEX('03.Muestra'!$C$8:$C$42,SMALL(IF("Documento no web"='03.Muestra'!$D$8:$D$42,ROW('03.Muestra'!$C$8:$C$42)-MIN(ROW('03.Muestra'!$D$8:$D$42))+1,""),ROW()-854)),"")</f>
        <v>Home - PortCastelló</v>
      </c>
      <c r="C856" s="114" t="str" cm="1">
        <f t="array" ref="C856">IFERROR(INDEX('03.Muestra'!$F$8:$F$42,SMALL(IF("Documento no web"='03.Muestra'!$D$8:$D$42,ROW('03.Muestra'!$F$8:$F$42)-MIN(ROW('03.Muestra'!$D$8:$D$42))+1,""),ROW()-854)),"")</f>
        <v>https://www.portcastello.com/</v>
      </c>
      <c r="D856" s="130" t="s">
        <v>33</v>
      </c>
      <c r="E856" s="107" t="str">
        <f t="shared" si="44"/>
        <v/>
      </c>
      <c r="F856" s="120" t="n">
        <f ca="1">COUNTIF($D855:INDIRECT("$D" &amp;  SUM(ROW()-1,'03.Muestra'!$D$45)-1),F855)</f>
        <v>2.0</v>
      </c>
      <c r="G856" s="120" t="n">
        <f ca="1">COUNTIF($D855:INDIRECT("$D" &amp;  SUM(ROW()-1,'03.Muestra'!$D$45)-1),G855)</f>
        <v>0.0</v>
      </c>
      <c r="H856" s="120" t="n">
        <f ca="1">COUNTIF($D855:INDIRECT("$D" &amp;  SUM(ROW()-1,'03.Muestra'!$D$45)-1),H855)</f>
        <v>0.0</v>
      </c>
      <c r="I856" s="120" t="n">
        <f ca="1">COUNTIF($D855:INDIRECT("$D" &amp;  SUM(ROW()-1,'03.Muestra'!$D$45)-1),I855)</f>
        <v>0.0</v>
      </c>
      <c r="J856" s="120" t="n">
        <f ca="1">COUNTIF($D855:INDIRECT("$D" &amp;  SUM(ROW()-1,'03.Muestra'!$D$45)-1),J855)</f>
        <v>0.0</v>
      </c>
      <c r="K856" s="227" t="n">
        <f ca="1">IF(COUNTIF('03.Muestra'!$D$8:$D$42,"Documento no web")=0,0,COUNTBLANK($D855:INDIRECT("$D" &amp;  SUM(ROW()-1,COUNTIF('03.Muestra'!$D$8:$D$42,"Documento no web"))-1)))</f>
        <v>0.0</v>
      </c>
      <c r="L856" s="19"/>
      <c r="M856" s="19"/>
      <c r="N856" s="19"/>
      <c r="O856" s="19"/>
      <c r="P856" s="19"/>
      <c r="Q856" s="19"/>
      <c r="R856" s="19"/>
      <c r="S856" s="19"/>
      <c r="T856" s="19"/>
      <c r="U856" s="19"/>
      <c r="V856" s="19"/>
      <c r="W856" s="19"/>
      <c r="X856" s="19"/>
      <c r="Y856" s="19"/>
    </row>
    <row r="857" spans="1:25" ht="13.5" customHeight="1">
      <c r="A857" s="219" t="str" cm="1">
        <f t="array" ref="A857">IFERROR(INDEX('03.Muestra'!$B$8:$B$42,SMALL(IF("Documento no web"='03.Muestra'!$D$8:$D$42,ROW('03.Muestra'!$B$8:$B$42)-MIN(ROW('03.Muestra'!$D$8:$D$42))+1,""),ROW()-854)),"")</f>
        <v/>
      </c>
      <c r="B857" s="114" t="str" cm="1">
        <f t="array" ref="B857">IFERROR(INDEX('03.Muestra'!$C$8:$C$42,SMALL(IF("Documento no web"='03.Muestra'!$D$8:$D$42,ROW('03.Muestra'!$C$8:$C$42)-MIN(ROW('03.Muestra'!$D$8:$D$42))+1,""),ROW()-854)),"")</f>
        <v/>
      </c>
      <c r="C857" s="114" t="str" cm="1">
        <f t="array" ref="C857">IFERROR(INDEX('03.Muestra'!$F$8:$F$42,SMALL(IF("Documento no web"='03.Muestra'!$D$8:$D$42,ROW('03.Muestra'!$F$8:$F$42)-MIN(ROW('03.Muestra'!$D$8:$D$42))+1,""),ROW()-854)),"")</f>
        <v/>
      </c>
      <c r="D857" s="130" t="str">
        <f t="shared" si="45" ref="D857:D889">IF(AND(B857&lt;&gt;"",C857&lt;&gt;""),"N/T","")</f>
        <v/>
      </c>
      <c r="E857" s="107" t="str">
        <f t="shared" si="44"/>
        <v/>
      </c>
      <c r="G857" s="19"/>
      <c r="H857" s="19"/>
      <c r="I857" s="19"/>
      <c r="J857" s="19"/>
      <c r="K857" s="233"/>
      <c r="L857" s="19"/>
      <c r="M857" s="19"/>
      <c r="N857" s="19"/>
      <c r="O857" s="19"/>
      <c r="P857" s="19"/>
      <c r="Q857" s="19"/>
      <c r="R857" s="19"/>
      <c r="S857" s="19"/>
      <c r="T857" s="19"/>
      <c r="U857" s="19"/>
      <c r="V857" s="19"/>
      <c r="W857" s="19"/>
      <c r="X857" s="19"/>
      <c r="Y857" s="19"/>
    </row>
    <row r="858" spans="1:25" ht="13.5" customHeight="1">
      <c r="A858" s="219" t="str" cm="1">
        <f t="array" ref="A858">IFERROR(INDEX('03.Muestra'!$B$8:$B$42,SMALL(IF("Documento no web"='03.Muestra'!$D$8:$D$42,ROW('03.Muestra'!$B$8:$B$42)-MIN(ROW('03.Muestra'!$D$8:$D$42))+1,""),ROW()-854)),"")</f>
        <v/>
      </c>
      <c r="B858" s="114" t="str" cm="1">
        <f t="array" ref="B858">IFERROR(INDEX('03.Muestra'!$C$8:$C$42,SMALL(IF("Documento no web"='03.Muestra'!$D$8:$D$42,ROW('03.Muestra'!$C$8:$C$42)-MIN(ROW('03.Muestra'!$D$8:$D$42))+1,""),ROW()-854)),"")</f>
        <v/>
      </c>
      <c r="C858" s="114" t="str" cm="1">
        <f t="array" ref="C858">IFERROR(INDEX('03.Muestra'!$F$8:$F$42,SMALL(IF("Documento no web"='03.Muestra'!$D$8:$D$42,ROW('03.Muestra'!$F$8:$F$42)-MIN(ROW('03.Muestra'!$D$8:$D$42))+1,""),ROW()-854)),"")</f>
        <v/>
      </c>
      <c r="D858" s="130" t="str">
        <f t="shared" si="45"/>
        <v/>
      </c>
      <c r="E858" s="107" t="str">
        <f t="shared" si="44"/>
        <v/>
      </c>
      <c r="G858" s="19"/>
      <c r="H858" s="19"/>
      <c r="I858" s="19"/>
      <c r="J858" s="19"/>
      <c r="K858" s="233"/>
      <c r="L858" s="19"/>
      <c r="M858" s="19"/>
      <c r="N858" s="19"/>
      <c r="O858" s="19"/>
      <c r="P858" s="19"/>
      <c r="Q858" s="19"/>
      <c r="R858" s="19"/>
      <c r="S858" s="19"/>
      <c r="T858" s="19"/>
      <c r="U858" s="19"/>
      <c r="V858" s="19"/>
      <c r="W858" s="19"/>
      <c r="X858" s="19"/>
      <c r="Y858" s="19"/>
    </row>
    <row r="859" spans="1:25" ht="13.5" customHeight="1">
      <c r="A859" s="219" t="str" cm="1">
        <f t="array" ref="A859">IFERROR(INDEX('03.Muestra'!$B$8:$B$42,SMALL(IF("Documento no web"='03.Muestra'!$D$8:$D$42,ROW('03.Muestra'!$B$8:$B$42)-MIN(ROW('03.Muestra'!$D$8:$D$42))+1,""),ROW()-854)),"")</f>
        <v/>
      </c>
      <c r="B859" s="114" t="str" cm="1">
        <f t="array" ref="B859">IFERROR(INDEX('03.Muestra'!$C$8:$C$42,SMALL(IF("Documento no web"='03.Muestra'!$D$8:$D$42,ROW('03.Muestra'!$C$8:$C$42)-MIN(ROW('03.Muestra'!$D$8:$D$42))+1,""),ROW()-854)),"")</f>
        <v/>
      </c>
      <c r="C859" s="114" t="str" cm="1">
        <f t="array" ref="C859">IFERROR(INDEX('03.Muestra'!$F$8:$F$42,SMALL(IF("Documento no web"='03.Muestra'!$D$8:$D$42,ROW('03.Muestra'!$F$8:$F$42)-MIN(ROW('03.Muestra'!$D$8:$D$42))+1,""),ROW()-854)),"")</f>
        <v/>
      </c>
      <c r="D859" s="130" t="str">
        <f t="shared" si="45"/>
        <v/>
      </c>
      <c r="E859" s="107" t="str">
        <f t="shared" si="44"/>
        <v/>
      </c>
      <c r="G859" s="19"/>
      <c r="H859" s="19"/>
      <c r="I859" s="19"/>
      <c r="J859" s="19"/>
      <c r="K859" s="233"/>
      <c r="L859" s="19"/>
      <c r="M859" s="19"/>
      <c r="N859" s="19"/>
      <c r="O859" s="19"/>
      <c r="P859" s="19"/>
      <c r="Q859" s="19"/>
      <c r="R859" s="19"/>
      <c r="S859" s="19"/>
      <c r="T859" s="19"/>
      <c r="U859" s="19"/>
      <c r="V859" s="19"/>
      <c r="W859" s="19"/>
      <c r="X859" s="19"/>
      <c r="Y859" s="19"/>
    </row>
    <row r="860" spans="1:25" ht="13.5" customHeight="1">
      <c r="A860" s="219" t="str" cm="1">
        <f t="array" ref="A860">IFERROR(INDEX('03.Muestra'!$B$8:$B$42,SMALL(IF("Documento no web"='03.Muestra'!$D$8:$D$42,ROW('03.Muestra'!$B$8:$B$42)-MIN(ROW('03.Muestra'!$D$8:$D$42))+1,""),ROW()-854)),"")</f>
        <v/>
      </c>
      <c r="B860" s="114" t="str" cm="1">
        <f t="array" ref="B860">IFERROR(INDEX('03.Muestra'!$C$8:$C$42,SMALL(IF("Documento no web"='03.Muestra'!$D$8:$D$42,ROW('03.Muestra'!$C$8:$C$42)-MIN(ROW('03.Muestra'!$D$8:$D$42))+1,""),ROW()-854)),"")</f>
        <v/>
      </c>
      <c r="C860" s="114" t="str" cm="1">
        <f t="array" ref="C860">IFERROR(INDEX('03.Muestra'!$F$8:$F$42,SMALL(IF("Documento no web"='03.Muestra'!$D$8:$D$42,ROW('03.Muestra'!$F$8:$F$42)-MIN(ROW('03.Muestra'!$D$8:$D$42))+1,""),ROW()-854)),"")</f>
        <v/>
      </c>
      <c r="D860" s="130" t="str">
        <f t="shared" si="45"/>
        <v/>
      </c>
      <c r="E860" s="107" t="str">
        <f t="shared" si="44"/>
        <v/>
      </c>
      <c r="G860" s="19"/>
      <c r="H860" s="19"/>
      <c r="I860" s="19"/>
      <c r="J860" s="19"/>
      <c r="K860" s="233"/>
      <c r="L860" s="19"/>
      <c r="M860" s="19"/>
      <c r="N860" s="19"/>
      <c r="O860" s="19"/>
      <c r="P860" s="19"/>
      <c r="Q860" s="19"/>
      <c r="R860" s="19"/>
      <c r="S860" s="19"/>
      <c r="T860" s="19"/>
      <c r="U860" s="19"/>
      <c r="V860" s="19"/>
      <c r="W860" s="19"/>
      <c r="X860" s="19"/>
      <c r="Y860" s="19"/>
    </row>
    <row r="861" spans="1:25" ht="13.5" customHeight="1">
      <c r="A861" s="219" t="str" cm="1">
        <f t="array" ref="A861">IFERROR(INDEX('03.Muestra'!$B$8:$B$42,SMALL(IF("Documento no web"='03.Muestra'!$D$8:$D$42,ROW('03.Muestra'!$B$8:$B$42)-MIN(ROW('03.Muestra'!$D$8:$D$42))+1,""),ROW()-854)),"")</f>
        <v/>
      </c>
      <c r="B861" s="114" t="str" cm="1">
        <f t="array" ref="B861">IFERROR(INDEX('03.Muestra'!$C$8:$C$42,SMALL(IF("Documento no web"='03.Muestra'!$D$8:$D$42,ROW('03.Muestra'!$C$8:$C$42)-MIN(ROW('03.Muestra'!$D$8:$D$42))+1,""),ROW()-854)),"")</f>
        <v/>
      </c>
      <c r="C861" s="114" t="str" cm="1">
        <f t="array" ref="C861">IFERROR(INDEX('03.Muestra'!$F$8:$F$42,SMALL(IF("Documento no web"='03.Muestra'!$D$8:$D$42,ROW('03.Muestra'!$F$8:$F$42)-MIN(ROW('03.Muestra'!$D$8:$D$42))+1,""),ROW()-854)),"")</f>
        <v/>
      </c>
      <c r="D861" s="130" t="str">
        <f t="shared" si="45"/>
        <v/>
      </c>
      <c r="E861" s="107" t="str">
        <f t="shared" si="44"/>
        <v/>
      </c>
      <c r="F861" s="19"/>
      <c r="G861" s="19"/>
      <c r="H861" s="19"/>
      <c r="I861" s="19"/>
      <c r="J861" s="19"/>
      <c r="K861" s="233"/>
      <c r="L861" s="19"/>
      <c r="M861" s="19"/>
      <c r="N861" s="19"/>
      <c r="O861" s="19"/>
      <c r="P861" s="19"/>
      <c r="Q861" s="19"/>
      <c r="R861" s="19"/>
      <c r="S861" s="19"/>
      <c r="T861" s="19"/>
      <c r="U861" s="19"/>
      <c r="V861" s="19"/>
      <c r="W861" s="19"/>
      <c r="X861" s="19"/>
      <c r="Y861" s="19"/>
    </row>
    <row r="862" spans="1:25" ht="13.5" customHeight="1">
      <c r="A862" s="219" t="str" cm="1">
        <f t="array" ref="A862">IFERROR(INDEX('03.Muestra'!$B$8:$B$42,SMALL(IF("Documento no web"='03.Muestra'!$D$8:$D$42,ROW('03.Muestra'!$B$8:$B$42)-MIN(ROW('03.Muestra'!$D$8:$D$42))+1,""),ROW()-854)),"")</f>
        <v/>
      </c>
      <c r="B862" s="114" t="str" cm="1">
        <f t="array" ref="B862">IFERROR(INDEX('03.Muestra'!$C$8:$C$42,SMALL(IF("Documento no web"='03.Muestra'!$D$8:$D$42,ROW('03.Muestra'!$C$8:$C$42)-MIN(ROW('03.Muestra'!$D$8:$D$42))+1,""),ROW()-854)),"")</f>
        <v/>
      </c>
      <c r="C862" s="114" t="str" cm="1">
        <f t="array" ref="C862">IFERROR(INDEX('03.Muestra'!$F$8:$F$42,SMALL(IF("Documento no web"='03.Muestra'!$D$8:$D$42,ROW('03.Muestra'!$F$8:$F$42)-MIN(ROW('03.Muestra'!$D$8:$D$42))+1,""),ROW()-854)),"")</f>
        <v/>
      </c>
      <c r="D862" s="130" t="str">
        <f t="shared" si="45"/>
        <v/>
      </c>
      <c r="E862" s="107" t="str">
        <f t="shared" si="44"/>
        <v/>
      </c>
      <c r="F862" s="19"/>
      <c r="G862" s="19"/>
      <c r="H862" s="19"/>
      <c r="I862" s="19"/>
      <c r="J862" s="19"/>
      <c r="K862" s="233"/>
      <c r="L862" s="19"/>
      <c r="M862" s="19"/>
      <c r="N862" s="19"/>
      <c r="O862" s="19"/>
      <c r="P862" s="19"/>
      <c r="Q862" s="19"/>
      <c r="R862" s="19"/>
      <c r="S862" s="19"/>
      <c r="T862" s="19"/>
      <c r="U862" s="19"/>
      <c r="V862" s="19"/>
      <c r="W862" s="19"/>
      <c r="X862" s="19"/>
      <c r="Y862" s="19"/>
    </row>
    <row r="863" spans="1:25" ht="13.5" customHeight="1">
      <c r="A863" s="219" t="str" cm="1">
        <f t="array" ref="A863">IFERROR(INDEX('03.Muestra'!$B$8:$B$42,SMALL(IF("Documento no web"='03.Muestra'!$D$8:$D$42,ROW('03.Muestra'!$B$8:$B$42)-MIN(ROW('03.Muestra'!$D$8:$D$42))+1,""),ROW()-854)),"")</f>
        <v/>
      </c>
      <c r="B863" s="114" t="str" cm="1">
        <f t="array" ref="B863">IFERROR(INDEX('03.Muestra'!$C$8:$C$42,SMALL(IF("Documento no web"='03.Muestra'!$D$8:$D$42,ROW('03.Muestra'!$C$8:$C$42)-MIN(ROW('03.Muestra'!$D$8:$D$42))+1,""),ROW()-854)),"")</f>
        <v/>
      </c>
      <c r="C863" s="114" t="str" cm="1">
        <f t="array" ref="C863">IFERROR(INDEX('03.Muestra'!$F$8:$F$42,SMALL(IF("Documento no web"='03.Muestra'!$D$8:$D$42,ROW('03.Muestra'!$F$8:$F$42)-MIN(ROW('03.Muestra'!$D$8:$D$42))+1,""),ROW()-854)),"")</f>
        <v/>
      </c>
      <c r="D863" s="130" t="str">
        <f t="shared" si="45"/>
        <v/>
      </c>
      <c r="E863" s="107" t="str">
        <f t="shared" si="44"/>
        <v/>
      </c>
      <c r="F863" s="19"/>
      <c r="G863" s="19"/>
      <c r="H863" s="19"/>
      <c r="I863" s="19"/>
      <c r="J863" s="19"/>
      <c r="K863" s="233"/>
      <c r="L863" s="19"/>
      <c r="M863" s="19"/>
      <c r="N863" s="19"/>
      <c r="O863" s="19"/>
      <c r="P863" s="19"/>
      <c r="Q863" s="19"/>
      <c r="R863" s="19"/>
      <c r="S863" s="19"/>
      <c r="T863" s="19"/>
      <c r="U863" s="19"/>
      <c r="V863" s="19"/>
      <c r="W863" s="19"/>
      <c r="X863" s="19"/>
      <c r="Y863" s="19"/>
    </row>
    <row r="864" spans="1:25" ht="13.5" customHeight="1">
      <c r="A864" s="219" t="str" cm="1">
        <f t="array" ref="A864">IFERROR(INDEX('03.Muestra'!$B$8:$B$42,SMALL(IF("Documento no web"='03.Muestra'!$D$8:$D$42,ROW('03.Muestra'!$B$8:$B$42)-MIN(ROW('03.Muestra'!$D$8:$D$42))+1,""),ROW()-854)),"")</f>
        <v/>
      </c>
      <c r="B864" s="114" t="str" cm="1">
        <f t="array" ref="B864">IFERROR(INDEX('03.Muestra'!$C$8:$C$42,SMALL(IF("Documento no web"='03.Muestra'!$D$8:$D$42,ROW('03.Muestra'!$C$8:$C$42)-MIN(ROW('03.Muestra'!$D$8:$D$42))+1,""),ROW()-854)),"")</f>
        <v/>
      </c>
      <c r="C864" s="114" t="str" cm="1">
        <f t="array" ref="C864">IFERROR(INDEX('03.Muestra'!$F$8:$F$42,SMALL(IF("Documento no web"='03.Muestra'!$D$8:$D$42,ROW('03.Muestra'!$F$8:$F$42)-MIN(ROW('03.Muestra'!$D$8:$D$42))+1,""),ROW()-854)),"")</f>
        <v/>
      </c>
      <c r="D864" s="130" t="str">
        <f t="shared" si="45"/>
        <v/>
      </c>
      <c r="E864" s="107" t="str">
        <f t="shared" si="44"/>
        <v/>
      </c>
      <c r="F864" s="19"/>
      <c r="G864" s="19"/>
      <c r="H864" s="19"/>
      <c r="I864" s="19"/>
      <c r="J864" s="19"/>
      <c r="K864" s="233"/>
      <c r="L864" s="19"/>
      <c r="M864" s="19"/>
      <c r="N864" s="19"/>
      <c r="O864" s="19"/>
      <c r="P864" s="19"/>
      <c r="Q864" s="19"/>
      <c r="R864" s="19"/>
      <c r="S864" s="19"/>
      <c r="T864" s="19"/>
      <c r="U864" s="19"/>
      <c r="V864" s="19"/>
      <c r="W864" s="19"/>
      <c r="X864" s="19"/>
      <c r="Y864" s="19"/>
    </row>
    <row r="865" spans="1:25" ht="13.5" customHeight="1">
      <c r="A865" s="219" t="str" cm="1">
        <f t="array" ref="A865">IFERROR(INDEX('03.Muestra'!$B$8:$B$42,SMALL(IF("Documento no web"='03.Muestra'!$D$8:$D$42,ROW('03.Muestra'!$B$8:$B$42)-MIN(ROW('03.Muestra'!$D$8:$D$42))+1,""),ROW()-854)),"")</f>
        <v/>
      </c>
      <c r="B865" s="114" t="str" cm="1">
        <f t="array" ref="B865">IFERROR(INDEX('03.Muestra'!$C$8:$C$42,SMALL(IF("Documento no web"='03.Muestra'!$D$8:$D$42,ROW('03.Muestra'!$C$8:$C$42)-MIN(ROW('03.Muestra'!$D$8:$D$42))+1,""),ROW()-854)),"")</f>
        <v/>
      </c>
      <c r="C865" s="114" t="str" cm="1">
        <f t="array" ref="C865">IFERROR(INDEX('03.Muestra'!$F$8:$F$42,SMALL(IF("Documento no web"='03.Muestra'!$D$8:$D$42,ROW('03.Muestra'!$F$8:$F$42)-MIN(ROW('03.Muestra'!$D$8:$D$42))+1,""),ROW()-854)),"")</f>
        <v/>
      </c>
      <c r="D865" s="130" t="str">
        <f t="shared" si="45"/>
        <v/>
      </c>
      <c r="E865" s="107" t="str">
        <f t="shared" si="44"/>
        <v/>
      </c>
      <c r="F865" s="19"/>
      <c r="G865" s="19"/>
      <c r="H865" s="19"/>
      <c r="I865" s="19"/>
      <c r="J865" s="19"/>
      <c r="K865" s="233"/>
      <c r="L865" s="19"/>
      <c r="M865" s="19"/>
      <c r="N865" s="19"/>
      <c r="O865" s="19"/>
      <c r="P865" s="19"/>
      <c r="Q865" s="19"/>
      <c r="R865" s="19"/>
      <c r="S865" s="19"/>
      <c r="T865" s="19"/>
      <c r="U865" s="19"/>
      <c r="V865" s="19"/>
      <c r="W865" s="19"/>
      <c r="X865" s="19"/>
      <c r="Y865" s="19"/>
    </row>
    <row r="866" spans="1:25" ht="13.5" customHeight="1">
      <c r="A866" s="219" t="str" cm="1">
        <f t="array" ref="A866">IFERROR(INDEX('03.Muestra'!$B$8:$B$42,SMALL(IF("Documento no web"='03.Muestra'!$D$8:$D$42,ROW('03.Muestra'!$B$8:$B$42)-MIN(ROW('03.Muestra'!$D$8:$D$42))+1,""),ROW()-854)),"")</f>
        <v/>
      </c>
      <c r="B866" s="114" t="str" cm="1">
        <f t="array" ref="B866">IFERROR(INDEX('03.Muestra'!$C$8:$C$42,SMALL(IF("Documento no web"='03.Muestra'!$D$8:$D$42,ROW('03.Muestra'!$C$8:$C$42)-MIN(ROW('03.Muestra'!$D$8:$D$42))+1,""),ROW()-854)),"")</f>
        <v/>
      </c>
      <c r="C866" s="114" t="str" cm="1">
        <f t="array" ref="C866">IFERROR(INDEX('03.Muestra'!$F$8:$F$42,SMALL(IF("Documento no web"='03.Muestra'!$D$8:$D$42,ROW('03.Muestra'!$F$8:$F$42)-MIN(ROW('03.Muestra'!$D$8:$D$42))+1,""),ROW()-854)),"")</f>
        <v/>
      </c>
      <c r="D866" s="130" t="str">
        <f t="shared" si="45"/>
        <v/>
      </c>
      <c r="E866" s="107" t="str">
        <f t="shared" si="44"/>
        <v/>
      </c>
      <c r="F866" s="19"/>
      <c r="G866" s="19"/>
      <c r="H866" s="19"/>
      <c r="I866" s="19"/>
      <c r="J866" s="19"/>
      <c r="K866" s="233"/>
      <c r="L866" s="19"/>
      <c r="M866" s="19"/>
      <c r="N866" s="19"/>
      <c r="O866" s="19"/>
      <c r="P866" s="19"/>
      <c r="Q866" s="19"/>
      <c r="R866" s="19"/>
      <c r="S866" s="19"/>
      <c r="T866" s="19"/>
      <c r="U866" s="19"/>
      <c r="V866" s="19"/>
      <c r="W866" s="19"/>
      <c r="X866" s="19"/>
      <c r="Y866" s="19"/>
    </row>
    <row r="867" spans="1:25" ht="13.5" customHeight="1">
      <c r="A867" s="219" t="str" cm="1">
        <f t="array" ref="A867">IFERROR(INDEX('03.Muestra'!$B$8:$B$42,SMALL(IF("Documento no web"='03.Muestra'!$D$8:$D$42,ROW('03.Muestra'!$B$8:$B$42)-MIN(ROW('03.Muestra'!$D$8:$D$42))+1,""),ROW()-854)),"")</f>
        <v/>
      </c>
      <c r="B867" s="114" t="str" cm="1">
        <f t="array" ref="B867">IFERROR(INDEX('03.Muestra'!$C$8:$C$42,SMALL(IF("Documento no web"='03.Muestra'!$D$8:$D$42,ROW('03.Muestra'!$C$8:$C$42)-MIN(ROW('03.Muestra'!$D$8:$D$42))+1,""),ROW()-854)),"")</f>
        <v/>
      </c>
      <c r="C867" s="114" t="str" cm="1">
        <f t="array" ref="C867">IFERROR(INDEX('03.Muestra'!$F$8:$F$42,SMALL(IF("Documento no web"='03.Muestra'!$D$8:$D$42,ROW('03.Muestra'!$F$8:$F$42)-MIN(ROW('03.Muestra'!$D$8:$D$42))+1,""),ROW()-854)),"")</f>
        <v/>
      </c>
      <c r="D867" s="130" t="str">
        <f t="shared" si="45"/>
        <v/>
      </c>
      <c r="E867" s="107" t="str">
        <f t="shared" si="44"/>
        <v/>
      </c>
      <c r="F867" s="19"/>
      <c r="G867" s="19"/>
      <c r="H867" s="19"/>
      <c r="I867" s="19"/>
      <c r="J867" s="19"/>
      <c r="K867" s="233"/>
      <c r="L867" s="19"/>
      <c r="M867" s="19"/>
      <c r="N867" s="19"/>
      <c r="O867" s="19"/>
      <c r="P867" s="19"/>
      <c r="Q867" s="19"/>
      <c r="R867" s="19"/>
      <c r="S867" s="19"/>
      <c r="T867" s="19"/>
      <c r="U867" s="19"/>
      <c r="V867" s="19"/>
      <c r="W867" s="19"/>
      <c r="X867" s="19"/>
      <c r="Y867" s="19"/>
    </row>
    <row r="868" spans="1:25" ht="13.5" customHeight="1">
      <c r="A868" s="219" t="str" cm="1">
        <f t="array" ref="A868">IFERROR(INDEX('03.Muestra'!$B$8:$B$42,SMALL(IF("Documento no web"='03.Muestra'!$D$8:$D$42,ROW('03.Muestra'!$B$8:$B$42)-MIN(ROW('03.Muestra'!$D$8:$D$42))+1,""),ROW()-854)),"")</f>
        <v/>
      </c>
      <c r="B868" s="114" t="str" cm="1">
        <f t="array" ref="B868">IFERROR(INDEX('03.Muestra'!$C$8:$C$42,SMALL(IF("Documento no web"='03.Muestra'!$D$8:$D$42,ROW('03.Muestra'!$C$8:$C$42)-MIN(ROW('03.Muestra'!$D$8:$D$42))+1,""),ROW()-854)),"")</f>
        <v/>
      </c>
      <c r="C868" s="114" t="str" cm="1">
        <f t="array" ref="C868">IFERROR(INDEX('03.Muestra'!$F$8:$F$42,SMALL(IF("Documento no web"='03.Muestra'!$D$8:$D$42,ROW('03.Muestra'!$F$8:$F$42)-MIN(ROW('03.Muestra'!$D$8:$D$42))+1,""),ROW()-854)),"")</f>
        <v/>
      </c>
      <c r="D868" s="130" t="str">
        <f t="shared" si="45"/>
        <v/>
      </c>
      <c r="E868" s="107" t="str">
        <f t="shared" si="44"/>
        <v/>
      </c>
      <c r="F868" s="19"/>
      <c r="G868" s="19"/>
      <c r="H868" s="19"/>
      <c r="I868" s="19"/>
      <c r="J868" s="19"/>
      <c r="K868" s="233"/>
      <c r="L868" s="19"/>
      <c r="M868" s="19"/>
      <c r="N868" s="19"/>
      <c r="O868" s="19"/>
      <c r="P868" s="19"/>
      <c r="Q868" s="19"/>
      <c r="R868" s="19"/>
      <c r="S868" s="19"/>
      <c r="T868" s="19"/>
      <c r="U868" s="19"/>
      <c r="V868" s="19"/>
      <c r="W868" s="19"/>
      <c r="X868" s="19"/>
      <c r="Y868" s="19"/>
    </row>
    <row r="869" spans="1:25" ht="13.5" customHeight="1">
      <c r="A869" s="219" t="str" cm="1">
        <f t="array" ref="A869">IFERROR(INDEX('03.Muestra'!$B$8:$B$42,SMALL(IF("Documento no web"='03.Muestra'!$D$8:$D$42,ROW('03.Muestra'!$B$8:$B$42)-MIN(ROW('03.Muestra'!$D$8:$D$42))+1,""),ROW()-854)),"")</f>
        <v/>
      </c>
      <c r="B869" s="114" t="str" cm="1">
        <f t="array" ref="B869">IFERROR(INDEX('03.Muestra'!$C$8:$C$42,SMALL(IF("Documento no web"='03.Muestra'!$D$8:$D$42,ROW('03.Muestra'!$C$8:$C$42)-MIN(ROW('03.Muestra'!$D$8:$D$42))+1,""),ROW()-854)),"")</f>
        <v/>
      </c>
      <c r="C869" s="114" t="str" cm="1">
        <f t="array" ref="C869">IFERROR(INDEX('03.Muestra'!$F$8:$F$42,SMALL(IF("Documento no web"='03.Muestra'!$D$8:$D$42,ROW('03.Muestra'!$F$8:$F$42)-MIN(ROW('03.Muestra'!$D$8:$D$42))+1,""),ROW()-854)),"")</f>
        <v/>
      </c>
      <c r="D869" s="130" t="str">
        <f t="shared" si="45"/>
        <v/>
      </c>
      <c r="E869" s="107" t="str">
        <f t="shared" si="44"/>
        <v/>
      </c>
      <c r="F869" s="19"/>
      <c r="G869" s="19"/>
      <c r="H869" s="19"/>
      <c r="I869" s="19"/>
      <c r="J869" s="19"/>
      <c r="K869" s="233"/>
      <c r="L869" s="19"/>
      <c r="M869" s="19"/>
      <c r="N869" s="19"/>
      <c r="O869" s="19"/>
      <c r="P869" s="19"/>
      <c r="Q869" s="19"/>
      <c r="R869" s="19"/>
      <c r="S869" s="19"/>
      <c r="T869" s="19"/>
      <c r="U869" s="19"/>
      <c r="V869" s="19"/>
      <c r="W869" s="19"/>
      <c r="X869" s="19"/>
      <c r="Y869" s="19"/>
    </row>
    <row r="870" spans="1:25" ht="13.5" customHeight="1">
      <c r="A870" s="219" t="str" cm="1">
        <f t="array" ref="A870">IFERROR(INDEX('03.Muestra'!$B$8:$B$42,SMALL(IF("Documento no web"='03.Muestra'!$D$8:$D$42,ROW('03.Muestra'!$B$8:$B$42)-MIN(ROW('03.Muestra'!$D$8:$D$42))+1,""),ROW()-854)),"")</f>
        <v/>
      </c>
      <c r="B870" s="114" t="str" cm="1">
        <f t="array" ref="B870">IFERROR(INDEX('03.Muestra'!$C$8:$C$42,SMALL(IF("Documento no web"='03.Muestra'!$D$8:$D$42,ROW('03.Muestra'!$C$8:$C$42)-MIN(ROW('03.Muestra'!$D$8:$D$42))+1,""),ROW()-854)),"")</f>
        <v/>
      </c>
      <c r="C870" s="114" t="str" cm="1">
        <f t="array" ref="C870">IFERROR(INDEX('03.Muestra'!$F$8:$F$42,SMALL(IF("Documento no web"='03.Muestra'!$D$8:$D$42,ROW('03.Muestra'!$F$8:$F$42)-MIN(ROW('03.Muestra'!$D$8:$D$42))+1,""),ROW()-854)),"")</f>
        <v/>
      </c>
      <c r="D870" s="130" t="str">
        <f t="shared" si="45"/>
        <v/>
      </c>
      <c r="E870" s="107" t="str">
        <f t="shared" si="44"/>
        <v/>
      </c>
      <c r="F870" s="19"/>
      <c r="G870" s="19"/>
      <c r="H870" s="19"/>
      <c r="I870" s="19"/>
      <c r="J870" s="19"/>
      <c r="K870" s="233"/>
      <c r="L870" s="19"/>
      <c r="M870" s="19"/>
      <c r="N870" s="19"/>
      <c r="O870" s="19"/>
      <c r="P870" s="19"/>
      <c r="Q870" s="19"/>
      <c r="R870" s="19"/>
      <c r="S870" s="19"/>
      <c r="T870" s="19"/>
      <c r="U870" s="19"/>
      <c r="V870" s="19"/>
      <c r="W870" s="19"/>
      <c r="X870" s="19"/>
      <c r="Y870" s="19"/>
    </row>
    <row r="871" spans="1:25" ht="13.5" customHeight="1">
      <c r="A871" s="219" t="str" cm="1">
        <f t="array" ref="A871">IFERROR(INDEX('03.Muestra'!$B$8:$B$42,SMALL(IF("Documento no web"='03.Muestra'!$D$8:$D$42,ROW('03.Muestra'!$B$8:$B$42)-MIN(ROW('03.Muestra'!$D$8:$D$42))+1,""),ROW()-854)),"")</f>
        <v/>
      </c>
      <c r="B871" s="114" t="str" cm="1">
        <f t="array" ref="B871">IFERROR(INDEX('03.Muestra'!$C$8:$C$42,SMALL(IF("Documento no web"='03.Muestra'!$D$8:$D$42,ROW('03.Muestra'!$C$8:$C$42)-MIN(ROW('03.Muestra'!$D$8:$D$42))+1,""),ROW()-854)),"")</f>
        <v/>
      </c>
      <c r="C871" s="114" t="str" cm="1">
        <f t="array" ref="C871">IFERROR(INDEX('03.Muestra'!$F$8:$F$42,SMALL(IF("Documento no web"='03.Muestra'!$D$8:$D$42,ROW('03.Muestra'!$F$8:$F$42)-MIN(ROW('03.Muestra'!$D$8:$D$42))+1,""),ROW()-854)),"")</f>
        <v/>
      </c>
      <c r="D871" s="130" t="str">
        <f t="shared" si="45"/>
        <v/>
      </c>
      <c r="E871" s="107" t="str">
        <f t="shared" si="44"/>
        <v/>
      </c>
      <c r="F871" s="19"/>
      <c r="G871" s="19"/>
      <c r="H871" s="19"/>
      <c r="I871" s="19"/>
      <c r="J871" s="19"/>
      <c r="K871" s="233"/>
      <c r="L871" s="19"/>
      <c r="M871" s="19"/>
      <c r="N871" s="19"/>
      <c r="O871" s="19"/>
      <c r="P871" s="19"/>
      <c r="Q871" s="19"/>
      <c r="R871" s="19"/>
      <c r="S871" s="19"/>
      <c r="T871" s="19"/>
      <c r="U871" s="19"/>
      <c r="V871" s="19"/>
      <c r="W871" s="19"/>
      <c r="X871" s="19"/>
      <c r="Y871" s="19"/>
    </row>
    <row r="872" spans="1:25" ht="13.5" customHeight="1">
      <c r="A872" s="219" t="str" cm="1">
        <f t="array" ref="A872">IFERROR(INDEX('03.Muestra'!$B$8:$B$42,SMALL(IF("Documento no web"='03.Muestra'!$D$8:$D$42,ROW('03.Muestra'!$B$8:$B$42)-MIN(ROW('03.Muestra'!$D$8:$D$42))+1,""),ROW()-854)),"")</f>
        <v/>
      </c>
      <c r="B872" s="114" t="str" cm="1">
        <f t="array" ref="B872">IFERROR(INDEX('03.Muestra'!$C$8:$C$42,SMALL(IF("Documento no web"='03.Muestra'!$D$8:$D$42,ROW('03.Muestra'!$C$8:$C$42)-MIN(ROW('03.Muestra'!$D$8:$D$42))+1,""),ROW()-854)),"")</f>
        <v/>
      </c>
      <c r="C872" s="114" t="str" cm="1">
        <f t="array" ref="C872">IFERROR(INDEX('03.Muestra'!$F$8:$F$42,SMALL(IF("Documento no web"='03.Muestra'!$D$8:$D$42,ROW('03.Muestra'!$F$8:$F$42)-MIN(ROW('03.Muestra'!$D$8:$D$42))+1,""),ROW()-854)),"")</f>
        <v/>
      </c>
      <c r="D872" s="130" t="str">
        <f t="shared" si="45"/>
        <v/>
      </c>
      <c r="E872" s="107" t="str">
        <f t="shared" si="44"/>
        <v/>
      </c>
      <c r="F872" s="19"/>
      <c r="G872" s="19"/>
      <c r="H872" s="19"/>
      <c r="I872" s="19"/>
      <c r="J872" s="19"/>
      <c r="K872" s="233"/>
      <c r="L872" s="19"/>
      <c r="M872" s="19"/>
      <c r="N872" s="19"/>
      <c r="O872" s="19"/>
      <c r="P872" s="19"/>
      <c r="Q872" s="19"/>
      <c r="R872" s="19"/>
      <c r="S872" s="19"/>
      <c r="T872" s="19"/>
      <c r="U872" s="19"/>
      <c r="V872" s="19"/>
      <c r="W872" s="19"/>
      <c r="X872" s="19"/>
      <c r="Y872" s="19"/>
    </row>
    <row r="873" spans="1:25" ht="13.5" customHeight="1">
      <c r="A873" s="219" t="str" cm="1">
        <f t="array" ref="A873">IFERROR(INDEX('03.Muestra'!$B$8:$B$42,SMALL(IF("Documento no web"='03.Muestra'!$D$8:$D$42,ROW('03.Muestra'!$B$8:$B$42)-MIN(ROW('03.Muestra'!$D$8:$D$42))+1,""),ROW()-854)),"")</f>
        <v/>
      </c>
      <c r="B873" s="114" t="str" cm="1">
        <f t="array" ref="B873">IFERROR(INDEX('03.Muestra'!$C$8:$C$42,SMALL(IF("Documento no web"='03.Muestra'!$D$8:$D$42,ROW('03.Muestra'!$C$8:$C$42)-MIN(ROW('03.Muestra'!$D$8:$D$42))+1,""),ROW()-854)),"")</f>
        <v/>
      </c>
      <c r="C873" s="114" t="str" cm="1">
        <f t="array" ref="C873">IFERROR(INDEX('03.Muestra'!$F$8:$F$42,SMALL(IF("Documento no web"='03.Muestra'!$D$8:$D$42,ROW('03.Muestra'!$F$8:$F$42)-MIN(ROW('03.Muestra'!$D$8:$D$42))+1,""),ROW()-854)),"")</f>
        <v/>
      </c>
      <c r="D873" s="130" t="str">
        <f t="shared" si="45"/>
        <v/>
      </c>
      <c r="E873" s="107" t="str">
        <f t="shared" si="44"/>
        <v/>
      </c>
      <c r="F873" s="19"/>
      <c r="G873" s="19"/>
      <c r="H873" s="19"/>
      <c r="I873" s="19"/>
      <c r="J873" s="19"/>
      <c r="K873" s="233"/>
      <c r="L873" s="19"/>
      <c r="M873" s="19"/>
      <c r="N873" s="19"/>
      <c r="O873" s="19"/>
      <c r="P873" s="19"/>
      <c r="Q873" s="19"/>
      <c r="R873" s="19"/>
      <c r="S873" s="19"/>
      <c r="T873" s="19"/>
      <c r="U873" s="19"/>
      <c r="V873" s="19"/>
      <c r="W873" s="19"/>
      <c r="X873" s="19"/>
      <c r="Y873" s="19"/>
    </row>
    <row r="874" spans="1:25" ht="13.5" customHeight="1">
      <c r="A874" s="219" t="str" cm="1">
        <f t="array" ref="A874">IFERROR(INDEX('03.Muestra'!$B$8:$B$42,SMALL(IF("Documento no web"='03.Muestra'!$D$8:$D$42,ROW('03.Muestra'!$B$8:$B$42)-MIN(ROW('03.Muestra'!$D$8:$D$42))+1,""),ROW()-854)),"")</f>
        <v/>
      </c>
      <c r="B874" s="114" t="str" cm="1">
        <f t="array" ref="B874">IFERROR(INDEX('03.Muestra'!$C$8:$C$42,SMALL(IF("Documento no web"='03.Muestra'!$D$8:$D$42,ROW('03.Muestra'!$C$8:$C$42)-MIN(ROW('03.Muestra'!$D$8:$D$42))+1,""),ROW()-854)),"")</f>
        <v/>
      </c>
      <c r="C874" s="114" t="str" cm="1">
        <f t="array" ref="C874">IFERROR(INDEX('03.Muestra'!$F$8:$F$42,SMALL(IF("Documento no web"='03.Muestra'!$D$8:$D$42,ROW('03.Muestra'!$F$8:$F$42)-MIN(ROW('03.Muestra'!$D$8:$D$42))+1,""),ROW()-854)),"")</f>
        <v/>
      </c>
      <c r="D874" s="130" t="str">
        <f t="shared" si="45"/>
        <v/>
      </c>
      <c r="E874" s="107" t="str">
        <f t="shared" si="44"/>
        <v/>
      </c>
      <c r="F874" s="19"/>
      <c r="G874" s="19"/>
      <c r="H874" s="19"/>
      <c r="I874" s="19"/>
      <c r="J874" s="19"/>
      <c r="K874" s="233"/>
      <c r="L874" s="19"/>
      <c r="M874" s="19"/>
      <c r="N874" s="19"/>
      <c r="O874" s="19"/>
      <c r="P874" s="19"/>
      <c r="Q874" s="19"/>
      <c r="R874" s="19"/>
      <c r="S874" s="19"/>
      <c r="T874" s="19"/>
      <c r="U874" s="19"/>
      <c r="V874" s="19"/>
      <c r="W874" s="19"/>
      <c r="X874" s="19"/>
      <c r="Y874" s="19"/>
    </row>
    <row r="875" spans="1:25" ht="13.5" customHeight="1">
      <c r="A875" s="219" t="str" cm="1">
        <f t="array" ref="A875">IFERROR(INDEX('03.Muestra'!$B$8:$B$42,SMALL(IF("Documento no web"='03.Muestra'!$D$8:$D$42,ROW('03.Muestra'!$B$8:$B$42)-MIN(ROW('03.Muestra'!$D$8:$D$42))+1,""),ROW()-854)),"")</f>
        <v/>
      </c>
      <c r="B875" s="114" t="str" cm="1">
        <f t="array" ref="B875">IFERROR(INDEX('03.Muestra'!$C$8:$C$42,SMALL(IF("Documento no web"='03.Muestra'!$D$8:$D$42,ROW('03.Muestra'!$C$8:$C$42)-MIN(ROW('03.Muestra'!$D$8:$D$42))+1,""),ROW()-854)),"")</f>
        <v/>
      </c>
      <c r="C875" s="114" t="str" cm="1">
        <f t="array" ref="C875">IFERROR(INDEX('03.Muestra'!$F$8:$F$42,SMALL(IF("Documento no web"='03.Muestra'!$D$8:$D$42,ROW('03.Muestra'!$F$8:$F$42)-MIN(ROW('03.Muestra'!$D$8:$D$42))+1,""),ROW()-854)),"")</f>
        <v/>
      </c>
      <c r="D875" s="130" t="str">
        <f t="shared" si="45"/>
        <v/>
      </c>
      <c r="E875" s="107" t="str">
        <f t="shared" si="44"/>
        <v/>
      </c>
      <c r="F875" s="19"/>
      <c r="G875" s="19"/>
      <c r="H875" s="19"/>
      <c r="I875" s="19"/>
      <c r="J875" s="19"/>
      <c r="K875" s="233"/>
      <c r="L875" s="19"/>
      <c r="M875" s="19"/>
      <c r="N875" s="19"/>
      <c r="O875" s="19"/>
      <c r="P875" s="19"/>
      <c r="Q875" s="19"/>
      <c r="R875" s="19"/>
      <c r="S875" s="19"/>
      <c r="T875" s="19"/>
      <c r="U875" s="19"/>
      <c r="V875" s="19"/>
      <c r="W875" s="19"/>
      <c r="X875" s="19"/>
      <c r="Y875" s="19"/>
    </row>
    <row r="876" spans="1:25" ht="13.5" customHeight="1">
      <c r="A876" s="219" t="str" cm="1">
        <f t="array" ref="A876">IFERROR(INDEX('03.Muestra'!$B$8:$B$42,SMALL(IF("Documento no web"='03.Muestra'!$D$8:$D$42,ROW('03.Muestra'!$B$8:$B$42)-MIN(ROW('03.Muestra'!$D$8:$D$42))+1,""),ROW()-854)),"")</f>
        <v/>
      </c>
      <c r="B876" s="114" t="str" cm="1">
        <f t="array" ref="B876">IFERROR(INDEX('03.Muestra'!$C$8:$C$42,SMALL(IF("Documento no web"='03.Muestra'!$D$8:$D$42,ROW('03.Muestra'!$C$8:$C$42)-MIN(ROW('03.Muestra'!$D$8:$D$42))+1,""),ROW()-854)),"")</f>
        <v/>
      </c>
      <c r="C876" s="114" t="str" cm="1">
        <f t="array" ref="C876">IFERROR(INDEX('03.Muestra'!$F$8:$F$42,SMALL(IF("Documento no web"='03.Muestra'!$D$8:$D$42,ROW('03.Muestra'!$F$8:$F$42)-MIN(ROW('03.Muestra'!$D$8:$D$42))+1,""),ROW()-854)),"")</f>
        <v/>
      </c>
      <c r="D876" s="130" t="str">
        <f t="shared" si="45"/>
        <v/>
      </c>
      <c r="E876" s="107" t="str">
        <f t="shared" si="44"/>
        <v/>
      </c>
      <c r="F876" s="19"/>
      <c r="G876" s="19"/>
      <c r="H876" s="19"/>
      <c r="I876" s="19"/>
      <c r="J876" s="19"/>
      <c r="K876" s="233"/>
      <c r="L876" s="19"/>
      <c r="M876" s="19"/>
      <c r="N876" s="19"/>
      <c r="O876" s="19"/>
      <c r="P876" s="19"/>
      <c r="Q876" s="19"/>
      <c r="R876" s="19"/>
      <c r="S876" s="19"/>
      <c r="T876" s="19"/>
      <c r="U876" s="19"/>
      <c r="V876" s="19"/>
      <c r="W876" s="19"/>
      <c r="X876" s="19"/>
      <c r="Y876" s="19"/>
    </row>
    <row r="877" spans="1:25" ht="13.5" customHeight="1">
      <c r="A877" s="219" t="str" cm="1">
        <f t="array" ref="A877">IFERROR(INDEX('03.Muestra'!$B$8:$B$42,SMALL(IF("Documento no web"='03.Muestra'!$D$8:$D$42,ROW('03.Muestra'!$B$8:$B$42)-MIN(ROW('03.Muestra'!$D$8:$D$42))+1,""),ROW()-854)),"")</f>
        <v/>
      </c>
      <c r="B877" s="114" t="str" cm="1">
        <f t="array" ref="B877">IFERROR(INDEX('03.Muestra'!$C$8:$C$42,SMALL(IF("Documento no web"='03.Muestra'!$D$8:$D$42,ROW('03.Muestra'!$C$8:$C$42)-MIN(ROW('03.Muestra'!$D$8:$D$42))+1,""),ROW()-854)),"")</f>
        <v/>
      </c>
      <c r="C877" s="114" t="str" cm="1">
        <f t="array" ref="C877">IFERROR(INDEX('03.Muestra'!$F$8:$F$42,SMALL(IF("Documento no web"='03.Muestra'!$D$8:$D$42,ROW('03.Muestra'!$F$8:$F$42)-MIN(ROW('03.Muestra'!$D$8:$D$42))+1,""),ROW()-854)),"")</f>
        <v/>
      </c>
      <c r="D877" s="130" t="str">
        <f t="shared" si="45"/>
        <v/>
      </c>
      <c r="E877" s="107" t="str">
        <f t="shared" si="44"/>
        <v/>
      </c>
      <c r="F877" s="19"/>
      <c r="G877" s="19"/>
      <c r="H877" s="19"/>
      <c r="I877" s="19"/>
      <c r="J877" s="19"/>
      <c r="K877" s="233"/>
      <c r="L877" s="19"/>
      <c r="M877" s="19"/>
      <c r="N877" s="19"/>
      <c r="O877" s="19"/>
      <c r="P877" s="19"/>
      <c r="Q877" s="19"/>
      <c r="R877" s="19"/>
      <c r="S877" s="19"/>
      <c r="T877" s="19"/>
      <c r="U877" s="19"/>
      <c r="V877" s="19"/>
      <c r="W877" s="19"/>
      <c r="X877" s="19"/>
      <c r="Y877" s="19"/>
    </row>
    <row r="878" spans="1:25" ht="13.5" customHeight="1">
      <c r="A878" s="219" t="str" cm="1">
        <f t="array" ref="A878">IFERROR(INDEX('03.Muestra'!$B$8:$B$42,SMALL(IF("Documento no web"='03.Muestra'!$D$8:$D$42,ROW('03.Muestra'!$B$8:$B$42)-MIN(ROW('03.Muestra'!$D$8:$D$42))+1,""),ROW()-854)),"")</f>
        <v/>
      </c>
      <c r="B878" s="114" t="str" cm="1">
        <f t="array" ref="B878">IFERROR(INDEX('03.Muestra'!$C$8:$C$42,SMALL(IF("Documento no web"='03.Muestra'!$D$8:$D$42,ROW('03.Muestra'!$C$8:$C$42)-MIN(ROW('03.Muestra'!$D$8:$D$42))+1,""),ROW()-854)),"")</f>
        <v/>
      </c>
      <c r="C878" s="114" t="str" cm="1">
        <f t="array" ref="C878">IFERROR(INDEX('03.Muestra'!$F$8:$F$42,SMALL(IF("Documento no web"='03.Muestra'!$D$8:$D$42,ROW('03.Muestra'!$F$8:$F$42)-MIN(ROW('03.Muestra'!$D$8:$D$42))+1,""),ROW()-854)),"")</f>
        <v/>
      </c>
      <c r="D878" s="130" t="str">
        <f t="shared" si="45"/>
        <v/>
      </c>
      <c r="E878" s="107" t="str">
        <f t="shared" si="44"/>
        <v/>
      </c>
      <c r="F878" s="19"/>
      <c r="G878" s="19"/>
      <c r="H878" s="19"/>
      <c r="I878" s="19"/>
      <c r="J878" s="19"/>
      <c r="K878" s="233"/>
      <c r="L878" s="19"/>
      <c r="M878" s="19"/>
      <c r="N878" s="19"/>
      <c r="O878" s="19"/>
      <c r="P878" s="19"/>
      <c r="Q878" s="19"/>
      <c r="R878" s="19"/>
      <c r="S878" s="19"/>
      <c r="T878" s="19"/>
      <c r="U878" s="19"/>
      <c r="V878" s="19"/>
      <c r="W878" s="19"/>
      <c r="X878" s="19"/>
      <c r="Y878" s="19"/>
    </row>
    <row r="879" spans="1:25" ht="13.5" customHeight="1">
      <c r="A879" s="219" t="str" cm="1">
        <f t="array" ref="A879">IFERROR(INDEX('03.Muestra'!$B$8:$B$42,SMALL(IF("Documento no web"='03.Muestra'!$D$8:$D$42,ROW('03.Muestra'!$B$8:$B$42)-MIN(ROW('03.Muestra'!$D$8:$D$42))+1,""),ROW()-854)),"")</f>
        <v/>
      </c>
      <c r="B879" s="114" t="str" cm="1">
        <f t="array" ref="B879">IFERROR(INDEX('03.Muestra'!$C$8:$C$42,SMALL(IF("Documento no web"='03.Muestra'!$D$8:$D$42,ROW('03.Muestra'!$C$8:$C$42)-MIN(ROW('03.Muestra'!$D$8:$D$42))+1,""),ROW()-854)),"")</f>
        <v/>
      </c>
      <c r="C879" s="114" t="str" cm="1">
        <f t="array" ref="C879">IFERROR(INDEX('03.Muestra'!$F$8:$F$42,SMALL(IF("Documento no web"='03.Muestra'!$D$8:$D$42,ROW('03.Muestra'!$F$8:$F$42)-MIN(ROW('03.Muestra'!$D$8:$D$42))+1,""),ROW()-854)),"")</f>
        <v/>
      </c>
      <c r="D879" s="130" t="str">
        <f t="shared" si="45"/>
        <v/>
      </c>
      <c r="E879" s="107" t="str">
        <f t="shared" si="44"/>
        <v/>
      </c>
      <c r="F879" s="19"/>
      <c r="G879" s="19"/>
      <c r="H879" s="19"/>
      <c r="I879" s="19"/>
      <c r="J879" s="19"/>
      <c r="K879" s="233"/>
      <c r="L879" s="19"/>
      <c r="M879" s="19"/>
      <c r="N879" s="19"/>
      <c r="O879" s="19"/>
      <c r="P879" s="19"/>
      <c r="Q879" s="19"/>
      <c r="R879" s="19"/>
      <c r="S879" s="19"/>
      <c r="T879" s="19"/>
      <c r="U879" s="19"/>
      <c r="V879" s="19"/>
      <c r="W879" s="19"/>
      <c r="X879" s="19"/>
      <c r="Y879" s="19"/>
    </row>
    <row r="880" spans="1:25" ht="13.5" customHeight="1">
      <c r="A880" s="219" t="str" cm="1">
        <f t="array" ref="A880">IFERROR(INDEX('03.Muestra'!$B$8:$B$42,SMALL(IF("Documento no web"='03.Muestra'!$D$8:$D$42,ROW('03.Muestra'!$B$8:$B$42)-MIN(ROW('03.Muestra'!$D$8:$D$42))+1,""),ROW()-854)),"")</f>
        <v/>
      </c>
      <c r="B880" s="114" t="str" cm="1">
        <f t="array" ref="B880">IFERROR(INDEX('03.Muestra'!$C$8:$C$42,SMALL(IF("Documento no web"='03.Muestra'!$D$8:$D$42,ROW('03.Muestra'!$C$8:$C$42)-MIN(ROW('03.Muestra'!$D$8:$D$42))+1,""),ROW()-854)),"")</f>
        <v/>
      </c>
      <c r="C880" s="114" t="str" cm="1">
        <f t="array" ref="C880">IFERROR(INDEX('03.Muestra'!$F$8:$F$42,SMALL(IF("Documento no web"='03.Muestra'!$D$8:$D$42,ROW('03.Muestra'!$F$8:$F$42)-MIN(ROW('03.Muestra'!$D$8:$D$42))+1,""),ROW()-854)),"")</f>
        <v/>
      </c>
      <c r="D880" s="130" t="str">
        <f t="shared" si="45"/>
        <v/>
      </c>
      <c r="E880" s="107" t="str">
        <f t="shared" si="44"/>
        <v/>
      </c>
      <c r="F880" s="19"/>
      <c r="G880" s="19"/>
      <c r="H880" s="19"/>
      <c r="I880" s="19"/>
      <c r="J880" s="19"/>
      <c r="K880" s="233"/>
      <c r="L880" s="19"/>
      <c r="M880" s="19"/>
      <c r="N880" s="19"/>
      <c r="O880" s="19"/>
      <c r="P880" s="19"/>
      <c r="Q880" s="19"/>
      <c r="R880" s="19"/>
      <c r="S880" s="19"/>
      <c r="T880" s="19"/>
      <c r="U880" s="19"/>
      <c r="V880" s="19"/>
      <c r="W880" s="19"/>
      <c r="X880" s="19"/>
      <c r="Y880" s="19"/>
    </row>
    <row r="881" spans="1:25" ht="13.5" customHeight="1">
      <c r="A881" s="219" t="str" cm="1">
        <f t="array" ref="A881">IFERROR(INDEX('03.Muestra'!$B$8:$B$42,SMALL(IF("Documento no web"='03.Muestra'!$D$8:$D$42,ROW('03.Muestra'!$B$8:$B$42)-MIN(ROW('03.Muestra'!$D$8:$D$42))+1,""),ROW()-854)),"")</f>
        <v/>
      </c>
      <c r="B881" s="114" t="str" cm="1">
        <f t="array" ref="B881">IFERROR(INDEX('03.Muestra'!$C$8:$C$42,SMALL(IF("Documento no web"='03.Muestra'!$D$8:$D$42,ROW('03.Muestra'!$C$8:$C$42)-MIN(ROW('03.Muestra'!$D$8:$D$42))+1,""),ROW()-854)),"")</f>
        <v/>
      </c>
      <c r="C881" s="114" t="str" cm="1">
        <f t="array" ref="C881">IFERROR(INDEX('03.Muestra'!$F$8:$F$42,SMALL(IF("Documento no web"='03.Muestra'!$D$8:$D$42,ROW('03.Muestra'!$F$8:$F$42)-MIN(ROW('03.Muestra'!$D$8:$D$42))+1,""),ROW()-854)),"")</f>
        <v/>
      </c>
      <c r="D881" s="130" t="str">
        <f t="shared" si="45"/>
        <v/>
      </c>
      <c r="E881" s="107" t="str">
        <f t="shared" si="44"/>
        <v/>
      </c>
      <c r="F881" s="19"/>
      <c r="G881" s="19"/>
      <c r="H881" s="19"/>
      <c r="I881" s="19"/>
      <c r="J881" s="19"/>
      <c r="K881" s="233"/>
      <c r="L881" s="19"/>
      <c r="M881" s="19"/>
      <c r="N881" s="19"/>
      <c r="O881" s="19"/>
      <c r="P881" s="19"/>
      <c r="Q881" s="19"/>
      <c r="R881" s="19"/>
      <c r="S881" s="19"/>
      <c r="T881" s="19"/>
      <c r="U881" s="19"/>
      <c r="V881" s="19"/>
      <c r="W881" s="19"/>
      <c r="X881" s="19"/>
      <c r="Y881" s="19"/>
    </row>
    <row r="882" spans="1:25" ht="13.5" customHeight="1">
      <c r="A882" s="219" t="str" cm="1">
        <f t="array" ref="A882">IFERROR(INDEX('03.Muestra'!$B$8:$B$42,SMALL(IF("Documento no web"='03.Muestra'!$D$8:$D$42,ROW('03.Muestra'!$B$8:$B$42)-MIN(ROW('03.Muestra'!$D$8:$D$42))+1,""),ROW()-854)),"")</f>
        <v/>
      </c>
      <c r="B882" s="114" t="str" cm="1">
        <f t="array" ref="B882">IFERROR(INDEX('03.Muestra'!$C$8:$C$42,SMALL(IF("Documento no web"='03.Muestra'!$D$8:$D$42,ROW('03.Muestra'!$C$8:$C$42)-MIN(ROW('03.Muestra'!$D$8:$D$42))+1,""),ROW()-854)),"")</f>
        <v/>
      </c>
      <c r="C882" s="114" t="str" cm="1">
        <f t="array" ref="C882">IFERROR(INDEX('03.Muestra'!$F$8:$F$42,SMALL(IF("Documento no web"='03.Muestra'!$D$8:$D$42,ROW('03.Muestra'!$F$8:$F$42)-MIN(ROW('03.Muestra'!$D$8:$D$42))+1,""),ROW()-854)),"")</f>
        <v/>
      </c>
      <c r="D882" s="130" t="str">
        <f t="shared" si="45"/>
        <v/>
      </c>
      <c r="E882" s="107" t="str">
        <f t="shared" si="44"/>
        <v/>
      </c>
      <c r="G882" s="19"/>
      <c r="H882" s="19"/>
      <c r="I882" s="19"/>
      <c r="J882" s="19"/>
      <c r="K882" s="233"/>
      <c r="L882" s="19"/>
      <c r="M882" s="19"/>
      <c r="N882" s="19"/>
      <c r="O882" s="19"/>
      <c r="P882" s="19"/>
      <c r="Q882" s="19"/>
      <c r="R882" s="19"/>
      <c r="S882" s="19"/>
      <c r="T882" s="19"/>
      <c r="U882" s="19"/>
      <c r="V882" s="19"/>
      <c r="W882" s="19"/>
      <c r="X882" s="19"/>
      <c r="Y882" s="19"/>
    </row>
    <row r="883" spans="1:25" ht="13.5" customHeight="1">
      <c r="A883" s="219" t="str" cm="1">
        <f t="array" ref="A883">IFERROR(INDEX('03.Muestra'!$B$8:$B$42,SMALL(IF("Documento no web"='03.Muestra'!$D$8:$D$42,ROW('03.Muestra'!$B$8:$B$42)-MIN(ROW('03.Muestra'!$D$8:$D$42))+1,""),ROW()-854)),"")</f>
        <v/>
      </c>
      <c r="B883" s="114" t="str" cm="1">
        <f t="array" ref="B883">IFERROR(INDEX('03.Muestra'!$C$8:$C$42,SMALL(IF("Documento no web"='03.Muestra'!$D$8:$D$42,ROW('03.Muestra'!$C$8:$C$42)-MIN(ROW('03.Muestra'!$D$8:$D$42))+1,""),ROW()-854)),"")</f>
        <v/>
      </c>
      <c r="C883" s="114" t="str" cm="1">
        <f t="array" ref="C883">IFERROR(INDEX('03.Muestra'!$F$8:$F$42,SMALL(IF("Documento no web"='03.Muestra'!$D$8:$D$42,ROW('03.Muestra'!$F$8:$F$42)-MIN(ROW('03.Muestra'!$D$8:$D$42))+1,""),ROW()-854)),"")</f>
        <v/>
      </c>
      <c r="D883" s="130" t="str">
        <f t="shared" si="45"/>
        <v/>
      </c>
      <c r="E883" s="107" t="str">
        <f t="shared" si="44"/>
        <v/>
      </c>
      <c r="F883" s="124"/>
      <c r="G883" s="19"/>
      <c r="H883" s="19"/>
      <c r="I883" s="19"/>
      <c r="J883" s="19"/>
      <c r="K883" s="233"/>
      <c r="L883" s="19"/>
      <c r="M883" s="19"/>
      <c r="N883" s="19"/>
      <c r="O883" s="19"/>
      <c r="P883" s="19"/>
      <c r="Q883" s="19"/>
      <c r="R883" s="19"/>
      <c r="S883" s="19"/>
      <c r="T883" s="19"/>
      <c r="U883" s="19"/>
      <c r="V883" s="19"/>
      <c r="W883" s="19"/>
      <c r="X883" s="19"/>
      <c r="Y883" s="19"/>
    </row>
    <row r="884" spans="1:25" ht="13.5" customHeight="1">
      <c r="A884" s="219" t="str" cm="1">
        <f t="array" ref="A884">IFERROR(INDEX('03.Muestra'!$B$8:$B$42,SMALL(IF("Documento no web"='03.Muestra'!$D$8:$D$42,ROW('03.Muestra'!$B$8:$B$42)-MIN(ROW('03.Muestra'!$D$8:$D$42))+1,""),ROW()-854)),"")</f>
        <v/>
      </c>
      <c r="B884" s="114" t="str" cm="1">
        <f t="array" ref="B884">IFERROR(INDEX('03.Muestra'!$C$8:$C$42,SMALL(IF("Documento no web"='03.Muestra'!$D$8:$D$42,ROW('03.Muestra'!$C$8:$C$42)-MIN(ROW('03.Muestra'!$D$8:$D$42))+1,""),ROW()-854)),"")</f>
        <v/>
      </c>
      <c r="C884" s="114" t="str" cm="1">
        <f t="array" ref="C884">IFERROR(INDEX('03.Muestra'!$F$8:$F$42,SMALL(IF("Documento no web"='03.Muestra'!$D$8:$D$42,ROW('03.Muestra'!$F$8:$F$42)-MIN(ROW('03.Muestra'!$D$8:$D$42))+1,""),ROW()-854)),"")</f>
        <v/>
      </c>
      <c r="D884" s="130" t="str">
        <f t="shared" si="45"/>
        <v/>
      </c>
      <c r="E884" s="107" t="str">
        <f t="shared" si="44"/>
        <v/>
      </c>
      <c r="F884" s="124"/>
      <c r="G884" s="19"/>
      <c r="H884" s="19"/>
      <c r="I884" s="19"/>
      <c r="J884" s="19"/>
      <c r="K884" s="233"/>
      <c r="L884" s="19"/>
      <c r="M884" s="19"/>
      <c r="N884" s="19"/>
      <c r="O884" s="19"/>
      <c r="P884" s="19"/>
      <c r="Q884" s="19"/>
      <c r="R884" s="19"/>
      <c r="S884" s="19"/>
      <c r="T884" s="19"/>
      <c r="U884" s="19"/>
      <c r="V884" s="19"/>
      <c r="W884" s="19"/>
      <c r="X884" s="19"/>
      <c r="Y884" s="19"/>
    </row>
    <row r="885" spans="1:25" ht="13.5" customHeight="1">
      <c r="A885" s="219" t="str" cm="1">
        <f t="array" ref="A885">IFERROR(INDEX('03.Muestra'!$B$8:$B$42,SMALL(IF("Documento no web"='03.Muestra'!$D$8:$D$42,ROW('03.Muestra'!$B$8:$B$42)-MIN(ROW('03.Muestra'!$D$8:$D$42))+1,""),ROW()-854)),"")</f>
        <v/>
      </c>
      <c r="B885" s="114" t="str" cm="1">
        <f t="array" ref="B885">IFERROR(INDEX('03.Muestra'!$C$8:$C$42,SMALL(IF("Documento no web"='03.Muestra'!$D$8:$D$42,ROW('03.Muestra'!$C$8:$C$42)-MIN(ROW('03.Muestra'!$D$8:$D$42))+1,""),ROW()-854)),"")</f>
        <v/>
      </c>
      <c r="C885" s="114" t="str" cm="1">
        <f t="array" ref="C885">IFERROR(INDEX('03.Muestra'!$F$8:$F$42,SMALL(IF("Documento no web"='03.Muestra'!$D$8:$D$42,ROW('03.Muestra'!$F$8:$F$42)-MIN(ROW('03.Muestra'!$D$8:$D$42))+1,""),ROW()-854)),"")</f>
        <v/>
      </c>
      <c r="D885" s="130" t="str">
        <f t="shared" si="45"/>
        <v/>
      </c>
      <c r="E885" s="107" t="str">
        <f t="shared" si="44"/>
        <v/>
      </c>
      <c r="F885" s="124"/>
      <c r="G885" s="19"/>
      <c r="H885" s="19"/>
      <c r="I885" s="19"/>
      <c r="J885" s="19"/>
      <c r="K885" s="233"/>
      <c r="L885" s="19"/>
      <c r="M885" s="19"/>
      <c r="N885" s="19"/>
      <c r="O885" s="19"/>
      <c r="P885" s="19"/>
      <c r="Q885" s="19"/>
      <c r="R885" s="19"/>
      <c r="S885" s="19"/>
      <c r="T885" s="19"/>
      <c r="U885" s="19"/>
      <c r="V885" s="19"/>
      <c r="W885" s="19"/>
      <c r="X885" s="19"/>
      <c r="Y885" s="19"/>
    </row>
    <row r="886" spans="1:25" ht="13.5" customHeight="1">
      <c r="A886" s="219" t="str" cm="1">
        <f t="array" ref="A886">IFERROR(INDEX('03.Muestra'!$B$8:$B$42,SMALL(IF("Documento no web"='03.Muestra'!$D$8:$D$42,ROW('03.Muestra'!$B$8:$B$42)-MIN(ROW('03.Muestra'!$D$8:$D$42))+1,""),ROW()-854)),"")</f>
        <v/>
      </c>
      <c r="B886" s="114" t="str" cm="1">
        <f t="array" ref="B886">IFERROR(INDEX('03.Muestra'!$C$8:$C$42,SMALL(IF("Documento no web"='03.Muestra'!$D$8:$D$42,ROW('03.Muestra'!$C$8:$C$42)-MIN(ROW('03.Muestra'!$D$8:$D$42))+1,""),ROW()-854)),"")</f>
        <v/>
      </c>
      <c r="C886" s="114" t="str" cm="1">
        <f t="array" ref="C886">IFERROR(INDEX('03.Muestra'!$F$8:$F$42,SMALL(IF("Documento no web"='03.Muestra'!$D$8:$D$42,ROW('03.Muestra'!$F$8:$F$42)-MIN(ROW('03.Muestra'!$D$8:$D$42))+1,""),ROW()-854)),"")</f>
        <v/>
      </c>
      <c r="D886" s="130" t="str">
        <f t="shared" si="45"/>
        <v/>
      </c>
      <c r="E886" s="107" t="str">
        <f t="shared" si="44"/>
        <v/>
      </c>
      <c r="F886" s="124"/>
      <c r="G886" s="19"/>
      <c r="H886" s="19"/>
      <c r="I886" s="19"/>
      <c r="J886" s="19"/>
      <c r="K886" s="233"/>
      <c r="L886" s="19"/>
      <c r="M886" s="19"/>
      <c r="N886" s="19"/>
      <c r="O886" s="19"/>
      <c r="P886" s="19"/>
      <c r="Q886" s="19"/>
      <c r="R886" s="19"/>
      <c r="S886" s="19"/>
      <c r="T886" s="19"/>
      <c r="U886" s="19"/>
      <c r="V886" s="19"/>
      <c r="W886" s="19"/>
      <c r="X886" s="19"/>
      <c r="Y886" s="19"/>
    </row>
    <row r="887" spans="1:25" ht="13.5" customHeight="1">
      <c r="A887" s="219" t="str" cm="1">
        <f t="array" ref="A887">IFERROR(INDEX('03.Muestra'!$B$8:$B$42,SMALL(IF("Documento no web"='03.Muestra'!$D$8:$D$42,ROW('03.Muestra'!$B$8:$B$42)-MIN(ROW('03.Muestra'!$D$8:$D$42))+1,""),ROW()-854)),"")</f>
        <v/>
      </c>
      <c r="B887" s="114" t="str" cm="1">
        <f t="array" ref="B887">IFERROR(INDEX('03.Muestra'!$C$8:$C$42,SMALL(IF("Documento no web"='03.Muestra'!$D$8:$D$42,ROW('03.Muestra'!$C$8:$C$42)-MIN(ROW('03.Muestra'!$D$8:$D$42))+1,""),ROW()-854)),"")</f>
        <v/>
      </c>
      <c r="C887" s="114" t="str" cm="1">
        <f t="array" ref="C887">IFERROR(INDEX('03.Muestra'!$F$8:$F$42,SMALL(IF("Documento no web"='03.Muestra'!$D$8:$D$42,ROW('03.Muestra'!$F$8:$F$42)-MIN(ROW('03.Muestra'!$D$8:$D$42))+1,""),ROW()-854)),"")</f>
        <v/>
      </c>
      <c r="D887" s="130" t="str">
        <f t="shared" si="45"/>
        <v/>
      </c>
      <c r="E887" s="107" t="str">
        <f t="shared" si="44"/>
        <v/>
      </c>
      <c r="F887" s="124"/>
      <c r="G887" s="19"/>
      <c r="H887" s="19"/>
      <c r="I887" s="19"/>
      <c r="J887" s="19"/>
      <c r="K887" s="233"/>
      <c r="L887" s="19"/>
      <c r="M887" s="19"/>
      <c r="N887" s="19"/>
      <c r="O887" s="19"/>
      <c r="P887" s="19"/>
      <c r="Q887" s="19"/>
      <c r="R887" s="19"/>
      <c r="S887" s="19"/>
      <c r="T887" s="19"/>
      <c r="U887" s="19"/>
      <c r="V887" s="19"/>
      <c r="W887" s="19"/>
      <c r="X887" s="19"/>
      <c r="Y887" s="19"/>
    </row>
    <row r="888" spans="1:25" ht="13.5" customHeight="1">
      <c r="A888" s="219" t="str" cm="1">
        <f t="array" ref="A888">IFERROR(INDEX('03.Muestra'!$B$8:$B$42,SMALL(IF("Documento no web"='03.Muestra'!$D$8:$D$42,ROW('03.Muestra'!$B$8:$B$42)-MIN(ROW('03.Muestra'!$D$8:$D$42))+1,""),ROW()-854)),"")</f>
        <v/>
      </c>
      <c r="B888" s="114" t="str" cm="1">
        <f t="array" ref="B888">IFERROR(INDEX('03.Muestra'!$C$8:$C$42,SMALL(IF("Documento no web"='03.Muestra'!$D$8:$D$42,ROW('03.Muestra'!$C$8:$C$42)-MIN(ROW('03.Muestra'!$D$8:$D$42))+1,""),ROW()-854)),"")</f>
        <v/>
      </c>
      <c r="C888" s="114" t="str" cm="1">
        <f t="array" ref="C888">IFERROR(INDEX('03.Muestra'!$F$8:$F$42,SMALL(IF("Documento no web"='03.Muestra'!$D$8:$D$42,ROW('03.Muestra'!$F$8:$F$42)-MIN(ROW('03.Muestra'!$D$8:$D$42))+1,""),ROW()-854)),"")</f>
        <v/>
      </c>
      <c r="D888" s="130" t="str">
        <f t="shared" si="45"/>
        <v/>
      </c>
      <c r="E888" s="107" t="str">
        <f t="shared" si="44"/>
        <v/>
      </c>
      <c r="F888" s="124"/>
      <c r="G888" s="19"/>
      <c r="H888" s="19"/>
      <c r="I888" s="19"/>
      <c r="J888" s="19"/>
      <c r="K888" s="233"/>
      <c r="L888" s="19"/>
      <c r="M888" s="19"/>
      <c r="N888" s="19"/>
      <c r="O888" s="19"/>
      <c r="P888" s="19"/>
      <c r="Q888" s="19"/>
      <c r="R888" s="19"/>
      <c r="S888" s="19"/>
      <c r="T888" s="19"/>
      <c r="U888" s="19"/>
      <c r="V888" s="19"/>
      <c r="W888" s="19"/>
      <c r="X888" s="19"/>
      <c r="Y888" s="19"/>
    </row>
    <row r="889" spans="1:25" ht="13.5" customHeight="1">
      <c r="A889" s="219" t="str" cm="1">
        <f t="array" ref="A889">IFERROR(INDEX('03.Muestra'!$B$8:$B$42,SMALL(IF("Documento no web"='03.Muestra'!$D$8:$D$42,ROW('03.Muestra'!$B$8:$B$42)-MIN(ROW('03.Muestra'!$D$8:$D$42))+1,""),ROW()-854)),"")</f>
        <v/>
      </c>
      <c r="B889" s="114" t="str" cm="1">
        <f t="array" ref="B889">IFERROR(INDEX('03.Muestra'!$C$8:$C$42,SMALL(IF("Documento no web"='03.Muestra'!$D$8:$D$42,ROW('03.Muestra'!$C$8:$C$42)-MIN(ROW('03.Muestra'!$D$8:$D$42))+1,""),ROW()-854)),"")</f>
        <v/>
      </c>
      <c r="C889" s="114" t="str" cm="1">
        <f t="array" ref="C889">IFERROR(INDEX('03.Muestra'!$F$8:$F$42,SMALL(IF("Documento no web"='03.Muestra'!$D$8:$D$42,ROW('03.Muestra'!$F$8:$F$42)-MIN(ROW('03.Muestra'!$D$8:$D$42))+1,""),ROW()-854)),"")</f>
        <v/>
      </c>
      <c r="D889" s="130" t="str">
        <f t="shared" si="45"/>
        <v/>
      </c>
      <c r="E889" s="107" t="str">
        <f t="shared" si="44"/>
        <v/>
      </c>
      <c r="F889" s="19"/>
      <c r="G889" s="19"/>
      <c r="H889" s="19"/>
      <c r="I889" s="19"/>
      <c r="J889" s="19"/>
      <c r="K889" s="233"/>
      <c r="L889" s="19"/>
      <c r="M889" s="19"/>
      <c r="N889" s="19"/>
      <c r="O889" s="19"/>
      <c r="P889" s="19"/>
      <c r="Q889" s="19"/>
      <c r="R889" s="19"/>
      <c r="S889" s="19"/>
      <c r="T889" s="19"/>
      <c r="U889" s="19"/>
      <c r="V889" s="19"/>
      <c r="W889" s="19"/>
      <c r="X889" s="19"/>
      <c r="Y889" s="19"/>
    </row>
    <row r="890" spans="1:25" ht="13.5" customHeight="1">
      <c r="B890" s="19"/>
      <c r="C890" s="19"/>
      <c r="D890" s="19"/>
      <c r="E890" s="19"/>
      <c r="F890" s="19"/>
      <c r="G890" s="19"/>
      <c r="H890" s="19"/>
      <c r="I890" s="19"/>
      <c r="J890" s="19"/>
      <c r="K890" s="233"/>
      <c r="L890" s="19"/>
      <c r="M890" s="19"/>
      <c r="N890" s="19"/>
      <c r="O890" s="19"/>
      <c r="P890" s="19"/>
      <c r="Q890" s="19"/>
      <c r="R890" s="19"/>
      <c r="S890" s="19"/>
      <c r="T890" s="19"/>
      <c r="U890" s="19"/>
      <c r="V890" s="19"/>
      <c r="W890" s="19"/>
      <c r="X890" s="19"/>
      <c r="Y890" s="19"/>
    </row>
    <row r="891" spans="1:25" ht="13.5" customHeight="1">
      <c r="B891" s="126"/>
      <c r="C891" s="19"/>
      <c r="D891" s="107"/>
      <c r="E891" s="112"/>
      <c r="F891" s="19"/>
      <c r="G891" s="19"/>
      <c r="H891" s="19"/>
      <c r="I891" s="19"/>
      <c r="J891" s="19"/>
      <c r="K891" s="233"/>
      <c r="L891" s="19"/>
      <c r="M891" s="19"/>
      <c r="N891" s="19"/>
      <c r="O891" s="19"/>
      <c r="P891" s="19"/>
      <c r="Q891" s="19"/>
      <c r="R891" s="19"/>
      <c r="S891" s="19"/>
      <c r="T891" s="19"/>
      <c r="U891" s="19"/>
      <c r="V891" s="19"/>
      <c r="W891" s="19"/>
      <c r="X891" s="19"/>
      <c r="Y891" s="19"/>
    </row>
    <row r="892" spans="1:25" ht="30" customHeight="1">
      <c r="A892" s="218" t="s">
        <v>268</v>
      </c>
      <c r="B892" s="24" t="s">
        <v>90</v>
      </c>
      <c r="C892" s="25" t="s">
        <v>445</v>
      </c>
      <c r="D892" s="26" t="s">
        <v>32</v>
      </c>
      <c r="E892" s="123"/>
      <c r="K892" s="233"/>
      <c r="L892" s="19"/>
      <c r="M892" s="19"/>
      <c r="N892" s="19"/>
      <c r="O892" s="19"/>
      <c r="P892" s="19"/>
      <c r="Q892" s="19"/>
      <c r="R892" s="19"/>
      <c r="S892" s="19"/>
      <c r="T892" s="19"/>
      <c r="U892" s="19"/>
      <c r="V892" s="19"/>
      <c r="W892" s="19"/>
      <c r="X892" s="19"/>
      <c r="Y892" s="19"/>
    </row>
    <row r="893" spans="1:25" ht="13.5" customHeight="1">
      <c r="A893" s="219" t="n" cm="1">
        <f t="array" ref="A893">IFERROR(INDEX('03.Muestra'!$B$8:$B$42,SMALL(IF("Documento no web"='03.Muestra'!$D$8:$D$42,ROW('03.Muestra'!$B$8:$B$42)-MIN(ROW('03.Muestra'!$D$8:$D$42))+1,""),ROW()-892)),"")</f>
        <v>1.0</v>
      </c>
      <c r="B893" s="114" t="str" cm="1">
        <f t="array" ref="B893">IFERROR(INDEX('03.Muestra'!$C$8:$C$42,SMALL(IF("Documento no web"='03.Muestra'!$D$8:$D$42,ROW('03.Muestra'!$C$8:$C$42)-MIN(ROW('03.Muestra'!$D$8:$D$42))+1,""),ROW()-892)),"")</f>
        <v>Home - PortCastelló</v>
      </c>
      <c r="C893" s="114" t="str" cm="1">
        <f t="array" ref="C893">IFERROR(INDEX('03.Muestra'!$F$8:$F$42,SMALL(IF("Documento no web"='03.Muestra'!$D$8:$D$42,ROW('03.Muestra'!$F$8:$F$42)-MIN(ROW('03.Muestra'!$D$8:$D$42))+1,""),ROW()-892)),"")</f>
        <v>https://www.portcastello.com/</v>
      </c>
      <c r="D893" s="130" t="s">
        <v>33</v>
      </c>
      <c r="E893" s="107" t="str">
        <f t="shared" ref="E893:E927" si="46">IF(D893&lt;&gt;"",IF(AND(B893&lt;&gt;"",C893&lt;&gt;""),"","ERR"),"")</f>
        <v/>
      </c>
      <c r="F893" s="115" t="s">
        <v>33</v>
      </c>
      <c r="G893" s="116" t="s">
        <v>37</v>
      </c>
      <c r="H893" s="117" t="s">
        <v>35</v>
      </c>
      <c r="I893" s="118" t="s">
        <v>28</v>
      </c>
      <c r="J893" s="119" t="s">
        <v>26</v>
      </c>
      <c r="K893" s="226" t="s">
        <v>474</v>
      </c>
      <c r="L893" s="19"/>
      <c r="M893" s="19"/>
      <c r="N893" s="19"/>
      <c r="O893" s="19"/>
      <c r="P893" s="19"/>
      <c r="Q893" s="19"/>
      <c r="R893" s="19"/>
      <c r="S893" s="19"/>
      <c r="T893" s="19"/>
      <c r="U893" s="19"/>
      <c r="V893" s="19"/>
      <c r="W893" s="19"/>
      <c r="X893" s="19"/>
      <c r="Y893" s="19"/>
    </row>
    <row r="894" spans="1:25" ht="13.5" customHeight="1">
      <c r="A894" s="219" t="n" cm="1">
        <f t="array" ref="A894">IFERROR(INDEX('03.Muestra'!$B$8:$B$42,SMALL(IF("Documento no web"='03.Muestra'!$D$8:$D$42,ROW('03.Muestra'!$B$8:$B$42)-MIN(ROW('03.Muestra'!$D$8:$D$42))+1,""),ROW()-892)),"")</f>
        <v>1.0</v>
      </c>
      <c r="B894" s="114" t="str" cm="1">
        <f t="array" ref="B894">IFERROR(INDEX('03.Muestra'!$C$8:$C$42,SMALL(IF("Documento no web"='03.Muestra'!$D$8:$D$42,ROW('03.Muestra'!$C$8:$C$42)-MIN(ROW('03.Muestra'!$D$8:$D$42))+1,""),ROW()-892)),"")</f>
        <v>Home - PortCastelló</v>
      </c>
      <c r="C894" s="114" t="str" cm="1">
        <f t="array" ref="C894">IFERROR(INDEX('03.Muestra'!$F$8:$F$42,SMALL(IF("Documento no web"='03.Muestra'!$D$8:$D$42,ROW('03.Muestra'!$F$8:$F$42)-MIN(ROW('03.Muestra'!$D$8:$D$42))+1,""),ROW()-892)),"")</f>
        <v>https://www.portcastello.com/</v>
      </c>
      <c r="D894" s="130" t="s">
        <v>33</v>
      </c>
      <c r="E894" s="107" t="str">
        <f t="shared" si="46"/>
        <v/>
      </c>
      <c r="F894" s="120" t="n">
        <f ca="1">COUNTIF($D893:INDIRECT("$D" &amp;  SUM(ROW()-1,'03.Muestra'!$D$45)-1),F893)</f>
        <v>2.0</v>
      </c>
      <c r="G894" s="120" t="n">
        <f ca="1">COUNTIF($D893:INDIRECT("$D" &amp;  SUM(ROW()-1,'03.Muestra'!$D$45)-1),G893)</f>
        <v>0.0</v>
      </c>
      <c r="H894" s="120" t="n">
        <f ca="1">COUNTIF($D893:INDIRECT("$D" &amp;  SUM(ROW()-1,'03.Muestra'!$D$45)-1),H893)</f>
        <v>0.0</v>
      </c>
      <c r="I894" s="120" t="n">
        <f ca="1">COUNTIF($D893:INDIRECT("$D" &amp;  SUM(ROW()-1,'03.Muestra'!$D$45)-1),I893)</f>
        <v>0.0</v>
      </c>
      <c r="J894" s="120" t="n">
        <f ca="1">COUNTIF($D893:INDIRECT("$D" &amp;  SUM(ROW()-1,'03.Muestra'!$D$45)-1),J893)</f>
        <v>0.0</v>
      </c>
      <c r="K894" s="227" t="n">
        <f ca="1">IF(COUNTIF('03.Muestra'!$D$8:$D$42,"Documento no web")=0,0,COUNTBLANK($D893:INDIRECT("$D" &amp;  SUM(ROW()-1,COUNTIF('03.Muestra'!$D$8:$D$42,"Documento no web"))-1)))</f>
        <v>0.0</v>
      </c>
      <c r="L894" s="19"/>
      <c r="M894" s="19"/>
      <c r="N894" s="19"/>
      <c r="O894" s="19"/>
      <c r="P894" s="19"/>
      <c r="Q894" s="19"/>
      <c r="R894" s="19"/>
      <c r="S894" s="19"/>
      <c r="T894" s="19"/>
      <c r="U894" s="19"/>
      <c r="V894" s="19"/>
      <c r="W894" s="19"/>
      <c r="X894" s="19"/>
      <c r="Y894" s="19"/>
    </row>
    <row r="895" spans="1:25" ht="13.5" customHeight="1">
      <c r="A895" s="219" t="str" cm="1">
        <f t="array" ref="A895">IFERROR(INDEX('03.Muestra'!$B$8:$B$42,SMALL(IF("Documento no web"='03.Muestra'!$D$8:$D$42,ROW('03.Muestra'!$B$8:$B$42)-MIN(ROW('03.Muestra'!$D$8:$D$42))+1,""),ROW()-892)),"")</f>
        <v/>
      </c>
      <c r="B895" s="114" t="str" cm="1">
        <f t="array" ref="B895">IFERROR(INDEX('03.Muestra'!$C$8:$C$42,SMALL(IF("Documento no web"='03.Muestra'!$D$8:$D$42,ROW('03.Muestra'!$C$8:$C$42)-MIN(ROW('03.Muestra'!$D$8:$D$42))+1,""),ROW()-892)),"")</f>
        <v/>
      </c>
      <c r="C895" s="114" t="str" cm="1">
        <f t="array" ref="C895">IFERROR(INDEX('03.Muestra'!$F$8:$F$42,SMALL(IF("Documento no web"='03.Muestra'!$D$8:$D$42,ROW('03.Muestra'!$F$8:$F$42)-MIN(ROW('03.Muestra'!$D$8:$D$42))+1,""),ROW()-892)),"")</f>
        <v/>
      </c>
      <c r="D895" s="130" t="str">
        <f t="shared" si="47" ref="D895:D927">IF(AND(B895&lt;&gt;"",C895&lt;&gt;""),"N/T","")</f>
        <v/>
      </c>
      <c r="E895" s="107" t="str">
        <f t="shared" si="46"/>
        <v/>
      </c>
      <c r="G895" s="19"/>
      <c r="H895" s="19"/>
      <c r="I895" s="19"/>
      <c r="J895" s="19"/>
      <c r="K895" s="233"/>
      <c r="L895" s="19"/>
      <c r="M895" s="19"/>
      <c r="N895" s="19"/>
      <c r="O895" s="19"/>
      <c r="P895" s="19"/>
      <c r="Q895" s="19"/>
      <c r="R895" s="19"/>
      <c r="S895" s="19"/>
      <c r="T895" s="19"/>
      <c r="U895" s="19"/>
      <c r="V895" s="19"/>
      <c r="W895" s="19"/>
      <c r="X895" s="19"/>
      <c r="Y895" s="19"/>
    </row>
    <row r="896" spans="1:25" ht="13.5" customHeight="1">
      <c r="A896" s="219" t="str" cm="1">
        <f t="array" ref="A896">IFERROR(INDEX('03.Muestra'!$B$8:$B$42,SMALL(IF("Documento no web"='03.Muestra'!$D$8:$D$42,ROW('03.Muestra'!$B$8:$B$42)-MIN(ROW('03.Muestra'!$D$8:$D$42))+1,""),ROW()-892)),"")</f>
        <v/>
      </c>
      <c r="B896" s="114" t="str" cm="1">
        <f t="array" ref="B896">IFERROR(INDEX('03.Muestra'!$C$8:$C$42,SMALL(IF("Documento no web"='03.Muestra'!$D$8:$D$42,ROW('03.Muestra'!$C$8:$C$42)-MIN(ROW('03.Muestra'!$D$8:$D$42))+1,""),ROW()-892)),"")</f>
        <v/>
      </c>
      <c r="C896" s="114" t="str" cm="1">
        <f t="array" ref="C896">IFERROR(INDEX('03.Muestra'!$F$8:$F$42,SMALL(IF("Documento no web"='03.Muestra'!$D$8:$D$42,ROW('03.Muestra'!$F$8:$F$42)-MIN(ROW('03.Muestra'!$D$8:$D$42))+1,""),ROW()-892)),"")</f>
        <v/>
      </c>
      <c r="D896" s="130" t="str">
        <f t="shared" si="47"/>
        <v/>
      </c>
      <c r="E896" s="107" t="str">
        <f t="shared" si="46"/>
        <v/>
      </c>
      <c r="G896" s="19"/>
      <c r="H896" s="19"/>
      <c r="I896" s="19"/>
      <c r="J896" s="19"/>
      <c r="K896" s="233"/>
      <c r="L896" s="19"/>
      <c r="M896" s="19"/>
      <c r="N896" s="19"/>
      <c r="O896" s="19"/>
      <c r="P896" s="19"/>
      <c r="Q896" s="19"/>
      <c r="R896" s="19"/>
      <c r="S896" s="19"/>
      <c r="T896" s="19"/>
      <c r="U896" s="19"/>
      <c r="V896" s="19"/>
      <c r="W896" s="19"/>
      <c r="X896" s="19"/>
      <c r="Y896" s="19"/>
    </row>
    <row r="897" spans="1:25" ht="13.5" customHeight="1">
      <c r="A897" s="219" t="str" cm="1">
        <f t="array" ref="A897">IFERROR(INDEX('03.Muestra'!$B$8:$B$42,SMALL(IF("Documento no web"='03.Muestra'!$D$8:$D$42,ROW('03.Muestra'!$B$8:$B$42)-MIN(ROW('03.Muestra'!$D$8:$D$42))+1,""),ROW()-892)),"")</f>
        <v/>
      </c>
      <c r="B897" s="114" t="str" cm="1">
        <f t="array" ref="B897">IFERROR(INDEX('03.Muestra'!$C$8:$C$42,SMALL(IF("Documento no web"='03.Muestra'!$D$8:$D$42,ROW('03.Muestra'!$C$8:$C$42)-MIN(ROW('03.Muestra'!$D$8:$D$42))+1,""),ROW()-892)),"")</f>
        <v/>
      </c>
      <c r="C897" s="114" t="str" cm="1">
        <f t="array" ref="C897">IFERROR(INDEX('03.Muestra'!$F$8:$F$42,SMALL(IF("Documento no web"='03.Muestra'!$D$8:$D$42,ROW('03.Muestra'!$F$8:$F$42)-MIN(ROW('03.Muestra'!$D$8:$D$42))+1,""),ROW()-892)),"")</f>
        <v/>
      </c>
      <c r="D897" s="130" t="str">
        <f t="shared" si="47"/>
        <v/>
      </c>
      <c r="E897" s="107" t="str">
        <f t="shared" si="46"/>
        <v/>
      </c>
      <c r="G897" s="19"/>
      <c r="H897" s="19"/>
      <c r="I897" s="19"/>
      <c r="J897" s="19"/>
      <c r="K897" s="233"/>
      <c r="L897" s="19"/>
      <c r="M897" s="19"/>
      <c r="N897" s="19"/>
      <c r="O897" s="19"/>
      <c r="P897" s="19"/>
      <c r="Q897" s="19"/>
      <c r="R897" s="19"/>
      <c r="S897" s="19"/>
      <c r="T897" s="19"/>
      <c r="U897" s="19"/>
      <c r="V897" s="19"/>
      <c r="W897" s="19"/>
      <c r="X897" s="19"/>
      <c r="Y897" s="19"/>
    </row>
    <row r="898" spans="1:25" ht="13.5" customHeight="1">
      <c r="A898" s="219" t="str" cm="1">
        <f t="array" ref="A898">IFERROR(INDEX('03.Muestra'!$B$8:$B$42,SMALL(IF("Documento no web"='03.Muestra'!$D$8:$D$42,ROW('03.Muestra'!$B$8:$B$42)-MIN(ROW('03.Muestra'!$D$8:$D$42))+1,""),ROW()-892)),"")</f>
        <v/>
      </c>
      <c r="B898" s="114" t="str" cm="1">
        <f t="array" ref="B898">IFERROR(INDEX('03.Muestra'!$C$8:$C$42,SMALL(IF("Documento no web"='03.Muestra'!$D$8:$D$42,ROW('03.Muestra'!$C$8:$C$42)-MIN(ROW('03.Muestra'!$D$8:$D$42))+1,""),ROW()-892)),"")</f>
        <v/>
      </c>
      <c r="C898" s="114" t="str" cm="1">
        <f t="array" ref="C898">IFERROR(INDEX('03.Muestra'!$F$8:$F$42,SMALL(IF("Documento no web"='03.Muestra'!$D$8:$D$42,ROW('03.Muestra'!$F$8:$F$42)-MIN(ROW('03.Muestra'!$D$8:$D$42))+1,""),ROW()-892)),"")</f>
        <v/>
      </c>
      <c r="D898" s="130" t="str">
        <f t="shared" si="47"/>
        <v/>
      </c>
      <c r="E898" s="107" t="str">
        <f t="shared" si="46"/>
        <v/>
      </c>
      <c r="G898" s="19"/>
      <c r="H898" s="19"/>
      <c r="I898" s="19"/>
      <c r="J898" s="19"/>
      <c r="K898" s="233"/>
      <c r="L898" s="19"/>
      <c r="M898" s="19"/>
      <c r="N898" s="19"/>
      <c r="O898" s="19"/>
      <c r="P898" s="19"/>
      <c r="Q898" s="19"/>
      <c r="R898" s="19"/>
      <c r="S898" s="19"/>
      <c r="T898" s="19"/>
      <c r="U898" s="19"/>
      <c r="V898" s="19"/>
      <c r="W898" s="19"/>
      <c r="X898" s="19"/>
      <c r="Y898" s="19"/>
    </row>
    <row r="899" spans="1:25" ht="13.5" customHeight="1">
      <c r="A899" s="219" t="str" cm="1">
        <f t="array" ref="A899">IFERROR(INDEX('03.Muestra'!$B$8:$B$42,SMALL(IF("Documento no web"='03.Muestra'!$D$8:$D$42,ROW('03.Muestra'!$B$8:$B$42)-MIN(ROW('03.Muestra'!$D$8:$D$42))+1,""),ROW()-892)),"")</f>
        <v/>
      </c>
      <c r="B899" s="114" t="str" cm="1">
        <f t="array" ref="B899">IFERROR(INDEX('03.Muestra'!$C$8:$C$42,SMALL(IF("Documento no web"='03.Muestra'!$D$8:$D$42,ROW('03.Muestra'!$C$8:$C$42)-MIN(ROW('03.Muestra'!$D$8:$D$42))+1,""),ROW()-892)),"")</f>
        <v/>
      </c>
      <c r="C899" s="114" t="str" cm="1">
        <f t="array" ref="C899">IFERROR(INDEX('03.Muestra'!$F$8:$F$42,SMALL(IF("Documento no web"='03.Muestra'!$D$8:$D$42,ROW('03.Muestra'!$F$8:$F$42)-MIN(ROW('03.Muestra'!$D$8:$D$42))+1,""),ROW()-892)),"")</f>
        <v/>
      </c>
      <c r="D899" s="130" t="str">
        <f t="shared" si="47"/>
        <v/>
      </c>
      <c r="E899" s="107" t="str">
        <f t="shared" si="46"/>
        <v/>
      </c>
      <c r="F899" s="19"/>
      <c r="G899" s="19"/>
      <c r="H899" s="19"/>
      <c r="I899" s="19"/>
      <c r="J899" s="19"/>
      <c r="K899" s="233"/>
      <c r="L899" s="19"/>
      <c r="M899" s="19"/>
      <c r="N899" s="19"/>
      <c r="O899" s="19"/>
      <c r="P899" s="19"/>
      <c r="Q899" s="19"/>
      <c r="R899" s="19"/>
      <c r="S899" s="19"/>
      <c r="T899" s="19"/>
      <c r="U899" s="19"/>
      <c r="V899" s="19"/>
      <c r="W899" s="19"/>
      <c r="X899" s="19"/>
      <c r="Y899" s="19"/>
    </row>
    <row r="900" spans="1:25" ht="13.5" customHeight="1">
      <c r="A900" s="219" t="str" cm="1">
        <f t="array" ref="A900">IFERROR(INDEX('03.Muestra'!$B$8:$B$42,SMALL(IF("Documento no web"='03.Muestra'!$D$8:$D$42,ROW('03.Muestra'!$B$8:$B$42)-MIN(ROW('03.Muestra'!$D$8:$D$42))+1,""),ROW()-892)),"")</f>
        <v/>
      </c>
      <c r="B900" s="114" t="str" cm="1">
        <f t="array" ref="B900">IFERROR(INDEX('03.Muestra'!$C$8:$C$42,SMALL(IF("Documento no web"='03.Muestra'!$D$8:$D$42,ROW('03.Muestra'!$C$8:$C$42)-MIN(ROW('03.Muestra'!$D$8:$D$42))+1,""),ROW()-892)),"")</f>
        <v/>
      </c>
      <c r="C900" s="114" t="str" cm="1">
        <f t="array" ref="C900">IFERROR(INDEX('03.Muestra'!$F$8:$F$42,SMALL(IF("Documento no web"='03.Muestra'!$D$8:$D$42,ROW('03.Muestra'!$F$8:$F$42)-MIN(ROW('03.Muestra'!$D$8:$D$42))+1,""),ROW()-892)),"")</f>
        <v/>
      </c>
      <c r="D900" s="130" t="str">
        <f t="shared" si="47"/>
        <v/>
      </c>
      <c r="E900" s="107" t="str">
        <f t="shared" si="46"/>
        <v/>
      </c>
      <c r="F900" s="19"/>
      <c r="G900" s="19"/>
      <c r="H900" s="19"/>
      <c r="I900" s="19"/>
      <c r="J900" s="19"/>
      <c r="K900" s="233"/>
      <c r="L900" s="19"/>
      <c r="M900" s="19"/>
      <c r="N900" s="19"/>
      <c r="O900" s="19"/>
      <c r="P900" s="19"/>
      <c r="Q900" s="19"/>
      <c r="R900" s="19"/>
      <c r="S900" s="19"/>
      <c r="T900" s="19"/>
      <c r="U900" s="19"/>
      <c r="V900" s="19"/>
      <c r="W900" s="19"/>
      <c r="X900" s="19"/>
      <c r="Y900" s="19"/>
    </row>
    <row r="901" spans="1:25" ht="13.5" customHeight="1">
      <c r="A901" s="219" t="str" cm="1">
        <f t="array" ref="A901">IFERROR(INDEX('03.Muestra'!$B$8:$B$42,SMALL(IF("Documento no web"='03.Muestra'!$D$8:$D$42,ROW('03.Muestra'!$B$8:$B$42)-MIN(ROW('03.Muestra'!$D$8:$D$42))+1,""),ROW()-892)),"")</f>
        <v/>
      </c>
      <c r="B901" s="114" t="str" cm="1">
        <f t="array" ref="B901">IFERROR(INDEX('03.Muestra'!$C$8:$C$42,SMALL(IF("Documento no web"='03.Muestra'!$D$8:$D$42,ROW('03.Muestra'!$C$8:$C$42)-MIN(ROW('03.Muestra'!$D$8:$D$42))+1,""),ROW()-892)),"")</f>
        <v/>
      </c>
      <c r="C901" s="114" t="str" cm="1">
        <f t="array" ref="C901">IFERROR(INDEX('03.Muestra'!$F$8:$F$42,SMALL(IF("Documento no web"='03.Muestra'!$D$8:$D$42,ROW('03.Muestra'!$F$8:$F$42)-MIN(ROW('03.Muestra'!$D$8:$D$42))+1,""),ROW()-892)),"")</f>
        <v/>
      </c>
      <c r="D901" s="130" t="str">
        <f t="shared" si="47"/>
        <v/>
      </c>
      <c r="E901" s="107" t="str">
        <f t="shared" si="46"/>
        <v/>
      </c>
      <c r="F901" s="19"/>
      <c r="G901" s="19"/>
      <c r="H901" s="19"/>
      <c r="I901" s="19"/>
      <c r="J901" s="19"/>
      <c r="K901" s="233"/>
      <c r="L901" s="19"/>
      <c r="M901" s="19"/>
      <c r="N901" s="19"/>
      <c r="O901" s="19"/>
      <c r="P901" s="19"/>
      <c r="Q901" s="19"/>
      <c r="R901" s="19"/>
      <c r="S901" s="19"/>
      <c r="T901" s="19"/>
      <c r="U901" s="19"/>
      <c r="V901" s="19"/>
      <c r="W901" s="19"/>
      <c r="X901" s="19"/>
      <c r="Y901" s="19"/>
    </row>
    <row r="902" spans="1:25" ht="13.5" customHeight="1">
      <c r="A902" s="219" t="str" cm="1">
        <f t="array" ref="A902">IFERROR(INDEX('03.Muestra'!$B$8:$B$42,SMALL(IF("Documento no web"='03.Muestra'!$D$8:$D$42,ROW('03.Muestra'!$B$8:$B$42)-MIN(ROW('03.Muestra'!$D$8:$D$42))+1,""),ROW()-892)),"")</f>
        <v/>
      </c>
      <c r="B902" s="114" t="str" cm="1">
        <f t="array" ref="B902">IFERROR(INDEX('03.Muestra'!$C$8:$C$42,SMALL(IF("Documento no web"='03.Muestra'!$D$8:$D$42,ROW('03.Muestra'!$C$8:$C$42)-MIN(ROW('03.Muestra'!$D$8:$D$42))+1,""),ROW()-892)),"")</f>
        <v/>
      </c>
      <c r="C902" s="114" t="str" cm="1">
        <f t="array" ref="C902">IFERROR(INDEX('03.Muestra'!$F$8:$F$42,SMALL(IF("Documento no web"='03.Muestra'!$D$8:$D$42,ROW('03.Muestra'!$F$8:$F$42)-MIN(ROW('03.Muestra'!$D$8:$D$42))+1,""),ROW()-892)),"")</f>
        <v/>
      </c>
      <c r="D902" s="130" t="str">
        <f t="shared" si="47"/>
        <v/>
      </c>
      <c r="E902" s="107" t="str">
        <f t="shared" si="46"/>
        <v/>
      </c>
      <c r="F902" s="19"/>
      <c r="G902" s="19"/>
      <c r="H902" s="19"/>
      <c r="I902" s="19"/>
      <c r="J902" s="19"/>
      <c r="K902" s="233"/>
      <c r="L902" s="19"/>
      <c r="M902" s="19"/>
      <c r="N902" s="19"/>
      <c r="O902" s="19"/>
      <c r="P902" s="19"/>
      <c r="Q902" s="19"/>
      <c r="R902" s="19"/>
      <c r="S902" s="19"/>
      <c r="T902" s="19"/>
      <c r="U902" s="19"/>
      <c r="V902" s="19"/>
      <c r="W902" s="19"/>
      <c r="X902" s="19"/>
      <c r="Y902" s="19"/>
    </row>
    <row r="903" spans="1:25" ht="13.5" customHeight="1">
      <c r="A903" s="219" t="str" cm="1">
        <f t="array" ref="A903">IFERROR(INDEX('03.Muestra'!$B$8:$B$42,SMALL(IF("Documento no web"='03.Muestra'!$D$8:$D$42,ROW('03.Muestra'!$B$8:$B$42)-MIN(ROW('03.Muestra'!$D$8:$D$42))+1,""),ROW()-892)),"")</f>
        <v/>
      </c>
      <c r="B903" s="114" t="str" cm="1">
        <f t="array" ref="B903">IFERROR(INDEX('03.Muestra'!$C$8:$C$42,SMALL(IF("Documento no web"='03.Muestra'!$D$8:$D$42,ROW('03.Muestra'!$C$8:$C$42)-MIN(ROW('03.Muestra'!$D$8:$D$42))+1,""),ROW()-892)),"")</f>
        <v/>
      </c>
      <c r="C903" s="114" t="str" cm="1">
        <f t="array" ref="C903">IFERROR(INDEX('03.Muestra'!$F$8:$F$42,SMALL(IF("Documento no web"='03.Muestra'!$D$8:$D$42,ROW('03.Muestra'!$F$8:$F$42)-MIN(ROW('03.Muestra'!$D$8:$D$42))+1,""),ROW()-892)),"")</f>
        <v/>
      </c>
      <c r="D903" s="130" t="str">
        <f t="shared" si="47"/>
        <v/>
      </c>
      <c r="E903" s="107" t="str">
        <f t="shared" si="46"/>
        <v/>
      </c>
      <c r="F903" s="19"/>
      <c r="G903" s="19"/>
      <c r="H903" s="19"/>
      <c r="I903" s="19"/>
      <c r="J903" s="19"/>
      <c r="K903" s="233"/>
      <c r="L903" s="19"/>
      <c r="M903" s="19"/>
      <c r="N903" s="19"/>
      <c r="O903" s="19"/>
      <c r="P903" s="19"/>
      <c r="Q903" s="19"/>
      <c r="R903" s="19"/>
      <c r="S903" s="19"/>
      <c r="T903" s="19"/>
      <c r="U903" s="19"/>
      <c r="V903" s="19"/>
      <c r="W903" s="19"/>
      <c r="X903" s="19"/>
      <c r="Y903" s="19"/>
    </row>
    <row r="904" spans="1:25" ht="13.5" customHeight="1">
      <c r="A904" s="219" t="str" cm="1">
        <f t="array" ref="A904">IFERROR(INDEX('03.Muestra'!$B$8:$B$42,SMALL(IF("Documento no web"='03.Muestra'!$D$8:$D$42,ROW('03.Muestra'!$B$8:$B$42)-MIN(ROW('03.Muestra'!$D$8:$D$42))+1,""),ROW()-892)),"")</f>
        <v/>
      </c>
      <c r="B904" s="114" t="str" cm="1">
        <f t="array" ref="B904">IFERROR(INDEX('03.Muestra'!$C$8:$C$42,SMALL(IF("Documento no web"='03.Muestra'!$D$8:$D$42,ROW('03.Muestra'!$C$8:$C$42)-MIN(ROW('03.Muestra'!$D$8:$D$42))+1,""),ROW()-892)),"")</f>
        <v/>
      </c>
      <c r="C904" s="114" t="str" cm="1">
        <f t="array" ref="C904">IFERROR(INDEX('03.Muestra'!$F$8:$F$42,SMALL(IF("Documento no web"='03.Muestra'!$D$8:$D$42,ROW('03.Muestra'!$F$8:$F$42)-MIN(ROW('03.Muestra'!$D$8:$D$42))+1,""),ROW()-892)),"")</f>
        <v/>
      </c>
      <c r="D904" s="130" t="str">
        <f t="shared" si="47"/>
        <v/>
      </c>
      <c r="E904" s="107" t="str">
        <f t="shared" si="46"/>
        <v/>
      </c>
      <c r="F904" s="19"/>
      <c r="G904" s="19"/>
      <c r="H904" s="19"/>
      <c r="I904" s="19"/>
      <c r="J904" s="19"/>
      <c r="K904" s="233"/>
      <c r="L904" s="19"/>
      <c r="M904" s="19"/>
      <c r="N904" s="19"/>
      <c r="O904" s="19"/>
      <c r="P904" s="19"/>
      <c r="Q904" s="19"/>
      <c r="R904" s="19"/>
      <c r="S904" s="19"/>
      <c r="T904" s="19"/>
      <c r="U904" s="19"/>
      <c r="V904" s="19"/>
      <c r="W904" s="19"/>
      <c r="X904" s="19"/>
      <c r="Y904" s="19"/>
    </row>
    <row r="905" spans="1:25" ht="13.5" customHeight="1">
      <c r="A905" s="219" t="str" cm="1">
        <f t="array" ref="A905">IFERROR(INDEX('03.Muestra'!$B$8:$B$42,SMALL(IF("Documento no web"='03.Muestra'!$D$8:$D$42,ROW('03.Muestra'!$B$8:$B$42)-MIN(ROW('03.Muestra'!$D$8:$D$42))+1,""),ROW()-892)),"")</f>
        <v/>
      </c>
      <c r="B905" s="114" t="str" cm="1">
        <f t="array" ref="B905">IFERROR(INDEX('03.Muestra'!$C$8:$C$42,SMALL(IF("Documento no web"='03.Muestra'!$D$8:$D$42,ROW('03.Muestra'!$C$8:$C$42)-MIN(ROW('03.Muestra'!$D$8:$D$42))+1,""),ROW()-892)),"")</f>
        <v/>
      </c>
      <c r="C905" s="114" t="str" cm="1">
        <f t="array" ref="C905">IFERROR(INDEX('03.Muestra'!$F$8:$F$42,SMALL(IF("Documento no web"='03.Muestra'!$D$8:$D$42,ROW('03.Muestra'!$F$8:$F$42)-MIN(ROW('03.Muestra'!$D$8:$D$42))+1,""),ROW()-892)),"")</f>
        <v/>
      </c>
      <c r="D905" s="130" t="str">
        <f t="shared" si="47"/>
        <v/>
      </c>
      <c r="E905" s="107" t="str">
        <f t="shared" si="46"/>
        <v/>
      </c>
      <c r="F905" s="19"/>
      <c r="G905" s="19"/>
      <c r="H905" s="19"/>
      <c r="I905" s="19"/>
      <c r="J905" s="19"/>
      <c r="K905" s="233"/>
      <c r="L905" s="19"/>
      <c r="M905" s="19"/>
      <c r="N905" s="19"/>
      <c r="O905" s="19"/>
      <c r="P905" s="19"/>
      <c r="Q905" s="19"/>
      <c r="R905" s="19"/>
      <c r="S905" s="19"/>
      <c r="T905" s="19"/>
      <c r="U905" s="19"/>
      <c r="V905" s="19"/>
      <c r="W905" s="19"/>
      <c r="X905" s="19"/>
      <c r="Y905" s="19"/>
    </row>
    <row r="906" spans="1:25" ht="13.5" customHeight="1">
      <c r="A906" s="219" t="str" cm="1">
        <f t="array" ref="A906">IFERROR(INDEX('03.Muestra'!$B$8:$B$42,SMALL(IF("Documento no web"='03.Muestra'!$D$8:$D$42,ROW('03.Muestra'!$B$8:$B$42)-MIN(ROW('03.Muestra'!$D$8:$D$42))+1,""),ROW()-892)),"")</f>
        <v/>
      </c>
      <c r="B906" s="114" t="str" cm="1">
        <f t="array" ref="B906">IFERROR(INDEX('03.Muestra'!$C$8:$C$42,SMALL(IF("Documento no web"='03.Muestra'!$D$8:$D$42,ROW('03.Muestra'!$C$8:$C$42)-MIN(ROW('03.Muestra'!$D$8:$D$42))+1,""),ROW()-892)),"")</f>
        <v/>
      </c>
      <c r="C906" s="114" t="str" cm="1">
        <f t="array" ref="C906">IFERROR(INDEX('03.Muestra'!$F$8:$F$42,SMALL(IF("Documento no web"='03.Muestra'!$D$8:$D$42,ROW('03.Muestra'!$F$8:$F$42)-MIN(ROW('03.Muestra'!$D$8:$D$42))+1,""),ROW()-892)),"")</f>
        <v/>
      </c>
      <c r="D906" s="130" t="str">
        <f t="shared" si="47"/>
        <v/>
      </c>
      <c r="E906" s="107" t="str">
        <f t="shared" si="46"/>
        <v/>
      </c>
      <c r="F906" s="19"/>
      <c r="G906" s="19"/>
      <c r="H906" s="19"/>
      <c r="I906" s="19"/>
      <c r="J906" s="19"/>
      <c r="K906" s="233"/>
      <c r="L906" s="19"/>
      <c r="M906" s="19"/>
      <c r="N906" s="19"/>
      <c r="O906" s="19"/>
      <c r="P906" s="19"/>
      <c r="Q906" s="19"/>
      <c r="R906" s="19"/>
      <c r="S906" s="19"/>
      <c r="T906" s="19"/>
      <c r="U906" s="19"/>
      <c r="V906" s="19"/>
      <c r="W906" s="19"/>
      <c r="X906" s="19"/>
      <c r="Y906" s="19"/>
    </row>
    <row r="907" spans="1:25" ht="13.5" customHeight="1">
      <c r="A907" s="219" t="str" cm="1">
        <f t="array" ref="A907">IFERROR(INDEX('03.Muestra'!$B$8:$B$42,SMALL(IF("Documento no web"='03.Muestra'!$D$8:$D$42,ROW('03.Muestra'!$B$8:$B$42)-MIN(ROW('03.Muestra'!$D$8:$D$42))+1,""),ROW()-892)),"")</f>
        <v/>
      </c>
      <c r="B907" s="114" t="str" cm="1">
        <f t="array" ref="B907">IFERROR(INDEX('03.Muestra'!$C$8:$C$42,SMALL(IF("Documento no web"='03.Muestra'!$D$8:$D$42,ROW('03.Muestra'!$C$8:$C$42)-MIN(ROW('03.Muestra'!$D$8:$D$42))+1,""),ROW()-892)),"")</f>
        <v/>
      </c>
      <c r="C907" s="114" t="str" cm="1">
        <f t="array" ref="C907">IFERROR(INDEX('03.Muestra'!$F$8:$F$42,SMALL(IF("Documento no web"='03.Muestra'!$D$8:$D$42,ROW('03.Muestra'!$F$8:$F$42)-MIN(ROW('03.Muestra'!$D$8:$D$42))+1,""),ROW()-892)),"")</f>
        <v/>
      </c>
      <c r="D907" s="130" t="str">
        <f t="shared" si="47"/>
        <v/>
      </c>
      <c r="E907" s="107" t="str">
        <f t="shared" si="46"/>
        <v/>
      </c>
      <c r="F907" s="19"/>
      <c r="G907" s="19"/>
      <c r="H907" s="19"/>
      <c r="I907" s="19"/>
      <c r="J907" s="19"/>
      <c r="K907" s="233"/>
      <c r="L907" s="19"/>
      <c r="M907" s="19"/>
      <c r="N907" s="19"/>
      <c r="O907" s="19"/>
      <c r="P907" s="19"/>
      <c r="Q907" s="19"/>
      <c r="R907" s="19"/>
      <c r="S907" s="19"/>
      <c r="T907" s="19"/>
      <c r="U907" s="19"/>
      <c r="V907" s="19"/>
      <c r="W907" s="19"/>
      <c r="X907" s="19"/>
      <c r="Y907" s="19"/>
    </row>
    <row r="908" spans="1:25" ht="13.5" customHeight="1">
      <c r="A908" s="219" t="str" cm="1">
        <f t="array" ref="A908">IFERROR(INDEX('03.Muestra'!$B$8:$B$42,SMALL(IF("Documento no web"='03.Muestra'!$D$8:$D$42,ROW('03.Muestra'!$B$8:$B$42)-MIN(ROW('03.Muestra'!$D$8:$D$42))+1,""),ROW()-892)),"")</f>
        <v/>
      </c>
      <c r="B908" s="114" t="str" cm="1">
        <f t="array" ref="B908">IFERROR(INDEX('03.Muestra'!$C$8:$C$42,SMALL(IF("Documento no web"='03.Muestra'!$D$8:$D$42,ROW('03.Muestra'!$C$8:$C$42)-MIN(ROW('03.Muestra'!$D$8:$D$42))+1,""),ROW()-892)),"")</f>
        <v/>
      </c>
      <c r="C908" s="114" t="str" cm="1">
        <f t="array" ref="C908">IFERROR(INDEX('03.Muestra'!$F$8:$F$42,SMALL(IF("Documento no web"='03.Muestra'!$D$8:$D$42,ROW('03.Muestra'!$F$8:$F$42)-MIN(ROW('03.Muestra'!$D$8:$D$42))+1,""),ROW()-892)),"")</f>
        <v/>
      </c>
      <c r="D908" s="130" t="str">
        <f t="shared" si="47"/>
        <v/>
      </c>
      <c r="E908" s="107" t="str">
        <f t="shared" si="46"/>
        <v/>
      </c>
      <c r="F908" s="19"/>
      <c r="G908" s="19"/>
      <c r="H908" s="19"/>
      <c r="I908" s="19"/>
      <c r="J908" s="19"/>
      <c r="K908" s="233"/>
      <c r="L908" s="19"/>
      <c r="M908" s="19"/>
      <c r="N908" s="19"/>
      <c r="O908" s="19"/>
      <c r="P908" s="19"/>
      <c r="Q908" s="19"/>
      <c r="R908" s="19"/>
      <c r="S908" s="19"/>
      <c r="T908" s="19"/>
      <c r="U908" s="19"/>
      <c r="V908" s="19"/>
      <c r="W908" s="19"/>
      <c r="X908" s="19"/>
      <c r="Y908" s="19"/>
    </row>
    <row r="909" spans="1:25" ht="13.5" customHeight="1">
      <c r="A909" s="219" t="str" cm="1">
        <f t="array" ref="A909">IFERROR(INDEX('03.Muestra'!$B$8:$B$42,SMALL(IF("Documento no web"='03.Muestra'!$D$8:$D$42,ROW('03.Muestra'!$B$8:$B$42)-MIN(ROW('03.Muestra'!$D$8:$D$42))+1,""),ROW()-892)),"")</f>
        <v/>
      </c>
      <c r="B909" s="114" t="str" cm="1">
        <f t="array" ref="B909">IFERROR(INDEX('03.Muestra'!$C$8:$C$42,SMALL(IF("Documento no web"='03.Muestra'!$D$8:$D$42,ROW('03.Muestra'!$C$8:$C$42)-MIN(ROW('03.Muestra'!$D$8:$D$42))+1,""),ROW()-892)),"")</f>
        <v/>
      </c>
      <c r="C909" s="114" t="str" cm="1">
        <f t="array" ref="C909">IFERROR(INDEX('03.Muestra'!$F$8:$F$42,SMALL(IF("Documento no web"='03.Muestra'!$D$8:$D$42,ROW('03.Muestra'!$F$8:$F$42)-MIN(ROW('03.Muestra'!$D$8:$D$42))+1,""),ROW()-892)),"")</f>
        <v/>
      </c>
      <c r="D909" s="130" t="str">
        <f t="shared" si="47"/>
        <v/>
      </c>
      <c r="E909" s="107" t="str">
        <f t="shared" si="46"/>
        <v/>
      </c>
      <c r="F909" s="19"/>
      <c r="G909" s="19"/>
      <c r="H909" s="19"/>
      <c r="I909" s="19"/>
      <c r="J909" s="19"/>
      <c r="K909" s="233"/>
      <c r="L909" s="19"/>
      <c r="M909" s="19"/>
      <c r="N909" s="19"/>
      <c r="O909" s="19"/>
      <c r="P909" s="19"/>
      <c r="Q909" s="19"/>
      <c r="R909" s="19"/>
      <c r="S909" s="19"/>
      <c r="T909" s="19"/>
      <c r="U909" s="19"/>
      <c r="V909" s="19"/>
      <c r="W909" s="19"/>
      <c r="X909" s="19"/>
      <c r="Y909" s="19"/>
    </row>
    <row r="910" spans="1:25" ht="13.5" customHeight="1">
      <c r="A910" s="219" t="str" cm="1">
        <f t="array" ref="A910">IFERROR(INDEX('03.Muestra'!$B$8:$B$42,SMALL(IF("Documento no web"='03.Muestra'!$D$8:$D$42,ROW('03.Muestra'!$B$8:$B$42)-MIN(ROW('03.Muestra'!$D$8:$D$42))+1,""),ROW()-892)),"")</f>
        <v/>
      </c>
      <c r="B910" s="114" t="str" cm="1">
        <f t="array" ref="B910">IFERROR(INDEX('03.Muestra'!$C$8:$C$42,SMALL(IF("Documento no web"='03.Muestra'!$D$8:$D$42,ROW('03.Muestra'!$C$8:$C$42)-MIN(ROW('03.Muestra'!$D$8:$D$42))+1,""),ROW()-892)),"")</f>
        <v/>
      </c>
      <c r="C910" s="114" t="str" cm="1">
        <f t="array" ref="C910">IFERROR(INDEX('03.Muestra'!$F$8:$F$42,SMALL(IF("Documento no web"='03.Muestra'!$D$8:$D$42,ROW('03.Muestra'!$F$8:$F$42)-MIN(ROW('03.Muestra'!$D$8:$D$42))+1,""),ROW()-892)),"")</f>
        <v/>
      </c>
      <c r="D910" s="130" t="str">
        <f t="shared" si="47"/>
        <v/>
      </c>
      <c r="E910" s="107" t="str">
        <f t="shared" si="46"/>
        <v/>
      </c>
      <c r="F910" s="19"/>
      <c r="G910" s="19"/>
      <c r="H910" s="19"/>
      <c r="I910" s="19"/>
      <c r="J910" s="19"/>
      <c r="K910" s="233"/>
      <c r="L910" s="19"/>
      <c r="M910" s="19"/>
      <c r="N910" s="19"/>
      <c r="O910" s="19"/>
      <c r="P910" s="19"/>
      <c r="Q910" s="19"/>
      <c r="R910" s="19"/>
      <c r="S910" s="19"/>
      <c r="T910" s="19"/>
      <c r="U910" s="19"/>
      <c r="V910" s="19"/>
      <c r="W910" s="19"/>
      <c r="X910" s="19"/>
      <c r="Y910" s="19"/>
    </row>
    <row r="911" spans="1:25" ht="13.5" customHeight="1">
      <c r="A911" s="219" t="str" cm="1">
        <f t="array" ref="A911">IFERROR(INDEX('03.Muestra'!$B$8:$B$42,SMALL(IF("Documento no web"='03.Muestra'!$D$8:$D$42,ROW('03.Muestra'!$B$8:$B$42)-MIN(ROW('03.Muestra'!$D$8:$D$42))+1,""),ROW()-892)),"")</f>
        <v/>
      </c>
      <c r="B911" s="114" t="str" cm="1">
        <f t="array" ref="B911">IFERROR(INDEX('03.Muestra'!$C$8:$C$42,SMALL(IF("Documento no web"='03.Muestra'!$D$8:$D$42,ROW('03.Muestra'!$C$8:$C$42)-MIN(ROW('03.Muestra'!$D$8:$D$42))+1,""),ROW()-892)),"")</f>
        <v/>
      </c>
      <c r="C911" s="114" t="str" cm="1">
        <f t="array" ref="C911">IFERROR(INDEX('03.Muestra'!$F$8:$F$42,SMALL(IF("Documento no web"='03.Muestra'!$D$8:$D$42,ROW('03.Muestra'!$F$8:$F$42)-MIN(ROW('03.Muestra'!$D$8:$D$42))+1,""),ROW()-892)),"")</f>
        <v/>
      </c>
      <c r="D911" s="130" t="str">
        <f t="shared" si="47"/>
        <v/>
      </c>
      <c r="E911" s="107" t="str">
        <f t="shared" si="46"/>
        <v/>
      </c>
      <c r="F911" s="19"/>
      <c r="G911" s="19"/>
      <c r="H911" s="19"/>
      <c r="I911" s="19"/>
      <c r="J911" s="19"/>
      <c r="K911" s="233"/>
      <c r="L911" s="19"/>
      <c r="M911" s="19"/>
      <c r="N911" s="19"/>
      <c r="O911" s="19"/>
      <c r="P911" s="19"/>
      <c r="Q911" s="19"/>
      <c r="R911" s="19"/>
      <c r="S911" s="19"/>
      <c r="T911" s="19"/>
      <c r="U911" s="19"/>
      <c r="V911" s="19"/>
      <c r="W911" s="19"/>
      <c r="X911" s="19"/>
      <c r="Y911" s="19"/>
    </row>
    <row r="912" spans="1:25" ht="13.5" customHeight="1">
      <c r="A912" s="219" t="str" cm="1">
        <f t="array" ref="A912">IFERROR(INDEX('03.Muestra'!$B$8:$B$42,SMALL(IF("Documento no web"='03.Muestra'!$D$8:$D$42,ROW('03.Muestra'!$B$8:$B$42)-MIN(ROW('03.Muestra'!$D$8:$D$42))+1,""),ROW()-892)),"")</f>
        <v/>
      </c>
      <c r="B912" s="114" t="str" cm="1">
        <f t="array" ref="B912">IFERROR(INDEX('03.Muestra'!$C$8:$C$42,SMALL(IF("Documento no web"='03.Muestra'!$D$8:$D$42,ROW('03.Muestra'!$C$8:$C$42)-MIN(ROW('03.Muestra'!$D$8:$D$42))+1,""),ROW()-892)),"")</f>
        <v/>
      </c>
      <c r="C912" s="114" t="str" cm="1">
        <f t="array" ref="C912">IFERROR(INDEX('03.Muestra'!$F$8:$F$42,SMALL(IF("Documento no web"='03.Muestra'!$D$8:$D$42,ROW('03.Muestra'!$F$8:$F$42)-MIN(ROW('03.Muestra'!$D$8:$D$42))+1,""),ROW()-892)),"")</f>
        <v/>
      </c>
      <c r="D912" s="130" t="str">
        <f t="shared" si="47"/>
        <v/>
      </c>
      <c r="E912" s="107" t="str">
        <f t="shared" si="46"/>
        <v/>
      </c>
      <c r="F912" s="19"/>
      <c r="G912" s="19"/>
      <c r="H912" s="19"/>
      <c r="I912" s="19"/>
      <c r="J912" s="19"/>
      <c r="K912" s="233"/>
      <c r="L912" s="19"/>
      <c r="M912" s="19"/>
      <c r="N912" s="19"/>
      <c r="O912" s="19"/>
      <c r="P912" s="19"/>
      <c r="Q912" s="19"/>
      <c r="R912" s="19"/>
      <c r="S912" s="19"/>
      <c r="T912" s="19"/>
      <c r="U912" s="19"/>
      <c r="V912" s="19"/>
      <c r="W912" s="19"/>
      <c r="X912" s="19"/>
      <c r="Y912" s="19"/>
    </row>
    <row r="913" spans="1:25" ht="13.5" customHeight="1">
      <c r="A913" s="219" t="str" cm="1">
        <f t="array" ref="A913">IFERROR(INDEX('03.Muestra'!$B$8:$B$42,SMALL(IF("Documento no web"='03.Muestra'!$D$8:$D$42,ROW('03.Muestra'!$B$8:$B$42)-MIN(ROW('03.Muestra'!$D$8:$D$42))+1,""),ROW()-892)),"")</f>
        <v/>
      </c>
      <c r="B913" s="114" t="str" cm="1">
        <f t="array" ref="B913">IFERROR(INDEX('03.Muestra'!$C$8:$C$42,SMALL(IF("Documento no web"='03.Muestra'!$D$8:$D$42,ROW('03.Muestra'!$C$8:$C$42)-MIN(ROW('03.Muestra'!$D$8:$D$42))+1,""),ROW()-892)),"")</f>
        <v/>
      </c>
      <c r="C913" s="114" t="str" cm="1">
        <f t="array" ref="C913">IFERROR(INDEX('03.Muestra'!$F$8:$F$42,SMALL(IF("Documento no web"='03.Muestra'!$D$8:$D$42,ROW('03.Muestra'!$F$8:$F$42)-MIN(ROW('03.Muestra'!$D$8:$D$42))+1,""),ROW()-892)),"")</f>
        <v/>
      </c>
      <c r="D913" s="130" t="str">
        <f t="shared" si="47"/>
        <v/>
      </c>
      <c r="E913" s="107" t="str">
        <f t="shared" si="46"/>
        <v/>
      </c>
      <c r="F913" s="19"/>
      <c r="G913" s="19"/>
      <c r="H913" s="19"/>
      <c r="I913" s="19"/>
      <c r="J913" s="19"/>
      <c r="K913" s="233"/>
      <c r="L913" s="19"/>
      <c r="M913" s="19"/>
      <c r="N913" s="19"/>
      <c r="O913" s="19"/>
      <c r="P913" s="19"/>
      <c r="Q913" s="19"/>
      <c r="R913" s="19"/>
      <c r="S913" s="19"/>
      <c r="T913" s="19"/>
      <c r="U913" s="19"/>
      <c r="V913" s="19"/>
      <c r="W913" s="19"/>
      <c r="X913" s="19"/>
      <c r="Y913" s="19"/>
    </row>
    <row r="914" spans="1:25" ht="13.5" customHeight="1">
      <c r="A914" s="219" t="str" cm="1">
        <f t="array" ref="A914">IFERROR(INDEX('03.Muestra'!$B$8:$B$42,SMALL(IF("Documento no web"='03.Muestra'!$D$8:$D$42,ROW('03.Muestra'!$B$8:$B$42)-MIN(ROW('03.Muestra'!$D$8:$D$42))+1,""),ROW()-892)),"")</f>
        <v/>
      </c>
      <c r="B914" s="114" t="str" cm="1">
        <f t="array" ref="B914">IFERROR(INDEX('03.Muestra'!$C$8:$C$42,SMALL(IF("Documento no web"='03.Muestra'!$D$8:$D$42,ROW('03.Muestra'!$C$8:$C$42)-MIN(ROW('03.Muestra'!$D$8:$D$42))+1,""),ROW()-892)),"")</f>
        <v/>
      </c>
      <c r="C914" s="114" t="str" cm="1">
        <f t="array" ref="C914">IFERROR(INDEX('03.Muestra'!$F$8:$F$42,SMALL(IF("Documento no web"='03.Muestra'!$D$8:$D$42,ROW('03.Muestra'!$F$8:$F$42)-MIN(ROW('03.Muestra'!$D$8:$D$42))+1,""),ROW()-892)),"")</f>
        <v/>
      </c>
      <c r="D914" s="130" t="str">
        <f t="shared" si="47"/>
        <v/>
      </c>
      <c r="E914" s="107" t="str">
        <f t="shared" si="46"/>
        <v/>
      </c>
      <c r="F914" s="19"/>
      <c r="G914" s="19"/>
      <c r="H914" s="19"/>
      <c r="I914" s="19"/>
      <c r="J914" s="19"/>
      <c r="K914" s="233"/>
      <c r="L914" s="19"/>
      <c r="M914" s="19"/>
      <c r="N914" s="19"/>
      <c r="O914" s="19"/>
      <c r="P914" s="19"/>
      <c r="Q914" s="19"/>
      <c r="R914" s="19"/>
      <c r="S914" s="19"/>
      <c r="T914" s="19"/>
      <c r="U914" s="19"/>
      <c r="V914" s="19"/>
      <c r="W914" s="19"/>
      <c r="X914" s="19"/>
      <c r="Y914" s="19"/>
    </row>
    <row r="915" spans="1:25" ht="13.5" customHeight="1">
      <c r="A915" s="219" t="str" cm="1">
        <f t="array" ref="A915">IFERROR(INDEX('03.Muestra'!$B$8:$B$42,SMALL(IF("Documento no web"='03.Muestra'!$D$8:$D$42,ROW('03.Muestra'!$B$8:$B$42)-MIN(ROW('03.Muestra'!$D$8:$D$42))+1,""),ROW()-892)),"")</f>
        <v/>
      </c>
      <c r="B915" s="114" t="str" cm="1">
        <f t="array" ref="B915">IFERROR(INDEX('03.Muestra'!$C$8:$C$42,SMALL(IF("Documento no web"='03.Muestra'!$D$8:$D$42,ROW('03.Muestra'!$C$8:$C$42)-MIN(ROW('03.Muestra'!$D$8:$D$42))+1,""),ROW()-892)),"")</f>
        <v/>
      </c>
      <c r="C915" s="114" t="str" cm="1">
        <f t="array" ref="C915">IFERROR(INDEX('03.Muestra'!$F$8:$F$42,SMALL(IF("Documento no web"='03.Muestra'!$D$8:$D$42,ROW('03.Muestra'!$F$8:$F$42)-MIN(ROW('03.Muestra'!$D$8:$D$42))+1,""),ROW()-892)),"")</f>
        <v/>
      </c>
      <c r="D915" s="130" t="str">
        <f t="shared" si="47"/>
        <v/>
      </c>
      <c r="E915" s="107" t="str">
        <f t="shared" si="46"/>
        <v/>
      </c>
      <c r="F915" s="19"/>
      <c r="G915" s="19"/>
      <c r="H915" s="19"/>
      <c r="I915" s="19"/>
      <c r="J915" s="19"/>
      <c r="K915" s="233"/>
      <c r="L915" s="19"/>
      <c r="M915" s="19"/>
      <c r="N915" s="19"/>
      <c r="O915" s="19"/>
      <c r="P915" s="19"/>
      <c r="Q915" s="19"/>
      <c r="R915" s="19"/>
      <c r="S915" s="19"/>
      <c r="T915" s="19"/>
      <c r="U915" s="19"/>
      <c r="V915" s="19"/>
      <c r="W915" s="19"/>
      <c r="X915" s="19"/>
      <c r="Y915" s="19"/>
    </row>
    <row r="916" spans="1:25" ht="13.5" customHeight="1">
      <c r="A916" s="219" t="str" cm="1">
        <f t="array" ref="A916">IFERROR(INDEX('03.Muestra'!$B$8:$B$42,SMALL(IF("Documento no web"='03.Muestra'!$D$8:$D$42,ROW('03.Muestra'!$B$8:$B$42)-MIN(ROW('03.Muestra'!$D$8:$D$42))+1,""),ROW()-892)),"")</f>
        <v/>
      </c>
      <c r="B916" s="114" t="str" cm="1">
        <f t="array" ref="B916">IFERROR(INDEX('03.Muestra'!$C$8:$C$42,SMALL(IF("Documento no web"='03.Muestra'!$D$8:$D$42,ROW('03.Muestra'!$C$8:$C$42)-MIN(ROW('03.Muestra'!$D$8:$D$42))+1,""),ROW()-892)),"")</f>
        <v/>
      </c>
      <c r="C916" s="114" t="str" cm="1">
        <f t="array" ref="C916">IFERROR(INDEX('03.Muestra'!$F$8:$F$42,SMALL(IF("Documento no web"='03.Muestra'!$D$8:$D$42,ROW('03.Muestra'!$F$8:$F$42)-MIN(ROW('03.Muestra'!$D$8:$D$42))+1,""),ROW()-892)),"")</f>
        <v/>
      </c>
      <c r="D916" s="130" t="str">
        <f t="shared" si="47"/>
        <v/>
      </c>
      <c r="E916" s="107" t="str">
        <f t="shared" si="46"/>
        <v/>
      </c>
      <c r="F916" s="19"/>
      <c r="G916" s="19"/>
      <c r="H916" s="19"/>
      <c r="I916" s="19"/>
      <c r="J916" s="19"/>
      <c r="K916" s="233"/>
      <c r="L916" s="19"/>
      <c r="M916" s="19"/>
      <c r="N916" s="19"/>
      <c r="O916" s="19"/>
      <c r="P916" s="19"/>
      <c r="Q916" s="19"/>
      <c r="R916" s="19"/>
      <c r="S916" s="19"/>
      <c r="T916" s="19"/>
      <c r="U916" s="19"/>
      <c r="V916" s="19"/>
      <c r="W916" s="19"/>
      <c r="X916" s="19"/>
      <c r="Y916" s="19"/>
    </row>
    <row r="917" spans="1:25" ht="13.5" customHeight="1">
      <c r="A917" s="219" t="str" cm="1">
        <f t="array" ref="A917">IFERROR(INDEX('03.Muestra'!$B$8:$B$42,SMALL(IF("Documento no web"='03.Muestra'!$D$8:$D$42,ROW('03.Muestra'!$B$8:$B$42)-MIN(ROW('03.Muestra'!$D$8:$D$42))+1,""),ROW()-892)),"")</f>
        <v/>
      </c>
      <c r="B917" s="114" t="str" cm="1">
        <f t="array" ref="B917">IFERROR(INDEX('03.Muestra'!$C$8:$C$42,SMALL(IF("Documento no web"='03.Muestra'!$D$8:$D$42,ROW('03.Muestra'!$C$8:$C$42)-MIN(ROW('03.Muestra'!$D$8:$D$42))+1,""),ROW()-892)),"")</f>
        <v/>
      </c>
      <c r="C917" s="114" t="str" cm="1">
        <f t="array" ref="C917">IFERROR(INDEX('03.Muestra'!$F$8:$F$42,SMALL(IF("Documento no web"='03.Muestra'!$D$8:$D$42,ROW('03.Muestra'!$F$8:$F$42)-MIN(ROW('03.Muestra'!$D$8:$D$42))+1,""),ROW()-892)),"")</f>
        <v/>
      </c>
      <c r="D917" s="130" t="str">
        <f t="shared" si="47"/>
        <v/>
      </c>
      <c r="E917" s="107" t="str">
        <f t="shared" si="46"/>
        <v/>
      </c>
      <c r="F917" s="19"/>
      <c r="G917" s="19"/>
      <c r="H917" s="19"/>
      <c r="I917" s="19"/>
      <c r="J917" s="19"/>
      <c r="K917" s="233"/>
      <c r="L917" s="19"/>
      <c r="M917" s="19"/>
      <c r="N917" s="19"/>
      <c r="O917" s="19"/>
      <c r="P917" s="19"/>
      <c r="Q917" s="19"/>
      <c r="R917" s="19"/>
      <c r="S917" s="19"/>
      <c r="T917" s="19"/>
      <c r="U917" s="19"/>
      <c r="V917" s="19"/>
      <c r="W917" s="19"/>
      <c r="X917" s="19"/>
      <c r="Y917" s="19"/>
    </row>
    <row r="918" spans="1:25" ht="13.5" customHeight="1">
      <c r="A918" s="219" t="str" cm="1">
        <f t="array" ref="A918">IFERROR(INDEX('03.Muestra'!$B$8:$B$42,SMALL(IF("Documento no web"='03.Muestra'!$D$8:$D$42,ROW('03.Muestra'!$B$8:$B$42)-MIN(ROW('03.Muestra'!$D$8:$D$42))+1,""),ROW()-892)),"")</f>
        <v/>
      </c>
      <c r="B918" s="114" t="str" cm="1">
        <f t="array" ref="B918">IFERROR(INDEX('03.Muestra'!$C$8:$C$42,SMALL(IF("Documento no web"='03.Muestra'!$D$8:$D$42,ROW('03.Muestra'!$C$8:$C$42)-MIN(ROW('03.Muestra'!$D$8:$D$42))+1,""),ROW()-892)),"")</f>
        <v/>
      </c>
      <c r="C918" s="114" t="str" cm="1">
        <f t="array" ref="C918">IFERROR(INDEX('03.Muestra'!$F$8:$F$42,SMALL(IF("Documento no web"='03.Muestra'!$D$8:$D$42,ROW('03.Muestra'!$F$8:$F$42)-MIN(ROW('03.Muestra'!$D$8:$D$42))+1,""),ROW()-892)),"")</f>
        <v/>
      </c>
      <c r="D918" s="130" t="str">
        <f t="shared" si="47"/>
        <v/>
      </c>
      <c r="E918" s="107" t="str">
        <f t="shared" si="46"/>
        <v/>
      </c>
      <c r="F918" s="19"/>
      <c r="G918" s="19"/>
      <c r="H918" s="19"/>
      <c r="I918" s="19"/>
      <c r="J918" s="19"/>
      <c r="K918" s="233"/>
      <c r="L918" s="19"/>
      <c r="M918" s="19"/>
      <c r="N918" s="19"/>
      <c r="O918" s="19"/>
      <c r="P918" s="19"/>
      <c r="Q918" s="19"/>
      <c r="R918" s="19"/>
      <c r="S918" s="19"/>
      <c r="T918" s="19"/>
      <c r="U918" s="19"/>
      <c r="V918" s="19"/>
      <c r="W918" s="19"/>
      <c r="X918" s="19"/>
      <c r="Y918" s="19"/>
    </row>
    <row r="919" spans="1:25" ht="13.5" customHeight="1">
      <c r="A919" s="219" t="str" cm="1">
        <f t="array" ref="A919">IFERROR(INDEX('03.Muestra'!$B$8:$B$42,SMALL(IF("Documento no web"='03.Muestra'!$D$8:$D$42,ROW('03.Muestra'!$B$8:$B$42)-MIN(ROW('03.Muestra'!$D$8:$D$42))+1,""),ROW()-892)),"")</f>
        <v/>
      </c>
      <c r="B919" s="114" t="str" cm="1">
        <f t="array" ref="B919">IFERROR(INDEX('03.Muestra'!$C$8:$C$42,SMALL(IF("Documento no web"='03.Muestra'!$D$8:$D$42,ROW('03.Muestra'!$C$8:$C$42)-MIN(ROW('03.Muestra'!$D$8:$D$42))+1,""),ROW()-892)),"")</f>
        <v/>
      </c>
      <c r="C919" s="114" t="str" cm="1">
        <f t="array" ref="C919">IFERROR(INDEX('03.Muestra'!$F$8:$F$42,SMALL(IF("Documento no web"='03.Muestra'!$D$8:$D$42,ROW('03.Muestra'!$F$8:$F$42)-MIN(ROW('03.Muestra'!$D$8:$D$42))+1,""),ROW()-892)),"")</f>
        <v/>
      </c>
      <c r="D919" s="130" t="str">
        <f t="shared" si="47"/>
        <v/>
      </c>
      <c r="E919" s="107" t="str">
        <f t="shared" si="46"/>
        <v/>
      </c>
      <c r="F919" s="19"/>
      <c r="G919" s="19"/>
      <c r="H919" s="19"/>
      <c r="I919" s="19"/>
      <c r="J919" s="19"/>
      <c r="K919" s="233"/>
      <c r="L919" s="19"/>
      <c r="M919" s="19"/>
      <c r="N919" s="19"/>
      <c r="O919" s="19"/>
      <c r="P919" s="19"/>
      <c r="Q919" s="19"/>
      <c r="R919" s="19"/>
      <c r="S919" s="19"/>
      <c r="T919" s="19"/>
      <c r="U919" s="19"/>
      <c r="V919" s="19"/>
      <c r="W919" s="19"/>
      <c r="X919" s="19"/>
      <c r="Y919" s="19"/>
    </row>
    <row r="920" spans="1:25" ht="13.5" customHeight="1">
      <c r="A920" s="219" t="str" cm="1">
        <f t="array" ref="A920">IFERROR(INDEX('03.Muestra'!$B$8:$B$42,SMALL(IF("Documento no web"='03.Muestra'!$D$8:$D$42,ROW('03.Muestra'!$B$8:$B$42)-MIN(ROW('03.Muestra'!$D$8:$D$42))+1,""),ROW()-892)),"")</f>
        <v/>
      </c>
      <c r="B920" s="114" t="str" cm="1">
        <f t="array" ref="B920">IFERROR(INDEX('03.Muestra'!$C$8:$C$42,SMALL(IF("Documento no web"='03.Muestra'!$D$8:$D$42,ROW('03.Muestra'!$C$8:$C$42)-MIN(ROW('03.Muestra'!$D$8:$D$42))+1,""),ROW()-892)),"")</f>
        <v/>
      </c>
      <c r="C920" s="114" t="str" cm="1">
        <f t="array" ref="C920">IFERROR(INDEX('03.Muestra'!$F$8:$F$42,SMALL(IF("Documento no web"='03.Muestra'!$D$8:$D$42,ROW('03.Muestra'!$F$8:$F$42)-MIN(ROW('03.Muestra'!$D$8:$D$42))+1,""),ROW()-892)),"")</f>
        <v/>
      </c>
      <c r="D920" s="130" t="str">
        <f t="shared" si="47"/>
        <v/>
      </c>
      <c r="E920" s="107" t="str">
        <f t="shared" si="46"/>
        <v/>
      </c>
      <c r="G920" s="19"/>
      <c r="H920" s="19"/>
      <c r="I920" s="19"/>
      <c r="J920" s="19"/>
      <c r="K920" s="233"/>
      <c r="L920" s="19"/>
      <c r="M920" s="19"/>
      <c r="N920" s="19"/>
      <c r="O920" s="19"/>
      <c r="P920" s="19"/>
      <c r="Q920" s="19"/>
      <c r="R920" s="19"/>
      <c r="S920" s="19"/>
      <c r="T920" s="19"/>
      <c r="U920" s="19"/>
      <c r="V920" s="19"/>
      <c r="W920" s="19"/>
      <c r="X920" s="19"/>
      <c r="Y920" s="19"/>
    </row>
    <row r="921" spans="1:25" ht="13.5" customHeight="1">
      <c r="A921" s="219" t="str" cm="1">
        <f t="array" ref="A921">IFERROR(INDEX('03.Muestra'!$B$8:$B$42,SMALL(IF("Documento no web"='03.Muestra'!$D$8:$D$42,ROW('03.Muestra'!$B$8:$B$42)-MIN(ROW('03.Muestra'!$D$8:$D$42))+1,""),ROW()-892)),"")</f>
        <v/>
      </c>
      <c r="B921" s="114" t="str" cm="1">
        <f t="array" ref="B921">IFERROR(INDEX('03.Muestra'!$C$8:$C$42,SMALL(IF("Documento no web"='03.Muestra'!$D$8:$D$42,ROW('03.Muestra'!$C$8:$C$42)-MIN(ROW('03.Muestra'!$D$8:$D$42))+1,""),ROW()-892)),"")</f>
        <v/>
      </c>
      <c r="C921" s="114" t="str" cm="1">
        <f t="array" ref="C921">IFERROR(INDEX('03.Muestra'!$F$8:$F$42,SMALL(IF("Documento no web"='03.Muestra'!$D$8:$D$42,ROW('03.Muestra'!$F$8:$F$42)-MIN(ROW('03.Muestra'!$D$8:$D$42))+1,""),ROW()-892)),"")</f>
        <v/>
      </c>
      <c r="D921" s="130" t="str">
        <f t="shared" si="47"/>
        <v/>
      </c>
      <c r="E921" s="107" t="str">
        <f t="shared" si="46"/>
        <v/>
      </c>
      <c r="F921" s="124"/>
      <c r="G921" s="19"/>
      <c r="H921" s="19"/>
      <c r="I921" s="19"/>
      <c r="J921" s="19"/>
      <c r="K921" s="233"/>
      <c r="L921" s="19"/>
      <c r="M921" s="19"/>
      <c r="N921" s="19"/>
      <c r="O921" s="19"/>
      <c r="P921" s="19"/>
      <c r="Q921" s="19"/>
      <c r="R921" s="19"/>
      <c r="S921" s="19"/>
      <c r="T921" s="19"/>
      <c r="U921" s="19"/>
      <c r="V921" s="19"/>
      <c r="W921" s="19"/>
      <c r="X921" s="19"/>
      <c r="Y921" s="19"/>
    </row>
    <row r="922" spans="1:25" ht="13.5" customHeight="1">
      <c r="A922" s="219" t="str" cm="1">
        <f t="array" ref="A922">IFERROR(INDEX('03.Muestra'!$B$8:$B$42,SMALL(IF("Documento no web"='03.Muestra'!$D$8:$D$42,ROW('03.Muestra'!$B$8:$B$42)-MIN(ROW('03.Muestra'!$D$8:$D$42))+1,""),ROW()-892)),"")</f>
        <v/>
      </c>
      <c r="B922" s="114" t="str" cm="1">
        <f t="array" ref="B922">IFERROR(INDEX('03.Muestra'!$C$8:$C$42,SMALL(IF("Documento no web"='03.Muestra'!$D$8:$D$42,ROW('03.Muestra'!$C$8:$C$42)-MIN(ROW('03.Muestra'!$D$8:$D$42))+1,""),ROW()-892)),"")</f>
        <v/>
      </c>
      <c r="C922" s="114" t="str" cm="1">
        <f t="array" ref="C922">IFERROR(INDEX('03.Muestra'!$F$8:$F$42,SMALL(IF("Documento no web"='03.Muestra'!$D$8:$D$42,ROW('03.Muestra'!$F$8:$F$42)-MIN(ROW('03.Muestra'!$D$8:$D$42))+1,""),ROW()-892)),"")</f>
        <v/>
      </c>
      <c r="D922" s="130" t="str">
        <f t="shared" si="47"/>
        <v/>
      </c>
      <c r="E922" s="107" t="str">
        <f t="shared" si="46"/>
        <v/>
      </c>
      <c r="F922" s="124"/>
      <c r="G922" s="19"/>
      <c r="H922" s="19"/>
      <c r="I922" s="19"/>
      <c r="J922" s="19"/>
      <c r="K922" s="233"/>
      <c r="L922" s="19"/>
      <c r="M922" s="19"/>
      <c r="N922" s="19"/>
      <c r="O922" s="19"/>
      <c r="P922" s="19"/>
      <c r="Q922" s="19"/>
      <c r="R922" s="19"/>
      <c r="S922" s="19"/>
      <c r="T922" s="19"/>
      <c r="U922" s="19"/>
      <c r="V922" s="19"/>
      <c r="W922" s="19"/>
      <c r="X922" s="19"/>
      <c r="Y922" s="19"/>
    </row>
    <row r="923" spans="1:25" ht="13.5" customHeight="1">
      <c r="A923" s="219" t="str" cm="1">
        <f t="array" ref="A923">IFERROR(INDEX('03.Muestra'!$B$8:$B$42,SMALL(IF("Documento no web"='03.Muestra'!$D$8:$D$42,ROW('03.Muestra'!$B$8:$B$42)-MIN(ROW('03.Muestra'!$D$8:$D$42))+1,""),ROW()-892)),"")</f>
        <v/>
      </c>
      <c r="B923" s="114" t="str" cm="1">
        <f t="array" ref="B923">IFERROR(INDEX('03.Muestra'!$C$8:$C$42,SMALL(IF("Documento no web"='03.Muestra'!$D$8:$D$42,ROW('03.Muestra'!$C$8:$C$42)-MIN(ROW('03.Muestra'!$D$8:$D$42))+1,""),ROW()-892)),"")</f>
        <v/>
      </c>
      <c r="C923" s="114" t="str" cm="1">
        <f t="array" ref="C923">IFERROR(INDEX('03.Muestra'!$F$8:$F$42,SMALL(IF("Documento no web"='03.Muestra'!$D$8:$D$42,ROW('03.Muestra'!$F$8:$F$42)-MIN(ROW('03.Muestra'!$D$8:$D$42))+1,""),ROW()-892)),"")</f>
        <v/>
      </c>
      <c r="D923" s="130" t="str">
        <f t="shared" si="47"/>
        <v/>
      </c>
      <c r="E923" s="107" t="str">
        <f t="shared" si="46"/>
        <v/>
      </c>
      <c r="F923" s="124"/>
      <c r="G923" s="19"/>
      <c r="H923" s="19"/>
      <c r="I923" s="19"/>
      <c r="J923" s="19"/>
      <c r="K923" s="233"/>
      <c r="L923" s="19"/>
      <c r="M923" s="19"/>
      <c r="N923" s="19"/>
      <c r="O923" s="19"/>
      <c r="P923" s="19"/>
      <c r="Q923" s="19"/>
      <c r="R923" s="19"/>
      <c r="S923" s="19"/>
      <c r="T923" s="19"/>
      <c r="U923" s="19"/>
      <c r="V923" s="19"/>
      <c r="W923" s="19"/>
      <c r="X923" s="19"/>
      <c r="Y923" s="19"/>
    </row>
    <row r="924" spans="1:25" ht="13.5" customHeight="1">
      <c r="A924" s="219" t="str" cm="1">
        <f t="array" ref="A924">IFERROR(INDEX('03.Muestra'!$B$8:$B$42,SMALL(IF("Documento no web"='03.Muestra'!$D$8:$D$42,ROW('03.Muestra'!$B$8:$B$42)-MIN(ROW('03.Muestra'!$D$8:$D$42))+1,""),ROW()-892)),"")</f>
        <v/>
      </c>
      <c r="B924" s="114" t="str" cm="1">
        <f t="array" ref="B924">IFERROR(INDEX('03.Muestra'!$C$8:$C$42,SMALL(IF("Documento no web"='03.Muestra'!$D$8:$D$42,ROW('03.Muestra'!$C$8:$C$42)-MIN(ROW('03.Muestra'!$D$8:$D$42))+1,""),ROW()-892)),"")</f>
        <v/>
      </c>
      <c r="C924" s="114" t="str" cm="1">
        <f t="array" ref="C924">IFERROR(INDEX('03.Muestra'!$F$8:$F$42,SMALL(IF("Documento no web"='03.Muestra'!$D$8:$D$42,ROW('03.Muestra'!$F$8:$F$42)-MIN(ROW('03.Muestra'!$D$8:$D$42))+1,""),ROW()-892)),"")</f>
        <v/>
      </c>
      <c r="D924" s="130" t="str">
        <f t="shared" si="47"/>
        <v/>
      </c>
      <c r="E924" s="107" t="str">
        <f t="shared" si="46"/>
        <v/>
      </c>
      <c r="F924" s="124"/>
      <c r="G924" s="19"/>
      <c r="H924" s="19"/>
      <c r="I924" s="19"/>
      <c r="J924" s="19"/>
      <c r="K924" s="233"/>
      <c r="L924" s="19"/>
      <c r="M924" s="19"/>
      <c r="N924" s="19"/>
      <c r="O924" s="19"/>
      <c r="P924" s="19"/>
      <c r="Q924" s="19"/>
      <c r="R924" s="19"/>
      <c r="S924" s="19"/>
      <c r="T924" s="19"/>
      <c r="U924" s="19"/>
      <c r="V924" s="19"/>
      <c r="W924" s="19"/>
      <c r="X924" s="19"/>
      <c r="Y924" s="19"/>
    </row>
    <row r="925" spans="1:25" ht="13.5" customHeight="1">
      <c r="A925" s="219" t="str" cm="1">
        <f t="array" ref="A925">IFERROR(INDEX('03.Muestra'!$B$8:$B$42,SMALL(IF("Documento no web"='03.Muestra'!$D$8:$D$42,ROW('03.Muestra'!$B$8:$B$42)-MIN(ROW('03.Muestra'!$D$8:$D$42))+1,""),ROW()-892)),"")</f>
        <v/>
      </c>
      <c r="B925" s="114" t="str" cm="1">
        <f t="array" ref="B925">IFERROR(INDEX('03.Muestra'!$C$8:$C$42,SMALL(IF("Documento no web"='03.Muestra'!$D$8:$D$42,ROW('03.Muestra'!$C$8:$C$42)-MIN(ROW('03.Muestra'!$D$8:$D$42))+1,""),ROW()-892)),"")</f>
        <v/>
      </c>
      <c r="C925" s="114" t="str" cm="1">
        <f t="array" ref="C925">IFERROR(INDEX('03.Muestra'!$F$8:$F$42,SMALL(IF("Documento no web"='03.Muestra'!$D$8:$D$42,ROW('03.Muestra'!$F$8:$F$42)-MIN(ROW('03.Muestra'!$D$8:$D$42))+1,""),ROW()-892)),"")</f>
        <v/>
      </c>
      <c r="D925" s="130" t="str">
        <f t="shared" si="47"/>
        <v/>
      </c>
      <c r="E925" s="107" t="str">
        <f t="shared" si="46"/>
        <v/>
      </c>
      <c r="F925" s="124"/>
      <c r="G925" s="19"/>
      <c r="H925" s="19"/>
      <c r="I925" s="19"/>
      <c r="J925" s="19"/>
      <c r="K925" s="233"/>
      <c r="L925" s="19"/>
      <c r="M925" s="19"/>
      <c r="N925" s="19"/>
      <c r="O925" s="19"/>
      <c r="P925" s="19"/>
      <c r="Q925" s="19"/>
      <c r="R925" s="19"/>
      <c r="S925" s="19"/>
      <c r="T925" s="19"/>
      <c r="U925" s="19"/>
      <c r="V925" s="19"/>
      <c r="W925" s="19"/>
      <c r="X925" s="19"/>
      <c r="Y925" s="19"/>
    </row>
    <row r="926" spans="1:25" ht="13.5" customHeight="1">
      <c r="A926" s="219" t="str" cm="1">
        <f t="array" ref="A926">IFERROR(INDEX('03.Muestra'!$B$8:$B$42,SMALL(IF("Documento no web"='03.Muestra'!$D$8:$D$42,ROW('03.Muestra'!$B$8:$B$42)-MIN(ROW('03.Muestra'!$D$8:$D$42))+1,""),ROW()-892)),"")</f>
        <v/>
      </c>
      <c r="B926" s="114" t="str" cm="1">
        <f t="array" ref="B926">IFERROR(INDEX('03.Muestra'!$C$8:$C$42,SMALL(IF("Documento no web"='03.Muestra'!$D$8:$D$42,ROW('03.Muestra'!$C$8:$C$42)-MIN(ROW('03.Muestra'!$D$8:$D$42))+1,""),ROW()-892)),"")</f>
        <v/>
      </c>
      <c r="C926" s="114" t="str" cm="1">
        <f t="array" ref="C926">IFERROR(INDEX('03.Muestra'!$F$8:$F$42,SMALL(IF("Documento no web"='03.Muestra'!$D$8:$D$42,ROW('03.Muestra'!$F$8:$F$42)-MIN(ROW('03.Muestra'!$D$8:$D$42))+1,""),ROW()-892)),"")</f>
        <v/>
      </c>
      <c r="D926" s="130" t="str">
        <f t="shared" si="47"/>
        <v/>
      </c>
      <c r="E926" s="107" t="str">
        <f t="shared" si="46"/>
        <v/>
      </c>
      <c r="F926" s="124"/>
      <c r="G926" s="19"/>
      <c r="H926" s="19"/>
      <c r="I926" s="19"/>
      <c r="J926" s="19"/>
      <c r="K926" s="233"/>
      <c r="L926" s="19"/>
      <c r="M926" s="19"/>
      <c r="N926" s="19"/>
      <c r="O926" s="19"/>
      <c r="P926" s="19"/>
      <c r="Q926" s="19"/>
      <c r="R926" s="19"/>
      <c r="S926" s="19"/>
      <c r="T926" s="19"/>
      <c r="U926" s="19"/>
      <c r="V926" s="19"/>
      <c r="W926" s="19"/>
      <c r="X926" s="19"/>
      <c r="Y926" s="19"/>
    </row>
    <row r="927" spans="1:25" ht="13.5" customHeight="1">
      <c r="A927" s="219" t="str" cm="1">
        <f t="array" ref="A927">IFERROR(INDEX('03.Muestra'!$B$8:$B$42,SMALL(IF("Documento no web"='03.Muestra'!$D$8:$D$42,ROW('03.Muestra'!$B$8:$B$42)-MIN(ROW('03.Muestra'!$D$8:$D$42))+1,""),ROW()-892)),"")</f>
        <v/>
      </c>
      <c r="B927" s="114" t="str" cm="1">
        <f t="array" ref="B927">IFERROR(INDEX('03.Muestra'!$C$8:$C$42,SMALL(IF("Documento no web"='03.Muestra'!$D$8:$D$42,ROW('03.Muestra'!$C$8:$C$42)-MIN(ROW('03.Muestra'!$D$8:$D$42))+1,""),ROW()-892)),"")</f>
        <v/>
      </c>
      <c r="C927" s="114" t="str" cm="1">
        <f t="array" ref="C927">IFERROR(INDEX('03.Muestra'!$F$8:$F$42,SMALL(IF("Documento no web"='03.Muestra'!$D$8:$D$42,ROW('03.Muestra'!$F$8:$F$42)-MIN(ROW('03.Muestra'!$D$8:$D$42))+1,""),ROW()-892)),"")</f>
        <v/>
      </c>
      <c r="D927" s="130" t="str">
        <f t="shared" si="47"/>
        <v/>
      </c>
      <c r="E927" s="107" t="str">
        <f t="shared" si="46"/>
        <v/>
      </c>
      <c r="F927" s="19"/>
      <c r="G927" s="19"/>
      <c r="H927" s="19"/>
      <c r="I927" s="19"/>
      <c r="J927" s="19"/>
      <c r="K927" s="233"/>
      <c r="L927" s="19"/>
      <c r="M927" s="19"/>
      <c r="N927" s="19"/>
      <c r="O927" s="19"/>
      <c r="P927" s="19"/>
      <c r="Q927" s="19"/>
      <c r="R927" s="19"/>
      <c r="S927" s="19"/>
      <c r="T927" s="19"/>
      <c r="U927" s="19"/>
      <c r="V927" s="19"/>
      <c r="W927" s="19"/>
      <c r="X927" s="19"/>
      <c r="Y927" s="19"/>
    </row>
    <row r="928" spans="1:25" ht="13.5" customHeight="1">
      <c r="B928" s="19"/>
      <c r="C928" s="19"/>
      <c r="D928" s="107"/>
      <c r="E928" s="19"/>
      <c r="F928" s="19"/>
      <c r="G928" s="19"/>
      <c r="H928" s="19"/>
      <c r="I928" s="19"/>
      <c r="J928" s="19"/>
      <c r="K928" s="233"/>
      <c r="L928" s="19"/>
      <c r="M928" s="19"/>
      <c r="N928" s="19"/>
      <c r="O928" s="19"/>
      <c r="P928" s="19"/>
      <c r="Q928" s="19"/>
      <c r="R928" s="19"/>
      <c r="S928" s="19"/>
      <c r="T928" s="19"/>
      <c r="U928" s="19"/>
      <c r="V928" s="19"/>
      <c r="W928" s="19"/>
      <c r="X928" s="19"/>
      <c r="Y928" s="19"/>
    </row>
    <row r="929" spans="1:25" ht="13.5" customHeight="1">
      <c r="B929" s="126"/>
      <c r="C929" s="19"/>
      <c r="D929" s="107"/>
      <c r="E929" s="112"/>
      <c r="F929" s="19"/>
      <c r="G929" s="19"/>
      <c r="H929" s="19"/>
      <c r="I929" s="19"/>
      <c r="J929" s="19"/>
      <c r="K929" s="233"/>
      <c r="L929" s="19"/>
      <c r="M929" s="19"/>
      <c r="N929" s="19"/>
      <c r="O929" s="19"/>
      <c r="P929" s="19"/>
      <c r="Q929" s="19"/>
      <c r="R929" s="19"/>
      <c r="S929" s="19"/>
      <c r="T929" s="19"/>
      <c r="U929" s="19"/>
      <c r="V929" s="19"/>
      <c r="W929" s="19"/>
      <c r="X929" s="19"/>
      <c r="Y929" s="19"/>
    </row>
    <row r="930" spans="1:25" ht="30" customHeight="1">
      <c r="A930" s="218" t="s">
        <v>268</v>
      </c>
      <c r="B930" s="24" t="s">
        <v>90</v>
      </c>
      <c r="C930" s="25" t="s">
        <v>446</v>
      </c>
      <c r="D930" s="26" t="s">
        <v>32</v>
      </c>
      <c r="E930" s="123"/>
      <c r="K930" s="233"/>
      <c r="L930" s="19"/>
      <c r="M930" s="19"/>
      <c r="N930" s="19"/>
      <c r="O930" s="19"/>
      <c r="P930" s="19"/>
      <c r="Q930" s="19"/>
      <c r="R930" s="19"/>
      <c r="S930" s="19"/>
      <c r="T930" s="19"/>
      <c r="U930" s="19"/>
      <c r="V930" s="19"/>
      <c r="W930" s="19"/>
      <c r="X930" s="19"/>
      <c r="Y930" s="19"/>
    </row>
    <row r="931" spans="1:25" ht="13.5" customHeight="1">
      <c r="A931" s="219" t="n" cm="1">
        <f t="array" ref="A931">IFERROR(INDEX('03.Muestra'!$B$8:$B$42,SMALL(IF("Documento no web"='03.Muestra'!$D$8:$D$42,ROW('03.Muestra'!$B$8:$B$42)-MIN(ROW('03.Muestra'!$D$8:$D$42))+1,""),ROW()-930)),"")</f>
        <v>1.0</v>
      </c>
      <c r="B931" s="114" t="str" cm="1">
        <f t="array" ref="B931">IFERROR(INDEX('03.Muestra'!$C$8:$C$42,SMALL(IF("Documento no web"='03.Muestra'!$D$8:$D$42,ROW('03.Muestra'!$C$8:$C$42)-MIN(ROW('03.Muestra'!$D$8:$D$42))+1,""),ROW()-930)),"")</f>
        <v>Home - PortCastelló</v>
      </c>
      <c r="C931" s="114" t="str" cm="1">
        <f t="array" ref="C931">IFERROR(INDEX('03.Muestra'!$F$8:$F$42,SMALL(IF("Documento no web"='03.Muestra'!$D$8:$D$42,ROW('03.Muestra'!$F$8:$F$42)-MIN(ROW('03.Muestra'!$D$8:$D$42))+1,""),ROW()-930)),"")</f>
        <v>https://www.portcastello.com/</v>
      </c>
      <c r="D931" s="130" t="s">
        <v>33</v>
      </c>
      <c r="E931" s="107" t="str">
        <f t="shared" ref="E931:E965" si="48">IF(D931&lt;&gt;"",IF(AND(B931&lt;&gt;"",C931&lt;&gt;""),"","ERR"),"")</f>
        <v/>
      </c>
      <c r="F931" s="115" t="s">
        <v>33</v>
      </c>
      <c r="G931" s="116" t="s">
        <v>37</v>
      </c>
      <c r="H931" s="117" t="s">
        <v>35</v>
      </c>
      <c r="I931" s="118" t="s">
        <v>28</v>
      </c>
      <c r="J931" s="119" t="s">
        <v>26</v>
      </c>
      <c r="K931" s="226" t="s">
        <v>474</v>
      </c>
      <c r="L931" s="19"/>
      <c r="M931" s="19"/>
      <c r="N931" s="19"/>
      <c r="O931" s="19"/>
      <c r="P931" s="19"/>
      <c r="Q931" s="19"/>
      <c r="R931" s="19"/>
      <c r="S931" s="19"/>
      <c r="T931" s="19"/>
      <c r="U931" s="19"/>
      <c r="V931" s="19"/>
      <c r="W931" s="19"/>
      <c r="X931" s="19"/>
      <c r="Y931" s="19"/>
    </row>
    <row r="932" spans="1:25" ht="13.5" customHeight="1">
      <c r="A932" s="219" t="n" cm="1">
        <f t="array" ref="A932">IFERROR(INDEX('03.Muestra'!$B$8:$B$42,SMALL(IF("Documento no web"='03.Muestra'!$D$8:$D$42,ROW('03.Muestra'!$B$8:$B$42)-MIN(ROW('03.Muestra'!$D$8:$D$42))+1,""),ROW()-930)),"")</f>
        <v>1.0</v>
      </c>
      <c r="B932" s="114" t="str" cm="1">
        <f t="array" ref="B932">IFERROR(INDEX('03.Muestra'!$C$8:$C$42,SMALL(IF("Documento no web"='03.Muestra'!$D$8:$D$42,ROW('03.Muestra'!$C$8:$C$42)-MIN(ROW('03.Muestra'!$D$8:$D$42))+1,""),ROW()-930)),"")</f>
        <v>Home - PortCastelló</v>
      </c>
      <c r="C932" s="114" t="str" cm="1">
        <f t="array" ref="C932">IFERROR(INDEX('03.Muestra'!$F$8:$F$42,SMALL(IF("Documento no web"='03.Muestra'!$D$8:$D$42,ROW('03.Muestra'!$F$8:$F$42)-MIN(ROW('03.Muestra'!$D$8:$D$42))+1,""),ROW()-930)),"")</f>
        <v>https://www.portcastello.com/</v>
      </c>
      <c r="D932" s="130" t="s">
        <v>33</v>
      </c>
      <c r="E932" s="107" t="str">
        <f t="shared" si="48"/>
        <v/>
      </c>
      <c r="F932" s="120" t="n">
        <f ca="1">COUNTIF($D931:INDIRECT("$D" &amp;  SUM(ROW()-1,'03.Muestra'!$D$45)-1),F931)</f>
        <v>2.0</v>
      </c>
      <c r="G932" s="120" t="n">
        <f ca="1">COUNTIF($D931:INDIRECT("$D" &amp;  SUM(ROW()-1,'03.Muestra'!$D$45)-1),G931)</f>
        <v>0.0</v>
      </c>
      <c r="H932" s="120" t="n">
        <f ca="1">COUNTIF($D931:INDIRECT("$D" &amp;  SUM(ROW()-1,'03.Muestra'!$D$45)-1),H931)</f>
        <v>0.0</v>
      </c>
      <c r="I932" s="120" t="n">
        <f ca="1">COUNTIF($D931:INDIRECT("$D" &amp;  SUM(ROW()-1,'03.Muestra'!$D$45)-1),I931)</f>
        <v>0.0</v>
      </c>
      <c r="J932" s="120" t="n">
        <f ca="1">COUNTIF($D931:INDIRECT("$D" &amp;  SUM(ROW()-1,'03.Muestra'!$D$45)-1),J931)</f>
        <v>0.0</v>
      </c>
      <c r="K932" s="227" t="n">
        <f ca="1">IF(COUNTIF('03.Muestra'!$D$8:$D$42,"Documento no web")=0,0,COUNTBLANK($D931:INDIRECT("$D" &amp;  SUM(ROW()-1,COUNTIF('03.Muestra'!$D$8:$D$42,"Documento no web"))-1)))</f>
        <v>0.0</v>
      </c>
      <c r="L932" s="19"/>
      <c r="M932" s="19"/>
      <c r="N932" s="19"/>
      <c r="O932" s="19"/>
      <c r="P932" s="19"/>
      <c r="Q932" s="19"/>
      <c r="R932" s="19"/>
      <c r="S932" s="19"/>
      <c r="T932" s="19"/>
      <c r="U932" s="19"/>
      <c r="V932" s="19"/>
      <c r="W932" s="19"/>
      <c r="X932" s="19"/>
      <c r="Y932" s="19"/>
    </row>
    <row r="933" spans="1:25" ht="13.5" customHeight="1">
      <c r="A933" s="219" t="str" cm="1">
        <f t="array" ref="A933">IFERROR(INDEX('03.Muestra'!$B$8:$B$42,SMALL(IF("Documento no web"='03.Muestra'!$D$8:$D$42,ROW('03.Muestra'!$B$8:$B$42)-MIN(ROW('03.Muestra'!$D$8:$D$42))+1,""),ROW()-930)),"")</f>
        <v/>
      </c>
      <c r="B933" s="114" t="str" cm="1">
        <f t="array" ref="B933">IFERROR(INDEX('03.Muestra'!$C$8:$C$42,SMALL(IF("Documento no web"='03.Muestra'!$D$8:$D$42,ROW('03.Muestra'!$C$8:$C$42)-MIN(ROW('03.Muestra'!$D$8:$D$42))+1,""),ROW()-930)),"")</f>
        <v/>
      </c>
      <c r="C933" s="114" t="str" cm="1">
        <f t="array" ref="C933">IFERROR(INDEX('03.Muestra'!$F$8:$F$42,SMALL(IF("Documento no web"='03.Muestra'!$D$8:$D$42,ROW('03.Muestra'!$F$8:$F$42)-MIN(ROW('03.Muestra'!$D$8:$D$42))+1,""),ROW()-930)),"")</f>
        <v/>
      </c>
      <c r="D933" s="130" t="str">
        <f t="shared" si="49" ref="D933:D965">IF(AND(B933&lt;&gt;"",C933&lt;&gt;""),"N/T","")</f>
        <v/>
      </c>
      <c r="E933" s="107" t="str">
        <f t="shared" si="48"/>
        <v/>
      </c>
      <c r="G933" s="19"/>
      <c r="H933" s="19"/>
      <c r="I933" s="19"/>
      <c r="J933" s="19"/>
      <c r="K933" s="233"/>
      <c r="L933" s="19"/>
      <c r="M933" s="19"/>
      <c r="N933" s="19"/>
      <c r="O933" s="19"/>
      <c r="P933" s="19"/>
      <c r="Q933" s="19"/>
      <c r="R933" s="19"/>
      <c r="S933" s="19"/>
      <c r="T933" s="19"/>
      <c r="U933" s="19"/>
      <c r="V933" s="19"/>
      <c r="W933" s="19"/>
      <c r="X933" s="19"/>
      <c r="Y933" s="19"/>
    </row>
    <row r="934" spans="1:25" ht="13.5" customHeight="1">
      <c r="A934" s="219" t="str" cm="1">
        <f t="array" ref="A934">IFERROR(INDEX('03.Muestra'!$B$8:$B$42,SMALL(IF("Documento no web"='03.Muestra'!$D$8:$D$42,ROW('03.Muestra'!$B$8:$B$42)-MIN(ROW('03.Muestra'!$D$8:$D$42))+1,""),ROW()-930)),"")</f>
        <v/>
      </c>
      <c r="B934" s="114" t="str" cm="1">
        <f t="array" ref="B934">IFERROR(INDEX('03.Muestra'!$C$8:$C$42,SMALL(IF("Documento no web"='03.Muestra'!$D$8:$D$42,ROW('03.Muestra'!$C$8:$C$42)-MIN(ROW('03.Muestra'!$D$8:$D$42))+1,""),ROW()-930)),"")</f>
        <v/>
      </c>
      <c r="C934" s="114" t="str" cm="1">
        <f t="array" ref="C934">IFERROR(INDEX('03.Muestra'!$F$8:$F$42,SMALL(IF("Documento no web"='03.Muestra'!$D$8:$D$42,ROW('03.Muestra'!$F$8:$F$42)-MIN(ROW('03.Muestra'!$D$8:$D$42))+1,""),ROW()-930)),"")</f>
        <v/>
      </c>
      <c r="D934" s="130" t="str">
        <f t="shared" si="49"/>
        <v/>
      </c>
      <c r="E934" s="107" t="str">
        <f t="shared" si="48"/>
        <v/>
      </c>
      <c r="G934" s="19"/>
      <c r="H934" s="19"/>
      <c r="I934" s="19"/>
      <c r="J934" s="19"/>
      <c r="K934" s="233"/>
      <c r="L934" s="19"/>
      <c r="M934" s="19"/>
      <c r="N934" s="19"/>
      <c r="O934" s="19"/>
      <c r="P934" s="19"/>
      <c r="Q934" s="19"/>
      <c r="R934" s="19"/>
      <c r="S934" s="19"/>
      <c r="T934" s="19"/>
      <c r="U934" s="19"/>
      <c r="V934" s="19"/>
      <c r="W934" s="19"/>
      <c r="X934" s="19"/>
      <c r="Y934" s="19"/>
    </row>
    <row r="935" spans="1:25" ht="13.5" customHeight="1">
      <c r="A935" s="219" t="str" cm="1">
        <f t="array" ref="A935">IFERROR(INDEX('03.Muestra'!$B$8:$B$42,SMALL(IF("Documento no web"='03.Muestra'!$D$8:$D$42,ROW('03.Muestra'!$B$8:$B$42)-MIN(ROW('03.Muestra'!$D$8:$D$42))+1,""),ROW()-930)),"")</f>
        <v/>
      </c>
      <c r="B935" s="114" t="str" cm="1">
        <f t="array" ref="B935">IFERROR(INDEX('03.Muestra'!$C$8:$C$42,SMALL(IF("Documento no web"='03.Muestra'!$D$8:$D$42,ROW('03.Muestra'!$C$8:$C$42)-MIN(ROW('03.Muestra'!$D$8:$D$42))+1,""),ROW()-930)),"")</f>
        <v/>
      </c>
      <c r="C935" s="114" t="str" cm="1">
        <f t="array" ref="C935">IFERROR(INDEX('03.Muestra'!$F$8:$F$42,SMALL(IF("Documento no web"='03.Muestra'!$D$8:$D$42,ROW('03.Muestra'!$F$8:$F$42)-MIN(ROW('03.Muestra'!$D$8:$D$42))+1,""),ROW()-930)),"")</f>
        <v/>
      </c>
      <c r="D935" s="130" t="str">
        <f t="shared" si="49"/>
        <v/>
      </c>
      <c r="E935" s="107" t="str">
        <f t="shared" si="48"/>
        <v/>
      </c>
      <c r="G935" s="19"/>
      <c r="H935" s="19"/>
      <c r="I935" s="19"/>
      <c r="J935" s="19"/>
      <c r="K935" s="233"/>
      <c r="L935" s="19"/>
      <c r="M935" s="19"/>
      <c r="N935" s="19"/>
      <c r="O935" s="19"/>
      <c r="P935" s="19"/>
      <c r="Q935" s="19"/>
      <c r="R935" s="19"/>
      <c r="S935" s="19"/>
      <c r="T935" s="19"/>
      <c r="U935" s="19"/>
      <c r="V935" s="19"/>
      <c r="W935" s="19"/>
      <c r="X935" s="19"/>
      <c r="Y935" s="19"/>
    </row>
    <row r="936" spans="1:25" ht="13.5" customHeight="1">
      <c r="A936" s="219" t="str" cm="1">
        <f t="array" ref="A936">IFERROR(INDEX('03.Muestra'!$B$8:$B$42,SMALL(IF("Documento no web"='03.Muestra'!$D$8:$D$42,ROW('03.Muestra'!$B$8:$B$42)-MIN(ROW('03.Muestra'!$D$8:$D$42))+1,""),ROW()-930)),"")</f>
        <v/>
      </c>
      <c r="B936" s="114" t="str" cm="1">
        <f t="array" ref="B936">IFERROR(INDEX('03.Muestra'!$C$8:$C$42,SMALL(IF("Documento no web"='03.Muestra'!$D$8:$D$42,ROW('03.Muestra'!$C$8:$C$42)-MIN(ROW('03.Muestra'!$D$8:$D$42))+1,""),ROW()-930)),"")</f>
        <v/>
      </c>
      <c r="C936" s="114" t="str" cm="1">
        <f t="array" ref="C936">IFERROR(INDEX('03.Muestra'!$F$8:$F$42,SMALL(IF("Documento no web"='03.Muestra'!$D$8:$D$42,ROW('03.Muestra'!$F$8:$F$42)-MIN(ROW('03.Muestra'!$D$8:$D$42))+1,""),ROW()-930)),"")</f>
        <v/>
      </c>
      <c r="D936" s="130" t="str">
        <f t="shared" si="49"/>
        <v/>
      </c>
      <c r="E936" s="107" t="str">
        <f t="shared" si="48"/>
        <v/>
      </c>
      <c r="G936" s="19"/>
      <c r="H936" s="19"/>
      <c r="I936" s="19"/>
      <c r="J936" s="19"/>
      <c r="K936" s="233"/>
      <c r="L936" s="19"/>
      <c r="M936" s="19"/>
      <c r="N936" s="19"/>
      <c r="O936" s="19"/>
      <c r="P936" s="19"/>
      <c r="Q936" s="19"/>
      <c r="R936" s="19"/>
      <c r="S936" s="19"/>
      <c r="T936" s="19"/>
      <c r="U936" s="19"/>
      <c r="V936" s="19"/>
      <c r="W936" s="19"/>
      <c r="X936" s="19"/>
      <c r="Y936" s="19"/>
    </row>
    <row r="937" spans="1:25" ht="13.5" customHeight="1">
      <c r="A937" s="219" t="str" cm="1">
        <f t="array" ref="A937">IFERROR(INDEX('03.Muestra'!$B$8:$B$42,SMALL(IF("Documento no web"='03.Muestra'!$D$8:$D$42,ROW('03.Muestra'!$B$8:$B$42)-MIN(ROW('03.Muestra'!$D$8:$D$42))+1,""),ROW()-930)),"")</f>
        <v/>
      </c>
      <c r="B937" s="114" t="str" cm="1">
        <f t="array" ref="B937">IFERROR(INDEX('03.Muestra'!$C$8:$C$42,SMALL(IF("Documento no web"='03.Muestra'!$D$8:$D$42,ROW('03.Muestra'!$C$8:$C$42)-MIN(ROW('03.Muestra'!$D$8:$D$42))+1,""),ROW()-930)),"")</f>
        <v/>
      </c>
      <c r="C937" s="114" t="str" cm="1">
        <f t="array" ref="C937">IFERROR(INDEX('03.Muestra'!$F$8:$F$42,SMALL(IF("Documento no web"='03.Muestra'!$D$8:$D$42,ROW('03.Muestra'!$F$8:$F$42)-MIN(ROW('03.Muestra'!$D$8:$D$42))+1,""),ROW()-930)),"")</f>
        <v/>
      </c>
      <c r="D937" s="130" t="str">
        <f t="shared" si="49"/>
        <v/>
      </c>
      <c r="E937" s="107" t="str">
        <f t="shared" si="48"/>
        <v/>
      </c>
      <c r="F937" s="19"/>
      <c r="G937" s="19"/>
      <c r="H937" s="19"/>
      <c r="I937" s="19"/>
      <c r="J937" s="19"/>
      <c r="K937" s="233"/>
      <c r="L937" s="19"/>
      <c r="M937" s="19"/>
      <c r="N937" s="19"/>
      <c r="O937" s="19"/>
      <c r="P937" s="19"/>
      <c r="Q937" s="19"/>
      <c r="R937" s="19"/>
      <c r="S937" s="19"/>
      <c r="T937" s="19"/>
      <c r="U937" s="19"/>
      <c r="V937" s="19"/>
      <c r="W937" s="19"/>
      <c r="X937" s="19"/>
      <c r="Y937" s="19"/>
    </row>
    <row r="938" spans="1:25" ht="13.5" customHeight="1">
      <c r="A938" s="219" t="str" cm="1">
        <f t="array" ref="A938">IFERROR(INDEX('03.Muestra'!$B$8:$B$42,SMALL(IF("Documento no web"='03.Muestra'!$D$8:$D$42,ROW('03.Muestra'!$B$8:$B$42)-MIN(ROW('03.Muestra'!$D$8:$D$42))+1,""),ROW()-930)),"")</f>
        <v/>
      </c>
      <c r="B938" s="114" t="str" cm="1">
        <f t="array" ref="B938">IFERROR(INDEX('03.Muestra'!$C$8:$C$42,SMALL(IF("Documento no web"='03.Muestra'!$D$8:$D$42,ROW('03.Muestra'!$C$8:$C$42)-MIN(ROW('03.Muestra'!$D$8:$D$42))+1,""),ROW()-930)),"")</f>
        <v/>
      </c>
      <c r="C938" s="114" t="str" cm="1">
        <f t="array" ref="C938">IFERROR(INDEX('03.Muestra'!$F$8:$F$42,SMALL(IF("Documento no web"='03.Muestra'!$D$8:$D$42,ROW('03.Muestra'!$F$8:$F$42)-MIN(ROW('03.Muestra'!$D$8:$D$42))+1,""),ROW()-930)),"")</f>
        <v/>
      </c>
      <c r="D938" s="130" t="str">
        <f t="shared" si="49"/>
        <v/>
      </c>
      <c r="E938" s="107" t="str">
        <f t="shared" si="48"/>
        <v/>
      </c>
      <c r="F938" s="19"/>
      <c r="G938" s="19"/>
      <c r="H938" s="19"/>
      <c r="I938" s="19"/>
      <c r="J938" s="19"/>
      <c r="K938" s="233"/>
      <c r="L938" s="19"/>
      <c r="M938" s="19"/>
      <c r="N938" s="19"/>
      <c r="O938" s="19"/>
      <c r="P938" s="19"/>
      <c r="Q938" s="19"/>
      <c r="R938" s="19"/>
      <c r="S938" s="19"/>
      <c r="T938" s="19"/>
      <c r="U938" s="19"/>
      <c r="V938" s="19"/>
      <c r="W938" s="19"/>
      <c r="X938" s="19"/>
      <c r="Y938" s="19"/>
    </row>
    <row r="939" spans="1:25" ht="13.5" customHeight="1">
      <c r="A939" s="219" t="str" cm="1">
        <f t="array" ref="A939">IFERROR(INDEX('03.Muestra'!$B$8:$B$42,SMALL(IF("Documento no web"='03.Muestra'!$D$8:$D$42,ROW('03.Muestra'!$B$8:$B$42)-MIN(ROW('03.Muestra'!$D$8:$D$42))+1,""),ROW()-930)),"")</f>
        <v/>
      </c>
      <c r="B939" s="114" t="str" cm="1">
        <f t="array" ref="B939">IFERROR(INDEX('03.Muestra'!$C$8:$C$42,SMALL(IF("Documento no web"='03.Muestra'!$D$8:$D$42,ROW('03.Muestra'!$C$8:$C$42)-MIN(ROW('03.Muestra'!$D$8:$D$42))+1,""),ROW()-930)),"")</f>
        <v/>
      </c>
      <c r="C939" s="114" t="str" cm="1">
        <f t="array" ref="C939">IFERROR(INDEX('03.Muestra'!$F$8:$F$42,SMALL(IF("Documento no web"='03.Muestra'!$D$8:$D$42,ROW('03.Muestra'!$F$8:$F$42)-MIN(ROW('03.Muestra'!$D$8:$D$42))+1,""),ROW()-930)),"")</f>
        <v/>
      </c>
      <c r="D939" s="130" t="str">
        <f t="shared" si="49"/>
        <v/>
      </c>
      <c r="E939" s="107" t="str">
        <f t="shared" si="48"/>
        <v/>
      </c>
      <c r="F939" s="19"/>
      <c r="G939" s="19"/>
      <c r="H939" s="19"/>
      <c r="I939" s="19"/>
      <c r="J939" s="19"/>
      <c r="K939" s="233"/>
      <c r="L939" s="19"/>
      <c r="M939" s="19"/>
      <c r="N939" s="19"/>
      <c r="O939" s="19"/>
      <c r="P939" s="19"/>
      <c r="Q939" s="19"/>
      <c r="R939" s="19"/>
      <c r="S939" s="19"/>
      <c r="T939" s="19"/>
      <c r="U939" s="19"/>
      <c r="V939" s="19"/>
      <c r="W939" s="19"/>
      <c r="X939" s="19"/>
      <c r="Y939" s="19"/>
    </row>
    <row r="940" spans="1:25" ht="13.5" customHeight="1">
      <c r="A940" s="219" t="str" cm="1">
        <f t="array" ref="A940">IFERROR(INDEX('03.Muestra'!$B$8:$B$42,SMALL(IF("Documento no web"='03.Muestra'!$D$8:$D$42,ROW('03.Muestra'!$B$8:$B$42)-MIN(ROW('03.Muestra'!$D$8:$D$42))+1,""),ROW()-930)),"")</f>
        <v/>
      </c>
      <c r="B940" s="114" t="str" cm="1">
        <f t="array" ref="B940">IFERROR(INDEX('03.Muestra'!$C$8:$C$42,SMALL(IF("Documento no web"='03.Muestra'!$D$8:$D$42,ROW('03.Muestra'!$C$8:$C$42)-MIN(ROW('03.Muestra'!$D$8:$D$42))+1,""),ROW()-930)),"")</f>
        <v/>
      </c>
      <c r="C940" s="114" t="str" cm="1">
        <f t="array" ref="C940">IFERROR(INDEX('03.Muestra'!$F$8:$F$42,SMALL(IF("Documento no web"='03.Muestra'!$D$8:$D$42,ROW('03.Muestra'!$F$8:$F$42)-MIN(ROW('03.Muestra'!$D$8:$D$42))+1,""),ROW()-930)),"")</f>
        <v/>
      </c>
      <c r="D940" s="130" t="str">
        <f t="shared" si="49"/>
        <v/>
      </c>
      <c r="E940" s="107" t="str">
        <f t="shared" si="48"/>
        <v/>
      </c>
      <c r="F940" s="19"/>
      <c r="G940" s="19"/>
      <c r="H940" s="19"/>
      <c r="I940" s="19"/>
      <c r="J940" s="19"/>
      <c r="K940" s="233"/>
      <c r="L940" s="19"/>
      <c r="M940" s="19"/>
      <c r="N940" s="19"/>
      <c r="O940" s="19"/>
      <c r="P940" s="19"/>
      <c r="Q940" s="19"/>
      <c r="R940" s="19"/>
      <c r="S940" s="19"/>
      <c r="T940" s="19"/>
      <c r="U940" s="19"/>
      <c r="V940" s="19"/>
      <c r="W940" s="19"/>
      <c r="X940" s="19"/>
      <c r="Y940" s="19"/>
    </row>
    <row r="941" spans="1:25" ht="13.5" customHeight="1">
      <c r="A941" s="219" t="str" cm="1">
        <f t="array" ref="A941">IFERROR(INDEX('03.Muestra'!$B$8:$B$42,SMALL(IF("Documento no web"='03.Muestra'!$D$8:$D$42,ROW('03.Muestra'!$B$8:$B$42)-MIN(ROW('03.Muestra'!$D$8:$D$42))+1,""),ROW()-930)),"")</f>
        <v/>
      </c>
      <c r="B941" s="114" t="str" cm="1">
        <f t="array" ref="B941">IFERROR(INDEX('03.Muestra'!$C$8:$C$42,SMALL(IF("Documento no web"='03.Muestra'!$D$8:$D$42,ROW('03.Muestra'!$C$8:$C$42)-MIN(ROW('03.Muestra'!$D$8:$D$42))+1,""),ROW()-930)),"")</f>
        <v/>
      </c>
      <c r="C941" s="114" t="str" cm="1">
        <f t="array" ref="C941">IFERROR(INDEX('03.Muestra'!$F$8:$F$42,SMALL(IF("Documento no web"='03.Muestra'!$D$8:$D$42,ROW('03.Muestra'!$F$8:$F$42)-MIN(ROW('03.Muestra'!$D$8:$D$42))+1,""),ROW()-930)),"")</f>
        <v/>
      </c>
      <c r="D941" s="130" t="str">
        <f t="shared" si="49"/>
        <v/>
      </c>
      <c r="E941" s="107" t="str">
        <f t="shared" si="48"/>
        <v/>
      </c>
      <c r="F941" s="19"/>
      <c r="G941" s="19"/>
      <c r="H941" s="19"/>
      <c r="I941" s="19"/>
      <c r="J941" s="19"/>
      <c r="K941" s="233"/>
      <c r="L941" s="19"/>
      <c r="M941" s="19"/>
      <c r="N941" s="19"/>
      <c r="O941" s="19"/>
      <c r="P941" s="19"/>
      <c r="Q941" s="19"/>
      <c r="R941" s="19"/>
      <c r="S941" s="19"/>
      <c r="T941" s="19"/>
      <c r="U941" s="19"/>
      <c r="V941" s="19"/>
      <c r="W941" s="19"/>
      <c r="X941" s="19"/>
      <c r="Y941" s="19"/>
    </row>
    <row r="942" spans="1:25" ht="13.5" customHeight="1">
      <c r="A942" s="219" t="str" cm="1">
        <f t="array" ref="A942">IFERROR(INDEX('03.Muestra'!$B$8:$B$42,SMALL(IF("Documento no web"='03.Muestra'!$D$8:$D$42,ROW('03.Muestra'!$B$8:$B$42)-MIN(ROW('03.Muestra'!$D$8:$D$42))+1,""),ROW()-930)),"")</f>
        <v/>
      </c>
      <c r="B942" s="114" t="str" cm="1">
        <f t="array" ref="B942">IFERROR(INDEX('03.Muestra'!$C$8:$C$42,SMALL(IF("Documento no web"='03.Muestra'!$D$8:$D$42,ROW('03.Muestra'!$C$8:$C$42)-MIN(ROW('03.Muestra'!$D$8:$D$42))+1,""),ROW()-930)),"")</f>
        <v/>
      </c>
      <c r="C942" s="114" t="str" cm="1">
        <f t="array" ref="C942">IFERROR(INDEX('03.Muestra'!$F$8:$F$42,SMALL(IF("Documento no web"='03.Muestra'!$D$8:$D$42,ROW('03.Muestra'!$F$8:$F$42)-MIN(ROW('03.Muestra'!$D$8:$D$42))+1,""),ROW()-930)),"")</f>
        <v/>
      </c>
      <c r="D942" s="130" t="str">
        <f t="shared" si="49"/>
        <v/>
      </c>
      <c r="E942" s="107" t="str">
        <f t="shared" si="48"/>
        <v/>
      </c>
      <c r="F942" s="19"/>
      <c r="G942" s="19"/>
      <c r="H942" s="19"/>
      <c r="I942" s="19"/>
      <c r="J942" s="19"/>
      <c r="K942" s="233"/>
      <c r="L942" s="19"/>
      <c r="M942" s="19"/>
      <c r="N942" s="19"/>
      <c r="O942" s="19"/>
      <c r="P942" s="19"/>
      <c r="Q942" s="19"/>
      <c r="R942" s="19"/>
      <c r="S942" s="19"/>
      <c r="T942" s="19"/>
      <c r="U942" s="19"/>
      <c r="V942" s="19"/>
      <c r="W942" s="19"/>
      <c r="X942" s="19"/>
      <c r="Y942" s="19"/>
    </row>
    <row r="943" spans="1:25" ht="13.5" customHeight="1">
      <c r="A943" s="219" t="str" cm="1">
        <f t="array" ref="A943">IFERROR(INDEX('03.Muestra'!$B$8:$B$42,SMALL(IF("Documento no web"='03.Muestra'!$D$8:$D$42,ROW('03.Muestra'!$B$8:$B$42)-MIN(ROW('03.Muestra'!$D$8:$D$42))+1,""),ROW()-930)),"")</f>
        <v/>
      </c>
      <c r="B943" s="114" t="str" cm="1">
        <f t="array" ref="B943">IFERROR(INDEX('03.Muestra'!$C$8:$C$42,SMALL(IF("Documento no web"='03.Muestra'!$D$8:$D$42,ROW('03.Muestra'!$C$8:$C$42)-MIN(ROW('03.Muestra'!$D$8:$D$42))+1,""),ROW()-930)),"")</f>
        <v/>
      </c>
      <c r="C943" s="114" t="str" cm="1">
        <f t="array" ref="C943">IFERROR(INDEX('03.Muestra'!$F$8:$F$42,SMALL(IF("Documento no web"='03.Muestra'!$D$8:$D$42,ROW('03.Muestra'!$F$8:$F$42)-MIN(ROW('03.Muestra'!$D$8:$D$42))+1,""),ROW()-930)),"")</f>
        <v/>
      </c>
      <c r="D943" s="130" t="str">
        <f t="shared" si="49"/>
        <v/>
      </c>
      <c r="E943" s="107" t="str">
        <f t="shared" si="48"/>
        <v/>
      </c>
      <c r="F943" s="19"/>
      <c r="G943" s="19"/>
      <c r="H943" s="19"/>
      <c r="I943" s="19"/>
      <c r="J943" s="19"/>
      <c r="K943" s="233"/>
      <c r="L943" s="19"/>
      <c r="M943" s="19"/>
      <c r="N943" s="19"/>
      <c r="O943" s="19"/>
      <c r="P943" s="19"/>
      <c r="Q943" s="19"/>
      <c r="R943" s="19"/>
      <c r="S943" s="19"/>
      <c r="T943" s="19"/>
      <c r="U943" s="19"/>
      <c r="V943" s="19"/>
      <c r="W943" s="19"/>
      <c r="X943" s="19"/>
      <c r="Y943" s="19"/>
    </row>
    <row r="944" spans="1:25" ht="13.5" customHeight="1">
      <c r="A944" s="219" t="str" cm="1">
        <f t="array" ref="A944">IFERROR(INDEX('03.Muestra'!$B$8:$B$42,SMALL(IF("Documento no web"='03.Muestra'!$D$8:$D$42,ROW('03.Muestra'!$B$8:$B$42)-MIN(ROW('03.Muestra'!$D$8:$D$42))+1,""),ROW()-930)),"")</f>
        <v/>
      </c>
      <c r="B944" s="114" t="str" cm="1">
        <f t="array" ref="B944">IFERROR(INDEX('03.Muestra'!$C$8:$C$42,SMALL(IF("Documento no web"='03.Muestra'!$D$8:$D$42,ROW('03.Muestra'!$C$8:$C$42)-MIN(ROW('03.Muestra'!$D$8:$D$42))+1,""),ROW()-930)),"")</f>
        <v/>
      </c>
      <c r="C944" s="114" t="str" cm="1">
        <f t="array" ref="C944">IFERROR(INDEX('03.Muestra'!$F$8:$F$42,SMALL(IF("Documento no web"='03.Muestra'!$D$8:$D$42,ROW('03.Muestra'!$F$8:$F$42)-MIN(ROW('03.Muestra'!$D$8:$D$42))+1,""),ROW()-930)),"")</f>
        <v/>
      </c>
      <c r="D944" s="130" t="str">
        <f t="shared" si="49"/>
        <v/>
      </c>
      <c r="E944" s="107" t="str">
        <f t="shared" si="48"/>
        <v/>
      </c>
      <c r="F944" s="19"/>
      <c r="G944" s="19"/>
      <c r="H944" s="19"/>
      <c r="I944" s="19"/>
      <c r="J944" s="19"/>
      <c r="K944" s="233"/>
      <c r="L944" s="19"/>
      <c r="M944" s="19"/>
      <c r="N944" s="19"/>
      <c r="O944" s="19"/>
      <c r="P944" s="19"/>
      <c r="Q944" s="19"/>
      <c r="R944" s="19"/>
      <c r="S944" s="19"/>
      <c r="T944" s="19"/>
      <c r="U944" s="19"/>
      <c r="V944" s="19"/>
      <c r="W944" s="19"/>
      <c r="X944" s="19"/>
      <c r="Y944" s="19"/>
    </row>
    <row r="945" spans="1:25" ht="13.5" customHeight="1">
      <c r="A945" s="219" t="str" cm="1">
        <f t="array" ref="A945">IFERROR(INDEX('03.Muestra'!$B$8:$B$42,SMALL(IF("Documento no web"='03.Muestra'!$D$8:$D$42,ROW('03.Muestra'!$B$8:$B$42)-MIN(ROW('03.Muestra'!$D$8:$D$42))+1,""),ROW()-930)),"")</f>
        <v/>
      </c>
      <c r="B945" s="114" t="str" cm="1">
        <f t="array" ref="B945">IFERROR(INDEX('03.Muestra'!$C$8:$C$42,SMALL(IF("Documento no web"='03.Muestra'!$D$8:$D$42,ROW('03.Muestra'!$C$8:$C$42)-MIN(ROW('03.Muestra'!$D$8:$D$42))+1,""),ROW()-930)),"")</f>
        <v/>
      </c>
      <c r="C945" s="114" t="str" cm="1">
        <f t="array" ref="C945">IFERROR(INDEX('03.Muestra'!$F$8:$F$42,SMALL(IF("Documento no web"='03.Muestra'!$D$8:$D$42,ROW('03.Muestra'!$F$8:$F$42)-MIN(ROW('03.Muestra'!$D$8:$D$42))+1,""),ROW()-930)),"")</f>
        <v/>
      </c>
      <c r="D945" s="130" t="str">
        <f t="shared" si="49"/>
        <v/>
      </c>
      <c r="E945" s="107" t="str">
        <f t="shared" si="48"/>
        <v/>
      </c>
      <c r="F945" s="19"/>
      <c r="G945" s="19"/>
      <c r="H945" s="19"/>
      <c r="I945" s="19"/>
      <c r="J945" s="19"/>
      <c r="K945" s="233"/>
      <c r="L945" s="19"/>
      <c r="M945" s="19"/>
      <c r="N945" s="19"/>
      <c r="O945" s="19"/>
      <c r="P945" s="19"/>
      <c r="Q945" s="19"/>
      <c r="R945" s="19"/>
      <c r="S945" s="19"/>
      <c r="T945" s="19"/>
      <c r="U945" s="19"/>
      <c r="V945" s="19"/>
      <c r="W945" s="19"/>
      <c r="X945" s="19"/>
      <c r="Y945" s="19"/>
    </row>
    <row r="946" spans="1:25" ht="13.5" customHeight="1">
      <c r="A946" s="219" t="str" cm="1">
        <f t="array" ref="A946">IFERROR(INDEX('03.Muestra'!$B$8:$B$42,SMALL(IF("Documento no web"='03.Muestra'!$D$8:$D$42,ROW('03.Muestra'!$B$8:$B$42)-MIN(ROW('03.Muestra'!$D$8:$D$42))+1,""),ROW()-930)),"")</f>
        <v/>
      </c>
      <c r="B946" s="114" t="str" cm="1">
        <f t="array" ref="B946">IFERROR(INDEX('03.Muestra'!$C$8:$C$42,SMALL(IF("Documento no web"='03.Muestra'!$D$8:$D$42,ROW('03.Muestra'!$C$8:$C$42)-MIN(ROW('03.Muestra'!$D$8:$D$42))+1,""),ROW()-930)),"")</f>
        <v/>
      </c>
      <c r="C946" s="114" t="str" cm="1">
        <f t="array" ref="C946">IFERROR(INDEX('03.Muestra'!$F$8:$F$42,SMALL(IF("Documento no web"='03.Muestra'!$D$8:$D$42,ROW('03.Muestra'!$F$8:$F$42)-MIN(ROW('03.Muestra'!$D$8:$D$42))+1,""),ROW()-930)),"")</f>
        <v/>
      </c>
      <c r="D946" s="130" t="str">
        <f t="shared" si="49"/>
        <v/>
      </c>
      <c r="E946" s="107" t="str">
        <f t="shared" si="48"/>
        <v/>
      </c>
      <c r="F946" s="19"/>
      <c r="G946" s="19"/>
      <c r="H946" s="19"/>
      <c r="I946" s="19"/>
      <c r="J946" s="19"/>
      <c r="K946" s="233"/>
      <c r="L946" s="19"/>
      <c r="M946" s="19"/>
      <c r="N946" s="19"/>
      <c r="O946" s="19"/>
      <c r="P946" s="19"/>
      <c r="Q946" s="19"/>
      <c r="R946" s="19"/>
      <c r="S946" s="19"/>
      <c r="T946" s="19"/>
      <c r="U946" s="19"/>
      <c r="V946" s="19"/>
      <c r="W946" s="19"/>
      <c r="X946" s="19"/>
      <c r="Y946" s="19"/>
    </row>
    <row r="947" spans="1:25" ht="13.5" customHeight="1">
      <c r="A947" s="219" t="str" cm="1">
        <f t="array" ref="A947">IFERROR(INDEX('03.Muestra'!$B$8:$B$42,SMALL(IF("Documento no web"='03.Muestra'!$D$8:$D$42,ROW('03.Muestra'!$B$8:$B$42)-MIN(ROW('03.Muestra'!$D$8:$D$42))+1,""),ROW()-930)),"")</f>
        <v/>
      </c>
      <c r="B947" s="114" t="str" cm="1">
        <f t="array" ref="B947">IFERROR(INDEX('03.Muestra'!$C$8:$C$42,SMALL(IF("Documento no web"='03.Muestra'!$D$8:$D$42,ROW('03.Muestra'!$C$8:$C$42)-MIN(ROW('03.Muestra'!$D$8:$D$42))+1,""),ROW()-930)),"")</f>
        <v/>
      </c>
      <c r="C947" s="114" t="str" cm="1">
        <f t="array" ref="C947">IFERROR(INDEX('03.Muestra'!$F$8:$F$42,SMALL(IF("Documento no web"='03.Muestra'!$D$8:$D$42,ROW('03.Muestra'!$F$8:$F$42)-MIN(ROW('03.Muestra'!$D$8:$D$42))+1,""),ROW()-930)),"")</f>
        <v/>
      </c>
      <c r="D947" s="130" t="str">
        <f t="shared" si="49"/>
        <v/>
      </c>
      <c r="E947" s="107" t="str">
        <f t="shared" si="48"/>
        <v/>
      </c>
      <c r="F947" s="19"/>
      <c r="G947" s="19"/>
      <c r="H947" s="19"/>
      <c r="I947" s="19"/>
      <c r="J947" s="19"/>
      <c r="K947" s="233"/>
      <c r="L947" s="19"/>
      <c r="M947" s="19"/>
      <c r="N947" s="19"/>
      <c r="O947" s="19"/>
      <c r="P947" s="19"/>
      <c r="Q947" s="19"/>
      <c r="R947" s="19"/>
      <c r="S947" s="19"/>
      <c r="T947" s="19"/>
      <c r="U947" s="19"/>
      <c r="V947" s="19"/>
      <c r="W947" s="19"/>
      <c r="X947" s="19"/>
      <c r="Y947" s="19"/>
    </row>
    <row r="948" spans="1:25" ht="13.5" customHeight="1">
      <c r="A948" s="219" t="str" cm="1">
        <f t="array" ref="A948">IFERROR(INDEX('03.Muestra'!$B$8:$B$42,SMALL(IF("Documento no web"='03.Muestra'!$D$8:$D$42,ROW('03.Muestra'!$B$8:$B$42)-MIN(ROW('03.Muestra'!$D$8:$D$42))+1,""),ROW()-930)),"")</f>
        <v/>
      </c>
      <c r="B948" s="114" t="str" cm="1">
        <f t="array" ref="B948">IFERROR(INDEX('03.Muestra'!$C$8:$C$42,SMALL(IF("Documento no web"='03.Muestra'!$D$8:$D$42,ROW('03.Muestra'!$C$8:$C$42)-MIN(ROW('03.Muestra'!$D$8:$D$42))+1,""),ROW()-930)),"")</f>
        <v/>
      </c>
      <c r="C948" s="114" t="str" cm="1">
        <f t="array" ref="C948">IFERROR(INDEX('03.Muestra'!$F$8:$F$42,SMALL(IF("Documento no web"='03.Muestra'!$D$8:$D$42,ROW('03.Muestra'!$F$8:$F$42)-MIN(ROW('03.Muestra'!$D$8:$D$42))+1,""),ROW()-930)),"")</f>
        <v/>
      </c>
      <c r="D948" s="130" t="str">
        <f t="shared" si="49"/>
        <v/>
      </c>
      <c r="E948" s="107" t="str">
        <f t="shared" si="48"/>
        <v/>
      </c>
      <c r="F948" s="19"/>
      <c r="G948" s="19"/>
      <c r="H948" s="19"/>
      <c r="I948" s="19"/>
      <c r="J948" s="19"/>
      <c r="K948" s="233"/>
      <c r="L948" s="19"/>
      <c r="M948" s="19"/>
      <c r="N948" s="19"/>
      <c r="O948" s="19"/>
      <c r="P948" s="19"/>
      <c r="Q948" s="19"/>
      <c r="R948" s="19"/>
      <c r="S948" s="19"/>
      <c r="T948" s="19"/>
      <c r="U948" s="19"/>
      <c r="V948" s="19"/>
      <c r="W948" s="19"/>
      <c r="X948" s="19"/>
      <c r="Y948" s="19"/>
    </row>
    <row r="949" spans="1:25" ht="13.5" customHeight="1">
      <c r="A949" s="219" t="str" cm="1">
        <f t="array" ref="A949">IFERROR(INDEX('03.Muestra'!$B$8:$B$42,SMALL(IF("Documento no web"='03.Muestra'!$D$8:$D$42,ROW('03.Muestra'!$B$8:$B$42)-MIN(ROW('03.Muestra'!$D$8:$D$42))+1,""),ROW()-930)),"")</f>
        <v/>
      </c>
      <c r="B949" s="114" t="str" cm="1">
        <f t="array" ref="B949">IFERROR(INDEX('03.Muestra'!$C$8:$C$42,SMALL(IF("Documento no web"='03.Muestra'!$D$8:$D$42,ROW('03.Muestra'!$C$8:$C$42)-MIN(ROW('03.Muestra'!$D$8:$D$42))+1,""),ROW()-930)),"")</f>
        <v/>
      </c>
      <c r="C949" s="114" t="str" cm="1">
        <f t="array" ref="C949">IFERROR(INDEX('03.Muestra'!$F$8:$F$42,SMALL(IF("Documento no web"='03.Muestra'!$D$8:$D$42,ROW('03.Muestra'!$F$8:$F$42)-MIN(ROW('03.Muestra'!$D$8:$D$42))+1,""),ROW()-930)),"")</f>
        <v/>
      </c>
      <c r="D949" s="130" t="str">
        <f t="shared" si="49"/>
        <v/>
      </c>
      <c r="E949" s="107" t="str">
        <f t="shared" si="48"/>
        <v/>
      </c>
      <c r="F949" s="19"/>
      <c r="G949" s="19"/>
      <c r="H949" s="19"/>
      <c r="I949" s="19"/>
      <c r="J949" s="19"/>
      <c r="K949" s="233"/>
      <c r="L949" s="19"/>
      <c r="M949" s="19"/>
      <c r="N949" s="19"/>
      <c r="O949" s="19"/>
      <c r="P949" s="19"/>
      <c r="Q949" s="19"/>
      <c r="R949" s="19"/>
      <c r="S949" s="19"/>
      <c r="T949" s="19"/>
      <c r="U949" s="19"/>
      <c r="V949" s="19"/>
      <c r="W949" s="19"/>
      <c r="X949" s="19"/>
      <c r="Y949" s="19"/>
    </row>
    <row r="950" spans="1:25" ht="13.5" customHeight="1">
      <c r="A950" s="219" t="str" cm="1">
        <f t="array" ref="A950">IFERROR(INDEX('03.Muestra'!$B$8:$B$42,SMALL(IF("Documento no web"='03.Muestra'!$D$8:$D$42,ROW('03.Muestra'!$B$8:$B$42)-MIN(ROW('03.Muestra'!$D$8:$D$42))+1,""),ROW()-930)),"")</f>
        <v/>
      </c>
      <c r="B950" s="114" t="str" cm="1">
        <f t="array" ref="B950">IFERROR(INDEX('03.Muestra'!$C$8:$C$42,SMALL(IF("Documento no web"='03.Muestra'!$D$8:$D$42,ROW('03.Muestra'!$C$8:$C$42)-MIN(ROW('03.Muestra'!$D$8:$D$42))+1,""),ROW()-930)),"")</f>
        <v/>
      </c>
      <c r="C950" s="114" t="str" cm="1">
        <f t="array" ref="C950">IFERROR(INDEX('03.Muestra'!$F$8:$F$42,SMALL(IF("Documento no web"='03.Muestra'!$D$8:$D$42,ROW('03.Muestra'!$F$8:$F$42)-MIN(ROW('03.Muestra'!$D$8:$D$42))+1,""),ROW()-930)),"")</f>
        <v/>
      </c>
      <c r="D950" s="130" t="str">
        <f t="shared" si="49"/>
        <v/>
      </c>
      <c r="E950" s="107" t="str">
        <f t="shared" si="48"/>
        <v/>
      </c>
      <c r="F950" s="19"/>
      <c r="G950" s="19"/>
      <c r="H950" s="19"/>
      <c r="I950" s="19"/>
      <c r="J950" s="19"/>
      <c r="K950" s="233"/>
      <c r="L950" s="19"/>
      <c r="M950" s="19"/>
      <c r="N950" s="19"/>
      <c r="O950" s="19"/>
      <c r="P950" s="19"/>
      <c r="Q950" s="19"/>
      <c r="R950" s="19"/>
      <c r="S950" s="19"/>
      <c r="T950" s="19"/>
      <c r="U950" s="19"/>
      <c r="V950" s="19"/>
      <c r="W950" s="19"/>
      <c r="X950" s="19"/>
      <c r="Y950" s="19"/>
    </row>
    <row r="951" spans="1:25" ht="13.5" customHeight="1">
      <c r="A951" s="219" t="str" cm="1">
        <f t="array" ref="A951">IFERROR(INDEX('03.Muestra'!$B$8:$B$42,SMALL(IF("Documento no web"='03.Muestra'!$D$8:$D$42,ROW('03.Muestra'!$B$8:$B$42)-MIN(ROW('03.Muestra'!$D$8:$D$42))+1,""),ROW()-930)),"")</f>
        <v/>
      </c>
      <c r="B951" s="114" t="str" cm="1">
        <f t="array" ref="B951">IFERROR(INDEX('03.Muestra'!$C$8:$C$42,SMALL(IF("Documento no web"='03.Muestra'!$D$8:$D$42,ROW('03.Muestra'!$C$8:$C$42)-MIN(ROW('03.Muestra'!$D$8:$D$42))+1,""),ROW()-930)),"")</f>
        <v/>
      </c>
      <c r="C951" s="114" t="str" cm="1">
        <f t="array" ref="C951">IFERROR(INDEX('03.Muestra'!$F$8:$F$42,SMALL(IF("Documento no web"='03.Muestra'!$D$8:$D$42,ROW('03.Muestra'!$F$8:$F$42)-MIN(ROW('03.Muestra'!$D$8:$D$42))+1,""),ROW()-930)),"")</f>
        <v/>
      </c>
      <c r="D951" s="130" t="str">
        <f t="shared" si="49"/>
        <v/>
      </c>
      <c r="E951" s="107" t="str">
        <f t="shared" si="48"/>
        <v/>
      </c>
      <c r="F951" s="19"/>
      <c r="G951" s="19"/>
      <c r="H951" s="19"/>
      <c r="I951" s="19"/>
      <c r="J951" s="19"/>
      <c r="K951" s="233"/>
      <c r="L951" s="19"/>
      <c r="M951" s="19"/>
      <c r="N951" s="19"/>
      <c r="O951" s="19"/>
      <c r="P951" s="19"/>
      <c r="Q951" s="19"/>
      <c r="R951" s="19"/>
      <c r="S951" s="19"/>
      <c r="T951" s="19"/>
      <c r="U951" s="19"/>
      <c r="V951" s="19"/>
      <c r="W951" s="19"/>
      <c r="X951" s="19"/>
      <c r="Y951" s="19"/>
    </row>
    <row r="952" spans="1:25" ht="13.5" customHeight="1">
      <c r="A952" s="219" t="str" cm="1">
        <f t="array" ref="A952">IFERROR(INDEX('03.Muestra'!$B$8:$B$42,SMALL(IF("Documento no web"='03.Muestra'!$D$8:$D$42,ROW('03.Muestra'!$B$8:$B$42)-MIN(ROW('03.Muestra'!$D$8:$D$42))+1,""),ROW()-930)),"")</f>
        <v/>
      </c>
      <c r="B952" s="114" t="str" cm="1">
        <f t="array" ref="B952">IFERROR(INDEX('03.Muestra'!$C$8:$C$42,SMALL(IF("Documento no web"='03.Muestra'!$D$8:$D$42,ROW('03.Muestra'!$C$8:$C$42)-MIN(ROW('03.Muestra'!$D$8:$D$42))+1,""),ROW()-930)),"")</f>
        <v/>
      </c>
      <c r="C952" s="114" t="str" cm="1">
        <f t="array" ref="C952">IFERROR(INDEX('03.Muestra'!$F$8:$F$42,SMALL(IF("Documento no web"='03.Muestra'!$D$8:$D$42,ROW('03.Muestra'!$F$8:$F$42)-MIN(ROW('03.Muestra'!$D$8:$D$42))+1,""),ROW()-930)),"")</f>
        <v/>
      </c>
      <c r="D952" s="130" t="str">
        <f t="shared" si="49"/>
        <v/>
      </c>
      <c r="E952" s="107" t="str">
        <f t="shared" si="48"/>
        <v/>
      </c>
      <c r="F952" s="19"/>
      <c r="G952" s="19"/>
      <c r="H952" s="19"/>
      <c r="I952" s="19"/>
      <c r="J952" s="19"/>
      <c r="K952" s="233"/>
      <c r="L952" s="19"/>
      <c r="M952" s="19"/>
      <c r="N952" s="19"/>
      <c r="O952" s="19"/>
      <c r="P952" s="19"/>
      <c r="Q952" s="19"/>
      <c r="R952" s="19"/>
      <c r="S952" s="19"/>
      <c r="T952" s="19"/>
      <c r="U952" s="19"/>
      <c r="V952" s="19"/>
      <c r="W952" s="19"/>
      <c r="X952" s="19"/>
      <c r="Y952" s="19"/>
    </row>
    <row r="953" spans="1:25" ht="13.5" customHeight="1">
      <c r="A953" s="219" t="str" cm="1">
        <f t="array" ref="A953">IFERROR(INDEX('03.Muestra'!$B$8:$B$42,SMALL(IF("Documento no web"='03.Muestra'!$D$8:$D$42,ROW('03.Muestra'!$B$8:$B$42)-MIN(ROW('03.Muestra'!$D$8:$D$42))+1,""),ROW()-930)),"")</f>
        <v/>
      </c>
      <c r="B953" s="114" t="str" cm="1">
        <f t="array" ref="B953">IFERROR(INDEX('03.Muestra'!$C$8:$C$42,SMALL(IF("Documento no web"='03.Muestra'!$D$8:$D$42,ROW('03.Muestra'!$C$8:$C$42)-MIN(ROW('03.Muestra'!$D$8:$D$42))+1,""),ROW()-930)),"")</f>
        <v/>
      </c>
      <c r="C953" s="114" t="str" cm="1">
        <f t="array" ref="C953">IFERROR(INDEX('03.Muestra'!$F$8:$F$42,SMALL(IF("Documento no web"='03.Muestra'!$D$8:$D$42,ROW('03.Muestra'!$F$8:$F$42)-MIN(ROW('03.Muestra'!$D$8:$D$42))+1,""),ROW()-930)),"")</f>
        <v/>
      </c>
      <c r="D953" s="130" t="str">
        <f t="shared" si="49"/>
        <v/>
      </c>
      <c r="E953" s="107" t="str">
        <f t="shared" si="48"/>
        <v/>
      </c>
      <c r="F953" s="19"/>
      <c r="G953" s="19"/>
      <c r="H953" s="19"/>
      <c r="I953" s="19"/>
      <c r="J953" s="19"/>
      <c r="K953" s="233"/>
      <c r="L953" s="19"/>
      <c r="M953" s="19"/>
      <c r="N953" s="19"/>
      <c r="O953" s="19"/>
      <c r="P953" s="19"/>
      <c r="Q953" s="19"/>
      <c r="R953" s="19"/>
      <c r="S953" s="19"/>
      <c r="T953" s="19"/>
      <c r="U953" s="19"/>
      <c r="V953" s="19"/>
      <c r="W953" s="19"/>
      <c r="X953" s="19"/>
      <c r="Y953" s="19"/>
    </row>
    <row r="954" spans="1:25" ht="13.5" customHeight="1">
      <c r="A954" s="219" t="str" cm="1">
        <f t="array" ref="A954">IFERROR(INDEX('03.Muestra'!$B$8:$B$42,SMALL(IF("Documento no web"='03.Muestra'!$D$8:$D$42,ROW('03.Muestra'!$B$8:$B$42)-MIN(ROW('03.Muestra'!$D$8:$D$42))+1,""),ROW()-930)),"")</f>
        <v/>
      </c>
      <c r="B954" s="114" t="str" cm="1">
        <f t="array" ref="B954">IFERROR(INDEX('03.Muestra'!$C$8:$C$42,SMALL(IF("Documento no web"='03.Muestra'!$D$8:$D$42,ROW('03.Muestra'!$C$8:$C$42)-MIN(ROW('03.Muestra'!$D$8:$D$42))+1,""),ROW()-930)),"")</f>
        <v/>
      </c>
      <c r="C954" s="114" t="str" cm="1">
        <f t="array" ref="C954">IFERROR(INDEX('03.Muestra'!$F$8:$F$42,SMALL(IF("Documento no web"='03.Muestra'!$D$8:$D$42,ROW('03.Muestra'!$F$8:$F$42)-MIN(ROW('03.Muestra'!$D$8:$D$42))+1,""),ROW()-930)),"")</f>
        <v/>
      </c>
      <c r="D954" s="130" t="str">
        <f t="shared" si="49"/>
        <v/>
      </c>
      <c r="E954" s="107" t="str">
        <f t="shared" si="48"/>
        <v/>
      </c>
      <c r="F954" s="19"/>
      <c r="G954" s="19"/>
      <c r="H954" s="19"/>
      <c r="I954" s="19"/>
      <c r="J954" s="19"/>
      <c r="K954" s="233"/>
      <c r="L954" s="19"/>
      <c r="M954" s="19"/>
      <c r="N954" s="19"/>
      <c r="O954" s="19"/>
      <c r="P954" s="19"/>
      <c r="Q954" s="19"/>
      <c r="R954" s="19"/>
      <c r="S954" s="19"/>
      <c r="T954" s="19"/>
      <c r="U954" s="19"/>
      <c r="V954" s="19"/>
      <c r="W954" s="19"/>
      <c r="X954" s="19"/>
      <c r="Y954" s="19"/>
    </row>
    <row r="955" spans="1:25" ht="13.5" customHeight="1">
      <c r="A955" s="219" t="str" cm="1">
        <f t="array" ref="A955">IFERROR(INDEX('03.Muestra'!$B$8:$B$42,SMALL(IF("Documento no web"='03.Muestra'!$D$8:$D$42,ROW('03.Muestra'!$B$8:$B$42)-MIN(ROW('03.Muestra'!$D$8:$D$42))+1,""),ROW()-930)),"")</f>
        <v/>
      </c>
      <c r="B955" s="114" t="str" cm="1">
        <f t="array" ref="B955">IFERROR(INDEX('03.Muestra'!$C$8:$C$42,SMALL(IF("Documento no web"='03.Muestra'!$D$8:$D$42,ROW('03.Muestra'!$C$8:$C$42)-MIN(ROW('03.Muestra'!$D$8:$D$42))+1,""),ROW()-930)),"")</f>
        <v/>
      </c>
      <c r="C955" s="114" t="str" cm="1">
        <f t="array" ref="C955">IFERROR(INDEX('03.Muestra'!$F$8:$F$42,SMALL(IF("Documento no web"='03.Muestra'!$D$8:$D$42,ROW('03.Muestra'!$F$8:$F$42)-MIN(ROW('03.Muestra'!$D$8:$D$42))+1,""),ROW()-930)),"")</f>
        <v/>
      </c>
      <c r="D955" s="130" t="str">
        <f t="shared" si="49"/>
        <v/>
      </c>
      <c r="E955" s="107" t="str">
        <f t="shared" si="48"/>
        <v/>
      </c>
      <c r="F955" s="19"/>
      <c r="G955" s="19"/>
      <c r="H955" s="19"/>
      <c r="I955" s="19"/>
      <c r="J955" s="19"/>
      <c r="K955" s="233"/>
      <c r="L955" s="19"/>
      <c r="M955" s="19"/>
      <c r="N955" s="19"/>
      <c r="O955" s="19"/>
      <c r="P955" s="19"/>
      <c r="Q955" s="19"/>
      <c r="R955" s="19"/>
      <c r="S955" s="19"/>
      <c r="T955" s="19"/>
      <c r="U955" s="19"/>
      <c r="V955" s="19"/>
      <c r="W955" s="19"/>
      <c r="X955" s="19"/>
      <c r="Y955" s="19"/>
    </row>
    <row r="956" spans="1:25" ht="13.5" customHeight="1">
      <c r="A956" s="219" t="str" cm="1">
        <f t="array" ref="A956">IFERROR(INDEX('03.Muestra'!$B$8:$B$42,SMALL(IF("Documento no web"='03.Muestra'!$D$8:$D$42,ROW('03.Muestra'!$B$8:$B$42)-MIN(ROW('03.Muestra'!$D$8:$D$42))+1,""),ROW()-930)),"")</f>
        <v/>
      </c>
      <c r="B956" s="114" t="str" cm="1">
        <f t="array" ref="B956">IFERROR(INDEX('03.Muestra'!$C$8:$C$42,SMALL(IF("Documento no web"='03.Muestra'!$D$8:$D$42,ROW('03.Muestra'!$C$8:$C$42)-MIN(ROW('03.Muestra'!$D$8:$D$42))+1,""),ROW()-930)),"")</f>
        <v/>
      </c>
      <c r="C956" s="114" t="str" cm="1">
        <f t="array" ref="C956">IFERROR(INDEX('03.Muestra'!$F$8:$F$42,SMALL(IF("Documento no web"='03.Muestra'!$D$8:$D$42,ROW('03.Muestra'!$F$8:$F$42)-MIN(ROW('03.Muestra'!$D$8:$D$42))+1,""),ROW()-930)),"")</f>
        <v/>
      </c>
      <c r="D956" s="130" t="str">
        <f t="shared" si="49"/>
        <v/>
      </c>
      <c r="E956" s="107" t="str">
        <f t="shared" si="48"/>
        <v/>
      </c>
      <c r="F956" s="19"/>
      <c r="G956" s="19"/>
      <c r="H956" s="19"/>
      <c r="I956" s="19"/>
      <c r="J956" s="19"/>
      <c r="K956" s="233"/>
      <c r="L956" s="19"/>
      <c r="M956" s="19"/>
      <c r="N956" s="19"/>
      <c r="O956" s="19"/>
      <c r="P956" s="19"/>
      <c r="Q956" s="19"/>
      <c r="R956" s="19"/>
      <c r="S956" s="19"/>
      <c r="T956" s="19"/>
      <c r="U956" s="19"/>
      <c r="V956" s="19"/>
      <c r="W956" s="19"/>
      <c r="X956" s="19"/>
      <c r="Y956" s="19"/>
    </row>
    <row r="957" spans="1:25" ht="13.5" customHeight="1">
      <c r="A957" s="219" t="str" cm="1">
        <f t="array" ref="A957">IFERROR(INDEX('03.Muestra'!$B$8:$B$42,SMALL(IF("Documento no web"='03.Muestra'!$D$8:$D$42,ROW('03.Muestra'!$B$8:$B$42)-MIN(ROW('03.Muestra'!$D$8:$D$42))+1,""),ROW()-930)),"")</f>
        <v/>
      </c>
      <c r="B957" s="114" t="str" cm="1">
        <f t="array" ref="B957">IFERROR(INDEX('03.Muestra'!$C$8:$C$42,SMALL(IF("Documento no web"='03.Muestra'!$D$8:$D$42,ROW('03.Muestra'!$C$8:$C$42)-MIN(ROW('03.Muestra'!$D$8:$D$42))+1,""),ROW()-930)),"")</f>
        <v/>
      </c>
      <c r="C957" s="114" t="str" cm="1">
        <f t="array" ref="C957">IFERROR(INDEX('03.Muestra'!$F$8:$F$42,SMALL(IF("Documento no web"='03.Muestra'!$D$8:$D$42,ROW('03.Muestra'!$F$8:$F$42)-MIN(ROW('03.Muestra'!$D$8:$D$42))+1,""),ROW()-930)),"")</f>
        <v/>
      </c>
      <c r="D957" s="130" t="str">
        <f t="shared" si="49"/>
        <v/>
      </c>
      <c r="E957" s="107" t="str">
        <f t="shared" si="48"/>
        <v/>
      </c>
      <c r="F957" s="19"/>
      <c r="G957" s="19"/>
      <c r="H957" s="19"/>
      <c r="I957" s="19"/>
      <c r="J957" s="19"/>
      <c r="K957" s="233"/>
      <c r="L957" s="19"/>
      <c r="M957" s="19"/>
      <c r="N957" s="19"/>
      <c r="O957" s="19"/>
      <c r="P957" s="19"/>
      <c r="Q957" s="19"/>
      <c r="R957" s="19"/>
      <c r="S957" s="19"/>
      <c r="T957" s="19"/>
      <c r="U957" s="19"/>
      <c r="V957" s="19"/>
      <c r="W957" s="19"/>
      <c r="X957" s="19"/>
      <c r="Y957" s="19"/>
    </row>
    <row r="958" spans="1:25" ht="13.5" customHeight="1">
      <c r="A958" s="219" t="str" cm="1">
        <f t="array" ref="A958">IFERROR(INDEX('03.Muestra'!$B$8:$B$42,SMALL(IF("Documento no web"='03.Muestra'!$D$8:$D$42,ROW('03.Muestra'!$B$8:$B$42)-MIN(ROW('03.Muestra'!$D$8:$D$42))+1,""),ROW()-930)),"")</f>
        <v/>
      </c>
      <c r="B958" s="114" t="str" cm="1">
        <f t="array" ref="B958">IFERROR(INDEX('03.Muestra'!$C$8:$C$42,SMALL(IF("Documento no web"='03.Muestra'!$D$8:$D$42,ROW('03.Muestra'!$C$8:$C$42)-MIN(ROW('03.Muestra'!$D$8:$D$42))+1,""),ROW()-930)),"")</f>
        <v/>
      </c>
      <c r="C958" s="114" t="str" cm="1">
        <f t="array" ref="C958">IFERROR(INDEX('03.Muestra'!$F$8:$F$42,SMALL(IF("Documento no web"='03.Muestra'!$D$8:$D$42,ROW('03.Muestra'!$F$8:$F$42)-MIN(ROW('03.Muestra'!$D$8:$D$42))+1,""),ROW()-930)),"")</f>
        <v/>
      </c>
      <c r="D958" s="130" t="str">
        <f t="shared" si="49"/>
        <v/>
      </c>
      <c r="E958" s="107" t="str">
        <f t="shared" si="48"/>
        <v/>
      </c>
      <c r="G958" s="19"/>
      <c r="H958" s="19"/>
      <c r="I958" s="19"/>
      <c r="J958" s="19"/>
      <c r="K958" s="233"/>
      <c r="L958" s="19"/>
      <c r="M958" s="19"/>
      <c r="N958" s="19"/>
      <c r="O958" s="19"/>
      <c r="P958" s="19"/>
      <c r="Q958" s="19"/>
      <c r="R958" s="19"/>
      <c r="S958" s="19"/>
      <c r="T958" s="19"/>
      <c r="U958" s="19"/>
      <c r="V958" s="19"/>
      <c r="W958" s="19"/>
      <c r="X958" s="19"/>
      <c r="Y958" s="19"/>
    </row>
    <row r="959" spans="1:25" ht="13.5" customHeight="1">
      <c r="A959" s="219" t="str" cm="1">
        <f t="array" ref="A959">IFERROR(INDEX('03.Muestra'!$B$8:$B$42,SMALL(IF("Documento no web"='03.Muestra'!$D$8:$D$42,ROW('03.Muestra'!$B$8:$B$42)-MIN(ROW('03.Muestra'!$D$8:$D$42))+1,""),ROW()-930)),"")</f>
        <v/>
      </c>
      <c r="B959" s="114" t="str" cm="1">
        <f t="array" ref="B959">IFERROR(INDEX('03.Muestra'!$C$8:$C$42,SMALL(IF("Documento no web"='03.Muestra'!$D$8:$D$42,ROW('03.Muestra'!$C$8:$C$42)-MIN(ROW('03.Muestra'!$D$8:$D$42))+1,""),ROW()-930)),"")</f>
        <v/>
      </c>
      <c r="C959" s="114" t="str" cm="1">
        <f t="array" ref="C959">IFERROR(INDEX('03.Muestra'!$F$8:$F$42,SMALL(IF("Documento no web"='03.Muestra'!$D$8:$D$42,ROW('03.Muestra'!$F$8:$F$42)-MIN(ROW('03.Muestra'!$D$8:$D$42))+1,""),ROW()-930)),"")</f>
        <v/>
      </c>
      <c r="D959" s="130" t="str">
        <f t="shared" si="49"/>
        <v/>
      </c>
      <c r="E959" s="107" t="str">
        <f t="shared" si="48"/>
        <v/>
      </c>
      <c r="F959" s="124"/>
      <c r="G959" s="19"/>
      <c r="H959" s="19"/>
      <c r="I959" s="19"/>
      <c r="J959" s="19"/>
      <c r="K959" s="233"/>
      <c r="L959" s="19"/>
      <c r="M959" s="19"/>
      <c r="N959" s="19"/>
      <c r="O959" s="19"/>
      <c r="P959" s="19"/>
      <c r="Q959" s="19"/>
      <c r="R959" s="19"/>
      <c r="S959" s="19"/>
      <c r="T959" s="19"/>
      <c r="U959" s="19"/>
      <c r="V959" s="19"/>
      <c r="W959" s="19"/>
      <c r="X959" s="19"/>
      <c r="Y959" s="19"/>
    </row>
    <row r="960" spans="1:25" ht="13.5" customHeight="1">
      <c r="A960" s="219" t="str" cm="1">
        <f t="array" ref="A960">IFERROR(INDEX('03.Muestra'!$B$8:$B$42,SMALL(IF("Documento no web"='03.Muestra'!$D$8:$D$42,ROW('03.Muestra'!$B$8:$B$42)-MIN(ROW('03.Muestra'!$D$8:$D$42))+1,""),ROW()-930)),"")</f>
        <v/>
      </c>
      <c r="B960" s="114" t="str" cm="1">
        <f t="array" ref="B960">IFERROR(INDEX('03.Muestra'!$C$8:$C$42,SMALL(IF("Documento no web"='03.Muestra'!$D$8:$D$42,ROW('03.Muestra'!$C$8:$C$42)-MIN(ROW('03.Muestra'!$D$8:$D$42))+1,""),ROW()-930)),"")</f>
        <v/>
      </c>
      <c r="C960" s="114" t="str" cm="1">
        <f t="array" ref="C960">IFERROR(INDEX('03.Muestra'!$F$8:$F$42,SMALL(IF("Documento no web"='03.Muestra'!$D$8:$D$42,ROW('03.Muestra'!$F$8:$F$42)-MIN(ROW('03.Muestra'!$D$8:$D$42))+1,""),ROW()-930)),"")</f>
        <v/>
      </c>
      <c r="D960" s="130" t="str">
        <f t="shared" si="49"/>
        <v/>
      </c>
      <c r="E960" s="107" t="str">
        <f t="shared" si="48"/>
        <v/>
      </c>
      <c r="F960" s="124"/>
      <c r="G960" s="19"/>
      <c r="H960" s="19"/>
      <c r="I960" s="19"/>
      <c r="J960" s="19"/>
      <c r="K960" s="233"/>
      <c r="L960" s="19"/>
      <c r="M960" s="19"/>
      <c r="N960" s="19"/>
      <c r="O960" s="19"/>
      <c r="P960" s="19"/>
      <c r="Q960" s="19"/>
      <c r="R960" s="19"/>
      <c r="S960" s="19"/>
      <c r="T960" s="19"/>
      <c r="U960" s="19"/>
      <c r="V960" s="19"/>
      <c r="W960" s="19"/>
      <c r="X960" s="19"/>
      <c r="Y960" s="19"/>
    </row>
    <row r="961" spans="1:25" ht="13.5" customHeight="1">
      <c r="A961" s="219" t="str" cm="1">
        <f t="array" ref="A961">IFERROR(INDEX('03.Muestra'!$B$8:$B$42,SMALL(IF("Documento no web"='03.Muestra'!$D$8:$D$42,ROW('03.Muestra'!$B$8:$B$42)-MIN(ROW('03.Muestra'!$D$8:$D$42))+1,""),ROW()-930)),"")</f>
        <v/>
      </c>
      <c r="B961" s="114" t="str" cm="1">
        <f t="array" ref="B961">IFERROR(INDEX('03.Muestra'!$C$8:$C$42,SMALL(IF("Documento no web"='03.Muestra'!$D$8:$D$42,ROW('03.Muestra'!$C$8:$C$42)-MIN(ROW('03.Muestra'!$D$8:$D$42))+1,""),ROW()-930)),"")</f>
        <v/>
      </c>
      <c r="C961" s="114" t="str" cm="1">
        <f t="array" ref="C961">IFERROR(INDEX('03.Muestra'!$F$8:$F$42,SMALL(IF("Documento no web"='03.Muestra'!$D$8:$D$42,ROW('03.Muestra'!$F$8:$F$42)-MIN(ROW('03.Muestra'!$D$8:$D$42))+1,""),ROW()-930)),"")</f>
        <v/>
      </c>
      <c r="D961" s="130" t="str">
        <f t="shared" si="49"/>
        <v/>
      </c>
      <c r="E961" s="107" t="str">
        <f t="shared" si="48"/>
        <v/>
      </c>
      <c r="F961" s="124"/>
      <c r="G961" s="19"/>
      <c r="H961" s="19"/>
      <c r="I961" s="19"/>
      <c r="J961" s="19"/>
      <c r="K961" s="233"/>
      <c r="L961" s="19"/>
      <c r="M961" s="19"/>
      <c r="N961" s="19"/>
      <c r="O961" s="19"/>
      <c r="P961" s="19"/>
      <c r="Q961" s="19"/>
      <c r="R961" s="19"/>
      <c r="S961" s="19"/>
      <c r="T961" s="19"/>
      <c r="U961" s="19"/>
      <c r="V961" s="19"/>
      <c r="W961" s="19"/>
      <c r="X961" s="19"/>
      <c r="Y961" s="19"/>
    </row>
    <row r="962" spans="1:25" ht="13.5" customHeight="1">
      <c r="A962" s="219" t="str" cm="1">
        <f t="array" ref="A962">IFERROR(INDEX('03.Muestra'!$B$8:$B$42,SMALL(IF("Documento no web"='03.Muestra'!$D$8:$D$42,ROW('03.Muestra'!$B$8:$B$42)-MIN(ROW('03.Muestra'!$D$8:$D$42))+1,""),ROW()-930)),"")</f>
        <v/>
      </c>
      <c r="B962" s="114" t="str" cm="1">
        <f t="array" ref="B962">IFERROR(INDEX('03.Muestra'!$C$8:$C$42,SMALL(IF("Documento no web"='03.Muestra'!$D$8:$D$42,ROW('03.Muestra'!$C$8:$C$42)-MIN(ROW('03.Muestra'!$D$8:$D$42))+1,""),ROW()-930)),"")</f>
        <v/>
      </c>
      <c r="C962" s="114" t="str" cm="1">
        <f t="array" ref="C962">IFERROR(INDEX('03.Muestra'!$F$8:$F$42,SMALL(IF("Documento no web"='03.Muestra'!$D$8:$D$42,ROW('03.Muestra'!$F$8:$F$42)-MIN(ROW('03.Muestra'!$D$8:$D$42))+1,""),ROW()-930)),"")</f>
        <v/>
      </c>
      <c r="D962" s="130" t="str">
        <f t="shared" si="49"/>
        <v/>
      </c>
      <c r="E962" s="107" t="str">
        <f t="shared" si="48"/>
        <v/>
      </c>
      <c r="F962" s="124"/>
      <c r="G962" s="19"/>
      <c r="H962" s="19"/>
      <c r="I962" s="19"/>
      <c r="J962" s="19"/>
      <c r="K962" s="233"/>
      <c r="L962" s="19"/>
      <c r="M962" s="19"/>
      <c r="N962" s="19"/>
      <c r="O962" s="19"/>
      <c r="P962" s="19"/>
      <c r="Q962" s="19"/>
      <c r="R962" s="19"/>
      <c r="S962" s="19"/>
      <c r="T962" s="19"/>
      <c r="U962" s="19"/>
      <c r="V962" s="19"/>
      <c r="W962" s="19"/>
      <c r="X962" s="19"/>
      <c r="Y962" s="19"/>
    </row>
    <row r="963" spans="1:25" ht="13.5" customHeight="1">
      <c r="A963" s="219" t="str" cm="1">
        <f t="array" ref="A963">IFERROR(INDEX('03.Muestra'!$B$8:$B$42,SMALL(IF("Documento no web"='03.Muestra'!$D$8:$D$42,ROW('03.Muestra'!$B$8:$B$42)-MIN(ROW('03.Muestra'!$D$8:$D$42))+1,""),ROW()-930)),"")</f>
        <v/>
      </c>
      <c r="B963" s="114" t="str" cm="1">
        <f t="array" ref="B963">IFERROR(INDEX('03.Muestra'!$C$8:$C$42,SMALL(IF("Documento no web"='03.Muestra'!$D$8:$D$42,ROW('03.Muestra'!$C$8:$C$42)-MIN(ROW('03.Muestra'!$D$8:$D$42))+1,""),ROW()-930)),"")</f>
        <v/>
      </c>
      <c r="C963" s="114" t="str" cm="1">
        <f t="array" ref="C963">IFERROR(INDEX('03.Muestra'!$F$8:$F$42,SMALL(IF("Documento no web"='03.Muestra'!$D$8:$D$42,ROW('03.Muestra'!$F$8:$F$42)-MIN(ROW('03.Muestra'!$D$8:$D$42))+1,""),ROW()-930)),"")</f>
        <v/>
      </c>
      <c r="D963" s="130" t="str">
        <f t="shared" si="49"/>
        <v/>
      </c>
      <c r="E963" s="107" t="str">
        <f t="shared" si="48"/>
        <v/>
      </c>
      <c r="F963" s="124"/>
      <c r="G963" s="19"/>
      <c r="H963" s="19"/>
      <c r="I963" s="19"/>
      <c r="J963" s="19"/>
      <c r="K963" s="233"/>
      <c r="L963" s="19"/>
      <c r="M963" s="19"/>
      <c r="N963" s="19"/>
      <c r="O963" s="19"/>
      <c r="P963" s="19"/>
      <c r="Q963" s="19"/>
      <c r="R963" s="19"/>
      <c r="S963" s="19"/>
      <c r="T963" s="19"/>
      <c r="U963" s="19"/>
      <c r="V963" s="19"/>
      <c r="W963" s="19"/>
      <c r="X963" s="19"/>
      <c r="Y963" s="19"/>
    </row>
    <row r="964" spans="1:25" ht="13.5" customHeight="1">
      <c r="A964" s="219" t="str" cm="1">
        <f t="array" ref="A964">IFERROR(INDEX('03.Muestra'!$B$8:$B$42,SMALL(IF("Documento no web"='03.Muestra'!$D$8:$D$42,ROW('03.Muestra'!$B$8:$B$42)-MIN(ROW('03.Muestra'!$D$8:$D$42))+1,""),ROW()-930)),"")</f>
        <v/>
      </c>
      <c r="B964" s="114" t="str" cm="1">
        <f t="array" ref="B964">IFERROR(INDEX('03.Muestra'!$C$8:$C$42,SMALL(IF("Documento no web"='03.Muestra'!$D$8:$D$42,ROW('03.Muestra'!$C$8:$C$42)-MIN(ROW('03.Muestra'!$D$8:$D$42))+1,""),ROW()-930)),"")</f>
        <v/>
      </c>
      <c r="C964" s="114" t="str" cm="1">
        <f t="array" ref="C964">IFERROR(INDEX('03.Muestra'!$F$8:$F$42,SMALL(IF("Documento no web"='03.Muestra'!$D$8:$D$42,ROW('03.Muestra'!$F$8:$F$42)-MIN(ROW('03.Muestra'!$D$8:$D$42))+1,""),ROW()-930)),"")</f>
        <v/>
      </c>
      <c r="D964" s="130" t="str">
        <f t="shared" si="49"/>
        <v/>
      </c>
      <c r="E964" s="107" t="str">
        <f t="shared" si="48"/>
        <v/>
      </c>
      <c r="F964" s="124"/>
      <c r="G964" s="19"/>
      <c r="H964" s="19"/>
      <c r="I964" s="19"/>
      <c r="J964" s="19"/>
      <c r="K964" s="233"/>
      <c r="L964" s="19"/>
      <c r="M964" s="19"/>
      <c r="N964" s="19"/>
      <c r="O964" s="19"/>
      <c r="P964" s="19"/>
      <c r="Q964" s="19"/>
      <c r="R964" s="19"/>
      <c r="S964" s="19"/>
      <c r="T964" s="19"/>
      <c r="U964" s="19"/>
      <c r="V964" s="19"/>
      <c r="W964" s="19"/>
      <c r="X964" s="19"/>
      <c r="Y964" s="19"/>
    </row>
    <row r="965" spans="1:25" ht="13.5" customHeight="1">
      <c r="A965" s="219" t="str" cm="1">
        <f t="array" ref="A965">IFERROR(INDEX('03.Muestra'!$B$8:$B$42,SMALL(IF("Documento no web"='03.Muestra'!$D$8:$D$42,ROW('03.Muestra'!$B$8:$B$42)-MIN(ROW('03.Muestra'!$D$8:$D$42))+1,""),ROW()-930)),"")</f>
        <v/>
      </c>
      <c r="B965" s="114" t="str" cm="1">
        <f t="array" ref="B965">IFERROR(INDEX('03.Muestra'!$C$8:$C$42,SMALL(IF("Documento no web"='03.Muestra'!$D$8:$D$42,ROW('03.Muestra'!$C$8:$C$42)-MIN(ROW('03.Muestra'!$D$8:$D$42))+1,""),ROW()-930)),"")</f>
        <v/>
      </c>
      <c r="C965" s="114" t="str" cm="1">
        <f t="array" ref="C965">IFERROR(INDEX('03.Muestra'!$F$8:$F$42,SMALL(IF("Documento no web"='03.Muestra'!$D$8:$D$42,ROW('03.Muestra'!$F$8:$F$42)-MIN(ROW('03.Muestra'!$D$8:$D$42))+1,""),ROW()-930)),"")</f>
        <v/>
      </c>
      <c r="D965" s="130" t="str">
        <f t="shared" si="49"/>
        <v/>
      </c>
      <c r="E965" s="107" t="str">
        <f t="shared" si="48"/>
        <v/>
      </c>
      <c r="F965" s="19"/>
      <c r="G965" s="19"/>
      <c r="H965" s="19"/>
      <c r="I965" s="19"/>
      <c r="J965" s="19"/>
      <c r="K965" s="233"/>
      <c r="L965" s="19"/>
      <c r="M965" s="19"/>
      <c r="N965" s="19"/>
      <c r="O965" s="19"/>
      <c r="P965" s="19"/>
      <c r="Q965" s="19"/>
      <c r="R965" s="19"/>
      <c r="S965" s="19"/>
      <c r="T965" s="19"/>
      <c r="U965" s="19"/>
      <c r="V965" s="19"/>
      <c r="W965" s="19"/>
      <c r="X965" s="19"/>
      <c r="Y965" s="19"/>
    </row>
    <row r="966" spans="1:25" ht="13.5" customHeight="1">
      <c r="B966" s="19"/>
      <c r="C966" s="19"/>
      <c r="D966" s="107"/>
      <c r="E966" s="19"/>
      <c r="F966" s="19"/>
      <c r="G966" s="19"/>
      <c r="H966" s="19"/>
      <c r="I966" s="19"/>
      <c r="J966" s="19"/>
      <c r="K966" s="233"/>
      <c r="L966" s="19"/>
      <c r="M966" s="19"/>
      <c r="N966" s="19"/>
      <c r="O966" s="19"/>
      <c r="P966" s="19"/>
      <c r="Q966" s="19"/>
      <c r="R966" s="19"/>
      <c r="S966" s="19"/>
      <c r="T966" s="19"/>
      <c r="U966" s="19"/>
      <c r="V966" s="19"/>
      <c r="W966" s="19"/>
      <c r="X966" s="19"/>
      <c r="Y966" s="19"/>
    </row>
    <row r="967" spans="1:25" ht="13.5" customHeight="1">
      <c r="B967" s="126"/>
      <c r="C967" s="19"/>
      <c r="D967" s="107"/>
      <c r="E967" s="112"/>
      <c r="F967" s="19"/>
      <c r="G967" s="19"/>
      <c r="H967" s="19"/>
      <c r="I967" s="19"/>
      <c r="J967" s="19"/>
      <c r="K967" s="233"/>
      <c r="L967" s="19"/>
      <c r="M967" s="19"/>
      <c r="N967" s="19"/>
      <c r="O967" s="19"/>
      <c r="P967" s="19"/>
      <c r="Q967" s="19"/>
      <c r="R967" s="19"/>
      <c r="S967" s="19"/>
      <c r="T967" s="19"/>
      <c r="U967" s="19"/>
      <c r="V967" s="19"/>
      <c r="W967" s="19"/>
      <c r="X967" s="19"/>
      <c r="Y967" s="19"/>
    </row>
    <row r="968" spans="1:25" ht="30" customHeight="1">
      <c r="A968" s="218" t="s">
        <v>268</v>
      </c>
      <c r="B968" s="24" t="s">
        <v>90</v>
      </c>
      <c r="C968" s="25" t="s">
        <v>447</v>
      </c>
      <c r="D968" s="26" t="s">
        <v>32</v>
      </c>
      <c r="E968" s="123"/>
      <c r="K968" s="233"/>
      <c r="L968" s="19"/>
      <c r="M968" s="19"/>
      <c r="N968" s="19"/>
      <c r="O968" s="19"/>
      <c r="P968" s="19"/>
      <c r="Q968" s="19"/>
      <c r="R968" s="19"/>
      <c r="S968" s="19"/>
      <c r="T968" s="19"/>
      <c r="U968" s="19"/>
      <c r="V968" s="19"/>
      <c r="W968" s="19"/>
      <c r="X968" s="19"/>
      <c r="Y968" s="19"/>
    </row>
    <row r="969" spans="1:25" ht="13.5" customHeight="1">
      <c r="A969" s="219" t="n" cm="1">
        <f t="array" ref="A969">IFERROR(INDEX('03.Muestra'!$B$8:$B$42,SMALL(IF("Documento no web"='03.Muestra'!$D$8:$D$42,ROW('03.Muestra'!$B$8:$B$42)-MIN(ROW('03.Muestra'!$D$8:$D$42))+1,""),ROW()-968)),"")</f>
        <v>1.0</v>
      </c>
      <c r="B969" s="114" t="str" cm="1">
        <f t="array" ref="B969">IFERROR(INDEX('03.Muestra'!$C$8:$C$42,SMALL(IF("Documento no web"='03.Muestra'!$D$8:$D$42,ROW('03.Muestra'!$C$8:$C$42)-MIN(ROW('03.Muestra'!$D$8:$D$42))+1,""),ROW()-968)),"")</f>
        <v>Home - PortCastelló</v>
      </c>
      <c r="C969" s="114" t="str" cm="1">
        <f t="array" ref="C969">IFERROR(INDEX('03.Muestra'!$F$8:$F$42,SMALL(IF("Documento no web"='03.Muestra'!$D$8:$D$42,ROW('03.Muestra'!$F$8:$F$42)-MIN(ROW('03.Muestra'!$D$8:$D$42))+1,""),ROW()-968)),"")</f>
        <v>https://www.portcastello.com/</v>
      </c>
      <c r="D969" s="130" t="s">
        <v>28</v>
      </c>
      <c r="E969" s="107" t="str">
        <f t="shared" ref="E969:E1004" si="50">IF(D969&lt;&gt;"",IF(AND(B969&lt;&gt;"",C969&lt;&gt;""),"","ERR"),"")</f>
        <v/>
      </c>
      <c r="F969" s="115" t="s">
        <v>33</v>
      </c>
      <c r="G969" s="116" t="s">
        <v>37</v>
      </c>
      <c r="H969" s="117" t="s">
        <v>35</v>
      </c>
      <c r="I969" s="118" t="s">
        <v>28</v>
      </c>
      <c r="J969" s="119" t="s">
        <v>26</v>
      </c>
      <c r="K969" s="226" t="s">
        <v>474</v>
      </c>
      <c r="L969" s="19"/>
      <c r="M969" s="19"/>
      <c r="N969" s="19"/>
      <c r="O969" s="19"/>
      <c r="P969" s="19"/>
      <c r="Q969" s="19"/>
      <c r="R969" s="19"/>
      <c r="S969" s="19"/>
      <c r="T969" s="19"/>
      <c r="U969" s="19"/>
      <c r="V969" s="19"/>
      <c r="W969" s="19"/>
      <c r="X969" s="19"/>
      <c r="Y969" s="19"/>
    </row>
    <row r="970" spans="1:25" ht="13.5" customHeight="1">
      <c r="A970" s="219" t="n" cm="1">
        <f t="array" ref="A970">IFERROR(INDEX('03.Muestra'!$B$8:$B$42,SMALL(IF("Documento no web"='03.Muestra'!$D$8:$D$42,ROW('03.Muestra'!$B$8:$B$42)-MIN(ROW('03.Muestra'!$D$8:$D$42))+1,""),ROW()-968)),"")</f>
        <v>1.0</v>
      </c>
      <c r="B970" s="114" t="str" cm="1">
        <f t="array" ref="B970">IFERROR(INDEX('03.Muestra'!$C$8:$C$42,SMALL(IF("Documento no web"='03.Muestra'!$D$8:$D$42,ROW('03.Muestra'!$C$8:$C$42)-MIN(ROW('03.Muestra'!$D$8:$D$42))+1,""),ROW()-968)),"")</f>
        <v>Home - PortCastelló</v>
      </c>
      <c r="C970" s="114" t="str" cm="1">
        <f t="array" ref="C970">IFERROR(INDEX('03.Muestra'!$F$8:$F$42,SMALL(IF("Documento no web"='03.Muestra'!$D$8:$D$42,ROW('03.Muestra'!$F$8:$F$42)-MIN(ROW('03.Muestra'!$D$8:$D$42))+1,""),ROW()-968)),"")</f>
        <v>https://www.portcastello.com/</v>
      </c>
      <c r="D970" s="130" t="s">
        <v>28</v>
      </c>
      <c r="E970" s="107" t="str">
        <f t="shared" si="50"/>
        <v/>
      </c>
      <c r="F970" s="120" t="n">
        <f ca="1">COUNTIF($D969:INDIRECT("$D" &amp;  SUM(ROW()-1,'03.Muestra'!$D$45)-1),F969)</f>
        <v>0.0</v>
      </c>
      <c r="G970" s="120" t="n">
        <f ca="1">COUNTIF($D969:INDIRECT("$D" &amp;  SUM(ROW()-1,'03.Muestra'!$D$45)-1),G969)</f>
        <v>0.0</v>
      </c>
      <c r="H970" s="120" t="n">
        <f ca="1">COUNTIF($D969:INDIRECT("$D" &amp;  SUM(ROW()-1,'03.Muestra'!$D$45)-1),H969)</f>
        <v>0.0</v>
      </c>
      <c r="I970" s="120" t="n">
        <f ca="1">COUNTIF($D969:INDIRECT("$D" &amp;  SUM(ROW()-1,'03.Muestra'!$D$45)-1),I969)</f>
        <v>2.0</v>
      </c>
      <c r="J970" s="120" t="n">
        <f ca="1">COUNTIF($D969:INDIRECT("$D" &amp;  SUM(ROW()-1,'03.Muestra'!$D$45)-1),J969)</f>
        <v>0.0</v>
      </c>
      <c r="K970" s="227" t="n">
        <f ca="1">IF(COUNTIF('03.Muestra'!$D$8:$D$42,"Documento no web")=0,0,COUNTBLANK($D969:INDIRECT("$D" &amp;  SUM(ROW()-1,COUNTIF('03.Muestra'!$D$8:$D$42,"Documento no web"))-1)))</f>
        <v>0.0</v>
      </c>
      <c r="L970" s="19"/>
      <c r="M970" s="19"/>
      <c r="N970" s="19"/>
      <c r="O970" s="19"/>
      <c r="P970" s="19"/>
      <c r="Q970" s="19"/>
      <c r="R970" s="19"/>
      <c r="S970" s="19"/>
      <c r="T970" s="19"/>
      <c r="U970" s="19"/>
      <c r="V970" s="19"/>
      <c r="W970" s="19"/>
      <c r="X970" s="19"/>
      <c r="Y970" s="19"/>
    </row>
    <row r="971" spans="1:25" ht="13.5" customHeight="1">
      <c r="A971" s="219" t="str" cm="1">
        <f t="array" ref="A971">IFERROR(INDEX('03.Muestra'!$B$8:$B$42,SMALL(IF("Documento no web"='03.Muestra'!$D$8:$D$42,ROW('03.Muestra'!$B$8:$B$42)-MIN(ROW('03.Muestra'!$D$8:$D$42))+1,""),ROW()-968)),"")</f>
        <v/>
      </c>
      <c r="B971" s="114" t="str" cm="1">
        <f t="array" ref="B971">IFERROR(INDEX('03.Muestra'!$C$8:$C$42,SMALL(IF("Documento no web"='03.Muestra'!$D$8:$D$42,ROW('03.Muestra'!$C$8:$C$42)-MIN(ROW('03.Muestra'!$D$8:$D$42))+1,""),ROW()-968)),"")</f>
        <v/>
      </c>
      <c r="C971" s="114" t="str" cm="1">
        <f t="array" ref="C971">IFERROR(INDEX('03.Muestra'!$F$8:$F$42,SMALL(IF("Documento no web"='03.Muestra'!$D$8:$D$42,ROW('03.Muestra'!$F$8:$F$42)-MIN(ROW('03.Muestra'!$D$8:$D$42))+1,""),ROW()-968)),"")</f>
        <v/>
      </c>
      <c r="D971" s="130" t="str">
        <f t="shared" si="51" ref="D971:D1003">IF(AND(B971&lt;&gt;"",C971&lt;&gt;""),"N/T","")</f>
        <v/>
      </c>
      <c r="E971" s="107" t="str">
        <f t="shared" si="50"/>
        <v/>
      </c>
      <c r="G971" s="19"/>
      <c r="H971" s="19"/>
      <c r="I971" s="19"/>
      <c r="J971" s="19"/>
      <c r="K971" s="233"/>
      <c r="L971" s="19"/>
      <c r="M971" s="19"/>
      <c r="N971" s="19"/>
      <c r="O971" s="19"/>
      <c r="P971" s="19"/>
      <c r="Q971" s="19"/>
      <c r="R971" s="19"/>
      <c r="S971" s="19"/>
      <c r="T971" s="19"/>
      <c r="U971" s="19"/>
      <c r="V971" s="19"/>
      <c r="W971" s="19"/>
      <c r="X971" s="19"/>
      <c r="Y971" s="19"/>
    </row>
    <row r="972" spans="1:25" ht="13.5" customHeight="1">
      <c r="A972" s="219" t="str" cm="1">
        <f t="array" ref="A972">IFERROR(INDEX('03.Muestra'!$B$8:$B$42,SMALL(IF("Documento no web"='03.Muestra'!$D$8:$D$42,ROW('03.Muestra'!$B$8:$B$42)-MIN(ROW('03.Muestra'!$D$8:$D$42))+1,""),ROW()-968)),"")</f>
        <v/>
      </c>
      <c r="B972" s="114" t="str" cm="1">
        <f t="array" ref="B972">IFERROR(INDEX('03.Muestra'!$C$8:$C$42,SMALL(IF("Documento no web"='03.Muestra'!$D$8:$D$42,ROW('03.Muestra'!$C$8:$C$42)-MIN(ROW('03.Muestra'!$D$8:$D$42))+1,""),ROW()-968)),"")</f>
        <v/>
      </c>
      <c r="C972" s="114" t="str" cm="1">
        <f t="array" ref="C972">IFERROR(INDEX('03.Muestra'!$F$8:$F$42,SMALL(IF("Documento no web"='03.Muestra'!$D$8:$D$42,ROW('03.Muestra'!$F$8:$F$42)-MIN(ROW('03.Muestra'!$D$8:$D$42))+1,""),ROW()-968)),"")</f>
        <v/>
      </c>
      <c r="D972" s="130" t="str">
        <f t="shared" si="51"/>
        <v/>
      </c>
      <c r="E972" s="107" t="str">
        <f t="shared" si="50"/>
        <v/>
      </c>
      <c r="G972" s="19"/>
      <c r="H972" s="19"/>
      <c r="I972" s="19"/>
      <c r="J972" s="19"/>
      <c r="K972" s="233"/>
      <c r="L972" s="19"/>
      <c r="M972" s="19"/>
      <c r="N972" s="19"/>
      <c r="O972" s="19"/>
      <c r="P972" s="19"/>
      <c r="Q972" s="19"/>
      <c r="R972" s="19"/>
      <c r="S972" s="19"/>
      <c r="T972" s="19"/>
      <c r="U972" s="19"/>
      <c r="V972" s="19"/>
      <c r="W972" s="19"/>
      <c r="X972" s="19"/>
      <c r="Y972" s="19"/>
    </row>
    <row r="973" spans="1:25" ht="13.5" customHeight="1">
      <c r="A973" s="219" t="str" cm="1">
        <f t="array" ref="A973">IFERROR(INDEX('03.Muestra'!$B$8:$B$42,SMALL(IF("Documento no web"='03.Muestra'!$D$8:$D$42,ROW('03.Muestra'!$B$8:$B$42)-MIN(ROW('03.Muestra'!$D$8:$D$42))+1,""),ROW()-968)),"")</f>
        <v/>
      </c>
      <c r="B973" s="114" t="str" cm="1">
        <f t="array" ref="B973">IFERROR(INDEX('03.Muestra'!$C$8:$C$42,SMALL(IF("Documento no web"='03.Muestra'!$D$8:$D$42,ROW('03.Muestra'!$C$8:$C$42)-MIN(ROW('03.Muestra'!$D$8:$D$42))+1,""),ROW()-968)),"")</f>
        <v/>
      </c>
      <c r="C973" s="114" t="str" cm="1">
        <f t="array" ref="C973">IFERROR(INDEX('03.Muestra'!$F$8:$F$42,SMALL(IF("Documento no web"='03.Muestra'!$D$8:$D$42,ROW('03.Muestra'!$F$8:$F$42)-MIN(ROW('03.Muestra'!$D$8:$D$42))+1,""),ROW()-968)),"")</f>
        <v/>
      </c>
      <c r="D973" s="130" t="str">
        <f t="shared" si="51"/>
        <v/>
      </c>
      <c r="E973" s="107" t="str">
        <f t="shared" si="50"/>
        <v/>
      </c>
      <c r="G973" s="19"/>
      <c r="H973" s="19"/>
      <c r="I973" s="19"/>
      <c r="J973" s="19"/>
      <c r="K973" s="233"/>
      <c r="L973" s="19"/>
      <c r="M973" s="19"/>
      <c r="N973" s="19"/>
      <c r="O973" s="19"/>
      <c r="P973" s="19"/>
      <c r="Q973" s="19"/>
      <c r="R973" s="19"/>
      <c r="S973" s="19"/>
      <c r="T973" s="19"/>
      <c r="U973" s="19"/>
      <c r="V973" s="19"/>
      <c r="W973" s="19"/>
      <c r="X973" s="19"/>
      <c r="Y973" s="19"/>
    </row>
    <row r="974" spans="1:25" ht="13.5" customHeight="1">
      <c r="A974" s="219" t="str" cm="1">
        <f t="array" ref="A974">IFERROR(INDEX('03.Muestra'!$B$8:$B$42,SMALL(IF("Documento no web"='03.Muestra'!$D$8:$D$42,ROW('03.Muestra'!$B$8:$B$42)-MIN(ROW('03.Muestra'!$D$8:$D$42))+1,""),ROW()-968)),"")</f>
        <v/>
      </c>
      <c r="B974" s="114" t="str" cm="1">
        <f t="array" ref="B974">IFERROR(INDEX('03.Muestra'!$C$8:$C$42,SMALL(IF("Documento no web"='03.Muestra'!$D$8:$D$42,ROW('03.Muestra'!$C$8:$C$42)-MIN(ROW('03.Muestra'!$D$8:$D$42))+1,""),ROW()-968)),"")</f>
        <v/>
      </c>
      <c r="C974" s="114" t="str" cm="1">
        <f t="array" ref="C974">IFERROR(INDEX('03.Muestra'!$F$8:$F$42,SMALL(IF("Documento no web"='03.Muestra'!$D$8:$D$42,ROW('03.Muestra'!$F$8:$F$42)-MIN(ROW('03.Muestra'!$D$8:$D$42))+1,""),ROW()-968)),"")</f>
        <v/>
      </c>
      <c r="D974" s="130" t="str">
        <f t="shared" si="51"/>
        <v/>
      </c>
      <c r="E974" s="107" t="str">
        <f t="shared" si="50"/>
        <v/>
      </c>
      <c r="G974" s="19"/>
      <c r="H974" s="19"/>
      <c r="I974" s="19"/>
      <c r="J974" s="19"/>
      <c r="K974" s="233"/>
      <c r="L974" s="19"/>
      <c r="M974" s="19"/>
      <c r="N974" s="19"/>
      <c r="O974" s="19"/>
      <c r="P974" s="19"/>
      <c r="Q974" s="19"/>
      <c r="R974" s="19"/>
      <c r="S974" s="19"/>
      <c r="T974" s="19"/>
      <c r="U974" s="19"/>
      <c r="V974" s="19"/>
      <c r="W974" s="19"/>
      <c r="X974" s="19"/>
      <c r="Y974" s="19"/>
    </row>
    <row r="975" spans="1:25" ht="13.5" customHeight="1">
      <c r="A975" s="219" t="str" cm="1">
        <f t="array" ref="A975">IFERROR(INDEX('03.Muestra'!$B$8:$B$42,SMALL(IF("Documento no web"='03.Muestra'!$D$8:$D$42,ROW('03.Muestra'!$B$8:$B$42)-MIN(ROW('03.Muestra'!$D$8:$D$42))+1,""),ROW()-968)),"")</f>
        <v/>
      </c>
      <c r="B975" s="114" t="str" cm="1">
        <f t="array" ref="B975">IFERROR(INDEX('03.Muestra'!$C$8:$C$42,SMALL(IF("Documento no web"='03.Muestra'!$D$8:$D$42,ROW('03.Muestra'!$C$8:$C$42)-MIN(ROW('03.Muestra'!$D$8:$D$42))+1,""),ROW()-968)),"")</f>
        <v/>
      </c>
      <c r="C975" s="114" t="str" cm="1">
        <f t="array" ref="C975">IFERROR(INDEX('03.Muestra'!$F$8:$F$42,SMALL(IF("Documento no web"='03.Muestra'!$D$8:$D$42,ROW('03.Muestra'!$F$8:$F$42)-MIN(ROW('03.Muestra'!$D$8:$D$42))+1,""),ROW()-968)),"")</f>
        <v/>
      </c>
      <c r="D975" s="130" t="str">
        <f t="shared" si="51"/>
        <v/>
      </c>
      <c r="E975" s="107" t="str">
        <f t="shared" si="50"/>
        <v/>
      </c>
      <c r="F975" s="19"/>
      <c r="G975" s="19"/>
      <c r="H975" s="19"/>
      <c r="I975" s="19"/>
      <c r="J975" s="19"/>
      <c r="K975" s="233"/>
      <c r="L975" s="19"/>
      <c r="M975" s="19"/>
      <c r="N975" s="19"/>
      <c r="O975" s="19"/>
      <c r="P975" s="19"/>
      <c r="Q975" s="19"/>
      <c r="R975" s="19"/>
      <c r="S975" s="19"/>
      <c r="T975" s="19"/>
      <c r="U975" s="19"/>
      <c r="V975" s="19"/>
      <c r="W975" s="19"/>
      <c r="X975" s="19"/>
      <c r="Y975" s="19"/>
    </row>
    <row r="976" spans="1:25" ht="13.5" customHeight="1">
      <c r="A976" s="219" t="str" cm="1">
        <f t="array" ref="A976">IFERROR(INDEX('03.Muestra'!$B$8:$B$42,SMALL(IF("Documento no web"='03.Muestra'!$D$8:$D$42,ROW('03.Muestra'!$B$8:$B$42)-MIN(ROW('03.Muestra'!$D$8:$D$42))+1,""),ROW()-968)),"")</f>
        <v/>
      </c>
      <c r="B976" s="114" t="str" cm="1">
        <f t="array" ref="B976">IFERROR(INDEX('03.Muestra'!$C$8:$C$42,SMALL(IF("Documento no web"='03.Muestra'!$D$8:$D$42,ROW('03.Muestra'!$C$8:$C$42)-MIN(ROW('03.Muestra'!$D$8:$D$42))+1,""),ROW()-968)),"")</f>
        <v/>
      </c>
      <c r="C976" s="114" t="str" cm="1">
        <f t="array" ref="C976">IFERROR(INDEX('03.Muestra'!$F$8:$F$42,SMALL(IF("Documento no web"='03.Muestra'!$D$8:$D$42,ROW('03.Muestra'!$F$8:$F$42)-MIN(ROW('03.Muestra'!$D$8:$D$42))+1,""),ROW()-968)),"")</f>
        <v/>
      </c>
      <c r="D976" s="130" t="str">
        <f t="shared" si="51"/>
        <v/>
      </c>
      <c r="E976" s="107" t="str">
        <f t="shared" si="50"/>
        <v/>
      </c>
      <c r="F976" s="19"/>
      <c r="G976" s="19"/>
      <c r="H976" s="19"/>
      <c r="I976" s="19"/>
      <c r="J976" s="19"/>
      <c r="K976" s="233"/>
      <c r="L976" s="19"/>
      <c r="M976" s="19"/>
      <c r="N976" s="19"/>
      <c r="O976" s="19"/>
      <c r="P976" s="19"/>
      <c r="Q976" s="19"/>
      <c r="R976" s="19"/>
      <c r="S976" s="19"/>
      <c r="T976" s="19"/>
      <c r="U976" s="19"/>
      <c r="V976" s="19"/>
      <c r="W976" s="19"/>
      <c r="X976" s="19"/>
      <c r="Y976" s="19"/>
    </row>
    <row r="977" spans="1:25" ht="13.5" customHeight="1">
      <c r="A977" s="219" t="str" cm="1">
        <f t="array" ref="A977">IFERROR(INDEX('03.Muestra'!$B$8:$B$42,SMALL(IF("Documento no web"='03.Muestra'!$D$8:$D$42,ROW('03.Muestra'!$B$8:$B$42)-MIN(ROW('03.Muestra'!$D$8:$D$42))+1,""),ROW()-968)),"")</f>
        <v/>
      </c>
      <c r="B977" s="114" t="str" cm="1">
        <f t="array" ref="B977">IFERROR(INDEX('03.Muestra'!$C$8:$C$42,SMALL(IF("Documento no web"='03.Muestra'!$D$8:$D$42,ROW('03.Muestra'!$C$8:$C$42)-MIN(ROW('03.Muestra'!$D$8:$D$42))+1,""),ROW()-968)),"")</f>
        <v/>
      </c>
      <c r="C977" s="114" t="str" cm="1">
        <f t="array" ref="C977">IFERROR(INDEX('03.Muestra'!$F$8:$F$42,SMALL(IF("Documento no web"='03.Muestra'!$D$8:$D$42,ROW('03.Muestra'!$F$8:$F$42)-MIN(ROW('03.Muestra'!$D$8:$D$42))+1,""),ROW()-968)),"")</f>
        <v/>
      </c>
      <c r="D977" s="130" t="str">
        <f t="shared" si="51"/>
        <v/>
      </c>
      <c r="E977" s="107" t="str">
        <f t="shared" si="50"/>
        <v/>
      </c>
      <c r="F977" s="19"/>
      <c r="G977" s="19"/>
      <c r="H977" s="19"/>
      <c r="I977" s="19"/>
      <c r="J977" s="19"/>
      <c r="K977" s="233"/>
      <c r="L977" s="19"/>
      <c r="M977" s="19"/>
      <c r="N977" s="19"/>
      <c r="O977" s="19"/>
      <c r="P977" s="19"/>
      <c r="Q977" s="19"/>
      <c r="R977" s="19"/>
      <c r="S977" s="19"/>
      <c r="T977" s="19"/>
      <c r="U977" s="19"/>
      <c r="V977" s="19"/>
      <c r="W977" s="19"/>
      <c r="X977" s="19"/>
      <c r="Y977" s="19"/>
    </row>
    <row r="978" spans="1:25" ht="13.5" customHeight="1">
      <c r="A978" s="219" t="str" cm="1">
        <f t="array" ref="A978">IFERROR(INDEX('03.Muestra'!$B$8:$B$42,SMALL(IF("Documento no web"='03.Muestra'!$D$8:$D$42,ROW('03.Muestra'!$B$8:$B$42)-MIN(ROW('03.Muestra'!$D$8:$D$42))+1,""),ROW()-968)),"")</f>
        <v/>
      </c>
      <c r="B978" s="114" t="str" cm="1">
        <f t="array" ref="B978">IFERROR(INDEX('03.Muestra'!$C$8:$C$42,SMALL(IF("Documento no web"='03.Muestra'!$D$8:$D$42,ROW('03.Muestra'!$C$8:$C$42)-MIN(ROW('03.Muestra'!$D$8:$D$42))+1,""),ROW()-968)),"")</f>
        <v/>
      </c>
      <c r="C978" s="114" t="str" cm="1">
        <f t="array" ref="C978">IFERROR(INDEX('03.Muestra'!$F$8:$F$42,SMALL(IF("Documento no web"='03.Muestra'!$D$8:$D$42,ROW('03.Muestra'!$F$8:$F$42)-MIN(ROW('03.Muestra'!$D$8:$D$42))+1,""),ROW()-968)),"")</f>
        <v/>
      </c>
      <c r="D978" s="130" t="str">
        <f t="shared" si="51"/>
        <v/>
      </c>
      <c r="E978" s="107" t="str">
        <f t="shared" si="50"/>
        <v/>
      </c>
      <c r="F978" s="19"/>
      <c r="G978" s="19"/>
      <c r="H978" s="19"/>
      <c r="I978" s="19"/>
      <c r="J978" s="19"/>
      <c r="K978" s="233"/>
      <c r="L978" s="19"/>
      <c r="M978" s="19"/>
      <c r="N978" s="19"/>
      <c r="O978" s="19"/>
      <c r="P978" s="19"/>
      <c r="Q978" s="19"/>
      <c r="R978" s="19"/>
      <c r="S978" s="19"/>
      <c r="T978" s="19"/>
      <c r="U978" s="19"/>
      <c r="V978" s="19"/>
      <c r="W978" s="19"/>
      <c r="X978" s="19"/>
      <c r="Y978" s="19"/>
    </row>
    <row r="979" spans="1:25" ht="13.5" customHeight="1">
      <c r="A979" s="219" t="str" cm="1">
        <f t="array" ref="A979">IFERROR(INDEX('03.Muestra'!$B$8:$B$42,SMALL(IF("Documento no web"='03.Muestra'!$D$8:$D$42,ROW('03.Muestra'!$B$8:$B$42)-MIN(ROW('03.Muestra'!$D$8:$D$42))+1,""),ROW()-968)),"")</f>
        <v/>
      </c>
      <c r="B979" s="114" t="str" cm="1">
        <f t="array" ref="B979">IFERROR(INDEX('03.Muestra'!$C$8:$C$42,SMALL(IF("Documento no web"='03.Muestra'!$D$8:$D$42,ROW('03.Muestra'!$C$8:$C$42)-MIN(ROW('03.Muestra'!$D$8:$D$42))+1,""),ROW()-968)),"")</f>
        <v/>
      </c>
      <c r="C979" s="114" t="str" cm="1">
        <f t="array" ref="C979">IFERROR(INDEX('03.Muestra'!$F$8:$F$42,SMALL(IF("Documento no web"='03.Muestra'!$D$8:$D$42,ROW('03.Muestra'!$F$8:$F$42)-MIN(ROW('03.Muestra'!$D$8:$D$42))+1,""),ROW()-968)),"")</f>
        <v/>
      </c>
      <c r="D979" s="130" t="str">
        <f t="shared" si="51"/>
        <v/>
      </c>
      <c r="E979" s="107" t="str">
        <f t="shared" si="50"/>
        <v/>
      </c>
      <c r="F979" s="19"/>
      <c r="G979" s="19"/>
      <c r="H979" s="19"/>
      <c r="I979" s="19"/>
      <c r="J979" s="19"/>
      <c r="K979" s="233"/>
      <c r="L979" s="19"/>
      <c r="M979" s="19"/>
      <c r="N979" s="19"/>
      <c r="O979" s="19"/>
      <c r="P979" s="19"/>
      <c r="Q979" s="19"/>
      <c r="R979" s="19"/>
      <c r="S979" s="19"/>
      <c r="T979" s="19"/>
      <c r="U979" s="19"/>
      <c r="V979" s="19"/>
      <c r="W979" s="19"/>
      <c r="X979" s="19"/>
      <c r="Y979" s="19"/>
    </row>
    <row r="980" spans="1:25" ht="13.5" customHeight="1">
      <c r="A980" s="219" t="str" cm="1">
        <f t="array" ref="A980">IFERROR(INDEX('03.Muestra'!$B$8:$B$42,SMALL(IF("Documento no web"='03.Muestra'!$D$8:$D$42,ROW('03.Muestra'!$B$8:$B$42)-MIN(ROW('03.Muestra'!$D$8:$D$42))+1,""),ROW()-968)),"")</f>
        <v/>
      </c>
      <c r="B980" s="114" t="str" cm="1">
        <f t="array" ref="B980">IFERROR(INDEX('03.Muestra'!$C$8:$C$42,SMALL(IF("Documento no web"='03.Muestra'!$D$8:$D$42,ROW('03.Muestra'!$C$8:$C$42)-MIN(ROW('03.Muestra'!$D$8:$D$42))+1,""),ROW()-968)),"")</f>
        <v/>
      </c>
      <c r="C980" s="114" t="str" cm="1">
        <f t="array" ref="C980">IFERROR(INDEX('03.Muestra'!$F$8:$F$42,SMALL(IF("Documento no web"='03.Muestra'!$D$8:$D$42,ROW('03.Muestra'!$F$8:$F$42)-MIN(ROW('03.Muestra'!$D$8:$D$42))+1,""),ROW()-968)),"")</f>
        <v/>
      </c>
      <c r="D980" s="130" t="str">
        <f t="shared" si="51"/>
        <v/>
      </c>
      <c r="E980" s="107" t="str">
        <f t="shared" si="50"/>
        <v/>
      </c>
      <c r="F980" s="19"/>
      <c r="G980" s="19"/>
      <c r="H980" s="19"/>
      <c r="I980" s="19"/>
      <c r="J980" s="19"/>
      <c r="K980" s="233"/>
      <c r="L980" s="19"/>
      <c r="M980" s="19"/>
      <c r="N980" s="19"/>
      <c r="O980" s="19"/>
      <c r="P980" s="19"/>
      <c r="Q980" s="19"/>
      <c r="R980" s="19"/>
      <c r="S980" s="19"/>
      <c r="T980" s="19"/>
      <c r="U980" s="19"/>
      <c r="V980" s="19"/>
      <c r="W980" s="19"/>
      <c r="X980" s="19"/>
      <c r="Y980" s="19"/>
    </row>
    <row r="981" spans="1:25" ht="13.5" customHeight="1">
      <c r="A981" s="219" t="str" cm="1">
        <f t="array" ref="A981">IFERROR(INDEX('03.Muestra'!$B$8:$B$42,SMALL(IF("Documento no web"='03.Muestra'!$D$8:$D$42,ROW('03.Muestra'!$B$8:$B$42)-MIN(ROW('03.Muestra'!$D$8:$D$42))+1,""),ROW()-968)),"")</f>
        <v/>
      </c>
      <c r="B981" s="114" t="str" cm="1">
        <f t="array" ref="B981">IFERROR(INDEX('03.Muestra'!$C$8:$C$42,SMALL(IF("Documento no web"='03.Muestra'!$D$8:$D$42,ROW('03.Muestra'!$C$8:$C$42)-MIN(ROW('03.Muestra'!$D$8:$D$42))+1,""),ROW()-968)),"")</f>
        <v/>
      </c>
      <c r="C981" s="114" t="str" cm="1">
        <f t="array" ref="C981">IFERROR(INDEX('03.Muestra'!$F$8:$F$42,SMALL(IF("Documento no web"='03.Muestra'!$D$8:$D$42,ROW('03.Muestra'!$F$8:$F$42)-MIN(ROW('03.Muestra'!$D$8:$D$42))+1,""),ROW()-968)),"")</f>
        <v/>
      </c>
      <c r="D981" s="130" t="str">
        <f t="shared" si="51"/>
        <v/>
      </c>
      <c r="E981" s="107" t="str">
        <f t="shared" si="50"/>
        <v/>
      </c>
      <c r="F981" s="19"/>
      <c r="G981" s="19"/>
      <c r="H981" s="19"/>
      <c r="I981" s="19"/>
      <c r="J981" s="19"/>
      <c r="K981" s="233"/>
      <c r="L981" s="19"/>
      <c r="M981" s="19"/>
      <c r="N981" s="19"/>
      <c r="O981" s="19"/>
      <c r="P981" s="19"/>
      <c r="Q981" s="19"/>
      <c r="R981" s="19"/>
      <c r="S981" s="19"/>
      <c r="T981" s="19"/>
      <c r="U981" s="19"/>
      <c r="V981" s="19"/>
      <c r="W981" s="19"/>
      <c r="X981" s="19"/>
      <c r="Y981" s="19"/>
    </row>
    <row r="982" spans="1:25" ht="13.5" customHeight="1">
      <c r="A982" s="219" t="str" cm="1">
        <f t="array" ref="A982">IFERROR(INDEX('03.Muestra'!$B$8:$B$42,SMALL(IF("Documento no web"='03.Muestra'!$D$8:$D$42,ROW('03.Muestra'!$B$8:$B$42)-MIN(ROW('03.Muestra'!$D$8:$D$42))+1,""),ROW()-968)),"")</f>
        <v/>
      </c>
      <c r="B982" s="114" t="str" cm="1">
        <f t="array" ref="B982">IFERROR(INDEX('03.Muestra'!$C$8:$C$42,SMALL(IF("Documento no web"='03.Muestra'!$D$8:$D$42,ROW('03.Muestra'!$C$8:$C$42)-MIN(ROW('03.Muestra'!$D$8:$D$42))+1,""),ROW()-968)),"")</f>
        <v/>
      </c>
      <c r="C982" s="114" t="str" cm="1">
        <f t="array" ref="C982">IFERROR(INDEX('03.Muestra'!$F$8:$F$42,SMALL(IF("Documento no web"='03.Muestra'!$D$8:$D$42,ROW('03.Muestra'!$F$8:$F$42)-MIN(ROW('03.Muestra'!$D$8:$D$42))+1,""),ROW()-968)),"")</f>
        <v/>
      </c>
      <c r="D982" s="130" t="str">
        <f t="shared" si="51"/>
        <v/>
      </c>
      <c r="E982" s="107" t="str">
        <f t="shared" si="50"/>
        <v/>
      </c>
      <c r="F982" s="19"/>
      <c r="G982" s="19"/>
      <c r="H982" s="19"/>
      <c r="I982" s="19"/>
      <c r="J982" s="19"/>
      <c r="K982" s="233"/>
      <c r="L982" s="19"/>
      <c r="M982" s="19"/>
      <c r="N982" s="19"/>
      <c r="O982" s="19"/>
      <c r="P982" s="19"/>
      <c r="Q982" s="19"/>
      <c r="R982" s="19"/>
      <c r="S982" s="19"/>
      <c r="T982" s="19"/>
      <c r="U982" s="19"/>
      <c r="V982" s="19"/>
      <c r="W982" s="19"/>
      <c r="X982" s="19"/>
      <c r="Y982" s="19"/>
    </row>
    <row r="983" spans="1:25" ht="13.5" customHeight="1">
      <c r="A983" s="219" t="str" cm="1">
        <f t="array" ref="A983">IFERROR(INDEX('03.Muestra'!$B$8:$B$42,SMALL(IF("Documento no web"='03.Muestra'!$D$8:$D$42,ROW('03.Muestra'!$B$8:$B$42)-MIN(ROW('03.Muestra'!$D$8:$D$42))+1,""),ROW()-968)),"")</f>
        <v/>
      </c>
      <c r="B983" s="114" t="str" cm="1">
        <f t="array" ref="B983">IFERROR(INDEX('03.Muestra'!$C$8:$C$42,SMALL(IF("Documento no web"='03.Muestra'!$D$8:$D$42,ROW('03.Muestra'!$C$8:$C$42)-MIN(ROW('03.Muestra'!$D$8:$D$42))+1,""),ROW()-968)),"")</f>
        <v/>
      </c>
      <c r="C983" s="114" t="str" cm="1">
        <f t="array" ref="C983">IFERROR(INDEX('03.Muestra'!$F$8:$F$42,SMALL(IF("Documento no web"='03.Muestra'!$D$8:$D$42,ROW('03.Muestra'!$F$8:$F$42)-MIN(ROW('03.Muestra'!$D$8:$D$42))+1,""),ROW()-968)),"")</f>
        <v/>
      </c>
      <c r="D983" s="130" t="str">
        <f t="shared" si="51"/>
        <v/>
      </c>
      <c r="E983" s="107" t="str">
        <f t="shared" si="50"/>
        <v/>
      </c>
      <c r="F983" s="19"/>
      <c r="G983" s="19"/>
      <c r="H983" s="19"/>
      <c r="I983" s="19"/>
      <c r="J983" s="19"/>
      <c r="K983" s="233"/>
      <c r="L983" s="19"/>
      <c r="M983" s="19"/>
      <c r="N983" s="19"/>
      <c r="O983" s="19"/>
      <c r="P983" s="19"/>
      <c r="Q983" s="19"/>
      <c r="R983" s="19"/>
      <c r="S983" s="19"/>
      <c r="T983" s="19"/>
      <c r="U983" s="19"/>
      <c r="V983" s="19"/>
      <c r="W983" s="19"/>
      <c r="X983" s="19"/>
      <c r="Y983" s="19"/>
    </row>
    <row r="984" spans="1:25" ht="13.5" customHeight="1">
      <c r="A984" s="219" t="str" cm="1">
        <f t="array" ref="A984">IFERROR(INDEX('03.Muestra'!$B$8:$B$42,SMALL(IF("Documento no web"='03.Muestra'!$D$8:$D$42,ROW('03.Muestra'!$B$8:$B$42)-MIN(ROW('03.Muestra'!$D$8:$D$42))+1,""),ROW()-968)),"")</f>
        <v/>
      </c>
      <c r="B984" s="114" t="str" cm="1">
        <f t="array" ref="B984">IFERROR(INDEX('03.Muestra'!$C$8:$C$42,SMALL(IF("Documento no web"='03.Muestra'!$D$8:$D$42,ROW('03.Muestra'!$C$8:$C$42)-MIN(ROW('03.Muestra'!$D$8:$D$42))+1,""),ROW()-968)),"")</f>
        <v/>
      </c>
      <c r="C984" s="114" t="str" cm="1">
        <f t="array" ref="C984">IFERROR(INDEX('03.Muestra'!$F$8:$F$42,SMALL(IF("Documento no web"='03.Muestra'!$D$8:$D$42,ROW('03.Muestra'!$F$8:$F$42)-MIN(ROW('03.Muestra'!$D$8:$D$42))+1,""),ROW()-968)),"")</f>
        <v/>
      </c>
      <c r="D984" s="130" t="str">
        <f t="shared" si="51"/>
        <v/>
      </c>
      <c r="E984" s="107" t="str">
        <f t="shared" si="50"/>
        <v/>
      </c>
      <c r="F984" s="19"/>
      <c r="G984" s="19"/>
      <c r="H984" s="19"/>
      <c r="I984" s="19"/>
      <c r="J984" s="19"/>
      <c r="K984" s="233"/>
      <c r="L984" s="19"/>
      <c r="M984" s="19"/>
      <c r="N984" s="19"/>
      <c r="O984" s="19"/>
      <c r="P984" s="19"/>
      <c r="Q984" s="19"/>
      <c r="R984" s="19"/>
      <c r="S984" s="19"/>
      <c r="T984" s="19"/>
      <c r="U984" s="19"/>
      <c r="V984" s="19"/>
      <c r="W984" s="19"/>
      <c r="X984" s="19"/>
      <c r="Y984" s="19"/>
    </row>
    <row r="985" spans="1:25" ht="13.5" customHeight="1">
      <c r="A985" s="219" t="str" cm="1">
        <f t="array" ref="A985">IFERROR(INDEX('03.Muestra'!$B$8:$B$42,SMALL(IF("Documento no web"='03.Muestra'!$D$8:$D$42,ROW('03.Muestra'!$B$8:$B$42)-MIN(ROW('03.Muestra'!$D$8:$D$42))+1,""),ROW()-968)),"")</f>
        <v/>
      </c>
      <c r="B985" s="114" t="str" cm="1">
        <f t="array" ref="B985">IFERROR(INDEX('03.Muestra'!$C$8:$C$42,SMALL(IF("Documento no web"='03.Muestra'!$D$8:$D$42,ROW('03.Muestra'!$C$8:$C$42)-MIN(ROW('03.Muestra'!$D$8:$D$42))+1,""),ROW()-968)),"")</f>
        <v/>
      </c>
      <c r="C985" s="114" t="str" cm="1">
        <f t="array" ref="C985">IFERROR(INDEX('03.Muestra'!$F$8:$F$42,SMALL(IF("Documento no web"='03.Muestra'!$D$8:$D$42,ROW('03.Muestra'!$F$8:$F$42)-MIN(ROW('03.Muestra'!$D$8:$D$42))+1,""),ROW()-968)),"")</f>
        <v/>
      </c>
      <c r="D985" s="130" t="str">
        <f t="shared" si="51"/>
        <v/>
      </c>
      <c r="E985" s="107" t="str">
        <f t="shared" si="50"/>
        <v/>
      </c>
      <c r="F985" s="19"/>
      <c r="G985" s="19"/>
      <c r="H985" s="19"/>
      <c r="I985" s="19"/>
      <c r="J985" s="19"/>
      <c r="K985" s="233"/>
      <c r="L985" s="19"/>
      <c r="M985" s="19"/>
      <c r="N985" s="19"/>
      <c r="O985" s="19"/>
      <c r="P985" s="19"/>
      <c r="Q985" s="19"/>
      <c r="R985" s="19"/>
      <c r="S985" s="19"/>
      <c r="T985" s="19"/>
      <c r="U985" s="19"/>
      <c r="V985" s="19"/>
      <c r="W985" s="19"/>
      <c r="X985" s="19"/>
      <c r="Y985" s="19"/>
    </row>
    <row r="986" spans="1:25" ht="13.5" customHeight="1">
      <c r="A986" s="219" t="str" cm="1">
        <f t="array" ref="A986">IFERROR(INDEX('03.Muestra'!$B$8:$B$42,SMALL(IF("Documento no web"='03.Muestra'!$D$8:$D$42,ROW('03.Muestra'!$B$8:$B$42)-MIN(ROW('03.Muestra'!$D$8:$D$42))+1,""),ROW()-968)),"")</f>
        <v/>
      </c>
      <c r="B986" s="114" t="str" cm="1">
        <f t="array" ref="B986">IFERROR(INDEX('03.Muestra'!$C$8:$C$42,SMALL(IF("Documento no web"='03.Muestra'!$D$8:$D$42,ROW('03.Muestra'!$C$8:$C$42)-MIN(ROW('03.Muestra'!$D$8:$D$42))+1,""),ROW()-968)),"")</f>
        <v/>
      </c>
      <c r="C986" s="114" t="str" cm="1">
        <f t="array" ref="C986">IFERROR(INDEX('03.Muestra'!$F$8:$F$42,SMALL(IF("Documento no web"='03.Muestra'!$D$8:$D$42,ROW('03.Muestra'!$F$8:$F$42)-MIN(ROW('03.Muestra'!$D$8:$D$42))+1,""),ROW()-968)),"")</f>
        <v/>
      </c>
      <c r="D986" s="130" t="str">
        <f t="shared" si="51"/>
        <v/>
      </c>
      <c r="E986" s="107" t="str">
        <f t="shared" si="50"/>
        <v/>
      </c>
      <c r="F986" s="19"/>
      <c r="G986" s="19"/>
      <c r="H986" s="19"/>
      <c r="I986" s="19"/>
      <c r="J986" s="19"/>
      <c r="K986" s="233"/>
      <c r="L986" s="19"/>
      <c r="M986" s="19"/>
      <c r="N986" s="19"/>
      <c r="O986" s="19"/>
      <c r="P986" s="19"/>
      <c r="Q986" s="19"/>
      <c r="R986" s="19"/>
      <c r="S986" s="19"/>
      <c r="T986" s="19"/>
      <c r="U986" s="19"/>
      <c r="V986" s="19"/>
      <c r="W986" s="19"/>
      <c r="X986" s="19"/>
      <c r="Y986" s="19"/>
    </row>
    <row r="987" spans="1:25" ht="13.5" customHeight="1">
      <c r="A987" s="219" t="str" cm="1">
        <f t="array" ref="A987">IFERROR(INDEX('03.Muestra'!$B$8:$B$42,SMALL(IF("Documento no web"='03.Muestra'!$D$8:$D$42,ROW('03.Muestra'!$B$8:$B$42)-MIN(ROW('03.Muestra'!$D$8:$D$42))+1,""),ROW()-968)),"")</f>
        <v/>
      </c>
      <c r="B987" s="114" t="str" cm="1">
        <f t="array" ref="B987">IFERROR(INDEX('03.Muestra'!$C$8:$C$42,SMALL(IF("Documento no web"='03.Muestra'!$D$8:$D$42,ROW('03.Muestra'!$C$8:$C$42)-MIN(ROW('03.Muestra'!$D$8:$D$42))+1,""),ROW()-968)),"")</f>
        <v/>
      </c>
      <c r="C987" s="114" t="str" cm="1">
        <f t="array" ref="C987">IFERROR(INDEX('03.Muestra'!$F$8:$F$42,SMALL(IF("Documento no web"='03.Muestra'!$D$8:$D$42,ROW('03.Muestra'!$F$8:$F$42)-MIN(ROW('03.Muestra'!$D$8:$D$42))+1,""),ROW()-968)),"")</f>
        <v/>
      </c>
      <c r="D987" s="130" t="str">
        <f t="shared" si="51"/>
        <v/>
      </c>
      <c r="E987" s="107" t="str">
        <f t="shared" si="50"/>
        <v/>
      </c>
      <c r="F987" s="19"/>
      <c r="G987" s="19"/>
      <c r="H987" s="19"/>
      <c r="I987" s="19"/>
      <c r="J987" s="19"/>
      <c r="K987" s="233"/>
      <c r="L987" s="19"/>
      <c r="M987" s="19"/>
      <c r="N987" s="19"/>
      <c r="O987" s="19"/>
      <c r="P987" s="19"/>
      <c r="Q987" s="19"/>
      <c r="R987" s="19"/>
      <c r="S987" s="19"/>
      <c r="T987" s="19"/>
      <c r="U987" s="19"/>
      <c r="V987" s="19"/>
      <c r="W987" s="19"/>
      <c r="X987" s="19"/>
      <c r="Y987" s="19"/>
    </row>
    <row r="988" spans="1:25" ht="13.5" customHeight="1">
      <c r="A988" s="219" t="str" cm="1">
        <f t="array" ref="A988">IFERROR(INDEX('03.Muestra'!$B$8:$B$42,SMALL(IF("Documento no web"='03.Muestra'!$D$8:$D$42,ROW('03.Muestra'!$B$8:$B$42)-MIN(ROW('03.Muestra'!$D$8:$D$42))+1,""),ROW()-968)),"")</f>
        <v/>
      </c>
      <c r="B988" s="114" t="str" cm="1">
        <f t="array" ref="B988">IFERROR(INDEX('03.Muestra'!$C$8:$C$42,SMALL(IF("Documento no web"='03.Muestra'!$D$8:$D$42,ROW('03.Muestra'!$C$8:$C$42)-MIN(ROW('03.Muestra'!$D$8:$D$42))+1,""),ROW()-968)),"")</f>
        <v/>
      </c>
      <c r="C988" s="114" t="str" cm="1">
        <f t="array" ref="C988">IFERROR(INDEX('03.Muestra'!$F$8:$F$42,SMALL(IF("Documento no web"='03.Muestra'!$D$8:$D$42,ROW('03.Muestra'!$F$8:$F$42)-MIN(ROW('03.Muestra'!$D$8:$D$42))+1,""),ROW()-968)),"")</f>
        <v/>
      </c>
      <c r="D988" s="130" t="str">
        <f t="shared" si="51"/>
        <v/>
      </c>
      <c r="E988" s="107" t="str">
        <f t="shared" si="50"/>
        <v/>
      </c>
      <c r="F988" s="19"/>
      <c r="G988" s="19"/>
      <c r="H988" s="19"/>
      <c r="I988" s="19"/>
      <c r="J988" s="19"/>
      <c r="K988" s="233"/>
      <c r="L988" s="19"/>
      <c r="M988" s="19"/>
      <c r="N988" s="19"/>
      <c r="O988" s="19"/>
      <c r="P988" s="19"/>
      <c r="Q988" s="19"/>
      <c r="R988" s="19"/>
      <c r="S988" s="19"/>
      <c r="T988" s="19"/>
      <c r="U988" s="19"/>
      <c r="V988" s="19"/>
      <c r="W988" s="19"/>
      <c r="X988" s="19"/>
      <c r="Y988" s="19"/>
    </row>
    <row r="989" spans="1:25" ht="13.5" customHeight="1">
      <c r="A989" s="219" t="str" cm="1">
        <f t="array" ref="A989">IFERROR(INDEX('03.Muestra'!$B$8:$B$42,SMALL(IF("Documento no web"='03.Muestra'!$D$8:$D$42,ROW('03.Muestra'!$B$8:$B$42)-MIN(ROW('03.Muestra'!$D$8:$D$42))+1,""),ROW()-968)),"")</f>
        <v/>
      </c>
      <c r="B989" s="114" t="str" cm="1">
        <f t="array" ref="B989">IFERROR(INDEX('03.Muestra'!$C$8:$C$42,SMALL(IF("Documento no web"='03.Muestra'!$D$8:$D$42,ROW('03.Muestra'!$C$8:$C$42)-MIN(ROW('03.Muestra'!$D$8:$D$42))+1,""),ROW()-968)),"")</f>
        <v/>
      </c>
      <c r="C989" s="114" t="str" cm="1">
        <f t="array" ref="C989">IFERROR(INDEX('03.Muestra'!$F$8:$F$42,SMALL(IF("Documento no web"='03.Muestra'!$D$8:$D$42,ROW('03.Muestra'!$F$8:$F$42)-MIN(ROW('03.Muestra'!$D$8:$D$42))+1,""),ROW()-968)),"")</f>
        <v/>
      </c>
      <c r="D989" s="130" t="str">
        <f t="shared" si="51"/>
        <v/>
      </c>
      <c r="E989" s="107" t="str">
        <f t="shared" si="50"/>
        <v/>
      </c>
      <c r="F989" s="19"/>
      <c r="G989" s="19"/>
      <c r="H989" s="19"/>
      <c r="I989" s="19"/>
      <c r="J989" s="19"/>
      <c r="K989" s="233"/>
      <c r="L989" s="19"/>
      <c r="M989" s="19"/>
      <c r="N989" s="19"/>
      <c r="O989" s="19"/>
      <c r="P989" s="19"/>
      <c r="Q989" s="19"/>
      <c r="R989" s="19"/>
      <c r="S989" s="19"/>
      <c r="T989" s="19"/>
      <c r="U989" s="19"/>
      <c r="V989" s="19"/>
      <c r="W989" s="19"/>
      <c r="X989" s="19"/>
      <c r="Y989" s="19"/>
    </row>
    <row r="990" spans="1:25" ht="13.5" customHeight="1">
      <c r="A990" s="219" t="str" cm="1">
        <f t="array" ref="A990">IFERROR(INDEX('03.Muestra'!$B$8:$B$42,SMALL(IF("Documento no web"='03.Muestra'!$D$8:$D$42,ROW('03.Muestra'!$B$8:$B$42)-MIN(ROW('03.Muestra'!$D$8:$D$42))+1,""),ROW()-968)),"")</f>
        <v/>
      </c>
      <c r="B990" s="114" t="str" cm="1">
        <f t="array" ref="B990">IFERROR(INDEX('03.Muestra'!$C$8:$C$42,SMALL(IF("Documento no web"='03.Muestra'!$D$8:$D$42,ROW('03.Muestra'!$C$8:$C$42)-MIN(ROW('03.Muestra'!$D$8:$D$42))+1,""),ROW()-968)),"")</f>
        <v/>
      </c>
      <c r="C990" s="114" t="str" cm="1">
        <f t="array" ref="C990">IFERROR(INDEX('03.Muestra'!$F$8:$F$42,SMALL(IF("Documento no web"='03.Muestra'!$D$8:$D$42,ROW('03.Muestra'!$F$8:$F$42)-MIN(ROW('03.Muestra'!$D$8:$D$42))+1,""),ROW()-968)),"")</f>
        <v/>
      </c>
      <c r="D990" s="130" t="str">
        <f t="shared" si="51"/>
        <v/>
      </c>
      <c r="E990" s="107" t="str">
        <f t="shared" si="50"/>
        <v/>
      </c>
      <c r="F990" s="19"/>
      <c r="G990" s="19"/>
      <c r="H990" s="19"/>
      <c r="I990" s="19"/>
      <c r="J990" s="19"/>
      <c r="K990" s="233"/>
      <c r="L990" s="19"/>
      <c r="M990" s="19"/>
      <c r="N990" s="19"/>
      <c r="O990" s="19"/>
      <c r="P990" s="19"/>
      <c r="Q990" s="19"/>
      <c r="R990" s="19"/>
      <c r="S990" s="19"/>
      <c r="T990" s="19"/>
      <c r="U990" s="19"/>
      <c r="V990" s="19"/>
      <c r="W990" s="19"/>
      <c r="X990" s="19"/>
      <c r="Y990" s="19"/>
    </row>
    <row r="991" spans="1:25" ht="13.5" customHeight="1">
      <c r="A991" s="219" t="str" cm="1">
        <f t="array" ref="A991">IFERROR(INDEX('03.Muestra'!$B$8:$B$42,SMALL(IF("Documento no web"='03.Muestra'!$D$8:$D$42,ROW('03.Muestra'!$B$8:$B$42)-MIN(ROW('03.Muestra'!$D$8:$D$42))+1,""),ROW()-968)),"")</f>
        <v/>
      </c>
      <c r="B991" s="114" t="str" cm="1">
        <f t="array" ref="B991">IFERROR(INDEX('03.Muestra'!$C$8:$C$42,SMALL(IF("Documento no web"='03.Muestra'!$D$8:$D$42,ROW('03.Muestra'!$C$8:$C$42)-MIN(ROW('03.Muestra'!$D$8:$D$42))+1,""),ROW()-968)),"")</f>
        <v/>
      </c>
      <c r="C991" s="114" t="str" cm="1">
        <f t="array" ref="C991">IFERROR(INDEX('03.Muestra'!$F$8:$F$42,SMALL(IF("Documento no web"='03.Muestra'!$D$8:$D$42,ROW('03.Muestra'!$F$8:$F$42)-MIN(ROW('03.Muestra'!$D$8:$D$42))+1,""),ROW()-968)),"")</f>
        <v/>
      </c>
      <c r="D991" s="130" t="str">
        <f t="shared" si="51"/>
        <v/>
      </c>
      <c r="E991" s="107" t="str">
        <f t="shared" si="50"/>
        <v/>
      </c>
      <c r="F991" s="19"/>
      <c r="G991" s="19"/>
      <c r="H991" s="19"/>
      <c r="I991" s="19"/>
      <c r="J991" s="19"/>
      <c r="K991" s="233"/>
      <c r="L991" s="19"/>
      <c r="M991" s="19"/>
      <c r="N991" s="19"/>
      <c r="O991" s="19"/>
      <c r="P991" s="19"/>
      <c r="Q991" s="19"/>
      <c r="R991" s="19"/>
      <c r="S991" s="19"/>
      <c r="T991" s="19"/>
      <c r="U991" s="19"/>
      <c r="V991" s="19"/>
      <c r="W991" s="19"/>
      <c r="X991" s="19"/>
      <c r="Y991" s="19"/>
    </row>
    <row r="992" spans="1:25" ht="13.5" customHeight="1">
      <c r="A992" s="219" t="str" cm="1">
        <f t="array" ref="A992">IFERROR(INDEX('03.Muestra'!$B$8:$B$42,SMALL(IF("Documento no web"='03.Muestra'!$D$8:$D$42,ROW('03.Muestra'!$B$8:$B$42)-MIN(ROW('03.Muestra'!$D$8:$D$42))+1,""),ROW()-968)),"")</f>
        <v/>
      </c>
      <c r="B992" s="114" t="str" cm="1">
        <f t="array" ref="B992">IFERROR(INDEX('03.Muestra'!$C$8:$C$42,SMALL(IF("Documento no web"='03.Muestra'!$D$8:$D$42,ROW('03.Muestra'!$C$8:$C$42)-MIN(ROW('03.Muestra'!$D$8:$D$42))+1,""),ROW()-968)),"")</f>
        <v/>
      </c>
      <c r="C992" s="114" t="str" cm="1">
        <f t="array" ref="C992">IFERROR(INDEX('03.Muestra'!$F$8:$F$42,SMALL(IF("Documento no web"='03.Muestra'!$D$8:$D$42,ROW('03.Muestra'!$F$8:$F$42)-MIN(ROW('03.Muestra'!$D$8:$D$42))+1,""),ROW()-968)),"")</f>
        <v/>
      </c>
      <c r="D992" s="130" t="str">
        <f t="shared" si="51"/>
        <v/>
      </c>
      <c r="E992" s="107" t="str">
        <f t="shared" si="50"/>
        <v/>
      </c>
      <c r="F992" s="19"/>
      <c r="G992" s="19"/>
      <c r="H992" s="19"/>
      <c r="I992" s="19"/>
      <c r="J992" s="19"/>
      <c r="K992" s="233"/>
      <c r="L992" s="19"/>
      <c r="M992" s="19"/>
      <c r="N992" s="19"/>
      <c r="O992" s="19"/>
      <c r="P992" s="19"/>
      <c r="Q992" s="19"/>
      <c r="R992" s="19"/>
      <c r="S992" s="19"/>
      <c r="T992" s="19"/>
      <c r="U992" s="19"/>
      <c r="V992" s="19"/>
      <c r="W992" s="19"/>
      <c r="X992" s="19"/>
      <c r="Y992" s="19"/>
    </row>
    <row r="993" spans="1:25" ht="13.5" customHeight="1">
      <c r="A993" s="219" t="str" cm="1">
        <f t="array" ref="A993">IFERROR(INDEX('03.Muestra'!$B$8:$B$42,SMALL(IF("Documento no web"='03.Muestra'!$D$8:$D$42,ROW('03.Muestra'!$B$8:$B$42)-MIN(ROW('03.Muestra'!$D$8:$D$42))+1,""),ROW()-968)),"")</f>
        <v/>
      </c>
      <c r="B993" s="114" t="str" cm="1">
        <f t="array" ref="B993">IFERROR(INDEX('03.Muestra'!$C$8:$C$42,SMALL(IF("Documento no web"='03.Muestra'!$D$8:$D$42,ROW('03.Muestra'!$C$8:$C$42)-MIN(ROW('03.Muestra'!$D$8:$D$42))+1,""),ROW()-968)),"")</f>
        <v/>
      </c>
      <c r="C993" s="114" t="str" cm="1">
        <f t="array" ref="C993">IFERROR(INDEX('03.Muestra'!$F$8:$F$42,SMALL(IF("Documento no web"='03.Muestra'!$D$8:$D$42,ROW('03.Muestra'!$F$8:$F$42)-MIN(ROW('03.Muestra'!$D$8:$D$42))+1,""),ROW()-968)),"")</f>
        <v/>
      </c>
      <c r="D993" s="130" t="str">
        <f t="shared" si="51"/>
        <v/>
      </c>
      <c r="E993" s="107" t="str">
        <f t="shared" si="50"/>
        <v/>
      </c>
      <c r="F993" s="19"/>
      <c r="G993" s="19"/>
      <c r="H993" s="19"/>
      <c r="I993" s="19"/>
      <c r="J993" s="19"/>
      <c r="K993" s="233"/>
      <c r="L993" s="19"/>
      <c r="M993" s="19"/>
      <c r="N993" s="19"/>
      <c r="O993" s="19"/>
      <c r="P993" s="19"/>
      <c r="Q993" s="19"/>
      <c r="R993" s="19"/>
      <c r="S993" s="19"/>
      <c r="T993" s="19"/>
      <c r="U993" s="19"/>
      <c r="V993" s="19"/>
      <c r="W993" s="19"/>
      <c r="X993" s="19"/>
      <c r="Y993" s="19"/>
    </row>
    <row r="994" spans="1:25" ht="13.5" customHeight="1">
      <c r="A994" s="219" t="str" cm="1">
        <f t="array" ref="A994">IFERROR(INDEX('03.Muestra'!$B$8:$B$42,SMALL(IF("Documento no web"='03.Muestra'!$D$8:$D$42,ROW('03.Muestra'!$B$8:$B$42)-MIN(ROW('03.Muestra'!$D$8:$D$42))+1,""),ROW()-968)),"")</f>
        <v/>
      </c>
      <c r="B994" s="114" t="str" cm="1">
        <f t="array" ref="B994">IFERROR(INDEX('03.Muestra'!$C$8:$C$42,SMALL(IF("Documento no web"='03.Muestra'!$D$8:$D$42,ROW('03.Muestra'!$C$8:$C$42)-MIN(ROW('03.Muestra'!$D$8:$D$42))+1,""),ROW()-968)),"")</f>
        <v/>
      </c>
      <c r="C994" s="114" t="str" cm="1">
        <f t="array" ref="C994">IFERROR(INDEX('03.Muestra'!$F$8:$F$42,SMALL(IF("Documento no web"='03.Muestra'!$D$8:$D$42,ROW('03.Muestra'!$F$8:$F$42)-MIN(ROW('03.Muestra'!$D$8:$D$42))+1,""),ROW()-968)),"")</f>
        <v/>
      </c>
      <c r="D994" s="130" t="str">
        <f t="shared" si="51"/>
        <v/>
      </c>
      <c r="E994" s="107" t="str">
        <f t="shared" si="50"/>
        <v/>
      </c>
      <c r="F994" s="19"/>
      <c r="G994" s="19"/>
      <c r="H994" s="19"/>
      <c r="I994" s="19"/>
      <c r="J994" s="19"/>
      <c r="K994" s="233"/>
      <c r="L994" s="19"/>
      <c r="M994" s="19"/>
      <c r="N994" s="19"/>
      <c r="O994" s="19"/>
      <c r="P994" s="19"/>
      <c r="Q994" s="19"/>
      <c r="R994" s="19"/>
      <c r="S994" s="19"/>
      <c r="T994" s="19"/>
      <c r="U994" s="19"/>
      <c r="V994" s="19"/>
      <c r="W994" s="19"/>
      <c r="X994" s="19"/>
      <c r="Y994" s="19"/>
    </row>
    <row r="995" spans="1:25" ht="13.5" customHeight="1">
      <c r="A995" s="219" t="str" cm="1">
        <f t="array" ref="A995">IFERROR(INDEX('03.Muestra'!$B$8:$B$42,SMALL(IF("Documento no web"='03.Muestra'!$D$8:$D$42,ROW('03.Muestra'!$B$8:$B$42)-MIN(ROW('03.Muestra'!$D$8:$D$42))+1,""),ROW()-968)),"")</f>
        <v/>
      </c>
      <c r="B995" s="114" t="str" cm="1">
        <f t="array" ref="B995">IFERROR(INDEX('03.Muestra'!$C$8:$C$42,SMALL(IF("Documento no web"='03.Muestra'!$D$8:$D$42,ROW('03.Muestra'!$C$8:$C$42)-MIN(ROW('03.Muestra'!$D$8:$D$42))+1,""),ROW()-968)),"")</f>
        <v/>
      </c>
      <c r="C995" s="114" t="str" cm="1">
        <f t="array" ref="C995">IFERROR(INDEX('03.Muestra'!$F$8:$F$42,SMALL(IF("Documento no web"='03.Muestra'!$D$8:$D$42,ROW('03.Muestra'!$F$8:$F$42)-MIN(ROW('03.Muestra'!$D$8:$D$42))+1,""),ROW()-968)),"")</f>
        <v/>
      </c>
      <c r="D995" s="130" t="str">
        <f t="shared" si="51"/>
        <v/>
      </c>
      <c r="E995" s="107" t="str">
        <f t="shared" si="50"/>
        <v/>
      </c>
      <c r="F995" s="19"/>
      <c r="G995" s="19"/>
      <c r="H995" s="19"/>
      <c r="I995" s="19"/>
      <c r="J995" s="19"/>
      <c r="K995" s="233"/>
      <c r="L995" s="19"/>
      <c r="M995" s="19"/>
      <c r="N995" s="19"/>
      <c r="O995" s="19"/>
      <c r="P995" s="19"/>
      <c r="Q995" s="19"/>
      <c r="R995" s="19"/>
      <c r="S995" s="19"/>
      <c r="T995" s="19"/>
      <c r="U995" s="19"/>
      <c r="V995" s="19"/>
      <c r="W995" s="19"/>
      <c r="X995" s="19"/>
      <c r="Y995" s="19"/>
    </row>
    <row r="996" spans="1:25" ht="13.5" customHeight="1">
      <c r="A996" s="219" t="str" cm="1">
        <f t="array" ref="A996">IFERROR(INDEX('03.Muestra'!$B$8:$B$42,SMALL(IF("Documento no web"='03.Muestra'!$D$8:$D$42,ROW('03.Muestra'!$B$8:$B$42)-MIN(ROW('03.Muestra'!$D$8:$D$42))+1,""),ROW()-968)),"")</f>
        <v/>
      </c>
      <c r="B996" s="114" t="str" cm="1">
        <f t="array" ref="B996">IFERROR(INDEX('03.Muestra'!$C$8:$C$42,SMALL(IF("Documento no web"='03.Muestra'!$D$8:$D$42,ROW('03.Muestra'!$C$8:$C$42)-MIN(ROW('03.Muestra'!$D$8:$D$42))+1,""),ROW()-968)),"")</f>
        <v/>
      </c>
      <c r="C996" s="114" t="str" cm="1">
        <f t="array" ref="C996">IFERROR(INDEX('03.Muestra'!$F$8:$F$42,SMALL(IF("Documento no web"='03.Muestra'!$D$8:$D$42,ROW('03.Muestra'!$F$8:$F$42)-MIN(ROW('03.Muestra'!$D$8:$D$42))+1,""),ROW()-968)),"")</f>
        <v/>
      </c>
      <c r="D996" s="130" t="str">
        <f t="shared" si="51"/>
        <v/>
      </c>
      <c r="E996" s="107" t="str">
        <f t="shared" si="50"/>
        <v/>
      </c>
      <c r="G996" s="19"/>
      <c r="H996" s="19"/>
      <c r="I996" s="19"/>
      <c r="J996" s="19"/>
      <c r="K996" s="233"/>
      <c r="L996" s="19"/>
      <c r="M996" s="19"/>
      <c r="N996" s="19"/>
      <c r="O996" s="19"/>
      <c r="P996" s="19"/>
      <c r="Q996" s="19"/>
      <c r="R996" s="19"/>
      <c r="S996" s="19"/>
      <c r="T996" s="19"/>
      <c r="U996" s="19"/>
      <c r="V996" s="19"/>
      <c r="W996" s="19"/>
      <c r="X996" s="19"/>
      <c r="Y996" s="19"/>
    </row>
    <row r="997" spans="1:25" ht="13.5" customHeight="1">
      <c r="A997" s="219" t="str" cm="1">
        <f t="array" ref="A997">IFERROR(INDEX('03.Muestra'!$B$8:$B$42,SMALL(IF("Documento no web"='03.Muestra'!$D$8:$D$42,ROW('03.Muestra'!$B$8:$B$42)-MIN(ROW('03.Muestra'!$D$8:$D$42))+1,""),ROW()-968)),"")</f>
        <v/>
      </c>
      <c r="B997" s="114" t="str" cm="1">
        <f t="array" ref="B997">IFERROR(INDEX('03.Muestra'!$C$8:$C$42,SMALL(IF("Documento no web"='03.Muestra'!$D$8:$D$42,ROW('03.Muestra'!$C$8:$C$42)-MIN(ROW('03.Muestra'!$D$8:$D$42))+1,""),ROW()-968)),"")</f>
        <v/>
      </c>
      <c r="C997" s="114" t="str" cm="1">
        <f t="array" ref="C997">IFERROR(INDEX('03.Muestra'!$F$8:$F$42,SMALL(IF("Documento no web"='03.Muestra'!$D$8:$D$42,ROW('03.Muestra'!$F$8:$F$42)-MIN(ROW('03.Muestra'!$D$8:$D$42))+1,""),ROW()-968)),"")</f>
        <v/>
      </c>
      <c r="D997" s="130" t="str">
        <f t="shared" si="51"/>
        <v/>
      </c>
      <c r="E997" s="107" t="str">
        <f t="shared" si="50"/>
        <v/>
      </c>
      <c r="F997" s="124"/>
      <c r="G997" s="19"/>
      <c r="H997" s="19"/>
      <c r="I997" s="19"/>
      <c r="J997" s="19"/>
      <c r="K997" s="233"/>
      <c r="L997" s="19"/>
      <c r="M997" s="19"/>
      <c r="N997" s="19"/>
      <c r="O997" s="19"/>
      <c r="P997" s="19"/>
      <c r="Q997" s="19"/>
      <c r="R997" s="19"/>
      <c r="S997" s="19"/>
      <c r="T997" s="19"/>
      <c r="U997" s="19"/>
      <c r="V997" s="19"/>
      <c r="W997" s="19"/>
      <c r="X997" s="19"/>
      <c r="Y997" s="19"/>
    </row>
    <row r="998" spans="1:25" ht="13.5" customHeight="1">
      <c r="A998" s="219" t="str" cm="1">
        <f t="array" ref="A998">IFERROR(INDEX('03.Muestra'!$B$8:$B$42,SMALL(IF("Documento no web"='03.Muestra'!$D$8:$D$42,ROW('03.Muestra'!$B$8:$B$42)-MIN(ROW('03.Muestra'!$D$8:$D$42))+1,""),ROW()-968)),"")</f>
        <v/>
      </c>
      <c r="B998" s="114" t="str" cm="1">
        <f t="array" ref="B998">IFERROR(INDEX('03.Muestra'!$C$8:$C$42,SMALL(IF("Documento no web"='03.Muestra'!$D$8:$D$42,ROW('03.Muestra'!$C$8:$C$42)-MIN(ROW('03.Muestra'!$D$8:$D$42))+1,""),ROW()-968)),"")</f>
        <v/>
      </c>
      <c r="C998" s="114" t="str" cm="1">
        <f t="array" ref="C998">IFERROR(INDEX('03.Muestra'!$F$8:$F$42,SMALL(IF("Documento no web"='03.Muestra'!$D$8:$D$42,ROW('03.Muestra'!$F$8:$F$42)-MIN(ROW('03.Muestra'!$D$8:$D$42))+1,""),ROW()-968)),"")</f>
        <v/>
      </c>
      <c r="D998" s="130" t="str">
        <f t="shared" si="51"/>
        <v/>
      </c>
      <c r="E998" s="107" t="str">
        <f t="shared" si="50"/>
        <v/>
      </c>
      <c r="F998" s="124"/>
      <c r="G998" s="19"/>
      <c r="H998" s="19"/>
      <c r="I998" s="19"/>
      <c r="J998" s="19"/>
      <c r="K998" s="233"/>
      <c r="L998" s="19"/>
      <c r="M998" s="19"/>
      <c r="N998" s="19"/>
      <c r="O998" s="19"/>
      <c r="P998" s="19"/>
      <c r="Q998" s="19"/>
      <c r="R998" s="19"/>
      <c r="S998" s="19"/>
      <c r="T998" s="19"/>
      <c r="U998" s="19"/>
      <c r="V998" s="19"/>
      <c r="W998" s="19"/>
      <c r="X998" s="19"/>
      <c r="Y998" s="19"/>
    </row>
    <row r="999" spans="1:25" ht="13.5" customHeight="1">
      <c r="A999" s="219" t="str" cm="1">
        <f t="array" ref="A999">IFERROR(INDEX('03.Muestra'!$B$8:$B$42,SMALL(IF("Documento no web"='03.Muestra'!$D$8:$D$42,ROW('03.Muestra'!$B$8:$B$42)-MIN(ROW('03.Muestra'!$D$8:$D$42))+1,""),ROW()-968)),"")</f>
        <v/>
      </c>
      <c r="B999" s="114" t="str" cm="1">
        <f t="array" ref="B999">IFERROR(INDEX('03.Muestra'!$C$8:$C$42,SMALL(IF("Documento no web"='03.Muestra'!$D$8:$D$42,ROW('03.Muestra'!$C$8:$C$42)-MIN(ROW('03.Muestra'!$D$8:$D$42))+1,""),ROW()-968)),"")</f>
        <v/>
      </c>
      <c r="C999" s="114" t="str" cm="1">
        <f t="array" ref="C999">IFERROR(INDEX('03.Muestra'!$F$8:$F$42,SMALL(IF("Documento no web"='03.Muestra'!$D$8:$D$42,ROW('03.Muestra'!$F$8:$F$42)-MIN(ROW('03.Muestra'!$D$8:$D$42))+1,""),ROW()-968)),"")</f>
        <v/>
      </c>
      <c r="D999" s="130" t="str">
        <f t="shared" si="51"/>
        <v/>
      </c>
      <c r="E999" s="107" t="str">
        <f t="shared" si="50"/>
        <v/>
      </c>
      <c r="F999" s="124"/>
      <c r="G999" s="19"/>
      <c r="H999" s="19"/>
      <c r="I999" s="19"/>
      <c r="J999" s="19"/>
      <c r="K999" s="233"/>
      <c r="L999" s="19"/>
      <c r="M999" s="19"/>
      <c r="N999" s="19"/>
      <c r="O999" s="19"/>
      <c r="P999" s="19"/>
      <c r="Q999" s="19"/>
      <c r="R999" s="19"/>
      <c r="S999" s="19"/>
      <c r="T999" s="19"/>
      <c r="U999" s="19"/>
      <c r="V999" s="19"/>
      <c r="W999" s="19"/>
      <c r="X999" s="19"/>
      <c r="Y999" s="19"/>
    </row>
    <row r="1000" spans="1:25" ht="13.5" customHeight="1">
      <c r="A1000" s="219" t="str" cm="1">
        <f t="array" ref="A1000">IFERROR(INDEX('03.Muestra'!$B$8:$B$42,SMALL(IF("Documento no web"='03.Muestra'!$D$8:$D$42,ROW('03.Muestra'!$B$8:$B$42)-MIN(ROW('03.Muestra'!$D$8:$D$42))+1,""),ROW()-968)),"")</f>
        <v/>
      </c>
      <c r="B1000" s="114" t="str" cm="1">
        <f t="array" ref="B1000">IFERROR(INDEX('03.Muestra'!$C$8:$C$42,SMALL(IF("Documento no web"='03.Muestra'!$D$8:$D$42,ROW('03.Muestra'!$C$8:$C$42)-MIN(ROW('03.Muestra'!$D$8:$D$42))+1,""),ROW()-968)),"")</f>
        <v/>
      </c>
      <c r="C1000" s="114" t="str" cm="1">
        <f t="array" ref="C1000">IFERROR(INDEX('03.Muestra'!$F$8:$F$42,SMALL(IF("Documento no web"='03.Muestra'!$D$8:$D$42,ROW('03.Muestra'!$F$8:$F$42)-MIN(ROW('03.Muestra'!$D$8:$D$42))+1,""),ROW()-968)),"")</f>
        <v/>
      </c>
      <c r="D1000" s="130" t="str">
        <f t="shared" si="51"/>
        <v/>
      </c>
      <c r="E1000" s="107" t="str">
        <f t="shared" si="50"/>
        <v/>
      </c>
      <c r="F1000" s="124"/>
      <c r="G1000" s="19"/>
      <c r="H1000" s="19"/>
      <c r="I1000" s="19"/>
      <c r="J1000" s="19"/>
      <c r="K1000" s="233"/>
      <c r="L1000" s="19"/>
      <c r="M1000" s="19"/>
      <c r="N1000" s="19"/>
      <c r="O1000" s="19"/>
      <c r="P1000" s="19"/>
      <c r="Q1000" s="19"/>
      <c r="R1000" s="19"/>
      <c r="S1000" s="19"/>
      <c r="T1000" s="19"/>
      <c r="U1000" s="19"/>
      <c r="V1000" s="19"/>
      <c r="W1000" s="19"/>
      <c r="X1000" s="19"/>
      <c r="Y1000" s="19"/>
    </row>
    <row r="1001" spans="1:25" ht="13.5" customHeight="1">
      <c r="A1001" s="219" t="str" cm="1">
        <f t="array" ref="A1001">IFERROR(INDEX('03.Muestra'!$B$8:$B$42,SMALL(IF("Documento no web"='03.Muestra'!$D$8:$D$42,ROW('03.Muestra'!$B$8:$B$42)-MIN(ROW('03.Muestra'!$D$8:$D$42))+1,""),ROW()-968)),"")</f>
        <v/>
      </c>
      <c r="B1001" s="114" t="str" cm="1">
        <f t="array" ref="B1001">IFERROR(INDEX('03.Muestra'!$C$8:$C$42,SMALL(IF("Documento no web"='03.Muestra'!$D$8:$D$42,ROW('03.Muestra'!$C$8:$C$42)-MIN(ROW('03.Muestra'!$D$8:$D$42))+1,""),ROW()-968)),"")</f>
        <v/>
      </c>
      <c r="C1001" s="114" t="str" cm="1">
        <f t="array" ref="C1001">IFERROR(INDEX('03.Muestra'!$F$8:$F$42,SMALL(IF("Documento no web"='03.Muestra'!$D$8:$D$42,ROW('03.Muestra'!$F$8:$F$42)-MIN(ROW('03.Muestra'!$D$8:$D$42))+1,""),ROW()-968)),"")</f>
        <v/>
      </c>
      <c r="D1001" s="130" t="str">
        <f t="shared" si="51"/>
        <v/>
      </c>
      <c r="E1001" s="107" t="str">
        <f t="shared" si="50"/>
        <v/>
      </c>
      <c r="F1001" s="124"/>
      <c r="G1001" s="19"/>
      <c r="H1001" s="19"/>
      <c r="I1001" s="19"/>
      <c r="J1001" s="19"/>
      <c r="K1001" s="233"/>
      <c r="L1001" s="19"/>
      <c r="M1001" s="19"/>
      <c r="N1001" s="19"/>
      <c r="O1001" s="19"/>
      <c r="P1001" s="19"/>
      <c r="Q1001" s="19"/>
      <c r="R1001" s="19"/>
      <c r="S1001" s="19"/>
      <c r="T1001" s="19"/>
      <c r="U1001" s="19"/>
      <c r="V1001" s="19"/>
      <c r="W1001" s="19"/>
      <c r="X1001" s="19"/>
      <c r="Y1001" s="19"/>
    </row>
    <row r="1002" spans="1:25" ht="13.5" customHeight="1">
      <c r="A1002" s="219" t="str" cm="1">
        <f t="array" ref="A1002">IFERROR(INDEX('03.Muestra'!$B$8:$B$42,SMALL(IF("Documento no web"='03.Muestra'!$D$8:$D$42,ROW('03.Muestra'!$B$8:$B$42)-MIN(ROW('03.Muestra'!$D$8:$D$42))+1,""),ROW()-968)),"")</f>
        <v/>
      </c>
      <c r="B1002" s="114" t="str" cm="1">
        <f t="array" ref="B1002">IFERROR(INDEX('03.Muestra'!$C$8:$C$42,SMALL(IF("Documento no web"='03.Muestra'!$D$8:$D$42,ROW('03.Muestra'!$C$8:$C$42)-MIN(ROW('03.Muestra'!$D$8:$D$42))+1,""),ROW()-968)),"")</f>
        <v/>
      </c>
      <c r="C1002" s="114" t="str" cm="1">
        <f t="array" ref="C1002">IFERROR(INDEX('03.Muestra'!$F$8:$F$42,SMALL(IF("Documento no web"='03.Muestra'!$D$8:$D$42,ROW('03.Muestra'!$F$8:$F$42)-MIN(ROW('03.Muestra'!$D$8:$D$42))+1,""),ROW()-968)),"")</f>
        <v/>
      </c>
      <c r="D1002" s="130" t="str">
        <f t="shared" si="51"/>
        <v/>
      </c>
      <c r="E1002" s="107" t="str">
        <f t="shared" si="50"/>
        <v/>
      </c>
      <c r="F1002" s="124"/>
      <c r="G1002" s="19"/>
      <c r="H1002" s="19"/>
      <c r="I1002" s="19"/>
      <c r="J1002" s="19"/>
      <c r="K1002" s="233"/>
      <c r="L1002" s="19"/>
      <c r="M1002" s="19"/>
      <c r="N1002" s="19"/>
      <c r="O1002" s="19"/>
      <c r="P1002" s="19"/>
      <c r="Q1002" s="19"/>
      <c r="R1002" s="19"/>
      <c r="S1002" s="19"/>
      <c r="T1002" s="19"/>
      <c r="U1002" s="19"/>
      <c r="V1002" s="19"/>
      <c r="W1002" s="19"/>
      <c r="X1002" s="19"/>
      <c r="Y1002" s="19"/>
    </row>
    <row r="1003" spans="1:25" ht="13.5" customHeight="1">
      <c r="A1003" s="219" t="str" cm="1">
        <f t="array" ref="A1003">IFERROR(INDEX('03.Muestra'!$B$8:$B$42,SMALL(IF("Documento no web"='03.Muestra'!$D$8:$D$42,ROW('03.Muestra'!$B$8:$B$42)-MIN(ROW('03.Muestra'!$D$8:$D$42))+1,""),ROW()-968)),"")</f>
        <v/>
      </c>
      <c r="B1003" s="114" t="str" cm="1">
        <f t="array" ref="B1003">IFERROR(INDEX('03.Muestra'!$C$8:$C$42,SMALL(IF("Documento no web"='03.Muestra'!$D$8:$D$42,ROW('03.Muestra'!$C$8:$C$42)-MIN(ROW('03.Muestra'!$D$8:$D$42))+1,""),ROW()-968)),"")</f>
        <v/>
      </c>
      <c r="C1003" s="114" t="str" cm="1">
        <f t="array" ref="C1003">IFERROR(INDEX('03.Muestra'!$F$8:$F$42,SMALL(IF("Documento no web"='03.Muestra'!$D$8:$D$42,ROW('03.Muestra'!$F$8:$F$42)-MIN(ROW('03.Muestra'!$D$8:$D$42))+1,""),ROW()-968)),"")</f>
        <v/>
      </c>
      <c r="D1003" s="130" t="str">
        <f t="shared" si="51"/>
        <v/>
      </c>
      <c r="E1003" s="107" t="str">
        <f t="shared" si="50"/>
        <v/>
      </c>
      <c r="F1003" s="19"/>
      <c r="G1003" s="19"/>
      <c r="H1003" s="19"/>
      <c r="I1003" s="19"/>
      <c r="J1003" s="19"/>
      <c r="K1003" s="233"/>
      <c r="L1003" s="19"/>
      <c r="M1003" s="19"/>
      <c r="N1003" s="19"/>
      <c r="O1003" s="19"/>
      <c r="P1003" s="19"/>
      <c r="Q1003" s="19"/>
      <c r="R1003" s="19"/>
      <c r="S1003" s="19"/>
      <c r="T1003" s="19"/>
      <c r="U1003" s="19"/>
      <c r="V1003" s="19"/>
      <c r="W1003" s="19"/>
      <c r="X1003" s="19"/>
      <c r="Y1003" s="19"/>
    </row>
    <row r="1004" spans="1:25" ht="13.5" customHeight="1">
      <c r="B1004" s="19"/>
      <c r="C1004" s="19"/>
      <c r="D1004" s="107"/>
      <c r="E1004" s="107" t="str">
        <f t="shared" si="50"/>
        <v/>
      </c>
      <c r="F1004" s="19"/>
      <c r="G1004" s="19"/>
      <c r="H1004" s="19"/>
      <c r="I1004" s="19"/>
      <c r="J1004" s="19"/>
      <c r="K1004" s="233"/>
      <c r="L1004" s="19"/>
      <c r="M1004" s="19"/>
      <c r="N1004" s="19"/>
      <c r="O1004" s="19"/>
      <c r="P1004" s="19"/>
      <c r="Q1004" s="19"/>
      <c r="R1004" s="19"/>
      <c r="S1004" s="19"/>
      <c r="T1004" s="19"/>
      <c r="U1004" s="19"/>
      <c r="V1004" s="19"/>
      <c r="W1004" s="19"/>
      <c r="X1004" s="19"/>
      <c r="Y1004" s="19"/>
    </row>
    <row r="1005" spans="1:25" ht="13.5" customHeight="1">
      <c r="B1005" s="126"/>
      <c r="C1005" s="19"/>
      <c r="D1005" s="107"/>
      <c r="E1005" s="112"/>
      <c r="F1005" s="19"/>
      <c r="G1005" s="19"/>
      <c r="H1005" s="19"/>
      <c r="I1005" s="19"/>
      <c r="J1005" s="19"/>
      <c r="K1005" s="233"/>
      <c r="L1005" s="19"/>
      <c r="M1005" s="19"/>
      <c r="N1005" s="19"/>
      <c r="O1005" s="19"/>
      <c r="P1005" s="19"/>
      <c r="Q1005" s="19"/>
      <c r="R1005" s="19"/>
      <c r="S1005" s="19"/>
      <c r="T1005" s="19"/>
      <c r="U1005" s="19"/>
      <c r="V1005" s="19"/>
      <c r="W1005" s="19"/>
      <c r="X1005" s="19"/>
      <c r="Y1005" s="19"/>
    </row>
    <row r="1006" spans="1:25" ht="30" customHeight="1">
      <c r="A1006" s="218" t="s">
        <v>268</v>
      </c>
      <c r="B1006" s="24" t="s">
        <v>90</v>
      </c>
      <c r="C1006" s="25" t="s">
        <v>448</v>
      </c>
      <c r="D1006" s="26" t="s">
        <v>32</v>
      </c>
      <c r="E1006" s="123"/>
      <c r="K1006" s="233"/>
      <c r="L1006" s="19"/>
      <c r="M1006" s="19"/>
      <c r="N1006" s="19"/>
      <c r="O1006" s="19"/>
      <c r="P1006" s="19"/>
      <c r="Q1006" s="19"/>
      <c r="R1006" s="19"/>
      <c r="S1006" s="19"/>
      <c r="T1006" s="19"/>
      <c r="U1006" s="19"/>
      <c r="V1006" s="19"/>
      <c r="W1006" s="19"/>
      <c r="X1006" s="19"/>
      <c r="Y1006" s="19"/>
    </row>
    <row r="1007" spans="1:25" ht="13.5" customHeight="1">
      <c r="A1007" s="219" t="n" cm="1">
        <f t="array" ref="A1007">IFERROR(INDEX('03.Muestra'!$B$8:$B$42,SMALL(IF("Documento no web"='03.Muestra'!$D$8:$D$42,ROW('03.Muestra'!$B$8:$B$42)-MIN(ROW('03.Muestra'!$D$8:$D$42))+1,""),ROW()-1006)),"")</f>
        <v>1.0</v>
      </c>
      <c r="B1007" s="114" t="str" cm="1">
        <f t="array" ref="B1007">IFERROR(INDEX('03.Muestra'!$C$8:$C$42,SMALL(IF("Documento no web"='03.Muestra'!$D$8:$D$42,ROW('03.Muestra'!$C$8:$C$42)-MIN(ROW('03.Muestra'!$D$8:$D$42))+1,""),ROW()-1006)),"")</f>
        <v>Home - PortCastelló</v>
      </c>
      <c r="C1007" s="114" t="str" cm="1">
        <f t="array" ref="C1007">IFERROR(INDEX('03.Muestra'!$F$8:$F$42,SMALL(IF("Documento no web"='03.Muestra'!$D$8:$D$42,ROW('03.Muestra'!$F$8:$F$42)-MIN(ROW('03.Muestra'!$D$8:$D$42))+1,""),ROW()-1006)),"")</f>
        <v>https://www.portcastello.com/</v>
      </c>
      <c r="D1007" s="130" t="s">
        <v>33</v>
      </c>
      <c r="E1007" s="107" t="str">
        <f t="shared" ref="E1007:E1041" si="52">IF(D1007&lt;&gt;"",IF(AND(B1007&lt;&gt;"",C1007&lt;&gt;""),"","ERR"),"")</f>
        <v/>
      </c>
      <c r="F1007" s="115" t="s">
        <v>33</v>
      </c>
      <c r="G1007" s="116" t="s">
        <v>37</v>
      </c>
      <c r="H1007" s="117" t="s">
        <v>35</v>
      </c>
      <c r="I1007" s="118" t="s">
        <v>28</v>
      </c>
      <c r="J1007" s="119" t="s">
        <v>26</v>
      </c>
      <c r="K1007" s="226" t="s">
        <v>474</v>
      </c>
      <c r="L1007" s="19"/>
      <c r="M1007" s="19"/>
      <c r="N1007" s="19"/>
      <c r="O1007" s="19"/>
      <c r="P1007" s="19"/>
      <c r="Q1007" s="19"/>
      <c r="R1007" s="19"/>
      <c r="S1007" s="19"/>
      <c r="T1007" s="19"/>
      <c r="U1007" s="19"/>
      <c r="V1007" s="19"/>
      <c r="W1007" s="19"/>
      <c r="X1007" s="19"/>
      <c r="Y1007" s="19"/>
    </row>
    <row r="1008" spans="1:25" ht="13.5" customHeight="1">
      <c r="A1008" s="219" t="n" cm="1">
        <f t="array" ref="A1008">IFERROR(INDEX('03.Muestra'!$B$8:$B$42,SMALL(IF("Documento no web"='03.Muestra'!$D$8:$D$42,ROW('03.Muestra'!$B$8:$B$42)-MIN(ROW('03.Muestra'!$D$8:$D$42))+1,""),ROW()-1006)),"")</f>
        <v>1.0</v>
      </c>
      <c r="B1008" s="114" t="str" cm="1">
        <f t="array" ref="B1008">IFERROR(INDEX('03.Muestra'!$C$8:$C$42,SMALL(IF("Documento no web"='03.Muestra'!$D$8:$D$42,ROW('03.Muestra'!$C$8:$C$42)-MIN(ROW('03.Muestra'!$D$8:$D$42))+1,""),ROW()-1006)),"")</f>
        <v>Home - PortCastelló</v>
      </c>
      <c r="C1008" s="114" t="str" cm="1">
        <f t="array" ref="C1008">IFERROR(INDEX('03.Muestra'!$F$8:$F$42,SMALL(IF("Documento no web"='03.Muestra'!$D$8:$D$42,ROW('03.Muestra'!$F$8:$F$42)-MIN(ROW('03.Muestra'!$D$8:$D$42))+1,""),ROW()-1006)),"")</f>
        <v>https://www.portcastello.com/</v>
      </c>
      <c r="D1008" s="130" t="s">
        <v>33</v>
      </c>
      <c r="E1008" s="107" t="str">
        <f t="shared" si="52"/>
        <v/>
      </c>
      <c r="F1008" s="120" t="n">
        <f ca="1">COUNTIF($D1007:INDIRECT("$D" &amp;  SUM(ROW()-1,'03.Muestra'!$D$45)-1),F1007)</f>
        <v>2.0</v>
      </c>
      <c r="G1008" s="120" t="n">
        <f ca="1">COUNTIF($D1007:INDIRECT("$D" &amp;  SUM(ROW()-1,'03.Muestra'!$D$45)-1),G1007)</f>
        <v>0.0</v>
      </c>
      <c r="H1008" s="120" t="n">
        <f ca="1">COUNTIF($D1007:INDIRECT("$D" &amp;  SUM(ROW()-1,'03.Muestra'!$D$45)-1),H1007)</f>
        <v>0.0</v>
      </c>
      <c r="I1008" s="120" t="n">
        <f ca="1">COUNTIF($D1007:INDIRECT("$D" &amp;  SUM(ROW()-1,'03.Muestra'!$D$45)-1),I1007)</f>
        <v>0.0</v>
      </c>
      <c r="J1008" s="120" t="n">
        <f ca="1">COUNTIF($D1007:INDIRECT("$D" &amp;  SUM(ROW()-1,'03.Muestra'!$D$45)-1),J1007)</f>
        <v>0.0</v>
      </c>
      <c r="K1008" s="227" t="n">
        <f ca="1">IF(COUNTIF('03.Muestra'!$D$8:$D$42,"Documento no web")=0,0,COUNTBLANK($D1007:INDIRECT("$D" &amp;  SUM(ROW()-1,COUNTIF('03.Muestra'!$D$8:$D$42,"Documento no web"))-1)))</f>
        <v>0.0</v>
      </c>
      <c r="L1008" s="19"/>
      <c r="M1008" s="19"/>
      <c r="N1008" s="19"/>
      <c r="O1008" s="19"/>
      <c r="P1008" s="19"/>
      <c r="Q1008" s="19"/>
      <c r="R1008" s="19"/>
      <c r="S1008" s="19"/>
      <c r="T1008" s="19"/>
      <c r="U1008" s="19"/>
      <c r="V1008" s="19"/>
      <c r="W1008" s="19"/>
      <c r="X1008" s="19"/>
      <c r="Y1008" s="19"/>
    </row>
    <row r="1009" spans="1:25" ht="13.5" customHeight="1">
      <c r="A1009" s="219" t="str" cm="1">
        <f t="array" ref="A1009">IFERROR(INDEX('03.Muestra'!$B$8:$B$42,SMALL(IF("Documento no web"='03.Muestra'!$D$8:$D$42,ROW('03.Muestra'!$B$8:$B$42)-MIN(ROW('03.Muestra'!$D$8:$D$42))+1,""),ROW()-1006)),"")</f>
        <v/>
      </c>
      <c r="B1009" s="114" t="str" cm="1">
        <f t="array" ref="B1009">IFERROR(INDEX('03.Muestra'!$C$8:$C$42,SMALL(IF("Documento no web"='03.Muestra'!$D$8:$D$42,ROW('03.Muestra'!$C$8:$C$42)-MIN(ROW('03.Muestra'!$D$8:$D$42))+1,""),ROW()-1006)),"")</f>
        <v/>
      </c>
      <c r="C1009" s="114" t="str" cm="1">
        <f t="array" ref="C1009">IFERROR(INDEX('03.Muestra'!$F$8:$F$42,SMALL(IF("Documento no web"='03.Muestra'!$D$8:$D$42,ROW('03.Muestra'!$F$8:$F$42)-MIN(ROW('03.Muestra'!$D$8:$D$42))+1,""),ROW()-1006)),"")</f>
        <v/>
      </c>
      <c r="D1009" s="130" t="str">
        <f t="shared" si="53" ref="D1009:D1041">IF(AND(B1009&lt;&gt;"",C1009&lt;&gt;""),"N/T","")</f>
        <v/>
      </c>
      <c r="E1009" s="107" t="str">
        <f t="shared" si="52"/>
        <v/>
      </c>
      <c r="G1009" s="19"/>
      <c r="H1009" s="19"/>
      <c r="I1009" s="19"/>
      <c r="J1009" s="19"/>
      <c r="K1009" s="233"/>
      <c r="L1009" s="19"/>
      <c r="M1009" s="19"/>
      <c r="N1009" s="19"/>
      <c r="O1009" s="19"/>
      <c r="P1009" s="19"/>
      <c r="Q1009" s="19"/>
      <c r="R1009" s="19"/>
      <c r="S1009" s="19"/>
      <c r="T1009" s="19"/>
      <c r="U1009" s="19"/>
      <c r="V1009" s="19"/>
      <c r="W1009" s="19"/>
      <c r="X1009" s="19"/>
      <c r="Y1009" s="19"/>
    </row>
    <row r="1010" spans="1:25" ht="13.5" customHeight="1">
      <c r="A1010" s="219" t="str" cm="1">
        <f t="array" ref="A1010">IFERROR(INDEX('03.Muestra'!$B$8:$B$42,SMALL(IF("Documento no web"='03.Muestra'!$D$8:$D$42,ROW('03.Muestra'!$B$8:$B$42)-MIN(ROW('03.Muestra'!$D$8:$D$42))+1,""),ROW()-1006)),"")</f>
        <v/>
      </c>
      <c r="B1010" s="114" t="str" cm="1">
        <f t="array" ref="B1010">IFERROR(INDEX('03.Muestra'!$C$8:$C$42,SMALL(IF("Documento no web"='03.Muestra'!$D$8:$D$42,ROW('03.Muestra'!$C$8:$C$42)-MIN(ROW('03.Muestra'!$D$8:$D$42))+1,""),ROW()-1006)),"")</f>
        <v/>
      </c>
      <c r="C1010" s="114" t="str" cm="1">
        <f t="array" ref="C1010">IFERROR(INDEX('03.Muestra'!$F$8:$F$42,SMALL(IF("Documento no web"='03.Muestra'!$D$8:$D$42,ROW('03.Muestra'!$F$8:$F$42)-MIN(ROW('03.Muestra'!$D$8:$D$42))+1,""),ROW()-1006)),"")</f>
        <v/>
      </c>
      <c r="D1010" s="130" t="str">
        <f t="shared" si="53"/>
        <v/>
      </c>
      <c r="E1010" s="107" t="str">
        <f t="shared" si="52"/>
        <v/>
      </c>
      <c r="G1010" s="19"/>
      <c r="H1010" s="19"/>
      <c r="I1010" s="19"/>
      <c r="J1010" s="19"/>
      <c r="K1010" s="233"/>
      <c r="L1010" s="19"/>
      <c r="M1010" s="19"/>
      <c r="N1010" s="19"/>
      <c r="O1010" s="19"/>
      <c r="P1010" s="19"/>
      <c r="Q1010" s="19"/>
      <c r="R1010" s="19"/>
      <c r="S1010" s="19"/>
      <c r="T1010" s="19"/>
      <c r="U1010" s="19"/>
      <c r="V1010" s="19"/>
      <c r="W1010" s="19"/>
      <c r="X1010" s="19"/>
      <c r="Y1010" s="19"/>
    </row>
    <row r="1011" spans="1:25" ht="13.5" customHeight="1">
      <c r="A1011" s="219" t="str" cm="1">
        <f t="array" ref="A1011">IFERROR(INDEX('03.Muestra'!$B$8:$B$42,SMALL(IF("Documento no web"='03.Muestra'!$D$8:$D$42,ROW('03.Muestra'!$B$8:$B$42)-MIN(ROW('03.Muestra'!$D$8:$D$42))+1,""),ROW()-1006)),"")</f>
        <v/>
      </c>
      <c r="B1011" s="114" t="str" cm="1">
        <f t="array" ref="B1011">IFERROR(INDEX('03.Muestra'!$C$8:$C$42,SMALL(IF("Documento no web"='03.Muestra'!$D$8:$D$42,ROW('03.Muestra'!$C$8:$C$42)-MIN(ROW('03.Muestra'!$D$8:$D$42))+1,""),ROW()-1006)),"")</f>
        <v/>
      </c>
      <c r="C1011" s="114" t="str" cm="1">
        <f t="array" ref="C1011">IFERROR(INDEX('03.Muestra'!$F$8:$F$42,SMALL(IF("Documento no web"='03.Muestra'!$D$8:$D$42,ROW('03.Muestra'!$F$8:$F$42)-MIN(ROW('03.Muestra'!$D$8:$D$42))+1,""),ROW()-1006)),"")</f>
        <v/>
      </c>
      <c r="D1011" s="130" t="str">
        <f t="shared" si="53"/>
        <v/>
      </c>
      <c r="E1011" s="107" t="str">
        <f t="shared" si="52"/>
        <v/>
      </c>
      <c r="G1011" s="19"/>
      <c r="H1011" s="19"/>
      <c r="I1011" s="19"/>
      <c r="J1011" s="19"/>
      <c r="K1011" s="233"/>
      <c r="L1011" s="19"/>
      <c r="M1011" s="19"/>
      <c r="N1011" s="19"/>
      <c r="O1011" s="19"/>
      <c r="P1011" s="19"/>
      <c r="Q1011" s="19"/>
      <c r="R1011" s="19"/>
      <c r="S1011" s="19"/>
      <c r="T1011" s="19"/>
      <c r="U1011" s="19"/>
      <c r="V1011" s="19"/>
      <c r="W1011" s="19"/>
      <c r="X1011" s="19"/>
      <c r="Y1011" s="19"/>
    </row>
    <row r="1012" spans="1:25" ht="13.5" customHeight="1">
      <c r="A1012" s="219" t="str" cm="1">
        <f t="array" ref="A1012">IFERROR(INDEX('03.Muestra'!$B$8:$B$42,SMALL(IF("Documento no web"='03.Muestra'!$D$8:$D$42,ROW('03.Muestra'!$B$8:$B$42)-MIN(ROW('03.Muestra'!$D$8:$D$42))+1,""),ROW()-1006)),"")</f>
        <v/>
      </c>
      <c r="B1012" s="114" t="str" cm="1">
        <f t="array" ref="B1012">IFERROR(INDEX('03.Muestra'!$C$8:$C$42,SMALL(IF("Documento no web"='03.Muestra'!$D$8:$D$42,ROW('03.Muestra'!$C$8:$C$42)-MIN(ROW('03.Muestra'!$D$8:$D$42))+1,""),ROW()-1006)),"")</f>
        <v/>
      </c>
      <c r="C1012" s="114" t="str" cm="1">
        <f t="array" ref="C1012">IFERROR(INDEX('03.Muestra'!$F$8:$F$42,SMALL(IF("Documento no web"='03.Muestra'!$D$8:$D$42,ROW('03.Muestra'!$F$8:$F$42)-MIN(ROW('03.Muestra'!$D$8:$D$42))+1,""),ROW()-1006)),"")</f>
        <v/>
      </c>
      <c r="D1012" s="130" t="str">
        <f t="shared" si="53"/>
        <v/>
      </c>
      <c r="E1012" s="107" t="str">
        <f t="shared" si="52"/>
        <v/>
      </c>
      <c r="G1012" s="19"/>
      <c r="H1012" s="19"/>
      <c r="I1012" s="19"/>
      <c r="J1012" s="19"/>
      <c r="K1012" s="233"/>
      <c r="L1012" s="19"/>
      <c r="M1012" s="19"/>
      <c r="N1012" s="19"/>
      <c r="O1012" s="19"/>
      <c r="P1012" s="19"/>
      <c r="Q1012" s="19"/>
      <c r="R1012" s="19"/>
      <c r="S1012" s="19"/>
      <c r="T1012" s="19"/>
      <c r="U1012" s="19"/>
      <c r="V1012" s="19"/>
      <c r="W1012" s="19"/>
      <c r="X1012" s="19"/>
      <c r="Y1012" s="19"/>
    </row>
    <row r="1013" spans="1:25" ht="13.5" customHeight="1">
      <c r="A1013" s="219" t="str" cm="1">
        <f t="array" ref="A1013">IFERROR(INDEX('03.Muestra'!$B$8:$B$42,SMALL(IF("Documento no web"='03.Muestra'!$D$8:$D$42,ROW('03.Muestra'!$B$8:$B$42)-MIN(ROW('03.Muestra'!$D$8:$D$42))+1,""),ROW()-1006)),"")</f>
        <v/>
      </c>
      <c r="B1013" s="114" t="str" cm="1">
        <f t="array" ref="B1013">IFERROR(INDEX('03.Muestra'!$C$8:$C$42,SMALL(IF("Documento no web"='03.Muestra'!$D$8:$D$42,ROW('03.Muestra'!$C$8:$C$42)-MIN(ROW('03.Muestra'!$D$8:$D$42))+1,""),ROW()-1006)),"")</f>
        <v/>
      </c>
      <c r="C1013" s="114" t="str" cm="1">
        <f t="array" ref="C1013">IFERROR(INDEX('03.Muestra'!$F$8:$F$42,SMALL(IF("Documento no web"='03.Muestra'!$D$8:$D$42,ROW('03.Muestra'!$F$8:$F$42)-MIN(ROW('03.Muestra'!$D$8:$D$42))+1,""),ROW()-1006)),"")</f>
        <v/>
      </c>
      <c r="D1013" s="130" t="str">
        <f t="shared" si="53"/>
        <v/>
      </c>
      <c r="E1013" s="107" t="str">
        <f t="shared" si="52"/>
        <v/>
      </c>
      <c r="F1013" s="19"/>
      <c r="G1013" s="19"/>
      <c r="H1013" s="19"/>
      <c r="I1013" s="19"/>
      <c r="J1013" s="19"/>
      <c r="K1013" s="233"/>
      <c r="L1013" s="19"/>
      <c r="M1013" s="19"/>
      <c r="N1013" s="19"/>
      <c r="O1013" s="19"/>
      <c r="P1013" s="19"/>
      <c r="Q1013" s="19"/>
      <c r="R1013" s="19"/>
      <c r="S1013" s="19"/>
      <c r="T1013" s="19"/>
      <c r="U1013" s="19"/>
      <c r="V1013" s="19"/>
      <c r="W1013" s="19"/>
      <c r="X1013" s="19"/>
      <c r="Y1013" s="19"/>
    </row>
    <row r="1014" spans="1:25" ht="13.5" customHeight="1">
      <c r="A1014" s="219" t="str" cm="1">
        <f t="array" ref="A1014">IFERROR(INDEX('03.Muestra'!$B$8:$B$42,SMALL(IF("Documento no web"='03.Muestra'!$D$8:$D$42,ROW('03.Muestra'!$B$8:$B$42)-MIN(ROW('03.Muestra'!$D$8:$D$42))+1,""),ROW()-1006)),"")</f>
        <v/>
      </c>
      <c r="B1014" s="114" t="str" cm="1">
        <f t="array" ref="B1014">IFERROR(INDEX('03.Muestra'!$C$8:$C$42,SMALL(IF("Documento no web"='03.Muestra'!$D$8:$D$42,ROW('03.Muestra'!$C$8:$C$42)-MIN(ROW('03.Muestra'!$D$8:$D$42))+1,""),ROW()-1006)),"")</f>
        <v/>
      </c>
      <c r="C1014" s="114" t="str" cm="1">
        <f t="array" ref="C1014">IFERROR(INDEX('03.Muestra'!$F$8:$F$42,SMALL(IF("Documento no web"='03.Muestra'!$D$8:$D$42,ROW('03.Muestra'!$F$8:$F$42)-MIN(ROW('03.Muestra'!$D$8:$D$42))+1,""),ROW()-1006)),"")</f>
        <v/>
      </c>
      <c r="D1014" s="130" t="str">
        <f t="shared" si="53"/>
        <v/>
      </c>
      <c r="E1014" s="107" t="str">
        <f t="shared" si="52"/>
        <v/>
      </c>
      <c r="F1014" s="19"/>
      <c r="G1014" s="19"/>
      <c r="H1014" s="19"/>
      <c r="I1014" s="19"/>
      <c r="J1014" s="19"/>
      <c r="K1014" s="233"/>
      <c r="L1014" s="19"/>
      <c r="M1014" s="19"/>
      <c r="N1014" s="19"/>
      <c r="O1014" s="19"/>
      <c r="P1014" s="19"/>
      <c r="Q1014" s="19"/>
      <c r="R1014" s="19"/>
      <c r="S1014" s="19"/>
      <c r="T1014" s="19"/>
      <c r="U1014" s="19"/>
      <c r="V1014" s="19"/>
      <c r="W1014" s="19"/>
      <c r="X1014" s="19"/>
      <c r="Y1014" s="19"/>
    </row>
    <row r="1015" spans="1:25" ht="13.5" customHeight="1">
      <c r="A1015" s="219" t="str" cm="1">
        <f t="array" ref="A1015">IFERROR(INDEX('03.Muestra'!$B$8:$B$42,SMALL(IF("Documento no web"='03.Muestra'!$D$8:$D$42,ROW('03.Muestra'!$B$8:$B$42)-MIN(ROW('03.Muestra'!$D$8:$D$42))+1,""),ROW()-1006)),"")</f>
        <v/>
      </c>
      <c r="B1015" s="114" t="str" cm="1">
        <f t="array" ref="B1015">IFERROR(INDEX('03.Muestra'!$C$8:$C$42,SMALL(IF("Documento no web"='03.Muestra'!$D$8:$D$42,ROW('03.Muestra'!$C$8:$C$42)-MIN(ROW('03.Muestra'!$D$8:$D$42))+1,""),ROW()-1006)),"")</f>
        <v/>
      </c>
      <c r="C1015" s="114" t="str" cm="1">
        <f t="array" ref="C1015">IFERROR(INDEX('03.Muestra'!$F$8:$F$42,SMALL(IF("Documento no web"='03.Muestra'!$D$8:$D$42,ROW('03.Muestra'!$F$8:$F$42)-MIN(ROW('03.Muestra'!$D$8:$D$42))+1,""),ROW()-1006)),"")</f>
        <v/>
      </c>
      <c r="D1015" s="130" t="str">
        <f t="shared" si="53"/>
        <v/>
      </c>
      <c r="E1015" s="107" t="str">
        <f t="shared" si="52"/>
        <v/>
      </c>
      <c r="F1015" s="19"/>
      <c r="G1015" s="19"/>
      <c r="H1015" s="19"/>
      <c r="I1015" s="19"/>
      <c r="J1015" s="19"/>
      <c r="K1015" s="233"/>
      <c r="L1015" s="19"/>
      <c r="M1015" s="19"/>
      <c r="N1015" s="19"/>
      <c r="O1015" s="19"/>
      <c r="P1015" s="19"/>
      <c r="Q1015" s="19"/>
      <c r="R1015" s="19"/>
      <c r="S1015" s="19"/>
      <c r="T1015" s="19"/>
      <c r="U1015" s="19"/>
      <c r="V1015" s="19"/>
      <c r="W1015" s="19"/>
      <c r="X1015" s="19"/>
      <c r="Y1015" s="19"/>
    </row>
    <row r="1016" spans="1:25" ht="13.5" customHeight="1">
      <c r="A1016" s="219" t="str" cm="1">
        <f t="array" ref="A1016">IFERROR(INDEX('03.Muestra'!$B$8:$B$42,SMALL(IF("Documento no web"='03.Muestra'!$D$8:$D$42,ROW('03.Muestra'!$B$8:$B$42)-MIN(ROW('03.Muestra'!$D$8:$D$42))+1,""),ROW()-1006)),"")</f>
        <v/>
      </c>
      <c r="B1016" s="114" t="str" cm="1">
        <f t="array" ref="B1016">IFERROR(INDEX('03.Muestra'!$C$8:$C$42,SMALL(IF("Documento no web"='03.Muestra'!$D$8:$D$42,ROW('03.Muestra'!$C$8:$C$42)-MIN(ROW('03.Muestra'!$D$8:$D$42))+1,""),ROW()-1006)),"")</f>
        <v/>
      </c>
      <c r="C1016" s="114" t="str" cm="1">
        <f t="array" ref="C1016">IFERROR(INDEX('03.Muestra'!$F$8:$F$42,SMALL(IF("Documento no web"='03.Muestra'!$D$8:$D$42,ROW('03.Muestra'!$F$8:$F$42)-MIN(ROW('03.Muestra'!$D$8:$D$42))+1,""),ROW()-1006)),"")</f>
        <v/>
      </c>
      <c r="D1016" s="130" t="str">
        <f t="shared" si="53"/>
        <v/>
      </c>
      <c r="E1016" s="107" t="str">
        <f t="shared" si="52"/>
        <v/>
      </c>
      <c r="F1016" s="19"/>
      <c r="G1016" s="19"/>
      <c r="H1016" s="19"/>
      <c r="I1016" s="19"/>
      <c r="J1016" s="19"/>
      <c r="K1016" s="233"/>
      <c r="L1016" s="19"/>
      <c r="M1016" s="19"/>
      <c r="N1016" s="19"/>
      <c r="O1016" s="19"/>
      <c r="P1016" s="19"/>
      <c r="Q1016" s="19"/>
      <c r="R1016" s="19"/>
      <c r="S1016" s="19"/>
      <c r="T1016" s="19"/>
      <c r="U1016" s="19"/>
      <c r="V1016" s="19"/>
      <c r="W1016" s="19"/>
      <c r="X1016" s="19"/>
      <c r="Y1016" s="19"/>
    </row>
    <row r="1017" spans="1:25" ht="13.5" customHeight="1">
      <c r="A1017" s="219" t="str" cm="1">
        <f t="array" ref="A1017">IFERROR(INDEX('03.Muestra'!$B$8:$B$42,SMALL(IF("Documento no web"='03.Muestra'!$D$8:$D$42,ROW('03.Muestra'!$B$8:$B$42)-MIN(ROW('03.Muestra'!$D$8:$D$42))+1,""),ROW()-1006)),"")</f>
        <v/>
      </c>
      <c r="B1017" s="114" t="str" cm="1">
        <f t="array" ref="B1017">IFERROR(INDEX('03.Muestra'!$C$8:$C$42,SMALL(IF("Documento no web"='03.Muestra'!$D$8:$D$42,ROW('03.Muestra'!$C$8:$C$42)-MIN(ROW('03.Muestra'!$D$8:$D$42))+1,""),ROW()-1006)),"")</f>
        <v/>
      </c>
      <c r="C1017" s="114" t="str" cm="1">
        <f t="array" ref="C1017">IFERROR(INDEX('03.Muestra'!$F$8:$F$42,SMALL(IF("Documento no web"='03.Muestra'!$D$8:$D$42,ROW('03.Muestra'!$F$8:$F$42)-MIN(ROW('03.Muestra'!$D$8:$D$42))+1,""),ROW()-1006)),"")</f>
        <v/>
      </c>
      <c r="D1017" s="130" t="str">
        <f t="shared" si="53"/>
        <v/>
      </c>
      <c r="E1017" s="107" t="str">
        <f t="shared" si="52"/>
        <v/>
      </c>
      <c r="F1017" s="19"/>
      <c r="G1017" s="19"/>
      <c r="H1017" s="19"/>
      <c r="I1017" s="19"/>
      <c r="J1017" s="19"/>
      <c r="K1017" s="233"/>
      <c r="L1017" s="19"/>
      <c r="M1017" s="19"/>
      <c r="N1017" s="19"/>
      <c r="O1017" s="19"/>
      <c r="P1017" s="19"/>
      <c r="Q1017" s="19"/>
      <c r="R1017" s="19"/>
      <c r="S1017" s="19"/>
      <c r="T1017" s="19"/>
      <c r="U1017" s="19"/>
      <c r="V1017" s="19"/>
      <c r="W1017" s="19"/>
      <c r="X1017" s="19"/>
      <c r="Y1017" s="19"/>
    </row>
    <row r="1018" spans="1:25" ht="13.5" customHeight="1">
      <c r="A1018" s="219" t="str" cm="1">
        <f t="array" ref="A1018">IFERROR(INDEX('03.Muestra'!$B$8:$B$42,SMALL(IF("Documento no web"='03.Muestra'!$D$8:$D$42,ROW('03.Muestra'!$B$8:$B$42)-MIN(ROW('03.Muestra'!$D$8:$D$42))+1,""),ROW()-1006)),"")</f>
        <v/>
      </c>
      <c r="B1018" s="114" t="str" cm="1">
        <f t="array" ref="B1018">IFERROR(INDEX('03.Muestra'!$C$8:$C$42,SMALL(IF("Documento no web"='03.Muestra'!$D$8:$D$42,ROW('03.Muestra'!$C$8:$C$42)-MIN(ROW('03.Muestra'!$D$8:$D$42))+1,""),ROW()-1006)),"")</f>
        <v/>
      </c>
      <c r="C1018" s="114" t="str" cm="1">
        <f t="array" ref="C1018">IFERROR(INDEX('03.Muestra'!$F$8:$F$42,SMALL(IF("Documento no web"='03.Muestra'!$D$8:$D$42,ROW('03.Muestra'!$F$8:$F$42)-MIN(ROW('03.Muestra'!$D$8:$D$42))+1,""),ROW()-1006)),"")</f>
        <v/>
      </c>
      <c r="D1018" s="130" t="str">
        <f t="shared" si="53"/>
        <v/>
      </c>
      <c r="E1018" s="107" t="str">
        <f t="shared" si="52"/>
        <v/>
      </c>
      <c r="F1018" s="19"/>
      <c r="G1018" s="19"/>
      <c r="H1018" s="19"/>
      <c r="I1018" s="19"/>
      <c r="J1018" s="19"/>
      <c r="K1018" s="233"/>
      <c r="L1018" s="19"/>
      <c r="M1018" s="19"/>
      <c r="N1018" s="19"/>
      <c r="O1018" s="19"/>
      <c r="P1018" s="19"/>
      <c r="Q1018" s="19"/>
      <c r="R1018" s="19"/>
      <c r="S1018" s="19"/>
      <c r="T1018" s="19"/>
      <c r="U1018" s="19"/>
      <c r="V1018" s="19"/>
      <c r="W1018" s="19"/>
      <c r="X1018" s="19"/>
      <c r="Y1018" s="19"/>
    </row>
    <row r="1019" spans="1:25" ht="13.5" customHeight="1">
      <c r="A1019" s="219" t="str" cm="1">
        <f t="array" ref="A1019">IFERROR(INDEX('03.Muestra'!$B$8:$B$42,SMALL(IF("Documento no web"='03.Muestra'!$D$8:$D$42,ROW('03.Muestra'!$B$8:$B$42)-MIN(ROW('03.Muestra'!$D$8:$D$42))+1,""),ROW()-1006)),"")</f>
        <v/>
      </c>
      <c r="B1019" s="114" t="str" cm="1">
        <f t="array" ref="B1019">IFERROR(INDEX('03.Muestra'!$C$8:$C$42,SMALL(IF("Documento no web"='03.Muestra'!$D$8:$D$42,ROW('03.Muestra'!$C$8:$C$42)-MIN(ROW('03.Muestra'!$D$8:$D$42))+1,""),ROW()-1006)),"")</f>
        <v/>
      </c>
      <c r="C1019" s="114" t="str" cm="1">
        <f t="array" ref="C1019">IFERROR(INDEX('03.Muestra'!$F$8:$F$42,SMALL(IF("Documento no web"='03.Muestra'!$D$8:$D$42,ROW('03.Muestra'!$F$8:$F$42)-MIN(ROW('03.Muestra'!$D$8:$D$42))+1,""),ROW()-1006)),"")</f>
        <v/>
      </c>
      <c r="D1019" s="130" t="str">
        <f t="shared" si="53"/>
        <v/>
      </c>
      <c r="E1019" s="107" t="str">
        <f t="shared" si="52"/>
        <v/>
      </c>
      <c r="F1019" s="19"/>
      <c r="G1019" s="19"/>
      <c r="H1019" s="19"/>
      <c r="I1019" s="19"/>
      <c r="J1019" s="19"/>
      <c r="K1019" s="233"/>
      <c r="L1019" s="19"/>
      <c r="M1019" s="19"/>
      <c r="N1019" s="19"/>
      <c r="O1019" s="19"/>
      <c r="P1019" s="19"/>
      <c r="Q1019" s="19"/>
      <c r="R1019" s="19"/>
      <c r="S1019" s="19"/>
      <c r="T1019" s="19"/>
      <c r="U1019" s="19"/>
      <c r="V1019" s="19"/>
      <c r="W1019" s="19"/>
      <c r="X1019" s="19"/>
      <c r="Y1019" s="19"/>
    </row>
    <row r="1020" spans="1:25" ht="13.5" customHeight="1">
      <c r="A1020" s="219" t="str" cm="1">
        <f t="array" ref="A1020">IFERROR(INDEX('03.Muestra'!$B$8:$B$42,SMALL(IF("Documento no web"='03.Muestra'!$D$8:$D$42,ROW('03.Muestra'!$B$8:$B$42)-MIN(ROW('03.Muestra'!$D$8:$D$42))+1,""),ROW()-1006)),"")</f>
        <v/>
      </c>
      <c r="B1020" s="114" t="str" cm="1">
        <f t="array" ref="B1020">IFERROR(INDEX('03.Muestra'!$C$8:$C$42,SMALL(IF("Documento no web"='03.Muestra'!$D$8:$D$42,ROW('03.Muestra'!$C$8:$C$42)-MIN(ROW('03.Muestra'!$D$8:$D$42))+1,""),ROW()-1006)),"")</f>
        <v/>
      </c>
      <c r="C1020" s="114" t="str" cm="1">
        <f t="array" ref="C1020">IFERROR(INDEX('03.Muestra'!$F$8:$F$42,SMALL(IF("Documento no web"='03.Muestra'!$D$8:$D$42,ROW('03.Muestra'!$F$8:$F$42)-MIN(ROW('03.Muestra'!$D$8:$D$42))+1,""),ROW()-1006)),"")</f>
        <v/>
      </c>
      <c r="D1020" s="130" t="str">
        <f t="shared" si="53"/>
        <v/>
      </c>
      <c r="E1020" s="107" t="str">
        <f t="shared" si="52"/>
        <v/>
      </c>
      <c r="F1020" s="19"/>
      <c r="G1020" s="19"/>
      <c r="H1020" s="19"/>
      <c r="I1020" s="19"/>
      <c r="J1020" s="19"/>
      <c r="K1020" s="233"/>
      <c r="L1020" s="19"/>
      <c r="M1020" s="19"/>
      <c r="N1020" s="19"/>
      <c r="O1020" s="19"/>
      <c r="P1020" s="19"/>
      <c r="Q1020" s="19"/>
      <c r="R1020" s="19"/>
      <c r="S1020" s="19"/>
      <c r="T1020" s="19"/>
      <c r="U1020" s="19"/>
      <c r="V1020" s="19"/>
      <c r="W1020" s="19"/>
      <c r="X1020" s="19"/>
      <c r="Y1020" s="19"/>
    </row>
    <row r="1021" spans="1:25" ht="13.5" customHeight="1">
      <c r="A1021" s="219" t="str" cm="1">
        <f t="array" ref="A1021">IFERROR(INDEX('03.Muestra'!$B$8:$B$42,SMALL(IF("Documento no web"='03.Muestra'!$D$8:$D$42,ROW('03.Muestra'!$B$8:$B$42)-MIN(ROW('03.Muestra'!$D$8:$D$42))+1,""),ROW()-1006)),"")</f>
        <v/>
      </c>
      <c r="B1021" s="114" t="str" cm="1">
        <f t="array" ref="B1021">IFERROR(INDEX('03.Muestra'!$C$8:$C$42,SMALL(IF("Documento no web"='03.Muestra'!$D$8:$D$42,ROW('03.Muestra'!$C$8:$C$42)-MIN(ROW('03.Muestra'!$D$8:$D$42))+1,""),ROW()-1006)),"")</f>
        <v/>
      </c>
      <c r="C1021" s="114" t="str" cm="1">
        <f t="array" ref="C1021">IFERROR(INDEX('03.Muestra'!$F$8:$F$42,SMALL(IF("Documento no web"='03.Muestra'!$D$8:$D$42,ROW('03.Muestra'!$F$8:$F$42)-MIN(ROW('03.Muestra'!$D$8:$D$42))+1,""),ROW()-1006)),"")</f>
        <v/>
      </c>
      <c r="D1021" s="130" t="str">
        <f t="shared" si="53"/>
        <v/>
      </c>
      <c r="E1021" s="107" t="str">
        <f t="shared" si="52"/>
        <v/>
      </c>
      <c r="F1021" s="19"/>
      <c r="G1021" s="19"/>
      <c r="H1021" s="19"/>
      <c r="I1021" s="19"/>
      <c r="J1021" s="19"/>
      <c r="K1021" s="233"/>
      <c r="L1021" s="19"/>
      <c r="M1021" s="19"/>
      <c r="N1021" s="19"/>
      <c r="O1021" s="19"/>
      <c r="P1021" s="19"/>
      <c r="Q1021" s="19"/>
      <c r="R1021" s="19"/>
      <c r="S1021" s="19"/>
      <c r="T1021" s="19"/>
      <c r="U1021" s="19"/>
      <c r="V1021" s="19"/>
      <c r="W1021" s="19"/>
      <c r="X1021" s="19"/>
      <c r="Y1021" s="19"/>
    </row>
    <row r="1022" spans="1:25" ht="13.5" customHeight="1">
      <c r="A1022" s="219" t="str" cm="1">
        <f t="array" ref="A1022">IFERROR(INDEX('03.Muestra'!$B$8:$B$42,SMALL(IF("Documento no web"='03.Muestra'!$D$8:$D$42,ROW('03.Muestra'!$B$8:$B$42)-MIN(ROW('03.Muestra'!$D$8:$D$42))+1,""),ROW()-1006)),"")</f>
        <v/>
      </c>
      <c r="B1022" s="114" t="str" cm="1">
        <f t="array" ref="B1022">IFERROR(INDEX('03.Muestra'!$C$8:$C$42,SMALL(IF("Documento no web"='03.Muestra'!$D$8:$D$42,ROW('03.Muestra'!$C$8:$C$42)-MIN(ROW('03.Muestra'!$D$8:$D$42))+1,""),ROW()-1006)),"")</f>
        <v/>
      </c>
      <c r="C1022" s="114" t="str" cm="1">
        <f t="array" ref="C1022">IFERROR(INDEX('03.Muestra'!$F$8:$F$42,SMALL(IF("Documento no web"='03.Muestra'!$D$8:$D$42,ROW('03.Muestra'!$F$8:$F$42)-MIN(ROW('03.Muestra'!$D$8:$D$42))+1,""),ROW()-1006)),"")</f>
        <v/>
      </c>
      <c r="D1022" s="130" t="str">
        <f t="shared" si="53"/>
        <v/>
      </c>
      <c r="E1022" s="107" t="str">
        <f t="shared" si="52"/>
        <v/>
      </c>
      <c r="F1022" s="19"/>
      <c r="G1022" s="19"/>
      <c r="H1022" s="19"/>
      <c r="I1022" s="19"/>
      <c r="J1022" s="19"/>
      <c r="K1022" s="233"/>
      <c r="L1022" s="19"/>
      <c r="M1022" s="19"/>
      <c r="N1022" s="19"/>
      <c r="O1022" s="19"/>
      <c r="P1022" s="19"/>
      <c r="Q1022" s="19"/>
      <c r="R1022" s="19"/>
      <c r="S1022" s="19"/>
      <c r="T1022" s="19"/>
      <c r="U1022" s="19"/>
      <c r="V1022" s="19"/>
      <c r="W1022" s="19"/>
      <c r="X1022" s="19"/>
      <c r="Y1022" s="19"/>
    </row>
    <row r="1023" spans="1:25" ht="13.5" customHeight="1">
      <c r="A1023" s="219" t="str" cm="1">
        <f t="array" ref="A1023">IFERROR(INDEX('03.Muestra'!$B$8:$B$42,SMALL(IF("Documento no web"='03.Muestra'!$D$8:$D$42,ROW('03.Muestra'!$B$8:$B$42)-MIN(ROW('03.Muestra'!$D$8:$D$42))+1,""),ROW()-1006)),"")</f>
        <v/>
      </c>
      <c r="B1023" s="114" t="str" cm="1">
        <f t="array" ref="B1023">IFERROR(INDEX('03.Muestra'!$C$8:$C$42,SMALL(IF("Documento no web"='03.Muestra'!$D$8:$D$42,ROW('03.Muestra'!$C$8:$C$42)-MIN(ROW('03.Muestra'!$D$8:$D$42))+1,""),ROW()-1006)),"")</f>
        <v/>
      </c>
      <c r="C1023" s="114" t="str" cm="1">
        <f t="array" ref="C1023">IFERROR(INDEX('03.Muestra'!$F$8:$F$42,SMALL(IF("Documento no web"='03.Muestra'!$D$8:$D$42,ROW('03.Muestra'!$F$8:$F$42)-MIN(ROW('03.Muestra'!$D$8:$D$42))+1,""),ROW()-1006)),"")</f>
        <v/>
      </c>
      <c r="D1023" s="130" t="str">
        <f t="shared" si="53"/>
        <v/>
      </c>
      <c r="E1023" s="107" t="str">
        <f t="shared" si="52"/>
        <v/>
      </c>
      <c r="F1023" s="19"/>
      <c r="G1023" s="19"/>
      <c r="H1023" s="19"/>
      <c r="I1023" s="19"/>
      <c r="J1023" s="19"/>
      <c r="K1023" s="233"/>
      <c r="L1023" s="19"/>
      <c r="M1023" s="19"/>
      <c r="N1023" s="19"/>
      <c r="O1023" s="19"/>
      <c r="P1023" s="19"/>
      <c r="Q1023" s="19"/>
      <c r="R1023" s="19"/>
      <c r="S1023" s="19"/>
      <c r="T1023" s="19"/>
      <c r="U1023" s="19"/>
      <c r="V1023" s="19"/>
      <c r="W1023" s="19"/>
      <c r="X1023" s="19"/>
      <c r="Y1023" s="19"/>
    </row>
    <row r="1024" spans="1:25" ht="13.5" customHeight="1">
      <c r="A1024" s="219" t="str" cm="1">
        <f t="array" ref="A1024">IFERROR(INDEX('03.Muestra'!$B$8:$B$42,SMALL(IF("Documento no web"='03.Muestra'!$D$8:$D$42,ROW('03.Muestra'!$B$8:$B$42)-MIN(ROW('03.Muestra'!$D$8:$D$42))+1,""),ROW()-1006)),"")</f>
        <v/>
      </c>
      <c r="B1024" s="114" t="str" cm="1">
        <f t="array" ref="B1024">IFERROR(INDEX('03.Muestra'!$C$8:$C$42,SMALL(IF("Documento no web"='03.Muestra'!$D$8:$D$42,ROW('03.Muestra'!$C$8:$C$42)-MIN(ROW('03.Muestra'!$D$8:$D$42))+1,""),ROW()-1006)),"")</f>
        <v/>
      </c>
      <c r="C1024" s="114" t="str" cm="1">
        <f t="array" ref="C1024">IFERROR(INDEX('03.Muestra'!$F$8:$F$42,SMALL(IF("Documento no web"='03.Muestra'!$D$8:$D$42,ROW('03.Muestra'!$F$8:$F$42)-MIN(ROW('03.Muestra'!$D$8:$D$42))+1,""),ROW()-1006)),"")</f>
        <v/>
      </c>
      <c r="D1024" s="130" t="str">
        <f t="shared" si="53"/>
        <v/>
      </c>
      <c r="E1024" s="107" t="str">
        <f t="shared" si="52"/>
        <v/>
      </c>
      <c r="F1024" s="19"/>
      <c r="G1024" s="19"/>
      <c r="H1024" s="19"/>
      <c r="I1024" s="19"/>
      <c r="J1024" s="19"/>
      <c r="K1024" s="233"/>
      <c r="L1024" s="19"/>
      <c r="M1024" s="19"/>
      <c r="N1024" s="19"/>
      <c r="O1024" s="19"/>
      <c r="P1024" s="19"/>
      <c r="Q1024" s="19"/>
      <c r="R1024" s="19"/>
      <c r="S1024" s="19"/>
      <c r="T1024" s="19"/>
      <c r="U1024" s="19"/>
      <c r="V1024" s="19"/>
      <c r="W1024" s="19"/>
      <c r="X1024" s="19"/>
      <c r="Y1024" s="19"/>
    </row>
    <row r="1025" spans="1:25" ht="13.5" customHeight="1">
      <c r="A1025" s="219" t="str" cm="1">
        <f t="array" ref="A1025">IFERROR(INDEX('03.Muestra'!$B$8:$B$42,SMALL(IF("Documento no web"='03.Muestra'!$D$8:$D$42,ROW('03.Muestra'!$B$8:$B$42)-MIN(ROW('03.Muestra'!$D$8:$D$42))+1,""),ROW()-1006)),"")</f>
        <v/>
      </c>
      <c r="B1025" s="114" t="str" cm="1">
        <f t="array" ref="B1025">IFERROR(INDEX('03.Muestra'!$C$8:$C$42,SMALL(IF("Documento no web"='03.Muestra'!$D$8:$D$42,ROW('03.Muestra'!$C$8:$C$42)-MIN(ROW('03.Muestra'!$D$8:$D$42))+1,""),ROW()-1006)),"")</f>
        <v/>
      </c>
      <c r="C1025" s="114" t="str" cm="1">
        <f t="array" ref="C1025">IFERROR(INDEX('03.Muestra'!$F$8:$F$42,SMALL(IF("Documento no web"='03.Muestra'!$D$8:$D$42,ROW('03.Muestra'!$F$8:$F$42)-MIN(ROW('03.Muestra'!$D$8:$D$42))+1,""),ROW()-1006)),"")</f>
        <v/>
      </c>
      <c r="D1025" s="130" t="str">
        <f t="shared" si="53"/>
        <v/>
      </c>
      <c r="E1025" s="107" t="str">
        <f t="shared" si="52"/>
        <v/>
      </c>
      <c r="F1025" s="19"/>
      <c r="G1025" s="19"/>
      <c r="H1025" s="19"/>
      <c r="I1025" s="19"/>
      <c r="J1025" s="19"/>
      <c r="K1025" s="233"/>
      <c r="L1025" s="19"/>
      <c r="M1025" s="19"/>
      <c r="N1025" s="19"/>
      <c r="O1025" s="19"/>
      <c r="P1025" s="19"/>
      <c r="Q1025" s="19"/>
      <c r="R1025" s="19"/>
      <c r="S1025" s="19"/>
      <c r="T1025" s="19"/>
      <c r="U1025" s="19"/>
      <c r="V1025" s="19"/>
      <c r="W1025" s="19"/>
      <c r="X1025" s="19"/>
      <c r="Y1025" s="19"/>
    </row>
    <row r="1026" spans="1:25" ht="13.5" customHeight="1">
      <c r="A1026" s="219" t="str" cm="1">
        <f t="array" ref="A1026">IFERROR(INDEX('03.Muestra'!$B$8:$B$42,SMALL(IF("Documento no web"='03.Muestra'!$D$8:$D$42,ROW('03.Muestra'!$B$8:$B$42)-MIN(ROW('03.Muestra'!$D$8:$D$42))+1,""),ROW()-1006)),"")</f>
        <v/>
      </c>
      <c r="B1026" s="114" t="str" cm="1">
        <f t="array" ref="B1026">IFERROR(INDEX('03.Muestra'!$C$8:$C$42,SMALL(IF("Documento no web"='03.Muestra'!$D$8:$D$42,ROW('03.Muestra'!$C$8:$C$42)-MIN(ROW('03.Muestra'!$D$8:$D$42))+1,""),ROW()-1006)),"")</f>
        <v/>
      </c>
      <c r="C1026" s="114" t="str" cm="1">
        <f t="array" ref="C1026">IFERROR(INDEX('03.Muestra'!$F$8:$F$42,SMALL(IF("Documento no web"='03.Muestra'!$D$8:$D$42,ROW('03.Muestra'!$F$8:$F$42)-MIN(ROW('03.Muestra'!$D$8:$D$42))+1,""),ROW()-1006)),"")</f>
        <v/>
      </c>
      <c r="D1026" s="130" t="str">
        <f t="shared" si="53"/>
        <v/>
      </c>
      <c r="E1026" s="107" t="str">
        <f t="shared" si="52"/>
        <v/>
      </c>
      <c r="F1026" s="19"/>
      <c r="G1026" s="19"/>
      <c r="H1026" s="19"/>
      <c r="I1026" s="19"/>
      <c r="J1026" s="19"/>
      <c r="K1026" s="233"/>
      <c r="L1026" s="19"/>
      <c r="M1026" s="19"/>
      <c r="N1026" s="19"/>
      <c r="O1026" s="19"/>
      <c r="P1026" s="19"/>
      <c r="Q1026" s="19"/>
      <c r="R1026" s="19"/>
      <c r="S1026" s="19"/>
      <c r="T1026" s="19"/>
      <c r="U1026" s="19"/>
      <c r="V1026" s="19"/>
      <c r="W1026" s="19"/>
      <c r="X1026" s="19"/>
      <c r="Y1026" s="19"/>
    </row>
    <row r="1027" spans="1:25" ht="13.5" customHeight="1">
      <c r="A1027" s="219" t="str" cm="1">
        <f t="array" ref="A1027">IFERROR(INDEX('03.Muestra'!$B$8:$B$42,SMALL(IF("Documento no web"='03.Muestra'!$D$8:$D$42,ROW('03.Muestra'!$B$8:$B$42)-MIN(ROW('03.Muestra'!$D$8:$D$42))+1,""),ROW()-1006)),"")</f>
        <v/>
      </c>
      <c r="B1027" s="114" t="str" cm="1">
        <f t="array" ref="B1027">IFERROR(INDEX('03.Muestra'!$C$8:$C$42,SMALL(IF("Documento no web"='03.Muestra'!$D$8:$D$42,ROW('03.Muestra'!$C$8:$C$42)-MIN(ROW('03.Muestra'!$D$8:$D$42))+1,""),ROW()-1006)),"")</f>
        <v/>
      </c>
      <c r="C1027" s="114" t="str" cm="1">
        <f t="array" ref="C1027">IFERROR(INDEX('03.Muestra'!$F$8:$F$42,SMALL(IF("Documento no web"='03.Muestra'!$D$8:$D$42,ROW('03.Muestra'!$F$8:$F$42)-MIN(ROW('03.Muestra'!$D$8:$D$42))+1,""),ROW()-1006)),"")</f>
        <v/>
      </c>
      <c r="D1027" s="130" t="str">
        <f t="shared" si="53"/>
        <v/>
      </c>
      <c r="E1027" s="107" t="str">
        <f t="shared" si="52"/>
        <v/>
      </c>
      <c r="F1027" s="19"/>
      <c r="G1027" s="19"/>
      <c r="H1027" s="19"/>
      <c r="I1027" s="19"/>
      <c r="J1027" s="19"/>
      <c r="K1027" s="233"/>
      <c r="L1027" s="19"/>
      <c r="M1027" s="19"/>
      <c r="N1027" s="19"/>
      <c r="O1027" s="19"/>
      <c r="P1027" s="19"/>
      <c r="Q1027" s="19"/>
      <c r="R1027" s="19"/>
      <c r="S1027" s="19"/>
      <c r="T1027" s="19"/>
      <c r="U1027" s="19"/>
      <c r="V1027" s="19"/>
      <c r="W1027" s="19"/>
      <c r="X1027" s="19"/>
      <c r="Y1027" s="19"/>
    </row>
    <row r="1028" spans="1:25" ht="13.5" customHeight="1">
      <c r="A1028" s="219" t="str" cm="1">
        <f t="array" ref="A1028">IFERROR(INDEX('03.Muestra'!$B$8:$B$42,SMALL(IF("Documento no web"='03.Muestra'!$D$8:$D$42,ROW('03.Muestra'!$B$8:$B$42)-MIN(ROW('03.Muestra'!$D$8:$D$42))+1,""),ROW()-1006)),"")</f>
        <v/>
      </c>
      <c r="B1028" s="114" t="str" cm="1">
        <f t="array" ref="B1028">IFERROR(INDEX('03.Muestra'!$C$8:$C$42,SMALL(IF("Documento no web"='03.Muestra'!$D$8:$D$42,ROW('03.Muestra'!$C$8:$C$42)-MIN(ROW('03.Muestra'!$D$8:$D$42))+1,""),ROW()-1006)),"")</f>
        <v/>
      </c>
      <c r="C1028" s="114" t="str" cm="1">
        <f t="array" ref="C1028">IFERROR(INDEX('03.Muestra'!$F$8:$F$42,SMALL(IF("Documento no web"='03.Muestra'!$D$8:$D$42,ROW('03.Muestra'!$F$8:$F$42)-MIN(ROW('03.Muestra'!$D$8:$D$42))+1,""),ROW()-1006)),"")</f>
        <v/>
      </c>
      <c r="D1028" s="130" t="str">
        <f t="shared" si="53"/>
        <v/>
      </c>
      <c r="E1028" s="107" t="str">
        <f t="shared" si="52"/>
        <v/>
      </c>
      <c r="F1028" s="19"/>
      <c r="G1028" s="19"/>
      <c r="H1028" s="19"/>
      <c r="I1028" s="19"/>
      <c r="J1028" s="19"/>
      <c r="K1028" s="233"/>
      <c r="L1028" s="19"/>
      <c r="M1028" s="19"/>
      <c r="N1028" s="19"/>
      <c r="O1028" s="19"/>
      <c r="P1028" s="19"/>
      <c r="Q1028" s="19"/>
      <c r="R1028" s="19"/>
      <c r="S1028" s="19"/>
      <c r="T1028" s="19"/>
      <c r="U1028" s="19"/>
      <c r="V1028" s="19"/>
      <c r="W1028" s="19"/>
      <c r="X1028" s="19"/>
      <c r="Y1028" s="19"/>
    </row>
    <row r="1029" spans="1:25" ht="13.5" customHeight="1">
      <c r="A1029" s="219" t="str" cm="1">
        <f t="array" ref="A1029">IFERROR(INDEX('03.Muestra'!$B$8:$B$42,SMALL(IF("Documento no web"='03.Muestra'!$D$8:$D$42,ROW('03.Muestra'!$B$8:$B$42)-MIN(ROW('03.Muestra'!$D$8:$D$42))+1,""),ROW()-1006)),"")</f>
        <v/>
      </c>
      <c r="B1029" s="114" t="str" cm="1">
        <f t="array" ref="B1029">IFERROR(INDEX('03.Muestra'!$C$8:$C$42,SMALL(IF("Documento no web"='03.Muestra'!$D$8:$D$42,ROW('03.Muestra'!$C$8:$C$42)-MIN(ROW('03.Muestra'!$D$8:$D$42))+1,""),ROW()-1006)),"")</f>
        <v/>
      </c>
      <c r="C1029" s="114" t="str" cm="1">
        <f t="array" ref="C1029">IFERROR(INDEX('03.Muestra'!$F$8:$F$42,SMALL(IF("Documento no web"='03.Muestra'!$D$8:$D$42,ROW('03.Muestra'!$F$8:$F$42)-MIN(ROW('03.Muestra'!$D$8:$D$42))+1,""),ROW()-1006)),"")</f>
        <v/>
      </c>
      <c r="D1029" s="130" t="str">
        <f t="shared" si="53"/>
        <v/>
      </c>
      <c r="E1029" s="107" t="str">
        <f t="shared" si="52"/>
        <v/>
      </c>
      <c r="F1029" s="19"/>
      <c r="G1029" s="19"/>
      <c r="H1029" s="19"/>
      <c r="I1029" s="19"/>
      <c r="J1029" s="19"/>
      <c r="K1029" s="233"/>
      <c r="L1029" s="19"/>
      <c r="M1029" s="19"/>
      <c r="N1029" s="19"/>
      <c r="O1029" s="19"/>
      <c r="P1029" s="19"/>
      <c r="Q1029" s="19"/>
      <c r="R1029" s="19"/>
      <c r="S1029" s="19"/>
      <c r="T1029" s="19"/>
      <c r="U1029" s="19"/>
      <c r="V1029" s="19"/>
      <c r="W1029" s="19"/>
      <c r="X1029" s="19"/>
      <c r="Y1029" s="19"/>
    </row>
    <row r="1030" spans="1:25" ht="13.5" customHeight="1">
      <c r="A1030" s="219" t="str" cm="1">
        <f t="array" ref="A1030">IFERROR(INDEX('03.Muestra'!$B$8:$B$42,SMALL(IF("Documento no web"='03.Muestra'!$D$8:$D$42,ROW('03.Muestra'!$B$8:$B$42)-MIN(ROW('03.Muestra'!$D$8:$D$42))+1,""),ROW()-1006)),"")</f>
        <v/>
      </c>
      <c r="B1030" s="114" t="str" cm="1">
        <f t="array" ref="B1030">IFERROR(INDEX('03.Muestra'!$C$8:$C$42,SMALL(IF("Documento no web"='03.Muestra'!$D$8:$D$42,ROW('03.Muestra'!$C$8:$C$42)-MIN(ROW('03.Muestra'!$D$8:$D$42))+1,""),ROW()-1006)),"")</f>
        <v/>
      </c>
      <c r="C1030" s="114" t="str" cm="1">
        <f t="array" ref="C1030">IFERROR(INDEX('03.Muestra'!$F$8:$F$42,SMALL(IF("Documento no web"='03.Muestra'!$D$8:$D$42,ROW('03.Muestra'!$F$8:$F$42)-MIN(ROW('03.Muestra'!$D$8:$D$42))+1,""),ROW()-1006)),"")</f>
        <v/>
      </c>
      <c r="D1030" s="130" t="str">
        <f t="shared" si="53"/>
        <v/>
      </c>
      <c r="E1030" s="107" t="str">
        <f t="shared" si="52"/>
        <v/>
      </c>
      <c r="F1030" s="19"/>
      <c r="G1030" s="19"/>
      <c r="H1030" s="19"/>
      <c r="I1030" s="19"/>
      <c r="J1030" s="19"/>
      <c r="K1030" s="233"/>
      <c r="L1030" s="19"/>
      <c r="M1030" s="19"/>
      <c r="N1030" s="19"/>
      <c r="O1030" s="19"/>
      <c r="P1030" s="19"/>
      <c r="Q1030" s="19"/>
      <c r="R1030" s="19"/>
      <c r="S1030" s="19"/>
      <c r="T1030" s="19"/>
      <c r="U1030" s="19"/>
      <c r="V1030" s="19"/>
      <c r="W1030" s="19"/>
      <c r="X1030" s="19"/>
      <c r="Y1030" s="19"/>
    </row>
    <row r="1031" spans="1:25" ht="13.5" customHeight="1">
      <c r="A1031" s="219" t="str" cm="1">
        <f t="array" ref="A1031">IFERROR(INDEX('03.Muestra'!$B$8:$B$42,SMALL(IF("Documento no web"='03.Muestra'!$D$8:$D$42,ROW('03.Muestra'!$B$8:$B$42)-MIN(ROW('03.Muestra'!$D$8:$D$42))+1,""),ROW()-1006)),"")</f>
        <v/>
      </c>
      <c r="B1031" s="114" t="str" cm="1">
        <f t="array" ref="B1031">IFERROR(INDEX('03.Muestra'!$C$8:$C$42,SMALL(IF("Documento no web"='03.Muestra'!$D$8:$D$42,ROW('03.Muestra'!$C$8:$C$42)-MIN(ROW('03.Muestra'!$D$8:$D$42))+1,""),ROW()-1006)),"")</f>
        <v/>
      </c>
      <c r="C1031" s="114" t="str" cm="1">
        <f t="array" ref="C1031">IFERROR(INDEX('03.Muestra'!$F$8:$F$42,SMALL(IF("Documento no web"='03.Muestra'!$D$8:$D$42,ROW('03.Muestra'!$F$8:$F$42)-MIN(ROW('03.Muestra'!$D$8:$D$42))+1,""),ROW()-1006)),"")</f>
        <v/>
      </c>
      <c r="D1031" s="130" t="str">
        <f t="shared" si="53"/>
        <v/>
      </c>
      <c r="E1031" s="107" t="str">
        <f t="shared" si="52"/>
        <v/>
      </c>
      <c r="F1031" s="19"/>
      <c r="G1031" s="19"/>
      <c r="H1031" s="19"/>
      <c r="I1031" s="19"/>
      <c r="J1031" s="19"/>
      <c r="K1031" s="233"/>
      <c r="L1031" s="19"/>
      <c r="M1031" s="19"/>
      <c r="N1031" s="19"/>
      <c r="O1031" s="19"/>
      <c r="P1031" s="19"/>
      <c r="Q1031" s="19"/>
      <c r="R1031" s="19"/>
      <c r="S1031" s="19"/>
      <c r="T1031" s="19"/>
      <c r="U1031" s="19"/>
      <c r="V1031" s="19"/>
      <c r="W1031" s="19"/>
      <c r="X1031" s="19"/>
      <c r="Y1031" s="19"/>
    </row>
    <row r="1032" spans="1:25" ht="13.5" customHeight="1">
      <c r="A1032" s="219" t="str" cm="1">
        <f t="array" ref="A1032">IFERROR(INDEX('03.Muestra'!$B$8:$B$42,SMALL(IF("Documento no web"='03.Muestra'!$D$8:$D$42,ROW('03.Muestra'!$B$8:$B$42)-MIN(ROW('03.Muestra'!$D$8:$D$42))+1,""),ROW()-1006)),"")</f>
        <v/>
      </c>
      <c r="B1032" s="114" t="str" cm="1">
        <f t="array" ref="B1032">IFERROR(INDEX('03.Muestra'!$C$8:$C$42,SMALL(IF("Documento no web"='03.Muestra'!$D$8:$D$42,ROW('03.Muestra'!$C$8:$C$42)-MIN(ROW('03.Muestra'!$D$8:$D$42))+1,""),ROW()-1006)),"")</f>
        <v/>
      </c>
      <c r="C1032" s="114" t="str" cm="1">
        <f t="array" ref="C1032">IFERROR(INDEX('03.Muestra'!$F$8:$F$42,SMALL(IF("Documento no web"='03.Muestra'!$D$8:$D$42,ROW('03.Muestra'!$F$8:$F$42)-MIN(ROW('03.Muestra'!$D$8:$D$42))+1,""),ROW()-1006)),"")</f>
        <v/>
      </c>
      <c r="D1032" s="130" t="str">
        <f t="shared" si="53"/>
        <v/>
      </c>
      <c r="E1032" s="107" t="str">
        <f t="shared" si="52"/>
        <v/>
      </c>
      <c r="F1032" s="19"/>
      <c r="G1032" s="19"/>
      <c r="H1032" s="19"/>
      <c r="I1032" s="19"/>
      <c r="J1032" s="19"/>
      <c r="K1032" s="233"/>
      <c r="L1032" s="19"/>
      <c r="M1032" s="19"/>
      <c r="N1032" s="19"/>
      <c r="O1032" s="19"/>
      <c r="P1032" s="19"/>
      <c r="Q1032" s="19"/>
      <c r="R1032" s="19"/>
      <c r="S1032" s="19"/>
      <c r="T1032" s="19"/>
      <c r="U1032" s="19"/>
      <c r="V1032" s="19"/>
      <c r="W1032" s="19"/>
      <c r="X1032" s="19"/>
      <c r="Y1032" s="19"/>
    </row>
    <row r="1033" spans="1:25" ht="13.5" customHeight="1">
      <c r="A1033" s="219" t="str" cm="1">
        <f t="array" ref="A1033">IFERROR(INDEX('03.Muestra'!$B$8:$B$42,SMALL(IF("Documento no web"='03.Muestra'!$D$8:$D$42,ROW('03.Muestra'!$B$8:$B$42)-MIN(ROW('03.Muestra'!$D$8:$D$42))+1,""),ROW()-1006)),"")</f>
        <v/>
      </c>
      <c r="B1033" s="114" t="str" cm="1">
        <f t="array" ref="B1033">IFERROR(INDEX('03.Muestra'!$C$8:$C$42,SMALL(IF("Documento no web"='03.Muestra'!$D$8:$D$42,ROW('03.Muestra'!$C$8:$C$42)-MIN(ROW('03.Muestra'!$D$8:$D$42))+1,""),ROW()-1006)),"")</f>
        <v/>
      </c>
      <c r="C1033" s="114" t="str" cm="1">
        <f t="array" ref="C1033">IFERROR(INDEX('03.Muestra'!$F$8:$F$42,SMALL(IF("Documento no web"='03.Muestra'!$D$8:$D$42,ROW('03.Muestra'!$F$8:$F$42)-MIN(ROW('03.Muestra'!$D$8:$D$42))+1,""),ROW()-1006)),"")</f>
        <v/>
      </c>
      <c r="D1033" s="130" t="str">
        <f t="shared" si="53"/>
        <v/>
      </c>
      <c r="E1033" s="107" t="str">
        <f t="shared" si="52"/>
        <v/>
      </c>
      <c r="F1033" s="19"/>
      <c r="G1033" s="19"/>
      <c r="H1033" s="19"/>
      <c r="I1033" s="19"/>
      <c r="J1033" s="19"/>
      <c r="K1033" s="233"/>
      <c r="L1033" s="19"/>
      <c r="M1033" s="19"/>
      <c r="N1033" s="19"/>
      <c r="O1033" s="19"/>
      <c r="P1033" s="19"/>
      <c r="Q1033" s="19"/>
      <c r="R1033" s="19"/>
      <c r="S1033" s="19"/>
      <c r="T1033" s="19"/>
      <c r="U1033" s="19"/>
      <c r="V1033" s="19"/>
      <c r="W1033" s="19"/>
      <c r="X1033" s="19"/>
      <c r="Y1033" s="19"/>
    </row>
    <row r="1034" spans="1:25" ht="13.5" customHeight="1">
      <c r="A1034" s="219" t="str" cm="1">
        <f t="array" ref="A1034">IFERROR(INDEX('03.Muestra'!$B$8:$B$42,SMALL(IF("Documento no web"='03.Muestra'!$D$8:$D$42,ROW('03.Muestra'!$B$8:$B$42)-MIN(ROW('03.Muestra'!$D$8:$D$42))+1,""),ROW()-1006)),"")</f>
        <v/>
      </c>
      <c r="B1034" s="114" t="str" cm="1">
        <f t="array" ref="B1034">IFERROR(INDEX('03.Muestra'!$C$8:$C$42,SMALL(IF("Documento no web"='03.Muestra'!$D$8:$D$42,ROW('03.Muestra'!$C$8:$C$42)-MIN(ROW('03.Muestra'!$D$8:$D$42))+1,""),ROW()-1006)),"")</f>
        <v/>
      </c>
      <c r="C1034" s="114" t="str" cm="1">
        <f t="array" ref="C1034">IFERROR(INDEX('03.Muestra'!$F$8:$F$42,SMALL(IF("Documento no web"='03.Muestra'!$D$8:$D$42,ROW('03.Muestra'!$F$8:$F$42)-MIN(ROW('03.Muestra'!$D$8:$D$42))+1,""),ROW()-1006)),"")</f>
        <v/>
      </c>
      <c r="D1034" s="130" t="str">
        <f t="shared" si="53"/>
        <v/>
      </c>
      <c r="E1034" s="107" t="str">
        <f t="shared" si="52"/>
        <v/>
      </c>
      <c r="G1034" s="19"/>
      <c r="H1034" s="19"/>
      <c r="I1034" s="19"/>
      <c r="J1034" s="19"/>
      <c r="K1034" s="233"/>
      <c r="L1034" s="19"/>
      <c r="M1034" s="19"/>
      <c r="N1034" s="19"/>
      <c r="O1034" s="19"/>
      <c r="P1034" s="19"/>
      <c r="Q1034" s="19"/>
      <c r="R1034" s="19"/>
      <c r="S1034" s="19"/>
      <c r="T1034" s="19"/>
      <c r="U1034" s="19"/>
      <c r="V1034" s="19"/>
      <c r="W1034" s="19"/>
      <c r="X1034" s="19"/>
      <c r="Y1034" s="19"/>
    </row>
    <row r="1035" spans="1:25" ht="13.5" customHeight="1">
      <c r="A1035" s="219" t="str" cm="1">
        <f t="array" ref="A1035">IFERROR(INDEX('03.Muestra'!$B$8:$B$42,SMALL(IF("Documento no web"='03.Muestra'!$D$8:$D$42,ROW('03.Muestra'!$B$8:$B$42)-MIN(ROW('03.Muestra'!$D$8:$D$42))+1,""),ROW()-1006)),"")</f>
        <v/>
      </c>
      <c r="B1035" s="114" t="str" cm="1">
        <f t="array" ref="B1035">IFERROR(INDEX('03.Muestra'!$C$8:$C$42,SMALL(IF("Documento no web"='03.Muestra'!$D$8:$D$42,ROW('03.Muestra'!$C$8:$C$42)-MIN(ROW('03.Muestra'!$D$8:$D$42))+1,""),ROW()-1006)),"")</f>
        <v/>
      </c>
      <c r="C1035" s="114" t="str" cm="1">
        <f t="array" ref="C1035">IFERROR(INDEX('03.Muestra'!$F$8:$F$42,SMALL(IF("Documento no web"='03.Muestra'!$D$8:$D$42,ROW('03.Muestra'!$F$8:$F$42)-MIN(ROW('03.Muestra'!$D$8:$D$42))+1,""),ROW()-1006)),"")</f>
        <v/>
      </c>
      <c r="D1035" s="130" t="str">
        <f t="shared" si="53"/>
        <v/>
      </c>
      <c r="E1035" s="107" t="str">
        <f t="shared" si="52"/>
        <v/>
      </c>
      <c r="F1035" s="124"/>
      <c r="G1035" s="19"/>
      <c r="H1035" s="19"/>
      <c r="I1035" s="19"/>
      <c r="J1035" s="19"/>
      <c r="K1035" s="233"/>
      <c r="L1035" s="19"/>
      <c r="M1035" s="19"/>
      <c r="N1035" s="19"/>
      <c r="O1035" s="19"/>
      <c r="P1035" s="19"/>
      <c r="Q1035" s="19"/>
      <c r="R1035" s="19"/>
      <c r="S1035" s="19"/>
      <c r="T1035" s="19"/>
      <c r="U1035" s="19"/>
      <c r="V1035" s="19"/>
      <c r="W1035" s="19"/>
      <c r="X1035" s="19"/>
      <c r="Y1035" s="19"/>
    </row>
    <row r="1036" spans="1:25" ht="13.5" customHeight="1">
      <c r="A1036" s="219" t="str" cm="1">
        <f t="array" ref="A1036">IFERROR(INDEX('03.Muestra'!$B$8:$B$42,SMALL(IF("Documento no web"='03.Muestra'!$D$8:$D$42,ROW('03.Muestra'!$B$8:$B$42)-MIN(ROW('03.Muestra'!$D$8:$D$42))+1,""),ROW()-1006)),"")</f>
        <v/>
      </c>
      <c r="B1036" s="114" t="str" cm="1">
        <f t="array" ref="B1036">IFERROR(INDEX('03.Muestra'!$C$8:$C$42,SMALL(IF("Documento no web"='03.Muestra'!$D$8:$D$42,ROW('03.Muestra'!$C$8:$C$42)-MIN(ROW('03.Muestra'!$D$8:$D$42))+1,""),ROW()-1006)),"")</f>
        <v/>
      </c>
      <c r="C1036" s="114" t="str" cm="1">
        <f t="array" ref="C1036">IFERROR(INDEX('03.Muestra'!$F$8:$F$42,SMALL(IF("Documento no web"='03.Muestra'!$D$8:$D$42,ROW('03.Muestra'!$F$8:$F$42)-MIN(ROW('03.Muestra'!$D$8:$D$42))+1,""),ROW()-1006)),"")</f>
        <v/>
      </c>
      <c r="D1036" s="130" t="str">
        <f t="shared" si="53"/>
        <v/>
      </c>
      <c r="E1036" s="107" t="str">
        <f t="shared" si="52"/>
        <v/>
      </c>
      <c r="F1036" s="124"/>
      <c r="G1036" s="19"/>
      <c r="H1036" s="19"/>
      <c r="I1036" s="19"/>
      <c r="J1036" s="19"/>
      <c r="K1036" s="233"/>
      <c r="L1036" s="19"/>
      <c r="M1036" s="19"/>
      <c r="N1036" s="19"/>
      <c r="O1036" s="19"/>
      <c r="P1036" s="19"/>
      <c r="Q1036" s="19"/>
      <c r="R1036" s="19"/>
      <c r="S1036" s="19"/>
      <c r="T1036" s="19"/>
      <c r="U1036" s="19"/>
      <c r="V1036" s="19"/>
      <c r="W1036" s="19"/>
      <c r="X1036" s="19"/>
      <c r="Y1036" s="19"/>
    </row>
    <row r="1037" spans="1:25" ht="13.5" customHeight="1">
      <c r="A1037" s="219" t="str" cm="1">
        <f t="array" ref="A1037">IFERROR(INDEX('03.Muestra'!$B$8:$B$42,SMALL(IF("Documento no web"='03.Muestra'!$D$8:$D$42,ROW('03.Muestra'!$B$8:$B$42)-MIN(ROW('03.Muestra'!$D$8:$D$42))+1,""),ROW()-1006)),"")</f>
        <v/>
      </c>
      <c r="B1037" s="114" t="str" cm="1">
        <f t="array" ref="B1037">IFERROR(INDEX('03.Muestra'!$C$8:$C$42,SMALL(IF("Documento no web"='03.Muestra'!$D$8:$D$42,ROW('03.Muestra'!$C$8:$C$42)-MIN(ROW('03.Muestra'!$D$8:$D$42))+1,""),ROW()-1006)),"")</f>
        <v/>
      </c>
      <c r="C1037" s="114" t="str" cm="1">
        <f t="array" ref="C1037">IFERROR(INDEX('03.Muestra'!$F$8:$F$42,SMALL(IF("Documento no web"='03.Muestra'!$D$8:$D$42,ROW('03.Muestra'!$F$8:$F$42)-MIN(ROW('03.Muestra'!$D$8:$D$42))+1,""),ROW()-1006)),"")</f>
        <v/>
      </c>
      <c r="D1037" s="130" t="str">
        <f t="shared" si="53"/>
        <v/>
      </c>
      <c r="E1037" s="107" t="str">
        <f t="shared" si="52"/>
        <v/>
      </c>
      <c r="F1037" s="124"/>
      <c r="G1037" s="19"/>
      <c r="H1037" s="19"/>
      <c r="I1037" s="19"/>
      <c r="J1037" s="19"/>
      <c r="K1037" s="233"/>
      <c r="L1037" s="19"/>
      <c r="M1037" s="19"/>
      <c r="N1037" s="19"/>
      <c r="O1037" s="19"/>
      <c r="P1037" s="19"/>
      <c r="Q1037" s="19"/>
      <c r="R1037" s="19"/>
      <c r="S1037" s="19"/>
      <c r="T1037" s="19"/>
      <c r="U1037" s="19"/>
      <c r="V1037" s="19"/>
      <c r="W1037" s="19"/>
      <c r="X1037" s="19"/>
      <c r="Y1037" s="19"/>
    </row>
    <row r="1038" spans="1:25" ht="13.5" customHeight="1">
      <c r="A1038" s="219" t="str" cm="1">
        <f t="array" ref="A1038">IFERROR(INDEX('03.Muestra'!$B$8:$B$42,SMALL(IF("Documento no web"='03.Muestra'!$D$8:$D$42,ROW('03.Muestra'!$B$8:$B$42)-MIN(ROW('03.Muestra'!$D$8:$D$42))+1,""),ROW()-1006)),"")</f>
        <v/>
      </c>
      <c r="B1038" s="114" t="str" cm="1">
        <f t="array" ref="B1038">IFERROR(INDEX('03.Muestra'!$C$8:$C$42,SMALL(IF("Documento no web"='03.Muestra'!$D$8:$D$42,ROW('03.Muestra'!$C$8:$C$42)-MIN(ROW('03.Muestra'!$D$8:$D$42))+1,""),ROW()-1006)),"")</f>
        <v/>
      </c>
      <c r="C1038" s="114" t="str" cm="1">
        <f t="array" ref="C1038">IFERROR(INDEX('03.Muestra'!$F$8:$F$42,SMALL(IF("Documento no web"='03.Muestra'!$D$8:$D$42,ROW('03.Muestra'!$F$8:$F$42)-MIN(ROW('03.Muestra'!$D$8:$D$42))+1,""),ROW()-1006)),"")</f>
        <v/>
      </c>
      <c r="D1038" s="130" t="str">
        <f t="shared" si="53"/>
        <v/>
      </c>
      <c r="E1038" s="107" t="str">
        <f t="shared" si="52"/>
        <v/>
      </c>
      <c r="F1038" s="124"/>
      <c r="G1038" s="19"/>
      <c r="H1038" s="19"/>
      <c r="I1038" s="19"/>
      <c r="J1038" s="19"/>
      <c r="K1038" s="233"/>
      <c r="L1038" s="19"/>
      <c r="M1038" s="19"/>
      <c r="N1038" s="19"/>
      <c r="O1038" s="19"/>
      <c r="P1038" s="19"/>
      <c r="Q1038" s="19"/>
      <c r="R1038" s="19"/>
      <c r="S1038" s="19"/>
      <c r="T1038" s="19"/>
      <c r="U1038" s="19"/>
      <c r="V1038" s="19"/>
      <c r="W1038" s="19"/>
      <c r="X1038" s="19"/>
      <c r="Y1038" s="19"/>
    </row>
    <row r="1039" spans="1:25" ht="13.5" customHeight="1">
      <c r="A1039" s="219" t="str" cm="1">
        <f t="array" ref="A1039">IFERROR(INDEX('03.Muestra'!$B$8:$B$42,SMALL(IF("Documento no web"='03.Muestra'!$D$8:$D$42,ROW('03.Muestra'!$B$8:$B$42)-MIN(ROW('03.Muestra'!$D$8:$D$42))+1,""),ROW()-1006)),"")</f>
        <v/>
      </c>
      <c r="B1039" s="114" t="str" cm="1">
        <f t="array" ref="B1039">IFERROR(INDEX('03.Muestra'!$C$8:$C$42,SMALL(IF("Documento no web"='03.Muestra'!$D$8:$D$42,ROW('03.Muestra'!$C$8:$C$42)-MIN(ROW('03.Muestra'!$D$8:$D$42))+1,""),ROW()-1006)),"")</f>
        <v/>
      </c>
      <c r="C1039" s="114" t="str" cm="1">
        <f t="array" ref="C1039">IFERROR(INDEX('03.Muestra'!$F$8:$F$42,SMALL(IF("Documento no web"='03.Muestra'!$D$8:$D$42,ROW('03.Muestra'!$F$8:$F$42)-MIN(ROW('03.Muestra'!$D$8:$D$42))+1,""),ROW()-1006)),"")</f>
        <v/>
      </c>
      <c r="D1039" s="130" t="str">
        <f t="shared" si="53"/>
        <v/>
      </c>
      <c r="E1039" s="107" t="str">
        <f t="shared" si="52"/>
        <v/>
      </c>
      <c r="F1039" s="124"/>
      <c r="G1039" s="19"/>
      <c r="H1039" s="19"/>
      <c r="I1039" s="19"/>
      <c r="J1039" s="19"/>
      <c r="K1039" s="233"/>
      <c r="L1039" s="19"/>
      <c r="M1039" s="19"/>
      <c r="N1039" s="19"/>
      <c r="O1039" s="19"/>
      <c r="P1039" s="19"/>
      <c r="Q1039" s="19"/>
      <c r="R1039" s="19"/>
      <c r="S1039" s="19"/>
      <c r="T1039" s="19"/>
      <c r="U1039" s="19"/>
      <c r="V1039" s="19"/>
      <c r="W1039" s="19"/>
      <c r="X1039" s="19"/>
      <c r="Y1039" s="19"/>
    </row>
    <row r="1040" spans="1:25" ht="13.5" customHeight="1">
      <c r="A1040" s="219" t="str" cm="1">
        <f t="array" ref="A1040">IFERROR(INDEX('03.Muestra'!$B$8:$B$42,SMALL(IF("Documento no web"='03.Muestra'!$D$8:$D$42,ROW('03.Muestra'!$B$8:$B$42)-MIN(ROW('03.Muestra'!$D$8:$D$42))+1,""),ROW()-1006)),"")</f>
        <v/>
      </c>
      <c r="B1040" s="114" t="str" cm="1">
        <f t="array" ref="B1040">IFERROR(INDEX('03.Muestra'!$C$8:$C$42,SMALL(IF("Documento no web"='03.Muestra'!$D$8:$D$42,ROW('03.Muestra'!$C$8:$C$42)-MIN(ROW('03.Muestra'!$D$8:$D$42))+1,""),ROW()-1006)),"")</f>
        <v/>
      </c>
      <c r="C1040" s="114" t="str" cm="1">
        <f t="array" ref="C1040">IFERROR(INDEX('03.Muestra'!$F$8:$F$42,SMALL(IF("Documento no web"='03.Muestra'!$D$8:$D$42,ROW('03.Muestra'!$F$8:$F$42)-MIN(ROW('03.Muestra'!$D$8:$D$42))+1,""),ROW()-1006)),"")</f>
        <v/>
      </c>
      <c r="D1040" s="130" t="str">
        <f t="shared" si="53"/>
        <v/>
      </c>
      <c r="E1040" s="107" t="str">
        <f t="shared" si="52"/>
        <v/>
      </c>
      <c r="F1040" s="124"/>
      <c r="G1040" s="19"/>
      <c r="H1040" s="19"/>
      <c r="I1040" s="19"/>
      <c r="J1040" s="19"/>
      <c r="K1040" s="233"/>
      <c r="L1040" s="19"/>
      <c r="M1040" s="19"/>
      <c r="N1040" s="19"/>
      <c r="O1040" s="19"/>
      <c r="P1040" s="19"/>
      <c r="Q1040" s="19"/>
      <c r="R1040" s="19"/>
      <c r="S1040" s="19"/>
      <c r="T1040" s="19"/>
      <c r="U1040" s="19"/>
      <c r="V1040" s="19"/>
      <c r="W1040" s="19"/>
      <c r="X1040" s="19"/>
      <c r="Y1040" s="19"/>
    </row>
    <row r="1041" spans="1:25" ht="13.5" customHeight="1">
      <c r="A1041" s="219" t="str" cm="1">
        <f t="array" ref="A1041">IFERROR(INDEX('03.Muestra'!$B$8:$B$42,SMALL(IF("Documento no web"='03.Muestra'!$D$8:$D$42,ROW('03.Muestra'!$B$8:$B$42)-MIN(ROW('03.Muestra'!$D$8:$D$42))+1,""),ROW()-1006)),"")</f>
        <v/>
      </c>
      <c r="B1041" s="114" t="str" cm="1">
        <f t="array" ref="B1041">IFERROR(INDEX('03.Muestra'!$C$8:$C$42,SMALL(IF("Documento no web"='03.Muestra'!$D$8:$D$42,ROW('03.Muestra'!$C$8:$C$42)-MIN(ROW('03.Muestra'!$D$8:$D$42))+1,""),ROW()-1006)),"")</f>
        <v/>
      </c>
      <c r="C1041" s="114" t="str" cm="1">
        <f t="array" ref="C1041">IFERROR(INDEX('03.Muestra'!$F$8:$F$42,SMALL(IF("Documento no web"='03.Muestra'!$D$8:$D$42,ROW('03.Muestra'!$F$8:$F$42)-MIN(ROW('03.Muestra'!$D$8:$D$42))+1,""),ROW()-1006)),"")</f>
        <v/>
      </c>
      <c r="D1041" s="130" t="str">
        <f t="shared" si="53"/>
        <v/>
      </c>
      <c r="E1041" s="107" t="str">
        <f t="shared" si="52"/>
        <v/>
      </c>
      <c r="F1041" s="19"/>
      <c r="G1041" s="19"/>
      <c r="H1041" s="19"/>
      <c r="I1041" s="19"/>
      <c r="J1041" s="19"/>
      <c r="K1041" s="233"/>
      <c r="L1041" s="19"/>
      <c r="M1041" s="19"/>
      <c r="N1041" s="19"/>
      <c r="O1041" s="19"/>
      <c r="P1041" s="19"/>
      <c r="Q1041" s="19"/>
      <c r="R1041" s="19"/>
      <c r="S1041" s="19"/>
      <c r="T1041" s="19"/>
      <c r="U1041" s="19"/>
      <c r="V1041" s="19"/>
      <c r="W1041" s="19"/>
      <c r="X1041" s="19"/>
      <c r="Y1041" s="19"/>
    </row>
    <row r="1042" spans="1:25" ht="13.5" customHeight="1">
      <c r="B1042" s="19"/>
      <c r="C1042" s="19"/>
      <c r="D1042" s="107"/>
      <c r="E1042" s="19"/>
      <c r="F1042" s="19"/>
      <c r="G1042" s="19"/>
      <c r="H1042" s="19"/>
      <c r="I1042" s="19"/>
      <c r="J1042" s="19"/>
      <c r="K1042" s="233"/>
      <c r="L1042" s="19"/>
      <c r="M1042" s="19"/>
      <c r="N1042" s="19"/>
      <c r="O1042" s="19"/>
      <c r="P1042" s="19"/>
      <c r="Q1042" s="19"/>
      <c r="R1042" s="19"/>
      <c r="S1042" s="19"/>
      <c r="T1042" s="19"/>
      <c r="U1042" s="19"/>
      <c r="V1042" s="19"/>
      <c r="W1042" s="19"/>
      <c r="X1042" s="19"/>
      <c r="Y1042" s="19"/>
    </row>
    <row r="1043" spans="1:25" ht="13.5" customHeight="1">
      <c r="B1043" s="126"/>
      <c r="C1043" s="19"/>
      <c r="D1043" s="107"/>
      <c r="E1043" s="112"/>
      <c r="F1043" s="19"/>
      <c r="G1043" s="19"/>
      <c r="H1043" s="19"/>
      <c r="I1043" s="19"/>
      <c r="J1043" s="19"/>
      <c r="K1043" s="233"/>
      <c r="L1043" s="19"/>
      <c r="M1043" s="19"/>
      <c r="N1043" s="19"/>
      <c r="O1043" s="19"/>
      <c r="P1043" s="19"/>
      <c r="Q1043" s="19"/>
      <c r="R1043" s="19"/>
      <c r="S1043" s="19"/>
      <c r="T1043" s="19"/>
      <c r="U1043" s="19"/>
      <c r="V1043" s="19"/>
      <c r="W1043" s="19"/>
      <c r="X1043" s="19"/>
      <c r="Y1043" s="19"/>
    </row>
    <row r="1044" spans="1:25" ht="30" customHeight="1">
      <c r="A1044" s="218" t="s">
        <v>268</v>
      </c>
      <c r="B1044" s="24" t="s">
        <v>90</v>
      </c>
      <c r="C1044" s="25" t="s">
        <v>449</v>
      </c>
      <c r="D1044" s="26" t="s">
        <v>32</v>
      </c>
      <c r="E1044" s="123"/>
      <c r="K1044" s="233"/>
      <c r="L1044" s="19"/>
      <c r="M1044" s="19"/>
      <c r="N1044" s="19"/>
      <c r="O1044" s="19"/>
      <c r="P1044" s="19"/>
      <c r="Q1044" s="19"/>
      <c r="R1044" s="19"/>
      <c r="S1044" s="19"/>
      <c r="T1044" s="19"/>
      <c r="U1044" s="19"/>
      <c r="V1044" s="19"/>
      <c r="W1044" s="19"/>
      <c r="X1044" s="19"/>
      <c r="Y1044" s="19"/>
    </row>
    <row r="1045" spans="1:25" ht="13.5" customHeight="1">
      <c r="A1045" s="219" t="n" cm="1">
        <f t="array" ref="A1045">IFERROR(INDEX('03.Muestra'!$B$8:$B$42,SMALL(IF("Documento no web"='03.Muestra'!$D$8:$D$42,ROW('03.Muestra'!$B$8:$B$42)-MIN(ROW('03.Muestra'!$D$8:$D$42))+1,""),ROW()-1044)),"")</f>
        <v>1.0</v>
      </c>
      <c r="B1045" s="114" t="str" cm="1">
        <f t="array" ref="B1045">IFERROR(INDEX('03.Muestra'!$C$8:$C$42,SMALL(IF("Documento no web"='03.Muestra'!$D$8:$D$42,ROW('03.Muestra'!$C$8:$C$42)-MIN(ROW('03.Muestra'!$D$8:$D$42))+1,""),ROW()-1044)),"")</f>
        <v>Home - PortCastelló</v>
      </c>
      <c r="C1045" s="114" t="str" cm="1">
        <f t="array" ref="C1045">IFERROR(INDEX('03.Muestra'!$F$8:$F$42,SMALL(IF("Documento no web"='03.Muestra'!$D$8:$D$42,ROW('03.Muestra'!$F$8:$F$42)-MIN(ROW('03.Muestra'!$D$8:$D$42))+1,""),ROW()-1044)),"")</f>
        <v>https://www.portcastello.com/</v>
      </c>
      <c r="D1045" s="130" t="s">
        <v>33</v>
      </c>
      <c r="E1045" s="107" t="str">
        <f t="shared" ref="E1045:E1079" si="54">IF(D1045&lt;&gt;"",IF(AND(B1045&lt;&gt;"",C1045&lt;&gt;""),"","ERR"),"")</f>
        <v/>
      </c>
      <c r="F1045" s="115" t="s">
        <v>33</v>
      </c>
      <c r="G1045" s="116" t="s">
        <v>37</v>
      </c>
      <c r="H1045" s="117" t="s">
        <v>35</v>
      </c>
      <c r="I1045" s="118" t="s">
        <v>28</v>
      </c>
      <c r="J1045" s="119" t="s">
        <v>26</v>
      </c>
      <c r="K1045" s="226" t="s">
        <v>474</v>
      </c>
      <c r="L1045" s="19"/>
      <c r="M1045" s="19"/>
      <c r="N1045" s="19"/>
      <c r="O1045" s="19"/>
      <c r="P1045" s="19"/>
      <c r="Q1045" s="19"/>
      <c r="R1045" s="19"/>
      <c r="S1045" s="19"/>
      <c r="T1045" s="19"/>
      <c r="U1045" s="19"/>
      <c r="V1045" s="19"/>
      <c r="W1045" s="19"/>
      <c r="X1045" s="19"/>
      <c r="Y1045" s="19"/>
    </row>
    <row r="1046" spans="1:25" ht="13.5" customHeight="1">
      <c r="A1046" s="219" t="n" cm="1">
        <f t="array" ref="A1046">IFERROR(INDEX('03.Muestra'!$B$8:$B$42,SMALL(IF("Documento no web"='03.Muestra'!$D$8:$D$42,ROW('03.Muestra'!$B$8:$B$42)-MIN(ROW('03.Muestra'!$D$8:$D$42))+1,""),ROW()-1044)),"")</f>
        <v>1.0</v>
      </c>
      <c r="B1046" s="114" t="str" cm="1">
        <f t="array" ref="B1046">IFERROR(INDEX('03.Muestra'!$C$8:$C$42,SMALL(IF("Documento no web"='03.Muestra'!$D$8:$D$42,ROW('03.Muestra'!$C$8:$C$42)-MIN(ROW('03.Muestra'!$D$8:$D$42))+1,""),ROW()-1044)),"")</f>
        <v>Home - PortCastelló</v>
      </c>
      <c r="C1046" s="114" t="str" cm="1">
        <f t="array" ref="C1046">IFERROR(INDEX('03.Muestra'!$F$8:$F$42,SMALL(IF("Documento no web"='03.Muestra'!$D$8:$D$42,ROW('03.Muestra'!$F$8:$F$42)-MIN(ROW('03.Muestra'!$D$8:$D$42))+1,""),ROW()-1044)),"")</f>
        <v>https://www.portcastello.com/</v>
      </c>
      <c r="D1046" s="130" t="s">
        <v>33</v>
      </c>
      <c r="E1046" s="107" t="str">
        <f t="shared" si="54"/>
        <v/>
      </c>
      <c r="F1046" s="120" t="n">
        <f ca="1">COUNTIF($D1045:INDIRECT("$D" &amp;  SUM(ROW()-1,'03.Muestra'!$D$45)-1),F1045)</f>
        <v>2.0</v>
      </c>
      <c r="G1046" s="120" t="n">
        <f ca="1">COUNTIF($D1045:INDIRECT("$D" &amp;  SUM(ROW()-1,'03.Muestra'!$D$45)-1),G1045)</f>
        <v>0.0</v>
      </c>
      <c r="H1046" s="120" t="n">
        <f ca="1">COUNTIF($D1045:INDIRECT("$D" &amp;  SUM(ROW()-1,'03.Muestra'!$D$45)-1),H1045)</f>
        <v>0.0</v>
      </c>
      <c r="I1046" s="120" t="n">
        <f ca="1">COUNTIF($D1045:INDIRECT("$D" &amp;  SUM(ROW()-1,'03.Muestra'!$D$45)-1),I1045)</f>
        <v>0.0</v>
      </c>
      <c r="J1046" s="120" t="n">
        <f ca="1">COUNTIF($D1045:INDIRECT("$D" &amp;  SUM(ROW()-1,'03.Muestra'!$D$45)-1),J1045)</f>
        <v>0.0</v>
      </c>
      <c r="K1046" s="227" t="n">
        <f ca="1">IF(COUNTIF('03.Muestra'!$D$8:$D$42,"Documento no web")=0,0,COUNTBLANK($D1045:INDIRECT("$D" &amp;  SUM(ROW()-1,COUNTIF('03.Muestra'!$D$8:$D$42,"Documento no web"))-1)))</f>
        <v>0.0</v>
      </c>
      <c r="L1046" s="19"/>
      <c r="M1046" s="19"/>
      <c r="N1046" s="19"/>
      <c r="O1046" s="19"/>
      <c r="P1046" s="19"/>
      <c r="Q1046" s="19"/>
      <c r="R1046" s="19"/>
      <c r="S1046" s="19"/>
      <c r="T1046" s="19"/>
      <c r="U1046" s="19"/>
      <c r="V1046" s="19"/>
      <c r="W1046" s="19"/>
      <c r="X1046" s="19"/>
      <c r="Y1046" s="19"/>
    </row>
    <row r="1047" spans="1:25" ht="13.5" customHeight="1">
      <c r="A1047" s="219" t="str" cm="1">
        <f t="array" ref="A1047">IFERROR(INDEX('03.Muestra'!$B$8:$B$42,SMALL(IF("Documento no web"='03.Muestra'!$D$8:$D$42,ROW('03.Muestra'!$B$8:$B$42)-MIN(ROW('03.Muestra'!$D$8:$D$42))+1,""),ROW()-1044)),"")</f>
        <v/>
      </c>
      <c r="B1047" s="114" t="str" cm="1">
        <f t="array" ref="B1047">IFERROR(INDEX('03.Muestra'!$C$8:$C$42,SMALL(IF("Documento no web"='03.Muestra'!$D$8:$D$42,ROW('03.Muestra'!$C$8:$C$42)-MIN(ROW('03.Muestra'!$D$8:$D$42))+1,""),ROW()-1044)),"")</f>
        <v/>
      </c>
      <c r="C1047" s="114" t="str" cm="1">
        <f t="array" ref="C1047">IFERROR(INDEX('03.Muestra'!$F$8:$F$42,SMALL(IF("Documento no web"='03.Muestra'!$D$8:$D$42,ROW('03.Muestra'!$F$8:$F$42)-MIN(ROW('03.Muestra'!$D$8:$D$42))+1,""),ROW()-1044)),"")</f>
        <v/>
      </c>
      <c r="D1047" s="130" t="str">
        <f t="shared" si="55" ref="D1047:D1079">IF(AND(B1047&lt;&gt;"",C1047&lt;&gt;""),"N/T","")</f>
        <v/>
      </c>
      <c r="E1047" s="107" t="str">
        <f t="shared" si="54"/>
        <v/>
      </c>
      <c r="G1047" s="19"/>
      <c r="H1047" s="19"/>
      <c r="I1047" s="19"/>
      <c r="J1047" s="19"/>
      <c r="K1047" s="233"/>
      <c r="L1047" s="19"/>
      <c r="M1047" s="19"/>
      <c r="N1047" s="19"/>
      <c r="O1047" s="19"/>
      <c r="P1047" s="19"/>
      <c r="Q1047" s="19"/>
      <c r="R1047" s="19"/>
      <c r="S1047" s="19"/>
      <c r="T1047" s="19"/>
      <c r="U1047" s="19"/>
      <c r="V1047" s="19"/>
      <c r="W1047" s="19"/>
      <c r="X1047" s="19"/>
      <c r="Y1047" s="19"/>
    </row>
    <row r="1048" spans="1:25" ht="13.5" customHeight="1">
      <c r="A1048" s="219" t="str" cm="1">
        <f t="array" ref="A1048">IFERROR(INDEX('03.Muestra'!$B$8:$B$42,SMALL(IF("Documento no web"='03.Muestra'!$D$8:$D$42,ROW('03.Muestra'!$B$8:$B$42)-MIN(ROW('03.Muestra'!$D$8:$D$42))+1,""),ROW()-1044)),"")</f>
        <v/>
      </c>
      <c r="B1048" s="114" t="str" cm="1">
        <f t="array" ref="B1048">IFERROR(INDEX('03.Muestra'!$C$8:$C$42,SMALL(IF("Documento no web"='03.Muestra'!$D$8:$D$42,ROW('03.Muestra'!$C$8:$C$42)-MIN(ROW('03.Muestra'!$D$8:$D$42))+1,""),ROW()-1044)),"")</f>
        <v/>
      </c>
      <c r="C1048" s="114" t="str" cm="1">
        <f t="array" ref="C1048">IFERROR(INDEX('03.Muestra'!$F$8:$F$42,SMALL(IF("Documento no web"='03.Muestra'!$D$8:$D$42,ROW('03.Muestra'!$F$8:$F$42)-MIN(ROW('03.Muestra'!$D$8:$D$42))+1,""),ROW()-1044)),"")</f>
        <v/>
      </c>
      <c r="D1048" s="130" t="str">
        <f t="shared" si="55"/>
        <v/>
      </c>
      <c r="E1048" s="107" t="str">
        <f t="shared" si="54"/>
        <v/>
      </c>
      <c r="G1048" s="19"/>
      <c r="H1048" s="19"/>
      <c r="I1048" s="19"/>
      <c r="J1048" s="19"/>
      <c r="K1048" s="233"/>
      <c r="L1048" s="19"/>
      <c r="M1048" s="19"/>
      <c r="N1048" s="19"/>
      <c r="O1048" s="19"/>
      <c r="P1048" s="19"/>
      <c r="Q1048" s="19"/>
      <c r="R1048" s="19"/>
      <c r="S1048" s="19"/>
      <c r="T1048" s="19"/>
      <c r="U1048" s="19"/>
      <c r="V1048" s="19"/>
      <c r="W1048" s="19"/>
      <c r="X1048" s="19"/>
      <c r="Y1048" s="19"/>
    </row>
    <row r="1049" spans="1:25" ht="13.5" customHeight="1">
      <c r="A1049" s="219" t="str" cm="1">
        <f t="array" ref="A1049">IFERROR(INDEX('03.Muestra'!$B$8:$B$42,SMALL(IF("Documento no web"='03.Muestra'!$D$8:$D$42,ROW('03.Muestra'!$B$8:$B$42)-MIN(ROW('03.Muestra'!$D$8:$D$42))+1,""),ROW()-1044)),"")</f>
        <v/>
      </c>
      <c r="B1049" s="114" t="str" cm="1">
        <f t="array" ref="B1049">IFERROR(INDEX('03.Muestra'!$C$8:$C$42,SMALL(IF("Documento no web"='03.Muestra'!$D$8:$D$42,ROW('03.Muestra'!$C$8:$C$42)-MIN(ROW('03.Muestra'!$D$8:$D$42))+1,""),ROW()-1044)),"")</f>
        <v/>
      </c>
      <c r="C1049" s="114" t="str" cm="1">
        <f t="array" ref="C1049">IFERROR(INDEX('03.Muestra'!$F$8:$F$42,SMALL(IF("Documento no web"='03.Muestra'!$D$8:$D$42,ROW('03.Muestra'!$F$8:$F$42)-MIN(ROW('03.Muestra'!$D$8:$D$42))+1,""),ROW()-1044)),"")</f>
        <v/>
      </c>
      <c r="D1049" s="130" t="str">
        <f t="shared" si="55"/>
        <v/>
      </c>
      <c r="E1049" s="107" t="str">
        <f t="shared" si="54"/>
        <v/>
      </c>
      <c r="G1049" s="19"/>
      <c r="H1049" s="19"/>
      <c r="I1049" s="19"/>
      <c r="J1049" s="19"/>
      <c r="K1049" s="233"/>
      <c r="L1049" s="19"/>
      <c r="M1049" s="19"/>
      <c r="N1049" s="19"/>
      <c r="O1049" s="19"/>
      <c r="P1049" s="19"/>
      <c r="Q1049" s="19"/>
      <c r="R1049" s="19"/>
      <c r="S1049" s="19"/>
      <c r="T1049" s="19"/>
      <c r="U1049" s="19"/>
      <c r="V1049" s="19"/>
      <c r="W1049" s="19"/>
      <c r="X1049" s="19"/>
      <c r="Y1049" s="19"/>
    </row>
    <row r="1050" spans="1:25" ht="13.5" customHeight="1">
      <c r="A1050" s="219" t="str" cm="1">
        <f t="array" ref="A1050">IFERROR(INDEX('03.Muestra'!$B$8:$B$42,SMALL(IF("Documento no web"='03.Muestra'!$D$8:$D$42,ROW('03.Muestra'!$B$8:$B$42)-MIN(ROW('03.Muestra'!$D$8:$D$42))+1,""),ROW()-1044)),"")</f>
        <v/>
      </c>
      <c r="B1050" s="114" t="str" cm="1">
        <f t="array" ref="B1050">IFERROR(INDEX('03.Muestra'!$C$8:$C$42,SMALL(IF("Documento no web"='03.Muestra'!$D$8:$D$42,ROW('03.Muestra'!$C$8:$C$42)-MIN(ROW('03.Muestra'!$D$8:$D$42))+1,""),ROW()-1044)),"")</f>
        <v/>
      </c>
      <c r="C1050" s="114" t="str" cm="1">
        <f t="array" ref="C1050">IFERROR(INDEX('03.Muestra'!$F$8:$F$42,SMALL(IF("Documento no web"='03.Muestra'!$D$8:$D$42,ROW('03.Muestra'!$F$8:$F$42)-MIN(ROW('03.Muestra'!$D$8:$D$42))+1,""),ROW()-1044)),"")</f>
        <v/>
      </c>
      <c r="D1050" s="130" t="str">
        <f t="shared" si="55"/>
        <v/>
      </c>
      <c r="E1050" s="107" t="str">
        <f t="shared" si="54"/>
        <v/>
      </c>
      <c r="G1050" s="19"/>
      <c r="H1050" s="19"/>
      <c r="I1050" s="19"/>
      <c r="J1050" s="19"/>
      <c r="K1050" s="233"/>
      <c r="L1050" s="19"/>
      <c r="M1050" s="19"/>
      <c r="N1050" s="19"/>
      <c r="O1050" s="19"/>
      <c r="P1050" s="19"/>
      <c r="Q1050" s="19"/>
      <c r="R1050" s="19"/>
      <c r="S1050" s="19"/>
      <c r="T1050" s="19"/>
      <c r="U1050" s="19"/>
      <c r="V1050" s="19"/>
      <c r="W1050" s="19"/>
      <c r="X1050" s="19"/>
      <c r="Y1050" s="19"/>
    </row>
    <row r="1051" spans="1:25" ht="13.5" customHeight="1">
      <c r="A1051" s="219" t="str" cm="1">
        <f t="array" ref="A1051">IFERROR(INDEX('03.Muestra'!$B$8:$B$42,SMALL(IF("Documento no web"='03.Muestra'!$D$8:$D$42,ROW('03.Muestra'!$B$8:$B$42)-MIN(ROW('03.Muestra'!$D$8:$D$42))+1,""),ROW()-1044)),"")</f>
        <v/>
      </c>
      <c r="B1051" s="114" t="str" cm="1">
        <f t="array" ref="B1051">IFERROR(INDEX('03.Muestra'!$C$8:$C$42,SMALL(IF("Documento no web"='03.Muestra'!$D$8:$D$42,ROW('03.Muestra'!$C$8:$C$42)-MIN(ROW('03.Muestra'!$D$8:$D$42))+1,""),ROW()-1044)),"")</f>
        <v/>
      </c>
      <c r="C1051" s="114" t="str" cm="1">
        <f t="array" ref="C1051">IFERROR(INDEX('03.Muestra'!$F$8:$F$42,SMALL(IF("Documento no web"='03.Muestra'!$D$8:$D$42,ROW('03.Muestra'!$F$8:$F$42)-MIN(ROW('03.Muestra'!$D$8:$D$42))+1,""),ROW()-1044)),"")</f>
        <v/>
      </c>
      <c r="D1051" s="130" t="str">
        <f t="shared" si="55"/>
        <v/>
      </c>
      <c r="E1051" s="107" t="str">
        <f t="shared" si="54"/>
        <v/>
      </c>
      <c r="F1051" s="19"/>
      <c r="G1051" s="19"/>
      <c r="H1051" s="19"/>
      <c r="I1051" s="19"/>
      <c r="J1051" s="19"/>
      <c r="K1051" s="233"/>
      <c r="L1051" s="19"/>
      <c r="M1051" s="19"/>
      <c r="N1051" s="19"/>
      <c r="O1051" s="19"/>
      <c r="P1051" s="19"/>
      <c r="Q1051" s="19"/>
      <c r="R1051" s="19"/>
      <c r="S1051" s="19"/>
      <c r="T1051" s="19"/>
      <c r="U1051" s="19"/>
      <c r="V1051" s="19"/>
      <c r="W1051" s="19"/>
      <c r="X1051" s="19"/>
      <c r="Y1051" s="19"/>
    </row>
    <row r="1052" spans="1:25" ht="13.5" customHeight="1">
      <c r="A1052" s="219" t="str" cm="1">
        <f t="array" ref="A1052">IFERROR(INDEX('03.Muestra'!$B$8:$B$42,SMALL(IF("Documento no web"='03.Muestra'!$D$8:$D$42,ROW('03.Muestra'!$B$8:$B$42)-MIN(ROW('03.Muestra'!$D$8:$D$42))+1,""),ROW()-1044)),"")</f>
        <v/>
      </c>
      <c r="B1052" s="114" t="str" cm="1">
        <f t="array" ref="B1052">IFERROR(INDEX('03.Muestra'!$C$8:$C$42,SMALL(IF("Documento no web"='03.Muestra'!$D$8:$D$42,ROW('03.Muestra'!$C$8:$C$42)-MIN(ROW('03.Muestra'!$D$8:$D$42))+1,""),ROW()-1044)),"")</f>
        <v/>
      </c>
      <c r="C1052" s="114" t="str" cm="1">
        <f t="array" ref="C1052">IFERROR(INDEX('03.Muestra'!$F$8:$F$42,SMALL(IF("Documento no web"='03.Muestra'!$D$8:$D$42,ROW('03.Muestra'!$F$8:$F$42)-MIN(ROW('03.Muestra'!$D$8:$D$42))+1,""),ROW()-1044)),"")</f>
        <v/>
      </c>
      <c r="D1052" s="130" t="str">
        <f t="shared" si="55"/>
        <v/>
      </c>
      <c r="E1052" s="107" t="str">
        <f t="shared" si="54"/>
        <v/>
      </c>
      <c r="F1052" s="19"/>
      <c r="G1052" s="19"/>
      <c r="H1052" s="19"/>
      <c r="I1052" s="19"/>
      <c r="J1052" s="19"/>
      <c r="K1052" s="233"/>
      <c r="L1052" s="19"/>
      <c r="M1052" s="19"/>
      <c r="N1052" s="19"/>
      <c r="O1052" s="19"/>
      <c r="P1052" s="19"/>
      <c r="Q1052" s="19"/>
      <c r="R1052" s="19"/>
      <c r="S1052" s="19"/>
      <c r="T1052" s="19"/>
      <c r="U1052" s="19"/>
      <c r="V1052" s="19"/>
      <c r="W1052" s="19"/>
      <c r="X1052" s="19"/>
      <c r="Y1052" s="19"/>
    </row>
    <row r="1053" spans="1:25" ht="13.5" customHeight="1">
      <c r="A1053" s="219" t="str" cm="1">
        <f t="array" ref="A1053">IFERROR(INDEX('03.Muestra'!$B$8:$B$42,SMALL(IF("Documento no web"='03.Muestra'!$D$8:$D$42,ROW('03.Muestra'!$B$8:$B$42)-MIN(ROW('03.Muestra'!$D$8:$D$42))+1,""),ROW()-1044)),"")</f>
        <v/>
      </c>
      <c r="B1053" s="114" t="str" cm="1">
        <f t="array" ref="B1053">IFERROR(INDEX('03.Muestra'!$C$8:$C$42,SMALL(IF("Documento no web"='03.Muestra'!$D$8:$D$42,ROW('03.Muestra'!$C$8:$C$42)-MIN(ROW('03.Muestra'!$D$8:$D$42))+1,""),ROW()-1044)),"")</f>
        <v/>
      </c>
      <c r="C1053" s="114" t="str" cm="1">
        <f t="array" ref="C1053">IFERROR(INDEX('03.Muestra'!$F$8:$F$42,SMALL(IF("Documento no web"='03.Muestra'!$D$8:$D$42,ROW('03.Muestra'!$F$8:$F$42)-MIN(ROW('03.Muestra'!$D$8:$D$42))+1,""),ROW()-1044)),"")</f>
        <v/>
      </c>
      <c r="D1053" s="130" t="str">
        <f t="shared" si="55"/>
        <v/>
      </c>
      <c r="E1053" s="107" t="str">
        <f t="shared" si="54"/>
        <v/>
      </c>
      <c r="F1053" s="19"/>
      <c r="G1053" s="19"/>
      <c r="H1053" s="19"/>
      <c r="I1053" s="19"/>
      <c r="J1053" s="19"/>
      <c r="K1053" s="233"/>
      <c r="L1053" s="19"/>
      <c r="M1053" s="19"/>
      <c r="N1053" s="19"/>
      <c r="O1053" s="19"/>
      <c r="P1053" s="19"/>
      <c r="Q1053" s="19"/>
      <c r="R1053" s="19"/>
      <c r="S1053" s="19"/>
      <c r="T1053" s="19"/>
      <c r="U1053" s="19"/>
      <c r="V1053" s="19"/>
      <c r="W1053" s="19"/>
      <c r="X1053" s="19"/>
      <c r="Y1053" s="19"/>
    </row>
    <row r="1054" spans="1:25" ht="13.5" customHeight="1">
      <c r="A1054" s="219" t="str" cm="1">
        <f t="array" ref="A1054">IFERROR(INDEX('03.Muestra'!$B$8:$B$42,SMALL(IF("Documento no web"='03.Muestra'!$D$8:$D$42,ROW('03.Muestra'!$B$8:$B$42)-MIN(ROW('03.Muestra'!$D$8:$D$42))+1,""),ROW()-1044)),"")</f>
        <v/>
      </c>
      <c r="B1054" s="114" t="str" cm="1">
        <f t="array" ref="B1054">IFERROR(INDEX('03.Muestra'!$C$8:$C$42,SMALL(IF("Documento no web"='03.Muestra'!$D$8:$D$42,ROW('03.Muestra'!$C$8:$C$42)-MIN(ROW('03.Muestra'!$D$8:$D$42))+1,""),ROW()-1044)),"")</f>
        <v/>
      </c>
      <c r="C1054" s="114" t="str" cm="1">
        <f t="array" ref="C1054">IFERROR(INDEX('03.Muestra'!$F$8:$F$42,SMALL(IF("Documento no web"='03.Muestra'!$D$8:$D$42,ROW('03.Muestra'!$F$8:$F$42)-MIN(ROW('03.Muestra'!$D$8:$D$42))+1,""),ROW()-1044)),"")</f>
        <v/>
      </c>
      <c r="D1054" s="130" t="str">
        <f t="shared" si="55"/>
        <v/>
      </c>
      <c r="E1054" s="107" t="str">
        <f t="shared" si="54"/>
        <v/>
      </c>
      <c r="F1054" s="19"/>
      <c r="G1054" s="19"/>
      <c r="H1054" s="19"/>
      <c r="I1054" s="19"/>
      <c r="J1054" s="19"/>
      <c r="K1054" s="233"/>
      <c r="L1054" s="19"/>
      <c r="M1054" s="19"/>
      <c r="N1054" s="19"/>
      <c r="O1054" s="19"/>
      <c r="P1054" s="19"/>
      <c r="Q1054" s="19"/>
      <c r="R1054" s="19"/>
      <c r="S1054" s="19"/>
      <c r="T1054" s="19"/>
      <c r="U1054" s="19"/>
      <c r="V1054" s="19"/>
      <c r="W1054" s="19"/>
      <c r="X1054" s="19"/>
      <c r="Y1054" s="19"/>
    </row>
    <row r="1055" spans="1:25" ht="13.5" customHeight="1">
      <c r="A1055" s="219" t="str" cm="1">
        <f t="array" ref="A1055">IFERROR(INDEX('03.Muestra'!$B$8:$B$42,SMALL(IF("Documento no web"='03.Muestra'!$D$8:$D$42,ROW('03.Muestra'!$B$8:$B$42)-MIN(ROW('03.Muestra'!$D$8:$D$42))+1,""),ROW()-1044)),"")</f>
        <v/>
      </c>
      <c r="B1055" s="114" t="str" cm="1">
        <f t="array" ref="B1055">IFERROR(INDEX('03.Muestra'!$C$8:$C$42,SMALL(IF("Documento no web"='03.Muestra'!$D$8:$D$42,ROW('03.Muestra'!$C$8:$C$42)-MIN(ROW('03.Muestra'!$D$8:$D$42))+1,""),ROW()-1044)),"")</f>
        <v/>
      </c>
      <c r="C1055" s="114" t="str" cm="1">
        <f t="array" ref="C1055">IFERROR(INDEX('03.Muestra'!$F$8:$F$42,SMALL(IF("Documento no web"='03.Muestra'!$D$8:$D$42,ROW('03.Muestra'!$F$8:$F$42)-MIN(ROW('03.Muestra'!$D$8:$D$42))+1,""),ROW()-1044)),"")</f>
        <v/>
      </c>
      <c r="D1055" s="130" t="str">
        <f t="shared" si="55"/>
        <v/>
      </c>
      <c r="E1055" s="107" t="str">
        <f t="shared" si="54"/>
        <v/>
      </c>
      <c r="F1055" s="19"/>
      <c r="G1055" s="19"/>
      <c r="H1055" s="19"/>
      <c r="I1055" s="19"/>
      <c r="J1055" s="19"/>
      <c r="K1055" s="233"/>
      <c r="L1055" s="19"/>
      <c r="M1055" s="19"/>
      <c r="N1055" s="19"/>
      <c r="O1055" s="19"/>
      <c r="P1055" s="19"/>
      <c r="Q1055" s="19"/>
      <c r="R1055" s="19"/>
      <c r="S1055" s="19"/>
      <c r="T1055" s="19"/>
      <c r="U1055" s="19"/>
      <c r="V1055" s="19"/>
      <c r="W1055" s="19"/>
      <c r="X1055" s="19"/>
      <c r="Y1055" s="19"/>
    </row>
    <row r="1056" spans="1:25" ht="13.5" customHeight="1">
      <c r="A1056" s="219" t="str" cm="1">
        <f t="array" ref="A1056">IFERROR(INDEX('03.Muestra'!$B$8:$B$42,SMALL(IF("Documento no web"='03.Muestra'!$D$8:$D$42,ROW('03.Muestra'!$B$8:$B$42)-MIN(ROW('03.Muestra'!$D$8:$D$42))+1,""),ROW()-1044)),"")</f>
        <v/>
      </c>
      <c r="B1056" s="114" t="str" cm="1">
        <f t="array" ref="B1056">IFERROR(INDEX('03.Muestra'!$C$8:$C$42,SMALL(IF("Documento no web"='03.Muestra'!$D$8:$D$42,ROW('03.Muestra'!$C$8:$C$42)-MIN(ROW('03.Muestra'!$D$8:$D$42))+1,""),ROW()-1044)),"")</f>
        <v/>
      </c>
      <c r="C1056" s="114" t="str" cm="1">
        <f t="array" ref="C1056">IFERROR(INDEX('03.Muestra'!$F$8:$F$42,SMALL(IF("Documento no web"='03.Muestra'!$D$8:$D$42,ROW('03.Muestra'!$F$8:$F$42)-MIN(ROW('03.Muestra'!$D$8:$D$42))+1,""),ROW()-1044)),"")</f>
        <v/>
      </c>
      <c r="D1056" s="130" t="str">
        <f t="shared" si="55"/>
        <v/>
      </c>
      <c r="E1056" s="107" t="str">
        <f t="shared" si="54"/>
        <v/>
      </c>
      <c r="F1056" s="19"/>
      <c r="G1056" s="19"/>
      <c r="H1056" s="19"/>
      <c r="I1056" s="19"/>
      <c r="J1056" s="19"/>
      <c r="K1056" s="233"/>
      <c r="L1056" s="19"/>
      <c r="M1056" s="19"/>
      <c r="N1056" s="19"/>
      <c r="O1056" s="19"/>
      <c r="P1056" s="19"/>
      <c r="Q1056" s="19"/>
      <c r="R1056" s="19"/>
      <c r="S1056" s="19"/>
      <c r="T1056" s="19"/>
      <c r="U1056" s="19"/>
      <c r="V1056" s="19"/>
      <c r="W1056" s="19"/>
      <c r="X1056" s="19"/>
      <c r="Y1056" s="19"/>
    </row>
    <row r="1057" spans="1:25" ht="13.5" customHeight="1">
      <c r="A1057" s="219" t="str" cm="1">
        <f t="array" ref="A1057">IFERROR(INDEX('03.Muestra'!$B$8:$B$42,SMALL(IF("Documento no web"='03.Muestra'!$D$8:$D$42,ROW('03.Muestra'!$B$8:$B$42)-MIN(ROW('03.Muestra'!$D$8:$D$42))+1,""),ROW()-1044)),"")</f>
        <v/>
      </c>
      <c r="B1057" s="114" t="str" cm="1">
        <f t="array" ref="B1057">IFERROR(INDEX('03.Muestra'!$C$8:$C$42,SMALL(IF("Documento no web"='03.Muestra'!$D$8:$D$42,ROW('03.Muestra'!$C$8:$C$42)-MIN(ROW('03.Muestra'!$D$8:$D$42))+1,""),ROW()-1044)),"")</f>
        <v/>
      </c>
      <c r="C1057" s="114" t="str" cm="1">
        <f t="array" ref="C1057">IFERROR(INDEX('03.Muestra'!$F$8:$F$42,SMALL(IF("Documento no web"='03.Muestra'!$D$8:$D$42,ROW('03.Muestra'!$F$8:$F$42)-MIN(ROW('03.Muestra'!$D$8:$D$42))+1,""),ROW()-1044)),"")</f>
        <v/>
      </c>
      <c r="D1057" s="130" t="str">
        <f t="shared" si="55"/>
        <v/>
      </c>
      <c r="E1057" s="107" t="str">
        <f t="shared" si="54"/>
        <v/>
      </c>
      <c r="F1057" s="19"/>
      <c r="G1057" s="19"/>
      <c r="H1057" s="19"/>
      <c r="I1057" s="19"/>
      <c r="J1057" s="19"/>
      <c r="K1057" s="233"/>
      <c r="L1057" s="19"/>
      <c r="M1057" s="19"/>
      <c r="N1057" s="19"/>
      <c r="O1057" s="19"/>
      <c r="P1057" s="19"/>
      <c r="Q1057" s="19"/>
      <c r="R1057" s="19"/>
      <c r="S1057" s="19"/>
      <c r="T1057" s="19"/>
      <c r="U1057" s="19"/>
      <c r="V1057" s="19"/>
      <c r="W1057" s="19"/>
      <c r="X1057" s="19"/>
      <c r="Y1057" s="19"/>
    </row>
    <row r="1058" spans="1:25" ht="13.5" customHeight="1">
      <c r="A1058" s="219" t="str" cm="1">
        <f t="array" ref="A1058">IFERROR(INDEX('03.Muestra'!$B$8:$B$42,SMALL(IF("Documento no web"='03.Muestra'!$D$8:$D$42,ROW('03.Muestra'!$B$8:$B$42)-MIN(ROW('03.Muestra'!$D$8:$D$42))+1,""),ROW()-1044)),"")</f>
        <v/>
      </c>
      <c r="B1058" s="114" t="str" cm="1">
        <f t="array" ref="B1058">IFERROR(INDEX('03.Muestra'!$C$8:$C$42,SMALL(IF("Documento no web"='03.Muestra'!$D$8:$D$42,ROW('03.Muestra'!$C$8:$C$42)-MIN(ROW('03.Muestra'!$D$8:$D$42))+1,""),ROW()-1044)),"")</f>
        <v/>
      </c>
      <c r="C1058" s="114" t="str" cm="1">
        <f t="array" ref="C1058">IFERROR(INDEX('03.Muestra'!$F$8:$F$42,SMALL(IF("Documento no web"='03.Muestra'!$D$8:$D$42,ROW('03.Muestra'!$F$8:$F$42)-MIN(ROW('03.Muestra'!$D$8:$D$42))+1,""),ROW()-1044)),"")</f>
        <v/>
      </c>
      <c r="D1058" s="130" t="str">
        <f t="shared" si="55"/>
        <v/>
      </c>
      <c r="E1058" s="107" t="str">
        <f t="shared" si="54"/>
        <v/>
      </c>
      <c r="F1058" s="19"/>
      <c r="G1058" s="19"/>
      <c r="H1058" s="19"/>
      <c r="I1058" s="19"/>
      <c r="J1058" s="19"/>
      <c r="K1058" s="233"/>
      <c r="L1058" s="19"/>
      <c r="M1058" s="19"/>
      <c r="N1058" s="19"/>
      <c r="O1058" s="19"/>
      <c r="P1058" s="19"/>
      <c r="Q1058" s="19"/>
      <c r="R1058" s="19"/>
      <c r="S1058" s="19"/>
      <c r="T1058" s="19"/>
      <c r="U1058" s="19"/>
      <c r="V1058" s="19"/>
      <c r="W1058" s="19"/>
      <c r="X1058" s="19"/>
      <c r="Y1058" s="19"/>
    </row>
    <row r="1059" spans="1:25" ht="13.5" customHeight="1">
      <c r="A1059" s="219" t="str" cm="1">
        <f t="array" ref="A1059">IFERROR(INDEX('03.Muestra'!$B$8:$B$42,SMALL(IF("Documento no web"='03.Muestra'!$D$8:$D$42,ROW('03.Muestra'!$B$8:$B$42)-MIN(ROW('03.Muestra'!$D$8:$D$42))+1,""),ROW()-1044)),"")</f>
        <v/>
      </c>
      <c r="B1059" s="114" t="str" cm="1">
        <f t="array" ref="B1059">IFERROR(INDEX('03.Muestra'!$C$8:$C$42,SMALL(IF("Documento no web"='03.Muestra'!$D$8:$D$42,ROW('03.Muestra'!$C$8:$C$42)-MIN(ROW('03.Muestra'!$D$8:$D$42))+1,""),ROW()-1044)),"")</f>
        <v/>
      </c>
      <c r="C1059" s="114" t="str" cm="1">
        <f t="array" ref="C1059">IFERROR(INDEX('03.Muestra'!$F$8:$F$42,SMALL(IF("Documento no web"='03.Muestra'!$D$8:$D$42,ROW('03.Muestra'!$F$8:$F$42)-MIN(ROW('03.Muestra'!$D$8:$D$42))+1,""),ROW()-1044)),"")</f>
        <v/>
      </c>
      <c r="D1059" s="130" t="str">
        <f t="shared" si="55"/>
        <v/>
      </c>
      <c r="E1059" s="107" t="str">
        <f t="shared" si="54"/>
        <v/>
      </c>
      <c r="F1059" s="19"/>
      <c r="G1059" s="19"/>
      <c r="H1059" s="19"/>
      <c r="I1059" s="19"/>
      <c r="J1059" s="19"/>
      <c r="K1059" s="233"/>
      <c r="L1059" s="19"/>
      <c r="M1059" s="19"/>
      <c r="N1059" s="19"/>
      <c r="O1059" s="19"/>
      <c r="P1059" s="19"/>
      <c r="Q1059" s="19"/>
      <c r="R1059" s="19"/>
      <c r="S1059" s="19"/>
      <c r="T1059" s="19"/>
      <c r="U1059" s="19"/>
      <c r="V1059" s="19"/>
      <c r="W1059" s="19"/>
      <c r="X1059" s="19"/>
      <c r="Y1059" s="19"/>
    </row>
    <row r="1060" spans="1:25" ht="13.5" customHeight="1">
      <c r="A1060" s="219" t="str" cm="1">
        <f t="array" ref="A1060">IFERROR(INDEX('03.Muestra'!$B$8:$B$42,SMALL(IF("Documento no web"='03.Muestra'!$D$8:$D$42,ROW('03.Muestra'!$B$8:$B$42)-MIN(ROW('03.Muestra'!$D$8:$D$42))+1,""),ROW()-1044)),"")</f>
        <v/>
      </c>
      <c r="B1060" s="114" t="str" cm="1">
        <f t="array" ref="B1060">IFERROR(INDEX('03.Muestra'!$C$8:$C$42,SMALL(IF("Documento no web"='03.Muestra'!$D$8:$D$42,ROW('03.Muestra'!$C$8:$C$42)-MIN(ROW('03.Muestra'!$D$8:$D$42))+1,""),ROW()-1044)),"")</f>
        <v/>
      </c>
      <c r="C1060" s="114" t="str" cm="1">
        <f t="array" ref="C1060">IFERROR(INDEX('03.Muestra'!$F$8:$F$42,SMALL(IF("Documento no web"='03.Muestra'!$D$8:$D$42,ROW('03.Muestra'!$F$8:$F$42)-MIN(ROW('03.Muestra'!$D$8:$D$42))+1,""),ROW()-1044)),"")</f>
        <v/>
      </c>
      <c r="D1060" s="130" t="str">
        <f t="shared" si="55"/>
        <v/>
      </c>
      <c r="E1060" s="107" t="str">
        <f t="shared" si="54"/>
        <v/>
      </c>
      <c r="F1060" s="19"/>
      <c r="G1060" s="19"/>
      <c r="H1060" s="19"/>
      <c r="I1060" s="19"/>
      <c r="J1060" s="19"/>
      <c r="K1060" s="233"/>
      <c r="L1060" s="19"/>
      <c r="M1060" s="19"/>
      <c r="N1060" s="19"/>
      <c r="O1060" s="19"/>
      <c r="P1060" s="19"/>
      <c r="Q1060" s="19"/>
      <c r="R1060" s="19"/>
      <c r="S1060" s="19"/>
      <c r="T1060" s="19"/>
      <c r="U1060" s="19"/>
      <c r="V1060" s="19"/>
      <c r="W1060" s="19"/>
      <c r="X1060" s="19"/>
      <c r="Y1060" s="19"/>
    </row>
    <row r="1061" spans="1:25" ht="13.5" customHeight="1">
      <c r="A1061" s="219" t="str" cm="1">
        <f t="array" ref="A1061">IFERROR(INDEX('03.Muestra'!$B$8:$B$42,SMALL(IF("Documento no web"='03.Muestra'!$D$8:$D$42,ROW('03.Muestra'!$B$8:$B$42)-MIN(ROW('03.Muestra'!$D$8:$D$42))+1,""),ROW()-1044)),"")</f>
        <v/>
      </c>
      <c r="B1061" s="114" t="str" cm="1">
        <f t="array" ref="B1061">IFERROR(INDEX('03.Muestra'!$C$8:$C$42,SMALL(IF("Documento no web"='03.Muestra'!$D$8:$D$42,ROW('03.Muestra'!$C$8:$C$42)-MIN(ROW('03.Muestra'!$D$8:$D$42))+1,""),ROW()-1044)),"")</f>
        <v/>
      </c>
      <c r="C1061" s="114" t="str" cm="1">
        <f t="array" ref="C1061">IFERROR(INDEX('03.Muestra'!$F$8:$F$42,SMALL(IF("Documento no web"='03.Muestra'!$D$8:$D$42,ROW('03.Muestra'!$F$8:$F$42)-MIN(ROW('03.Muestra'!$D$8:$D$42))+1,""),ROW()-1044)),"")</f>
        <v/>
      </c>
      <c r="D1061" s="130" t="str">
        <f t="shared" si="55"/>
        <v/>
      </c>
      <c r="E1061" s="107" t="str">
        <f t="shared" si="54"/>
        <v/>
      </c>
      <c r="F1061" s="19"/>
      <c r="G1061" s="19"/>
      <c r="H1061" s="19"/>
      <c r="I1061" s="19"/>
      <c r="J1061" s="19"/>
      <c r="K1061" s="233"/>
      <c r="L1061" s="19"/>
      <c r="M1061" s="19"/>
      <c r="N1061" s="19"/>
      <c r="O1061" s="19"/>
      <c r="P1061" s="19"/>
      <c r="Q1061" s="19"/>
      <c r="R1061" s="19"/>
      <c r="S1061" s="19"/>
      <c r="T1061" s="19"/>
      <c r="U1061" s="19"/>
      <c r="V1061" s="19"/>
      <c r="W1061" s="19"/>
      <c r="X1061" s="19"/>
      <c r="Y1061" s="19"/>
    </row>
    <row r="1062" spans="1:25" ht="13.5" customHeight="1">
      <c r="A1062" s="219" t="str" cm="1">
        <f t="array" ref="A1062">IFERROR(INDEX('03.Muestra'!$B$8:$B$42,SMALL(IF("Documento no web"='03.Muestra'!$D$8:$D$42,ROW('03.Muestra'!$B$8:$B$42)-MIN(ROW('03.Muestra'!$D$8:$D$42))+1,""),ROW()-1044)),"")</f>
        <v/>
      </c>
      <c r="B1062" s="114" t="str" cm="1">
        <f t="array" ref="B1062">IFERROR(INDEX('03.Muestra'!$C$8:$C$42,SMALL(IF("Documento no web"='03.Muestra'!$D$8:$D$42,ROW('03.Muestra'!$C$8:$C$42)-MIN(ROW('03.Muestra'!$D$8:$D$42))+1,""),ROW()-1044)),"")</f>
        <v/>
      </c>
      <c r="C1062" s="114" t="str" cm="1">
        <f t="array" ref="C1062">IFERROR(INDEX('03.Muestra'!$F$8:$F$42,SMALL(IF("Documento no web"='03.Muestra'!$D$8:$D$42,ROW('03.Muestra'!$F$8:$F$42)-MIN(ROW('03.Muestra'!$D$8:$D$42))+1,""),ROW()-1044)),"")</f>
        <v/>
      </c>
      <c r="D1062" s="130" t="str">
        <f t="shared" si="55"/>
        <v/>
      </c>
      <c r="E1062" s="107" t="str">
        <f t="shared" si="54"/>
        <v/>
      </c>
      <c r="F1062" s="19"/>
      <c r="G1062" s="19"/>
      <c r="H1062" s="19"/>
      <c r="I1062" s="19"/>
      <c r="J1062" s="19"/>
      <c r="K1062" s="233"/>
      <c r="L1062" s="19"/>
      <c r="M1062" s="19"/>
      <c r="N1062" s="19"/>
      <c r="O1062" s="19"/>
      <c r="P1062" s="19"/>
      <c r="Q1062" s="19"/>
      <c r="R1062" s="19"/>
      <c r="S1062" s="19"/>
      <c r="T1062" s="19"/>
      <c r="U1062" s="19"/>
      <c r="V1062" s="19"/>
      <c r="W1062" s="19"/>
      <c r="X1062" s="19"/>
      <c r="Y1062" s="19"/>
    </row>
    <row r="1063" spans="1:25" ht="13.5" customHeight="1">
      <c r="A1063" s="219" t="str" cm="1">
        <f t="array" ref="A1063">IFERROR(INDEX('03.Muestra'!$B$8:$B$42,SMALL(IF("Documento no web"='03.Muestra'!$D$8:$D$42,ROW('03.Muestra'!$B$8:$B$42)-MIN(ROW('03.Muestra'!$D$8:$D$42))+1,""),ROW()-1044)),"")</f>
        <v/>
      </c>
      <c r="B1063" s="114" t="str" cm="1">
        <f t="array" ref="B1063">IFERROR(INDEX('03.Muestra'!$C$8:$C$42,SMALL(IF("Documento no web"='03.Muestra'!$D$8:$D$42,ROW('03.Muestra'!$C$8:$C$42)-MIN(ROW('03.Muestra'!$D$8:$D$42))+1,""),ROW()-1044)),"")</f>
        <v/>
      </c>
      <c r="C1063" s="114" t="str" cm="1">
        <f t="array" ref="C1063">IFERROR(INDEX('03.Muestra'!$F$8:$F$42,SMALL(IF("Documento no web"='03.Muestra'!$D$8:$D$42,ROW('03.Muestra'!$F$8:$F$42)-MIN(ROW('03.Muestra'!$D$8:$D$42))+1,""),ROW()-1044)),"")</f>
        <v/>
      </c>
      <c r="D1063" s="130" t="str">
        <f t="shared" si="55"/>
        <v/>
      </c>
      <c r="E1063" s="107" t="str">
        <f t="shared" si="54"/>
        <v/>
      </c>
      <c r="F1063" s="19"/>
      <c r="G1063" s="19"/>
      <c r="H1063" s="19"/>
      <c r="I1063" s="19"/>
      <c r="J1063" s="19"/>
      <c r="K1063" s="233"/>
      <c r="L1063" s="19"/>
      <c r="M1063" s="19"/>
      <c r="N1063" s="19"/>
      <c r="O1063" s="19"/>
      <c r="P1063" s="19"/>
      <c r="Q1063" s="19"/>
      <c r="R1063" s="19"/>
      <c r="S1063" s="19"/>
      <c r="T1063" s="19"/>
      <c r="U1063" s="19"/>
      <c r="V1063" s="19"/>
      <c r="W1063" s="19"/>
      <c r="X1063" s="19"/>
      <c r="Y1063" s="19"/>
    </row>
    <row r="1064" spans="1:25" ht="13.5" customHeight="1">
      <c r="A1064" s="219" t="str" cm="1">
        <f t="array" ref="A1064">IFERROR(INDEX('03.Muestra'!$B$8:$B$42,SMALL(IF("Documento no web"='03.Muestra'!$D$8:$D$42,ROW('03.Muestra'!$B$8:$B$42)-MIN(ROW('03.Muestra'!$D$8:$D$42))+1,""),ROW()-1044)),"")</f>
        <v/>
      </c>
      <c r="B1064" s="114" t="str" cm="1">
        <f t="array" ref="B1064">IFERROR(INDEX('03.Muestra'!$C$8:$C$42,SMALL(IF("Documento no web"='03.Muestra'!$D$8:$D$42,ROW('03.Muestra'!$C$8:$C$42)-MIN(ROW('03.Muestra'!$D$8:$D$42))+1,""),ROW()-1044)),"")</f>
        <v/>
      </c>
      <c r="C1064" s="114" t="str" cm="1">
        <f t="array" ref="C1064">IFERROR(INDEX('03.Muestra'!$F$8:$F$42,SMALL(IF("Documento no web"='03.Muestra'!$D$8:$D$42,ROW('03.Muestra'!$F$8:$F$42)-MIN(ROW('03.Muestra'!$D$8:$D$42))+1,""),ROW()-1044)),"")</f>
        <v/>
      </c>
      <c r="D1064" s="130" t="str">
        <f t="shared" si="55"/>
        <v/>
      </c>
      <c r="E1064" s="107" t="str">
        <f t="shared" si="54"/>
        <v/>
      </c>
      <c r="F1064" s="19"/>
      <c r="G1064" s="19"/>
      <c r="H1064" s="19"/>
      <c r="I1064" s="19"/>
      <c r="J1064" s="19"/>
      <c r="K1064" s="233"/>
      <c r="L1064" s="19"/>
      <c r="M1064" s="19"/>
      <c r="N1064" s="19"/>
      <c r="O1064" s="19"/>
      <c r="P1064" s="19"/>
      <c r="Q1064" s="19"/>
      <c r="R1064" s="19"/>
      <c r="S1064" s="19"/>
      <c r="T1064" s="19"/>
      <c r="U1064" s="19"/>
      <c r="V1064" s="19"/>
      <c r="W1064" s="19"/>
      <c r="X1064" s="19"/>
      <c r="Y1064" s="19"/>
    </row>
    <row r="1065" spans="1:25" ht="13.5" customHeight="1">
      <c r="A1065" s="219" t="str" cm="1">
        <f t="array" ref="A1065">IFERROR(INDEX('03.Muestra'!$B$8:$B$42,SMALL(IF("Documento no web"='03.Muestra'!$D$8:$D$42,ROW('03.Muestra'!$B$8:$B$42)-MIN(ROW('03.Muestra'!$D$8:$D$42))+1,""),ROW()-1044)),"")</f>
        <v/>
      </c>
      <c r="B1065" s="114" t="str" cm="1">
        <f t="array" ref="B1065">IFERROR(INDEX('03.Muestra'!$C$8:$C$42,SMALL(IF("Documento no web"='03.Muestra'!$D$8:$D$42,ROW('03.Muestra'!$C$8:$C$42)-MIN(ROW('03.Muestra'!$D$8:$D$42))+1,""),ROW()-1044)),"")</f>
        <v/>
      </c>
      <c r="C1065" s="114" t="str" cm="1">
        <f t="array" ref="C1065">IFERROR(INDEX('03.Muestra'!$F$8:$F$42,SMALL(IF("Documento no web"='03.Muestra'!$D$8:$D$42,ROW('03.Muestra'!$F$8:$F$42)-MIN(ROW('03.Muestra'!$D$8:$D$42))+1,""),ROW()-1044)),"")</f>
        <v/>
      </c>
      <c r="D1065" s="130" t="str">
        <f t="shared" si="55"/>
        <v/>
      </c>
      <c r="E1065" s="107" t="str">
        <f t="shared" si="54"/>
        <v/>
      </c>
      <c r="F1065" s="19"/>
      <c r="G1065" s="19"/>
      <c r="H1065" s="19"/>
      <c r="I1065" s="19"/>
      <c r="J1065" s="19"/>
      <c r="K1065" s="233"/>
      <c r="L1065" s="19"/>
      <c r="M1065" s="19"/>
      <c r="N1065" s="19"/>
      <c r="O1065" s="19"/>
      <c r="P1065" s="19"/>
      <c r="Q1065" s="19"/>
      <c r="R1065" s="19"/>
      <c r="S1065" s="19"/>
      <c r="T1065" s="19"/>
      <c r="U1065" s="19"/>
      <c r="V1065" s="19"/>
      <c r="W1065" s="19"/>
      <c r="X1065" s="19"/>
      <c r="Y1065" s="19"/>
    </row>
    <row r="1066" spans="1:25" ht="13.5" customHeight="1">
      <c r="A1066" s="219" t="str" cm="1">
        <f t="array" ref="A1066">IFERROR(INDEX('03.Muestra'!$B$8:$B$42,SMALL(IF("Documento no web"='03.Muestra'!$D$8:$D$42,ROW('03.Muestra'!$B$8:$B$42)-MIN(ROW('03.Muestra'!$D$8:$D$42))+1,""),ROW()-1044)),"")</f>
        <v/>
      </c>
      <c r="B1066" s="114" t="str" cm="1">
        <f t="array" ref="B1066">IFERROR(INDEX('03.Muestra'!$C$8:$C$42,SMALL(IF("Documento no web"='03.Muestra'!$D$8:$D$42,ROW('03.Muestra'!$C$8:$C$42)-MIN(ROW('03.Muestra'!$D$8:$D$42))+1,""),ROW()-1044)),"")</f>
        <v/>
      </c>
      <c r="C1066" s="114" t="str" cm="1">
        <f t="array" ref="C1066">IFERROR(INDEX('03.Muestra'!$F$8:$F$42,SMALL(IF("Documento no web"='03.Muestra'!$D$8:$D$42,ROW('03.Muestra'!$F$8:$F$42)-MIN(ROW('03.Muestra'!$D$8:$D$42))+1,""),ROW()-1044)),"")</f>
        <v/>
      </c>
      <c r="D1066" s="130" t="str">
        <f t="shared" si="55"/>
        <v/>
      </c>
      <c r="E1066" s="107" t="str">
        <f t="shared" si="54"/>
        <v/>
      </c>
      <c r="F1066" s="19"/>
      <c r="G1066" s="19"/>
      <c r="H1066" s="19"/>
      <c r="I1066" s="19"/>
      <c r="J1066" s="19"/>
      <c r="K1066" s="233"/>
      <c r="L1066" s="19"/>
      <c r="M1066" s="19"/>
      <c r="N1066" s="19"/>
      <c r="O1066" s="19"/>
      <c r="P1066" s="19"/>
      <c r="Q1066" s="19"/>
      <c r="R1066" s="19"/>
      <c r="S1066" s="19"/>
      <c r="T1066" s="19"/>
      <c r="U1066" s="19"/>
      <c r="V1066" s="19"/>
      <c r="W1066" s="19"/>
      <c r="X1066" s="19"/>
      <c r="Y1066" s="19"/>
    </row>
    <row r="1067" spans="1:25" ht="13.5" customHeight="1">
      <c r="A1067" s="219" t="str" cm="1">
        <f t="array" ref="A1067">IFERROR(INDEX('03.Muestra'!$B$8:$B$42,SMALL(IF("Documento no web"='03.Muestra'!$D$8:$D$42,ROW('03.Muestra'!$B$8:$B$42)-MIN(ROW('03.Muestra'!$D$8:$D$42))+1,""),ROW()-1044)),"")</f>
        <v/>
      </c>
      <c r="B1067" s="114" t="str" cm="1">
        <f t="array" ref="B1067">IFERROR(INDEX('03.Muestra'!$C$8:$C$42,SMALL(IF("Documento no web"='03.Muestra'!$D$8:$D$42,ROW('03.Muestra'!$C$8:$C$42)-MIN(ROW('03.Muestra'!$D$8:$D$42))+1,""),ROW()-1044)),"")</f>
        <v/>
      </c>
      <c r="C1067" s="114" t="str" cm="1">
        <f t="array" ref="C1067">IFERROR(INDEX('03.Muestra'!$F$8:$F$42,SMALL(IF("Documento no web"='03.Muestra'!$D$8:$D$42,ROW('03.Muestra'!$F$8:$F$42)-MIN(ROW('03.Muestra'!$D$8:$D$42))+1,""),ROW()-1044)),"")</f>
        <v/>
      </c>
      <c r="D1067" s="130" t="str">
        <f t="shared" si="55"/>
        <v/>
      </c>
      <c r="E1067" s="107" t="str">
        <f t="shared" si="54"/>
        <v/>
      </c>
      <c r="F1067" s="19"/>
      <c r="G1067" s="19"/>
      <c r="H1067" s="19"/>
      <c r="I1067" s="19"/>
      <c r="J1067" s="19"/>
      <c r="K1067" s="233"/>
      <c r="L1067" s="19"/>
      <c r="M1067" s="19"/>
      <c r="N1067" s="19"/>
      <c r="O1067" s="19"/>
      <c r="P1067" s="19"/>
      <c r="Q1067" s="19"/>
      <c r="R1067" s="19"/>
      <c r="S1067" s="19"/>
      <c r="T1067" s="19"/>
      <c r="U1067" s="19"/>
      <c r="V1067" s="19"/>
      <c r="W1067" s="19"/>
      <c r="X1067" s="19"/>
      <c r="Y1067" s="19"/>
    </row>
    <row r="1068" spans="1:25" ht="13.5" customHeight="1">
      <c r="A1068" s="219" t="str" cm="1">
        <f t="array" ref="A1068">IFERROR(INDEX('03.Muestra'!$B$8:$B$42,SMALL(IF("Documento no web"='03.Muestra'!$D$8:$D$42,ROW('03.Muestra'!$B$8:$B$42)-MIN(ROW('03.Muestra'!$D$8:$D$42))+1,""),ROW()-1044)),"")</f>
        <v/>
      </c>
      <c r="B1068" s="114" t="str" cm="1">
        <f t="array" ref="B1068">IFERROR(INDEX('03.Muestra'!$C$8:$C$42,SMALL(IF("Documento no web"='03.Muestra'!$D$8:$D$42,ROW('03.Muestra'!$C$8:$C$42)-MIN(ROW('03.Muestra'!$D$8:$D$42))+1,""),ROW()-1044)),"")</f>
        <v/>
      </c>
      <c r="C1068" s="114" t="str" cm="1">
        <f t="array" ref="C1068">IFERROR(INDEX('03.Muestra'!$F$8:$F$42,SMALL(IF("Documento no web"='03.Muestra'!$D$8:$D$42,ROW('03.Muestra'!$F$8:$F$42)-MIN(ROW('03.Muestra'!$D$8:$D$42))+1,""),ROW()-1044)),"")</f>
        <v/>
      </c>
      <c r="D1068" s="130" t="str">
        <f t="shared" si="55"/>
        <v/>
      </c>
      <c r="E1068" s="107" t="str">
        <f t="shared" si="54"/>
        <v/>
      </c>
      <c r="F1068" s="19"/>
      <c r="G1068" s="19"/>
      <c r="H1068" s="19"/>
      <c r="I1068" s="19"/>
      <c r="J1068" s="19"/>
      <c r="K1068" s="233"/>
      <c r="L1068" s="19"/>
      <c r="M1068" s="19"/>
      <c r="N1068" s="19"/>
      <c r="O1068" s="19"/>
      <c r="P1068" s="19"/>
      <c r="Q1068" s="19"/>
      <c r="R1068" s="19"/>
      <c r="S1068" s="19"/>
      <c r="T1068" s="19"/>
      <c r="U1068" s="19"/>
      <c r="V1068" s="19"/>
      <c r="W1068" s="19"/>
      <c r="X1068" s="19"/>
      <c r="Y1068" s="19"/>
    </row>
    <row r="1069" spans="1:25" ht="13.5" customHeight="1">
      <c r="A1069" s="219" t="str" cm="1">
        <f t="array" ref="A1069">IFERROR(INDEX('03.Muestra'!$B$8:$B$42,SMALL(IF("Documento no web"='03.Muestra'!$D$8:$D$42,ROW('03.Muestra'!$B$8:$B$42)-MIN(ROW('03.Muestra'!$D$8:$D$42))+1,""),ROW()-1044)),"")</f>
        <v/>
      </c>
      <c r="B1069" s="114" t="str" cm="1">
        <f t="array" ref="B1069">IFERROR(INDEX('03.Muestra'!$C$8:$C$42,SMALL(IF("Documento no web"='03.Muestra'!$D$8:$D$42,ROW('03.Muestra'!$C$8:$C$42)-MIN(ROW('03.Muestra'!$D$8:$D$42))+1,""),ROW()-1044)),"")</f>
        <v/>
      </c>
      <c r="C1069" s="114" t="str" cm="1">
        <f t="array" ref="C1069">IFERROR(INDEX('03.Muestra'!$F$8:$F$42,SMALL(IF("Documento no web"='03.Muestra'!$D$8:$D$42,ROW('03.Muestra'!$F$8:$F$42)-MIN(ROW('03.Muestra'!$D$8:$D$42))+1,""),ROW()-1044)),"")</f>
        <v/>
      </c>
      <c r="D1069" s="130" t="str">
        <f t="shared" si="55"/>
        <v/>
      </c>
      <c r="E1069" s="107" t="str">
        <f t="shared" si="54"/>
        <v/>
      </c>
      <c r="F1069" s="19"/>
      <c r="G1069" s="19"/>
      <c r="H1069" s="19"/>
      <c r="I1069" s="19"/>
      <c r="J1069" s="19"/>
      <c r="K1069" s="233"/>
      <c r="L1069" s="19"/>
      <c r="M1069" s="19"/>
      <c r="N1069" s="19"/>
      <c r="O1069" s="19"/>
      <c r="P1069" s="19"/>
      <c r="Q1069" s="19"/>
      <c r="R1069" s="19"/>
      <c r="S1069" s="19"/>
      <c r="T1069" s="19"/>
      <c r="U1069" s="19"/>
      <c r="V1069" s="19"/>
      <c r="W1069" s="19"/>
      <c r="X1069" s="19"/>
      <c r="Y1069" s="19"/>
    </row>
    <row r="1070" spans="1:25" ht="13.5" customHeight="1">
      <c r="A1070" s="219" t="str" cm="1">
        <f t="array" ref="A1070">IFERROR(INDEX('03.Muestra'!$B$8:$B$42,SMALL(IF("Documento no web"='03.Muestra'!$D$8:$D$42,ROW('03.Muestra'!$B$8:$B$42)-MIN(ROW('03.Muestra'!$D$8:$D$42))+1,""),ROW()-1044)),"")</f>
        <v/>
      </c>
      <c r="B1070" s="114" t="str" cm="1">
        <f t="array" ref="B1070">IFERROR(INDEX('03.Muestra'!$C$8:$C$42,SMALL(IF("Documento no web"='03.Muestra'!$D$8:$D$42,ROW('03.Muestra'!$C$8:$C$42)-MIN(ROW('03.Muestra'!$D$8:$D$42))+1,""),ROW()-1044)),"")</f>
        <v/>
      </c>
      <c r="C1070" s="114" t="str" cm="1">
        <f t="array" ref="C1070">IFERROR(INDEX('03.Muestra'!$F$8:$F$42,SMALL(IF("Documento no web"='03.Muestra'!$D$8:$D$42,ROW('03.Muestra'!$F$8:$F$42)-MIN(ROW('03.Muestra'!$D$8:$D$42))+1,""),ROW()-1044)),"")</f>
        <v/>
      </c>
      <c r="D1070" s="130" t="str">
        <f t="shared" si="55"/>
        <v/>
      </c>
      <c r="E1070" s="107" t="str">
        <f t="shared" si="54"/>
        <v/>
      </c>
      <c r="F1070" s="19"/>
      <c r="G1070" s="19"/>
      <c r="H1070" s="19"/>
      <c r="I1070" s="19"/>
      <c r="J1070" s="19"/>
      <c r="K1070" s="233"/>
      <c r="L1070" s="19"/>
      <c r="M1070" s="19"/>
      <c r="N1070" s="19"/>
      <c r="O1070" s="19"/>
      <c r="P1070" s="19"/>
      <c r="Q1070" s="19"/>
      <c r="R1070" s="19"/>
      <c r="S1070" s="19"/>
      <c r="T1070" s="19"/>
      <c r="U1070" s="19"/>
      <c r="V1070" s="19"/>
      <c r="W1070" s="19"/>
      <c r="X1070" s="19"/>
      <c r="Y1070" s="19"/>
    </row>
    <row r="1071" spans="1:25" ht="13.5" customHeight="1">
      <c r="A1071" s="219" t="str" cm="1">
        <f t="array" ref="A1071">IFERROR(INDEX('03.Muestra'!$B$8:$B$42,SMALL(IF("Documento no web"='03.Muestra'!$D$8:$D$42,ROW('03.Muestra'!$B$8:$B$42)-MIN(ROW('03.Muestra'!$D$8:$D$42))+1,""),ROW()-1044)),"")</f>
        <v/>
      </c>
      <c r="B1071" s="114" t="str" cm="1">
        <f t="array" ref="B1071">IFERROR(INDEX('03.Muestra'!$C$8:$C$42,SMALL(IF("Documento no web"='03.Muestra'!$D$8:$D$42,ROW('03.Muestra'!$C$8:$C$42)-MIN(ROW('03.Muestra'!$D$8:$D$42))+1,""),ROW()-1044)),"")</f>
        <v/>
      </c>
      <c r="C1071" s="114" t="str" cm="1">
        <f t="array" ref="C1071">IFERROR(INDEX('03.Muestra'!$F$8:$F$42,SMALL(IF("Documento no web"='03.Muestra'!$D$8:$D$42,ROW('03.Muestra'!$F$8:$F$42)-MIN(ROW('03.Muestra'!$D$8:$D$42))+1,""),ROW()-1044)),"")</f>
        <v/>
      </c>
      <c r="D1071" s="130" t="str">
        <f t="shared" si="55"/>
        <v/>
      </c>
      <c r="E1071" s="107" t="str">
        <f t="shared" si="54"/>
        <v/>
      </c>
      <c r="F1071" s="19"/>
      <c r="G1071" s="19"/>
      <c r="H1071" s="19"/>
      <c r="I1071" s="19"/>
      <c r="J1071" s="19"/>
      <c r="K1071" s="233"/>
      <c r="L1071" s="19"/>
      <c r="M1071" s="19"/>
      <c r="N1071" s="19"/>
      <c r="O1071" s="19"/>
      <c r="P1071" s="19"/>
      <c r="Q1071" s="19"/>
      <c r="R1071" s="19"/>
      <c r="S1071" s="19"/>
      <c r="T1071" s="19"/>
      <c r="U1071" s="19"/>
      <c r="V1071" s="19"/>
      <c r="W1071" s="19"/>
      <c r="X1071" s="19"/>
      <c r="Y1071" s="19"/>
    </row>
    <row r="1072" spans="1:25" ht="13.5" customHeight="1">
      <c r="A1072" s="219" t="str" cm="1">
        <f t="array" ref="A1072">IFERROR(INDEX('03.Muestra'!$B$8:$B$42,SMALL(IF("Documento no web"='03.Muestra'!$D$8:$D$42,ROW('03.Muestra'!$B$8:$B$42)-MIN(ROW('03.Muestra'!$D$8:$D$42))+1,""),ROW()-1044)),"")</f>
        <v/>
      </c>
      <c r="B1072" s="114" t="str" cm="1">
        <f t="array" ref="B1072">IFERROR(INDEX('03.Muestra'!$C$8:$C$42,SMALL(IF("Documento no web"='03.Muestra'!$D$8:$D$42,ROW('03.Muestra'!$C$8:$C$42)-MIN(ROW('03.Muestra'!$D$8:$D$42))+1,""),ROW()-1044)),"")</f>
        <v/>
      </c>
      <c r="C1072" s="114" t="str" cm="1">
        <f t="array" ref="C1072">IFERROR(INDEX('03.Muestra'!$F$8:$F$42,SMALL(IF("Documento no web"='03.Muestra'!$D$8:$D$42,ROW('03.Muestra'!$F$8:$F$42)-MIN(ROW('03.Muestra'!$D$8:$D$42))+1,""),ROW()-1044)),"")</f>
        <v/>
      </c>
      <c r="D1072" s="130" t="str">
        <f t="shared" si="55"/>
        <v/>
      </c>
      <c r="E1072" s="107" t="str">
        <f t="shared" si="54"/>
        <v/>
      </c>
      <c r="G1072" s="19"/>
      <c r="H1072" s="19"/>
      <c r="I1072" s="19"/>
      <c r="J1072" s="19"/>
      <c r="K1072" s="233"/>
      <c r="L1072" s="19"/>
      <c r="M1072" s="19"/>
      <c r="N1072" s="19"/>
      <c r="O1072" s="19"/>
      <c r="P1072" s="19"/>
      <c r="Q1072" s="19"/>
      <c r="R1072" s="19"/>
      <c r="S1072" s="19"/>
      <c r="T1072" s="19"/>
      <c r="U1072" s="19"/>
      <c r="V1072" s="19"/>
      <c r="W1072" s="19"/>
      <c r="X1072" s="19"/>
      <c r="Y1072" s="19"/>
    </row>
    <row r="1073" spans="1:25" ht="13.5" customHeight="1">
      <c r="A1073" s="219" t="str" cm="1">
        <f t="array" ref="A1073">IFERROR(INDEX('03.Muestra'!$B$8:$B$42,SMALL(IF("Documento no web"='03.Muestra'!$D$8:$D$42,ROW('03.Muestra'!$B$8:$B$42)-MIN(ROW('03.Muestra'!$D$8:$D$42))+1,""),ROW()-1044)),"")</f>
        <v/>
      </c>
      <c r="B1073" s="114" t="str" cm="1">
        <f t="array" ref="B1073">IFERROR(INDEX('03.Muestra'!$C$8:$C$42,SMALL(IF("Documento no web"='03.Muestra'!$D$8:$D$42,ROW('03.Muestra'!$C$8:$C$42)-MIN(ROW('03.Muestra'!$D$8:$D$42))+1,""),ROW()-1044)),"")</f>
        <v/>
      </c>
      <c r="C1073" s="114" t="str" cm="1">
        <f t="array" ref="C1073">IFERROR(INDEX('03.Muestra'!$F$8:$F$42,SMALL(IF("Documento no web"='03.Muestra'!$D$8:$D$42,ROW('03.Muestra'!$F$8:$F$42)-MIN(ROW('03.Muestra'!$D$8:$D$42))+1,""),ROW()-1044)),"")</f>
        <v/>
      </c>
      <c r="D1073" s="130" t="str">
        <f t="shared" si="55"/>
        <v/>
      </c>
      <c r="E1073" s="107" t="str">
        <f t="shared" si="54"/>
        <v/>
      </c>
      <c r="F1073" s="124"/>
      <c r="G1073" s="19"/>
      <c r="H1073" s="19"/>
      <c r="I1073" s="19"/>
      <c r="J1073" s="19"/>
      <c r="K1073" s="233"/>
      <c r="L1073" s="19"/>
      <c r="M1073" s="19"/>
      <c r="N1073" s="19"/>
      <c r="O1073" s="19"/>
      <c r="P1073" s="19"/>
      <c r="Q1073" s="19"/>
      <c r="R1073" s="19"/>
      <c r="S1073" s="19"/>
      <c r="T1073" s="19"/>
      <c r="U1073" s="19"/>
      <c r="V1073" s="19"/>
      <c r="W1073" s="19"/>
      <c r="X1073" s="19"/>
      <c r="Y1073" s="19"/>
    </row>
    <row r="1074" spans="1:25" ht="13.5" customHeight="1">
      <c r="A1074" s="219" t="str" cm="1">
        <f t="array" ref="A1074">IFERROR(INDEX('03.Muestra'!$B$8:$B$42,SMALL(IF("Documento no web"='03.Muestra'!$D$8:$D$42,ROW('03.Muestra'!$B$8:$B$42)-MIN(ROW('03.Muestra'!$D$8:$D$42))+1,""),ROW()-1044)),"")</f>
        <v/>
      </c>
      <c r="B1074" s="114" t="str" cm="1">
        <f t="array" ref="B1074">IFERROR(INDEX('03.Muestra'!$C$8:$C$42,SMALL(IF("Documento no web"='03.Muestra'!$D$8:$D$42,ROW('03.Muestra'!$C$8:$C$42)-MIN(ROW('03.Muestra'!$D$8:$D$42))+1,""),ROW()-1044)),"")</f>
        <v/>
      </c>
      <c r="C1074" s="114" t="str" cm="1">
        <f t="array" ref="C1074">IFERROR(INDEX('03.Muestra'!$F$8:$F$42,SMALL(IF("Documento no web"='03.Muestra'!$D$8:$D$42,ROW('03.Muestra'!$F$8:$F$42)-MIN(ROW('03.Muestra'!$D$8:$D$42))+1,""),ROW()-1044)),"")</f>
        <v/>
      </c>
      <c r="D1074" s="130" t="str">
        <f t="shared" si="55"/>
        <v/>
      </c>
      <c r="E1074" s="107" t="str">
        <f t="shared" si="54"/>
        <v/>
      </c>
      <c r="F1074" s="124"/>
      <c r="G1074" s="19"/>
      <c r="H1074" s="19"/>
      <c r="I1074" s="19"/>
      <c r="J1074" s="19"/>
      <c r="K1074" s="233"/>
      <c r="L1074" s="19"/>
      <c r="M1074" s="19"/>
      <c r="N1074" s="19"/>
      <c r="O1074" s="19"/>
      <c r="P1074" s="19"/>
      <c r="Q1074" s="19"/>
      <c r="R1074" s="19"/>
      <c r="S1074" s="19"/>
      <c r="T1074" s="19"/>
      <c r="U1074" s="19"/>
      <c r="V1074" s="19"/>
      <c r="W1074" s="19"/>
      <c r="X1074" s="19"/>
      <c r="Y1074" s="19"/>
    </row>
    <row r="1075" spans="1:25" ht="13.5" customHeight="1">
      <c r="A1075" s="219" t="str" cm="1">
        <f t="array" ref="A1075">IFERROR(INDEX('03.Muestra'!$B$8:$B$42,SMALL(IF("Documento no web"='03.Muestra'!$D$8:$D$42,ROW('03.Muestra'!$B$8:$B$42)-MIN(ROW('03.Muestra'!$D$8:$D$42))+1,""),ROW()-1044)),"")</f>
        <v/>
      </c>
      <c r="B1075" s="114" t="str" cm="1">
        <f t="array" ref="B1075">IFERROR(INDEX('03.Muestra'!$C$8:$C$42,SMALL(IF("Documento no web"='03.Muestra'!$D$8:$D$42,ROW('03.Muestra'!$C$8:$C$42)-MIN(ROW('03.Muestra'!$D$8:$D$42))+1,""),ROW()-1044)),"")</f>
        <v/>
      </c>
      <c r="C1075" s="114" t="str" cm="1">
        <f t="array" ref="C1075">IFERROR(INDEX('03.Muestra'!$F$8:$F$42,SMALL(IF("Documento no web"='03.Muestra'!$D$8:$D$42,ROW('03.Muestra'!$F$8:$F$42)-MIN(ROW('03.Muestra'!$D$8:$D$42))+1,""),ROW()-1044)),"")</f>
        <v/>
      </c>
      <c r="D1075" s="130" t="str">
        <f t="shared" si="55"/>
        <v/>
      </c>
      <c r="E1075" s="107" t="str">
        <f t="shared" si="54"/>
        <v/>
      </c>
      <c r="F1075" s="124"/>
      <c r="G1075" s="19"/>
      <c r="H1075" s="19"/>
      <c r="I1075" s="19"/>
      <c r="J1075" s="19"/>
      <c r="K1075" s="233"/>
      <c r="L1075" s="19"/>
      <c r="M1075" s="19"/>
      <c r="N1075" s="19"/>
      <c r="O1075" s="19"/>
      <c r="P1075" s="19"/>
      <c r="Q1075" s="19"/>
      <c r="R1075" s="19"/>
      <c r="S1075" s="19"/>
      <c r="T1075" s="19"/>
      <c r="U1075" s="19"/>
      <c r="V1075" s="19"/>
      <c r="W1075" s="19"/>
      <c r="X1075" s="19"/>
      <c r="Y1075" s="19"/>
    </row>
    <row r="1076" spans="1:25" ht="13.5" customHeight="1">
      <c r="A1076" s="219" t="str" cm="1">
        <f t="array" ref="A1076">IFERROR(INDEX('03.Muestra'!$B$8:$B$42,SMALL(IF("Documento no web"='03.Muestra'!$D$8:$D$42,ROW('03.Muestra'!$B$8:$B$42)-MIN(ROW('03.Muestra'!$D$8:$D$42))+1,""),ROW()-1044)),"")</f>
        <v/>
      </c>
      <c r="B1076" s="114" t="str" cm="1">
        <f t="array" ref="B1076">IFERROR(INDEX('03.Muestra'!$C$8:$C$42,SMALL(IF("Documento no web"='03.Muestra'!$D$8:$D$42,ROW('03.Muestra'!$C$8:$C$42)-MIN(ROW('03.Muestra'!$D$8:$D$42))+1,""),ROW()-1044)),"")</f>
        <v/>
      </c>
      <c r="C1076" s="114" t="str" cm="1">
        <f t="array" ref="C1076">IFERROR(INDEX('03.Muestra'!$F$8:$F$42,SMALL(IF("Documento no web"='03.Muestra'!$D$8:$D$42,ROW('03.Muestra'!$F$8:$F$42)-MIN(ROW('03.Muestra'!$D$8:$D$42))+1,""),ROW()-1044)),"")</f>
        <v/>
      </c>
      <c r="D1076" s="130" t="str">
        <f t="shared" si="55"/>
        <v/>
      </c>
      <c r="E1076" s="107" t="str">
        <f t="shared" si="54"/>
        <v/>
      </c>
      <c r="F1076" s="124"/>
      <c r="G1076" s="19"/>
      <c r="H1076" s="19"/>
      <c r="I1076" s="19"/>
      <c r="J1076" s="19"/>
      <c r="K1076" s="233"/>
      <c r="L1076" s="19"/>
      <c r="M1076" s="19"/>
      <c r="N1076" s="19"/>
      <c r="O1076" s="19"/>
      <c r="P1076" s="19"/>
      <c r="Q1076" s="19"/>
      <c r="R1076" s="19"/>
      <c r="S1076" s="19"/>
      <c r="T1076" s="19"/>
      <c r="U1076" s="19"/>
      <c r="V1076" s="19"/>
      <c r="W1076" s="19"/>
      <c r="X1076" s="19"/>
      <c r="Y1076" s="19"/>
    </row>
    <row r="1077" spans="1:25" ht="13.5" customHeight="1">
      <c r="A1077" s="219" t="str" cm="1">
        <f t="array" ref="A1077">IFERROR(INDEX('03.Muestra'!$B$8:$B$42,SMALL(IF("Documento no web"='03.Muestra'!$D$8:$D$42,ROW('03.Muestra'!$B$8:$B$42)-MIN(ROW('03.Muestra'!$D$8:$D$42))+1,""),ROW()-1044)),"")</f>
        <v/>
      </c>
      <c r="B1077" s="114" t="str" cm="1">
        <f t="array" ref="B1077">IFERROR(INDEX('03.Muestra'!$C$8:$C$42,SMALL(IF("Documento no web"='03.Muestra'!$D$8:$D$42,ROW('03.Muestra'!$C$8:$C$42)-MIN(ROW('03.Muestra'!$D$8:$D$42))+1,""),ROW()-1044)),"")</f>
        <v/>
      </c>
      <c r="C1077" s="114" t="str" cm="1">
        <f t="array" ref="C1077">IFERROR(INDEX('03.Muestra'!$F$8:$F$42,SMALL(IF("Documento no web"='03.Muestra'!$D$8:$D$42,ROW('03.Muestra'!$F$8:$F$42)-MIN(ROW('03.Muestra'!$D$8:$D$42))+1,""),ROW()-1044)),"")</f>
        <v/>
      </c>
      <c r="D1077" s="130" t="str">
        <f t="shared" si="55"/>
        <v/>
      </c>
      <c r="E1077" s="107" t="str">
        <f t="shared" si="54"/>
        <v/>
      </c>
      <c r="F1077" s="124"/>
      <c r="G1077" s="19"/>
      <c r="H1077" s="19"/>
      <c r="I1077" s="19"/>
      <c r="J1077" s="19"/>
      <c r="K1077" s="233"/>
      <c r="L1077" s="19"/>
      <c r="M1077" s="19"/>
      <c r="N1077" s="19"/>
      <c r="O1077" s="19"/>
      <c r="P1077" s="19"/>
      <c r="Q1077" s="19"/>
      <c r="R1077" s="19"/>
      <c r="S1077" s="19"/>
      <c r="T1077" s="19"/>
      <c r="U1077" s="19"/>
      <c r="V1077" s="19"/>
      <c r="W1077" s="19"/>
      <c r="X1077" s="19"/>
      <c r="Y1077" s="19"/>
    </row>
    <row r="1078" spans="1:25" ht="13.5" customHeight="1">
      <c r="A1078" s="219" t="str" cm="1">
        <f t="array" ref="A1078">IFERROR(INDEX('03.Muestra'!$B$8:$B$42,SMALL(IF("Documento no web"='03.Muestra'!$D$8:$D$42,ROW('03.Muestra'!$B$8:$B$42)-MIN(ROW('03.Muestra'!$D$8:$D$42))+1,""),ROW()-1044)),"")</f>
        <v/>
      </c>
      <c r="B1078" s="114" t="str" cm="1">
        <f t="array" ref="B1078">IFERROR(INDEX('03.Muestra'!$C$8:$C$42,SMALL(IF("Documento no web"='03.Muestra'!$D$8:$D$42,ROW('03.Muestra'!$C$8:$C$42)-MIN(ROW('03.Muestra'!$D$8:$D$42))+1,""),ROW()-1044)),"")</f>
        <v/>
      </c>
      <c r="C1078" s="114" t="str" cm="1">
        <f t="array" ref="C1078">IFERROR(INDEX('03.Muestra'!$F$8:$F$42,SMALL(IF("Documento no web"='03.Muestra'!$D$8:$D$42,ROW('03.Muestra'!$F$8:$F$42)-MIN(ROW('03.Muestra'!$D$8:$D$42))+1,""),ROW()-1044)),"")</f>
        <v/>
      </c>
      <c r="D1078" s="130" t="str">
        <f t="shared" si="55"/>
        <v/>
      </c>
      <c r="E1078" s="107" t="str">
        <f t="shared" si="54"/>
        <v/>
      </c>
      <c r="F1078" s="124"/>
      <c r="G1078" s="19"/>
      <c r="H1078" s="19"/>
      <c r="I1078" s="19"/>
      <c r="J1078" s="19"/>
      <c r="K1078" s="233"/>
      <c r="L1078" s="19"/>
      <c r="M1078" s="19"/>
      <c r="N1078" s="19"/>
      <c r="O1078" s="19"/>
      <c r="P1078" s="19"/>
      <c r="Q1078" s="19"/>
      <c r="R1078" s="19"/>
      <c r="S1078" s="19"/>
      <c r="T1078" s="19"/>
      <c r="U1078" s="19"/>
      <c r="V1078" s="19"/>
      <c r="W1078" s="19"/>
      <c r="X1078" s="19"/>
      <c r="Y1078" s="19"/>
    </row>
    <row r="1079" spans="1:25" ht="13.5" customHeight="1">
      <c r="A1079" s="219" t="str" cm="1">
        <f t="array" ref="A1079">IFERROR(INDEX('03.Muestra'!$B$8:$B$42,SMALL(IF("Documento no web"='03.Muestra'!$D$8:$D$42,ROW('03.Muestra'!$B$8:$B$42)-MIN(ROW('03.Muestra'!$D$8:$D$42))+1,""),ROW()-1044)),"")</f>
        <v/>
      </c>
      <c r="B1079" s="114" t="str" cm="1">
        <f t="array" ref="B1079">IFERROR(INDEX('03.Muestra'!$C$8:$C$42,SMALL(IF("Documento no web"='03.Muestra'!$D$8:$D$42,ROW('03.Muestra'!$C$8:$C$42)-MIN(ROW('03.Muestra'!$D$8:$D$42))+1,""),ROW()-1044)),"")</f>
        <v/>
      </c>
      <c r="C1079" s="114" t="str" cm="1">
        <f t="array" ref="C1079">IFERROR(INDEX('03.Muestra'!$F$8:$F$42,SMALL(IF("Documento no web"='03.Muestra'!$D$8:$D$42,ROW('03.Muestra'!$F$8:$F$42)-MIN(ROW('03.Muestra'!$D$8:$D$42))+1,""),ROW()-1044)),"")</f>
        <v/>
      </c>
      <c r="D1079" s="130" t="str">
        <f t="shared" si="55"/>
        <v/>
      </c>
      <c r="E1079" s="107" t="str">
        <f t="shared" si="54"/>
        <v/>
      </c>
      <c r="F1079" s="19"/>
      <c r="G1079" s="19"/>
      <c r="H1079" s="19"/>
      <c r="I1079" s="19"/>
      <c r="J1079" s="19"/>
      <c r="K1079" s="233"/>
      <c r="L1079" s="19"/>
      <c r="M1079" s="19"/>
      <c r="N1079" s="19"/>
      <c r="O1079" s="19"/>
      <c r="P1079" s="19"/>
      <c r="Q1079" s="19"/>
      <c r="R1079" s="19"/>
      <c r="S1079" s="19"/>
      <c r="T1079" s="19"/>
      <c r="U1079" s="19"/>
      <c r="V1079" s="19"/>
      <c r="W1079" s="19"/>
      <c r="X1079" s="19"/>
      <c r="Y1079" s="19"/>
    </row>
    <row r="1080" spans="1:25" ht="13.5" customHeight="1">
      <c r="B1080" s="19"/>
      <c r="C1080" s="19"/>
      <c r="D1080" s="107"/>
      <c r="E1080" s="19"/>
      <c r="F1080" s="19"/>
      <c r="G1080" s="19"/>
      <c r="H1080" s="19"/>
      <c r="I1080" s="19"/>
      <c r="J1080" s="19"/>
      <c r="K1080" s="233"/>
      <c r="L1080" s="19"/>
      <c r="M1080" s="19"/>
      <c r="N1080" s="19"/>
      <c r="O1080" s="19"/>
      <c r="P1080" s="19"/>
      <c r="Q1080" s="19"/>
      <c r="R1080" s="19"/>
      <c r="S1080" s="19"/>
      <c r="T1080" s="19"/>
      <c r="U1080" s="19"/>
      <c r="V1080" s="19"/>
      <c r="W1080" s="19"/>
      <c r="X1080" s="19"/>
      <c r="Y1080" s="19"/>
    </row>
    <row r="1081" spans="1:25" ht="13.5" customHeight="1">
      <c r="B1081" s="126"/>
      <c r="C1081" s="19"/>
      <c r="D1081" s="107"/>
      <c r="E1081" s="112"/>
      <c r="F1081" s="19"/>
      <c r="G1081" s="19"/>
      <c r="H1081" s="19"/>
      <c r="I1081" s="19"/>
      <c r="J1081" s="19"/>
      <c r="K1081" s="233"/>
      <c r="L1081" s="19"/>
      <c r="M1081" s="19"/>
      <c r="N1081" s="19"/>
      <c r="O1081" s="19"/>
      <c r="P1081" s="19"/>
      <c r="Q1081" s="19"/>
      <c r="R1081" s="19"/>
      <c r="S1081" s="19"/>
      <c r="T1081" s="19"/>
      <c r="U1081" s="19"/>
      <c r="V1081" s="19"/>
      <c r="W1081" s="19"/>
      <c r="X1081" s="19"/>
      <c r="Y1081" s="19"/>
    </row>
    <row r="1082" spans="1:25" ht="30" customHeight="1">
      <c r="A1082" s="218" t="s">
        <v>268</v>
      </c>
      <c r="B1082" s="24" t="s">
        <v>90</v>
      </c>
      <c r="C1082" s="25" t="s">
        <v>450</v>
      </c>
      <c r="D1082" s="26" t="s">
        <v>32</v>
      </c>
      <c r="E1082" s="123"/>
      <c r="K1082" s="233"/>
      <c r="L1082" s="19"/>
      <c r="M1082" s="19"/>
      <c r="N1082" s="19"/>
      <c r="O1082" s="19"/>
      <c r="P1082" s="19"/>
      <c r="Q1082" s="19"/>
      <c r="R1082" s="19"/>
      <c r="S1082" s="19"/>
      <c r="T1082" s="19"/>
      <c r="U1082" s="19"/>
      <c r="V1082" s="19"/>
      <c r="W1082" s="19"/>
      <c r="X1082" s="19"/>
      <c r="Y1082" s="19"/>
    </row>
    <row r="1083" spans="1:25" ht="13.5" customHeight="1">
      <c r="A1083" s="219" t="n" cm="1">
        <f t="array" ref="A1083">IFERROR(INDEX('03.Muestra'!$B$8:$B$42,SMALL(IF("Documento no web"='03.Muestra'!$D$8:$D$42,ROW('03.Muestra'!$B$8:$B$42)-MIN(ROW('03.Muestra'!$D$8:$D$42))+1,""),ROW()-1082)),"")</f>
        <v>1.0</v>
      </c>
      <c r="B1083" s="114" t="str" cm="1">
        <f t="array" ref="B1083">IFERROR(INDEX('03.Muestra'!$C$8:$C$42,SMALL(IF("Documento no web"='03.Muestra'!$D$8:$D$42,ROW('03.Muestra'!$C$8:$C$42)-MIN(ROW('03.Muestra'!$D$8:$D$42))+1,""),ROW()-1082)),"")</f>
        <v>Home - PortCastelló</v>
      </c>
      <c r="C1083" s="114" t="str" cm="1">
        <f t="array" ref="C1083">IFERROR(INDEX('03.Muestra'!$F$8:$F$42,SMALL(IF("Documento no web"='03.Muestra'!$D$8:$D$42,ROW('03.Muestra'!$F$8:$F$42)-MIN(ROW('03.Muestra'!$D$8:$D$42))+1,""),ROW()-1082)),"")</f>
        <v>https://www.portcastello.com/</v>
      </c>
      <c r="D1083" s="130" t="s">
        <v>33</v>
      </c>
      <c r="E1083" s="107" t="str">
        <f t="shared" ref="E1083:E1117" si="56">IF(D1083&lt;&gt;"",IF(AND(B1083&lt;&gt;"",C1083&lt;&gt;""),"","ERR"),"")</f>
        <v/>
      </c>
      <c r="F1083" s="115" t="s">
        <v>33</v>
      </c>
      <c r="G1083" s="116" t="s">
        <v>37</v>
      </c>
      <c r="H1083" s="117" t="s">
        <v>35</v>
      </c>
      <c r="I1083" s="118" t="s">
        <v>28</v>
      </c>
      <c r="J1083" s="119" t="s">
        <v>26</v>
      </c>
      <c r="K1083" s="226" t="s">
        <v>474</v>
      </c>
      <c r="L1083" s="19"/>
      <c r="M1083" s="19"/>
      <c r="N1083" s="19"/>
      <c r="O1083" s="19"/>
      <c r="P1083" s="19"/>
      <c r="Q1083" s="19"/>
      <c r="R1083" s="19"/>
      <c r="S1083" s="19"/>
      <c r="T1083" s="19"/>
      <c r="U1083" s="19"/>
      <c r="V1083" s="19"/>
      <c r="W1083" s="19"/>
      <c r="X1083" s="19"/>
      <c r="Y1083" s="19"/>
    </row>
    <row r="1084" spans="1:25" ht="13.5" customHeight="1">
      <c r="A1084" s="219" t="n" cm="1">
        <f t="array" ref="A1084">IFERROR(INDEX('03.Muestra'!$B$8:$B$42,SMALL(IF("Documento no web"='03.Muestra'!$D$8:$D$42,ROW('03.Muestra'!$B$8:$B$42)-MIN(ROW('03.Muestra'!$D$8:$D$42))+1,""),ROW()-1082)),"")</f>
        <v>1.0</v>
      </c>
      <c r="B1084" s="114" t="str" cm="1">
        <f t="array" ref="B1084">IFERROR(INDEX('03.Muestra'!$C$8:$C$42,SMALL(IF("Documento no web"='03.Muestra'!$D$8:$D$42,ROW('03.Muestra'!$C$8:$C$42)-MIN(ROW('03.Muestra'!$D$8:$D$42))+1,""),ROW()-1082)),"")</f>
        <v>Home - PortCastelló</v>
      </c>
      <c r="C1084" s="114" t="str" cm="1">
        <f t="array" ref="C1084">IFERROR(INDEX('03.Muestra'!$F$8:$F$42,SMALL(IF("Documento no web"='03.Muestra'!$D$8:$D$42,ROW('03.Muestra'!$F$8:$F$42)-MIN(ROW('03.Muestra'!$D$8:$D$42))+1,""),ROW()-1082)),"")</f>
        <v>https://www.portcastello.com/</v>
      </c>
      <c r="D1084" s="130" t="s">
        <v>33</v>
      </c>
      <c r="E1084" s="107" t="str">
        <f t="shared" si="56"/>
        <v/>
      </c>
      <c r="F1084" s="120" t="n">
        <f ca="1">COUNTIF($D1083:INDIRECT("$D" &amp;  SUM(ROW()-1,'03.Muestra'!$D$45)-1),F1083)</f>
        <v>2.0</v>
      </c>
      <c r="G1084" s="120" t="n">
        <f ca="1">COUNTIF($D1083:INDIRECT("$D" &amp;  SUM(ROW()-1,'03.Muestra'!$D$45)-1),G1083)</f>
        <v>0.0</v>
      </c>
      <c r="H1084" s="120" t="n">
        <f ca="1">COUNTIF($D1083:INDIRECT("$D" &amp;  SUM(ROW()-1,'03.Muestra'!$D$45)-1),H1083)</f>
        <v>0.0</v>
      </c>
      <c r="I1084" s="120" t="n">
        <f ca="1">COUNTIF($D1083:INDIRECT("$D" &amp;  SUM(ROW()-1,'03.Muestra'!$D$45)-1),I1083)</f>
        <v>0.0</v>
      </c>
      <c r="J1084" s="120" t="n">
        <f ca="1">COUNTIF($D1083:INDIRECT("$D" &amp;  SUM(ROW()-1,'03.Muestra'!$D$45)-1),J1083)</f>
        <v>0.0</v>
      </c>
      <c r="K1084" s="227" t="n">
        <f ca="1">IF(COUNTIF('03.Muestra'!$D$8:$D$42,"Documento no web")=0,0,COUNTBLANK($D1083:INDIRECT("$D" &amp;  SUM(ROW()-1,COUNTIF('03.Muestra'!$D$8:$D$42,"Documento no web"))-1)))</f>
        <v>0.0</v>
      </c>
      <c r="L1084" s="19"/>
      <c r="M1084" s="19"/>
      <c r="N1084" s="19"/>
      <c r="O1084" s="19"/>
      <c r="P1084" s="19"/>
      <c r="Q1084" s="19"/>
      <c r="R1084" s="19"/>
      <c r="S1084" s="19"/>
      <c r="T1084" s="19"/>
      <c r="U1084" s="19"/>
      <c r="V1084" s="19"/>
      <c r="W1084" s="19"/>
      <c r="X1084" s="19"/>
      <c r="Y1084" s="19"/>
    </row>
    <row r="1085" spans="1:25" ht="13.5" customHeight="1">
      <c r="A1085" s="219" t="str" cm="1">
        <f t="array" ref="A1085">IFERROR(INDEX('03.Muestra'!$B$8:$B$42,SMALL(IF("Documento no web"='03.Muestra'!$D$8:$D$42,ROW('03.Muestra'!$B$8:$B$42)-MIN(ROW('03.Muestra'!$D$8:$D$42))+1,""),ROW()-1082)),"")</f>
        <v/>
      </c>
      <c r="B1085" s="114" t="str" cm="1">
        <f t="array" ref="B1085">IFERROR(INDEX('03.Muestra'!$C$8:$C$42,SMALL(IF("Documento no web"='03.Muestra'!$D$8:$D$42,ROW('03.Muestra'!$C$8:$C$42)-MIN(ROW('03.Muestra'!$D$8:$D$42))+1,""),ROW()-1082)),"")</f>
        <v/>
      </c>
      <c r="C1085" s="114" t="str" cm="1">
        <f t="array" ref="C1085">IFERROR(INDEX('03.Muestra'!$F$8:$F$42,SMALL(IF("Documento no web"='03.Muestra'!$D$8:$D$42,ROW('03.Muestra'!$F$8:$F$42)-MIN(ROW('03.Muestra'!$D$8:$D$42))+1,""),ROW()-1082)),"")</f>
        <v/>
      </c>
      <c r="D1085" s="130" t="str">
        <f t="shared" si="57" ref="D1085:D1117">IF(AND(B1085&lt;&gt;"",C1085&lt;&gt;""),"N/T","")</f>
        <v/>
      </c>
      <c r="E1085" s="107" t="str">
        <f t="shared" si="56"/>
        <v/>
      </c>
      <c r="G1085" s="19"/>
      <c r="H1085" s="19"/>
      <c r="I1085" s="19"/>
      <c r="J1085" s="19"/>
      <c r="K1085" s="233"/>
      <c r="L1085" s="19"/>
      <c r="M1085" s="19"/>
      <c r="N1085" s="19"/>
      <c r="O1085" s="19"/>
      <c r="P1085" s="19"/>
      <c r="Q1085" s="19"/>
      <c r="R1085" s="19"/>
      <c r="S1085" s="19"/>
      <c r="T1085" s="19"/>
      <c r="U1085" s="19"/>
      <c r="V1085" s="19"/>
      <c r="W1085" s="19"/>
      <c r="X1085" s="19"/>
      <c r="Y1085" s="19"/>
    </row>
    <row r="1086" spans="1:25" ht="13.5" customHeight="1">
      <c r="A1086" s="219" t="str" cm="1">
        <f t="array" ref="A1086">IFERROR(INDEX('03.Muestra'!$B$8:$B$42,SMALL(IF("Documento no web"='03.Muestra'!$D$8:$D$42,ROW('03.Muestra'!$B$8:$B$42)-MIN(ROW('03.Muestra'!$D$8:$D$42))+1,""),ROW()-1082)),"")</f>
        <v/>
      </c>
      <c r="B1086" s="114" t="str" cm="1">
        <f t="array" ref="B1086">IFERROR(INDEX('03.Muestra'!$C$8:$C$42,SMALL(IF("Documento no web"='03.Muestra'!$D$8:$D$42,ROW('03.Muestra'!$C$8:$C$42)-MIN(ROW('03.Muestra'!$D$8:$D$42))+1,""),ROW()-1082)),"")</f>
        <v/>
      </c>
      <c r="C1086" s="114" t="str" cm="1">
        <f t="array" ref="C1086">IFERROR(INDEX('03.Muestra'!$F$8:$F$42,SMALL(IF("Documento no web"='03.Muestra'!$D$8:$D$42,ROW('03.Muestra'!$F$8:$F$42)-MIN(ROW('03.Muestra'!$D$8:$D$42))+1,""),ROW()-1082)),"")</f>
        <v/>
      </c>
      <c r="D1086" s="130" t="str">
        <f t="shared" si="57"/>
        <v/>
      </c>
      <c r="E1086" s="107" t="str">
        <f t="shared" si="56"/>
        <v/>
      </c>
      <c r="G1086" s="19"/>
      <c r="H1086" s="19"/>
      <c r="I1086" s="19"/>
      <c r="J1086" s="19"/>
      <c r="K1086" s="233"/>
      <c r="L1086" s="19"/>
      <c r="M1086" s="19"/>
      <c r="N1086" s="19"/>
      <c r="O1086" s="19"/>
      <c r="P1086" s="19"/>
      <c r="Q1086" s="19"/>
      <c r="R1086" s="19"/>
      <c r="S1086" s="19"/>
      <c r="T1086" s="19"/>
      <c r="U1086" s="19"/>
      <c r="V1086" s="19"/>
      <c r="W1086" s="19"/>
      <c r="X1086" s="19"/>
      <c r="Y1086" s="19"/>
    </row>
    <row r="1087" spans="1:25" ht="13.5" customHeight="1">
      <c r="A1087" s="219" t="str" cm="1">
        <f t="array" ref="A1087">IFERROR(INDEX('03.Muestra'!$B$8:$B$42,SMALL(IF("Documento no web"='03.Muestra'!$D$8:$D$42,ROW('03.Muestra'!$B$8:$B$42)-MIN(ROW('03.Muestra'!$D$8:$D$42))+1,""),ROW()-1082)),"")</f>
        <v/>
      </c>
      <c r="B1087" s="114" t="str" cm="1">
        <f t="array" ref="B1087">IFERROR(INDEX('03.Muestra'!$C$8:$C$42,SMALL(IF("Documento no web"='03.Muestra'!$D$8:$D$42,ROW('03.Muestra'!$C$8:$C$42)-MIN(ROW('03.Muestra'!$D$8:$D$42))+1,""),ROW()-1082)),"")</f>
        <v/>
      </c>
      <c r="C1087" s="114" t="str" cm="1">
        <f t="array" ref="C1087">IFERROR(INDEX('03.Muestra'!$F$8:$F$42,SMALL(IF("Documento no web"='03.Muestra'!$D$8:$D$42,ROW('03.Muestra'!$F$8:$F$42)-MIN(ROW('03.Muestra'!$D$8:$D$42))+1,""),ROW()-1082)),"")</f>
        <v/>
      </c>
      <c r="D1087" s="130" t="str">
        <f t="shared" si="57"/>
        <v/>
      </c>
      <c r="E1087" s="107" t="str">
        <f t="shared" si="56"/>
        <v/>
      </c>
      <c r="G1087" s="19"/>
      <c r="H1087" s="19"/>
      <c r="I1087" s="19"/>
      <c r="J1087" s="19"/>
      <c r="K1087" s="233"/>
      <c r="L1087" s="19"/>
      <c r="M1087" s="19"/>
      <c r="N1087" s="19"/>
      <c r="O1087" s="19"/>
      <c r="P1087" s="19"/>
      <c r="Q1087" s="19"/>
      <c r="R1087" s="19"/>
      <c r="S1087" s="19"/>
      <c r="T1087" s="19"/>
      <c r="U1087" s="19"/>
      <c r="V1087" s="19"/>
      <c r="W1087" s="19"/>
      <c r="X1087" s="19"/>
      <c r="Y1087" s="19"/>
    </row>
    <row r="1088" spans="1:25" ht="13.5" customHeight="1">
      <c r="A1088" s="219" t="str" cm="1">
        <f t="array" ref="A1088">IFERROR(INDEX('03.Muestra'!$B$8:$B$42,SMALL(IF("Documento no web"='03.Muestra'!$D$8:$D$42,ROW('03.Muestra'!$B$8:$B$42)-MIN(ROW('03.Muestra'!$D$8:$D$42))+1,""),ROW()-1082)),"")</f>
        <v/>
      </c>
      <c r="B1088" s="114" t="str" cm="1">
        <f t="array" ref="B1088">IFERROR(INDEX('03.Muestra'!$C$8:$C$42,SMALL(IF("Documento no web"='03.Muestra'!$D$8:$D$42,ROW('03.Muestra'!$C$8:$C$42)-MIN(ROW('03.Muestra'!$D$8:$D$42))+1,""),ROW()-1082)),"")</f>
        <v/>
      </c>
      <c r="C1088" s="114" t="str" cm="1">
        <f t="array" ref="C1088">IFERROR(INDEX('03.Muestra'!$F$8:$F$42,SMALL(IF("Documento no web"='03.Muestra'!$D$8:$D$42,ROW('03.Muestra'!$F$8:$F$42)-MIN(ROW('03.Muestra'!$D$8:$D$42))+1,""),ROW()-1082)),"")</f>
        <v/>
      </c>
      <c r="D1088" s="130" t="str">
        <f t="shared" si="57"/>
        <v/>
      </c>
      <c r="E1088" s="107" t="str">
        <f t="shared" si="56"/>
        <v/>
      </c>
      <c r="G1088" s="19"/>
      <c r="H1088" s="19"/>
      <c r="I1088" s="19"/>
      <c r="J1088" s="19"/>
      <c r="K1088" s="233"/>
      <c r="L1088" s="19"/>
      <c r="M1088" s="19"/>
      <c r="N1088" s="19"/>
      <c r="O1088" s="19"/>
      <c r="P1088" s="19"/>
      <c r="Q1088" s="19"/>
      <c r="R1088" s="19"/>
      <c r="S1088" s="19"/>
      <c r="T1088" s="19"/>
      <c r="U1088" s="19"/>
      <c r="V1088" s="19"/>
      <c r="W1088" s="19"/>
      <c r="X1088" s="19"/>
      <c r="Y1088" s="19"/>
    </row>
    <row r="1089" spans="1:25" ht="13.5" customHeight="1">
      <c r="A1089" s="219" t="str" cm="1">
        <f t="array" ref="A1089">IFERROR(INDEX('03.Muestra'!$B$8:$B$42,SMALL(IF("Documento no web"='03.Muestra'!$D$8:$D$42,ROW('03.Muestra'!$B$8:$B$42)-MIN(ROW('03.Muestra'!$D$8:$D$42))+1,""),ROW()-1082)),"")</f>
        <v/>
      </c>
      <c r="B1089" s="114" t="str" cm="1">
        <f t="array" ref="B1089">IFERROR(INDEX('03.Muestra'!$C$8:$C$42,SMALL(IF("Documento no web"='03.Muestra'!$D$8:$D$42,ROW('03.Muestra'!$C$8:$C$42)-MIN(ROW('03.Muestra'!$D$8:$D$42))+1,""),ROW()-1082)),"")</f>
        <v/>
      </c>
      <c r="C1089" s="114" t="str" cm="1">
        <f t="array" ref="C1089">IFERROR(INDEX('03.Muestra'!$F$8:$F$42,SMALL(IF("Documento no web"='03.Muestra'!$D$8:$D$42,ROW('03.Muestra'!$F$8:$F$42)-MIN(ROW('03.Muestra'!$D$8:$D$42))+1,""),ROW()-1082)),"")</f>
        <v/>
      </c>
      <c r="D1089" s="130" t="str">
        <f t="shared" si="57"/>
        <v/>
      </c>
      <c r="E1089" s="107" t="str">
        <f t="shared" si="56"/>
        <v/>
      </c>
      <c r="F1089" s="19"/>
      <c r="G1089" s="19"/>
      <c r="H1089" s="19"/>
      <c r="I1089" s="19"/>
      <c r="J1089" s="19"/>
      <c r="K1089" s="233"/>
      <c r="L1089" s="19"/>
      <c r="M1089" s="19"/>
      <c r="N1089" s="19"/>
      <c r="O1089" s="19"/>
      <c r="P1089" s="19"/>
      <c r="Q1089" s="19"/>
      <c r="R1089" s="19"/>
      <c r="S1089" s="19"/>
      <c r="T1089" s="19"/>
      <c r="U1089" s="19"/>
      <c r="V1089" s="19"/>
      <c r="W1089" s="19"/>
      <c r="X1089" s="19"/>
      <c r="Y1089" s="19"/>
    </row>
    <row r="1090" spans="1:25" ht="13.5" customHeight="1">
      <c r="A1090" s="219" t="str" cm="1">
        <f t="array" ref="A1090">IFERROR(INDEX('03.Muestra'!$B$8:$B$42,SMALL(IF("Documento no web"='03.Muestra'!$D$8:$D$42,ROW('03.Muestra'!$B$8:$B$42)-MIN(ROW('03.Muestra'!$D$8:$D$42))+1,""),ROW()-1082)),"")</f>
        <v/>
      </c>
      <c r="B1090" s="114" t="str" cm="1">
        <f t="array" ref="B1090">IFERROR(INDEX('03.Muestra'!$C$8:$C$42,SMALL(IF("Documento no web"='03.Muestra'!$D$8:$D$42,ROW('03.Muestra'!$C$8:$C$42)-MIN(ROW('03.Muestra'!$D$8:$D$42))+1,""),ROW()-1082)),"")</f>
        <v/>
      </c>
      <c r="C1090" s="114" t="str" cm="1">
        <f t="array" ref="C1090">IFERROR(INDEX('03.Muestra'!$F$8:$F$42,SMALL(IF("Documento no web"='03.Muestra'!$D$8:$D$42,ROW('03.Muestra'!$F$8:$F$42)-MIN(ROW('03.Muestra'!$D$8:$D$42))+1,""),ROW()-1082)),"")</f>
        <v/>
      </c>
      <c r="D1090" s="130" t="str">
        <f t="shared" si="57"/>
        <v/>
      </c>
      <c r="E1090" s="107" t="str">
        <f t="shared" si="56"/>
        <v/>
      </c>
      <c r="F1090" s="19"/>
      <c r="G1090" s="19"/>
      <c r="H1090" s="19"/>
      <c r="I1090" s="19"/>
      <c r="J1090" s="19"/>
      <c r="K1090" s="233"/>
      <c r="L1090" s="19"/>
      <c r="M1090" s="19"/>
      <c r="N1090" s="19"/>
      <c r="O1090" s="19"/>
      <c r="P1090" s="19"/>
      <c r="Q1090" s="19"/>
      <c r="R1090" s="19"/>
      <c r="S1090" s="19"/>
      <c r="T1090" s="19"/>
      <c r="U1090" s="19"/>
      <c r="V1090" s="19"/>
      <c r="W1090" s="19"/>
      <c r="X1090" s="19"/>
      <c r="Y1090" s="19"/>
    </row>
    <row r="1091" spans="1:25" ht="13.5" customHeight="1">
      <c r="A1091" s="219" t="str" cm="1">
        <f t="array" ref="A1091">IFERROR(INDEX('03.Muestra'!$B$8:$B$42,SMALL(IF("Documento no web"='03.Muestra'!$D$8:$D$42,ROW('03.Muestra'!$B$8:$B$42)-MIN(ROW('03.Muestra'!$D$8:$D$42))+1,""),ROW()-1082)),"")</f>
        <v/>
      </c>
      <c r="B1091" s="114" t="str" cm="1">
        <f t="array" ref="B1091">IFERROR(INDEX('03.Muestra'!$C$8:$C$42,SMALL(IF("Documento no web"='03.Muestra'!$D$8:$D$42,ROW('03.Muestra'!$C$8:$C$42)-MIN(ROW('03.Muestra'!$D$8:$D$42))+1,""),ROW()-1082)),"")</f>
        <v/>
      </c>
      <c r="C1091" s="114" t="str" cm="1">
        <f t="array" ref="C1091">IFERROR(INDEX('03.Muestra'!$F$8:$F$42,SMALL(IF("Documento no web"='03.Muestra'!$D$8:$D$42,ROW('03.Muestra'!$F$8:$F$42)-MIN(ROW('03.Muestra'!$D$8:$D$42))+1,""),ROW()-1082)),"")</f>
        <v/>
      </c>
      <c r="D1091" s="130" t="str">
        <f t="shared" si="57"/>
        <v/>
      </c>
      <c r="E1091" s="107" t="str">
        <f t="shared" si="56"/>
        <v/>
      </c>
      <c r="F1091" s="19"/>
      <c r="G1091" s="19"/>
      <c r="H1091" s="19"/>
      <c r="I1091" s="19"/>
      <c r="J1091" s="19"/>
      <c r="K1091" s="233"/>
      <c r="L1091" s="19"/>
      <c r="M1091" s="19"/>
      <c r="N1091" s="19"/>
      <c r="O1091" s="19"/>
      <c r="P1091" s="19"/>
      <c r="Q1091" s="19"/>
      <c r="R1091" s="19"/>
      <c r="S1091" s="19"/>
      <c r="T1091" s="19"/>
      <c r="U1091" s="19"/>
      <c r="V1091" s="19"/>
      <c r="W1091" s="19"/>
      <c r="X1091" s="19"/>
      <c r="Y1091" s="19"/>
    </row>
    <row r="1092" spans="1:25" ht="13.5" customHeight="1">
      <c r="A1092" s="219" t="str" cm="1">
        <f t="array" ref="A1092">IFERROR(INDEX('03.Muestra'!$B$8:$B$42,SMALL(IF("Documento no web"='03.Muestra'!$D$8:$D$42,ROW('03.Muestra'!$B$8:$B$42)-MIN(ROW('03.Muestra'!$D$8:$D$42))+1,""),ROW()-1082)),"")</f>
        <v/>
      </c>
      <c r="B1092" s="114" t="str" cm="1">
        <f t="array" ref="B1092">IFERROR(INDEX('03.Muestra'!$C$8:$C$42,SMALL(IF("Documento no web"='03.Muestra'!$D$8:$D$42,ROW('03.Muestra'!$C$8:$C$42)-MIN(ROW('03.Muestra'!$D$8:$D$42))+1,""),ROW()-1082)),"")</f>
        <v/>
      </c>
      <c r="C1092" s="114" t="str" cm="1">
        <f t="array" ref="C1092">IFERROR(INDEX('03.Muestra'!$F$8:$F$42,SMALL(IF("Documento no web"='03.Muestra'!$D$8:$D$42,ROW('03.Muestra'!$F$8:$F$42)-MIN(ROW('03.Muestra'!$D$8:$D$42))+1,""),ROW()-1082)),"")</f>
        <v/>
      </c>
      <c r="D1092" s="130" t="str">
        <f t="shared" si="57"/>
        <v/>
      </c>
      <c r="E1092" s="107" t="str">
        <f t="shared" si="56"/>
        <v/>
      </c>
      <c r="F1092" s="19"/>
      <c r="G1092" s="19"/>
      <c r="H1092" s="19"/>
      <c r="I1092" s="19"/>
      <c r="J1092" s="19"/>
      <c r="K1092" s="233"/>
      <c r="L1092" s="19"/>
      <c r="M1092" s="19"/>
      <c r="N1092" s="19"/>
      <c r="O1092" s="19"/>
      <c r="P1092" s="19"/>
      <c r="Q1092" s="19"/>
      <c r="R1092" s="19"/>
      <c r="S1092" s="19"/>
      <c r="T1092" s="19"/>
      <c r="U1092" s="19"/>
      <c r="V1092" s="19"/>
      <c r="W1092" s="19"/>
      <c r="X1092" s="19"/>
      <c r="Y1092" s="19"/>
    </row>
    <row r="1093" spans="1:25" ht="13.5" customHeight="1">
      <c r="A1093" s="219" t="str" cm="1">
        <f t="array" ref="A1093">IFERROR(INDEX('03.Muestra'!$B$8:$B$42,SMALL(IF("Documento no web"='03.Muestra'!$D$8:$D$42,ROW('03.Muestra'!$B$8:$B$42)-MIN(ROW('03.Muestra'!$D$8:$D$42))+1,""),ROW()-1082)),"")</f>
        <v/>
      </c>
      <c r="B1093" s="114" t="str" cm="1">
        <f t="array" ref="B1093">IFERROR(INDEX('03.Muestra'!$C$8:$C$42,SMALL(IF("Documento no web"='03.Muestra'!$D$8:$D$42,ROW('03.Muestra'!$C$8:$C$42)-MIN(ROW('03.Muestra'!$D$8:$D$42))+1,""),ROW()-1082)),"")</f>
        <v/>
      </c>
      <c r="C1093" s="114" t="str" cm="1">
        <f t="array" ref="C1093">IFERROR(INDEX('03.Muestra'!$F$8:$F$42,SMALL(IF("Documento no web"='03.Muestra'!$D$8:$D$42,ROW('03.Muestra'!$F$8:$F$42)-MIN(ROW('03.Muestra'!$D$8:$D$42))+1,""),ROW()-1082)),"")</f>
        <v/>
      </c>
      <c r="D1093" s="130" t="str">
        <f t="shared" si="57"/>
        <v/>
      </c>
      <c r="E1093" s="107" t="str">
        <f t="shared" si="56"/>
        <v/>
      </c>
      <c r="F1093" s="19"/>
      <c r="G1093" s="19"/>
      <c r="H1093" s="19"/>
      <c r="I1093" s="19"/>
      <c r="J1093" s="19"/>
      <c r="K1093" s="233"/>
      <c r="L1093" s="19"/>
      <c r="M1093" s="19"/>
      <c r="N1093" s="19"/>
      <c r="O1093" s="19"/>
      <c r="P1093" s="19"/>
      <c r="Q1093" s="19"/>
      <c r="R1093" s="19"/>
      <c r="S1093" s="19"/>
      <c r="T1093" s="19"/>
      <c r="U1093" s="19"/>
      <c r="V1093" s="19"/>
      <c r="W1093" s="19"/>
      <c r="X1093" s="19"/>
      <c r="Y1093" s="19"/>
    </row>
    <row r="1094" spans="1:25" ht="13.5" customHeight="1">
      <c r="A1094" s="219" t="str" cm="1">
        <f t="array" ref="A1094">IFERROR(INDEX('03.Muestra'!$B$8:$B$42,SMALL(IF("Documento no web"='03.Muestra'!$D$8:$D$42,ROW('03.Muestra'!$B$8:$B$42)-MIN(ROW('03.Muestra'!$D$8:$D$42))+1,""),ROW()-1082)),"")</f>
        <v/>
      </c>
      <c r="B1094" s="114" t="str" cm="1">
        <f t="array" ref="B1094">IFERROR(INDEX('03.Muestra'!$C$8:$C$42,SMALL(IF("Documento no web"='03.Muestra'!$D$8:$D$42,ROW('03.Muestra'!$C$8:$C$42)-MIN(ROW('03.Muestra'!$D$8:$D$42))+1,""),ROW()-1082)),"")</f>
        <v/>
      </c>
      <c r="C1094" s="114" t="str" cm="1">
        <f t="array" ref="C1094">IFERROR(INDEX('03.Muestra'!$F$8:$F$42,SMALL(IF("Documento no web"='03.Muestra'!$D$8:$D$42,ROW('03.Muestra'!$F$8:$F$42)-MIN(ROW('03.Muestra'!$D$8:$D$42))+1,""),ROW()-1082)),"")</f>
        <v/>
      </c>
      <c r="D1094" s="130" t="str">
        <f t="shared" si="57"/>
        <v/>
      </c>
      <c r="E1094" s="107" t="str">
        <f t="shared" si="56"/>
        <v/>
      </c>
      <c r="F1094" s="19"/>
      <c r="G1094" s="19"/>
      <c r="H1094" s="19"/>
      <c r="I1094" s="19"/>
      <c r="J1094" s="19"/>
      <c r="K1094" s="233"/>
      <c r="L1094" s="19"/>
      <c r="M1094" s="19"/>
      <c r="N1094" s="19"/>
      <c r="O1094" s="19"/>
      <c r="P1094" s="19"/>
      <c r="Q1094" s="19"/>
      <c r="R1094" s="19"/>
      <c r="S1094" s="19"/>
      <c r="T1094" s="19"/>
      <c r="U1094" s="19"/>
      <c r="V1094" s="19"/>
      <c r="W1094" s="19"/>
      <c r="X1094" s="19"/>
      <c r="Y1094" s="19"/>
    </row>
    <row r="1095" spans="1:25" ht="13.5" customHeight="1">
      <c r="A1095" s="219" t="str" cm="1">
        <f t="array" ref="A1095">IFERROR(INDEX('03.Muestra'!$B$8:$B$42,SMALL(IF("Documento no web"='03.Muestra'!$D$8:$D$42,ROW('03.Muestra'!$B$8:$B$42)-MIN(ROW('03.Muestra'!$D$8:$D$42))+1,""),ROW()-1082)),"")</f>
        <v/>
      </c>
      <c r="B1095" s="114" t="str" cm="1">
        <f t="array" ref="B1095">IFERROR(INDEX('03.Muestra'!$C$8:$C$42,SMALL(IF("Documento no web"='03.Muestra'!$D$8:$D$42,ROW('03.Muestra'!$C$8:$C$42)-MIN(ROW('03.Muestra'!$D$8:$D$42))+1,""),ROW()-1082)),"")</f>
        <v/>
      </c>
      <c r="C1095" s="114" t="str" cm="1">
        <f t="array" ref="C1095">IFERROR(INDEX('03.Muestra'!$F$8:$F$42,SMALL(IF("Documento no web"='03.Muestra'!$D$8:$D$42,ROW('03.Muestra'!$F$8:$F$42)-MIN(ROW('03.Muestra'!$D$8:$D$42))+1,""),ROW()-1082)),"")</f>
        <v/>
      </c>
      <c r="D1095" s="130" t="str">
        <f t="shared" si="57"/>
        <v/>
      </c>
      <c r="E1095" s="107" t="str">
        <f t="shared" si="56"/>
        <v/>
      </c>
      <c r="F1095" s="19"/>
      <c r="G1095" s="19"/>
      <c r="H1095" s="19"/>
      <c r="I1095" s="19"/>
      <c r="J1095" s="19"/>
      <c r="K1095" s="233"/>
      <c r="L1095" s="19"/>
      <c r="M1095" s="19"/>
      <c r="N1095" s="19"/>
      <c r="O1095" s="19"/>
      <c r="P1095" s="19"/>
      <c r="Q1095" s="19"/>
      <c r="R1095" s="19"/>
      <c r="S1095" s="19"/>
      <c r="T1095" s="19"/>
      <c r="U1095" s="19"/>
      <c r="V1095" s="19"/>
      <c r="W1095" s="19"/>
      <c r="X1095" s="19"/>
      <c r="Y1095" s="19"/>
    </row>
    <row r="1096" spans="1:25" ht="13.5" customHeight="1">
      <c r="A1096" s="219" t="str" cm="1">
        <f t="array" ref="A1096">IFERROR(INDEX('03.Muestra'!$B$8:$B$42,SMALL(IF("Documento no web"='03.Muestra'!$D$8:$D$42,ROW('03.Muestra'!$B$8:$B$42)-MIN(ROW('03.Muestra'!$D$8:$D$42))+1,""),ROW()-1082)),"")</f>
        <v/>
      </c>
      <c r="B1096" s="114" t="str" cm="1">
        <f t="array" ref="B1096">IFERROR(INDEX('03.Muestra'!$C$8:$C$42,SMALL(IF("Documento no web"='03.Muestra'!$D$8:$D$42,ROW('03.Muestra'!$C$8:$C$42)-MIN(ROW('03.Muestra'!$D$8:$D$42))+1,""),ROW()-1082)),"")</f>
        <v/>
      </c>
      <c r="C1096" s="114" t="str" cm="1">
        <f t="array" ref="C1096">IFERROR(INDEX('03.Muestra'!$F$8:$F$42,SMALL(IF("Documento no web"='03.Muestra'!$D$8:$D$42,ROW('03.Muestra'!$F$8:$F$42)-MIN(ROW('03.Muestra'!$D$8:$D$42))+1,""),ROW()-1082)),"")</f>
        <v/>
      </c>
      <c r="D1096" s="130" t="str">
        <f t="shared" si="57"/>
        <v/>
      </c>
      <c r="E1096" s="107" t="str">
        <f t="shared" si="56"/>
        <v/>
      </c>
      <c r="F1096" s="19"/>
      <c r="G1096" s="19"/>
      <c r="H1096" s="19"/>
      <c r="I1096" s="19"/>
      <c r="J1096" s="19"/>
      <c r="K1096" s="233"/>
      <c r="L1096" s="19"/>
      <c r="M1096" s="19"/>
      <c r="N1096" s="19"/>
      <c r="O1096" s="19"/>
      <c r="P1096" s="19"/>
      <c r="Q1096" s="19"/>
      <c r="R1096" s="19"/>
      <c r="S1096" s="19"/>
      <c r="T1096" s="19"/>
      <c r="U1096" s="19"/>
      <c r="V1096" s="19"/>
      <c r="W1096" s="19"/>
      <c r="X1096" s="19"/>
      <c r="Y1096" s="19"/>
    </row>
    <row r="1097" spans="1:25" ht="13.5" customHeight="1">
      <c r="A1097" s="219" t="str" cm="1">
        <f t="array" ref="A1097">IFERROR(INDEX('03.Muestra'!$B$8:$B$42,SMALL(IF("Documento no web"='03.Muestra'!$D$8:$D$42,ROW('03.Muestra'!$B$8:$B$42)-MIN(ROW('03.Muestra'!$D$8:$D$42))+1,""),ROW()-1082)),"")</f>
        <v/>
      </c>
      <c r="B1097" s="114" t="str" cm="1">
        <f t="array" ref="B1097">IFERROR(INDEX('03.Muestra'!$C$8:$C$42,SMALL(IF("Documento no web"='03.Muestra'!$D$8:$D$42,ROW('03.Muestra'!$C$8:$C$42)-MIN(ROW('03.Muestra'!$D$8:$D$42))+1,""),ROW()-1082)),"")</f>
        <v/>
      </c>
      <c r="C1097" s="114" t="str" cm="1">
        <f t="array" ref="C1097">IFERROR(INDEX('03.Muestra'!$F$8:$F$42,SMALL(IF("Documento no web"='03.Muestra'!$D$8:$D$42,ROW('03.Muestra'!$F$8:$F$42)-MIN(ROW('03.Muestra'!$D$8:$D$42))+1,""),ROW()-1082)),"")</f>
        <v/>
      </c>
      <c r="D1097" s="130" t="str">
        <f t="shared" si="57"/>
        <v/>
      </c>
      <c r="E1097" s="107" t="str">
        <f t="shared" si="56"/>
        <v/>
      </c>
      <c r="F1097" s="19"/>
      <c r="G1097" s="19"/>
      <c r="H1097" s="19"/>
      <c r="I1097" s="19"/>
      <c r="J1097" s="19"/>
      <c r="K1097" s="233"/>
      <c r="L1097" s="19"/>
      <c r="M1097" s="19"/>
      <c r="N1097" s="19"/>
      <c r="O1097" s="19"/>
      <c r="P1097" s="19"/>
      <c r="Q1097" s="19"/>
      <c r="R1097" s="19"/>
      <c r="S1097" s="19"/>
      <c r="T1097" s="19"/>
      <c r="U1097" s="19"/>
      <c r="V1097" s="19"/>
      <c r="W1097" s="19"/>
      <c r="X1097" s="19"/>
      <c r="Y1097" s="19"/>
    </row>
    <row r="1098" spans="1:25" ht="13.5" customHeight="1">
      <c r="A1098" s="219" t="str" cm="1">
        <f t="array" ref="A1098">IFERROR(INDEX('03.Muestra'!$B$8:$B$42,SMALL(IF("Documento no web"='03.Muestra'!$D$8:$D$42,ROW('03.Muestra'!$B$8:$B$42)-MIN(ROW('03.Muestra'!$D$8:$D$42))+1,""),ROW()-1082)),"")</f>
        <v/>
      </c>
      <c r="B1098" s="114" t="str" cm="1">
        <f t="array" ref="B1098">IFERROR(INDEX('03.Muestra'!$C$8:$C$42,SMALL(IF("Documento no web"='03.Muestra'!$D$8:$D$42,ROW('03.Muestra'!$C$8:$C$42)-MIN(ROW('03.Muestra'!$D$8:$D$42))+1,""),ROW()-1082)),"")</f>
        <v/>
      </c>
      <c r="C1098" s="114" t="str" cm="1">
        <f t="array" ref="C1098">IFERROR(INDEX('03.Muestra'!$F$8:$F$42,SMALL(IF("Documento no web"='03.Muestra'!$D$8:$D$42,ROW('03.Muestra'!$F$8:$F$42)-MIN(ROW('03.Muestra'!$D$8:$D$42))+1,""),ROW()-1082)),"")</f>
        <v/>
      </c>
      <c r="D1098" s="130" t="str">
        <f t="shared" si="57"/>
        <v/>
      </c>
      <c r="E1098" s="107" t="str">
        <f t="shared" si="56"/>
        <v/>
      </c>
      <c r="F1098" s="19"/>
      <c r="G1098" s="19"/>
      <c r="H1098" s="19"/>
      <c r="I1098" s="19"/>
      <c r="J1098" s="19"/>
      <c r="K1098" s="233"/>
      <c r="L1098" s="19"/>
      <c r="M1098" s="19"/>
      <c r="N1098" s="19"/>
      <c r="O1098" s="19"/>
      <c r="P1098" s="19"/>
      <c r="Q1098" s="19"/>
      <c r="R1098" s="19"/>
      <c r="S1098" s="19"/>
      <c r="T1098" s="19"/>
      <c r="U1098" s="19"/>
      <c r="V1098" s="19"/>
      <c r="W1098" s="19"/>
      <c r="X1098" s="19"/>
      <c r="Y1098" s="19"/>
    </row>
    <row r="1099" spans="1:25" ht="13.5" customHeight="1">
      <c r="A1099" s="219" t="str" cm="1">
        <f t="array" ref="A1099">IFERROR(INDEX('03.Muestra'!$B$8:$B$42,SMALL(IF("Documento no web"='03.Muestra'!$D$8:$D$42,ROW('03.Muestra'!$B$8:$B$42)-MIN(ROW('03.Muestra'!$D$8:$D$42))+1,""),ROW()-1082)),"")</f>
        <v/>
      </c>
      <c r="B1099" s="114" t="str" cm="1">
        <f t="array" ref="B1099">IFERROR(INDEX('03.Muestra'!$C$8:$C$42,SMALL(IF("Documento no web"='03.Muestra'!$D$8:$D$42,ROW('03.Muestra'!$C$8:$C$42)-MIN(ROW('03.Muestra'!$D$8:$D$42))+1,""),ROW()-1082)),"")</f>
        <v/>
      </c>
      <c r="C1099" s="114" t="str" cm="1">
        <f t="array" ref="C1099">IFERROR(INDEX('03.Muestra'!$F$8:$F$42,SMALL(IF("Documento no web"='03.Muestra'!$D$8:$D$42,ROW('03.Muestra'!$F$8:$F$42)-MIN(ROW('03.Muestra'!$D$8:$D$42))+1,""),ROW()-1082)),"")</f>
        <v/>
      </c>
      <c r="D1099" s="130" t="str">
        <f t="shared" si="57"/>
        <v/>
      </c>
      <c r="E1099" s="107" t="str">
        <f t="shared" si="56"/>
        <v/>
      </c>
      <c r="F1099" s="19"/>
      <c r="G1099" s="19"/>
      <c r="H1099" s="19"/>
      <c r="I1099" s="19"/>
      <c r="J1099" s="19"/>
      <c r="K1099" s="233"/>
      <c r="L1099" s="19"/>
      <c r="M1099" s="19"/>
      <c r="N1099" s="19"/>
      <c r="O1099" s="19"/>
      <c r="P1099" s="19"/>
      <c r="Q1099" s="19"/>
      <c r="R1099" s="19"/>
      <c r="S1099" s="19"/>
      <c r="T1099" s="19"/>
      <c r="U1099" s="19"/>
      <c r="V1099" s="19"/>
      <c r="W1099" s="19"/>
      <c r="X1099" s="19"/>
      <c r="Y1099" s="19"/>
    </row>
    <row r="1100" spans="1:25" ht="13.5" customHeight="1">
      <c r="A1100" s="219" t="str" cm="1">
        <f t="array" ref="A1100">IFERROR(INDEX('03.Muestra'!$B$8:$B$42,SMALL(IF("Documento no web"='03.Muestra'!$D$8:$D$42,ROW('03.Muestra'!$B$8:$B$42)-MIN(ROW('03.Muestra'!$D$8:$D$42))+1,""),ROW()-1082)),"")</f>
        <v/>
      </c>
      <c r="B1100" s="114" t="str" cm="1">
        <f t="array" ref="B1100">IFERROR(INDEX('03.Muestra'!$C$8:$C$42,SMALL(IF("Documento no web"='03.Muestra'!$D$8:$D$42,ROW('03.Muestra'!$C$8:$C$42)-MIN(ROW('03.Muestra'!$D$8:$D$42))+1,""),ROW()-1082)),"")</f>
        <v/>
      </c>
      <c r="C1100" s="114" t="str" cm="1">
        <f t="array" ref="C1100">IFERROR(INDEX('03.Muestra'!$F$8:$F$42,SMALL(IF("Documento no web"='03.Muestra'!$D$8:$D$42,ROW('03.Muestra'!$F$8:$F$42)-MIN(ROW('03.Muestra'!$D$8:$D$42))+1,""),ROW()-1082)),"")</f>
        <v/>
      </c>
      <c r="D1100" s="130" t="str">
        <f t="shared" si="57"/>
        <v/>
      </c>
      <c r="E1100" s="107" t="str">
        <f t="shared" si="56"/>
        <v/>
      </c>
      <c r="F1100" s="19"/>
      <c r="G1100" s="19"/>
      <c r="H1100" s="19"/>
      <c r="I1100" s="19"/>
      <c r="J1100" s="19"/>
      <c r="K1100" s="233"/>
      <c r="L1100" s="19"/>
      <c r="M1100" s="19"/>
      <c r="N1100" s="19"/>
      <c r="O1100" s="19"/>
      <c r="P1100" s="19"/>
      <c r="Q1100" s="19"/>
      <c r="R1100" s="19"/>
      <c r="S1100" s="19"/>
      <c r="T1100" s="19"/>
      <c r="U1100" s="19"/>
      <c r="V1100" s="19"/>
      <c r="W1100" s="19"/>
      <c r="X1100" s="19"/>
      <c r="Y1100" s="19"/>
    </row>
    <row r="1101" spans="1:25" ht="13.5" customHeight="1">
      <c r="A1101" s="219" t="str" cm="1">
        <f t="array" ref="A1101">IFERROR(INDEX('03.Muestra'!$B$8:$B$42,SMALL(IF("Documento no web"='03.Muestra'!$D$8:$D$42,ROW('03.Muestra'!$B$8:$B$42)-MIN(ROW('03.Muestra'!$D$8:$D$42))+1,""),ROW()-1082)),"")</f>
        <v/>
      </c>
      <c r="B1101" s="114" t="str" cm="1">
        <f t="array" ref="B1101">IFERROR(INDEX('03.Muestra'!$C$8:$C$42,SMALL(IF("Documento no web"='03.Muestra'!$D$8:$D$42,ROW('03.Muestra'!$C$8:$C$42)-MIN(ROW('03.Muestra'!$D$8:$D$42))+1,""),ROW()-1082)),"")</f>
        <v/>
      </c>
      <c r="C1101" s="114" t="str" cm="1">
        <f t="array" ref="C1101">IFERROR(INDEX('03.Muestra'!$F$8:$F$42,SMALL(IF("Documento no web"='03.Muestra'!$D$8:$D$42,ROW('03.Muestra'!$F$8:$F$42)-MIN(ROW('03.Muestra'!$D$8:$D$42))+1,""),ROW()-1082)),"")</f>
        <v/>
      </c>
      <c r="D1101" s="130" t="str">
        <f t="shared" si="57"/>
        <v/>
      </c>
      <c r="E1101" s="107" t="str">
        <f t="shared" si="56"/>
        <v/>
      </c>
      <c r="F1101" s="19"/>
      <c r="G1101" s="19"/>
      <c r="H1101" s="19"/>
      <c r="I1101" s="19"/>
      <c r="J1101" s="19"/>
      <c r="K1101" s="233"/>
      <c r="L1101" s="19"/>
      <c r="M1101" s="19"/>
      <c r="N1101" s="19"/>
      <c r="O1101" s="19"/>
      <c r="P1101" s="19"/>
      <c r="Q1101" s="19"/>
      <c r="R1101" s="19"/>
      <c r="S1101" s="19"/>
      <c r="T1101" s="19"/>
      <c r="U1101" s="19"/>
      <c r="V1101" s="19"/>
      <c r="W1101" s="19"/>
      <c r="X1101" s="19"/>
      <c r="Y1101" s="19"/>
    </row>
    <row r="1102" spans="1:25" ht="13.5" customHeight="1">
      <c r="A1102" s="219" t="str" cm="1">
        <f t="array" ref="A1102">IFERROR(INDEX('03.Muestra'!$B$8:$B$42,SMALL(IF("Documento no web"='03.Muestra'!$D$8:$D$42,ROW('03.Muestra'!$B$8:$B$42)-MIN(ROW('03.Muestra'!$D$8:$D$42))+1,""),ROW()-1082)),"")</f>
        <v/>
      </c>
      <c r="B1102" s="114" t="str" cm="1">
        <f t="array" ref="B1102">IFERROR(INDEX('03.Muestra'!$C$8:$C$42,SMALL(IF("Documento no web"='03.Muestra'!$D$8:$D$42,ROW('03.Muestra'!$C$8:$C$42)-MIN(ROW('03.Muestra'!$D$8:$D$42))+1,""),ROW()-1082)),"")</f>
        <v/>
      </c>
      <c r="C1102" s="114" t="str" cm="1">
        <f t="array" ref="C1102">IFERROR(INDEX('03.Muestra'!$F$8:$F$42,SMALL(IF("Documento no web"='03.Muestra'!$D$8:$D$42,ROW('03.Muestra'!$F$8:$F$42)-MIN(ROW('03.Muestra'!$D$8:$D$42))+1,""),ROW()-1082)),"")</f>
        <v/>
      </c>
      <c r="D1102" s="130" t="str">
        <f t="shared" si="57"/>
        <v/>
      </c>
      <c r="E1102" s="107" t="str">
        <f t="shared" si="56"/>
        <v/>
      </c>
      <c r="F1102" s="19"/>
      <c r="G1102" s="19"/>
      <c r="H1102" s="19"/>
      <c r="I1102" s="19"/>
      <c r="J1102" s="19"/>
      <c r="K1102" s="233"/>
      <c r="L1102" s="19"/>
      <c r="M1102" s="19"/>
      <c r="N1102" s="19"/>
      <c r="O1102" s="19"/>
      <c r="P1102" s="19"/>
      <c r="Q1102" s="19"/>
      <c r="R1102" s="19"/>
      <c r="S1102" s="19"/>
      <c r="T1102" s="19"/>
      <c r="U1102" s="19"/>
      <c r="V1102" s="19"/>
      <c r="W1102" s="19"/>
      <c r="X1102" s="19"/>
      <c r="Y1102" s="19"/>
    </row>
    <row r="1103" spans="1:25" ht="13.5" customHeight="1">
      <c r="A1103" s="219" t="str" cm="1">
        <f t="array" ref="A1103">IFERROR(INDEX('03.Muestra'!$B$8:$B$42,SMALL(IF("Documento no web"='03.Muestra'!$D$8:$D$42,ROW('03.Muestra'!$B$8:$B$42)-MIN(ROW('03.Muestra'!$D$8:$D$42))+1,""),ROW()-1082)),"")</f>
        <v/>
      </c>
      <c r="B1103" s="114" t="str" cm="1">
        <f t="array" ref="B1103">IFERROR(INDEX('03.Muestra'!$C$8:$C$42,SMALL(IF("Documento no web"='03.Muestra'!$D$8:$D$42,ROW('03.Muestra'!$C$8:$C$42)-MIN(ROW('03.Muestra'!$D$8:$D$42))+1,""),ROW()-1082)),"")</f>
        <v/>
      </c>
      <c r="C1103" s="114" t="str" cm="1">
        <f t="array" ref="C1103">IFERROR(INDEX('03.Muestra'!$F$8:$F$42,SMALL(IF("Documento no web"='03.Muestra'!$D$8:$D$42,ROW('03.Muestra'!$F$8:$F$42)-MIN(ROW('03.Muestra'!$D$8:$D$42))+1,""),ROW()-1082)),"")</f>
        <v/>
      </c>
      <c r="D1103" s="130" t="str">
        <f t="shared" si="57"/>
        <v/>
      </c>
      <c r="E1103" s="107" t="str">
        <f t="shared" si="56"/>
        <v/>
      </c>
      <c r="F1103" s="19"/>
      <c r="G1103" s="19"/>
      <c r="H1103" s="19"/>
      <c r="I1103" s="19"/>
      <c r="J1103" s="19"/>
      <c r="K1103" s="233"/>
      <c r="L1103" s="19"/>
      <c r="M1103" s="19"/>
      <c r="N1103" s="19"/>
      <c r="O1103" s="19"/>
      <c r="P1103" s="19"/>
      <c r="Q1103" s="19"/>
      <c r="R1103" s="19"/>
      <c r="S1103" s="19"/>
      <c r="T1103" s="19"/>
      <c r="U1103" s="19"/>
      <c r="V1103" s="19"/>
      <c r="W1103" s="19"/>
      <c r="X1103" s="19"/>
      <c r="Y1103" s="19"/>
    </row>
    <row r="1104" spans="1:25" ht="13.5" customHeight="1">
      <c r="A1104" s="219" t="str" cm="1">
        <f t="array" ref="A1104">IFERROR(INDEX('03.Muestra'!$B$8:$B$42,SMALL(IF("Documento no web"='03.Muestra'!$D$8:$D$42,ROW('03.Muestra'!$B$8:$B$42)-MIN(ROW('03.Muestra'!$D$8:$D$42))+1,""),ROW()-1082)),"")</f>
        <v/>
      </c>
      <c r="B1104" s="114" t="str" cm="1">
        <f t="array" ref="B1104">IFERROR(INDEX('03.Muestra'!$C$8:$C$42,SMALL(IF("Documento no web"='03.Muestra'!$D$8:$D$42,ROW('03.Muestra'!$C$8:$C$42)-MIN(ROW('03.Muestra'!$D$8:$D$42))+1,""),ROW()-1082)),"")</f>
        <v/>
      </c>
      <c r="C1104" s="114" t="str" cm="1">
        <f t="array" ref="C1104">IFERROR(INDEX('03.Muestra'!$F$8:$F$42,SMALL(IF("Documento no web"='03.Muestra'!$D$8:$D$42,ROW('03.Muestra'!$F$8:$F$42)-MIN(ROW('03.Muestra'!$D$8:$D$42))+1,""),ROW()-1082)),"")</f>
        <v/>
      </c>
      <c r="D1104" s="130" t="str">
        <f t="shared" si="57"/>
        <v/>
      </c>
      <c r="E1104" s="107" t="str">
        <f t="shared" si="56"/>
        <v/>
      </c>
      <c r="F1104" s="19"/>
      <c r="G1104" s="19"/>
      <c r="H1104" s="19"/>
      <c r="I1104" s="19"/>
      <c r="J1104" s="19"/>
      <c r="K1104" s="233"/>
      <c r="L1104" s="19"/>
      <c r="M1104" s="19"/>
      <c r="N1104" s="19"/>
      <c r="O1104" s="19"/>
      <c r="P1104" s="19"/>
      <c r="Q1104" s="19"/>
      <c r="R1104" s="19"/>
      <c r="S1104" s="19"/>
      <c r="T1104" s="19"/>
      <c r="U1104" s="19"/>
      <c r="V1104" s="19"/>
      <c r="W1104" s="19"/>
      <c r="X1104" s="19"/>
      <c r="Y1104" s="19"/>
    </row>
    <row r="1105" spans="1:25" ht="13.5" customHeight="1">
      <c r="A1105" s="219" t="str" cm="1">
        <f t="array" ref="A1105">IFERROR(INDEX('03.Muestra'!$B$8:$B$42,SMALL(IF("Documento no web"='03.Muestra'!$D$8:$D$42,ROW('03.Muestra'!$B$8:$B$42)-MIN(ROW('03.Muestra'!$D$8:$D$42))+1,""),ROW()-1082)),"")</f>
        <v/>
      </c>
      <c r="B1105" s="114" t="str" cm="1">
        <f t="array" ref="B1105">IFERROR(INDEX('03.Muestra'!$C$8:$C$42,SMALL(IF("Documento no web"='03.Muestra'!$D$8:$D$42,ROW('03.Muestra'!$C$8:$C$42)-MIN(ROW('03.Muestra'!$D$8:$D$42))+1,""),ROW()-1082)),"")</f>
        <v/>
      </c>
      <c r="C1105" s="114" t="str" cm="1">
        <f t="array" ref="C1105">IFERROR(INDEX('03.Muestra'!$F$8:$F$42,SMALL(IF("Documento no web"='03.Muestra'!$D$8:$D$42,ROW('03.Muestra'!$F$8:$F$42)-MIN(ROW('03.Muestra'!$D$8:$D$42))+1,""),ROW()-1082)),"")</f>
        <v/>
      </c>
      <c r="D1105" s="130" t="str">
        <f t="shared" si="57"/>
        <v/>
      </c>
      <c r="E1105" s="107" t="str">
        <f t="shared" si="56"/>
        <v/>
      </c>
      <c r="F1105" s="19"/>
      <c r="G1105" s="19"/>
      <c r="H1105" s="19"/>
      <c r="I1105" s="19"/>
      <c r="J1105" s="19"/>
      <c r="K1105" s="233"/>
      <c r="L1105" s="19"/>
      <c r="M1105" s="19"/>
      <c r="N1105" s="19"/>
      <c r="O1105" s="19"/>
      <c r="P1105" s="19"/>
      <c r="Q1105" s="19"/>
      <c r="R1105" s="19"/>
      <c r="S1105" s="19"/>
      <c r="T1105" s="19"/>
      <c r="U1105" s="19"/>
      <c r="V1105" s="19"/>
      <c r="W1105" s="19"/>
      <c r="X1105" s="19"/>
      <c r="Y1105" s="19"/>
    </row>
    <row r="1106" spans="1:25" ht="13.5" customHeight="1">
      <c r="A1106" s="219" t="str" cm="1">
        <f t="array" ref="A1106">IFERROR(INDEX('03.Muestra'!$B$8:$B$42,SMALL(IF("Documento no web"='03.Muestra'!$D$8:$D$42,ROW('03.Muestra'!$B$8:$B$42)-MIN(ROW('03.Muestra'!$D$8:$D$42))+1,""),ROW()-1082)),"")</f>
        <v/>
      </c>
      <c r="B1106" s="114" t="str" cm="1">
        <f t="array" ref="B1106">IFERROR(INDEX('03.Muestra'!$C$8:$C$42,SMALL(IF("Documento no web"='03.Muestra'!$D$8:$D$42,ROW('03.Muestra'!$C$8:$C$42)-MIN(ROW('03.Muestra'!$D$8:$D$42))+1,""),ROW()-1082)),"")</f>
        <v/>
      </c>
      <c r="C1106" s="114" t="str" cm="1">
        <f t="array" ref="C1106">IFERROR(INDEX('03.Muestra'!$F$8:$F$42,SMALL(IF("Documento no web"='03.Muestra'!$D$8:$D$42,ROW('03.Muestra'!$F$8:$F$42)-MIN(ROW('03.Muestra'!$D$8:$D$42))+1,""),ROW()-1082)),"")</f>
        <v/>
      </c>
      <c r="D1106" s="130" t="str">
        <f t="shared" si="57"/>
        <v/>
      </c>
      <c r="E1106" s="107" t="str">
        <f t="shared" si="56"/>
        <v/>
      </c>
      <c r="F1106" s="19"/>
      <c r="G1106" s="19"/>
      <c r="H1106" s="19"/>
      <c r="I1106" s="19"/>
      <c r="J1106" s="19"/>
      <c r="K1106" s="233"/>
      <c r="L1106" s="19"/>
      <c r="M1106" s="19"/>
      <c r="N1106" s="19"/>
      <c r="O1106" s="19"/>
      <c r="P1106" s="19"/>
      <c r="Q1106" s="19"/>
      <c r="R1106" s="19"/>
      <c r="S1106" s="19"/>
      <c r="T1106" s="19"/>
      <c r="U1106" s="19"/>
      <c r="V1106" s="19"/>
      <c r="W1106" s="19"/>
      <c r="X1106" s="19"/>
      <c r="Y1106" s="19"/>
    </row>
    <row r="1107" spans="1:25" ht="13.5" customHeight="1">
      <c r="A1107" s="219" t="str" cm="1">
        <f t="array" ref="A1107">IFERROR(INDEX('03.Muestra'!$B$8:$B$42,SMALL(IF("Documento no web"='03.Muestra'!$D$8:$D$42,ROW('03.Muestra'!$B$8:$B$42)-MIN(ROW('03.Muestra'!$D$8:$D$42))+1,""),ROW()-1082)),"")</f>
        <v/>
      </c>
      <c r="B1107" s="114" t="str" cm="1">
        <f t="array" ref="B1107">IFERROR(INDEX('03.Muestra'!$C$8:$C$42,SMALL(IF("Documento no web"='03.Muestra'!$D$8:$D$42,ROW('03.Muestra'!$C$8:$C$42)-MIN(ROW('03.Muestra'!$D$8:$D$42))+1,""),ROW()-1082)),"")</f>
        <v/>
      </c>
      <c r="C1107" s="114" t="str" cm="1">
        <f t="array" ref="C1107">IFERROR(INDEX('03.Muestra'!$F$8:$F$42,SMALL(IF("Documento no web"='03.Muestra'!$D$8:$D$42,ROW('03.Muestra'!$F$8:$F$42)-MIN(ROW('03.Muestra'!$D$8:$D$42))+1,""),ROW()-1082)),"")</f>
        <v/>
      </c>
      <c r="D1107" s="130" t="str">
        <f t="shared" si="57"/>
        <v/>
      </c>
      <c r="E1107" s="107" t="str">
        <f t="shared" si="56"/>
        <v/>
      </c>
      <c r="F1107" s="19"/>
      <c r="G1107" s="19"/>
      <c r="H1107" s="19"/>
      <c r="I1107" s="19"/>
      <c r="J1107" s="19"/>
      <c r="K1107" s="233"/>
      <c r="L1107" s="19"/>
      <c r="M1107" s="19"/>
      <c r="N1107" s="19"/>
      <c r="O1107" s="19"/>
      <c r="P1107" s="19"/>
      <c r="Q1107" s="19"/>
      <c r="R1107" s="19"/>
      <c r="S1107" s="19"/>
      <c r="T1107" s="19"/>
      <c r="U1107" s="19"/>
      <c r="V1107" s="19"/>
      <c r="W1107" s="19"/>
      <c r="X1107" s="19"/>
      <c r="Y1107" s="19"/>
    </row>
    <row r="1108" spans="1:25" ht="13.5" customHeight="1">
      <c r="A1108" s="219" t="str" cm="1">
        <f t="array" ref="A1108">IFERROR(INDEX('03.Muestra'!$B$8:$B$42,SMALL(IF("Documento no web"='03.Muestra'!$D$8:$D$42,ROW('03.Muestra'!$B$8:$B$42)-MIN(ROW('03.Muestra'!$D$8:$D$42))+1,""),ROW()-1082)),"")</f>
        <v/>
      </c>
      <c r="B1108" s="114" t="str" cm="1">
        <f t="array" ref="B1108">IFERROR(INDEX('03.Muestra'!$C$8:$C$42,SMALL(IF("Documento no web"='03.Muestra'!$D$8:$D$42,ROW('03.Muestra'!$C$8:$C$42)-MIN(ROW('03.Muestra'!$D$8:$D$42))+1,""),ROW()-1082)),"")</f>
        <v/>
      </c>
      <c r="C1108" s="114" t="str" cm="1">
        <f t="array" ref="C1108">IFERROR(INDEX('03.Muestra'!$F$8:$F$42,SMALL(IF("Documento no web"='03.Muestra'!$D$8:$D$42,ROW('03.Muestra'!$F$8:$F$42)-MIN(ROW('03.Muestra'!$D$8:$D$42))+1,""),ROW()-1082)),"")</f>
        <v/>
      </c>
      <c r="D1108" s="130" t="str">
        <f t="shared" si="57"/>
        <v/>
      </c>
      <c r="E1108" s="107" t="str">
        <f t="shared" si="56"/>
        <v/>
      </c>
      <c r="F1108" s="19"/>
      <c r="G1108" s="19"/>
      <c r="H1108" s="19"/>
      <c r="I1108" s="19"/>
      <c r="J1108" s="19"/>
      <c r="K1108" s="233"/>
      <c r="L1108" s="19"/>
      <c r="M1108" s="19"/>
      <c r="N1108" s="19"/>
      <c r="O1108" s="19"/>
      <c r="P1108" s="19"/>
      <c r="Q1108" s="19"/>
      <c r="R1108" s="19"/>
      <c r="S1108" s="19"/>
      <c r="T1108" s="19"/>
      <c r="U1108" s="19"/>
      <c r="V1108" s="19"/>
      <c r="W1108" s="19"/>
      <c r="X1108" s="19"/>
      <c r="Y1108" s="19"/>
    </row>
    <row r="1109" spans="1:25" ht="13.5" customHeight="1">
      <c r="A1109" s="219" t="str" cm="1">
        <f t="array" ref="A1109">IFERROR(INDEX('03.Muestra'!$B$8:$B$42,SMALL(IF("Documento no web"='03.Muestra'!$D$8:$D$42,ROW('03.Muestra'!$B$8:$B$42)-MIN(ROW('03.Muestra'!$D$8:$D$42))+1,""),ROW()-1082)),"")</f>
        <v/>
      </c>
      <c r="B1109" s="114" t="str" cm="1">
        <f t="array" ref="B1109">IFERROR(INDEX('03.Muestra'!$C$8:$C$42,SMALL(IF("Documento no web"='03.Muestra'!$D$8:$D$42,ROW('03.Muestra'!$C$8:$C$42)-MIN(ROW('03.Muestra'!$D$8:$D$42))+1,""),ROW()-1082)),"")</f>
        <v/>
      </c>
      <c r="C1109" s="114" t="str" cm="1">
        <f t="array" ref="C1109">IFERROR(INDEX('03.Muestra'!$F$8:$F$42,SMALL(IF("Documento no web"='03.Muestra'!$D$8:$D$42,ROW('03.Muestra'!$F$8:$F$42)-MIN(ROW('03.Muestra'!$D$8:$D$42))+1,""),ROW()-1082)),"")</f>
        <v/>
      </c>
      <c r="D1109" s="130" t="str">
        <f t="shared" si="57"/>
        <v/>
      </c>
      <c r="E1109" s="107" t="str">
        <f t="shared" si="56"/>
        <v/>
      </c>
      <c r="F1109" s="19"/>
      <c r="G1109" s="19"/>
      <c r="H1109" s="19"/>
      <c r="I1109" s="19"/>
      <c r="J1109" s="19"/>
      <c r="K1109" s="233"/>
      <c r="L1109" s="19"/>
      <c r="M1109" s="19"/>
      <c r="N1109" s="19"/>
      <c r="O1109" s="19"/>
      <c r="P1109" s="19"/>
      <c r="Q1109" s="19"/>
      <c r="R1109" s="19"/>
      <c r="S1109" s="19"/>
      <c r="T1109" s="19"/>
      <c r="U1109" s="19"/>
      <c r="V1109" s="19"/>
      <c r="W1109" s="19"/>
      <c r="X1109" s="19"/>
      <c r="Y1109" s="19"/>
    </row>
    <row r="1110" spans="1:25" ht="13.5" customHeight="1">
      <c r="A1110" s="219" t="str" cm="1">
        <f t="array" ref="A1110">IFERROR(INDEX('03.Muestra'!$B$8:$B$42,SMALL(IF("Documento no web"='03.Muestra'!$D$8:$D$42,ROW('03.Muestra'!$B$8:$B$42)-MIN(ROW('03.Muestra'!$D$8:$D$42))+1,""),ROW()-1082)),"")</f>
        <v/>
      </c>
      <c r="B1110" s="114" t="str" cm="1">
        <f t="array" ref="B1110">IFERROR(INDEX('03.Muestra'!$C$8:$C$42,SMALL(IF("Documento no web"='03.Muestra'!$D$8:$D$42,ROW('03.Muestra'!$C$8:$C$42)-MIN(ROW('03.Muestra'!$D$8:$D$42))+1,""),ROW()-1082)),"")</f>
        <v/>
      </c>
      <c r="C1110" s="114" t="str" cm="1">
        <f t="array" ref="C1110">IFERROR(INDEX('03.Muestra'!$F$8:$F$42,SMALL(IF("Documento no web"='03.Muestra'!$D$8:$D$42,ROW('03.Muestra'!$F$8:$F$42)-MIN(ROW('03.Muestra'!$D$8:$D$42))+1,""),ROW()-1082)),"")</f>
        <v/>
      </c>
      <c r="D1110" s="130" t="str">
        <f t="shared" si="57"/>
        <v/>
      </c>
      <c r="E1110" s="107" t="str">
        <f t="shared" si="56"/>
        <v/>
      </c>
      <c r="G1110" s="19"/>
      <c r="H1110" s="19"/>
      <c r="I1110" s="19"/>
      <c r="J1110" s="19"/>
      <c r="K1110" s="233"/>
      <c r="L1110" s="19"/>
      <c r="M1110" s="19"/>
      <c r="N1110" s="19"/>
      <c r="O1110" s="19"/>
      <c r="P1110" s="19"/>
      <c r="Q1110" s="19"/>
      <c r="R1110" s="19"/>
      <c r="S1110" s="19"/>
      <c r="T1110" s="19"/>
      <c r="U1110" s="19"/>
      <c r="V1110" s="19"/>
      <c r="W1110" s="19"/>
      <c r="X1110" s="19"/>
      <c r="Y1110" s="19"/>
    </row>
    <row r="1111" spans="1:25" ht="13.5" customHeight="1">
      <c r="A1111" s="219" t="str" cm="1">
        <f t="array" ref="A1111">IFERROR(INDEX('03.Muestra'!$B$8:$B$42,SMALL(IF("Documento no web"='03.Muestra'!$D$8:$D$42,ROW('03.Muestra'!$B$8:$B$42)-MIN(ROW('03.Muestra'!$D$8:$D$42))+1,""),ROW()-1082)),"")</f>
        <v/>
      </c>
      <c r="B1111" s="114" t="str" cm="1">
        <f t="array" ref="B1111">IFERROR(INDEX('03.Muestra'!$C$8:$C$42,SMALL(IF("Documento no web"='03.Muestra'!$D$8:$D$42,ROW('03.Muestra'!$C$8:$C$42)-MIN(ROW('03.Muestra'!$D$8:$D$42))+1,""),ROW()-1082)),"")</f>
        <v/>
      </c>
      <c r="C1111" s="114" t="str" cm="1">
        <f t="array" ref="C1111">IFERROR(INDEX('03.Muestra'!$F$8:$F$42,SMALL(IF("Documento no web"='03.Muestra'!$D$8:$D$42,ROW('03.Muestra'!$F$8:$F$42)-MIN(ROW('03.Muestra'!$D$8:$D$42))+1,""),ROW()-1082)),"")</f>
        <v/>
      </c>
      <c r="D1111" s="130" t="str">
        <f t="shared" si="57"/>
        <v/>
      </c>
      <c r="E1111" s="107" t="str">
        <f t="shared" si="56"/>
        <v/>
      </c>
      <c r="F1111" s="124"/>
      <c r="G1111" s="19"/>
      <c r="H1111" s="19"/>
      <c r="I1111" s="19"/>
      <c r="J1111" s="19"/>
      <c r="K1111" s="233"/>
      <c r="L1111" s="19"/>
      <c r="M1111" s="19"/>
      <c r="N1111" s="19"/>
      <c r="O1111" s="19"/>
      <c r="P1111" s="19"/>
      <c r="Q1111" s="19"/>
      <c r="R1111" s="19"/>
      <c r="S1111" s="19"/>
      <c r="T1111" s="19"/>
      <c r="U1111" s="19"/>
      <c r="V1111" s="19"/>
      <c r="W1111" s="19"/>
      <c r="X1111" s="19"/>
      <c r="Y1111" s="19"/>
    </row>
    <row r="1112" spans="1:25" ht="13.5" customHeight="1">
      <c r="A1112" s="219" t="str" cm="1">
        <f t="array" ref="A1112">IFERROR(INDEX('03.Muestra'!$B$8:$B$42,SMALL(IF("Documento no web"='03.Muestra'!$D$8:$D$42,ROW('03.Muestra'!$B$8:$B$42)-MIN(ROW('03.Muestra'!$D$8:$D$42))+1,""),ROW()-1082)),"")</f>
        <v/>
      </c>
      <c r="B1112" s="114" t="str" cm="1">
        <f t="array" ref="B1112">IFERROR(INDEX('03.Muestra'!$C$8:$C$42,SMALL(IF("Documento no web"='03.Muestra'!$D$8:$D$42,ROW('03.Muestra'!$C$8:$C$42)-MIN(ROW('03.Muestra'!$D$8:$D$42))+1,""),ROW()-1082)),"")</f>
        <v/>
      </c>
      <c r="C1112" s="114" t="str" cm="1">
        <f t="array" ref="C1112">IFERROR(INDEX('03.Muestra'!$F$8:$F$42,SMALL(IF("Documento no web"='03.Muestra'!$D$8:$D$42,ROW('03.Muestra'!$F$8:$F$42)-MIN(ROW('03.Muestra'!$D$8:$D$42))+1,""),ROW()-1082)),"")</f>
        <v/>
      </c>
      <c r="D1112" s="130" t="str">
        <f t="shared" si="57"/>
        <v/>
      </c>
      <c r="E1112" s="107" t="str">
        <f t="shared" si="56"/>
        <v/>
      </c>
      <c r="F1112" s="124"/>
      <c r="G1112" s="19"/>
      <c r="H1112" s="19"/>
      <c r="I1112" s="19"/>
      <c r="J1112" s="19"/>
      <c r="K1112" s="233"/>
      <c r="L1112" s="19"/>
      <c r="M1112" s="19"/>
      <c r="N1112" s="19"/>
      <c r="O1112" s="19"/>
      <c r="P1112" s="19"/>
      <c r="Q1112" s="19"/>
      <c r="R1112" s="19"/>
      <c r="S1112" s="19"/>
      <c r="T1112" s="19"/>
      <c r="U1112" s="19"/>
      <c r="V1112" s="19"/>
      <c r="W1112" s="19"/>
      <c r="X1112" s="19"/>
      <c r="Y1112" s="19"/>
    </row>
    <row r="1113" spans="1:25" ht="13.5" customHeight="1">
      <c r="A1113" s="219" t="str" cm="1">
        <f t="array" ref="A1113">IFERROR(INDEX('03.Muestra'!$B$8:$B$42,SMALL(IF("Documento no web"='03.Muestra'!$D$8:$D$42,ROW('03.Muestra'!$B$8:$B$42)-MIN(ROW('03.Muestra'!$D$8:$D$42))+1,""),ROW()-1082)),"")</f>
        <v/>
      </c>
      <c r="B1113" s="114" t="str" cm="1">
        <f t="array" ref="B1113">IFERROR(INDEX('03.Muestra'!$C$8:$C$42,SMALL(IF("Documento no web"='03.Muestra'!$D$8:$D$42,ROW('03.Muestra'!$C$8:$C$42)-MIN(ROW('03.Muestra'!$D$8:$D$42))+1,""),ROW()-1082)),"")</f>
        <v/>
      </c>
      <c r="C1113" s="114" t="str" cm="1">
        <f t="array" ref="C1113">IFERROR(INDEX('03.Muestra'!$F$8:$F$42,SMALL(IF("Documento no web"='03.Muestra'!$D$8:$D$42,ROW('03.Muestra'!$F$8:$F$42)-MIN(ROW('03.Muestra'!$D$8:$D$42))+1,""),ROW()-1082)),"")</f>
        <v/>
      </c>
      <c r="D1113" s="130" t="str">
        <f t="shared" si="57"/>
        <v/>
      </c>
      <c r="E1113" s="107" t="str">
        <f t="shared" si="56"/>
        <v/>
      </c>
      <c r="F1113" s="124"/>
      <c r="G1113" s="19"/>
      <c r="H1113" s="19"/>
      <c r="I1113" s="19"/>
      <c r="J1113" s="19"/>
      <c r="K1113" s="233"/>
      <c r="L1113" s="19"/>
      <c r="M1113" s="19"/>
      <c r="N1113" s="19"/>
      <c r="O1113" s="19"/>
      <c r="P1113" s="19"/>
      <c r="Q1113" s="19"/>
      <c r="R1113" s="19"/>
      <c r="S1113" s="19"/>
      <c r="T1113" s="19"/>
      <c r="U1113" s="19"/>
      <c r="V1113" s="19"/>
      <c r="W1113" s="19"/>
      <c r="X1113" s="19"/>
      <c r="Y1113" s="19"/>
    </row>
    <row r="1114" spans="1:25" ht="13.5" customHeight="1">
      <c r="A1114" s="219" t="str" cm="1">
        <f t="array" ref="A1114">IFERROR(INDEX('03.Muestra'!$B$8:$B$42,SMALL(IF("Documento no web"='03.Muestra'!$D$8:$D$42,ROW('03.Muestra'!$B$8:$B$42)-MIN(ROW('03.Muestra'!$D$8:$D$42))+1,""),ROW()-1082)),"")</f>
        <v/>
      </c>
      <c r="B1114" s="114" t="str" cm="1">
        <f t="array" ref="B1114">IFERROR(INDEX('03.Muestra'!$C$8:$C$42,SMALL(IF("Documento no web"='03.Muestra'!$D$8:$D$42,ROW('03.Muestra'!$C$8:$C$42)-MIN(ROW('03.Muestra'!$D$8:$D$42))+1,""),ROW()-1082)),"")</f>
        <v/>
      </c>
      <c r="C1114" s="114" t="str" cm="1">
        <f t="array" ref="C1114">IFERROR(INDEX('03.Muestra'!$F$8:$F$42,SMALL(IF("Documento no web"='03.Muestra'!$D$8:$D$42,ROW('03.Muestra'!$F$8:$F$42)-MIN(ROW('03.Muestra'!$D$8:$D$42))+1,""),ROW()-1082)),"")</f>
        <v/>
      </c>
      <c r="D1114" s="130" t="str">
        <f t="shared" si="57"/>
        <v/>
      </c>
      <c r="E1114" s="107" t="str">
        <f t="shared" si="56"/>
        <v/>
      </c>
      <c r="F1114" s="124"/>
      <c r="G1114" s="19"/>
      <c r="H1114" s="19"/>
      <c r="I1114" s="19"/>
      <c r="J1114" s="19"/>
      <c r="K1114" s="233"/>
      <c r="L1114" s="19"/>
      <c r="M1114" s="19"/>
      <c r="N1114" s="19"/>
      <c r="O1114" s="19"/>
      <c r="P1114" s="19"/>
      <c r="Q1114" s="19"/>
      <c r="R1114" s="19"/>
      <c r="S1114" s="19"/>
      <c r="T1114" s="19"/>
      <c r="U1114" s="19"/>
      <c r="V1114" s="19"/>
      <c r="W1114" s="19"/>
      <c r="X1114" s="19"/>
      <c r="Y1114" s="19"/>
    </row>
    <row r="1115" spans="1:25" ht="13.5" customHeight="1">
      <c r="A1115" s="219" t="str" cm="1">
        <f t="array" ref="A1115">IFERROR(INDEX('03.Muestra'!$B$8:$B$42,SMALL(IF("Documento no web"='03.Muestra'!$D$8:$D$42,ROW('03.Muestra'!$B$8:$B$42)-MIN(ROW('03.Muestra'!$D$8:$D$42))+1,""),ROW()-1082)),"")</f>
        <v/>
      </c>
      <c r="B1115" s="114" t="str" cm="1">
        <f t="array" ref="B1115">IFERROR(INDEX('03.Muestra'!$C$8:$C$42,SMALL(IF("Documento no web"='03.Muestra'!$D$8:$D$42,ROW('03.Muestra'!$C$8:$C$42)-MIN(ROW('03.Muestra'!$D$8:$D$42))+1,""),ROW()-1082)),"")</f>
        <v/>
      </c>
      <c r="C1115" s="114" t="str" cm="1">
        <f t="array" ref="C1115">IFERROR(INDEX('03.Muestra'!$F$8:$F$42,SMALL(IF("Documento no web"='03.Muestra'!$D$8:$D$42,ROW('03.Muestra'!$F$8:$F$42)-MIN(ROW('03.Muestra'!$D$8:$D$42))+1,""),ROW()-1082)),"")</f>
        <v/>
      </c>
      <c r="D1115" s="130" t="str">
        <f t="shared" si="57"/>
        <v/>
      </c>
      <c r="E1115" s="107" t="str">
        <f t="shared" si="56"/>
        <v/>
      </c>
      <c r="F1115" s="124"/>
      <c r="G1115" s="19"/>
      <c r="H1115" s="19"/>
      <c r="I1115" s="19"/>
      <c r="J1115" s="19"/>
      <c r="K1115" s="233"/>
      <c r="L1115" s="19"/>
      <c r="M1115" s="19"/>
      <c r="N1115" s="19"/>
      <c r="O1115" s="19"/>
      <c r="P1115" s="19"/>
      <c r="Q1115" s="19"/>
      <c r="R1115" s="19"/>
      <c r="S1115" s="19"/>
      <c r="T1115" s="19"/>
      <c r="U1115" s="19"/>
      <c r="V1115" s="19"/>
      <c r="W1115" s="19"/>
      <c r="X1115" s="19"/>
      <c r="Y1115" s="19"/>
    </row>
    <row r="1116" spans="1:25" ht="13.5" customHeight="1">
      <c r="A1116" s="219" t="str" cm="1">
        <f t="array" ref="A1116">IFERROR(INDEX('03.Muestra'!$B$8:$B$42,SMALL(IF("Documento no web"='03.Muestra'!$D$8:$D$42,ROW('03.Muestra'!$B$8:$B$42)-MIN(ROW('03.Muestra'!$D$8:$D$42))+1,""),ROW()-1082)),"")</f>
        <v/>
      </c>
      <c r="B1116" s="114" t="str" cm="1">
        <f t="array" ref="B1116">IFERROR(INDEX('03.Muestra'!$C$8:$C$42,SMALL(IF("Documento no web"='03.Muestra'!$D$8:$D$42,ROW('03.Muestra'!$C$8:$C$42)-MIN(ROW('03.Muestra'!$D$8:$D$42))+1,""),ROW()-1082)),"")</f>
        <v/>
      </c>
      <c r="C1116" s="114" t="str" cm="1">
        <f t="array" ref="C1116">IFERROR(INDEX('03.Muestra'!$F$8:$F$42,SMALL(IF("Documento no web"='03.Muestra'!$D$8:$D$42,ROW('03.Muestra'!$F$8:$F$42)-MIN(ROW('03.Muestra'!$D$8:$D$42))+1,""),ROW()-1082)),"")</f>
        <v/>
      </c>
      <c r="D1116" s="130" t="str">
        <f t="shared" si="57"/>
        <v/>
      </c>
      <c r="E1116" s="107" t="str">
        <f t="shared" si="56"/>
        <v/>
      </c>
      <c r="F1116" s="124"/>
      <c r="G1116" s="19"/>
      <c r="H1116" s="19"/>
      <c r="I1116" s="19"/>
      <c r="J1116" s="19"/>
      <c r="K1116" s="233"/>
      <c r="L1116" s="19"/>
      <c r="M1116" s="19"/>
      <c r="N1116" s="19"/>
      <c r="O1116" s="19"/>
      <c r="P1116" s="19"/>
      <c r="Q1116" s="19"/>
      <c r="R1116" s="19"/>
      <c r="S1116" s="19"/>
      <c r="T1116" s="19"/>
      <c r="U1116" s="19"/>
      <c r="V1116" s="19"/>
      <c r="W1116" s="19"/>
      <c r="X1116" s="19"/>
      <c r="Y1116" s="19"/>
    </row>
    <row r="1117" spans="1:25" ht="13.5" customHeight="1">
      <c r="A1117" s="219" t="str" cm="1">
        <f t="array" ref="A1117">IFERROR(INDEX('03.Muestra'!$B$8:$B$42,SMALL(IF("Documento no web"='03.Muestra'!$D$8:$D$42,ROW('03.Muestra'!$B$8:$B$42)-MIN(ROW('03.Muestra'!$D$8:$D$42))+1,""),ROW()-1082)),"")</f>
        <v/>
      </c>
      <c r="B1117" s="114" t="str" cm="1">
        <f t="array" ref="B1117">IFERROR(INDEX('03.Muestra'!$C$8:$C$42,SMALL(IF("Documento no web"='03.Muestra'!$D$8:$D$42,ROW('03.Muestra'!$C$8:$C$42)-MIN(ROW('03.Muestra'!$D$8:$D$42))+1,""),ROW()-1082)),"")</f>
        <v/>
      </c>
      <c r="C1117" s="114" t="str" cm="1">
        <f t="array" ref="C1117">IFERROR(INDEX('03.Muestra'!$F$8:$F$42,SMALL(IF("Documento no web"='03.Muestra'!$D$8:$D$42,ROW('03.Muestra'!$F$8:$F$42)-MIN(ROW('03.Muestra'!$D$8:$D$42))+1,""),ROW()-1082)),"")</f>
        <v/>
      </c>
      <c r="D1117" s="130" t="str">
        <f t="shared" si="57"/>
        <v/>
      </c>
      <c r="E1117" s="107" t="str">
        <f t="shared" si="56"/>
        <v/>
      </c>
      <c r="F1117" s="19"/>
      <c r="G1117" s="19"/>
      <c r="H1117" s="19"/>
      <c r="I1117" s="19"/>
      <c r="J1117" s="19"/>
      <c r="K1117" s="233"/>
      <c r="L1117" s="19"/>
      <c r="M1117" s="19"/>
      <c r="N1117" s="19"/>
      <c r="O1117" s="19"/>
      <c r="P1117" s="19"/>
      <c r="Q1117" s="19"/>
      <c r="R1117" s="19"/>
      <c r="S1117" s="19"/>
      <c r="T1117" s="19"/>
      <c r="U1117" s="19"/>
      <c r="V1117" s="19"/>
      <c r="W1117" s="19"/>
      <c r="X1117" s="19"/>
      <c r="Y1117" s="19"/>
    </row>
    <row r="1118" spans="1:25" ht="13.5" customHeight="1">
      <c r="B1118" s="19"/>
      <c r="C1118" s="19"/>
      <c r="D1118" s="107"/>
      <c r="E1118" s="19"/>
      <c r="F1118" s="19"/>
      <c r="G1118" s="19"/>
      <c r="H1118" s="19"/>
      <c r="I1118" s="19"/>
      <c r="J1118" s="19"/>
      <c r="K1118" s="233"/>
      <c r="L1118" s="19"/>
      <c r="M1118" s="19"/>
      <c r="N1118" s="19"/>
      <c r="O1118" s="19"/>
      <c r="P1118" s="19"/>
      <c r="Q1118" s="19"/>
      <c r="R1118" s="19"/>
      <c r="S1118" s="19"/>
      <c r="T1118" s="19"/>
      <c r="U1118" s="19"/>
      <c r="V1118" s="19"/>
      <c r="W1118" s="19"/>
      <c r="X1118" s="19"/>
      <c r="Y1118" s="19"/>
    </row>
    <row r="1119" spans="1:25" ht="13.5" customHeight="1">
      <c r="B1119" s="126"/>
      <c r="C1119" s="19"/>
      <c r="D1119" s="107"/>
      <c r="E1119" s="112"/>
      <c r="F1119" s="19"/>
      <c r="G1119" s="19"/>
      <c r="H1119" s="19"/>
      <c r="I1119" s="19"/>
      <c r="J1119" s="19"/>
      <c r="K1119" s="233"/>
      <c r="L1119" s="19"/>
      <c r="M1119" s="19"/>
      <c r="N1119" s="19"/>
      <c r="O1119" s="19"/>
      <c r="P1119" s="19"/>
      <c r="Q1119" s="19"/>
      <c r="R1119" s="19"/>
      <c r="S1119" s="19"/>
      <c r="T1119" s="19"/>
      <c r="U1119" s="19"/>
      <c r="V1119" s="19"/>
      <c r="W1119" s="19"/>
      <c r="X1119" s="19"/>
      <c r="Y1119" s="19"/>
    </row>
    <row r="1120" spans="1:25" ht="30" customHeight="1">
      <c r="A1120" s="218" t="s">
        <v>268</v>
      </c>
      <c r="B1120" s="24" t="s">
        <v>90</v>
      </c>
      <c r="C1120" s="25" t="s">
        <v>451</v>
      </c>
      <c r="D1120" s="26" t="s">
        <v>32</v>
      </c>
      <c r="E1120" s="123"/>
      <c r="K1120" s="233"/>
      <c r="L1120" s="19"/>
      <c r="M1120" s="19"/>
      <c r="N1120" s="19"/>
      <c r="O1120" s="19"/>
      <c r="P1120" s="19"/>
      <c r="Q1120" s="19"/>
      <c r="R1120" s="19"/>
      <c r="S1120" s="19"/>
      <c r="T1120" s="19"/>
      <c r="U1120" s="19"/>
      <c r="V1120" s="19"/>
      <c r="W1120" s="19"/>
      <c r="X1120" s="19"/>
      <c r="Y1120" s="19"/>
    </row>
    <row r="1121" spans="1:25" ht="13.5" customHeight="1">
      <c r="A1121" s="219" t="n" cm="1">
        <f t="array" ref="A1121">IFERROR(INDEX('03.Muestra'!$B$8:$B$42,SMALL(IF("Documento no web"='03.Muestra'!$D$8:$D$42,ROW('03.Muestra'!$B$8:$B$42)-MIN(ROW('03.Muestra'!$D$8:$D$42))+1,""),ROW()-1120)),"")</f>
        <v>1.0</v>
      </c>
      <c r="B1121" s="114" t="str" cm="1">
        <f t="array" ref="B1121">IFERROR(INDEX('03.Muestra'!$C$8:$C$42,SMALL(IF("Documento no web"='03.Muestra'!$D$8:$D$42,ROW('03.Muestra'!$C$8:$C$42)-MIN(ROW('03.Muestra'!$D$8:$D$42))+1,""),ROW()-1120)),"")</f>
        <v>Home - PortCastelló</v>
      </c>
      <c r="C1121" s="114" t="str" cm="1">
        <f t="array" ref="C1121">IFERROR(INDEX('03.Muestra'!$F$8:$F$42,SMALL(IF("Documento no web"='03.Muestra'!$D$8:$D$42,ROW('03.Muestra'!$F$8:$F$42)-MIN(ROW('03.Muestra'!$D$8:$D$42))+1,""),ROW()-1120)),"")</f>
        <v>https://www.portcastello.com/</v>
      </c>
      <c r="D1121" s="130" t="s">
        <v>33</v>
      </c>
      <c r="E1121" s="107" t="str">
        <f t="shared" ref="E1121:E1155" si="58">IF(D1121&lt;&gt;"",IF(AND(B1121&lt;&gt;"",C1121&lt;&gt;""),"","ERR"),"")</f>
        <v/>
      </c>
      <c r="F1121" s="115" t="s">
        <v>33</v>
      </c>
      <c r="G1121" s="116" t="s">
        <v>37</v>
      </c>
      <c r="H1121" s="117" t="s">
        <v>35</v>
      </c>
      <c r="I1121" s="118" t="s">
        <v>28</v>
      </c>
      <c r="J1121" s="119" t="s">
        <v>26</v>
      </c>
      <c r="K1121" s="226" t="s">
        <v>474</v>
      </c>
      <c r="L1121" s="19"/>
      <c r="M1121" s="19"/>
      <c r="N1121" s="19"/>
      <c r="O1121" s="19"/>
      <c r="P1121" s="19"/>
      <c r="Q1121" s="19"/>
      <c r="R1121" s="19"/>
      <c r="S1121" s="19"/>
      <c r="T1121" s="19"/>
      <c r="U1121" s="19"/>
      <c r="V1121" s="19"/>
      <c r="W1121" s="19"/>
      <c r="X1121" s="19"/>
      <c r="Y1121" s="19"/>
    </row>
    <row r="1122" spans="1:25" ht="13.5" customHeight="1">
      <c r="A1122" s="219" t="n" cm="1">
        <f t="array" ref="A1122">IFERROR(INDEX('03.Muestra'!$B$8:$B$42,SMALL(IF("Documento no web"='03.Muestra'!$D$8:$D$42,ROW('03.Muestra'!$B$8:$B$42)-MIN(ROW('03.Muestra'!$D$8:$D$42))+1,""),ROW()-1120)),"")</f>
        <v>1.0</v>
      </c>
      <c r="B1122" s="114" t="str" cm="1">
        <f t="array" ref="B1122">IFERROR(INDEX('03.Muestra'!$C$8:$C$42,SMALL(IF("Documento no web"='03.Muestra'!$D$8:$D$42,ROW('03.Muestra'!$C$8:$C$42)-MIN(ROW('03.Muestra'!$D$8:$D$42))+1,""),ROW()-1120)),"")</f>
        <v>Home - PortCastelló</v>
      </c>
      <c r="C1122" s="114" t="str" cm="1">
        <f t="array" ref="C1122">IFERROR(INDEX('03.Muestra'!$F$8:$F$42,SMALL(IF("Documento no web"='03.Muestra'!$D$8:$D$42,ROW('03.Muestra'!$F$8:$F$42)-MIN(ROW('03.Muestra'!$D$8:$D$42))+1,""),ROW()-1120)),"")</f>
        <v>https://www.portcastello.com/</v>
      </c>
      <c r="D1122" s="130" t="s">
        <v>33</v>
      </c>
      <c r="E1122" s="107" t="str">
        <f t="shared" si="58"/>
        <v/>
      </c>
      <c r="F1122" s="120" t="n">
        <f ca="1">COUNTIF($D1121:INDIRECT("$D" &amp;  SUM(ROW()-1,'03.Muestra'!$D$45)-1),F1121)</f>
        <v>2.0</v>
      </c>
      <c r="G1122" s="120" t="n">
        <f ca="1">COUNTIF($D1121:INDIRECT("$D" &amp;  SUM(ROW()-1,'03.Muestra'!$D$45)-1),G1121)</f>
        <v>0.0</v>
      </c>
      <c r="H1122" s="120" t="n">
        <f ca="1">COUNTIF($D1121:INDIRECT("$D" &amp;  SUM(ROW()-1,'03.Muestra'!$D$45)-1),H1121)</f>
        <v>0.0</v>
      </c>
      <c r="I1122" s="120" t="n">
        <f ca="1">COUNTIF($D1121:INDIRECT("$D" &amp;  SUM(ROW()-1,'03.Muestra'!$D$45)-1),I1121)</f>
        <v>0.0</v>
      </c>
      <c r="J1122" s="120" t="n">
        <f ca="1">COUNTIF($D1121:INDIRECT("$D" &amp;  SUM(ROW()-1,'03.Muestra'!$D$45)-1),J1121)</f>
        <v>0.0</v>
      </c>
      <c r="K1122" s="227" t="n">
        <f ca="1">IF(COUNTIF('03.Muestra'!$D$8:$D$42,"Documento no web")=0,0,COUNTBLANK($D1121:INDIRECT("$D" &amp;  SUM(ROW()-1,COUNTIF('03.Muestra'!$D$8:$D$42,"Documento no web"))-1)))</f>
        <v>0.0</v>
      </c>
      <c r="L1122" s="19"/>
      <c r="M1122" s="19"/>
      <c r="N1122" s="19"/>
      <c r="O1122" s="19"/>
      <c r="P1122" s="19"/>
      <c r="Q1122" s="19"/>
      <c r="R1122" s="19"/>
      <c r="S1122" s="19"/>
      <c r="T1122" s="19"/>
      <c r="U1122" s="19"/>
      <c r="V1122" s="19"/>
      <c r="W1122" s="19"/>
      <c r="X1122" s="19"/>
      <c r="Y1122" s="19"/>
    </row>
    <row r="1123" spans="1:25" ht="13.5" customHeight="1">
      <c r="A1123" s="219" t="str" cm="1">
        <f t="array" ref="A1123">IFERROR(INDEX('03.Muestra'!$B$8:$B$42,SMALL(IF("Documento no web"='03.Muestra'!$D$8:$D$42,ROW('03.Muestra'!$B$8:$B$42)-MIN(ROW('03.Muestra'!$D$8:$D$42))+1,""),ROW()-1120)),"")</f>
        <v/>
      </c>
      <c r="B1123" s="114" t="str" cm="1">
        <f t="array" ref="B1123">IFERROR(INDEX('03.Muestra'!$C$8:$C$42,SMALL(IF("Documento no web"='03.Muestra'!$D$8:$D$42,ROW('03.Muestra'!$C$8:$C$42)-MIN(ROW('03.Muestra'!$D$8:$D$42))+1,""),ROW()-1120)),"")</f>
        <v/>
      </c>
      <c r="C1123" s="114" t="str" cm="1">
        <f t="array" ref="C1123">IFERROR(INDEX('03.Muestra'!$F$8:$F$42,SMALL(IF("Documento no web"='03.Muestra'!$D$8:$D$42,ROW('03.Muestra'!$F$8:$F$42)-MIN(ROW('03.Muestra'!$D$8:$D$42))+1,""),ROW()-1120)),"")</f>
        <v/>
      </c>
      <c r="D1123" s="130" t="str">
        <f t="shared" si="59" ref="D1123:D1155">IF(AND(B1123&lt;&gt;"",C1123&lt;&gt;""),"N/T","")</f>
        <v/>
      </c>
      <c r="E1123" s="107" t="str">
        <f t="shared" si="58"/>
        <v/>
      </c>
      <c r="G1123" s="19"/>
      <c r="H1123" s="19"/>
      <c r="I1123" s="19"/>
      <c r="J1123" s="19"/>
      <c r="K1123" s="233"/>
      <c r="L1123" s="19"/>
      <c r="M1123" s="19"/>
      <c r="N1123" s="19"/>
      <c r="O1123" s="19"/>
      <c r="P1123" s="19"/>
      <c r="Q1123" s="19"/>
      <c r="R1123" s="19"/>
      <c r="S1123" s="19"/>
      <c r="T1123" s="19"/>
      <c r="U1123" s="19"/>
      <c r="V1123" s="19"/>
      <c r="W1123" s="19"/>
      <c r="X1123" s="19"/>
      <c r="Y1123" s="19"/>
    </row>
    <row r="1124" spans="1:25" ht="13.5" customHeight="1">
      <c r="A1124" s="219" t="str" cm="1">
        <f t="array" ref="A1124">IFERROR(INDEX('03.Muestra'!$B$8:$B$42,SMALL(IF("Documento no web"='03.Muestra'!$D$8:$D$42,ROW('03.Muestra'!$B$8:$B$42)-MIN(ROW('03.Muestra'!$D$8:$D$42))+1,""),ROW()-1120)),"")</f>
        <v/>
      </c>
      <c r="B1124" s="114" t="str" cm="1">
        <f t="array" ref="B1124">IFERROR(INDEX('03.Muestra'!$C$8:$C$42,SMALL(IF("Documento no web"='03.Muestra'!$D$8:$D$42,ROW('03.Muestra'!$C$8:$C$42)-MIN(ROW('03.Muestra'!$D$8:$D$42))+1,""),ROW()-1120)),"")</f>
        <v/>
      </c>
      <c r="C1124" s="114" t="str" cm="1">
        <f t="array" ref="C1124">IFERROR(INDEX('03.Muestra'!$F$8:$F$42,SMALL(IF("Documento no web"='03.Muestra'!$D$8:$D$42,ROW('03.Muestra'!$F$8:$F$42)-MIN(ROW('03.Muestra'!$D$8:$D$42))+1,""),ROW()-1120)),"")</f>
        <v/>
      </c>
      <c r="D1124" s="130" t="str">
        <f t="shared" si="59"/>
        <v/>
      </c>
      <c r="E1124" s="107" t="str">
        <f t="shared" si="58"/>
        <v/>
      </c>
      <c r="G1124" s="19"/>
      <c r="H1124" s="19"/>
      <c r="I1124" s="19"/>
      <c r="J1124" s="19"/>
      <c r="K1124" s="233"/>
      <c r="L1124" s="19"/>
      <c r="M1124" s="19"/>
      <c r="N1124" s="19"/>
      <c r="O1124" s="19"/>
      <c r="P1124" s="19"/>
      <c r="Q1124" s="19"/>
      <c r="R1124" s="19"/>
      <c r="S1124" s="19"/>
      <c r="T1124" s="19"/>
      <c r="U1124" s="19"/>
      <c r="V1124" s="19"/>
      <c r="W1124" s="19"/>
      <c r="X1124" s="19"/>
      <c r="Y1124" s="19"/>
    </row>
    <row r="1125" spans="1:25" ht="13.5" customHeight="1">
      <c r="A1125" s="219" t="str" cm="1">
        <f t="array" ref="A1125">IFERROR(INDEX('03.Muestra'!$B$8:$B$42,SMALL(IF("Documento no web"='03.Muestra'!$D$8:$D$42,ROW('03.Muestra'!$B$8:$B$42)-MIN(ROW('03.Muestra'!$D$8:$D$42))+1,""),ROW()-1120)),"")</f>
        <v/>
      </c>
      <c r="B1125" s="114" t="str" cm="1">
        <f t="array" ref="B1125">IFERROR(INDEX('03.Muestra'!$C$8:$C$42,SMALL(IF("Documento no web"='03.Muestra'!$D$8:$D$42,ROW('03.Muestra'!$C$8:$C$42)-MIN(ROW('03.Muestra'!$D$8:$D$42))+1,""),ROW()-1120)),"")</f>
        <v/>
      </c>
      <c r="C1125" s="114" t="str" cm="1">
        <f t="array" ref="C1125">IFERROR(INDEX('03.Muestra'!$F$8:$F$42,SMALL(IF("Documento no web"='03.Muestra'!$D$8:$D$42,ROW('03.Muestra'!$F$8:$F$42)-MIN(ROW('03.Muestra'!$D$8:$D$42))+1,""),ROW()-1120)),"")</f>
        <v/>
      </c>
      <c r="D1125" s="130" t="str">
        <f t="shared" si="59"/>
        <v/>
      </c>
      <c r="E1125" s="107" t="str">
        <f t="shared" si="58"/>
        <v/>
      </c>
      <c r="G1125" s="19"/>
      <c r="H1125" s="19"/>
      <c r="I1125" s="19"/>
      <c r="J1125" s="19"/>
      <c r="K1125" s="233"/>
      <c r="L1125" s="19"/>
      <c r="M1125" s="19"/>
      <c r="N1125" s="19"/>
      <c r="O1125" s="19"/>
      <c r="P1125" s="19"/>
      <c r="Q1125" s="19"/>
      <c r="R1125" s="19"/>
      <c r="S1125" s="19"/>
      <c r="T1125" s="19"/>
      <c r="U1125" s="19"/>
      <c r="V1125" s="19"/>
      <c r="W1125" s="19"/>
      <c r="X1125" s="19"/>
      <c r="Y1125" s="19"/>
    </row>
    <row r="1126" spans="1:25" ht="13.5" customHeight="1">
      <c r="A1126" s="219" t="str" cm="1">
        <f t="array" ref="A1126">IFERROR(INDEX('03.Muestra'!$B$8:$B$42,SMALL(IF("Documento no web"='03.Muestra'!$D$8:$D$42,ROW('03.Muestra'!$B$8:$B$42)-MIN(ROW('03.Muestra'!$D$8:$D$42))+1,""),ROW()-1120)),"")</f>
        <v/>
      </c>
      <c r="B1126" s="114" t="str" cm="1">
        <f t="array" ref="B1126">IFERROR(INDEX('03.Muestra'!$C$8:$C$42,SMALL(IF("Documento no web"='03.Muestra'!$D$8:$D$42,ROW('03.Muestra'!$C$8:$C$42)-MIN(ROW('03.Muestra'!$D$8:$D$42))+1,""),ROW()-1120)),"")</f>
        <v/>
      </c>
      <c r="C1126" s="114" t="str" cm="1">
        <f t="array" ref="C1126">IFERROR(INDEX('03.Muestra'!$F$8:$F$42,SMALL(IF("Documento no web"='03.Muestra'!$D$8:$D$42,ROW('03.Muestra'!$F$8:$F$42)-MIN(ROW('03.Muestra'!$D$8:$D$42))+1,""),ROW()-1120)),"")</f>
        <v/>
      </c>
      <c r="D1126" s="130" t="str">
        <f t="shared" si="59"/>
        <v/>
      </c>
      <c r="E1126" s="107" t="str">
        <f t="shared" si="58"/>
        <v/>
      </c>
      <c r="G1126" s="19"/>
      <c r="H1126" s="19"/>
      <c r="I1126" s="19"/>
      <c r="J1126" s="19"/>
      <c r="K1126" s="233"/>
      <c r="L1126" s="19"/>
      <c r="M1126" s="19"/>
      <c r="N1126" s="19"/>
      <c r="O1126" s="19"/>
      <c r="P1126" s="19"/>
      <c r="Q1126" s="19"/>
      <c r="R1126" s="19"/>
      <c r="S1126" s="19"/>
      <c r="T1126" s="19"/>
      <c r="U1126" s="19"/>
      <c r="V1126" s="19"/>
      <c r="W1126" s="19"/>
      <c r="X1126" s="19"/>
      <c r="Y1126" s="19"/>
    </row>
    <row r="1127" spans="1:25" ht="13.5" customHeight="1">
      <c r="A1127" s="219" t="str" cm="1">
        <f t="array" ref="A1127">IFERROR(INDEX('03.Muestra'!$B$8:$B$42,SMALL(IF("Documento no web"='03.Muestra'!$D$8:$D$42,ROW('03.Muestra'!$B$8:$B$42)-MIN(ROW('03.Muestra'!$D$8:$D$42))+1,""),ROW()-1120)),"")</f>
        <v/>
      </c>
      <c r="B1127" s="114" t="str" cm="1">
        <f t="array" ref="B1127">IFERROR(INDEX('03.Muestra'!$C$8:$C$42,SMALL(IF("Documento no web"='03.Muestra'!$D$8:$D$42,ROW('03.Muestra'!$C$8:$C$42)-MIN(ROW('03.Muestra'!$D$8:$D$42))+1,""),ROW()-1120)),"")</f>
        <v/>
      </c>
      <c r="C1127" s="114" t="str" cm="1">
        <f t="array" ref="C1127">IFERROR(INDEX('03.Muestra'!$F$8:$F$42,SMALL(IF("Documento no web"='03.Muestra'!$D$8:$D$42,ROW('03.Muestra'!$F$8:$F$42)-MIN(ROW('03.Muestra'!$D$8:$D$42))+1,""),ROW()-1120)),"")</f>
        <v/>
      </c>
      <c r="D1127" s="130" t="str">
        <f t="shared" si="59"/>
        <v/>
      </c>
      <c r="E1127" s="107" t="str">
        <f t="shared" si="58"/>
        <v/>
      </c>
      <c r="F1127" s="19"/>
      <c r="G1127" s="19"/>
      <c r="H1127" s="19"/>
      <c r="I1127" s="19"/>
      <c r="J1127" s="19"/>
      <c r="K1127" s="233"/>
      <c r="L1127" s="19"/>
      <c r="M1127" s="19"/>
      <c r="N1127" s="19"/>
      <c r="O1127" s="19"/>
      <c r="P1127" s="19"/>
      <c r="Q1127" s="19"/>
      <c r="R1127" s="19"/>
      <c r="S1127" s="19"/>
      <c r="T1127" s="19"/>
      <c r="U1127" s="19"/>
      <c r="V1127" s="19"/>
      <c r="W1127" s="19"/>
      <c r="X1127" s="19"/>
      <c r="Y1127" s="19"/>
    </row>
    <row r="1128" spans="1:25" ht="13.5" customHeight="1">
      <c r="A1128" s="219" t="str" cm="1">
        <f t="array" ref="A1128">IFERROR(INDEX('03.Muestra'!$B$8:$B$42,SMALL(IF("Documento no web"='03.Muestra'!$D$8:$D$42,ROW('03.Muestra'!$B$8:$B$42)-MIN(ROW('03.Muestra'!$D$8:$D$42))+1,""),ROW()-1120)),"")</f>
        <v/>
      </c>
      <c r="B1128" s="114" t="str" cm="1">
        <f t="array" ref="B1128">IFERROR(INDEX('03.Muestra'!$C$8:$C$42,SMALL(IF("Documento no web"='03.Muestra'!$D$8:$D$42,ROW('03.Muestra'!$C$8:$C$42)-MIN(ROW('03.Muestra'!$D$8:$D$42))+1,""),ROW()-1120)),"")</f>
        <v/>
      </c>
      <c r="C1128" s="114" t="str" cm="1">
        <f t="array" ref="C1128">IFERROR(INDEX('03.Muestra'!$F$8:$F$42,SMALL(IF("Documento no web"='03.Muestra'!$D$8:$D$42,ROW('03.Muestra'!$F$8:$F$42)-MIN(ROW('03.Muestra'!$D$8:$D$42))+1,""),ROW()-1120)),"")</f>
        <v/>
      </c>
      <c r="D1128" s="130" t="str">
        <f t="shared" si="59"/>
        <v/>
      </c>
      <c r="E1128" s="107" t="str">
        <f t="shared" si="58"/>
        <v/>
      </c>
      <c r="F1128" s="19"/>
      <c r="G1128" s="19"/>
      <c r="H1128" s="19"/>
      <c r="I1128" s="19"/>
      <c r="J1128" s="19"/>
      <c r="K1128" s="233"/>
      <c r="L1128" s="19"/>
      <c r="M1128" s="19"/>
      <c r="N1128" s="19"/>
      <c r="O1128" s="19"/>
      <c r="P1128" s="19"/>
      <c r="Q1128" s="19"/>
      <c r="R1128" s="19"/>
      <c r="S1128" s="19"/>
      <c r="T1128" s="19"/>
      <c r="U1128" s="19"/>
      <c r="V1128" s="19"/>
      <c r="W1128" s="19"/>
      <c r="X1128" s="19"/>
      <c r="Y1128" s="19"/>
    </row>
    <row r="1129" spans="1:25" ht="13.5" customHeight="1">
      <c r="A1129" s="219" t="str" cm="1">
        <f t="array" ref="A1129">IFERROR(INDEX('03.Muestra'!$B$8:$B$42,SMALL(IF("Documento no web"='03.Muestra'!$D$8:$D$42,ROW('03.Muestra'!$B$8:$B$42)-MIN(ROW('03.Muestra'!$D$8:$D$42))+1,""),ROW()-1120)),"")</f>
        <v/>
      </c>
      <c r="B1129" s="114" t="str" cm="1">
        <f t="array" ref="B1129">IFERROR(INDEX('03.Muestra'!$C$8:$C$42,SMALL(IF("Documento no web"='03.Muestra'!$D$8:$D$42,ROW('03.Muestra'!$C$8:$C$42)-MIN(ROW('03.Muestra'!$D$8:$D$42))+1,""),ROW()-1120)),"")</f>
        <v/>
      </c>
      <c r="C1129" s="114" t="str" cm="1">
        <f t="array" ref="C1129">IFERROR(INDEX('03.Muestra'!$F$8:$F$42,SMALL(IF("Documento no web"='03.Muestra'!$D$8:$D$42,ROW('03.Muestra'!$F$8:$F$42)-MIN(ROW('03.Muestra'!$D$8:$D$42))+1,""),ROW()-1120)),"")</f>
        <v/>
      </c>
      <c r="D1129" s="130" t="str">
        <f t="shared" si="59"/>
        <v/>
      </c>
      <c r="E1129" s="107" t="str">
        <f t="shared" si="58"/>
        <v/>
      </c>
      <c r="F1129" s="19"/>
      <c r="G1129" s="19"/>
      <c r="H1129" s="19"/>
      <c r="I1129" s="19"/>
      <c r="J1129" s="19"/>
      <c r="K1129" s="233"/>
      <c r="L1129" s="19"/>
      <c r="M1129" s="19"/>
      <c r="N1129" s="19"/>
      <c r="O1129" s="19"/>
      <c r="P1129" s="19"/>
      <c r="Q1129" s="19"/>
      <c r="R1129" s="19"/>
      <c r="S1129" s="19"/>
      <c r="T1129" s="19"/>
      <c r="U1129" s="19"/>
      <c r="V1129" s="19"/>
      <c r="W1129" s="19"/>
      <c r="X1129" s="19"/>
      <c r="Y1129" s="19"/>
    </row>
    <row r="1130" spans="1:25" ht="13.5" customHeight="1">
      <c r="A1130" s="219" t="str" cm="1">
        <f t="array" ref="A1130">IFERROR(INDEX('03.Muestra'!$B$8:$B$42,SMALL(IF("Documento no web"='03.Muestra'!$D$8:$D$42,ROW('03.Muestra'!$B$8:$B$42)-MIN(ROW('03.Muestra'!$D$8:$D$42))+1,""),ROW()-1120)),"")</f>
        <v/>
      </c>
      <c r="B1130" s="114" t="str" cm="1">
        <f t="array" ref="B1130">IFERROR(INDEX('03.Muestra'!$C$8:$C$42,SMALL(IF("Documento no web"='03.Muestra'!$D$8:$D$42,ROW('03.Muestra'!$C$8:$C$42)-MIN(ROW('03.Muestra'!$D$8:$D$42))+1,""),ROW()-1120)),"")</f>
        <v/>
      </c>
      <c r="C1130" s="114" t="str" cm="1">
        <f t="array" ref="C1130">IFERROR(INDEX('03.Muestra'!$F$8:$F$42,SMALL(IF("Documento no web"='03.Muestra'!$D$8:$D$42,ROW('03.Muestra'!$F$8:$F$42)-MIN(ROW('03.Muestra'!$D$8:$D$42))+1,""),ROW()-1120)),"")</f>
        <v/>
      </c>
      <c r="D1130" s="130" t="str">
        <f t="shared" si="59"/>
        <v/>
      </c>
      <c r="E1130" s="107" t="str">
        <f t="shared" si="58"/>
        <v/>
      </c>
      <c r="F1130" s="19"/>
      <c r="G1130" s="19"/>
      <c r="H1130" s="19"/>
      <c r="I1130" s="19"/>
      <c r="J1130" s="19"/>
      <c r="K1130" s="233"/>
      <c r="L1130" s="19"/>
      <c r="M1130" s="19"/>
      <c r="N1130" s="19"/>
      <c r="O1130" s="19"/>
      <c r="P1130" s="19"/>
      <c r="Q1130" s="19"/>
      <c r="R1130" s="19"/>
      <c r="S1130" s="19"/>
      <c r="T1130" s="19"/>
      <c r="U1130" s="19"/>
      <c r="V1130" s="19"/>
      <c r="W1130" s="19"/>
      <c r="X1130" s="19"/>
      <c r="Y1130" s="19"/>
    </row>
    <row r="1131" spans="1:25" ht="13.5" customHeight="1">
      <c r="A1131" s="219" t="str" cm="1">
        <f t="array" ref="A1131">IFERROR(INDEX('03.Muestra'!$B$8:$B$42,SMALL(IF("Documento no web"='03.Muestra'!$D$8:$D$42,ROW('03.Muestra'!$B$8:$B$42)-MIN(ROW('03.Muestra'!$D$8:$D$42))+1,""),ROW()-1120)),"")</f>
        <v/>
      </c>
      <c r="B1131" s="114" t="str" cm="1">
        <f t="array" ref="B1131">IFERROR(INDEX('03.Muestra'!$C$8:$C$42,SMALL(IF("Documento no web"='03.Muestra'!$D$8:$D$42,ROW('03.Muestra'!$C$8:$C$42)-MIN(ROW('03.Muestra'!$D$8:$D$42))+1,""),ROW()-1120)),"")</f>
        <v/>
      </c>
      <c r="C1131" s="114" t="str" cm="1">
        <f t="array" ref="C1131">IFERROR(INDEX('03.Muestra'!$F$8:$F$42,SMALL(IF("Documento no web"='03.Muestra'!$D$8:$D$42,ROW('03.Muestra'!$F$8:$F$42)-MIN(ROW('03.Muestra'!$D$8:$D$42))+1,""),ROW()-1120)),"")</f>
        <v/>
      </c>
      <c r="D1131" s="130" t="str">
        <f t="shared" si="59"/>
        <v/>
      </c>
      <c r="E1131" s="107" t="str">
        <f t="shared" si="58"/>
        <v/>
      </c>
      <c r="F1131" s="19"/>
      <c r="G1131" s="19"/>
      <c r="H1131" s="19"/>
      <c r="I1131" s="19"/>
      <c r="J1131" s="19"/>
      <c r="K1131" s="233"/>
      <c r="L1131" s="19"/>
      <c r="M1131" s="19"/>
      <c r="N1131" s="19"/>
      <c r="O1131" s="19"/>
      <c r="P1131" s="19"/>
      <c r="Q1131" s="19"/>
      <c r="R1131" s="19"/>
      <c r="S1131" s="19"/>
      <c r="T1131" s="19"/>
      <c r="U1131" s="19"/>
      <c r="V1131" s="19"/>
      <c r="W1131" s="19"/>
      <c r="X1131" s="19"/>
      <c r="Y1131" s="19"/>
    </row>
    <row r="1132" spans="1:25" ht="13.5" customHeight="1">
      <c r="A1132" s="219" t="str" cm="1">
        <f t="array" ref="A1132">IFERROR(INDEX('03.Muestra'!$B$8:$B$42,SMALL(IF("Documento no web"='03.Muestra'!$D$8:$D$42,ROW('03.Muestra'!$B$8:$B$42)-MIN(ROW('03.Muestra'!$D$8:$D$42))+1,""),ROW()-1120)),"")</f>
        <v/>
      </c>
      <c r="B1132" s="114" t="str" cm="1">
        <f t="array" ref="B1132">IFERROR(INDEX('03.Muestra'!$C$8:$C$42,SMALL(IF("Documento no web"='03.Muestra'!$D$8:$D$42,ROW('03.Muestra'!$C$8:$C$42)-MIN(ROW('03.Muestra'!$D$8:$D$42))+1,""),ROW()-1120)),"")</f>
        <v/>
      </c>
      <c r="C1132" s="114" t="str" cm="1">
        <f t="array" ref="C1132">IFERROR(INDEX('03.Muestra'!$F$8:$F$42,SMALL(IF("Documento no web"='03.Muestra'!$D$8:$D$42,ROW('03.Muestra'!$F$8:$F$42)-MIN(ROW('03.Muestra'!$D$8:$D$42))+1,""),ROW()-1120)),"")</f>
        <v/>
      </c>
      <c r="D1132" s="130" t="str">
        <f t="shared" si="59"/>
        <v/>
      </c>
      <c r="E1132" s="107" t="str">
        <f t="shared" si="58"/>
        <v/>
      </c>
      <c r="F1132" s="19"/>
      <c r="G1132" s="19"/>
      <c r="H1132" s="19"/>
      <c r="I1132" s="19"/>
      <c r="J1132" s="19"/>
      <c r="K1132" s="233"/>
      <c r="L1132" s="19"/>
      <c r="M1132" s="19"/>
      <c r="N1132" s="19"/>
      <c r="O1132" s="19"/>
      <c r="P1132" s="19"/>
      <c r="Q1132" s="19"/>
      <c r="R1132" s="19"/>
      <c r="S1132" s="19"/>
      <c r="T1132" s="19"/>
      <c r="U1132" s="19"/>
      <c r="V1132" s="19"/>
      <c r="W1132" s="19"/>
      <c r="X1132" s="19"/>
      <c r="Y1132" s="19"/>
    </row>
    <row r="1133" spans="1:25" ht="13.5" customHeight="1">
      <c r="A1133" s="219" t="str" cm="1">
        <f t="array" ref="A1133">IFERROR(INDEX('03.Muestra'!$B$8:$B$42,SMALL(IF("Documento no web"='03.Muestra'!$D$8:$D$42,ROW('03.Muestra'!$B$8:$B$42)-MIN(ROW('03.Muestra'!$D$8:$D$42))+1,""),ROW()-1120)),"")</f>
        <v/>
      </c>
      <c r="B1133" s="114" t="str" cm="1">
        <f t="array" ref="B1133">IFERROR(INDEX('03.Muestra'!$C$8:$C$42,SMALL(IF("Documento no web"='03.Muestra'!$D$8:$D$42,ROW('03.Muestra'!$C$8:$C$42)-MIN(ROW('03.Muestra'!$D$8:$D$42))+1,""),ROW()-1120)),"")</f>
        <v/>
      </c>
      <c r="C1133" s="114" t="str" cm="1">
        <f t="array" ref="C1133">IFERROR(INDEX('03.Muestra'!$F$8:$F$42,SMALL(IF("Documento no web"='03.Muestra'!$D$8:$D$42,ROW('03.Muestra'!$F$8:$F$42)-MIN(ROW('03.Muestra'!$D$8:$D$42))+1,""),ROW()-1120)),"")</f>
        <v/>
      </c>
      <c r="D1133" s="130" t="str">
        <f t="shared" si="59"/>
        <v/>
      </c>
      <c r="E1133" s="107" t="str">
        <f t="shared" si="58"/>
        <v/>
      </c>
      <c r="F1133" s="19"/>
      <c r="G1133" s="19"/>
      <c r="H1133" s="19"/>
      <c r="I1133" s="19"/>
      <c r="J1133" s="19"/>
      <c r="K1133" s="233"/>
      <c r="L1133" s="19"/>
      <c r="M1133" s="19"/>
      <c r="N1133" s="19"/>
      <c r="O1133" s="19"/>
      <c r="P1133" s="19"/>
      <c r="Q1133" s="19"/>
      <c r="R1133" s="19"/>
      <c r="S1133" s="19"/>
      <c r="T1133" s="19"/>
      <c r="U1133" s="19"/>
      <c r="V1133" s="19"/>
      <c r="W1133" s="19"/>
      <c r="X1133" s="19"/>
      <c r="Y1133" s="19"/>
    </row>
    <row r="1134" spans="1:25" ht="13.5" customHeight="1">
      <c r="A1134" s="219" t="str" cm="1">
        <f t="array" ref="A1134">IFERROR(INDEX('03.Muestra'!$B$8:$B$42,SMALL(IF("Documento no web"='03.Muestra'!$D$8:$D$42,ROW('03.Muestra'!$B$8:$B$42)-MIN(ROW('03.Muestra'!$D$8:$D$42))+1,""),ROW()-1120)),"")</f>
        <v/>
      </c>
      <c r="B1134" s="114" t="str" cm="1">
        <f t="array" ref="B1134">IFERROR(INDEX('03.Muestra'!$C$8:$C$42,SMALL(IF("Documento no web"='03.Muestra'!$D$8:$D$42,ROW('03.Muestra'!$C$8:$C$42)-MIN(ROW('03.Muestra'!$D$8:$D$42))+1,""),ROW()-1120)),"")</f>
        <v/>
      </c>
      <c r="C1134" s="114" t="str" cm="1">
        <f t="array" ref="C1134">IFERROR(INDEX('03.Muestra'!$F$8:$F$42,SMALL(IF("Documento no web"='03.Muestra'!$D$8:$D$42,ROW('03.Muestra'!$F$8:$F$42)-MIN(ROW('03.Muestra'!$D$8:$D$42))+1,""),ROW()-1120)),"")</f>
        <v/>
      </c>
      <c r="D1134" s="130" t="str">
        <f t="shared" si="59"/>
        <v/>
      </c>
      <c r="E1134" s="107" t="str">
        <f t="shared" si="58"/>
        <v/>
      </c>
      <c r="F1134" s="19"/>
      <c r="G1134" s="19"/>
      <c r="H1134" s="19"/>
      <c r="I1134" s="19"/>
      <c r="J1134" s="19"/>
      <c r="K1134" s="233"/>
      <c r="L1134" s="19"/>
      <c r="M1134" s="19"/>
      <c r="N1134" s="19"/>
      <c r="O1134" s="19"/>
      <c r="P1134" s="19"/>
      <c r="Q1134" s="19"/>
      <c r="R1134" s="19"/>
      <c r="S1134" s="19"/>
      <c r="T1134" s="19"/>
      <c r="U1134" s="19"/>
      <c r="V1134" s="19"/>
      <c r="W1134" s="19"/>
      <c r="X1134" s="19"/>
      <c r="Y1134" s="19"/>
    </row>
    <row r="1135" spans="1:25" ht="13.5" customHeight="1">
      <c r="A1135" s="219" t="str" cm="1">
        <f t="array" ref="A1135">IFERROR(INDEX('03.Muestra'!$B$8:$B$42,SMALL(IF("Documento no web"='03.Muestra'!$D$8:$D$42,ROW('03.Muestra'!$B$8:$B$42)-MIN(ROW('03.Muestra'!$D$8:$D$42))+1,""),ROW()-1120)),"")</f>
        <v/>
      </c>
      <c r="B1135" s="114" t="str" cm="1">
        <f t="array" ref="B1135">IFERROR(INDEX('03.Muestra'!$C$8:$C$42,SMALL(IF("Documento no web"='03.Muestra'!$D$8:$D$42,ROW('03.Muestra'!$C$8:$C$42)-MIN(ROW('03.Muestra'!$D$8:$D$42))+1,""),ROW()-1120)),"")</f>
        <v/>
      </c>
      <c r="C1135" s="114" t="str" cm="1">
        <f t="array" ref="C1135">IFERROR(INDEX('03.Muestra'!$F$8:$F$42,SMALL(IF("Documento no web"='03.Muestra'!$D$8:$D$42,ROW('03.Muestra'!$F$8:$F$42)-MIN(ROW('03.Muestra'!$D$8:$D$42))+1,""),ROW()-1120)),"")</f>
        <v/>
      </c>
      <c r="D1135" s="130" t="str">
        <f t="shared" si="59"/>
        <v/>
      </c>
      <c r="E1135" s="107" t="str">
        <f t="shared" si="58"/>
        <v/>
      </c>
      <c r="F1135" s="19"/>
      <c r="G1135" s="19"/>
      <c r="H1135" s="19"/>
      <c r="I1135" s="19"/>
      <c r="J1135" s="19"/>
      <c r="K1135" s="233"/>
      <c r="L1135" s="19"/>
      <c r="M1135" s="19"/>
      <c r="N1135" s="19"/>
      <c r="O1135" s="19"/>
      <c r="P1135" s="19"/>
      <c r="Q1135" s="19"/>
      <c r="R1135" s="19"/>
      <c r="S1135" s="19"/>
      <c r="T1135" s="19"/>
      <c r="U1135" s="19"/>
      <c r="V1135" s="19"/>
      <c r="W1135" s="19"/>
      <c r="X1135" s="19"/>
      <c r="Y1135" s="19"/>
    </row>
    <row r="1136" spans="1:25" ht="13.5" customHeight="1">
      <c r="A1136" s="219" t="str" cm="1">
        <f t="array" ref="A1136">IFERROR(INDEX('03.Muestra'!$B$8:$B$42,SMALL(IF("Documento no web"='03.Muestra'!$D$8:$D$42,ROW('03.Muestra'!$B$8:$B$42)-MIN(ROW('03.Muestra'!$D$8:$D$42))+1,""),ROW()-1120)),"")</f>
        <v/>
      </c>
      <c r="B1136" s="114" t="str" cm="1">
        <f t="array" ref="B1136">IFERROR(INDEX('03.Muestra'!$C$8:$C$42,SMALL(IF("Documento no web"='03.Muestra'!$D$8:$D$42,ROW('03.Muestra'!$C$8:$C$42)-MIN(ROW('03.Muestra'!$D$8:$D$42))+1,""),ROW()-1120)),"")</f>
        <v/>
      </c>
      <c r="C1136" s="114" t="str" cm="1">
        <f t="array" ref="C1136">IFERROR(INDEX('03.Muestra'!$F$8:$F$42,SMALL(IF("Documento no web"='03.Muestra'!$D$8:$D$42,ROW('03.Muestra'!$F$8:$F$42)-MIN(ROW('03.Muestra'!$D$8:$D$42))+1,""),ROW()-1120)),"")</f>
        <v/>
      </c>
      <c r="D1136" s="130" t="str">
        <f t="shared" si="59"/>
        <v/>
      </c>
      <c r="E1136" s="107" t="str">
        <f t="shared" si="58"/>
        <v/>
      </c>
      <c r="F1136" s="19"/>
      <c r="G1136" s="19"/>
      <c r="H1136" s="19"/>
      <c r="I1136" s="19"/>
      <c r="J1136" s="19"/>
      <c r="K1136" s="233"/>
      <c r="L1136" s="19"/>
      <c r="M1136" s="19"/>
      <c r="N1136" s="19"/>
      <c r="O1136" s="19"/>
      <c r="P1136" s="19"/>
      <c r="Q1136" s="19"/>
      <c r="R1136" s="19"/>
      <c r="S1136" s="19"/>
      <c r="T1136" s="19"/>
      <c r="U1136" s="19"/>
      <c r="V1136" s="19"/>
      <c r="W1136" s="19"/>
      <c r="X1136" s="19"/>
      <c r="Y1136" s="19"/>
    </row>
    <row r="1137" spans="1:25" ht="13.5" customHeight="1">
      <c r="A1137" s="219" t="str" cm="1">
        <f t="array" ref="A1137">IFERROR(INDEX('03.Muestra'!$B$8:$B$42,SMALL(IF("Documento no web"='03.Muestra'!$D$8:$D$42,ROW('03.Muestra'!$B$8:$B$42)-MIN(ROW('03.Muestra'!$D$8:$D$42))+1,""),ROW()-1120)),"")</f>
        <v/>
      </c>
      <c r="B1137" s="114" t="str" cm="1">
        <f t="array" ref="B1137">IFERROR(INDEX('03.Muestra'!$C$8:$C$42,SMALL(IF("Documento no web"='03.Muestra'!$D$8:$D$42,ROW('03.Muestra'!$C$8:$C$42)-MIN(ROW('03.Muestra'!$D$8:$D$42))+1,""),ROW()-1120)),"")</f>
        <v/>
      </c>
      <c r="C1137" s="114" t="str" cm="1">
        <f t="array" ref="C1137">IFERROR(INDEX('03.Muestra'!$F$8:$F$42,SMALL(IF("Documento no web"='03.Muestra'!$D$8:$D$42,ROW('03.Muestra'!$F$8:$F$42)-MIN(ROW('03.Muestra'!$D$8:$D$42))+1,""),ROW()-1120)),"")</f>
        <v/>
      </c>
      <c r="D1137" s="130" t="str">
        <f t="shared" si="59"/>
        <v/>
      </c>
      <c r="E1137" s="107" t="str">
        <f t="shared" si="58"/>
        <v/>
      </c>
      <c r="F1137" s="19"/>
      <c r="G1137" s="19"/>
      <c r="H1137" s="19"/>
      <c r="I1137" s="19"/>
      <c r="J1137" s="19"/>
      <c r="K1137" s="233"/>
      <c r="L1137" s="19"/>
      <c r="M1137" s="19"/>
      <c r="N1137" s="19"/>
      <c r="O1137" s="19"/>
      <c r="P1137" s="19"/>
      <c r="Q1137" s="19"/>
      <c r="R1137" s="19"/>
      <c r="S1137" s="19"/>
      <c r="T1137" s="19"/>
      <c r="U1137" s="19"/>
      <c r="V1137" s="19"/>
      <c r="W1137" s="19"/>
      <c r="X1137" s="19"/>
      <c r="Y1137" s="19"/>
    </row>
    <row r="1138" spans="1:25" ht="13.5" customHeight="1">
      <c r="A1138" s="219" t="str" cm="1">
        <f t="array" ref="A1138">IFERROR(INDEX('03.Muestra'!$B$8:$B$42,SMALL(IF("Documento no web"='03.Muestra'!$D$8:$D$42,ROW('03.Muestra'!$B$8:$B$42)-MIN(ROW('03.Muestra'!$D$8:$D$42))+1,""),ROW()-1120)),"")</f>
        <v/>
      </c>
      <c r="B1138" s="114" t="str" cm="1">
        <f t="array" ref="B1138">IFERROR(INDEX('03.Muestra'!$C$8:$C$42,SMALL(IF("Documento no web"='03.Muestra'!$D$8:$D$42,ROW('03.Muestra'!$C$8:$C$42)-MIN(ROW('03.Muestra'!$D$8:$D$42))+1,""),ROW()-1120)),"")</f>
        <v/>
      </c>
      <c r="C1138" s="114" t="str" cm="1">
        <f t="array" ref="C1138">IFERROR(INDEX('03.Muestra'!$F$8:$F$42,SMALL(IF("Documento no web"='03.Muestra'!$D$8:$D$42,ROW('03.Muestra'!$F$8:$F$42)-MIN(ROW('03.Muestra'!$D$8:$D$42))+1,""),ROW()-1120)),"")</f>
        <v/>
      </c>
      <c r="D1138" s="130" t="str">
        <f t="shared" si="59"/>
        <v/>
      </c>
      <c r="E1138" s="107" t="str">
        <f t="shared" si="58"/>
        <v/>
      </c>
      <c r="F1138" s="19"/>
      <c r="G1138" s="19"/>
      <c r="H1138" s="19"/>
      <c r="I1138" s="19"/>
      <c r="J1138" s="19"/>
      <c r="K1138" s="233"/>
      <c r="L1138" s="19"/>
      <c r="M1138" s="19"/>
      <c r="N1138" s="19"/>
      <c r="O1138" s="19"/>
      <c r="P1138" s="19"/>
      <c r="Q1138" s="19"/>
      <c r="R1138" s="19"/>
      <c r="S1138" s="19"/>
      <c r="T1138" s="19"/>
      <c r="U1138" s="19"/>
      <c r="V1138" s="19"/>
      <c r="W1138" s="19"/>
      <c r="X1138" s="19"/>
      <c r="Y1138" s="19"/>
    </row>
    <row r="1139" spans="1:25" ht="13.5" customHeight="1">
      <c r="A1139" s="219" t="str" cm="1">
        <f t="array" ref="A1139">IFERROR(INDEX('03.Muestra'!$B$8:$B$42,SMALL(IF("Documento no web"='03.Muestra'!$D$8:$D$42,ROW('03.Muestra'!$B$8:$B$42)-MIN(ROW('03.Muestra'!$D$8:$D$42))+1,""),ROW()-1120)),"")</f>
        <v/>
      </c>
      <c r="B1139" s="114" t="str" cm="1">
        <f t="array" ref="B1139">IFERROR(INDEX('03.Muestra'!$C$8:$C$42,SMALL(IF("Documento no web"='03.Muestra'!$D$8:$D$42,ROW('03.Muestra'!$C$8:$C$42)-MIN(ROW('03.Muestra'!$D$8:$D$42))+1,""),ROW()-1120)),"")</f>
        <v/>
      </c>
      <c r="C1139" s="114" t="str" cm="1">
        <f t="array" ref="C1139">IFERROR(INDEX('03.Muestra'!$F$8:$F$42,SMALL(IF("Documento no web"='03.Muestra'!$D$8:$D$42,ROW('03.Muestra'!$F$8:$F$42)-MIN(ROW('03.Muestra'!$D$8:$D$42))+1,""),ROW()-1120)),"")</f>
        <v/>
      </c>
      <c r="D1139" s="130" t="str">
        <f t="shared" si="59"/>
        <v/>
      </c>
      <c r="E1139" s="107" t="str">
        <f t="shared" si="58"/>
        <v/>
      </c>
      <c r="F1139" s="19"/>
      <c r="G1139" s="19"/>
      <c r="H1139" s="19"/>
      <c r="I1139" s="19"/>
      <c r="J1139" s="19"/>
      <c r="K1139" s="233"/>
      <c r="L1139" s="19"/>
      <c r="M1139" s="19"/>
      <c r="N1139" s="19"/>
      <c r="O1139" s="19"/>
      <c r="P1139" s="19"/>
      <c r="Q1139" s="19"/>
      <c r="R1139" s="19"/>
      <c r="S1139" s="19"/>
      <c r="T1139" s="19"/>
      <c r="U1139" s="19"/>
      <c r="V1139" s="19"/>
      <c r="W1139" s="19"/>
      <c r="X1139" s="19"/>
      <c r="Y1139" s="19"/>
    </row>
    <row r="1140" spans="1:25" ht="13.5" customHeight="1">
      <c r="A1140" s="219" t="str" cm="1">
        <f t="array" ref="A1140">IFERROR(INDEX('03.Muestra'!$B$8:$B$42,SMALL(IF("Documento no web"='03.Muestra'!$D$8:$D$42,ROW('03.Muestra'!$B$8:$B$42)-MIN(ROW('03.Muestra'!$D$8:$D$42))+1,""),ROW()-1120)),"")</f>
        <v/>
      </c>
      <c r="B1140" s="114" t="str" cm="1">
        <f t="array" ref="B1140">IFERROR(INDEX('03.Muestra'!$C$8:$C$42,SMALL(IF("Documento no web"='03.Muestra'!$D$8:$D$42,ROW('03.Muestra'!$C$8:$C$42)-MIN(ROW('03.Muestra'!$D$8:$D$42))+1,""),ROW()-1120)),"")</f>
        <v/>
      </c>
      <c r="C1140" s="114" t="str" cm="1">
        <f t="array" ref="C1140">IFERROR(INDEX('03.Muestra'!$F$8:$F$42,SMALL(IF("Documento no web"='03.Muestra'!$D$8:$D$42,ROW('03.Muestra'!$F$8:$F$42)-MIN(ROW('03.Muestra'!$D$8:$D$42))+1,""),ROW()-1120)),"")</f>
        <v/>
      </c>
      <c r="D1140" s="130" t="str">
        <f t="shared" si="59"/>
        <v/>
      </c>
      <c r="E1140" s="107" t="str">
        <f t="shared" si="58"/>
        <v/>
      </c>
      <c r="F1140" s="19"/>
      <c r="G1140" s="19"/>
      <c r="H1140" s="19"/>
      <c r="I1140" s="19"/>
      <c r="J1140" s="19"/>
      <c r="K1140" s="233"/>
      <c r="L1140" s="19"/>
      <c r="M1140" s="19"/>
      <c r="N1140" s="19"/>
      <c r="O1140" s="19"/>
      <c r="P1140" s="19"/>
      <c r="Q1140" s="19"/>
      <c r="R1140" s="19"/>
      <c r="S1140" s="19"/>
      <c r="T1140" s="19"/>
      <c r="U1140" s="19"/>
      <c r="V1140" s="19"/>
      <c r="W1140" s="19"/>
      <c r="X1140" s="19"/>
      <c r="Y1140" s="19"/>
    </row>
    <row r="1141" spans="1:25" ht="13.5" customHeight="1">
      <c r="A1141" s="219" t="str" cm="1">
        <f t="array" ref="A1141">IFERROR(INDEX('03.Muestra'!$B$8:$B$42,SMALL(IF("Documento no web"='03.Muestra'!$D$8:$D$42,ROW('03.Muestra'!$B$8:$B$42)-MIN(ROW('03.Muestra'!$D$8:$D$42))+1,""),ROW()-1120)),"")</f>
        <v/>
      </c>
      <c r="B1141" s="114" t="str" cm="1">
        <f t="array" ref="B1141">IFERROR(INDEX('03.Muestra'!$C$8:$C$42,SMALL(IF("Documento no web"='03.Muestra'!$D$8:$D$42,ROW('03.Muestra'!$C$8:$C$42)-MIN(ROW('03.Muestra'!$D$8:$D$42))+1,""),ROW()-1120)),"")</f>
        <v/>
      </c>
      <c r="C1141" s="114" t="str" cm="1">
        <f t="array" ref="C1141">IFERROR(INDEX('03.Muestra'!$F$8:$F$42,SMALL(IF("Documento no web"='03.Muestra'!$D$8:$D$42,ROW('03.Muestra'!$F$8:$F$42)-MIN(ROW('03.Muestra'!$D$8:$D$42))+1,""),ROW()-1120)),"")</f>
        <v/>
      </c>
      <c r="D1141" s="130" t="str">
        <f t="shared" si="59"/>
        <v/>
      </c>
      <c r="E1141" s="107" t="str">
        <f t="shared" si="58"/>
        <v/>
      </c>
      <c r="F1141" s="19"/>
      <c r="G1141" s="19"/>
      <c r="H1141" s="19"/>
      <c r="I1141" s="19"/>
      <c r="J1141" s="19"/>
      <c r="K1141" s="233"/>
      <c r="L1141" s="19"/>
      <c r="M1141" s="19"/>
      <c r="N1141" s="19"/>
      <c r="O1141" s="19"/>
      <c r="P1141" s="19"/>
      <c r="Q1141" s="19"/>
      <c r="R1141" s="19"/>
      <c r="S1141" s="19"/>
      <c r="T1141" s="19"/>
      <c r="U1141" s="19"/>
      <c r="V1141" s="19"/>
      <c r="W1141" s="19"/>
      <c r="X1141" s="19"/>
      <c r="Y1141" s="19"/>
    </row>
    <row r="1142" spans="1:25" ht="13.5" customHeight="1">
      <c r="A1142" s="219" t="str" cm="1">
        <f t="array" ref="A1142">IFERROR(INDEX('03.Muestra'!$B$8:$B$42,SMALL(IF("Documento no web"='03.Muestra'!$D$8:$D$42,ROW('03.Muestra'!$B$8:$B$42)-MIN(ROW('03.Muestra'!$D$8:$D$42))+1,""),ROW()-1120)),"")</f>
        <v/>
      </c>
      <c r="B1142" s="114" t="str" cm="1">
        <f t="array" ref="B1142">IFERROR(INDEX('03.Muestra'!$C$8:$C$42,SMALL(IF("Documento no web"='03.Muestra'!$D$8:$D$42,ROW('03.Muestra'!$C$8:$C$42)-MIN(ROW('03.Muestra'!$D$8:$D$42))+1,""),ROW()-1120)),"")</f>
        <v/>
      </c>
      <c r="C1142" s="114" t="str" cm="1">
        <f t="array" ref="C1142">IFERROR(INDEX('03.Muestra'!$F$8:$F$42,SMALL(IF("Documento no web"='03.Muestra'!$D$8:$D$42,ROW('03.Muestra'!$F$8:$F$42)-MIN(ROW('03.Muestra'!$D$8:$D$42))+1,""),ROW()-1120)),"")</f>
        <v/>
      </c>
      <c r="D1142" s="130" t="str">
        <f t="shared" si="59"/>
        <v/>
      </c>
      <c r="E1142" s="107" t="str">
        <f t="shared" si="58"/>
        <v/>
      </c>
      <c r="F1142" s="19"/>
      <c r="G1142" s="19"/>
      <c r="H1142" s="19"/>
      <c r="I1142" s="19"/>
      <c r="J1142" s="19"/>
      <c r="K1142" s="233"/>
      <c r="L1142" s="19"/>
      <c r="M1142" s="19"/>
      <c r="N1142" s="19"/>
      <c r="O1142" s="19"/>
      <c r="P1142" s="19"/>
      <c r="Q1142" s="19"/>
      <c r="R1142" s="19"/>
      <c r="S1142" s="19"/>
      <c r="T1142" s="19"/>
      <c r="U1142" s="19"/>
      <c r="V1142" s="19"/>
      <c r="W1142" s="19"/>
      <c r="X1142" s="19"/>
      <c r="Y1142" s="19"/>
    </row>
    <row r="1143" spans="1:25" ht="13.5" customHeight="1">
      <c r="A1143" s="219" t="str" cm="1">
        <f t="array" ref="A1143">IFERROR(INDEX('03.Muestra'!$B$8:$B$42,SMALL(IF("Documento no web"='03.Muestra'!$D$8:$D$42,ROW('03.Muestra'!$B$8:$B$42)-MIN(ROW('03.Muestra'!$D$8:$D$42))+1,""),ROW()-1120)),"")</f>
        <v/>
      </c>
      <c r="B1143" s="114" t="str" cm="1">
        <f t="array" ref="B1143">IFERROR(INDEX('03.Muestra'!$C$8:$C$42,SMALL(IF("Documento no web"='03.Muestra'!$D$8:$D$42,ROW('03.Muestra'!$C$8:$C$42)-MIN(ROW('03.Muestra'!$D$8:$D$42))+1,""),ROW()-1120)),"")</f>
        <v/>
      </c>
      <c r="C1143" s="114" t="str" cm="1">
        <f t="array" ref="C1143">IFERROR(INDEX('03.Muestra'!$F$8:$F$42,SMALL(IF("Documento no web"='03.Muestra'!$D$8:$D$42,ROW('03.Muestra'!$F$8:$F$42)-MIN(ROW('03.Muestra'!$D$8:$D$42))+1,""),ROW()-1120)),"")</f>
        <v/>
      </c>
      <c r="D1143" s="130" t="str">
        <f t="shared" si="59"/>
        <v/>
      </c>
      <c r="E1143" s="107" t="str">
        <f t="shared" si="58"/>
        <v/>
      </c>
      <c r="F1143" s="19"/>
      <c r="G1143" s="19"/>
      <c r="H1143" s="19"/>
      <c r="I1143" s="19"/>
      <c r="J1143" s="19"/>
      <c r="K1143" s="233"/>
      <c r="L1143" s="19"/>
      <c r="M1143" s="19"/>
      <c r="N1143" s="19"/>
      <c r="O1143" s="19"/>
      <c r="P1143" s="19"/>
      <c r="Q1143" s="19"/>
      <c r="R1143" s="19"/>
      <c r="S1143" s="19"/>
      <c r="T1143" s="19"/>
      <c r="U1143" s="19"/>
      <c r="V1143" s="19"/>
      <c r="W1143" s="19"/>
      <c r="X1143" s="19"/>
      <c r="Y1143" s="19"/>
    </row>
    <row r="1144" spans="1:25" ht="13.5" customHeight="1">
      <c r="A1144" s="219" t="str" cm="1">
        <f t="array" ref="A1144">IFERROR(INDEX('03.Muestra'!$B$8:$B$42,SMALL(IF("Documento no web"='03.Muestra'!$D$8:$D$42,ROW('03.Muestra'!$B$8:$B$42)-MIN(ROW('03.Muestra'!$D$8:$D$42))+1,""),ROW()-1120)),"")</f>
        <v/>
      </c>
      <c r="B1144" s="114" t="str" cm="1">
        <f t="array" ref="B1144">IFERROR(INDEX('03.Muestra'!$C$8:$C$42,SMALL(IF("Documento no web"='03.Muestra'!$D$8:$D$42,ROW('03.Muestra'!$C$8:$C$42)-MIN(ROW('03.Muestra'!$D$8:$D$42))+1,""),ROW()-1120)),"")</f>
        <v/>
      </c>
      <c r="C1144" s="114" t="str" cm="1">
        <f t="array" ref="C1144">IFERROR(INDEX('03.Muestra'!$F$8:$F$42,SMALL(IF("Documento no web"='03.Muestra'!$D$8:$D$42,ROW('03.Muestra'!$F$8:$F$42)-MIN(ROW('03.Muestra'!$D$8:$D$42))+1,""),ROW()-1120)),"")</f>
        <v/>
      </c>
      <c r="D1144" s="130" t="str">
        <f t="shared" si="59"/>
        <v/>
      </c>
      <c r="E1144" s="107" t="str">
        <f t="shared" si="58"/>
        <v/>
      </c>
      <c r="F1144" s="19"/>
      <c r="G1144" s="19"/>
      <c r="H1144" s="19"/>
      <c r="I1144" s="19"/>
      <c r="J1144" s="19"/>
      <c r="K1144" s="233"/>
      <c r="L1144" s="19"/>
      <c r="M1144" s="19"/>
      <c r="N1144" s="19"/>
      <c r="O1144" s="19"/>
      <c r="P1144" s="19"/>
      <c r="Q1144" s="19"/>
      <c r="R1144" s="19"/>
      <c r="S1144" s="19"/>
      <c r="T1144" s="19"/>
      <c r="U1144" s="19"/>
      <c r="V1144" s="19"/>
      <c r="W1144" s="19"/>
      <c r="X1144" s="19"/>
      <c r="Y1144" s="19"/>
    </row>
    <row r="1145" spans="1:25" ht="13.5" customHeight="1">
      <c r="A1145" s="219" t="str" cm="1">
        <f t="array" ref="A1145">IFERROR(INDEX('03.Muestra'!$B$8:$B$42,SMALL(IF("Documento no web"='03.Muestra'!$D$8:$D$42,ROW('03.Muestra'!$B$8:$B$42)-MIN(ROW('03.Muestra'!$D$8:$D$42))+1,""),ROW()-1120)),"")</f>
        <v/>
      </c>
      <c r="B1145" s="114" t="str" cm="1">
        <f t="array" ref="B1145">IFERROR(INDEX('03.Muestra'!$C$8:$C$42,SMALL(IF("Documento no web"='03.Muestra'!$D$8:$D$42,ROW('03.Muestra'!$C$8:$C$42)-MIN(ROW('03.Muestra'!$D$8:$D$42))+1,""),ROW()-1120)),"")</f>
        <v/>
      </c>
      <c r="C1145" s="114" t="str" cm="1">
        <f t="array" ref="C1145">IFERROR(INDEX('03.Muestra'!$F$8:$F$42,SMALL(IF("Documento no web"='03.Muestra'!$D$8:$D$42,ROW('03.Muestra'!$F$8:$F$42)-MIN(ROW('03.Muestra'!$D$8:$D$42))+1,""),ROW()-1120)),"")</f>
        <v/>
      </c>
      <c r="D1145" s="130" t="str">
        <f t="shared" si="59"/>
        <v/>
      </c>
      <c r="E1145" s="107" t="str">
        <f t="shared" si="58"/>
        <v/>
      </c>
      <c r="F1145" s="19"/>
      <c r="G1145" s="19"/>
      <c r="H1145" s="19"/>
      <c r="I1145" s="19"/>
      <c r="J1145" s="19"/>
      <c r="K1145" s="233"/>
      <c r="L1145" s="19"/>
      <c r="M1145" s="19"/>
      <c r="N1145" s="19"/>
      <c r="O1145" s="19"/>
      <c r="P1145" s="19"/>
      <c r="Q1145" s="19"/>
      <c r="R1145" s="19"/>
      <c r="S1145" s="19"/>
      <c r="T1145" s="19"/>
      <c r="U1145" s="19"/>
      <c r="V1145" s="19"/>
      <c r="W1145" s="19"/>
      <c r="X1145" s="19"/>
      <c r="Y1145" s="19"/>
    </row>
    <row r="1146" spans="1:25" ht="13.5" customHeight="1">
      <c r="A1146" s="219" t="str" cm="1">
        <f t="array" ref="A1146">IFERROR(INDEX('03.Muestra'!$B$8:$B$42,SMALL(IF("Documento no web"='03.Muestra'!$D$8:$D$42,ROW('03.Muestra'!$B$8:$B$42)-MIN(ROW('03.Muestra'!$D$8:$D$42))+1,""),ROW()-1120)),"")</f>
        <v/>
      </c>
      <c r="B1146" s="114" t="str" cm="1">
        <f t="array" ref="B1146">IFERROR(INDEX('03.Muestra'!$C$8:$C$42,SMALL(IF("Documento no web"='03.Muestra'!$D$8:$D$42,ROW('03.Muestra'!$C$8:$C$42)-MIN(ROW('03.Muestra'!$D$8:$D$42))+1,""),ROW()-1120)),"")</f>
        <v/>
      </c>
      <c r="C1146" s="114" t="str" cm="1">
        <f t="array" ref="C1146">IFERROR(INDEX('03.Muestra'!$F$8:$F$42,SMALL(IF("Documento no web"='03.Muestra'!$D$8:$D$42,ROW('03.Muestra'!$F$8:$F$42)-MIN(ROW('03.Muestra'!$D$8:$D$42))+1,""),ROW()-1120)),"")</f>
        <v/>
      </c>
      <c r="D1146" s="130" t="str">
        <f t="shared" si="59"/>
        <v/>
      </c>
      <c r="E1146" s="107" t="str">
        <f t="shared" si="58"/>
        <v/>
      </c>
      <c r="F1146" s="19"/>
      <c r="G1146" s="19"/>
      <c r="H1146" s="19"/>
      <c r="I1146" s="19"/>
      <c r="J1146" s="19"/>
      <c r="K1146" s="233"/>
      <c r="L1146" s="19"/>
      <c r="M1146" s="19"/>
      <c r="N1146" s="19"/>
      <c r="O1146" s="19"/>
      <c r="P1146" s="19"/>
      <c r="Q1146" s="19"/>
      <c r="R1146" s="19"/>
      <c r="S1146" s="19"/>
      <c r="T1146" s="19"/>
      <c r="U1146" s="19"/>
      <c r="V1146" s="19"/>
      <c r="W1146" s="19"/>
      <c r="X1146" s="19"/>
      <c r="Y1146" s="19"/>
    </row>
    <row r="1147" spans="1:25" ht="13.5" customHeight="1">
      <c r="A1147" s="219" t="str" cm="1">
        <f t="array" ref="A1147">IFERROR(INDEX('03.Muestra'!$B$8:$B$42,SMALL(IF("Documento no web"='03.Muestra'!$D$8:$D$42,ROW('03.Muestra'!$B$8:$B$42)-MIN(ROW('03.Muestra'!$D$8:$D$42))+1,""),ROW()-1120)),"")</f>
        <v/>
      </c>
      <c r="B1147" s="114" t="str" cm="1">
        <f t="array" ref="B1147">IFERROR(INDEX('03.Muestra'!$C$8:$C$42,SMALL(IF("Documento no web"='03.Muestra'!$D$8:$D$42,ROW('03.Muestra'!$C$8:$C$42)-MIN(ROW('03.Muestra'!$D$8:$D$42))+1,""),ROW()-1120)),"")</f>
        <v/>
      </c>
      <c r="C1147" s="114" t="str" cm="1">
        <f t="array" ref="C1147">IFERROR(INDEX('03.Muestra'!$F$8:$F$42,SMALL(IF("Documento no web"='03.Muestra'!$D$8:$D$42,ROW('03.Muestra'!$F$8:$F$42)-MIN(ROW('03.Muestra'!$D$8:$D$42))+1,""),ROW()-1120)),"")</f>
        <v/>
      </c>
      <c r="D1147" s="130" t="str">
        <f t="shared" si="59"/>
        <v/>
      </c>
      <c r="E1147" s="107" t="str">
        <f t="shared" si="58"/>
        <v/>
      </c>
      <c r="F1147" s="19"/>
      <c r="G1147" s="19"/>
      <c r="H1147" s="19"/>
      <c r="I1147" s="19"/>
      <c r="J1147" s="19"/>
      <c r="K1147" s="233"/>
      <c r="L1147" s="19"/>
      <c r="M1147" s="19"/>
      <c r="N1147" s="19"/>
      <c r="O1147" s="19"/>
      <c r="P1147" s="19"/>
      <c r="Q1147" s="19"/>
      <c r="R1147" s="19"/>
      <c r="S1147" s="19"/>
      <c r="T1147" s="19"/>
      <c r="U1147" s="19"/>
      <c r="V1147" s="19"/>
      <c r="W1147" s="19"/>
      <c r="X1147" s="19"/>
      <c r="Y1147" s="19"/>
    </row>
    <row r="1148" spans="1:25" ht="13.5" customHeight="1">
      <c r="A1148" s="219" t="str" cm="1">
        <f t="array" ref="A1148">IFERROR(INDEX('03.Muestra'!$B$8:$B$42,SMALL(IF("Documento no web"='03.Muestra'!$D$8:$D$42,ROW('03.Muestra'!$B$8:$B$42)-MIN(ROW('03.Muestra'!$D$8:$D$42))+1,""),ROW()-1120)),"")</f>
        <v/>
      </c>
      <c r="B1148" s="114" t="str" cm="1">
        <f t="array" ref="B1148">IFERROR(INDEX('03.Muestra'!$C$8:$C$42,SMALL(IF("Documento no web"='03.Muestra'!$D$8:$D$42,ROW('03.Muestra'!$C$8:$C$42)-MIN(ROW('03.Muestra'!$D$8:$D$42))+1,""),ROW()-1120)),"")</f>
        <v/>
      </c>
      <c r="C1148" s="114" t="str" cm="1">
        <f t="array" ref="C1148">IFERROR(INDEX('03.Muestra'!$F$8:$F$42,SMALL(IF("Documento no web"='03.Muestra'!$D$8:$D$42,ROW('03.Muestra'!$F$8:$F$42)-MIN(ROW('03.Muestra'!$D$8:$D$42))+1,""),ROW()-1120)),"")</f>
        <v/>
      </c>
      <c r="D1148" s="130" t="str">
        <f t="shared" si="59"/>
        <v/>
      </c>
      <c r="E1148" s="107" t="str">
        <f t="shared" si="58"/>
        <v/>
      </c>
      <c r="G1148" s="19"/>
      <c r="H1148" s="19"/>
      <c r="I1148" s="19"/>
      <c r="J1148" s="19"/>
      <c r="K1148" s="233"/>
      <c r="L1148" s="19"/>
      <c r="M1148" s="19"/>
      <c r="N1148" s="19"/>
      <c r="O1148" s="19"/>
      <c r="P1148" s="19"/>
      <c r="Q1148" s="19"/>
      <c r="R1148" s="19"/>
      <c r="S1148" s="19"/>
      <c r="T1148" s="19"/>
      <c r="U1148" s="19"/>
      <c r="V1148" s="19"/>
      <c r="W1148" s="19"/>
      <c r="X1148" s="19"/>
      <c r="Y1148" s="19"/>
    </row>
    <row r="1149" spans="1:25" ht="13.5" customHeight="1">
      <c r="A1149" s="219" t="str" cm="1">
        <f t="array" ref="A1149">IFERROR(INDEX('03.Muestra'!$B$8:$B$42,SMALL(IF("Documento no web"='03.Muestra'!$D$8:$D$42,ROW('03.Muestra'!$B$8:$B$42)-MIN(ROW('03.Muestra'!$D$8:$D$42))+1,""),ROW()-1120)),"")</f>
        <v/>
      </c>
      <c r="B1149" s="114" t="str" cm="1">
        <f t="array" ref="B1149">IFERROR(INDEX('03.Muestra'!$C$8:$C$42,SMALL(IF("Documento no web"='03.Muestra'!$D$8:$D$42,ROW('03.Muestra'!$C$8:$C$42)-MIN(ROW('03.Muestra'!$D$8:$D$42))+1,""),ROW()-1120)),"")</f>
        <v/>
      </c>
      <c r="C1149" s="114" t="str" cm="1">
        <f t="array" ref="C1149">IFERROR(INDEX('03.Muestra'!$F$8:$F$42,SMALL(IF("Documento no web"='03.Muestra'!$D$8:$D$42,ROW('03.Muestra'!$F$8:$F$42)-MIN(ROW('03.Muestra'!$D$8:$D$42))+1,""),ROW()-1120)),"")</f>
        <v/>
      </c>
      <c r="D1149" s="130" t="str">
        <f t="shared" si="59"/>
        <v/>
      </c>
      <c r="E1149" s="107" t="str">
        <f t="shared" si="58"/>
        <v/>
      </c>
      <c r="F1149" s="124"/>
      <c r="G1149" s="19"/>
      <c r="H1149" s="19"/>
      <c r="I1149" s="19"/>
      <c r="J1149" s="19"/>
      <c r="K1149" s="233"/>
      <c r="L1149" s="19"/>
      <c r="M1149" s="19"/>
      <c r="N1149" s="19"/>
      <c r="O1149" s="19"/>
      <c r="P1149" s="19"/>
      <c r="Q1149" s="19"/>
      <c r="R1149" s="19"/>
      <c r="S1149" s="19"/>
      <c r="T1149" s="19"/>
      <c r="U1149" s="19"/>
      <c r="V1149" s="19"/>
      <c r="W1149" s="19"/>
      <c r="X1149" s="19"/>
      <c r="Y1149" s="19"/>
    </row>
    <row r="1150" spans="1:25" ht="13.5" customHeight="1">
      <c r="A1150" s="219" t="str" cm="1">
        <f t="array" ref="A1150">IFERROR(INDEX('03.Muestra'!$B$8:$B$42,SMALL(IF("Documento no web"='03.Muestra'!$D$8:$D$42,ROW('03.Muestra'!$B$8:$B$42)-MIN(ROW('03.Muestra'!$D$8:$D$42))+1,""),ROW()-1120)),"")</f>
        <v/>
      </c>
      <c r="B1150" s="114" t="str" cm="1">
        <f t="array" ref="B1150">IFERROR(INDEX('03.Muestra'!$C$8:$C$42,SMALL(IF("Documento no web"='03.Muestra'!$D$8:$D$42,ROW('03.Muestra'!$C$8:$C$42)-MIN(ROW('03.Muestra'!$D$8:$D$42))+1,""),ROW()-1120)),"")</f>
        <v/>
      </c>
      <c r="C1150" s="114" t="str" cm="1">
        <f t="array" ref="C1150">IFERROR(INDEX('03.Muestra'!$F$8:$F$42,SMALL(IF("Documento no web"='03.Muestra'!$D$8:$D$42,ROW('03.Muestra'!$F$8:$F$42)-MIN(ROW('03.Muestra'!$D$8:$D$42))+1,""),ROW()-1120)),"")</f>
        <v/>
      </c>
      <c r="D1150" s="130" t="str">
        <f t="shared" si="59"/>
        <v/>
      </c>
      <c r="E1150" s="107" t="str">
        <f t="shared" si="58"/>
        <v/>
      </c>
      <c r="F1150" s="124"/>
      <c r="G1150" s="19"/>
      <c r="H1150" s="19"/>
      <c r="I1150" s="19"/>
      <c r="J1150" s="19"/>
      <c r="K1150" s="233"/>
      <c r="L1150" s="19"/>
      <c r="M1150" s="19"/>
      <c r="N1150" s="19"/>
      <c r="O1150" s="19"/>
      <c r="P1150" s="19"/>
      <c r="Q1150" s="19"/>
      <c r="R1150" s="19"/>
      <c r="S1150" s="19"/>
      <c r="T1150" s="19"/>
      <c r="U1150" s="19"/>
      <c r="V1150" s="19"/>
      <c r="W1150" s="19"/>
      <c r="X1150" s="19"/>
      <c r="Y1150" s="19"/>
    </row>
    <row r="1151" spans="1:25" ht="13.5" customHeight="1">
      <c r="A1151" s="219" t="str" cm="1">
        <f t="array" ref="A1151">IFERROR(INDEX('03.Muestra'!$B$8:$B$42,SMALL(IF("Documento no web"='03.Muestra'!$D$8:$D$42,ROW('03.Muestra'!$B$8:$B$42)-MIN(ROW('03.Muestra'!$D$8:$D$42))+1,""),ROW()-1120)),"")</f>
        <v/>
      </c>
      <c r="B1151" s="114" t="str" cm="1">
        <f t="array" ref="B1151">IFERROR(INDEX('03.Muestra'!$C$8:$C$42,SMALL(IF("Documento no web"='03.Muestra'!$D$8:$D$42,ROW('03.Muestra'!$C$8:$C$42)-MIN(ROW('03.Muestra'!$D$8:$D$42))+1,""),ROW()-1120)),"")</f>
        <v/>
      </c>
      <c r="C1151" s="114" t="str" cm="1">
        <f t="array" ref="C1151">IFERROR(INDEX('03.Muestra'!$F$8:$F$42,SMALL(IF("Documento no web"='03.Muestra'!$D$8:$D$42,ROW('03.Muestra'!$F$8:$F$42)-MIN(ROW('03.Muestra'!$D$8:$D$42))+1,""),ROW()-1120)),"")</f>
        <v/>
      </c>
      <c r="D1151" s="130" t="str">
        <f t="shared" si="59"/>
        <v/>
      </c>
      <c r="E1151" s="107" t="str">
        <f t="shared" si="58"/>
        <v/>
      </c>
      <c r="F1151" s="124"/>
      <c r="G1151" s="19"/>
      <c r="H1151" s="19"/>
      <c r="I1151" s="19"/>
      <c r="J1151" s="19"/>
      <c r="K1151" s="233"/>
      <c r="L1151" s="19"/>
      <c r="M1151" s="19"/>
      <c r="N1151" s="19"/>
      <c r="O1151" s="19"/>
      <c r="P1151" s="19"/>
      <c r="Q1151" s="19"/>
      <c r="R1151" s="19"/>
      <c r="S1151" s="19"/>
      <c r="T1151" s="19"/>
      <c r="U1151" s="19"/>
      <c r="V1151" s="19"/>
      <c r="W1151" s="19"/>
      <c r="X1151" s="19"/>
      <c r="Y1151" s="19"/>
    </row>
    <row r="1152" spans="1:25" ht="13.5" customHeight="1">
      <c r="A1152" s="219" t="str" cm="1">
        <f t="array" ref="A1152">IFERROR(INDEX('03.Muestra'!$B$8:$B$42,SMALL(IF("Documento no web"='03.Muestra'!$D$8:$D$42,ROW('03.Muestra'!$B$8:$B$42)-MIN(ROW('03.Muestra'!$D$8:$D$42))+1,""),ROW()-1120)),"")</f>
        <v/>
      </c>
      <c r="B1152" s="114" t="str" cm="1">
        <f t="array" ref="B1152">IFERROR(INDEX('03.Muestra'!$C$8:$C$42,SMALL(IF("Documento no web"='03.Muestra'!$D$8:$D$42,ROW('03.Muestra'!$C$8:$C$42)-MIN(ROW('03.Muestra'!$D$8:$D$42))+1,""),ROW()-1120)),"")</f>
        <v/>
      </c>
      <c r="C1152" s="114" t="str" cm="1">
        <f t="array" ref="C1152">IFERROR(INDEX('03.Muestra'!$F$8:$F$42,SMALL(IF("Documento no web"='03.Muestra'!$D$8:$D$42,ROW('03.Muestra'!$F$8:$F$42)-MIN(ROW('03.Muestra'!$D$8:$D$42))+1,""),ROW()-1120)),"")</f>
        <v/>
      </c>
      <c r="D1152" s="130" t="str">
        <f t="shared" si="59"/>
        <v/>
      </c>
      <c r="E1152" s="107" t="str">
        <f t="shared" si="58"/>
        <v/>
      </c>
      <c r="F1152" s="124"/>
      <c r="G1152" s="19"/>
      <c r="H1152" s="19"/>
      <c r="I1152" s="19"/>
      <c r="J1152" s="19"/>
      <c r="K1152" s="233"/>
      <c r="L1152" s="19"/>
      <c r="M1152" s="19"/>
      <c r="N1152" s="19"/>
      <c r="O1152" s="19"/>
      <c r="P1152" s="19"/>
      <c r="Q1152" s="19"/>
      <c r="R1152" s="19"/>
      <c r="S1152" s="19"/>
      <c r="T1152" s="19"/>
      <c r="U1152" s="19"/>
      <c r="V1152" s="19"/>
      <c r="W1152" s="19"/>
      <c r="X1152" s="19"/>
      <c r="Y1152" s="19"/>
    </row>
    <row r="1153" spans="1:25" ht="13.5" customHeight="1">
      <c r="A1153" s="219" t="str" cm="1">
        <f t="array" ref="A1153">IFERROR(INDEX('03.Muestra'!$B$8:$B$42,SMALL(IF("Documento no web"='03.Muestra'!$D$8:$D$42,ROW('03.Muestra'!$B$8:$B$42)-MIN(ROW('03.Muestra'!$D$8:$D$42))+1,""),ROW()-1120)),"")</f>
        <v/>
      </c>
      <c r="B1153" s="114" t="str" cm="1">
        <f t="array" ref="B1153">IFERROR(INDEX('03.Muestra'!$C$8:$C$42,SMALL(IF("Documento no web"='03.Muestra'!$D$8:$D$42,ROW('03.Muestra'!$C$8:$C$42)-MIN(ROW('03.Muestra'!$D$8:$D$42))+1,""),ROW()-1120)),"")</f>
        <v/>
      </c>
      <c r="C1153" s="114" t="str" cm="1">
        <f t="array" ref="C1153">IFERROR(INDEX('03.Muestra'!$F$8:$F$42,SMALL(IF("Documento no web"='03.Muestra'!$D$8:$D$42,ROW('03.Muestra'!$F$8:$F$42)-MIN(ROW('03.Muestra'!$D$8:$D$42))+1,""),ROW()-1120)),"")</f>
        <v/>
      </c>
      <c r="D1153" s="130" t="str">
        <f t="shared" si="59"/>
        <v/>
      </c>
      <c r="E1153" s="107" t="str">
        <f t="shared" si="58"/>
        <v/>
      </c>
      <c r="F1153" s="124"/>
      <c r="G1153" s="19"/>
      <c r="H1153" s="19"/>
      <c r="I1153" s="19"/>
      <c r="J1153" s="19"/>
      <c r="K1153" s="233"/>
      <c r="L1153" s="19"/>
      <c r="M1153" s="19"/>
      <c r="N1153" s="19"/>
      <c r="O1153" s="19"/>
      <c r="P1153" s="19"/>
      <c r="Q1153" s="19"/>
      <c r="R1153" s="19"/>
      <c r="S1153" s="19"/>
      <c r="T1153" s="19"/>
      <c r="U1153" s="19"/>
      <c r="V1153" s="19"/>
      <c r="W1153" s="19"/>
      <c r="X1153" s="19"/>
      <c r="Y1153" s="19"/>
    </row>
    <row r="1154" spans="1:25" ht="13.5" customHeight="1">
      <c r="A1154" s="219" t="str" cm="1">
        <f t="array" ref="A1154">IFERROR(INDEX('03.Muestra'!$B$8:$B$42,SMALL(IF("Documento no web"='03.Muestra'!$D$8:$D$42,ROW('03.Muestra'!$B$8:$B$42)-MIN(ROW('03.Muestra'!$D$8:$D$42))+1,""),ROW()-1120)),"")</f>
        <v/>
      </c>
      <c r="B1154" s="114" t="str" cm="1">
        <f t="array" ref="B1154">IFERROR(INDEX('03.Muestra'!$C$8:$C$42,SMALL(IF("Documento no web"='03.Muestra'!$D$8:$D$42,ROW('03.Muestra'!$C$8:$C$42)-MIN(ROW('03.Muestra'!$D$8:$D$42))+1,""),ROW()-1120)),"")</f>
        <v/>
      </c>
      <c r="C1154" s="114" t="str" cm="1">
        <f t="array" ref="C1154">IFERROR(INDEX('03.Muestra'!$F$8:$F$42,SMALL(IF("Documento no web"='03.Muestra'!$D$8:$D$42,ROW('03.Muestra'!$F$8:$F$42)-MIN(ROW('03.Muestra'!$D$8:$D$42))+1,""),ROW()-1120)),"")</f>
        <v/>
      </c>
      <c r="D1154" s="130" t="str">
        <f t="shared" si="59"/>
        <v/>
      </c>
      <c r="E1154" s="107" t="str">
        <f t="shared" si="58"/>
        <v/>
      </c>
      <c r="F1154" s="124"/>
      <c r="G1154" s="19"/>
      <c r="H1154" s="19"/>
      <c r="I1154" s="19"/>
      <c r="J1154" s="19"/>
      <c r="K1154" s="233"/>
      <c r="L1154" s="19"/>
      <c r="M1154" s="19"/>
      <c r="N1154" s="19"/>
      <c r="O1154" s="19"/>
      <c r="P1154" s="19"/>
      <c r="Q1154" s="19"/>
      <c r="R1154" s="19"/>
      <c r="S1154" s="19"/>
      <c r="T1154" s="19"/>
      <c r="U1154" s="19"/>
      <c r="V1154" s="19"/>
      <c r="W1154" s="19"/>
      <c r="X1154" s="19"/>
      <c r="Y1154" s="19"/>
    </row>
    <row r="1155" spans="1:25" ht="13.5" customHeight="1">
      <c r="A1155" s="219" t="str" cm="1">
        <f t="array" ref="A1155">IFERROR(INDEX('03.Muestra'!$B$8:$B$42,SMALL(IF("Documento no web"='03.Muestra'!$D$8:$D$42,ROW('03.Muestra'!$B$8:$B$42)-MIN(ROW('03.Muestra'!$D$8:$D$42))+1,""),ROW()-1120)),"")</f>
        <v/>
      </c>
      <c r="B1155" s="114" t="str" cm="1">
        <f t="array" ref="B1155">IFERROR(INDEX('03.Muestra'!$C$8:$C$42,SMALL(IF("Documento no web"='03.Muestra'!$D$8:$D$42,ROW('03.Muestra'!$C$8:$C$42)-MIN(ROW('03.Muestra'!$D$8:$D$42))+1,""),ROW()-1120)),"")</f>
        <v/>
      </c>
      <c r="C1155" s="114" t="str" cm="1">
        <f t="array" ref="C1155">IFERROR(INDEX('03.Muestra'!$F$8:$F$42,SMALL(IF("Documento no web"='03.Muestra'!$D$8:$D$42,ROW('03.Muestra'!$F$8:$F$42)-MIN(ROW('03.Muestra'!$D$8:$D$42))+1,""),ROW()-1120)),"")</f>
        <v/>
      </c>
      <c r="D1155" s="130" t="str">
        <f t="shared" si="59"/>
        <v/>
      </c>
      <c r="E1155" s="107" t="str">
        <f t="shared" si="58"/>
        <v/>
      </c>
      <c r="F1155" s="19"/>
      <c r="G1155" s="19"/>
      <c r="H1155" s="19"/>
      <c r="I1155" s="19"/>
      <c r="J1155" s="19"/>
      <c r="K1155" s="233"/>
      <c r="L1155" s="19"/>
      <c r="M1155" s="19"/>
      <c r="N1155" s="19"/>
      <c r="O1155" s="19"/>
      <c r="P1155" s="19"/>
      <c r="Q1155" s="19"/>
      <c r="R1155" s="19"/>
      <c r="S1155" s="19"/>
      <c r="T1155" s="19"/>
      <c r="U1155" s="19"/>
      <c r="V1155" s="19"/>
      <c r="W1155" s="19"/>
      <c r="X1155" s="19"/>
      <c r="Y1155" s="19"/>
    </row>
    <row r="1156" spans="1:25" ht="13.5" customHeight="1">
      <c r="B1156" s="19"/>
      <c r="C1156" s="19"/>
      <c r="D1156" s="107"/>
      <c r="E1156" s="112"/>
      <c r="F1156" s="19"/>
      <c r="G1156" s="19"/>
      <c r="H1156" s="19"/>
      <c r="I1156" s="19"/>
      <c r="J1156" s="19"/>
      <c r="K1156" s="233"/>
      <c r="L1156" s="19"/>
      <c r="M1156" s="19"/>
      <c r="N1156" s="19"/>
      <c r="O1156" s="19"/>
      <c r="P1156" s="19"/>
      <c r="Q1156" s="19"/>
      <c r="R1156" s="19"/>
      <c r="S1156" s="19"/>
      <c r="T1156" s="19"/>
      <c r="U1156" s="19"/>
      <c r="V1156" s="19"/>
      <c r="W1156" s="19"/>
      <c r="X1156" s="19"/>
      <c r="Y1156" s="19"/>
    </row>
    <row r="1157" spans="1:25" ht="13.5" customHeight="1">
      <c r="B1157" s="126"/>
      <c r="C1157" s="19"/>
      <c r="D1157" s="107"/>
      <c r="E1157" s="112"/>
      <c r="F1157" s="19"/>
      <c r="G1157" s="19"/>
      <c r="H1157" s="19"/>
      <c r="I1157" s="19"/>
      <c r="J1157" s="19"/>
      <c r="K1157" s="233"/>
      <c r="L1157" s="19"/>
      <c r="M1157" s="19"/>
      <c r="N1157" s="19"/>
      <c r="O1157" s="19"/>
      <c r="P1157" s="19"/>
      <c r="Q1157" s="19"/>
      <c r="R1157" s="19"/>
      <c r="S1157" s="19"/>
      <c r="T1157" s="19"/>
      <c r="U1157" s="19"/>
      <c r="V1157" s="19"/>
      <c r="W1157" s="19"/>
      <c r="X1157" s="19"/>
      <c r="Y1157" s="19"/>
    </row>
    <row r="1158" spans="1:25" ht="30" customHeight="1">
      <c r="A1158" s="218" t="s">
        <v>268</v>
      </c>
      <c r="B1158" s="24" t="s">
        <v>90</v>
      </c>
      <c r="C1158" s="25" t="s">
        <v>452</v>
      </c>
      <c r="D1158" s="26" t="s">
        <v>32</v>
      </c>
      <c r="E1158" s="123"/>
      <c r="K1158" s="233"/>
      <c r="L1158" s="19"/>
      <c r="M1158" s="19"/>
      <c r="N1158" s="19"/>
      <c r="O1158" s="19"/>
      <c r="P1158" s="19"/>
      <c r="Q1158" s="19"/>
      <c r="R1158" s="19"/>
      <c r="S1158" s="19"/>
      <c r="T1158" s="19"/>
      <c r="U1158" s="19"/>
      <c r="V1158" s="19"/>
      <c r="W1158" s="19"/>
      <c r="X1158" s="19"/>
      <c r="Y1158" s="19"/>
    </row>
    <row r="1159" spans="1:25" ht="13.5" customHeight="1">
      <c r="A1159" s="219" t="n" cm="1">
        <f t="array" ref="A1159">IFERROR(INDEX('03.Muestra'!$B$8:$B$42,SMALL(IF("Documento no web"='03.Muestra'!$D$8:$D$42,ROW('03.Muestra'!$B$8:$B$42)-MIN(ROW('03.Muestra'!$D$8:$D$42))+1,""),ROW()-1158)),"")</f>
        <v>1.0</v>
      </c>
      <c r="B1159" s="114" t="str" cm="1">
        <f t="array" ref="B1159">IFERROR(INDEX('03.Muestra'!$C$8:$C$42,SMALL(IF("Documento no web"='03.Muestra'!$D$8:$D$42,ROW('03.Muestra'!$C$8:$C$42)-MIN(ROW('03.Muestra'!$D$8:$D$42))+1,""),ROW()-1158)),"")</f>
        <v>Home - PortCastelló</v>
      </c>
      <c r="C1159" s="114" t="str" cm="1">
        <f t="array" ref="C1159">IFERROR(INDEX('03.Muestra'!$F$8:$F$42,SMALL(IF("Documento no web"='03.Muestra'!$D$8:$D$42,ROW('03.Muestra'!$F$8:$F$42)-MIN(ROW('03.Muestra'!$D$8:$D$42))+1,""),ROW()-1158)),"")</f>
        <v>https://www.portcastello.com/</v>
      </c>
      <c r="D1159" s="130" t="s">
        <v>33</v>
      </c>
      <c r="E1159" s="107" t="str">
        <f t="shared" ref="E1159:E1193" si="60">IF(D1159&lt;&gt;"",IF(AND(B1159&lt;&gt;"",C1159&lt;&gt;""),"","ERR"),"")</f>
        <v/>
      </c>
      <c r="F1159" s="115" t="s">
        <v>33</v>
      </c>
      <c r="G1159" s="116" t="s">
        <v>37</v>
      </c>
      <c r="H1159" s="117" t="s">
        <v>35</v>
      </c>
      <c r="I1159" s="118" t="s">
        <v>28</v>
      </c>
      <c r="J1159" s="119" t="s">
        <v>26</v>
      </c>
      <c r="K1159" s="226" t="s">
        <v>474</v>
      </c>
      <c r="L1159" s="19"/>
      <c r="M1159" s="19"/>
      <c r="N1159" s="19"/>
      <c r="O1159" s="19"/>
      <c r="P1159" s="19"/>
      <c r="Q1159" s="19"/>
      <c r="R1159" s="19"/>
      <c r="S1159" s="19"/>
      <c r="T1159" s="19"/>
      <c r="U1159" s="19"/>
      <c r="V1159" s="19"/>
      <c r="W1159" s="19"/>
      <c r="X1159" s="19"/>
      <c r="Y1159" s="19"/>
    </row>
    <row r="1160" spans="1:25" ht="13.5" customHeight="1">
      <c r="A1160" s="219" t="n" cm="1">
        <f t="array" ref="A1160">IFERROR(INDEX('03.Muestra'!$B$8:$B$42,SMALL(IF("Documento no web"='03.Muestra'!$D$8:$D$42,ROW('03.Muestra'!$B$8:$B$42)-MIN(ROW('03.Muestra'!$D$8:$D$42))+1,""),ROW()-1158)),"")</f>
        <v>1.0</v>
      </c>
      <c r="B1160" s="114" t="str" cm="1">
        <f t="array" ref="B1160">IFERROR(INDEX('03.Muestra'!$C$8:$C$42,SMALL(IF("Documento no web"='03.Muestra'!$D$8:$D$42,ROW('03.Muestra'!$C$8:$C$42)-MIN(ROW('03.Muestra'!$D$8:$D$42))+1,""),ROW()-1158)),"")</f>
        <v>Home - PortCastelló</v>
      </c>
      <c r="C1160" s="114" t="str" cm="1">
        <f t="array" ref="C1160">IFERROR(INDEX('03.Muestra'!$F$8:$F$42,SMALL(IF("Documento no web"='03.Muestra'!$D$8:$D$42,ROW('03.Muestra'!$F$8:$F$42)-MIN(ROW('03.Muestra'!$D$8:$D$42))+1,""),ROW()-1158)),"")</f>
        <v>https://www.portcastello.com/</v>
      </c>
      <c r="D1160" s="130" t="s">
        <v>33</v>
      </c>
      <c r="E1160" s="107" t="str">
        <f t="shared" si="60"/>
        <v/>
      </c>
      <c r="F1160" s="120" t="n">
        <f ca="1">COUNTIF($D1159:INDIRECT("$D" &amp;  SUM(ROW()-1,'03.Muestra'!$D$45)-1),F1159)</f>
        <v>2.0</v>
      </c>
      <c r="G1160" s="120" t="n">
        <f ca="1">COUNTIF($D1159:INDIRECT("$D" &amp;  SUM(ROW()-1,'03.Muestra'!$D$45)-1),G1159)</f>
        <v>0.0</v>
      </c>
      <c r="H1160" s="120" t="n">
        <f ca="1">COUNTIF($D1159:INDIRECT("$D" &amp;  SUM(ROW()-1,'03.Muestra'!$D$45)-1),H1159)</f>
        <v>0.0</v>
      </c>
      <c r="I1160" s="120" t="n">
        <f ca="1">COUNTIF($D1159:INDIRECT("$D" &amp;  SUM(ROW()-1,'03.Muestra'!$D$45)-1),I1159)</f>
        <v>0.0</v>
      </c>
      <c r="J1160" s="120" t="n">
        <f ca="1">COUNTIF($D1159:INDIRECT("$D" &amp;  SUM(ROW()-1,'03.Muestra'!$D$45)-1),J1159)</f>
        <v>0.0</v>
      </c>
      <c r="K1160" s="227" t="n">
        <f ca="1">IF(COUNTIF('03.Muestra'!$D$8:$D$42,"Documento no web")=0,0,COUNTBLANK($D1159:INDIRECT("$D" &amp;  SUM(ROW()-1,COUNTIF('03.Muestra'!$D$8:$D$42,"Documento no web"))-1)))</f>
        <v>0.0</v>
      </c>
      <c r="L1160" s="19"/>
      <c r="M1160" s="19"/>
      <c r="N1160" s="19"/>
      <c r="O1160" s="19"/>
      <c r="P1160" s="19"/>
      <c r="Q1160" s="19"/>
      <c r="R1160" s="19"/>
      <c r="S1160" s="19"/>
      <c r="T1160" s="19"/>
      <c r="U1160" s="19"/>
      <c r="V1160" s="19"/>
      <c r="W1160" s="19"/>
      <c r="X1160" s="19"/>
      <c r="Y1160" s="19"/>
    </row>
    <row r="1161" spans="1:25" ht="13.5" customHeight="1">
      <c r="A1161" s="219" t="str" cm="1">
        <f t="array" ref="A1161">IFERROR(INDEX('03.Muestra'!$B$8:$B$42,SMALL(IF("Documento no web"='03.Muestra'!$D$8:$D$42,ROW('03.Muestra'!$B$8:$B$42)-MIN(ROW('03.Muestra'!$D$8:$D$42))+1,""),ROW()-1158)),"")</f>
        <v/>
      </c>
      <c r="B1161" s="114" t="str" cm="1">
        <f t="array" ref="B1161">IFERROR(INDEX('03.Muestra'!$C$8:$C$42,SMALL(IF("Documento no web"='03.Muestra'!$D$8:$D$42,ROW('03.Muestra'!$C$8:$C$42)-MIN(ROW('03.Muestra'!$D$8:$D$42))+1,""),ROW()-1158)),"")</f>
        <v/>
      </c>
      <c r="C1161" s="114" t="str" cm="1">
        <f t="array" ref="C1161">IFERROR(INDEX('03.Muestra'!$F$8:$F$42,SMALL(IF("Documento no web"='03.Muestra'!$D$8:$D$42,ROW('03.Muestra'!$F$8:$F$42)-MIN(ROW('03.Muestra'!$D$8:$D$42))+1,""),ROW()-1158)),"")</f>
        <v/>
      </c>
      <c r="D1161" s="130" t="str">
        <f t="shared" si="61" ref="D1161:D1193">IF(AND(B1161&lt;&gt;"",C1161&lt;&gt;""),"N/T","")</f>
        <v/>
      </c>
      <c r="E1161" s="107" t="str">
        <f t="shared" si="60"/>
        <v/>
      </c>
      <c r="G1161" s="19"/>
      <c r="H1161" s="19"/>
      <c r="I1161" s="19"/>
      <c r="J1161" s="19"/>
      <c r="K1161" s="233"/>
      <c r="L1161" s="19"/>
      <c r="M1161" s="19"/>
      <c r="N1161" s="19"/>
      <c r="O1161" s="19"/>
      <c r="P1161" s="19"/>
      <c r="Q1161" s="19"/>
      <c r="R1161" s="19"/>
      <c r="S1161" s="19"/>
      <c r="T1161" s="19"/>
      <c r="U1161" s="19"/>
      <c r="V1161" s="19"/>
      <c r="W1161" s="19"/>
      <c r="X1161" s="19"/>
      <c r="Y1161" s="19"/>
    </row>
    <row r="1162" spans="1:25" ht="13.5" customHeight="1">
      <c r="A1162" s="219" t="str" cm="1">
        <f t="array" ref="A1162">IFERROR(INDEX('03.Muestra'!$B$8:$B$42,SMALL(IF("Documento no web"='03.Muestra'!$D$8:$D$42,ROW('03.Muestra'!$B$8:$B$42)-MIN(ROW('03.Muestra'!$D$8:$D$42))+1,""),ROW()-1158)),"")</f>
        <v/>
      </c>
      <c r="B1162" s="114" t="str" cm="1">
        <f t="array" ref="B1162">IFERROR(INDEX('03.Muestra'!$C$8:$C$42,SMALL(IF("Documento no web"='03.Muestra'!$D$8:$D$42,ROW('03.Muestra'!$C$8:$C$42)-MIN(ROW('03.Muestra'!$D$8:$D$42))+1,""),ROW()-1158)),"")</f>
        <v/>
      </c>
      <c r="C1162" s="114" t="str" cm="1">
        <f t="array" ref="C1162">IFERROR(INDEX('03.Muestra'!$F$8:$F$42,SMALL(IF("Documento no web"='03.Muestra'!$D$8:$D$42,ROW('03.Muestra'!$F$8:$F$42)-MIN(ROW('03.Muestra'!$D$8:$D$42))+1,""),ROW()-1158)),"")</f>
        <v/>
      </c>
      <c r="D1162" s="130" t="str">
        <f t="shared" si="61"/>
        <v/>
      </c>
      <c r="E1162" s="107" t="str">
        <f t="shared" si="60"/>
        <v/>
      </c>
      <c r="G1162" s="19"/>
      <c r="H1162" s="19"/>
      <c r="I1162" s="19"/>
      <c r="J1162" s="19"/>
      <c r="K1162" s="233"/>
      <c r="L1162" s="19"/>
      <c r="M1162" s="19"/>
      <c r="N1162" s="19"/>
      <c r="O1162" s="19"/>
      <c r="P1162" s="19"/>
      <c r="Q1162" s="19"/>
      <c r="R1162" s="19"/>
      <c r="S1162" s="19"/>
      <c r="T1162" s="19"/>
      <c r="U1162" s="19"/>
      <c r="V1162" s="19"/>
      <c r="W1162" s="19"/>
      <c r="X1162" s="19"/>
      <c r="Y1162" s="19"/>
    </row>
    <row r="1163" spans="1:25" ht="13.5" customHeight="1">
      <c r="A1163" s="219" t="str" cm="1">
        <f t="array" ref="A1163">IFERROR(INDEX('03.Muestra'!$B$8:$B$42,SMALL(IF("Documento no web"='03.Muestra'!$D$8:$D$42,ROW('03.Muestra'!$B$8:$B$42)-MIN(ROW('03.Muestra'!$D$8:$D$42))+1,""),ROW()-1158)),"")</f>
        <v/>
      </c>
      <c r="B1163" s="114" t="str" cm="1">
        <f t="array" ref="B1163">IFERROR(INDEX('03.Muestra'!$C$8:$C$42,SMALL(IF("Documento no web"='03.Muestra'!$D$8:$D$42,ROW('03.Muestra'!$C$8:$C$42)-MIN(ROW('03.Muestra'!$D$8:$D$42))+1,""),ROW()-1158)),"")</f>
        <v/>
      </c>
      <c r="C1163" s="114" t="str" cm="1">
        <f t="array" ref="C1163">IFERROR(INDEX('03.Muestra'!$F$8:$F$42,SMALL(IF("Documento no web"='03.Muestra'!$D$8:$D$42,ROW('03.Muestra'!$F$8:$F$42)-MIN(ROW('03.Muestra'!$D$8:$D$42))+1,""),ROW()-1158)),"")</f>
        <v/>
      </c>
      <c r="D1163" s="130" t="str">
        <f t="shared" si="61"/>
        <v/>
      </c>
      <c r="E1163" s="107" t="str">
        <f t="shared" si="60"/>
        <v/>
      </c>
      <c r="G1163" s="19"/>
      <c r="H1163" s="19"/>
      <c r="I1163" s="19"/>
      <c r="J1163" s="19"/>
      <c r="K1163" s="233"/>
      <c r="L1163" s="19"/>
      <c r="M1163" s="19"/>
      <c r="N1163" s="19"/>
      <c r="O1163" s="19"/>
      <c r="P1163" s="19"/>
      <c r="Q1163" s="19"/>
      <c r="R1163" s="19"/>
      <c r="S1163" s="19"/>
      <c r="T1163" s="19"/>
      <c r="U1163" s="19"/>
      <c r="V1163" s="19"/>
      <c r="W1163" s="19"/>
      <c r="X1163" s="19"/>
      <c r="Y1163" s="19"/>
    </row>
    <row r="1164" spans="1:25" ht="13.5" customHeight="1">
      <c r="A1164" s="219" t="str" cm="1">
        <f t="array" ref="A1164">IFERROR(INDEX('03.Muestra'!$B$8:$B$42,SMALL(IF("Documento no web"='03.Muestra'!$D$8:$D$42,ROW('03.Muestra'!$B$8:$B$42)-MIN(ROW('03.Muestra'!$D$8:$D$42))+1,""),ROW()-1158)),"")</f>
        <v/>
      </c>
      <c r="B1164" s="114" t="str" cm="1">
        <f t="array" ref="B1164">IFERROR(INDEX('03.Muestra'!$C$8:$C$42,SMALL(IF("Documento no web"='03.Muestra'!$D$8:$D$42,ROW('03.Muestra'!$C$8:$C$42)-MIN(ROW('03.Muestra'!$D$8:$D$42))+1,""),ROW()-1158)),"")</f>
        <v/>
      </c>
      <c r="C1164" s="114" t="str" cm="1">
        <f t="array" ref="C1164">IFERROR(INDEX('03.Muestra'!$F$8:$F$42,SMALL(IF("Documento no web"='03.Muestra'!$D$8:$D$42,ROW('03.Muestra'!$F$8:$F$42)-MIN(ROW('03.Muestra'!$D$8:$D$42))+1,""),ROW()-1158)),"")</f>
        <v/>
      </c>
      <c r="D1164" s="130" t="str">
        <f t="shared" si="61"/>
        <v/>
      </c>
      <c r="E1164" s="107" t="str">
        <f t="shared" si="60"/>
        <v/>
      </c>
      <c r="G1164" s="19"/>
      <c r="H1164" s="19"/>
      <c r="I1164" s="19"/>
      <c r="J1164" s="19"/>
      <c r="K1164" s="233"/>
      <c r="L1164" s="19"/>
      <c r="M1164" s="19"/>
      <c r="N1164" s="19"/>
      <c r="O1164" s="19"/>
      <c r="P1164" s="19"/>
      <c r="Q1164" s="19"/>
      <c r="R1164" s="19"/>
      <c r="S1164" s="19"/>
      <c r="T1164" s="19"/>
      <c r="U1164" s="19"/>
      <c r="V1164" s="19"/>
      <c r="W1164" s="19"/>
      <c r="X1164" s="19"/>
      <c r="Y1164" s="19"/>
    </row>
    <row r="1165" spans="1:25" ht="13.5" customHeight="1">
      <c r="A1165" s="219" t="str" cm="1">
        <f t="array" ref="A1165">IFERROR(INDEX('03.Muestra'!$B$8:$B$42,SMALL(IF("Documento no web"='03.Muestra'!$D$8:$D$42,ROW('03.Muestra'!$B$8:$B$42)-MIN(ROW('03.Muestra'!$D$8:$D$42))+1,""),ROW()-1158)),"")</f>
        <v/>
      </c>
      <c r="B1165" s="114" t="str" cm="1">
        <f t="array" ref="B1165">IFERROR(INDEX('03.Muestra'!$C$8:$C$42,SMALL(IF("Documento no web"='03.Muestra'!$D$8:$D$42,ROW('03.Muestra'!$C$8:$C$42)-MIN(ROW('03.Muestra'!$D$8:$D$42))+1,""),ROW()-1158)),"")</f>
        <v/>
      </c>
      <c r="C1165" s="114" t="str" cm="1">
        <f t="array" ref="C1165">IFERROR(INDEX('03.Muestra'!$F$8:$F$42,SMALL(IF("Documento no web"='03.Muestra'!$D$8:$D$42,ROW('03.Muestra'!$F$8:$F$42)-MIN(ROW('03.Muestra'!$D$8:$D$42))+1,""),ROW()-1158)),"")</f>
        <v/>
      </c>
      <c r="D1165" s="130" t="str">
        <f t="shared" si="61"/>
        <v/>
      </c>
      <c r="E1165" s="107" t="str">
        <f t="shared" si="60"/>
        <v/>
      </c>
      <c r="F1165" s="19"/>
      <c r="G1165" s="19"/>
      <c r="H1165" s="19"/>
      <c r="I1165" s="19"/>
      <c r="J1165" s="19"/>
      <c r="K1165" s="233"/>
      <c r="L1165" s="19"/>
      <c r="M1165" s="19"/>
      <c r="N1165" s="19"/>
      <c r="O1165" s="19"/>
      <c r="P1165" s="19"/>
      <c r="Q1165" s="19"/>
      <c r="R1165" s="19"/>
      <c r="S1165" s="19"/>
      <c r="T1165" s="19"/>
      <c r="U1165" s="19"/>
      <c r="V1165" s="19"/>
      <c r="W1165" s="19"/>
      <c r="X1165" s="19"/>
      <c r="Y1165" s="19"/>
    </row>
    <row r="1166" spans="1:25" ht="13.5" customHeight="1">
      <c r="A1166" s="219" t="str" cm="1">
        <f t="array" ref="A1166">IFERROR(INDEX('03.Muestra'!$B$8:$B$42,SMALL(IF("Documento no web"='03.Muestra'!$D$8:$D$42,ROW('03.Muestra'!$B$8:$B$42)-MIN(ROW('03.Muestra'!$D$8:$D$42))+1,""),ROW()-1158)),"")</f>
        <v/>
      </c>
      <c r="B1166" s="114" t="str" cm="1">
        <f t="array" ref="B1166">IFERROR(INDEX('03.Muestra'!$C$8:$C$42,SMALL(IF("Documento no web"='03.Muestra'!$D$8:$D$42,ROW('03.Muestra'!$C$8:$C$42)-MIN(ROW('03.Muestra'!$D$8:$D$42))+1,""),ROW()-1158)),"")</f>
        <v/>
      </c>
      <c r="C1166" s="114" t="str" cm="1">
        <f t="array" ref="C1166">IFERROR(INDEX('03.Muestra'!$F$8:$F$42,SMALL(IF("Documento no web"='03.Muestra'!$D$8:$D$42,ROW('03.Muestra'!$F$8:$F$42)-MIN(ROW('03.Muestra'!$D$8:$D$42))+1,""),ROW()-1158)),"")</f>
        <v/>
      </c>
      <c r="D1166" s="130" t="str">
        <f t="shared" si="61"/>
        <v/>
      </c>
      <c r="E1166" s="107" t="str">
        <f t="shared" si="60"/>
        <v/>
      </c>
      <c r="F1166" s="19"/>
      <c r="G1166" s="19"/>
      <c r="H1166" s="19"/>
      <c r="I1166" s="19"/>
      <c r="J1166" s="19"/>
      <c r="K1166" s="233"/>
      <c r="L1166" s="19"/>
      <c r="M1166" s="19"/>
      <c r="N1166" s="19"/>
      <c r="O1166" s="19"/>
      <c r="P1166" s="19"/>
      <c r="Q1166" s="19"/>
      <c r="R1166" s="19"/>
      <c r="S1166" s="19"/>
      <c r="T1166" s="19"/>
      <c r="U1166" s="19"/>
      <c r="V1166" s="19"/>
      <c r="W1166" s="19"/>
      <c r="X1166" s="19"/>
      <c r="Y1166" s="19"/>
    </row>
    <row r="1167" spans="1:25" ht="13.5" customHeight="1">
      <c r="A1167" s="219" t="str" cm="1">
        <f t="array" ref="A1167">IFERROR(INDEX('03.Muestra'!$B$8:$B$42,SMALL(IF("Documento no web"='03.Muestra'!$D$8:$D$42,ROW('03.Muestra'!$B$8:$B$42)-MIN(ROW('03.Muestra'!$D$8:$D$42))+1,""),ROW()-1158)),"")</f>
        <v/>
      </c>
      <c r="B1167" s="114" t="str" cm="1">
        <f t="array" ref="B1167">IFERROR(INDEX('03.Muestra'!$C$8:$C$42,SMALL(IF("Documento no web"='03.Muestra'!$D$8:$D$42,ROW('03.Muestra'!$C$8:$C$42)-MIN(ROW('03.Muestra'!$D$8:$D$42))+1,""),ROW()-1158)),"")</f>
        <v/>
      </c>
      <c r="C1167" s="114" t="str" cm="1">
        <f t="array" ref="C1167">IFERROR(INDEX('03.Muestra'!$F$8:$F$42,SMALL(IF("Documento no web"='03.Muestra'!$D$8:$D$42,ROW('03.Muestra'!$F$8:$F$42)-MIN(ROW('03.Muestra'!$D$8:$D$42))+1,""),ROW()-1158)),"")</f>
        <v/>
      </c>
      <c r="D1167" s="130" t="str">
        <f t="shared" si="61"/>
        <v/>
      </c>
      <c r="E1167" s="107" t="str">
        <f t="shared" si="60"/>
        <v/>
      </c>
      <c r="F1167" s="19"/>
      <c r="G1167" s="19"/>
      <c r="H1167" s="19"/>
      <c r="I1167" s="19"/>
      <c r="J1167" s="19"/>
      <c r="K1167" s="233"/>
      <c r="L1167" s="19"/>
      <c r="M1167" s="19"/>
      <c r="N1167" s="19"/>
      <c r="O1167" s="19"/>
      <c r="P1167" s="19"/>
      <c r="Q1167" s="19"/>
      <c r="R1167" s="19"/>
      <c r="S1167" s="19"/>
      <c r="T1167" s="19"/>
      <c r="U1167" s="19"/>
      <c r="V1167" s="19"/>
      <c r="W1167" s="19"/>
      <c r="X1167" s="19"/>
      <c r="Y1167" s="19"/>
    </row>
    <row r="1168" spans="1:25" ht="13.5" customHeight="1">
      <c r="A1168" s="219" t="str" cm="1">
        <f t="array" ref="A1168">IFERROR(INDEX('03.Muestra'!$B$8:$B$42,SMALL(IF("Documento no web"='03.Muestra'!$D$8:$D$42,ROW('03.Muestra'!$B$8:$B$42)-MIN(ROW('03.Muestra'!$D$8:$D$42))+1,""),ROW()-1158)),"")</f>
        <v/>
      </c>
      <c r="B1168" s="114" t="str" cm="1">
        <f t="array" ref="B1168">IFERROR(INDEX('03.Muestra'!$C$8:$C$42,SMALL(IF("Documento no web"='03.Muestra'!$D$8:$D$42,ROW('03.Muestra'!$C$8:$C$42)-MIN(ROW('03.Muestra'!$D$8:$D$42))+1,""),ROW()-1158)),"")</f>
        <v/>
      </c>
      <c r="C1168" s="114" t="str" cm="1">
        <f t="array" ref="C1168">IFERROR(INDEX('03.Muestra'!$F$8:$F$42,SMALL(IF("Documento no web"='03.Muestra'!$D$8:$D$42,ROW('03.Muestra'!$F$8:$F$42)-MIN(ROW('03.Muestra'!$D$8:$D$42))+1,""),ROW()-1158)),"")</f>
        <v/>
      </c>
      <c r="D1168" s="130" t="str">
        <f t="shared" si="61"/>
        <v/>
      </c>
      <c r="E1168" s="107" t="str">
        <f t="shared" si="60"/>
        <v/>
      </c>
      <c r="F1168" s="19"/>
      <c r="G1168" s="19"/>
      <c r="H1168" s="19"/>
      <c r="I1168" s="19"/>
      <c r="J1168" s="19"/>
      <c r="K1168" s="233"/>
      <c r="L1168" s="19"/>
      <c r="M1168" s="19"/>
      <c r="N1168" s="19"/>
      <c r="O1168" s="19"/>
      <c r="P1168" s="19"/>
      <c r="Q1168" s="19"/>
      <c r="R1168" s="19"/>
      <c r="S1168" s="19"/>
      <c r="T1168" s="19"/>
      <c r="U1168" s="19"/>
      <c r="V1168" s="19"/>
      <c r="W1168" s="19"/>
      <c r="X1168" s="19"/>
      <c r="Y1168" s="19"/>
    </row>
    <row r="1169" spans="1:25" ht="13.5" customHeight="1">
      <c r="A1169" s="219" t="str" cm="1">
        <f t="array" ref="A1169">IFERROR(INDEX('03.Muestra'!$B$8:$B$42,SMALL(IF("Documento no web"='03.Muestra'!$D$8:$D$42,ROW('03.Muestra'!$B$8:$B$42)-MIN(ROW('03.Muestra'!$D$8:$D$42))+1,""),ROW()-1158)),"")</f>
        <v/>
      </c>
      <c r="B1169" s="114" t="str" cm="1">
        <f t="array" ref="B1169">IFERROR(INDEX('03.Muestra'!$C$8:$C$42,SMALL(IF("Documento no web"='03.Muestra'!$D$8:$D$42,ROW('03.Muestra'!$C$8:$C$42)-MIN(ROW('03.Muestra'!$D$8:$D$42))+1,""),ROW()-1158)),"")</f>
        <v/>
      </c>
      <c r="C1169" s="114" t="str" cm="1">
        <f t="array" ref="C1169">IFERROR(INDEX('03.Muestra'!$F$8:$F$42,SMALL(IF("Documento no web"='03.Muestra'!$D$8:$D$42,ROW('03.Muestra'!$F$8:$F$42)-MIN(ROW('03.Muestra'!$D$8:$D$42))+1,""),ROW()-1158)),"")</f>
        <v/>
      </c>
      <c r="D1169" s="130" t="str">
        <f t="shared" si="61"/>
        <v/>
      </c>
      <c r="E1169" s="107" t="str">
        <f t="shared" si="60"/>
        <v/>
      </c>
      <c r="F1169" s="19"/>
      <c r="G1169" s="19"/>
      <c r="H1169" s="19"/>
      <c r="I1169" s="19"/>
      <c r="J1169" s="19"/>
      <c r="K1169" s="233"/>
      <c r="L1169" s="19"/>
      <c r="M1169" s="19"/>
      <c r="N1169" s="19"/>
      <c r="O1169" s="19"/>
      <c r="P1169" s="19"/>
      <c r="Q1169" s="19"/>
      <c r="R1169" s="19"/>
      <c r="S1169" s="19"/>
      <c r="T1169" s="19"/>
      <c r="U1169" s="19"/>
      <c r="V1169" s="19"/>
      <c r="W1169" s="19"/>
      <c r="X1169" s="19"/>
      <c r="Y1169" s="19"/>
    </row>
    <row r="1170" spans="1:25" ht="13.5" customHeight="1">
      <c r="A1170" s="219" t="str" cm="1">
        <f t="array" ref="A1170">IFERROR(INDEX('03.Muestra'!$B$8:$B$42,SMALL(IF("Documento no web"='03.Muestra'!$D$8:$D$42,ROW('03.Muestra'!$B$8:$B$42)-MIN(ROW('03.Muestra'!$D$8:$D$42))+1,""),ROW()-1158)),"")</f>
        <v/>
      </c>
      <c r="B1170" s="114" t="str" cm="1">
        <f t="array" ref="B1170">IFERROR(INDEX('03.Muestra'!$C$8:$C$42,SMALL(IF("Documento no web"='03.Muestra'!$D$8:$D$42,ROW('03.Muestra'!$C$8:$C$42)-MIN(ROW('03.Muestra'!$D$8:$D$42))+1,""),ROW()-1158)),"")</f>
        <v/>
      </c>
      <c r="C1170" s="114" t="str" cm="1">
        <f t="array" ref="C1170">IFERROR(INDEX('03.Muestra'!$F$8:$F$42,SMALL(IF("Documento no web"='03.Muestra'!$D$8:$D$42,ROW('03.Muestra'!$F$8:$F$42)-MIN(ROW('03.Muestra'!$D$8:$D$42))+1,""),ROW()-1158)),"")</f>
        <v/>
      </c>
      <c r="D1170" s="130" t="str">
        <f t="shared" si="61"/>
        <v/>
      </c>
      <c r="E1170" s="107" t="str">
        <f t="shared" si="60"/>
        <v/>
      </c>
      <c r="F1170" s="19"/>
      <c r="G1170" s="19"/>
      <c r="H1170" s="19"/>
      <c r="I1170" s="19"/>
      <c r="J1170" s="19"/>
      <c r="K1170" s="233"/>
      <c r="L1170" s="19"/>
      <c r="M1170" s="19"/>
      <c r="N1170" s="19"/>
      <c r="O1170" s="19"/>
      <c r="P1170" s="19"/>
      <c r="Q1170" s="19"/>
      <c r="R1170" s="19"/>
      <c r="S1170" s="19"/>
      <c r="T1170" s="19"/>
      <c r="U1170" s="19"/>
      <c r="V1170" s="19"/>
      <c r="W1170" s="19"/>
      <c r="X1170" s="19"/>
      <c r="Y1170" s="19"/>
    </row>
    <row r="1171" spans="1:25" ht="13.5" customHeight="1">
      <c r="A1171" s="219" t="str" cm="1">
        <f t="array" ref="A1171">IFERROR(INDEX('03.Muestra'!$B$8:$B$42,SMALL(IF("Documento no web"='03.Muestra'!$D$8:$D$42,ROW('03.Muestra'!$B$8:$B$42)-MIN(ROW('03.Muestra'!$D$8:$D$42))+1,""),ROW()-1158)),"")</f>
        <v/>
      </c>
      <c r="B1171" s="114" t="str" cm="1">
        <f t="array" ref="B1171">IFERROR(INDEX('03.Muestra'!$C$8:$C$42,SMALL(IF("Documento no web"='03.Muestra'!$D$8:$D$42,ROW('03.Muestra'!$C$8:$C$42)-MIN(ROW('03.Muestra'!$D$8:$D$42))+1,""),ROW()-1158)),"")</f>
        <v/>
      </c>
      <c r="C1171" s="114" t="str" cm="1">
        <f t="array" ref="C1171">IFERROR(INDEX('03.Muestra'!$F$8:$F$42,SMALL(IF("Documento no web"='03.Muestra'!$D$8:$D$42,ROW('03.Muestra'!$F$8:$F$42)-MIN(ROW('03.Muestra'!$D$8:$D$42))+1,""),ROW()-1158)),"")</f>
        <v/>
      </c>
      <c r="D1171" s="130" t="str">
        <f t="shared" si="61"/>
        <v/>
      </c>
      <c r="E1171" s="107" t="str">
        <f t="shared" si="60"/>
        <v/>
      </c>
      <c r="F1171" s="19"/>
      <c r="G1171" s="19"/>
      <c r="H1171" s="19"/>
      <c r="I1171" s="19"/>
      <c r="J1171" s="19"/>
      <c r="K1171" s="233"/>
      <c r="L1171" s="19"/>
      <c r="M1171" s="19"/>
      <c r="N1171" s="19"/>
      <c r="O1171" s="19"/>
      <c r="P1171" s="19"/>
      <c r="Q1171" s="19"/>
      <c r="R1171" s="19"/>
      <c r="S1171" s="19"/>
      <c r="T1171" s="19"/>
      <c r="U1171" s="19"/>
      <c r="V1171" s="19"/>
      <c r="W1171" s="19"/>
      <c r="X1171" s="19"/>
      <c r="Y1171" s="19"/>
    </row>
    <row r="1172" spans="1:25" ht="13.5" customHeight="1">
      <c r="A1172" s="219" t="str" cm="1">
        <f t="array" ref="A1172">IFERROR(INDEX('03.Muestra'!$B$8:$B$42,SMALL(IF("Documento no web"='03.Muestra'!$D$8:$D$42,ROW('03.Muestra'!$B$8:$B$42)-MIN(ROW('03.Muestra'!$D$8:$D$42))+1,""),ROW()-1158)),"")</f>
        <v/>
      </c>
      <c r="B1172" s="114" t="str" cm="1">
        <f t="array" ref="B1172">IFERROR(INDEX('03.Muestra'!$C$8:$C$42,SMALL(IF("Documento no web"='03.Muestra'!$D$8:$D$42,ROW('03.Muestra'!$C$8:$C$42)-MIN(ROW('03.Muestra'!$D$8:$D$42))+1,""),ROW()-1158)),"")</f>
        <v/>
      </c>
      <c r="C1172" s="114" t="str" cm="1">
        <f t="array" ref="C1172">IFERROR(INDEX('03.Muestra'!$F$8:$F$42,SMALL(IF("Documento no web"='03.Muestra'!$D$8:$D$42,ROW('03.Muestra'!$F$8:$F$42)-MIN(ROW('03.Muestra'!$D$8:$D$42))+1,""),ROW()-1158)),"")</f>
        <v/>
      </c>
      <c r="D1172" s="130" t="str">
        <f t="shared" si="61"/>
        <v/>
      </c>
      <c r="E1172" s="107" t="str">
        <f t="shared" si="60"/>
        <v/>
      </c>
      <c r="F1172" s="19"/>
      <c r="G1172" s="19"/>
      <c r="H1172" s="19"/>
      <c r="I1172" s="19"/>
      <c r="J1172" s="19"/>
      <c r="K1172" s="233"/>
      <c r="L1172" s="19"/>
      <c r="M1172" s="19"/>
      <c r="N1172" s="19"/>
      <c r="O1172" s="19"/>
      <c r="P1172" s="19"/>
      <c r="Q1172" s="19"/>
      <c r="R1172" s="19"/>
      <c r="S1172" s="19"/>
      <c r="T1172" s="19"/>
      <c r="U1172" s="19"/>
      <c r="V1172" s="19"/>
      <c r="W1172" s="19"/>
      <c r="X1172" s="19"/>
      <c r="Y1172" s="19"/>
    </row>
    <row r="1173" spans="1:25" ht="13.5" customHeight="1">
      <c r="A1173" s="219" t="str" cm="1">
        <f t="array" ref="A1173">IFERROR(INDEX('03.Muestra'!$B$8:$B$42,SMALL(IF("Documento no web"='03.Muestra'!$D$8:$D$42,ROW('03.Muestra'!$B$8:$B$42)-MIN(ROW('03.Muestra'!$D$8:$D$42))+1,""),ROW()-1158)),"")</f>
        <v/>
      </c>
      <c r="B1173" s="114" t="str" cm="1">
        <f t="array" ref="B1173">IFERROR(INDEX('03.Muestra'!$C$8:$C$42,SMALL(IF("Documento no web"='03.Muestra'!$D$8:$D$42,ROW('03.Muestra'!$C$8:$C$42)-MIN(ROW('03.Muestra'!$D$8:$D$42))+1,""),ROW()-1158)),"")</f>
        <v/>
      </c>
      <c r="C1173" s="114" t="str" cm="1">
        <f t="array" ref="C1173">IFERROR(INDEX('03.Muestra'!$F$8:$F$42,SMALL(IF("Documento no web"='03.Muestra'!$D$8:$D$42,ROW('03.Muestra'!$F$8:$F$42)-MIN(ROW('03.Muestra'!$D$8:$D$42))+1,""),ROW()-1158)),"")</f>
        <v/>
      </c>
      <c r="D1173" s="130" t="str">
        <f t="shared" si="61"/>
        <v/>
      </c>
      <c r="E1173" s="107" t="str">
        <f t="shared" si="60"/>
        <v/>
      </c>
      <c r="F1173" s="19"/>
      <c r="G1173" s="19"/>
      <c r="H1173" s="19"/>
      <c r="I1173" s="19"/>
      <c r="J1173" s="19"/>
      <c r="K1173" s="233"/>
      <c r="L1173" s="19"/>
      <c r="M1173" s="19"/>
      <c r="N1173" s="19"/>
      <c r="O1173" s="19"/>
      <c r="P1173" s="19"/>
      <c r="Q1173" s="19"/>
      <c r="R1173" s="19"/>
      <c r="S1173" s="19"/>
      <c r="T1173" s="19"/>
      <c r="U1173" s="19"/>
      <c r="V1173" s="19"/>
      <c r="W1173" s="19"/>
      <c r="X1173" s="19"/>
      <c r="Y1173" s="19"/>
    </row>
    <row r="1174" spans="1:25" ht="13.5" customHeight="1">
      <c r="A1174" s="219" t="str" cm="1">
        <f t="array" ref="A1174">IFERROR(INDEX('03.Muestra'!$B$8:$B$42,SMALL(IF("Documento no web"='03.Muestra'!$D$8:$D$42,ROW('03.Muestra'!$B$8:$B$42)-MIN(ROW('03.Muestra'!$D$8:$D$42))+1,""),ROW()-1158)),"")</f>
        <v/>
      </c>
      <c r="B1174" s="114" t="str" cm="1">
        <f t="array" ref="B1174">IFERROR(INDEX('03.Muestra'!$C$8:$C$42,SMALL(IF("Documento no web"='03.Muestra'!$D$8:$D$42,ROW('03.Muestra'!$C$8:$C$42)-MIN(ROW('03.Muestra'!$D$8:$D$42))+1,""),ROW()-1158)),"")</f>
        <v/>
      </c>
      <c r="C1174" s="114" t="str" cm="1">
        <f t="array" ref="C1174">IFERROR(INDEX('03.Muestra'!$F$8:$F$42,SMALL(IF("Documento no web"='03.Muestra'!$D$8:$D$42,ROW('03.Muestra'!$F$8:$F$42)-MIN(ROW('03.Muestra'!$D$8:$D$42))+1,""),ROW()-1158)),"")</f>
        <v/>
      </c>
      <c r="D1174" s="130" t="str">
        <f t="shared" si="61"/>
        <v/>
      </c>
      <c r="E1174" s="107" t="str">
        <f t="shared" si="60"/>
        <v/>
      </c>
      <c r="F1174" s="19"/>
      <c r="G1174" s="19"/>
      <c r="H1174" s="19"/>
      <c r="I1174" s="19"/>
      <c r="J1174" s="19"/>
      <c r="K1174" s="233"/>
      <c r="L1174" s="19"/>
      <c r="M1174" s="19"/>
      <c r="N1174" s="19"/>
      <c r="O1174" s="19"/>
      <c r="P1174" s="19"/>
      <c r="Q1174" s="19"/>
      <c r="R1174" s="19"/>
      <c r="S1174" s="19"/>
      <c r="T1174" s="19"/>
      <c r="U1174" s="19"/>
      <c r="V1174" s="19"/>
      <c r="W1174" s="19"/>
      <c r="X1174" s="19"/>
      <c r="Y1174" s="19"/>
    </row>
    <row r="1175" spans="1:25" ht="13.5" customHeight="1">
      <c r="A1175" s="219" t="str" cm="1">
        <f t="array" ref="A1175">IFERROR(INDEX('03.Muestra'!$B$8:$B$42,SMALL(IF("Documento no web"='03.Muestra'!$D$8:$D$42,ROW('03.Muestra'!$B$8:$B$42)-MIN(ROW('03.Muestra'!$D$8:$D$42))+1,""),ROW()-1158)),"")</f>
        <v/>
      </c>
      <c r="B1175" s="114" t="str" cm="1">
        <f t="array" ref="B1175">IFERROR(INDEX('03.Muestra'!$C$8:$C$42,SMALL(IF("Documento no web"='03.Muestra'!$D$8:$D$42,ROW('03.Muestra'!$C$8:$C$42)-MIN(ROW('03.Muestra'!$D$8:$D$42))+1,""),ROW()-1158)),"")</f>
        <v/>
      </c>
      <c r="C1175" s="114" t="str" cm="1">
        <f t="array" ref="C1175">IFERROR(INDEX('03.Muestra'!$F$8:$F$42,SMALL(IF("Documento no web"='03.Muestra'!$D$8:$D$42,ROW('03.Muestra'!$F$8:$F$42)-MIN(ROW('03.Muestra'!$D$8:$D$42))+1,""),ROW()-1158)),"")</f>
        <v/>
      </c>
      <c r="D1175" s="130" t="str">
        <f t="shared" si="61"/>
        <v/>
      </c>
      <c r="E1175" s="107" t="str">
        <f t="shared" si="60"/>
        <v/>
      </c>
      <c r="F1175" s="19"/>
      <c r="G1175" s="19"/>
      <c r="H1175" s="19"/>
      <c r="I1175" s="19"/>
      <c r="J1175" s="19"/>
      <c r="K1175" s="233"/>
      <c r="L1175" s="19"/>
      <c r="M1175" s="19"/>
      <c r="N1175" s="19"/>
      <c r="O1175" s="19"/>
      <c r="P1175" s="19"/>
      <c r="Q1175" s="19"/>
      <c r="R1175" s="19"/>
      <c r="S1175" s="19"/>
      <c r="T1175" s="19"/>
      <c r="U1175" s="19"/>
      <c r="V1175" s="19"/>
      <c r="W1175" s="19"/>
      <c r="X1175" s="19"/>
      <c r="Y1175" s="19"/>
    </row>
    <row r="1176" spans="1:25" ht="13.5" customHeight="1">
      <c r="A1176" s="219" t="str" cm="1">
        <f t="array" ref="A1176">IFERROR(INDEX('03.Muestra'!$B$8:$B$42,SMALL(IF("Documento no web"='03.Muestra'!$D$8:$D$42,ROW('03.Muestra'!$B$8:$B$42)-MIN(ROW('03.Muestra'!$D$8:$D$42))+1,""),ROW()-1158)),"")</f>
        <v/>
      </c>
      <c r="B1176" s="114" t="str" cm="1">
        <f t="array" ref="B1176">IFERROR(INDEX('03.Muestra'!$C$8:$C$42,SMALL(IF("Documento no web"='03.Muestra'!$D$8:$D$42,ROW('03.Muestra'!$C$8:$C$42)-MIN(ROW('03.Muestra'!$D$8:$D$42))+1,""),ROW()-1158)),"")</f>
        <v/>
      </c>
      <c r="C1176" s="114" t="str" cm="1">
        <f t="array" ref="C1176">IFERROR(INDEX('03.Muestra'!$F$8:$F$42,SMALL(IF("Documento no web"='03.Muestra'!$D$8:$D$42,ROW('03.Muestra'!$F$8:$F$42)-MIN(ROW('03.Muestra'!$D$8:$D$42))+1,""),ROW()-1158)),"")</f>
        <v/>
      </c>
      <c r="D1176" s="130" t="str">
        <f t="shared" si="61"/>
        <v/>
      </c>
      <c r="E1176" s="107" t="str">
        <f t="shared" si="60"/>
        <v/>
      </c>
      <c r="F1176" s="19"/>
      <c r="G1176" s="19"/>
      <c r="H1176" s="19"/>
      <c r="I1176" s="19"/>
      <c r="J1176" s="19"/>
      <c r="K1176" s="233"/>
      <c r="L1176" s="19"/>
      <c r="M1176" s="19"/>
      <c r="N1176" s="19"/>
      <c r="O1176" s="19"/>
      <c r="P1176" s="19"/>
      <c r="Q1176" s="19"/>
      <c r="R1176" s="19"/>
      <c r="S1176" s="19"/>
      <c r="T1176" s="19"/>
      <c r="U1176" s="19"/>
      <c r="V1176" s="19"/>
      <c r="W1176" s="19"/>
      <c r="X1176" s="19"/>
      <c r="Y1176" s="19"/>
    </row>
    <row r="1177" spans="1:25" ht="13.5" customHeight="1">
      <c r="A1177" s="219" t="str" cm="1">
        <f t="array" ref="A1177">IFERROR(INDEX('03.Muestra'!$B$8:$B$42,SMALL(IF("Documento no web"='03.Muestra'!$D$8:$D$42,ROW('03.Muestra'!$B$8:$B$42)-MIN(ROW('03.Muestra'!$D$8:$D$42))+1,""),ROW()-1158)),"")</f>
        <v/>
      </c>
      <c r="B1177" s="114" t="str" cm="1">
        <f t="array" ref="B1177">IFERROR(INDEX('03.Muestra'!$C$8:$C$42,SMALL(IF("Documento no web"='03.Muestra'!$D$8:$D$42,ROW('03.Muestra'!$C$8:$C$42)-MIN(ROW('03.Muestra'!$D$8:$D$42))+1,""),ROW()-1158)),"")</f>
        <v/>
      </c>
      <c r="C1177" s="114" t="str" cm="1">
        <f t="array" ref="C1177">IFERROR(INDEX('03.Muestra'!$F$8:$F$42,SMALL(IF("Documento no web"='03.Muestra'!$D$8:$D$42,ROW('03.Muestra'!$F$8:$F$42)-MIN(ROW('03.Muestra'!$D$8:$D$42))+1,""),ROW()-1158)),"")</f>
        <v/>
      </c>
      <c r="D1177" s="130" t="str">
        <f t="shared" si="61"/>
        <v/>
      </c>
      <c r="E1177" s="107" t="str">
        <f t="shared" si="60"/>
        <v/>
      </c>
      <c r="F1177" s="19"/>
      <c r="G1177" s="19"/>
      <c r="H1177" s="19"/>
      <c r="I1177" s="19"/>
      <c r="J1177" s="19"/>
      <c r="K1177" s="233"/>
      <c r="L1177" s="19"/>
      <c r="M1177" s="19"/>
      <c r="N1177" s="19"/>
      <c r="O1177" s="19"/>
      <c r="P1177" s="19"/>
      <c r="Q1177" s="19"/>
      <c r="R1177" s="19"/>
      <c r="S1177" s="19"/>
      <c r="T1177" s="19"/>
      <c r="U1177" s="19"/>
      <c r="V1177" s="19"/>
      <c r="W1177" s="19"/>
      <c r="X1177" s="19"/>
      <c r="Y1177" s="19"/>
    </row>
    <row r="1178" spans="1:25" ht="13.5" customHeight="1">
      <c r="A1178" s="219" t="str" cm="1">
        <f t="array" ref="A1178">IFERROR(INDEX('03.Muestra'!$B$8:$B$42,SMALL(IF("Documento no web"='03.Muestra'!$D$8:$D$42,ROW('03.Muestra'!$B$8:$B$42)-MIN(ROW('03.Muestra'!$D$8:$D$42))+1,""),ROW()-1158)),"")</f>
        <v/>
      </c>
      <c r="B1178" s="114" t="str" cm="1">
        <f t="array" ref="B1178">IFERROR(INDEX('03.Muestra'!$C$8:$C$42,SMALL(IF("Documento no web"='03.Muestra'!$D$8:$D$42,ROW('03.Muestra'!$C$8:$C$42)-MIN(ROW('03.Muestra'!$D$8:$D$42))+1,""),ROW()-1158)),"")</f>
        <v/>
      </c>
      <c r="C1178" s="114" t="str" cm="1">
        <f t="array" ref="C1178">IFERROR(INDEX('03.Muestra'!$F$8:$F$42,SMALL(IF("Documento no web"='03.Muestra'!$D$8:$D$42,ROW('03.Muestra'!$F$8:$F$42)-MIN(ROW('03.Muestra'!$D$8:$D$42))+1,""),ROW()-1158)),"")</f>
        <v/>
      </c>
      <c r="D1178" s="130" t="str">
        <f t="shared" si="61"/>
        <v/>
      </c>
      <c r="E1178" s="107" t="str">
        <f t="shared" si="60"/>
        <v/>
      </c>
      <c r="F1178" s="19"/>
      <c r="G1178" s="19"/>
      <c r="H1178" s="19"/>
      <c r="I1178" s="19"/>
      <c r="J1178" s="19"/>
      <c r="K1178" s="233"/>
      <c r="L1178" s="19"/>
      <c r="M1178" s="19"/>
      <c r="N1178" s="19"/>
      <c r="O1178" s="19"/>
      <c r="P1178" s="19"/>
      <c r="Q1178" s="19"/>
      <c r="R1178" s="19"/>
      <c r="S1178" s="19"/>
      <c r="T1178" s="19"/>
      <c r="U1178" s="19"/>
      <c r="V1178" s="19"/>
      <c r="W1178" s="19"/>
      <c r="X1178" s="19"/>
      <c r="Y1178" s="19"/>
    </row>
    <row r="1179" spans="1:25" ht="13.5" customHeight="1">
      <c r="A1179" s="219" t="str" cm="1">
        <f t="array" ref="A1179">IFERROR(INDEX('03.Muestra'!$B$8:$B$42,SMALL(IF("Documento no web"='03.Muestra'!$D$8:$D$42,ROW('03.Muestra'!$B$8:$B$42)-MIN(ROW('03.Muestra'!$D$8:$D$42))+1,""),ROW()-1158)),"")</f>
        <v/>
      </c>
      <c r="B1179" s="114" t="str" cm="1">
        <f t="array" ref="B1179">IFERROR(INDEX('03.Muestra'!$C$8:$C$42,SMALL(IF("Documento no web"='03.Muestra'!$D$8:$D$42,ROW('03.Muestra'!$C$8:$C$42)-MIN(ROW('03.Muestra'!$D$8:$D$42))+1,""),ROW()-1158)),"")</f>
        <v/>
      </c>
      <c r="C1179" s="114" t="str" cm="1">
        <f t="array" ref="C1179">IFERROR(INDEX('03.Muestra'!$F$8:$F$42,SMALL(IF("Documento no web"='03.Muestra'!$D$8:$D$42,ROW('03.Muestra'!$F$8:$F$42)-MIN(ROW('03.Muestra'!$D$8:$D$42))+1,""),ROW()-1158)),"")</f>
        <v/>
      </c>
      <c r="D1179" s="130" t="str">
        <f t="shared" si="61"/>
        <v/>
      </c>
      <c r="E1179" s="107" t="str">
        <f t="shared" si="60"/>
        <v/>
      </c>
      <c r="F1179" s="19"/>
      <c r="G1179" s="19"/>
      <c r="H1179" s="19"/>
      <c r="I1179" s="19"/>
      <c r="J1179" s="19"/>
      <c r="K1179" s="233"/>
      <c r="L1179" s="19"/>
      <c r="M1179" s="19"/>
      <c r="N1179" s="19"/>
      <c r="O1179" s="19"/>
      <c r="P1179" s="19"/>
      <c r="Q1179" s="19"/>
      <c r="R1179" s="19"/>
      <c r="S1179" s="19"/>
      <c r="T1179" s="19"/>
      <c r="U1179" s="19"/>
      <c r="V1179" s="19"/>
      <c r="W1179" s="19"/>
      <c r="X1179" s="19"/>
      <c r="Y1179" s="19"/>
    </row>
    <row r="1180" spans="1:25" ht="13.5" customHeight="1">
      <c r="A1180" s="219" t="str" cm="1">
        <f t="array" ref="A1180">IFERROR(INDEX('03.Muestra'!$B$8:$B$42,SMALL(IF("Documento no web"='03.Muestra'!$D$8:$D$42,ROW('03.Muestra'!$B$8:$B$42)-MIN(ROW('03.Muestra'!$D$8:$D$42))+1,""),ROW()-1158)),"")</f>
        <v/>
      </c>
      <c r="B1180" s="114" t="str" cm="1">
        <f t="array" ref="B1180">IFERROR(INDEX('03.Muestra'!$C$8:$C$42,SMALL(IF("Documento no web"='03.Muestra'!$D$8:$D$42,ROW('03.Muestra'!$C$8:$C$42)-MIN(ROW('03.Muestra'!$D$8:$D$42))+1,""),ROW()-1158)),"")</f>
        <v/>
      </c>
      <c r="C1180" s="114" t="str" cm="1">
        <f t="array" ref="C1180">IFERROR(INDEX('03.Muestra'!$F$8:$F$42,SMALL(IF("Documento no web"='03.Muestra'!$D$8:$D$42,ROW('03.Muestra'!$F$8:$F$42)-MIN(ROW('03.Muestra'!$D$8:$D$42))+1,""),ROW()-1158)),"")</f>
        <v/>
      </c>
      <c r="D1180" s="130" t="str">
        <f t="shared" si="61"/>
        <v/>
      </c>
      <c r="E1180" s="107" t="str">
        <f t="shared" si="60"/>
        <v/>
      </c>
      <c r="F1180" s="19"/>
      <c r="G1180" s="19"/>
      <c r="H1180" s="19"/>
      <c r="I1180" s="19"/>
      <c r="J1180" s="19"/>
      <c r="K1180" s="233"/>
      <c r="L1180" s="19"/>
      <c r="M1180" s="19"/>
      <c r="N1180" s="19"/>
      <c r="O1180" s="19"/>
      <c r="P1180" s="19"/>
      <c r="Q1180" s="19"/>
      <c r="R1180" s="19"/>
      <c r="S1180" s="19"/>
      <c r="T1180" s="19"/>
      <c r="U1180" s="19"/>
      <c r="V1180" s="19"/>
      <c r="W1180" s="19"/>
      <c r="X1180" s="19"/>
      <c r="Y1180" s="19"/>
    </row>
    <row r="1181" spans="1:25" ht="13.5" customHeight="1">
      <c r="A1181" s="219" t="str" cm="1">
        <f t="array" ref="A1181">IFERROR(INDEX('03.Muestra'!$B$8:$B$42,SMALL(IF("Documento no web"='03.Muestra'!$D$8:$D$42,ROW('03.Muestra'!$B$8:$B$42)-MIN(ROW('03.Muestra'!$D$8:$D$42))+1,""),ROW()-1158)),"")</f>
        <v/>
      </c>
      <c r="B1181" s="114" t="str" cm="1">
        <f t="array" ref="B1181">IFERROR(INDEX('03.Muestra'!$C$8:$C$42,SMALL(IF("Documento no web"='03.Muestra'!$D$8:$D$42,ROW('03.Muestra'!$C$8:$C$42)-MIN(ROW('03.Muestra'!$D$8:$D$42))+1,""),ROW()-1158)),"")</f>
        <v/>
      </c>
      <c r="C1181" s="114" t="str" cm="1">
        <f t="array" ref="C1181">IFERROR(INDEX('03.Muestra'!$F$8:$F$42,SMALL(IF("Documento no web"='03.Muestra'!$D$8:$D$42,ROW('03.Muestra'!$F$8:$F$42)-MIN(ROW('03.Muestra'!$D$8:$D$42))+1,""),ROW()-1158)),"")</f>
        <v/>
      </c>
      <c r="D1181" s="130" t="str">
        <f t="shared" si="61"/>
        <v/>
      </c>
      <c r="E1181" s="107" t="str">
        <f t="shared" si="60"/>
        <v/>
      </c>
      <c r="F1181" s="19"/>
      <c r="G1181" s="19"/>
      <c r="H1181" s="19"/>
      <c r="I1181" s="19"/>
      <c r="J1181" s="19"/>
      <c r="K1181" s="233"/>
      <c r="L1181" s="19"/>
      <c r="M1181" s="19"/>
      <c r="N1181" s="19"/>
      <c r="O1181" s="19"/>
      <c r="P1181" s="19"/>
      <c r="Q1181" s="19"/>
      <c r="R1181" s="19"/>
      <c r="S1181" s="19"/>
      <c r="T1181" s="19"/>
      <c r="U1181" s="19"/>
      <c r="V1181" s="19"/>
      <c r="W1181" s="19"/>
      <c r="X1181" s="19"/>
      <c r="Y1181" s="19"/>
    </row>
    <row r="1182" spans="1:25" ht="13.5" customHeight="1">
      <c r="A1182" s="219" t="str" cm="1">
        <f t="array" ref="A1182">IFERROR(INDEX('03.Muestra'!$B$8:$B$42,SMALL(IF("Documento no web"='03.Muestra'!$D$8:$D$42,ROW('03.Muestra'!$B$8:$B$42)-MIN(ROW('03.Muestra'!$D$8:$D$42))+1,""),ROW()-1158)),"")</f>
        <v/>
      </c>
      <c r="B1182" s="114" t="str" cm="1">
        <f t="array" ref="B1182">IFERROR(INDEX('03.Muestra'!$C$8:$C$42,SMALL(IF("Documento no web"='03.Muestra'!$D$8:$D$42,ROW('03.Muestra'!$C$8:$C$42)-MIN(ROW('03.Muestra'!$D$8:$D$42))+1,""),ROW()-1158)),"")</f>
        <v/>
      </c>
      <c r="C1182" s="114" t="str" cm="1">
        <f t="array" ref="C1182">IFERROR(INDEX('03.Muestra'!$F$8:$F$42,SMALL(IF("Documento no web"='03.Muestra'!$D$8:$D$42,ROW('03.Muestra'!$F$8:$F$42)-MIN(ROW('03.Muestra'!$D$8:$D$42))+1,""),ROW()-1158)),"")</f>
        <v/>
      </c>
      <c r="D1182" s="130" t="str">
        <f t="shared" si="61"/>
        <v/>
      </c>
      <c r="E1182" s="107" t="str">
        <f t="shared" si="60"/>
        <v/>
      </c>
      <c r="F1182" s="19"/>
      <c r="G1182" s="19"/>
      <c r="H1182" s="19"/>
      <c r="I1182" s="19"/>
      <c r="J1182" s="19"/>
      <c r="K1182" s="233"/>
      <c r="L1182" s="19"/>
      <c r="M1182" s="19"/>
      <c r="N1182" s="19"/>
      <c r="O1182" s="19"/>
      <c r="P1182" s="19"/>
      <c r="Q1182" s="19"/>
      <c r="R1182" s="19"/>
      <c r="S1182" s="19"/>
      <c r="T1182" s="19"/>
      <c r="U1182" s="19"/>
      <c r="V1182" s="19"/>
      <c r="W1182" s="19"/>
      <c r="X1182" s="19"/>
      <c r="Y1182" s="19"/>
    </row>
    <row r="1183" spans="1:25" ht="13.5" customHeight="1">
      <c r="A1183" s="219" t="str" cm="1">
        <f t="array" ref="A1183">IFERROR(INDEX('03.Muestra'!$B$8:$B$42,SMALL(IF("Documento no web"='03.Muestra'!$D$8:$D$42,ROW('03.Muestra'!$B$8:$B$42)-MIN(ROW('03.Muestra'!$D$8:$D$42))+1,""),ROW()-1158)),"")</f>
        <v/>
      </c>
      <c r="B1183" s="114" t="str" cm="1">
        <f t="array" ref="B1183">IFERROR(INDEX('03.Muestra'!$C$8:$C$42,SMALL(IF("Documento no web"='03.Muestra'!$D$8:$D$42,ROW('03.Muestra'!$C$8:$C$42)-MIN(ROW('03.Muestra'!$D$8:$D$42))+1,""),ROW()-1158)),"")</f>
        <v/>
      </c>
      <c r="C1183" s="114" t="str" cm="1">
        <f t="array" ref="C1183">IFERROR(INDEX('03.Muestra'!$F$8:$F$42,SMALL(IF("Documento no web"='03.Muestra'!$D$8:$D$42,ROW('03.Muestra'!$F$8:$F$42)-MIN(ROW('03.Muestra'!$D$8:$D$42))+1,""),ROW()-1158)),"")</f>
        <v/>
      </c>
      <c r="D1183" s="130" t="str">
        <f t="shared" si="61"/>
        <v/>
      </c>
      <c r="E1183" s="107" t="str">
        <f t="shared" si="60"/>
        <v/>
      </c>
      <c r="F1183" s="19"/>
      <c r="G1183" s="19"/>
      <c r="H1183" s="19"/>
      <c r="I1183" s="19"/>
      <c r="J1183" s="19"/>
      <c r="K1183" s="233"/>
      <c r="L1183" s="19"/>
      <c r="M1183" s="19"/>
      <c r="N1183" s="19"/>
      <c r="O1183" s="19"/>
      <c r="P1183" s="19"/>
      <c r="Q1183" s="19"/>
      <c r="R1183" s="19"/>
      <c r="S1183" s="19"/>
      <c r="T1183" s="19"/>
      <c r="U1183" s="19"/>
      <c r="V1183" s="19"/>
      <c r="W1183" s="19"/>
      <c r="X1183" s="19"/>
      <c r="Y1183" s="19"/>
    </row>
    <row r="1184" spans="1:25" ht="13.5" customHeight="1">
      <c r="A1184" s="219" t="str" cm="1">
        <f t="array" ref="A1184">IFERROR(INDEX('03.Muestra'!$B$8:$B$42,SMALL(IF("Documento no web"='03.Muestra'!$D$8:$D$42,ROW('03.Muestra'!$B$8:$B$42)-MIN(ROW('03.Muestra'!$D$8:$D$42))+1,""),ROW()-1158)),"")</f>
        <v/>
      </c>
      <c r="B1184" s="114" t="str" cm="1">
        <f t="array" ref="B1184">IFERROR(INDEX('03.Muestra'!$C$8:$C$42,SMALL(IF("Documento no web"='03.Muestra'!$D$8:$D$42,ROW('03.Muestra'!$C$8:$C$42)-MIN(ROW('03.Muestra'!$D$8:$D$42))+1,""),ROW()-1158)),"")</f>
        <v/>
      </c>
      <c r="C1184" s="114" t="str" cm="1">
        <f t="array" ref="C1184">IFERROR(INDEX('03.Muestra'!$F$8:$F$42,SMALL(IF("Documento no web"='03.Muestra'!$D$8:$D$42,ROW('03.Muestra'!$F$8:$F$42)-MIN(ROW('03.Muestra'!$D$8:$D$42))+1,""),ROW()-1158)),"")</f>
        <v/>
      </c>
      <c r="D1184" s="130" t="str">
        <f t="shared" si="61"/>
        <v/>
      </c>
      <c r="E1184" s="107" t="str">
        <f t="shared" si="60"/>
        <v/>
      </c>
      <c r="F1184" s="19"/>
      <c r="G1184" s="19"/>
      <c r="H1184" s="19"/>
      <c r="I1184" s="19"/>
      <c r="J1184" s="19"/>
      <c r="K1184" s="233"/>
      <c r="L1184" s="19"/>
      <c r="M1184" s="19"/>
      <c r="N1184" s="19"/>
      <c r="O1184" s="19"/>
      <c r="P1184" s="19"/>
      <c r="Q1184" s="19"/>
      <c r="R1184" s="19"/>
      <c r="S1184" s="19"/>
      <c r="T1184" s="19"/>
      <c r="U1184" s="19"/>
      <c r="V1184" s="19"/>
      <c r="W1184" s="19"/>
      <c r="X1184" s="19"/>
      <c r="Y1184" s="19"/>
    </row>
    <row r="1185" spans="1:25" ht="13.5" customHeight="1">
      <c r="A1185" s="219" t="str" cm="1">
        <f t="array" ref="A1185">IFERROR(INDEX('03.Muestra'!$B$8:$B$42,SMALL(IF("Documento no web"='03.Muestra'!$D$8:$D$42,ROW('03.Muestra'!$B$8:$B$42)-MIN(ROW('03.Muestra'!$D$8:$D$42))+1,""),ROW()-1158)),"")</f>
        <v/>
      </c>
      <c r="B1185" s="114" t="str" cm="1">
        <f t="array" ref="B1185">IFERROR(INDEX('03.Muestra'!$C$8:$C$42,SMALL(IF("Documento no web"='03.Muestra'!$D$8:$D$42,ROW('03.Muestra'!$C$8:$C$42)-MIN(ROW('03.Muestra'!$D$8:$D$42))+1,""),ROW()-1158)),"")</f>
        <v/>
      </c>
      <c r="C1185" s="114" t="str" cm="1">
        <f t="array" ref="C1185">IFERROR(INDEX('03.Muestra'!$F$8:$F$42,SMALL(IF("Documento no web"='03.Muestra'!$D$8:$D$42,ROW('03.Muestra'!$F$8:$F$42)-MIN(ROW('03.Muestra'!$D$8:$D$42))+1,""),ROW()-1158)),"")</f>
        <v/>
      </c>
      <c r="D1185" s="130" t="str">
        <f t="shared" si="61"/>
        <v/>
      </c>
      <c r="E1185" s="107" t="str">
        <f t="shared" si="60"/>
        <v/>
      </c>
      <c r="F1185" s="19"/>
      <c r="G1185" s="19"/>
      <c r="H1185" s="19"/>
      <c r="I1185" s="19"/>
      <c r="J1185" s="19"/>
      <c r="K1185" s="233"/>
      <c r="L1185" s="19"/>
      <c r="M1185" s="19"/>
      <c r="N1185" s="19"/>
      <c r="O1185" s="19"/>
      <c r="P1185" s="19"/>
      <c r="Q1185" s="19"/>
      <c r="R1185" s="19"/>
      <c r="S1185" s="19"/>
      <c r="T1185" s="19"/>
      <c r="U1185" s="19"/>
      <c r="V1185" s="19"/>
      <c r="W1185" s="19"/>
      <c r="X1185" s="19"/>
      <c r="Y1185" s="19"/>
    </row>
    <row r="1186" spans="1:25" ht="13.5" customHeight="1">
      <c r="A1186" s="219" t="str" cm="1">
        <f t="array" ref="A1186">IFERROR(INDEX('03.Muestra'!$B$8:$B$42,SMALL(IF("Documento no web"='03.Muestra'!$D$8:$D$42,ROW('03.Muestra'!$B$8:$B$42)-MIN(ROW('03.Muestra'!$D$8:$D$42))+1,""),ROW()-1158)),"")</f>
        <v/>
      </c>
      <c r="B1186" s="114" t="str" cm="1">
        <f t="array" ref="B1186">IFERROR(INDEX('03.Muestra'!$C$8:$C$42,SMALL(IF("Documento no web"='03.Muestra'!$D$8:$D$42,ROW('03.Muestra'!$C$8:$C$42)-MIN(ROW('03.Muestra'!$D$8:$D$42))+1,""),ROW()-1158)),"")</f>
        <v/>
      </c>
      <c r="C1186" s="114" t="str" cm="1">
        <f t="array" ref="C1186">IFERROR(INDEX('03.Muestra'!$F$8:$F$42,SMALL(IF("Documento no web"='03.Muestra'!$D$8:$D$42,ROW('03.Muestra'!$F$8:$F$42)-MIN(ROW('03.Muestra'!$D$8:$D$42))+1,""),ROW()-1158)),"")</f>
        <v/>
      </c>
      <c r="D1186" s="130" t="str">
        <f t="shared" si="61"/>
        <v/>
      </c>
      <c r="E1186" s="107" t="str">
        <f t="shared" si="60"/>
        <v/>
      </c>
      <c r="G1186" s="19"/>
      <c r="H1186" s="19"/>
      <c r="I1186" s="19"/>
      <c r="J1186" s="19"/>
      <c r="K1186" s="233"/>
      <c r="L1186" s="19"/>
      <c r="M1186" s="19"/>
      <c r="N1186" s="19"/>
      <c r="O1186" s="19"/>
      <c r="P1186" s="19"/>
      <c r="Q1186" s="19"/>
      <c r="R1186" s="19"/>
      <c r="S1186" s="19"/>
      <c r="T1186" s="19"/>
      <c r="U1186" s="19"/>
      <c r="V1186" s="19"/>
      <c r="W1186" s="19"/>
      <c r="X1186" s="19"/>
      <c r="Y1186" s="19"/>
    </row>
    <row r="1187" spans="1:25" ht="13.5" customHeight="1">
      <c r="A1187" s="219" t="str" cm="1">
        <f t="array" ref="A1187">IFERROR(INDEX('03.Muestra'!$B$8:$B$42,SMALL(IF("Documento no web"='03.Muestra'!$D$8:$D$42,ROW('03.Muestra'!$B$8:$B$42)-MIN(ROW('03.Muestra'!$D$8:$D$42))+1,""),ROW()-1158)),"")</f>
        <v/>
      </c>
      <c r="B1187" s="114" t="str" cm="1">
        <f t="array" ref="B1187">IFERROR(INDEX('03.Muestra'!$C$8:$C$42,SMALL(IF("Documento no web"='03.Muestra'!$D$8:$D$42,ROW('03.Muestra'!$C$8:$C$42)-MIN(ROW('03.Muestra'!$D$8:$D$42))+1,""),ROW()-1158)),"")</f>
        <v/>
      </c>
      <c r="C1187" s="114" t="str" cm="1">
        <f t="array" ref="C1187">IFERROR(INDEX('03.Muestra'!$F$8:$F$42,SMALL(IF("Documento no web"='03.Muestra'!$D$8:$D$42,ROW('03.Muestra'!$F$8:$F$42)-MIN(ROW('03.Muestra'!$D$8:$D$42))+1,""),ROW()-1158)),"")</f>
        <v/>
      </c>
      <c r="D1187" s="130" t="str">
        <f t="shared" si="61"/>
        <v/>
      </c>
      <c r="E1187" s="107" t="str">
        <f t="shared" si="60"/>
        <v/>
      </c>
      <c r="F1187" s="124"/>
      <c r="G1187" s="19"/>
      <c r="H1187" s="19"/>
      <c r="I1187" s="19"/>
      <c r="J1187" s="19"/>
      <c r="K1187" s="233"/>
      <c r="L1187" s="19"/>
      <c r="M1187" s="19"/>
      <c r="N1187" s="19"/>
      <c r="O1187" s="19"/>
      <c r="P1187" s="19"/>
      <c r="Q1187" s="19"/>
      <c r="R1187" s="19"/>
      <c r="S1187" s="19"/>
      <c r="T1187" s="19"/>
      <c r="U1187" s="19"/>
      <c r="V1187" s="19"/>
      <c r="W1187" s="19"/>
      <c r="X1187" s="19"/>
      <c r="Y1187" s="19"/>
    </row>
    <row r="1188" spans="1:25" ht="13.5" customHeight="1">
      <c r="A1188" s="219" t="str" cm="1">
        <f t="array" ref="A1188">IFERROR(INDEX('03.Muestra'!$B$8:$B$42,SMALL(IF("Documento no web"='03.Muestra'!$D$8:$D$42,ROW('03.Muestra'!$B$8:$B$42)-MIN(ROW('03.Muestra'!$D$8:$D$42))+1,""),ROW()-1158)),"")</f>
        <v/>
      </c>
      <c r="B1188" s="114" t="str" cm="1">
        <f t="array" ref="B1188">IFERROR(INDEX('03.Muestra'!$C$8:$C$42,SMALL(IF("Documento no web"='03.Muestra'!$D$8:$D$42,ROW('03.Muestra'!$C$8:$C$42)-MIN(ROW('03.Muestra'!$D$8:$D$42))+1,""),ROW()-1158)),"")</f>
        <v/>
      </c>
      <c r="C1188" s="114" t="str" cm="1">
        <f t="array" ref="C1188">IFERROR(INDEX('03.Muestra'!$F$8:$F$42,SMALL(IF("Documento no web"='03.Muestra'!$D$8:$D$42,ROW('03.Muestra'!$F$8:$F$42)-MIN(ROW('03.Muestra'!$D$8:$D$42))+1,""),ROW()-1158)),"")</f>
        <v/>
      </c>
      <c r="D1188" s="130" t="str">
        <f t="shared" si="61"/>
        <v/>
      </c>
      <c r="E1188" s="107" t="str">
        <f t="shared" si="60"/>
        <v/>
      </c>
      <c r="F1188" s="124"/>
      <c r="G1188" s="19"/>
      <c r="H1188" s="19"/>
      <c r="I1188" s="19"/>
      <c r="J1188" s="19"/>
      <c r="K1188" s="233"/>
      <c r="L1188" s="19"/>
    </row>
    <row r="1189" spans="1:25" ht="13.5" customHeight="1">
      <c r="A1189" s="219" t="str" cm="1">
        <f t="array" ref="A1189">IFERROR(INDEX('03.Muestra'!$B$8:$B$42,SMALL(IF("Documento no web"='03.Muestra'!$D$8:$D$42,ROW('03.Muestra'!$B$8:$B$42)-MIN(ROW('03.Muestra'!$D$8:$D$42))+1,""),ROW()-1158)),"")</f>
        <v/>
      </c>
      <c r="B1189" s="114" t="str" cm="1">
        <f t="array" ref="B1189">IFERROR(INDEX('03.Muestra'!$C$8:$C$42,SMALL(IF("Documento no web"='03.Muestra'!$D$8:$D$42,ROW('03.Muestra'!$C$8:$C$42)-MIN(ROW('03.Muestra'!$D$8:$D$42))+1,""),ROW()-1158)),"")</f>
        <v/>
      </c>
      <c r="C1189" s="114" t="str" cm="1">
        <f t="array" ref="C1189">IFERROR(INDEX('03.Muestra'!$F$8:$F$42,SMALL(IF("Documento no web"='03.Muestra'!$D$8:$D$42,ROW('03.Muestra'!$F$8:$F$42)-MIN(ROW('03.Muestra'!$D$8:$D$42))+1,""),ROW()-1158)),"")</f>
        <v/>
      </c>
      <c r="D1189" s="130" t="str">
        <f t="shared" si="61"/>
        <v/>
      </c>
      <c r="E1189" s="107" t="str">
        <f t="shared" si="60"/>
        <v/>
      </c>
      <c r="F1189" s="124"/>
      <c r="G1189" s="19"/>
      <c r="H1189" s="19"/>
      <c r="I1189" s="19"/>
      <c r="J1189" s="19"/>
      <c r="K1189" s="233"/>
      <c r="L1189" s="19"/>
    </row>
    <row r="1190" spans="1:25" ht="13.5" customHeight="1">
      <c r="A1190" s="219" t="str" cm="1">
        <f t="array" ref="A1190">IFERROR(INDEX('03.Muestra'!$B$8:$B$42,SMALL(IF("Documento no web"='03.Muestra'!$D$8:$D$42,ROW('03.Muestra'!$B$8:$B$42)-MIN(ROW('03.Muestra'!$D$8:$D$42))+1,""),ROW()-1158)),"")</f>
        <v/>
      </c>
      <c r="B1190" s="114" t="str" cm="1">
        <f t="array" ref="B1190">IFERROR(INDEX('03.Muestra'!$C$8:$C$42,SMALL(IF("Documento no web"='03.Muestra'!$D$8:$D$42,ROW('03.Muestra'!$C$8:$C$42)-MIN(ROW('03.Muestra'!$D$8:$D$42))+1,""),ROW()-1158)),"")</f>
        <v/>
      </c>
      <c r="C1190" s="114" t="str" cm="1">
        <f t="array" ref="C1190">IFERROR(INDEX('03.Muestra'!$F$8:$F$42,SMALL(IF("Documento no web"='03.Muestra'!$D$8:$D$42,ROW('03.Muestra'!$F$8:$F$42)-MIN(ROW('03.Muestra'!$D$8:$D$42))+1,""),ROW()-1158)),"")</f>
        <v/>
      </c>
      <c r="D1190" s="130" t="str">
        <f t="shared" si="61"/>
        <v/>
      </c>
      <c r="E1190" s="107" t="str">
        <f t="shared" si="60"/>
        <v/>
      </c>
      <c r="F1190" s="124"/>
      <c r="G1190" s="19"/>
      <c r="H1190" s="19"/>
      <c r="I1190" s="19"/>
      <c r="J1190" s="19"/>
      <c r="K1190" s="233"/>
      <c r="L1190" s="19"/>
    </row>
    <row r="1191" spans="1:25" ht="13.5" customHeight="1">
      <c r="A1191" s="219" t="str" cm="1">
        <f t="array" ref="A1191">IFERROR(INDEX('03.Muestra'!$B$8:$B$42,SMALL(IF("Documento no web"='03.Muestra'!$D$8:$D$42,ROW('03.Muestra'!$B$8:$B$42)-MIN(ROW('03.Muestra'!$D$8:$D$42))+1,""),ROW()-1158)),"")</f>
        <v/>
      </c>
      <c r="B1191" s="114" t="str" cm="1">
        <f t="array" ref="B1191">IFERROR(INDEX('03.Muestra'!$C$8:$C$42,SMALL(IF("Documento no web"='03.Muestra'!$D$8:$D$42,ROW('03.Muestra'!$C$8:$C$42)-MIN(ROW('03.Muestra'!$D$8:$D$42))+1,""),ROW()-1158)),"")</f>
        <v/>
      </c>
      <c r="C1191" s="114" t="str" cm="1">
        <f t="array" ref="C1191">IFERROR(INDEX('03.Muestra'!$F$8:$F$42,SMALL(IF("Documento no web"='03.Muestra'!$D$8:$D$42,ROW('03.Muestra'!$F$8:$F$42)-MIN(ROW('03.Muestra'!$D$8:$D$42))+1,""),ROW()-1158)),"")</f>
        <v/>
      </c>
      <c r="D1191" s="130" t="str">
        <f t="shared" si="61"/>
        <v/>
      </c>
      <c r="E1191" s="107" t="str">
        <f t="shared" si="60"/>
        <v/>
      </c>
      <c r="F1191" s="124"/>
      <c r="G1191" s="19"/>
      <c r="H1191" s="19"/>
      <c r="I1191" s="19"/>
      <c r="J1191" s="19"/>
      <c r="K1191" s="233"/>
      <c r="L1191" s="19"/>
    </row>
    <row r="1192" spans="1:25" ht="13.5" customHeight="1">
      <c r="A1192" s="219" t="str" cm="1">
        <f t="array" ref="A1192">IFERROR(INDEX('03.Muestra'!$B$8:$B$42,SMALL(IF("Documento no web"='03.Muestra'!$D$8:$D$42,ROW('03.Muestra'!$B$8:$B$42)-MIN(ROW('03.Muestra'!$D$8:$D$42))+1,""),ROW()-1158)),"")</f>
        <v/>
      </c>
      <c r="B1192" s="114" t="str" cm="1">
        <f t="array" ref="B1192">IFERROR(INDEX('03.Muestra'!$C$8:$C$42,SMALL(IF("Documento no web"='03.Muestra'!$D$8:$D$42,ROW('03.Muestra'!$C$8:$C$42)-MIN(ROW('03.Muestra'!$D$8:$D$42))+1,""),ROW()-1158)),"")</f>
        <v/>
      </c>
      <c r="C1192" s="114" t="str" cm="1">
        <f t="array" ref="C1192">IFERROR(INDEX('03.Muestra'!$F$8:$F$42,SMALL(IF("Documento no web"='03.Muestra'!$D$8:$D$42,ROW('03.Muestra'!$F$8:$F$42)-MIN(ROW('03.Muestra'!$D$8:$D$42))+1,""),ROW()-1158)),"")</f>
        <v/>
      </c>
      <c r="D1192" s="130" t="str">
        <f t="shared" si="61"/>
        <v/>
      </c>
      <c r="E1192" s="107" t="str">
        <f t="shared" si="60"/>
        <v/>
      </c>
      <c r="F1192" s="124"/>
      <c r="G1192" s="19"/>
      <c r="H1192" s="19"/>
      <c r="I1192" s="19"/>
      <c r="J1192" s="19"/>
      <c r="K1192" s="233"/>
      <c r="L1192" s="19"/>
    </row>
    <row r="1193" spans="1:25" ht="13.5" customHeight="1">
      <c r="A1193" s="219" t="str" cm="1">
        <f t="array" ref="A1193">IFERROR(INDEX('03.Muestra'!$B$8:$B$42,SMALL(IF("Documento no web"='03.Muestra'!$D$8:$D$42,ROW('03.Muestra'!$B$8:$B$42)-MIN(ROW('03.Muestra'!$D$8:$D$42))+1,""),ROW()-1158)),"")</f>
        <v/>
      </c>
      <c r="B1193" s="114" t="str" cm="1">
        <f t="array" ref="B1193">IFERROR(INDEX('03.Muestra'!$C$8:$C$42,SMALL(IF("Documento no web"='03.Muestra'!$D$8:$D$42,ROW('03.Muestra'!$C$8:$C$42)-MIN(ROW('03.Muestra'!$D$8:$D$42))+1,""),ROW()-1158)),"")</f>
        <v/>
      </c>
      <c r="C1193" s="114" t="str" cm="1">
        <f t="array" ref="C1193">IFERROR(INDEX('03.Muestra'!$F$8:$F$42,SMALL(IF("Documento no web"='03.Muestra'!$D$8:$D$42,ROW('03.Muestra'!$F$8:$F$42)-MIN(ROW('03.Muestra'!$D$8:$D$42))+1,""),ROW()-1158)),"")</f>
        <v/>
      </c>
      <c r="D1193" s="130" t="str">
        <f t="shared" si="61"/>
        <v/>
      </c>
      <c r="E1193" s="107" t="str">
        <f t="shared" si="60"/>
        <v/>
      </c>
      <c r="F1193" s="19"/>
      <c r="G1193" s="19"/>
      <c r="H1193" s="19"/>
      <c r="I1193" s="19"/>
      <c r="J1193" s="19"/>
      <c r="K1193" s="233"/>
      <c r="L1193" s="19"/>
    </row>
    <row r="1194" spans="1:25" ht="13.5" customHeight="1">
      <c r="B1194" s="19"/>
      <c r="C1194" s="19"/>
      <c r="D1194" s="107"/>
      <c r="E1194" s="19"/>
      <c r="F1194" s="19"/>
      <c r="G1194" s="19"/>
      <c r="H1194" s="19"/>
      <c r="I1194" s="19"/>
      <c r="J1194" s="19"/>
      <c r="K1194" s="233"/>
      <c r="L1194" s="19"/>
    </row>
    <row r="1195" spans="1:25" ht="13.5" customHeight="1">
      <c r="B1195" s="126"/>
      <c r="C1195" s="19"/>
      <c r="D1195" s="107"/>
      <c r="E1195" s="112"/>
      <c r="F1195" s="19"/>
      <c r="G1195" s="19"/>
      <c r="H1195" s="19"/>
      <c r="I1195" s="19"/>
      <c r="J1195" s="19"/>
      <c r="K1195" s="233"/>
      <c r="L1195" s="19"/>
    </row>
    <row r="1196" spans="1:25" ht="30" customHeight="1">
      <c r="A1196" s="218" t="s">
        <v>268</v>
      </c>
      <c r="B1196" s="24" t="s">
        <v>90</v>
      </c>
      <c r="C1196" s="25" t="s">
        <v>453</v>
      </c>
      <c r="D1196" s="26" t="s">
        <v>32</v>
      </c>
      <c r="E1196" s="123"/>
      <c r="K1196" s="233"/>
      <c r="L1196" s="19"/>
    </row>
    <row r="1197" spans="1:25" ht="13.5" customHeight="1">
      <c r="A1197" s="219" t="n" cm="1">
        <f t="array" ref="A1197">IFERROR(INDEX('03.Muestra'!$B$8:$B$42,SMALL(IF("Documento no web"='03.Muestra'!$D$8:$D$42,ROW('03.Muestra'!$B$8:$B$42)-MIN(ROW('03.Muestra'!$D$8:$D$42))+1,""),ROW()-1196)),"")</f>
        <v>1.0</v>
      </c>
      <c r="B1197" s="114" t="str" cm="1">
        <f t="array" ref="B1197">IFERROR(INDEX('03.Muestra'!$C$8:$C$42,SMALL(IF("Documento no web"='03.Muestra'!$D$8:$D$42,ROW('03.Muestra'!$C$8:$C$42)-MIN(ROW('03.Muestra'!$D$8:$D$42))+1,""),ROW()-1196)),"")</f>
        <v>Home - PortCastelló</v>
      </c>
      <c r="C1197" s="114" t="str" cm="1">
        <f t="array" ref="C1197">IFERROR(INDEX('03.Muestra'!$F$8:$F$42,SMALL(IF("Documento no web"='03.Muestra'!$D$8:$D$42,ROW('03.Muestra'!$F$8:$F$42)-MIN(ROW('03.Muestra'!$D$8:$D$42))+1,""),ROW()-1196)),"")</f>
        <v>https://www.portcastello.com/</v>
      </c>
      <c r="D1197" s="130" t="s">
        <v>33</v>
      </c>
      <c r="E1197" s="107" t="str">
        <f t="shared" ref="E1197:E1231" si="62">IF(D1197&lt;&gt;"",IF(AND(B1197&lt;&gt;"",C1197&lt;&gt;""),"","ERR"),"")</f>
        <v/>
      </c>
      <c r="F1197" s="115" t="s">
        <v>33</v>
      </c>
      <c r="G1197" s="116" t="s">
        <v>37</v>
      </c>
      <c r="H1197" s="117" t="s">
        <v>35</v>
      </c>
      <c r="I1197" s="118" t="s">
        <v>28</v>
      </c>
      <c r="J1197" s="119" t="s">
        <v>26</v>
      </c>
      <c r="K1197" s="226" t="s">
        <v>474</v>
      </c>
      <c r="L1197" s="19"/>
    </row>
    <row r="1198" spans="1:25" ht="13.5" customHeight="1">
      <c r="A1198" s="219" t="n" cm="1">
        <f t="array" ref="A1198">IFERROR(INDEX('03.Muestra'!$B$8:$B$42,SMALL(IF("Documento no web"='03.Muestra'!$D$8:$D$42,ROW('03.Muestra'!$B$8:$B$42)-MIN(ROW('03.Muestra'!$D$8:$D$42))+1,""),ROW()-1196)),"")</f>
        <v>1.0</v>
      </c>
      <c r="B1198" s="114" t="str" cm="1">
        <f t="array" ref="B1198">IFERROR(INDEX('03.Muestra'!$C$8:$C$42,SMALL(IF("Documento no web"='03.Muestra'!$D$8:$D$42,ROW('03.Muestra'!$C$8:$C$42)-MIN(ROW('03.Muestra'!$D$8:$D$42))+1,""),ROW()-1196)),"")</f>
        <v>Home - PortCastelló</v>
      </c>
      <c r="C1198" s="114" t="str" cm="1">
        <f t="array" ref="C1198">IFERROR(INDEX('03.Muestra'!$F$8:$F$42,SMALL(IF("Documento no web"='03.Muestra'!$D$8:$D$42,ROW('03.Muestra'!$F$8:$F$42)-MIN(ROW('03.Muestra'!$D$8:$D$42))+1,""),ROW()-1196)),"")</f>
        <v>https://www.portcastello.com/</v>
      </c>
      <c r="D1198" s="130" t="s">
        <v>33</v>
      </c>
      <c r="E1198" s="107" t="str">
        <f t="shared" si="62"/>
        <v/>
      </c>
      <c r="F1198" s="120" t="n">
        <f ca="1">COUNTIF($D1197:INDIRECT("$D" &amp;  SUM(ROW()-1,'03.Muestra'!$D$45)-1),F1197)</f>
        <v>2.0</v>
      </c>
      <c r="G1198" s="120" t="n">
        <f ca="1">COUNTIF($D1197:INDIRECT("$D" &amp;  SUM(ROW()-1,'03.Muestra'!$D$45)-1),G1197)</f>
        <v>0.0</v>
      </c>
      <c r="H1198" s="120" t="n">
        <f ca="1">COUNTIF($D1197:INDIRECT("$D" &amp;  SUM(ROW()-1,'03.Muestra'!$D$45)-1),H1197)</f>
        <v>0.0</v>
      </c>
      <c r="I1198" s="120" t="n">
        <f ca="1">COUNTIF($D1197:INDIRECT("$D" &amp;  SUM(ROW()-1,'03.Muestra'!$D$45)-1),I1197)</f>
        <v>0.0</v>
      </c>
      <c r="J1198" s="120" t="n">
        <f ca="1">COUNTIF($D1197:INDIRECT("$D" &amp;  SUM(ROW()-1,'03.Muestra'!$D$45)-1),J1197)</f>
        <v>0.0</v>
      </c>
      <c r="K1198" s="227" t="n">
        <f ca="1">IF(COUNTIF('03.Muestra'!$D$8:$D$42,"Documento no web")=0,0,COUNTBLANK($D1197:INDIRECT("$D" &amp;  SUM(ROW()-1,COUNTIF('03.Muestra'!$D$8:$D$42,"Documento no web"))-1)))</f>
        <v>0.0</v>
      </c>
      <c r="L1198" s="19"/>
    </row>
    <row r="1199" spans="1:25" ht="13.5" customHeight="1">
      <c r="A1199" s="219" t="str" cm="1">
        <f t="array" ref="A1199">IFERROR(INDEX('03.Muestra'!$B$8:$B$42,SMALL(IF("Documento no web"='03.Muestra'!$D$8:$D$42,ROW('03.Muestra'!$B$8:$B$42)-MIN(ROW('03.Muestra'!$D$8:$D$42))+1,""),ROW()-1196)),"")</f>
        <v/>
      </c>
      <c r="B1199" s="114" t="str" cm="1">
        <f t="array" ref="B1199">IFERROR(INDEX('03.Muestra'!$C$8:$C$42,SMALL(IF("Documento no web"='03.Muestra'!$D$8:$D$42,ROW('03.Muestra'!$C$8:$C$42)-MIN(ROW('03.Muestra'!$D$8:$D$42))+1,""),ROW()-1196)),"")</f>
        <v/>
      </c>
      <c r="C1199" s="114" t="str" cm="1">
        <f t="array" ref="C1199">IFERROR(INDEX('03.Muestra'!$F$8:$F$42,SMALL(IF("Documento no web"='03.Muestra'!$D$8:$D$42,ROW('03.Muestra'!$F$8:$F$42)-MIN(ROW('03.Muestra'!$D$8:$D$42))+1,""),ROW()-1196)),"")</f>
        <v/>
      </c>
      <c r="D1199" s="130" t="str">
        <f t="shared" si="63" ref="D1199:D1231">IF(AND(B1199&lt;&gt;"",C1199&lt;&gt;""),"N/T","")</f>
        <v/>
      </c>
      <c r="E1199" s="107" t="str">
        <f t="shared" si="62"/>
        <v/>
      </c>
      <c r="G1199" s="19"/>
      <c r="H1199" s="19"/>
      <c r="I1199" s="19"/>
      <c r="J1199" s="19"/>
      <c r="K1199" s="233"/>
      <c r="L1199" s="19"/>
    </row>
    <row r="1200" spans="1:25" ht="13.5" customHeight="1">
      <c r="A1200" s="219" t="str" cm="1">
        <f t="array" ref="A1200">IFERROR(INDEX('03.Muestra'!$B$8:$B$42,SMALL(IF("Documento no web"='03.Muestra'!$D$8:$D$42,ROW('03.Muestra'!$B$8:$B$42)-MIN(ROW('03.Muestra'!$D$8:$D$42))+1,""),ROW()-1196)),"")</f>
        <v/>
      </c>
      <c r="B1200" s="114" t="str" cm="1">
        <f t="array" ref="B1200">IFERROR(INDEX('03.Muestra'!$C$8:$C$42,SMALL(IF("Documento no web"='03.Muestra'!$D$8:$D$42,ROW('03.Muestra'!$C$8:$C$42)-MIN(ROW('03.Muestra'!$D$8:$D$42))+1,""),ROW()-1196)),"")</f>
        <v/>
      </c>
      <c r="C1200" s="114" t="str" cm="1">
        <f t="array" ref="C1200">IFERROR(INDEX('03.Muestra'!$F$8:$F$42,SMALL(IF("Documento no web"='03.Muestra'!$D$8:$D$42,ROW('03.Muestra'!$F$8:$F$42)-MIN(ROW('03.Muestra'!$D$8:$D$42))+1,""),ROW()-1196)),"")</f>
        <v/>
      </c>
      <c r="D1200" s="130" t="str">
        <f t="shared" si="63"/>
        <v/>
      </c>
      <c r="E1200" s="107" t="str">
        <f t="shared" si="62"/>
        <v/>
      </c>
      <c r="G1200" s="19"/>
      <c r="H1200" s="19"/>
      <c r="I1200" s="19"/>
      <c r="J1200" s="19"/>
      <c r="K1200" s="233"/>
      <c r="L1200" s="19"/>
    </row>
    <row r="1201" spans="1:12" ht="13.5" customHeight="1">
      <c r="A1201" s="219" t="str" cm="1">
        <f t="array" ref="A1201">IFERROR(INDEX('03.Muestra'!$B$8:$B$42,SMALL(IF("Documento no web"='03.Muestra'!$D$8:$D$42,ROW('03.Muestra'!$B$8:$B$42)-MIN(ROW('03.Muestra'!$D$8:$D$42))+1,""),ROW()-1196)),"")</f>
        <v/>
      </c>
      <c r="B1201" s="114" t="str" cm="1">
        <f t="array" ref="B1201">IFERROR(INDEX('03.Muestra'!$C$8:$C$42,SMALL(IF("Documento no web"='03.Muestra'!$D$8:$D$42,ROW('03.Muestra'!$C$8:$C$42)-MIN(ROW('03.Muestra'!$D$8:$D$42))+1,""),ROW()-1196)),"")</f>
        <v/>
      </c>
      <c r="C1201" s="114" t="str" cm="1">
        <f t="array" ref="C1201">IFERROR(INDEX('03.Muestra'!$F$8:$F$42,SMALL(IF("Documento no web"='03.Muestra'!$D$8:$D$42,ROW('03.Muestra'!$F$8:$F$42)-MIN(ROW('03.Muestra'!$D$8:$D$42))+1,""),ROW()-1196)),"")</f>
        <v/>
      </c>
      <c r="D1201" s="130" t="str">
        <f t="shared" si="63"/>
        <v/>
      </c>
      <c r="E1201" s="107" t="str">
        <f t="shared" si="62"/>
        <v/>
      </c>
      <c r="G1201" s="19"/>
      <c r="H1201" s="19"/>
      <c r="I1201" s="19"/>
      <c r="J1201" s="19"/>
      <c r="K1201" s="233"/>
      <c r="L1201" s="19"/>
    </row>
    <row r="1202" spans="1:12" ht="13.5" customHeight="1">
      <c r="A1202" s="219" t="str" cm="1">
        <f t="array" ref="A1202">IFERROR(INDEX('03.Muestra'!$B$8:$B$42,SMALL(IF("Documento no web"='03.Muestra'!$D$8:$D$42,ROW('03.Muestra'!$B$8:$B$42)-MIN(ROW('03.Muestra'!$D$8:$D$42))+1,""),ROW()-1196)),"")</f>
        <v/>
      </c>
      <c r="B1202" s="114" t="str" cm="1">
        <f t="array" ref="B1202">IFERROR(INDEX('03.Muestra'!$C$8:$C$42,SMALL(IF("Documento no web"='03.Muestra'!$D$8:$D$42,ROW('03.Muestra'!$C$8:$C$42)-MIN(ROW('03.Muestra'!$D$8:$D$42))+1,""),ROW()-1196)),"")</f>
        <v/>
      </c>
      <c r="C1202" s="114" t="str" cm="1">
        <f t="array" ref="C1202">IFERROR(INDEX('03.Muestra'!$F$8:$F$42,SMALL(IF("Documento no web"='03.Muestra'!$D$8:$D$42,ROW('03.Muestra'!$F$8:$F$42)-MIN(ROW('03.Muestra'!$D$8:$D$42))+1,""),ROW()-1196)),"")</f>
        <v/>
      </c>
      <c r="D1202" s="130" t="str">
        <f t="shared" si="63"/>
        <v/>
      </c>
      <c r="E1202" s="107" t="str">
        <f t="shared" si="62"/>
        <v/>
      </c>
      <c r="G1202" s="19"/>
      <c r="H1202" s="19"/>
      <c r="I1202" s="19"/>
      <c r="J1202" s="19"/>
      <c r="K1202" s="233"/>
      <c r="L1202" s="19"/>
    </row>
    <row r="1203" spans="1:12" ht="13.5" customHeight="1">
      <c r="A1203" s="219" t="str" cm="1">
        <f t="array" ref="A1203">IFERROR(INDEX('03.Muestra'!$B$8:$B$42,SMALL(IF("Documento no web"='03.Muestra'!$D$8:$D$42,ROW('03.Muestra'!$B$8:$B$42)-MIN(ROW('03.Muestra'!$D$8:$D$42))+1,""),ROW()-1196)),"")</f>
        <v/>
      </c>
      <c r="B1203" s="114" t="str" cm="1">
        <f t="array" ref="B1203">IFERROR(INDEX('03.Muestra'!$C$8:$C$42,SMALL(IF("Documento no web"='03.Muestra'!$D$8:$D$42,ROW('03.Muestra'!$C$8:$C$42)-MIN(ROW('03.Muestra'!$D$8:$D$42))+1,""),ROW()-1196)),"")</f>
        <v/>
      </c>
      <c r="C1203" s="114" t="str" cm="1">
        <f t="array" ref="C1203">IFERROR(INDEX('03.Muestra'!$F$8:$F$42,SMALL(IF("Documento no web"='03.Muestra'!$D$8:$D$42,ROW('03.Muestra'!$F$8:$F$42)-MIN(ROW('03.Muestra'!$D$8:$D$42))+1,""),ROW()-1196)),"")</f>
        <v/>
      </c>
      <c r="D1203" s="130" t="str">
        <f t="shared" si="63"/>
        <v/>
      </c>
      <c r="E1203" s="107" t="str">
        <f t="shared" si="62"/>
        <v/>
      </c>
      <c r="F1203" s="19"/>
      <c r="G1203" s="19"/>
      <c r="H1203" s="19"/>
      <c r="I1203" s="19"/>
      <c r="J1203" s="19"/>
      <c r="K1203" s="233"/>
      <c r="L1203" s="19"/>
    </row>
    <row r="1204" spans="1:12" ht="13.5" customHeight="1">
      <c r="A1204" s="219" t="str" cm="1">
        <f t="array" ref="A1204">IFERROR(INDEX('03.Muestra'!$B$8:$B$42,SMALL(IF("Documento no web"='03.Muestra'!$D$8:$D$42,ROW('03.Muestra'!$B$8:$B$42)-MIN(ROW('03.Muestra'!$D$8:$D$42))+1,""),ROW()-1196)),"")</f>
        <v/>
      </c>
      <c r="B1204" s="114" t="str" cm="1">
        <f t="array" ref="B1204">IFERROR(INDEX('03.Muestra'!$C$8:$C$42,SMALL(IF("Documento no web"='03.Muestra'!$D$8:$D$42,ROW('03.Muestra'!$C$8:$C$42)-MIN(ROW('03.Muestra'!$D$8:$D$42))+1,""),ROW()-1196)),"")</f>
        <v/>
      </c>
      <c r="C1204" s="114" t="str" cm="1">
        <f t="array" ref="C1204">IFERROR(INDEX('03.Muestra'!$F$8:$F$42,SMALL(IF("Documento no web"='03.Muestra'!$D$8:$D$42,ROW('03.Muestra'!$F$8:$F$42)-MIN(ROW('03.Muestra'!$D$8:$D$42))+1,""),ROW()-1196)),"")</f>
        <v/>
      </c>
      <c r="D1204" s="130" t="str">
        <f t="shared" si="63"/>
        <v/>
      </c>
      <c r="E1204" s="107" t="str">
        <f t="shared" si="62"/>
        <v/>
      </c>
      <c r="F1204" s="19"/>
      <c r="G1204" s="19"/>
      <c r="H1204" s="19"/>
      <c r="I1204" s="19"/>
      <c r="J1204" s="19"/>
      <c r="K1204" s="233"/>
      <c r="L1204" s="19"/>
    </row>
    <row r="1205" spans="1:12" ht="13.5" customHeight="1">
      <c r="A1205" s="219" t="str" cm="1">
        <f t="array" ref="A1205">IFERROR(INDEX('03.Muestra'!$B$8:$B$42,SMALL(IF("Documento no web"='03.Muestra'!$D$8:$D$42,ROW('03.Muestra'!$B$8:$B$42)-MIN(ROW('03.Muestra'!$D$8:$D$42))+1,""),ROW()-1196)),"")</f>
        <v/>
      </c>
      <c r="B1205" s="114" t="str" cm="1">
        <f t="array" ref="B1205">IFERROR(INDEX('03.Muestra'!$C$8:$C$42,SMALL(IF("Documento no web"='03.Muestra'!$D$8:$D$42,ROW('03.Muestra'!$C$8:$C$42)-MIN(ROW('03.Muestra'!$D$8:$D$42))+1,""),ROW()-1196)),"")</f>
        <v/>
      </c>
      <c r="C1205" s="114" t="str" cm="1">
        <f t="array" ref="C1205">IFERROR(INDEX('03.Muestra'!$F$8:$F$42,SMALL(IF("Documento no web"='03.Muestra'!$D$8:$D$42,ROW('03.Muestra'!$F$8:$F$42)-MIN(ROW('03.Muestra'!$D$8:$D$42))+1,""),ROW()-1196)),"")</f>
        <v/>
      </c>
      <c r="D1205" s="130" t="str">
        <f t="shared" si="63"/>
        <v/>
      </c>
      <c r="E1205" s="107" t="str">
        <f t="shared" si="62"/>
        <v/>
      </c>
      <c r="F1205" s="19"/>
      <c r="G1205" s="19"/>
      <c r="H1205" s="19"/>
      <c r="I1205" s="19"/>
      <c r="J1205" s="19"/>
      <c r="K1205" s="233"/>
      <c r="L1205" s="19"/>
    </row>
    <row r="1206" spans="1:12" ht="13.5" customHeight="1">
      <c r="A1206" s="219" t="str" cm="1">
        <f t="array" ref="A1206">IFERROR(INDEX('03.Muestra'!$B$8:$B$42,SMALL(IF("Documento no web"='03.Muestra'!$D$8:$D$42,ROW('03.Muestra'!$B$8:$B$42)-MIN(ROW('03.Muestra'!$D$8:$D$42))+1,""),ROW()-1196)),"")</f>
        <v/>
      </c>
      <c r="B1206" s="114" t="str" cm="1">
        <f t="array" ref="B1206">IFERROR(INDEX('03.Muestra'!$C$8:$C$42,SMALL(IF("Documento no web"='03.Muestra'!$D$8:$D$42,ROW('03.Muestra'!$C$8:$C$42)-MIN(ROW('03.Muestra'!$D$8:$D$42))+1,""),ROW()-1196)),"")</f>
        <v/>
      </c>
      <c r="C1206" s="114" t="str" cm="1">
        <f t="array" ref="C1206">IFERROR(INDEX('03.Muestra'!$F$8:$F$42,SMALL(IF("Documento no web"='03.Muestra'!$D$8:$D$42,ROW('03.Muestra'!$F$8:$F$42)-MIN(ROW('03.Muestra'!$D$8:$D$42))+1,""),ROW()-1196)),"")</f>
        <v/>
      </c>
      <c r="D1206" s="130" t="str">
        <f t="shared" si="63"/>
        <v/>
      </c>
      <c r="E1206" s="107" t="str">
        <f t="shared" si="62"/>
        <v/>
      </c>
      <c r="F1206" s="19"/>
      <c r="G1206" s="19"/>
      <c r="H1206" s="19"/>
      <c r="I1206" s="19"/>
      <c r="J1206" s="19"/>
      <c r="K1206" s="233"/>
      <c r="L1206" s="19"/>
    </row>
    <row r="1207" spans="1:12" ht="13.5" customHeight="1">
      <c r="A1207" s="219" t="str" cm="1">
        <f t="array" ref="A1207">IFERROR(INDEX('03.Muestra'!$B$8:$B$42,SMALL(IF("Documento no web"='03.Muestra'!$D$8:$D$42,ROW('03.Muestra'!$B$8:$B$42)-MIN(ROW('03.Muestra'!$D$8:$D$42))+1,""),ROW()-1196)),"")</f>
        <v/>
      </c>
      <c r="B1207" s="114" t="str" cm="1">
        <f t="array" ref="B1207">IFERROR(INDEX('03.Muestra'!$C$8:$C$42,SMALL(IF("Documento no web"='03.Muestra'!$D$8:$D$42,ROW('03.Muestra'!$C$8:$C$42)-MIN(ROW('03.Muestra'!$D$8:$D$42))+1,""),ROW()-1196)),"")</f>
        <v/>
      </c>
      <c r="C1207" s="114" t="str" cm="1">
        <f t="array" ref="C1207">IFERROR(INDEX('03.Muestra'!$F$8:$F$42,SMALL(IF("Documento no web"='03.Muestra'!$D$8:$D$42,ROW('03.Muestra'!$F$8:$F$42)-MIN(ROW('03.Muestra'!$D$8:$D$42))+1,""),ROW()-1196)),"")</f>
        <v/>
      </c>
      <c r="D1207" s="130" t="str">
        <f t="shared" si="63"/>
        <v/>
      </c>
      <c r="E1207" s="107" t="str">
        <f t="shared" si="62"/>
        <v/>
      </c>
      <c r="F1207" s="19"/>
      <c r="G1207" s="19"/>
      <c r="H1207" s="19"/>
      <c r="I1207" s="19"/>
      <c r="J1207" s="19"/>
      <c r="K1207" s="233"/>
      <c r="L1207" s="19"/>
    </row>
    <row r="1208" spans="1:12" ht="13.5" customHeight="1">
      <c r="A1208" s="219" t="str" cm="1">
        <f t="array" ref="A1208">IFERROR(INDEX('03.Muestra'!$B$8:$B$42,SMALL(IF("Documento no web"='03.Muestra'!$D$8:$D$42,ROW('03.Muestra'!$B$8:$B$42)-MIN(ROW('03.Muestra'!$D$8:$D$42))+1,""),ROW()-1196)),"")</f>
        <v/>
      </c>
      <c r="B1208" s="114" t="str" cm="1">
        <f t="array" ref="B1208">IFERROR(INDEX('03.Muestra'!$C$8:$C$42,SMALL(IF("Documento no web"='03.Muestra'!$D$8:$D$42,ROW('03.Muestra'!$C$8:$C$42)-MIN(ROW('03.Muestra'!$D$8:$D$42))+1,""),ROW()-1196)),"")</f>
        <v/>
      </c>
      <c r="C1208" s="114" t="str" cm="1">
        <f t="array" ref="C1208">IFERROR(INDEX('03.Muestra'!$F$8:$F$42,SMALL(IF("Documento no web"='03.Muestra'!$D$8:$D$42,ROW('03.Muestra'!$F$8:$F$42)-MIN(ROW('03.Muestra'!$D$8:$D$42))+1,""),ROW()-1196)),"")</f>
        <v/>
      </c>
      <c r="D1208" s="130" t="str">
        <f t="shared" si="63"/>
        <v/>
      </c>
      <c r="E1208" s="107" t="str">
        <f t="shared" si="62"/>
        <v/>
      </c>
      <c r="F1208" s="19"/>
      <c r="G1208" s="19"/>
      <c r="H1208" s="19"/>
      <c r="I1208" s="19"/>
      <c r="J1208" s="19"/>
      <c r="K1208" s="233"/>
      <c r="L1208" s="19"/>
    </row>
    <row r="1209" spans="1:12" ht="13.5" customHeight="1">
      <c r="A1209" s="219" t="str" cm="1">
        <f t="array" ref="A1209">IFERROR(INDEX('03.Muestra'!$B$8:$B$42,SMALL(IF("Documento no web"='03.Muestra'!$D$8:$D$42,ROW('03.Muestra'!$B$8:$B$42)-MIN(ROW('03.Muestra'!$D$8:$D$42))+1,""),ROW()-1196)),"")</f>
        <v/>
      </c>
      <c r="B1209" s="114" t="str" cm="1">
        <f t="array" ref="B1209">IFERROR(INDEX('03.Muestra'!$C$8:$C$42,SMALL(IF("Documento no web"='03.Muestra'!$D$8:$D$42,ROW('03.Muestra'!$C$8:$C$42)-MIN(ROW('03.Muestra'!$D$8:$D$42))+1,""),ROW()-1196)),"")</f>
        <v/>
      </c>
      <c r="C1209" s="114" t="str" cm="1">
        <f t="array" ref="C1209">IFERROR(INDEX('03.Muestra'!$F$8:$F$42,SMALL(IF("Documento no web"='03.Muestra'!$D$8:$D$42,ROW('03.Muestra'!$F$8:$F$42)-MIN(ROW('03.Muestra'!$D$8:$D$42))+1,""),ROW()-1196)),"")</f>
        <v/>
      </c>
      <c r="D1209" s="130" t="str">
        <f t="shared" si="63"/>
        <v/>
      </c>
      <c r="E1209" s="107" t="str">
        <f t="shared" si="62"/>
        <v/>
      </c>
      <c r="F1209" s="19"/>
      <c r="G1209" s="19"/>
      <c r="H1209" s="19"/>
      <c r="I1209" s="19"/>
      <c r="J1209" s="19"/>
      <c r="K1209" s="233"/>
      <c r="L1209" s="19"/>
    </row>
    <row r="1210" spans="1:12" ht="13.5" customHeight="1">
      <c r="A1210" s="219" t="str" cm="1">
        <f t="array" ref="A1210">IFERROR(INDEX('03.Muestra'!$B$8:$B$42,SMALL(IF("Documento no web"='03.Muestra'!$D$8:$D$42,ROW('03.Muestra'!$B$8:$B$42)-MIN(ROW('03.Muestra'!$D$8:$D$42))+1,""),ROW()-1196)),"")</f>
        <v/>
      </c>
      <c r="B1210" s="114" t="str" cm="1">
        <f t="array" ref="B1210">IFERROR(INDEX('03.Muestra'!$C$8:$C$42,SMALL(IF("Documento no web"='03.Muestra'!$D$8:$D$42,ROW('03.Muestra'!$C$8:$C$42)-MIN(ROW('03.Muestra'!$D$8:$D$42))+1,""),ROW()-1196)),"")</f>
        <v/>
      </c>
      <c r="C1210" s="114" t="str" cm="1">
        <f t="array" ref="C1210">IFERROR(INDEX('03.Muestra'!$F$8:$F$42,SMALL(IF("Documento no web"='03.Muestra'!$D$8:$D$42,ROW('03.Muestra'!$F$8:$F$42)-MIN(ROW('03.Muestra'!$D$8:$D$42))+1,""),ROW()-1196)),"")</f>
        <v/>
      </c>
      <c r="D1210" s="130" t="str">
        <f t="shared" si="63"/>
        <v/>
      </c>
      <c r="E1210" s="107" t="str">
        <f t="shared" si="62"/>
        <v/>
      </c>
      <c r="F1210" s="19"/>
      <c r="G1210" s="19"/>
      <c r="H1210" s="19"/>
      <c r="I1210" s="19"/>
      <c r="J1210" s="19"/>
      <c r="K1210" s="233"/>
      <c r="L1210" s="19"/>
    </row>
    <row r="1211" spans="1:12" ht="13.5" customHeight="1">
      <c r="A1211" s="219" t="str" cm="1">
        <f t="array" ref="A1211">IFERROR(INDEX('03.Muestra'!$B$8:$B$42,SMALL(IF("Documento no web"='03.Muestra'!$D$8:$D$42,ROW('03.Muestra'!$B$8:$B$42)-MIN(ROW('03.Muestra'!$D$8:$D$42))+1,""),ROW()-1196)),"")</f>
        <v/>
      </c>
      <c r="B1211" s="114" t="str" cm="1">
        <f t="array" ref="B1211">IFERROR(INDEX('03.Muestra'!$C$8:$C$42,SMALL(IF("Documento no web"='03.Muestra'!$D$8:$D$42,ROW('03.Muestra'!$C$8:$C$42)-MIN(ROW('03.Muestra'!$D$8:$D$42))+1,""),ROW()-1196)),"")</f>
        <v/>
      </c>
      <c r="C1211" s="114" t="str" cm="1">
        <f t="array" ref="C1211">IFERROR(INDEX('03.Muestra'!$F$8:$F$42,SMALL(IF("Documento no web"='03.Muestra'!$D$8:$D$42,ROW('03.Muestra'!$F$8:$F$42)-MIN(ROW('03.Muestra'!$D$8:$D$42))+1,""),ROW()-1196)),"")</f>
        <v/>
      </c>
      <c r="D1211" s="130" t="str">
        <f t="shared" si="63"/>
        <v/>
      </c>
      <c r="E1211" s="107" t="str">
        <f t="shared" si="62"/>
        <v/>
      </c>
      <c r="F1211" s="19"/>
      <c r="G1211" s="19"/>
      <c r="H1211" s="19"/>
      <c r="I1211" s="19"/>
      <c r="J1211" s="19"/>
      <c r="K1211" s="233"/>
      <c r="L1211" s="19"/>
    </row>
    <row r="1212" spans="1:12" ht="13.5" customHeight="1">
      <c r="A1212" s="219" t="str" cm="1">
        <f t="array" ref="A1212">IFERROR(INDEX('03.Muestra'!$B$8:$B$42,SMALL(IF("Documento no web"='03.Muestra'!$D$8:$D$42,ROW('03.Muestra'!$B$8:$B$42)-MIN(ROW('03.Muestra'!$D$8:$D$42))+1,""),ROW()-1196)),"")</f>
        <v/>
      </c>
      <c r="B1212" s="114" t="str" cm="1">
        <f t="array" ref="B1212">IFERROR(INDEX('03.Muestra'!$C$8:$C$42,SMALL(IF("Documento no web"='03.Muestra'!$D$8:$D$42,ROW('03.Muestra'!$C$8:$C$42)-MIN(ROW('03.Muestra'!$D$8:$D$42))+1,""),ROW()-1196)),"")</f>
        <v/>
      </c>
      <c r="C1212" s="114" t="str" cm="1">
        <f t="array" ref="C1212">IFERROR(INDEX('03.Muestra'!$F$8:$F$42,SMALL(IF("Documento no web"='03.Muestra'!$D$8:$D$42,ROW('03.Muestra'!$F$8:$F$42)-MIN(ROW('03.Muestra'!$D$8:$D$42))+1,""),ROW()-1196)),"")</f>
        <v/>
      </c>
      <c r="D1212" s="130" t="str">
        <f t="shared" si="63"/>
        <v/>
      </c>
      <c r="E1212" s="107" t="str">
        <f t="shared" si="62"/>
        <v/>
      </c>
      <c r="F1212" s="19"/>
      <c r="G1212" s="19"/>
      <c r="H1212" s="19"/>
      <c r="I1212" s="19"/>
      <c r="J1212" s="19"/>
      <c r="K1212" s="233"/>
      <c r="L1212" s="19"/>
    </row>
    <row r="1213" spans="1:12" ht="13.5" customHeight="1">
      <c r="A1213" s="219" t="str" cm="1">
        <f t="array" ref="A1213">IFERROR(INDEX('03.Muestra'!$B$8:$B$42,SMALL(IF("Documento no web"='03.Muestra'!$D$8:$D$42,ROW('03.Muestra'!$B$8:$B$42)-MIN(ROW('03.Muestra'!$D$8:$D$42))+1,""),ROW()-1196)),"")</f>
        <v/>
      </c>
      <c r="B1213" s="114" t="str" cm="1">
        <f t="array" ref="B1213">IFERROR(INDEX('03.Muestra'!$C$8:$C$42,SMALL(IF("Documento no web"='03.Muestra'!$D$8:$D$42,ROW('03.Muestra'!$C$8:$C$42)-MIN(ROW('03.Muestra'!$D$8:$D$42))+1,""),ROW()-1196)),"")</f>
        <v/>
      </c>
      <c r="C1213" s="114" t="str" cm="1">
        <f t="array" ref="C1213">IFERROR(INDEX('03.Muestra'!$F$8:$F$42,SMALL(IF("Documento no web"='03.Muestra'!$D$8:$D$42,ROW('03.Muestra'!$F$8:$F$42)-MIN(ROW('03.Muestra'!$D$8:$D$42))+1,""),ROW()-1196)),"")</f>
        <v/>
      </c>
      <c r="D1213" s="130" t="str">
        <f t="shared" si="63"/>
        <v/>
      </c>
      <c r="E1213" s="107" t="str">
        <f t="shared" si="62"/>
        <v/>
      </c>
      <c r="F1213" s="19"/>
      <c r="G1213" s="19"/>
      <c r="H1213" s="19"/>
      <c r="I1213" s="19"/>
      <c r="J1213" s="19"/>
      <c r="K1213" s="233"/>
      <c r="L1213" s="19"/>
    </row>
    <row r="1214" spans="1:12" ht="13.5" customHeight="1">
      <c r="A1214" s="219" t="str" cm="1">
        <f t="array" ref="A1214">IFERROR(INDEX('03.Muestra'!$B$8:$B$42,SMALL(IF("Documento no web"='03.Muestra'!$D$8:$D$42,ROW('03.Muestra'!$B$8:$B$42)-MIN(ROW('03.Muestra'!$D$8:$D$42))+1,""),ROW()-1196)),"")</f>
        <v/>
      </c>
      <c r="B1214" s="114" t="str" cm="1">
        <f t="array" ref="B1214">IFERROR(INDEX('03.Muestra'!$C$8:$C$42,SMALL(IF("Documento no web"='03.Muestra'!$D$8:$D$42,ROW('03.Muestra'!$C$8:$C$42)-MIN(ROW('03.Muestra'!$D$8:$D$42))+1,""),ROW()-1196)),"")</f>
        <v/>
      </c>
      <c r="C1214" s="114" t="str" cm="1">
        <f t="array" ref="C1214">IFERROR(INDEX('03.Muestra'!$F$8:$F$42,SMALL(IF("Documento no web"='03.Muestra'!$D$8:$D$42,ROW('03.Muestra'!$F$8:$F$42)-MIN(ROW('03.Muestra'!$D$8:$D$42))+1,""),ROW()-1196)),"")</f>
        <v/>
      </c>
      <c r="D1214" s="130" t="str">
        <f t="shared" si="63"/>
        <v/>
      </c>
      <c r="E1214" s="107" t="str">
        <f t="shared" si="62"/>
        <v/>
      </c>
      <c r="F1214" s="19"/>
      <c r="G1214" s="19"/>
      <c r="H1214" s="19"/>
      <c r="I1214" s="19"/>
      <c r="J1214" s="19"/>
      <c r="K1214" s="233"/>
      <c r="L1214" s="19"/>
    </row>
    <row r="1215" spans="1:12" ht="13.5" customHeight="1">
      <c r="A1215" s="219" t="str" cm="1">
        <f t="array" ref="A1215">IFERROR(INDEX('03.Muestra'!$B$8:$B$42,SMALL(IF("Documento no web"='03.Muestra'!$D$8:$D$42,ROW('03.Muestra'!$B$8:$B$42)-MIN(ROW('03.Muestra'!$D$8:$D$42))+1,""),ROW()-1196)),"")</f>
        <v/>
      </c>
      <c r="B1215" s="114" t="str" cm="1">
        <f t="array" ref="B1215">IFERROR(INDEX('03.Muestra'!$C$8:$C$42,SMALL(IF("Documento no web"='03.Muestra'!$D$8:$D$42,ROW('03.Muestra'!$C$8:$C$42)-MIN(ROW('03.Muestra'!$D$8:$D$42))+1,""),ROW()-1196)),"")</f>
        <v/>
      </c>
      <c r="C1215" s="114" t="str" cm="1">
        <f t="array" ref="C1215">IFERROR(INDEX('03.Muestra'!$F$8:$F$42,SMALL(IF("Documento no web"='03.Muestra'!$D$8:$D$42,ROW('03.Muestra'!$F$8:$F$42)-MIN(ROW('03.Muestra'!$D$8:$D$42))+1,""),ROW()-1196)),"")</f>
        <v/>
      </c>
      <c r="D1215" s="130" t="str">
        <f t="shared" si="63"/>
        <v/>
      </c>
      <c r="E1215" s="107" t="str">
        <f t="shared" si="62"/>
        <v/>
      </c>
      <c r="F1215" s="19"/>
      <c r="G1215" s="19"/>
      <c r="H1215" s="19"/>
      <c r="I1215" s="19"/>
      <c r="J1215" s="19"/>
      <c r="K1215" s="233"/>
      <c r="L1215" s="19"/>
    </row>
    <row r="1216" spans="1:12" ht="13.5" customHeight="1">
      <c r="A1216" s="219" t="str" cm="1">
        <f t="array" ref="A1216">IFERROR(INDEX('03.Muestra'!$B$8:$B$42,SMALL(IF("Documento no web"='03.Muestra'!$D$8:$D$42,ROW('03.Muestra'!$B$8:$B$42)-MIN(ROW('03.Muestra'!$D$8:$D$42))+1,""),ROW()-1196)),"")</f>
        <v/>
      </c>
      <c r="B1216" s="114" t="str" cm="1">
        <f t="array" ref="B1216">IFERROR(INDEX('03.Muestra'!$C$8:$C$42,SMALL(IF("Documento no web"='03.Muestra'!$D$8:$D$42,ROW('03.Muestra'!$C$8:$C$42)-MIN(ROW('03.Muestra'!$D$8:$D$42))+1,""),ROW()-1196)),"")</f>
        <v/>
      </c>
      <c r="C1216" s="114" t="str" cm="1">
        <f t="array" ref="C1216">IFERROR(INDEX('03.Muestra'!$F$8:$F$42,SMALL(IF("Documento no web"='03.Muestra'!$D$8:$D$42,ROW('03.Muestra'!$F$8:$F$42)-MIN(ROW('03.Muestra'!$D$8:$D$42))+1,""),ROW()-1196)),"")</f>
        <v/>
      </c>
      <c r="D1216" s="130" t="str">
        <f t="shared" si="63"/>
        <v/>
      </c>
      <c r="E1216" s="107" t="str">
        <f t="shared" si="62"/>
        <v/>
      </c>
      <c r="F1216" s="19"/>
      <c r="G1216" s="19"/>
      <c r="H1216" s="19"/>
      <c r="I1216" s="19"/>
      <c r="J1216" s="19"/>
      <c r="K1216" s="233"/>
      <c r="L1216" s="19"/>
    </row>
    <row r="1217" spans="1:12" ht="13.5" customHeight="1">
      <c r="A1217" s="219" t="str" cm="1">
        <f t="array" ref="A1217">IFERROR(INDEX('03.Muestra'!$B$8:$B$42,SMALL(IF("Documento no web"='03.Muestra'!$D$8:$D$42,ROW('03.Muestra'!$B$8:$B$42)-MIN(ROW('03.Muestra'!$D$8:$D$42))+1,""),ROW()-1196)),"")</f>
        <v/>
      </c>
      <c r="B1217" s="114" t="str" cm="1">
        <f t="array" ref="B1217">IFERROR(INDEX('03.Muestra'!$C$8:$C$42,SMALL(IF("Documento no web"='03.Muestra'!$D$8:$D$42,ROW('03.Muestra'!$C$8:$C$42)-MIN(ROW('03.Muestra'!$D$8:$D$42))+1,""),ROW()-1196)),"")</f>
        <v/>
      </c>
      <c r="C1217" s="114" t="str" cm="1">
        <f t="array" ref="C1217">IFERROR(INDEX('03.Muestra'!$F$8:$F$42,SMALL(IF("Documento no web"='03.Muestra'!$D$8:$D$42,ROW('03.Muestra'!$F$8:$F$42)-MIN(ROW('03.Muestra'!$D$8:$D$42))+1,""),ROW()-1196)),"")</f>
        <v/>
      </c>
      <c r="D1217" s="130" t="str">
        <f t="shared" si="63"/>
        <v/>
      </c>
      <c r="E1217" s="107" t="str">
        <f t="shared" si="62"/>
        <v/>
      </c>
      <c r="F1217" s="19"/>
      <c r="G1217" s="19"/>
      <c r="H1217" s="19"/>
      <c r="I1217" s="19"/>
      <c r="J1217" s="19"/>
      <c r="K1217" s="233"/>
      <c r="L1217" s="19"/>
    </row>
    <row r="1218" spans="1:12" ht="13.5" customHeight="1">
      <c r="A1218" s="219" t="str" cm="1">
        <f t="array" ref="A1218">IFERROR(INDEX('03.Muestra'!$B$8:$B$42,SMALL(IF("Documento no web"='03.Muestra'!$D$8:$D$42,ROW('03.Muestra'!$B$8:$B$42)-MIN(ROW('03.Muestra'!$D$8:$D$42))+1,""),ROW()-1196)),"")</f>
        <v/>
      </c>
      <c r="B1218" s="114" t="str" cm="1">
        <f t="array" ref="B1218">IFERROR(INDEX('03.Muestra'!$C$8:$C$42,SMALL(IF("Documento no web"='03.Muestra'!$D$8:$D$42,ROW('03.Muestra'!$C$8:$C$42)-MIN(ROW('03.Muestra'!$D$8:$D$42))+1,""),ROW()-1196)),"")</f>
        <v/>
      </c>
      <c r="C1218" s="114" t="str" cm="1">
        <f t="array" ref="C1218">IFERROR(INDEX('03.Muestra'!$F$8:$F$42,SMALL(IF("Documento no web"='03.Muestra'!$D$8:$D$42,ROW('03.Muestra'!$F$8:$F$42)-MIN(ROW('03.Muestra'!$D$8:$D$42))+1,""),ROW()-1196)),"")</f>
        <v/>
      </c>
      <c r="D1218" s="130" t="str">
        <f t="shared" si="63"/>
        <v/>
      </c>
      <c r="E1218" s="107" t="str">
        <f t="shared" si="62"/>
        <v/>
      </c>
      <c r="F1218" s="19"/>
      <c r="G1218" s="19"/>
      <c r="H1218" s="19"/>
      <c r="I1218" s="19"/>
      <c r="J1218" s="19"/>
      <c r="K1218" s="233"/>
      <c r="L1218" s="19"/>
    </row>
    <row r="1219" spans="1:12" ht="13.5" customHeight="1">
      <c r="A1219" s="219" t="str" cm="1">
        <f t="array" ref="A1219">IFERROR(INDEX('03.Muestra'!$B$8:$B$42,SMALL(IF("Documento no web"='03.Muestra'!$D$8:$D$42,ROW('03.Muestra'!$B$8:$B$42)-MIN(ROW('03.Muestra'!$D$8:$D$42))+1,""),ROW()-1196)),"")</f>
        <v/>
      </c>
      <c r="B1219" s="114" t="str" cm="1">
        <f t="array" ref="B1219">IFERROR(INDEX('03.Muestra'!$C$8:$C$42,SMALL(IF("Documento no web"='03.Muestra'!$D$8:$D$42,ROW('03.Muestra'!$C$8:$C$42)-MIN(ROW('03.Muestra'!$D$8:$D$42))+1,""),ROW()-1196)),"")</f>
        <v/>
      </c>
      <c r="C1219" s="114" t="str" cm="1">
        <f t="array" ref="C1219">IFERROR(INDEX('03.Muestra'!$F$8:$F$42,SMALL(IF("Documento no web"='03.Muestra'!$D$8:$D$42,ROW('03.Muestra'!$F$8:$F$42)-MIN(ROW('03.Muestra'!$D$8:$D$42))+1,""),ROW()-1196)),"")</f>
        <v/>
      </c>
      <c r="D1219" s="130" t="str">
        <f t="shared" si="63"/>
        <v/>
      </c>
      <c r="E1219" s="107" t="str">
        <f t="shared" si="62"/>
        <v/>
      </c>
      <c r="F1219" s="19"/>
      <c r="G1219" s="19"/>
      <c r="H1219" s="19"/>
      <c r="I1219" s="19"/>
      <c r="J1219" s="19"/>
      <c r="K1219" s="233"/>
      <c r="L1219" s="19"/>
    </row>
    <row r="1220" spans="1:12" ht="13.5" customHeight="1">
      <c r="A1220" s="219" t="str" cm="1">
        <f t="array" ref="A1220">IFERROR(INDEX('03.Muestra'!$B$8:$B$42,SMALL(IF("Documento no web"='03.Muestra'!$D$8:$D$42,ROW('03.Muestra'!$B$8:$B$42)-MIN(ROW('03.Muestra'!$D$8:$D$42))+1,""),ROW()-1196)),"")</f>
        <v/>
      </c>
      <c r="B1220" s="114" t="str" cm="1">
        <f t="array" ref="B1220">IFERROR(INDEX('03.Muestra'!$C$8:$C$42,SMALL(IF("Documento no web"='03.Muestra'!$D$8:$D$42,ROW('03.Muestra'!$C$8:$C$42)-MIN(ROW('03.Muestra'!$D$8:$D$42))+1,""),ROW()-1196)),"")</f>
        <v/>
      </c>
      <c r="C1220" s="114" t="str" cm="1">
        <f t="array" ref="C1220">IFERROR(INDEX('03.Muestra'!$F$8:$F$42,SMALL(IF("Documento no web"='03.Muestra'!$D$8:$D$42,ROW('03.Muestra'!$F$8:$F$42)-MIN(ROW('03.Muestra'!$D$8:$D$42))+1,""),ROW()-1196)),"")</f>
        <v/>
      </c>
      <c r="D1220" s="130" t="str">
        <f t="shared" si="63"/>
        <v/>
      </c>
      <c r="E1220" s="107" t="str">
        <f t="shared" si="62"/>
        <v/>
      </c>
      <c r="F1220" s="19"/>
      <c r="G1220" s="19"/>
      <c r="H1220" s="19"/>
      <c r="I1220" s="19"/>
      <c r="J1220" s="19"/>
      <c r="K1220" s="233"/>
      <c r="L1220" s="19"/>
    </row>
    <row r="1221" spans="1:12" ht="13.5" customHeight="1">
      <c r="A1221" s="219" t="str" cm="1">
        <f t="array" ref="A1221">IFERROR(INDEX('03.Muestra'!$B$8:$B$42,SMALL(IF("Documento no web"='03.Muestra'!$D$8:$D$42,ROW('03.Muestra'!$B$8:$B$42)-MIN(ROW('03.Muestra'!$D$8:$D$42))+1,""),ROW()-1196)),"")</f>
        <v/>
      </c>
      <c r="B1221" s="114" t="str" cm="1">
        <f t="array" ref="B1221">IFERROR(INDEX('03.Muestra'!$C$8:$C$42,SMALL(IF("Documento no web"='03.Muestra'!$D$8:$D$42,ROW('03.Muestra'!$C$8:$C$42)-MIN(ROW('03.Muestra'!$D$8:$D$42))+1,""),ROW()-1196)),"")</f>
        <v/>
      </c>
      <c r="C1221" s="114" t="str" cm="1">
        <f t="array" ref="C1221">IFERROR(INDEX('03.Muestra'!$F$8:$F$42,SMALL(IF("Documento no web"='03.Muestra'!$D$8:$D$42,ROW('03.Muestra'!$F$8:$F$42)-MIN(ROW('03.Muestra'!$D$8:$D$42))+1,""),ROW()-1196)),"")</f>
        <v/>
      </c>
      <c r="D1221" s="130" t="str">
        <f t="shared" si="63"/>
        <v/>
      </c>
      <c r="E1221" s="107" t="str">
        <f t="shared" si="62"/>
        <v/>
      </c>
      <c r="F1221" s="19"/>
      <c r="G1221" s="19"/>
      <c r="H1221" s="19"/>
      <c r="I1221" s="19"/>
      <c r="J1221" s="19"/>
      <c r="K1221" s="233"/>
      <c r="L1221" s="19"/>
    </row>
    <row r="1222" spans="1:12" ht="13.5" customHeight="1">
      <c r="A1222" s="219" t="str" cm="1">
        <f t="array" ref="A1222">IFERROR(INDEX('03.Muestra'!$B$8:$B$42,SMALL(IF("Documento no web"='03.Muestra'!$D$8:$D$42,ROW('03.Muestra'!$B$8:$B$42)-MIN(ROW('03.Muestra'!$D$8:$D$42))+1,""),ROW()-1196)),"")</f>
        <v/>
      </c>
      <c r="B1222" s="114" t="str" cm="1">
        <f t="array" ref="B1222">IFERROR(INDEX('03.Muestra'!$C$8:$C$42,SMALL(IF("Documento no web"='03.Muestra'!$D$8:$D$42,ROW('03.Muestra'!$C$8:$C$42)-MIN(ROW('03.Muestra'!$D$8:$D$42))+1,""),ROW()-1196)),"")</f>
        <v/>
      </c>
      <c r="C1222" s="114" t="str" cm="1">
        <f t="array" ref="C1222">IFERROR(INDEX('03.Muestra'!$F$8:$F$42,SMALL(IF("Documento no web"='03.Muestra'!$D$8:$D$42,ROW('03.Muestra'!$F$8:$F$42)-MIN(ROW('03.Muestra'!$D$8:$D$42))+1,""),ROW()-1196)),"")</f>
        <v/>
      </c>
      <c r="D1222" s="130" t="str">
        <f t="shared" si="63"/>
        <v/>
      </c>
      <c r="E1222" s="107" t="str">
        <f t="shared" si="62"/>
        <v/>
      </c>
      <c r="F1222" s="19"/>
      <c r="G1222" s="19"/>
      <c r="H1222" s="19"/>
      <c r="I1222" s="19"/>
      <c r="J1222" s="19"/>
      <c r="K1222" s="233"/>
      <c r="L1222" s="19"/>
    </row>
    <row r="1223" spans="1:12" ht="13.5" customHeight="1">
      <c r="A1223" s="219" t="str" cm="1">
        <f t="array" ref="A1223">IFERROR(INDEX('03.Muestra'!$B$8:$B$42,SMALL(IF("Documento no web"='03.Muestra'!$D$8:$D$42,ROW('03.Muestra'!$B$8:$B$42)-MIN(ROW('03.Muestra'!$D$8:$D$42))+1,""),ROW()-1196)),"")</f>
        <v/>
      </c>
      <c r="B1223" s="114" t="str" cm="1">
        <f t="array" ref="B1223">IFERROR(INDEX('03.Muestra'!$C$8:$C$42,SMALL(IF("Documento no web"='03.Muestra'!$D$8:$D$42,ROW('03.Muestra'!$C$8:$C$42)-MIN(ROW('03.Muestra'!$D$8:$D$42))+1,""),ROW()-1196)),"")</f>
        <v/>
      </c>
      <c r="C1223" s="114" t="str" cm="1">
        <f t="array" ref="C1223">IFERROR(INDEX('03.Muestra'!$F$8:$F$42,SMALL(IF("Documento no web"='03.Muestra'!$D$8:$D$42,ROW('03.Muestra'!$F$8:$F$42)-MIN(ROW('03.Muestra'!$D$8:$D$42))+1,""),ROW()-1196)),"")</f>
        <v/>
      </c>
      <c r="D1223" s="130" t="str">
        <f t="shared" si="63"/>
        <v/>
      </c>
      <c r="E1223" s="107" t="str">
        <f t="shared" si="62"/>
        <v/>
      </c>
      <c r="F1223" s="19"/>
      <c r="G1223" s="19"/>
      <c r="H1223" s="19"/>
      <c r="I1223" s="19"/>
      <c r="J1223" s="19"/>
      <c r="K1223" s="233"/>
      <c r="L1223" s="19"/>
    </row>
    <row r="1224" spans="1:12" ht="13.5" customHeight="1">
      <c r="A1224" s="219" t="str" cm="1">
        <f t="array" ref="A1224">IFERROR(INDEX('03.Muestra'!$B$8:$B$42,SMALL(IF("Documento no web"='03.Muestra'!$D$8:$D$42,ROW('03.Muestra'!$B$8:$B$42)-MIN(ROW('03.Muestra'!$D$8:$D$42))+1,""),ROW()-1196)),"")</f>
        <v/>
      </c>
      <c r="B1224" s="114" t="str" cm="1">
        <f t="array" ref="B1224">IFERROR(INDEX('03.Muestra'!$C$8:$C$42,SMALL(IF("Documento no web"='03.Muestra'!$D$8:$D$42,ROW('03.Muestra'!$C$8:$C$42)-MIN(ROW('03.Muestra'!$D$8:$D$42))+1,""),ROW()-1196)),"")</f>
        <v/>
      </c>
      <c r="C1224" s="114" t="str" cm="1">
        <f t="array" ref="C1224">IFERROR(INDEX('03.Muestra'!$F$8:$F$42,SMALL(IF("Documento no web"='03.Muestra'!$D$8:$D$42,ROW('03.Muestra'!$F$8:$F$42)-MIN(ROW('03.Muestra'!$D$8:$D$42))+1,""),ROW()-1196)),"")</f>
        <v/>
      </c>
      <c r="D1224" s="130" t="str">
        <f t="shared" si="63"/>
        <v/>
      </c>
      <c r="E1224" s="107" t="str">
        <f t="shared" si="62"/>
        <v/>
      </c>
      <c r="G1224" s="19"/>
      <c r="H1224" s="19"/>
      <c r="I1224" s="19"/>
      <c r="J1224" s="19"/>
      <c r="K1224" s="233"/>
      <c r="L1224" s="19"/>
    </row>
    <row r="1225" spans="1:12" ht="13.5" customHeight="1">
      <c r="A1225" s="219" t="str" cm="1">
        <f t="array" ref="A1225">IFERROR(INDEX('03.Muestra'!$B$8:$B$42,SMALL(IF("Documento no web"='03.Muestra'!$D$8:$D$42,ROW('03.Muestra'!$B$8:$B$42)-MIN(ROW('03.Muestra'!$D$8:$D$42))+1,""),ROW()-1196)),"")</f>
        <v/>
      </c>
      <c r="B1225" s="114" t="str" cm="1">
        <f t="array" ref="B1225">IFERROR(INDEX('03.Muestra'!$C$8:$C$42,SMALL(IF("Documento no web"='03.Muestra'!$D$8:$D$42,ROW('03.Muestra'!$C$8:$C$42)-MIN(ROW('03.Muestra'!$D$8:$D$42))+1,""),ROW()-1196)),"")</f>
        <v/>
      </c>
      <c r="C1225" s="114" t="str" cm="1">
        <f t="array" ref="C1225">IFERROR(INDEX('03.Muestra'!$F$8:$F$42,SMALL(IF("Documento no web"='03.Muestra'!$D$8:$D$42,ROW('03.Muestra'!$F$8:$F$42)-MIN(ROW('03.Muestra'!$D$8:$D$42))+1,""),ROW()-1196)),"")</f>
        <v/>
      </c>
      <c r="D1225" s="130" t="str">
        <f t="shared" si="63"/>
        <v/>
      </c>
      <c r="E1225" s="107" t="str">
        <f t="shared" si="62"/>
        <v/>
      </c>
      <c r="F1225" s="124"/>
      <c r="G1225" s="19"/>
      <c r="H1225" s="19"/>
      <c r="I1225" s="19"/>
      <c r="J1225" s="19"/>
      <c r="K1225" s="233"/>
      <c r="L1225" s="19"/>
    </row>
    <row r="1226" spans="1:12" ht="13.5" customHeight="1">
      <c r="A1226" s="219" t="str" cm="1">
        <f t="array" ref="A1226">IFERROR(INDEX('03.Muestra'!$B$8:$B$42,SMALL(IF("Documento no web"='03.Muestra'!$D$8:$D$42,ROW('03.Muestra'!$B$8:$B$42)-MIN(ROW('03.Muestra'!$D$8:$D$42))+1,""),ROW()-1196)),"")</f>
        <v/>
      </c>
      <c r="B1226" s="114" t="str" cm="1">
        <f t="array" ref="B1226">IFERROR(INDEX('03.Muestra'!$C$8:$C$42,SMALL(IF("Documento no web"='03.Muestra'!$D$8:$D$42,ROW('03.Muestra'!$C$8:$C$42)-MIN(ROW('03.Muestra'!$D$8:$D$42))+1,""),ROW()-1196)),"")</f>
        <v/>
      </c>
      <c r="C1226" s="114" t="str" cm="1">
        <f t="array" ref="C1226">IFERROR(INDEX('03.Muestra'!$F$8:$F$42,SMALL(IF("Documento no web"='03.Muestra'!$D$8:$D$42,ROW('03.Muestra'!$F$8:$F$42)-MIN(ROW('03.Muestra'!$D$8:$D$42))+1,""),ROW()-1196)),"")</f>
        <v/>
      </c>
      <c r="D1226" s="130" t="str">
        <f t="shared" si="63"/>
        <v/>
      </c>
      <c r="E1226" s="107" t="str">
        <f t="shared" si="62"/>
        <v/>
      </c>
      <c r="F1226" s="124"/>
      <c r="G1226" s="19"/>
      <c r="H1226" s="19"/>
      <c r="I1226" s="19"/>
      <c r="J1226" s="19"/>
      <c r="K1226" s="233"/>
      <c r="L1226" s="19"/>
    </row>
    <row r="1227" spans="1:12" ht="13.5" customHeight="1">
      <c r="A1227" s="219" t="str" cm="1">
        <f t="array" ref="A1227">IFERROR(INDEX('03.Muestra'!$B$8:$B$42,SMALL(IF("Documento no web"='03.Muestra'!$D$8:$D$42,ROW('03.Muestra'!$B$8:$B$42)-MIN(ROW('03.Muestra'!$D$8:$D$42))+1,""),ROW()-1196)),"")</f>
        <v/>
      </c>
      <c r="B1227" s="114" t="str" cm="1">
        <f t="array" ref="B1227">IFERROR(INDEX('03.Muestra'!$C$8:$C$42,SMALL(IF("Documento no web"='03.Muestra'!$D$8:$D$42,ROW('03.Muestra'!$C$8:$C$42)-MIN(ROW('03.Muestra'!$D$8:$D$42))+1,""),ROW()-1196)),"")</f>
        <v/>
      </c>
      <c r="C1227" s="114" t="str" cm="1">
        <f t="array" ref="C1227">IFERROR(INDEX('03.Muestra'!$F$8:$F$42,SMALL(IF("Documento no web"='03.Muestra'!$D$8:$D$42,ROW('03.Muestra'!$F$8:$F$42)-MIN(ROW('03.Muestra'!$D$8:$D$42))+1,""),ROW()-1196)),"")</f>
        <v/>
      </c>
      <c r="D1227" s="130" t="str">
        <f t="shared" si="63"/>
        <v/>
      </c>
      <c r="E1227" s="107" t="str">
        <f t="shared" si="62"/>
        <v/>
      </c>
      <c r="F1227" s="124"/>
      <c r="G1227" s="19"/>
      <c r="H1227" s="19"/>
      <c r="I1227" s="19"/>
      <c r="J1227" s="19"/>
      <c r="K1227" s="233"/>
      <c r="L1227" s="19"/>
    </row>
    <row r="1228" spans="1:12" ht="13.5" customHeight="1">
      <c r="A1228" s="219" t="str" cm="1">
        <f t="array" ref="A1228">IFERROR(INDEX('03.Muestra'!$B$8:$B$42,SMALL(IF("Documento no web"='03.Muestra'!$D$8:$D$42,ROW('03.Muestra'!$B$8:$B$42)-MIN(ROW('03.Muestra'!$D$8:$D$42))+1,""),ROW()-1196)),"")</f>
        <v/>
      </c>
      <c r="B1228" s="114" t="str" cm="1">
        <f t="array" ref="B1228">IFERROR(INDEX('03.Muestra'!$C$8:$C$42,SMALL(IF("Documento no web"='03.Muestra'!$D$8:$D$42,ROW('03.Muestra'!$C$8:$C$42)-MIN(ROW('03.Muestra'!$D$8:$D$42))+1,""),ROW()-1196)),"")</f>
        <v/>
      </c>
      <c r="C1228" s="114" t="str" cm="1">
        <f t="array" ref="C1228">IFERROR(INDEX('03.Muestra'!$F$8:$F$42,SMALL(IF("Documento no web"='03.Muestra'!$D$8:$D$42,ROW('03.Muestra'!$F$8:$F$42)-MIN(ROW('03.Muestra'!$D$8:$D$42))+1,""),ROW()-1196)),"")</f>
        <v/>
      </c>
      <c r="D1228" s="130" t="str">
        <f t="shared" si="63"/>
        <v/>
      </c>
      <c r="E1228" s="107" t="str">
        <f t="shared" si="62"/>
        <v/>
      </c>
      <c r="F1228" s="124"/>
      <c r="G1228" s="19"/>
      <c r="H1228" s="19"/>
      <c r="I1228" s="19"/>
      <c r="J1228" s="19"/>
      <c r="K1228" s="233"/>
      <c r="L1228" s="19"/>
    </row>
    <row r="1229" spans="1:12" ht="13.5" customHeight="1">
      <c r="A1229" s="219" t="str" cm="1">
        <f t="array" ref="A1229">IFERROR(INDEX('03.Muestra'!$B$8:$B$42,SMALL(IF("Documento no web"='03.Muestra'!$D$8:$D$42,ROW('03.Muestra'!$B$8:$B$42)-MIN(ROW('03.Muestra'!$D$8:$D$42))+1,""),ROW()-1196)),"")</f>
        <v/>
      </c>
      <c r="B1229" s="114" t="str" cm="1">
        <f t="array" ref="B1229">IFERROR(INDEX('03.Muestra'!$C$8:$C$42,SMALL(IF("Documento no web"='03.Muestra'!$D$8:$D$42,ROW('03.Muestra'!$C$8:$C$42)-MIN(ROW('03.Muestra'!$D$8:$D$42))+1,""),ROW()-1196)),"")</f>
        <v/>
      </c>
      <c r="C1229" s="114" t="str" cm="1">
        <f t="array" ref="C1229">IFERROR(INDEX('03.Muestra'!$F$8:$F$42,SMALL(IF("Documento no web"='03.Muestra'!$D$8:$D$42,ROW('03.Muestra'!$F$8:$F$42)-MIN(ROW('03.Muestra'!$D$8:$D$42))+1,""),ROW()-1196)),"")</f>
        <v/>
      </c>
      <c r="D1229" s="130" t="str">
        <f t="shared" si="63"/>
        <v/>
      </c>
      <c r="E1229" s="107" t="str">
        <f t="shared" si="62"/>
        <v/>
      </c>
      <c r="F1229" s="124"/>
      <c r="G1229" s="19"/>
      <c r="H1229" s="19"/>
      <c r="I1229" s="19"/>
      <c r="J1229" s="19"/>
      <c r="K1229" s="233"/>
      <c r="L1229" s="19"/>
    </row>
    <row r="1230" spans="1:12" ht="13.5" customHeight="1">
      <c r="A1230" s="219" t="str" cm="1">
        <f t="array" ref="A1230">IFERROR(INDEX('03.Muestra'!$B$8:$B$42,SMALL(IF("Documento no web"='03.Muestra'!$D$8:$D$42,ROW('03.Muestra'!$B$8:$B$42)-MIN(ROW('03.Muestra'!$D$8:$D$42))+1,""),ROW()-1196)),"")</f>
        <v/>
      </c>
      <c r="B1230" s="114" t="str" cm="1">
        <f t="array" ref="B1230">IFERROR(INDEX('03.Muestra'!$C$8:$C$42,SMALL(IF("Documento no web"='03.Muestra'!$D$8:$D$42,ROW('03.Muestra'!$C$8:$C$42)-MIN(ROW('03.Muestra'!$D$8:$D$42))+1,""),ROW()-1196)),"")</f>
        <v/>
      </c>
      <c r="C1230" s="114" t="str" cm="1">
        <f t="array" ref="C1230">IFERROR(INDEX('03.Muestra'!$F$8:$F$42,SMALL(IF("Documento no web"='03.Muestra'!$D$8:$D$42,ROW('03.Muestra'!$F$8:$F$42)-MIN(ROW('03.Muestra'!$D$8:$D$42))+1,""),ROW()-1196)),"")</f>
        <v/>
      </c>
      <c r="D1230" s="130" t="str">
        <f t="shared" si="63"/>
        <v/>
      </c>
      <c r="E1230" s="107" t="str">
        <f t="shared" si="62"/>
        <v/>
      </c>
      <c r="F1230" s="124"/>
      <c r="G1230" s="19"/>
      <c r="H1230" s="19"/>
      <c r="I1230" s="19"/>
      <c r="J1230" s="19"/>
      <c r="K1230" s="233"/>
      <c r="L1230" s="19"/>
    </row>
    <row r="1231" spans="1:12" ht="13.5" customHeight="1">
      <c r="A1231" s="219" t="str" cm="1">
        <f t="array" ref="A1231">IFERROR(INDEX('03.Muestra'!$B$8:$B$42,SMALL(IF("Documento no web"='03.Muestra'!$D$8:$D$42,ROW('03.Muestra'!$B$8:$B$42)-MIN(ROW('03.Muestra'!$D$8:$D$42))+1,""),ROW()-1196)),"")</f>
        <v/>
      </c>
      <c r="B1231" s="114" t="str" cm="1">
        <f t="array" ref="B1231">IFERROR(INDEX('03.Muestra'!$C$8:$C$42,SMALL(IF("Documento no web"='03.Muestra'!$D$8:$D$42,ROW('03.Muestra'!$C$8:$C$42)-MIN(ROW('03.Muestra'!$D$8:$D$42))+1,""),ROW()-1196)),"")</f>
        <v/>
      </c>
      <c r="C1231" s="114" t="str" cm="1">
        <f t="array" ref="C1231">IFERROR(INDEX('03.Muestra'!$F$8:$F$42,SMALL(IF("Documento no web"='03.Muestra'!$D$8:$D$42,ROW('03.Muestra'!$F$8:$F$42)-MIN(ROW('03.Muestra'!$D$8:$D$42))+1,""),ROW()-1196)),"")</f>
        <v/>
      </c>
      <c r="D1231" s="130" t="str">
        <f t="shared" si="63"/>
        <v/>
      </c>
      <c r="E1231" s="107" t="str">
        <f t="shared" si="62"/>
        <v/>
      </c>
      <c r="F1231" s="19"/>
      <c r="G1231" s="19"/>
      <c r="H1231" s="19"/>
      <c r="I1231" s="19"/>
      <c r="J1231" s="19"/>
      <c r="K1231" s="233"/>
      <c r="L1231" s="19"/>
    </row>
    <row r="1232" spans="1:12" ht="13.5" customHeight="1">
      <c r="B1232" s="19"/>
      <c r="C1232" s="19"/>
      <c r="D1232" s="107"/>
      <c r="E1232" s="19"/>
      <c r="F1232" s="19"/>
      <c r="G1232" s="19"/>
      <c r="H1232" s="19"/>
      <c r="I1232" s="19"/>
      <c r="J1232" s="19"/>
      <c r="K1232" s="233"/>
      <c r="L1232" s="19"/>
    </row>
    <row r="1233" spans="1:12" ht="13.5" customHeight="1">
      <c r="B1233" s="126"/>
      <c r="C1233" s="19"/>
      <c r="D1233" s="107"/>
      <c r="E1233" s="19"/>
      <c r="F1233" s="19"/>
      <c r="G1233" s="19"/>
      <c r="H1233" s="19"/>
      <c r="I1233" s="19"/>
      <c r="J1233" s="19"/>
      <c r="K1233" s="233"/>
      <c r="L1233" s="19"/>
    </row>
    <row r="1234" spans="1:12" ht="30" customHeight="1">
      <c r="A1234" s="218" t="s">
        <v>268</v>
      </c>
      <c r="B1234" s="24" t="s">
        <v>90</v>
      </c>
      <c r="C1234" s="25" t="s">
        <v>454</v>
      </c>
      <c r="D1234" s="26" t="s">
        <v>32</v>
      </c>
      <c r="E1234" s="123"/>
      <c r="K1234" s="233"/>
      <c r="L1234" s="19"/>
    </row>
    <row r="1235" spans="1:12" ht="13.5" customHeight="1">
      <c r="A1235" s="219" t="n" cm="1">
        <f t="array" ref="A1235">IFERROR(INDEX('03.Muestra'!$B$8:$B$42,SMALL(IF("Documento no web"='03.Muestra'!$D$8:$D$42,ROW('03.Muestra'!$B$8:$B$42)-MIN(ROW('03.Muestra'!$D$8:$D$42))+1,""),ROW()-1234)),"")</f>
        <v>1.0</v>
      </c>
      <c r="B1235" s="114" t="str" cm="1">
        <f t="array" ref="B1235">IFERROR(INDEX('03.Muestra'!$C$8:$C$42,SMALL(IF("Documento no web"='03.Muestra'!$D$8:$D$42,ROW('03.Muestra'!$C$8:$C$42)-MIN(ROW('03.Muestra'!$D$8:$D$42))+1,""),ROW()-1234)),"")</f>
        <v>Home - PortCastelló</v>
      </c>
      <c r="C1235" s="114" t="str" cm="1">
        <f t="array" ref="C1235">IFERROR(INDEX('03.Muestra'!$F$8:$F$42,SMALL(IF("Documento no web"='03.Muestra'!$D$8:$D$42,ROW('03.Muestra'!$F$8:$F$42)-MIN(ROW('03.Muestra'!$D$8:$D$42))+1,""),ROW()-1234)),"")</f>
        <v>https://www.portcastello.com/</v>
      </c>
      <c r="D1235" s="130" t="s">
        <v>33</v>
      </c>
      <c r="E1235" s="107" t="str">
        <f t="shared" ref="E1235:E1269" si="64">IF(D1235&lt;&gt;"",IF(AND(B1235&lt;&gt;"",C1235&lt;&gt;""),"","ERR"),"")</f>
        <v/>
      </c>
      <c r="F1235" s="115" t="s">
        <v>33</v>
      </c>
      <c r="G1235" s="116" t="s">
        <v>37</v>
      </c>
      <c r="H1235" s="117" t="s">
        <v>35</v>
      </c>
      <c r="I1235" s="118" t="s">
        <v>28</v>
      </c>
      <c r="J1235" s="119" t="s">
        <v>26</v>
      </c>
      <c r="K1235" s="226" t="s">
        <v>474</v>
      </c>
      <c r="L1235" s="19"/>
    </row>
    <row r="1236" spans="1:12" ht="13.5" customHeight="1">
      <c r="A1236" s="219" t="n" cm="1">
        <f t="array" ref="A1236">IFERROR(INDEX('03.Muestra'!$B$8:$B$42,SMALL(IF("Documento no web"='03.Muestra'!$D$8:$D$42,ROW('03.Muestra'!$B$8:$B$42)-MIN(ROW('03.Muestra'!$D$8:$D$42))+1,""),ROW()-1234)),"")</f>
        <v>1.0</v>
      </c>
      <c r="B1236" s="114" t="str" cm="1">
        <f t="array" ref="B1236">IFERROR(INDEX('03.Muestra'!$C$8:$C$42,SMALL(IF("Documento no web"='03.Muestra'!$D$8:$D$42,ROW('03.Muestra'!$C$8:$C$42)-MIN(ROW('03.Muestra'!$D$8:$D$42))+1,""),ROW()-1234)),"")</f>
        <v>Home - PortCastelló</v>
      </c>
      <c r="C1236" s="114" t="str" cm="1">
        <f t="array" ref="C1236">IFERROR(INDEX('03.Muestra'!$F$8:$F$42,SMALL(IF("Documento no web"='03.Muestra'!$D$8:$D$42,ROW('03.Muestra'!$F$8:$F$42)-MIN(ROW('03.Muestra'!$D$8:$D$42))+1,""),ROW()-1234)),"")</f>
        <v>https://www.portcastello.com/</v>
      </c>
      <c r="D1236" s="130" t="s">
        <v>33</v>
      </c>
      <c r="E1236" s="107" t="str">
        <f t="shared" si="64"/>
        <v/>
      </c>
      <c r="F1236" s="120" t="n">
        <f ca="1">COUNTIF($D1235:INDIRECT("$D" &amp;  SUM(ROW()-1,'03.Muestra'!$D$45)-1),F1235)</f>
        <v>2.0</v>
      </c>
      <c r="G1236" s="120" t="n">
        <f ca="1">COUNTIF($D1235:INDIRECT("$D" &amp;  SUM(ROW()-1,'03.Muestra'!$D$45)-1),G1235)</f>
        <v>0.0</v>
      </c>
      <c r="H1236" s="120" t="n">
        <f ca="1">COUNTIF($D1235:INDIRECT("$D" &amp;  SUM(ROW()-1,'03.Muestra'!$D$45)-1),H1235)</f>
        <v>0.0</v>
      </c>
      <c r="I1236" s="120" t="n">
        <f ca="1">COUNTIF($D1235:INDIRECT("$D" &amp;  SUM(ROW()-1,'03.Muestra'!$D$45)-1),I1235)</f>
        <v>0.0</v>
      </c>
      <c r="J1236" s="120" t="n">
        <f ca="1">COUNTIF($D1235:INDIRECT("$D" &amp;  SUM(ROW()-1,'03.Muestra'!$D$45)-1),J1235)</f>
        <v>0.0</v>
      </c>
      <c r="K1236" s="227" t="n">
        <f ca="1">IF(COUNTIF('03.Muestra'!$D$8:$D$42,"Documento no web")=0,0,COUNTBLANK($D1235:INDIRECT("$D" &amp;  SUM(ROW()-1,COUNTIF('03.Muestra'!$D$8:$D$42,"Documento no web"))-1)))</f>
        <v>0.0</v>
      </c>
      <c r="L1236" s="19"/>
    </row>
    <row r="1237" spans="1:12" ht="13.5" customHeight="1">
      <c r="A1237" s="219" t="str" cm="1">
        <f t="array" ref="A1237">IFERROR(INDEX('03.Muestra'!$B$8:$B$42,SMALL(IF("Documento no web"='03.Muestra'!$D$8:$D$42,ROW('03.Muestra'!$B$8:$B$42)-MIN(ROW('03.Muestra'!$D$8:$D$42))+1,""),ROW()-1234)),"")</f>
        <v/>
      </c>
      <c r="B1237" s="114" t="str" cm="1">
        <f t="array" ref="B1237">IFERROR(INDEX('03.Muestra'!$C$8:$C$42,SMALL(IF("Documento no web"='03.Muestra'!$D$8:$D$42,ROW('03.Muestra'!$C$8:$C$42)-MIN(ROW('03.Muestra'!$D$8:$D$42))+1,""),ROW()-1234)),"")</f>
        <v/>
      </c>
      <c r="C1237" s="114" t="str" cm="1">
        <f t="array" ref="C1237">IFERROR(INDEX('03.Muestra'!$F$8:$F$42,SMALL(IF("Documento no web"='03.Muestra'!$D$8:$D$42,ROW('03.Muestra'!$F$8:$F$42)-MIN(ROW('03.Muestra'!$D$8:$D$42))+1,""),ROW()-1234)),"")</f>
        <v/>
      </c>
      <c r="D1237" s="130" t="str">
        <f t="shared" si="65" ref="D1237:D1269">IF(AND(B1237&lt;&gt;"",C1237&lt;&gt;""),"N/T","")</f>
        <v/>
      </c>
      <c r="E1237" s="107" t="str">
        <f t="shared" si="64"/>
        <v/>
      </c>
      <c r="G1237" s="19"/>
      <c r="H1237" s="19"/>
      <c r="I1237" s="19"/>
      <c r="J1237" s="19"/>
      <c r="K1237" s="233"/>
      <c r="L1237" s="19"/>
    </row>
    <row r="1238" spans="1:12" ht="13.5" customHeight="1">
      <c r="A1238" s="219" t="str" cm="1">
        <f t="array" ref="A1238">IFERROR(INDEX('03.Muestra'!$B$8:$B$42,SMALL(IF("Documento no web"='03.Muestra'!$D$8:$D$42,ROW('03.Muestra'!$B$8:$B$42)-MIN(ROW('03.Muestra'!$D$8:$D$42))+1,""),ROW()-1234)),"")</f>
        <v/>
      </c>
      <c r="B1238" s="114" t="str" cm="1">
        <f t="array" ref="B1238">IFERROR(INDEX('03.Muestra'!$C$8:$C$42,SMALL(IF("Documento no web"='03.Muestra'!$D$8:$D$42,ROW('03.Muestra'!$C$8:$C$42)-MIN(ROW('03.Muestra'!$D$8:$D$42))+1,""),ROW()-1234)),"")</f>
        <v/>
      </c>
      <c r="C1238" s="114" t="str" cm="1">
        <f t="array" ref="C1238">IFERROR(INDEX('03.Muestra'!$F$8:$F$42,SMALL(IF("Documento no web"='03.Muestra'!$D$8:$D$42,ROW('03.Muestra'!$F$8:$F$42)-MIN(ROW('03.Muestra'!$D$8:$D$42))+1,""),ROW()-1234)),"")</f>
        <v/>
      </c>
      <c r="D1238" s="130" t="str">
        <f t="shared" si="65"/>
        <v/>
      </c>
      <c r="E1238" s="107" t="str">
        <f t="shared" si="64"/>
        <v/>
      </c>
      <c r="G1238" s="19"/>
      <c r="H1238" s="19"/>
      <c r="I1238" s="19"/>
      <c r="J1238" s="19"/>
      <c r="K1238" s="233"/>
      <c r="L1238" s="19"/>
    </row>
    <row r="1239" spans="1:12" ht="13.5" customHeight="1">
      <c r="A1239" s="219" t="str" cm="1">
        <f t="array" ref="A1239">IFERROR(INDEX('03.Muestra'!$B$8:$B$42,SMALL(IF("Documento no web"='03.Muestra'!$D$8:$D$42,ROW('03.Muestra'!$B$8:$B$42)-MIN(ROW('03.Muestra'!$D$8:$D$42))+1,""),ROW()-1234)),"")</f>
        <v/>
      </c>
      <c r="B1239" s="114" t="str" cm="1">
        <f t="array" ref="B1239">IFERROR(INDEX('03.Muestra'!$C$8:$C$42,SMALL(IF("Documento no web"='03.Muestra'!$D$8:$D$42,ROW('03.Muestra'!$C$8:$C$42)-MIN(ROW('03.Muestra'!$D$8:$D$42))+1,""),ROW()-1234)),"")</f>
        <v/>
      </c>
      <c r="C1239" s="114" t="str" cm="1">
        <f t="array" ref="C1239">IFERROR(INDEX('03.Muestra'!$F$8:$F$42,SMALL(IF("Documento no web"='03.Muestra'!$D$8:$D$42,ROW('03.Muestra'!$F$8:$F$42)-MIN(ROW('03.Muestra'!$D$8:$D$42))+1,""),ROW()-1234)),"")</f>
        <v/>
      </c>
      <c r="D1239" s="130" t="str">
        <f t="shared" si="65"/>
        <v/>
      </c>
      <c r="E1239" s="107" t="str">
        <f t="shared" si="64"/>
        <v/>
      </c>
      <c r="G1239" s="19"/>
      <c r="H1239" s="19"/>
      <c r="I1239" s="19"/>
      <c r="J1239" s="19"/>
      <c r="K1239" s="233"/>
      <c r="L1239" s="19"/>
    </row>
    <row r="1240" spans="1:12" ht="13.5" customHeight="1">
      <c r="A1240" s="219" t="str" cm="1">
        <f t="array" ref="A1240">IFERROR(INDEX('03.Muestra'!$B$8:$B$42,SMALL(IF("Documento no web"='03.Muestra'!$D$8:$D$42,ROW('03.Muestra'!$B$8:$B$42)-MIN(ROW('03.Muestra'!$D$8:$D$42))+1,""),ROW()-1234)),"")</f>
        <v/>
      </c>
      <c r="B1240" s="114" t="str" cm="1">
        <f t="array" ref="B1240">IFERROR(INDEX('03.Muestra'!$C$8:$C$42,SMALL(IF("Documento no web"='03.Muestra'!$D$8:$D$42,ROW('03.Muestra'!$C$8:$C$42)-MIN(ROW('03.Muestra'!$D$8:$D$42))+1,""),ROW()-1234)),"")</f>
        <v/>
      </c>
      <c r="C1240" s="114" t="str" cm="1">
        <f t="array" ref="C1240">IFERROR(INDEX('03.Muestra'!$F$8:$F$42,SMALL(IF("Documento no web"='03.Muestra'!$D$8:$D$42,ROW('03.Muestra'!$F$8:$F$42)-MIN(ROW('03.Muestra'!$D$8:$D$42))+1,""),ROW()-1234)),"")</f>
        <v/>
      </c>
      <c r="D1240" s="130" t="str">
        <f t="shared" si="65"/>
        <v/>
      </c>
      <c r="E1240" s="107" t="str">
        <f t="shared" si="64"/>
        <v/>
      </c>
      <c r="G1240" s="19"/>
      <c r="H1240" s="19"/>
      <c r="I1240" s="19"/>
      <c r="J1240" s="19"/>
      <c r="K1240" s="233"/>
      <c r="L1240" s="19"/>
    </row>
    <row r="1241" spans="1:12" ht="13.5" customHeight="1">
      <c r="A1241" s="219" t="str" cm="1">
        <f t="array" ref="A1241">IFERROR(INDEX('03.Muestra'!$B$8:$B$42,SMALL(IF("Documento no web"='03.Muestra'!$D$8:$D$42,ROW('03.Muestra'!$B$8:$B$42)-MIN(ROW('03.Muestra'!$D$8:$D$42))+1,""),ROW()-1234)),"")</f>
        <v/>
      </c>
      <c r="B1241" s="114" t="str" cm="1">
        <f t="array" ref="B1241">IFERROR(INDEX('03.Muestra'!$C$8:$C$42,SMALL(IF("Documento no web"='03.Muestra'!$D$8:$D$42,ROW('03.Muestra'!$C$8:$C$42)-MIN(ROW('03.Muestra'!$D$8:$D$42))+1,""),ROW()-1234)),"")</f>
        <v/>
      </c>
      <c r="C1241" s="114" t="str" cm="1">
        <f t="array" ref="C1241">IFERROR(INDEX('03.Muestra'!$F$8:$F$42,SMALL(IF("Documento no web"='03.Muestra'!$D$8:$D$42,ROW('03.Muestra'!$F$8:$F$42)-MIN(ROW('03.Muestra'!$D$8:$D$42))+1,""),ROW()-1234)),"")</f>
        <v/>
      </c>
      <c r="D1241" s="130" t="str">
        <f t="shared" si="65"/>
        <v/>
      </c>
      <c r="E1241" s="107" t="str">
        <f t="shared" si="64"/>
        <v/>
      </c>
      <c r="F1241" s="19"/>
      <c r="G1241" s="19"/>
      <c r="H1241" s="19"/>
      <c r="I1241" s="19"/>
      <c r="J1241" s="19"/>
      <c r="K1241" s="233"/>
      <c r="L1241" s="19"/>
    </row>
    <row r="1242" spans="1:12" ht="13.5" customHeight="1">
      <c r="A1242" s="219" t="str" cm="1">
        <f t="array" ref="A1242">IFERROR(INDEX('03.Muestra'!$B$8:$B$42,SMALL(IF("Documento no web"='03.Muestra'!$D$8:$D$42,ROW('03.Muestra'!$B$8:$B$42)-MIN(ROW('03.Muestra'!$D$8:$D$42))+1,""),ROW()-1234)),"")</f>
        <v/>
      </c>
      <c r="B1242" s="114" t="str" cm="1">
        <f t="array" ref="B1242">IFERROR(INDEX('03.Muestra'!$C$8:$C$42,SMALL(IF("Documento no web"='03.Muestra'!$D$8:$D$42,ROW('03.Muestra'!$C$8:$C$42)-MIN(ROW('03.Muestra'!$D$8:$D$42))+1,""),ROW()-1234)),"")</f>
        <v/>
      </c>
      <c r="C1242" s="114" t="str" cm="1">
        <f t="array" ref="C1242">IFERROR(INDEX('03.Muestra'!$F$8:$F$42,SMALL(IF("Documento no web"='03.Muestra'!$D$8:$D$42,ROW('03.Muestra'!$F$8:$F$42)-MIN(ROW('03.Muestra'!$D$8:$D$42))+1,""),ROW()-1234)),"")</f>
        <v/>
      </c>
      <c r="D1242" s="130" t="str">
        <f t="shared" si="65"/>
        <v/>
      </c>
      <c r="E1242" s="107" t="str">
        <f t="shared" si="64"/>
        <v/>
      </c>
      <c r="F1242" s="19"/>
      <c r="G1242" s="19"/>
      <c r="H1242" s="19"/>
      <c r="I1242" s="19"/>
      <c r="J1242" s="19"/>
      <c r="K1242" s="233"/>
      <c r="L1242" s="19"/>
    </row>
    <row r="1243" spans="1:12" ht="13.5" customHeight="1">
      <c r="A1243" s="219" t="str" cm="1">
        <f t="array" ref="A1243">IFERROR(INDEX('03.Muestra'!$B$8:$B$42,SMALL(IF("Documento no web"='03.Muestra'!$D$8:$D$42,ROW('03.Muestra'!$B$8:$B$42)-MIN(ROW('03.Muestra'!$D$8:$D$42))+1,""),ROW()-1234)),"")</f>
        <v/>
      </c>
      <c r="B1243" s="114" t="str" cm="1">
        <f t="array" ref="B1243">IFERROR(INDEX('03.Muestra'!$C$8:$C$42,SMALL(IF("Documento no web"='03.Muestra'!$D$8:$D$42,ROW('03.Muestra'!$C$8:$C$42)-MIN(ROW('03.Muestra'!$D$8:$D$42))+1,""),ROW()-1234)),"")</f>
        <v/>
      </c>
      <c r="C1243" s="114" t="str" cm="1">
        <f t="array" ref="C1243">IFERROR(INDEX('03.Muestra'!$F$8:$F$42,SMALL(IF("Documento no web"='03.Muestra'!$D$8:$D$42,ROW('03.Muestra'!$F$8:$F$42)-MIN(ROW('03.Muestra'!$D$8:$D$42))+1,""),ROW()-1234)),"")</f>
        <v/>
      </c>
      <c r="D1243" s="130" t="str">
        <f t="shared" si="65"/>
        <v/>
      </c>
      <c r="E1243" s="107" t="str">
        <f t="shared" si="64"/>
        <v/>
      </c>
      <c r="F1243" s="19"/>
      <c r="G1243" s="19"/>
      <c r="H1243" s="19"/>
      <c r="I1243" s="19"/>
      <c r="J1243" s="19"/>
      <c r="K1243" s="233"/>
      <c r="L1243" s="19"/>
    </row>
    <row r="1244" spans="1:12" ht="13.5" customHeight="1">
      <c r="A1244" s="219" t="str" cm="1">
        <f t="array" ref="A1244">IFERROR(INDEX('03.Muestra'!$B$8:$B$42,SMALL(IF("Documento no web"='03.Muestra'!$D$8:$D$42,ROW('03.Muestra'!$B$8:$B$42)-MIN(ROW('03.Muestra'!$D$8:$D$42))+1,""),ROW()-1234)),"")</f>
        <v/>
      </c>
      <c r="B1244" s="114" t="str" cm="1">
        <f t="array" ref="B1244">IFERROR(INDEX('03.Muestra'!$C$8:$C$42,SMALL(IF("Documento no web"='03.Muestra'!$D$8:$D$42,ROW('03.Muestra'!$C$8:$C$42)-MIN(ROW('03.Muestra'!$D$8:$D$42))+1,""),ROW()-1234)),"")</f>
        <v/>
      </c>
      <c r="C1244" s="114" t="str" cm="1">
        <f t="array" ref="C1244">IFERROR(INDEX('03.Muestra'!$F$8:$F$42,SMALL(IF("Documento no web"='03.Muestra'!$D$8:$D$42,ROW('03.Muestra'!$F$8:$F$42)-MIN(ROW('03.Muestra'!$D$8:$D$42))+1,""),ROW()-1234)),"")</f>
        <v/>
      </c>
      <c r="D1244" s="130" t="str">
        <f t="shared" si="65"/>
        <v/>
      </c>
      <c r="E1244" s="107" t="str">
        <f t="shared" si="64"/>
        <v/>
      </c>
      <c r="F1244" s="19"/>
      <c r="G1244" s="19"/>
      <c r="H1244" s="19"/>
      <c r="I1244" s="19"/>
      <c r="J1244" s="19"/>
      <c r="K1244" s="233"/>
      <c r="L1244" s="19"/>
    </row>
    <row r="1245" spans="1:12" ht="13.5" customHeight="1">
      <c r="A1245" s="219" t="str" cm="1">
        <f t="array" ref="A1245">IFERROR(INDEX('03.Muestra'!$B$8:$B$42,SMALL(IF("Documento no web"='03.Muestra'!$D$8:$D$42,ROW('03.Muestra'!$B$8:$B$42)-MIN(ROW('03.Muestra'!$D$8:$D$42))+1,""),ROW()-1234)),"")</f>
        <v/>
      </c>
      <c r="B1245" s="114" t="str" cm="1">
        <f t="array" ref="B1245">IFERROR(INDEX('03.Muestra'!$C$8:$C$42,SMALL(IF("Documento no web"='03.Muestra'!$D$8:$D$42,ROW('03.Muestra'!$C$8:$C$42)-MIN(ROW('03.Muestra'!$D$8:$D$42))+1,""),ROW()-1234)),"")</f>
        <v/>
      </c>
      <c r="C1245" s="114" t="str" cm="1">
        <f t="array" ref="C1245">IFERROR(INDEX('03.Muestra'!$F$8:$F$42,SMALL(IF("Documento no web"='03.Muestra'!$D$8:$D$42,ROW('03.Muestra'!$F$8:$F$42)-MIN(ROW('03.Muestra'!$D$8:$D$42))+1,""),ROW()-1234)),"")</f>
        <v/>
      </c>
      <c r="D1245" s="130" t="str">
        <f t="shared" si="65"/>
        <v/>
      </c>
      <c r="E1245" s="107" t="str">
        <f t="shared" si="64"/>
        <v/>
      </c>
      <c r="F1245" s="19"/>
      <c r="G1245" s="19"/>
      <c r="H1245" s="19"/>
      <c r="I1245" s="19"/>
      <c r="J1245" s="19"/>
      <c r="K1245" s="233"/>
      <c r="L1245" s="19"/>
    </row>
    <row r="1246" spans="1:12" ht="13.5" customHeight="1">
      <c r="A1246" s="219" t="str" cm="1">
        <f t="array" ref="A1246">IFERROR(INDEX('03.Muestra'!$B$8:$B$42,SMALL(IF("Documento no web"='03.Muestra'!$D$8:$D$42,ROW('03.Muestra'!$B$8:$B$42)-MIN(ROW('03.Muestra'!$D$8:$D$42))+1,""),ROW()-1234)),"")</f>
        <v/>
      </c>
      <c r="B1246" s="114" t="str" cm="1">
        <f t="array" ref="B1246">IFERROR(INDEX('03.Muestra'!$C$8:$C$42,SMALL(IF("Documento no web"='03.Muestra'!$D$8:$D$42,ROW('03.Muestra'!$C$8:$C$42)-MIN(ROW('03.Muestra'!$D$8:$D$42))+1,""),ROW()-1234)),"")</f>
        <v/>
      </c>
      <c r="C1246" s="114" t="str" cm="1">
        <f t="array" ref="C1246">IFERROR(INDEX('03.Muestra'!$F$8:$F$42,SMALL(IF("Documento no web"='03.Muestra'!$D$8:$D$42,ROW('03.Muestra'!$F$8:$F$42)-MIN(ROW('03.Muestra'!$D$8:$D$42))+1,""),ROW()-1234)),"")</f>
        <v/>
      </c>
      <c r="D1246" s="130" t="str">
        <f t="shared" si="65"/>
        <v/>
      </c>
      <c r="E1246" s="107" t="str">
        <f t="shared" si="64"/>
        <v/>
      </c>
      <c r="F1246" s="19"/>
      <c r="G1246" s="19"/>
      <c r="H1246" s="19"/>
      <c r="I1246" s="19"/>
      <c r="J1246" s="19"/>
      <c r="K1246" s="233"/>
      <c r="L1246" s="19"/>
    </row>
    <row r="1247" spans="1:12" ht="13.5" customHeight="1">
      <c r="A1247" s="219" t="str" cm="1">
        <f t="array" ref="A1247">IFERROR(INDEX('03.Muestra'!$B$8:$B$42,SMALL(IF("Documento no web"='03.Muestra'!$D$8:$D$42,ROW('03.Muestra'!$B$8:$B$42)-MIN(ROW('03.Muestra'!$D$8:$D$42))+1,""),ROW()-1234)),"")</f>
        <v/>
      </c>
      <c r="B1247" s="114" t="str" cm="1">
        <f t="array" ref="B1247">IFERROR(INDEX('03.Muestra'!$C$8:$C$42,SMALL(IF("Documento no web"='03.Muestra'!$D$8:$D$42,ROW('03.Muestra'!$C$8:$C$42)-MIN(ROW('03.Muestra'!$D$8:$D$42))+1,""),ROW()-1234)),"")</f>
        <v/>
      </c>
      <c r="C1247" s="114" t="str" cm="1">
        <f t="array" ref="C1247">IFERROR(INDEX('03.Muestra'!$F$8:$F$42,SMALL(IF("Documento no web"='03.Muestra'!$D$8:$D$42,ROW('03.Muestra'!$F$8:$F$42)-MIN(ROW('03.Muestra'!$D$8:$D$42))+1,""),ROW()-1234)),"")</f>
        <v/>
      </c>
      <c r="D1247" s="130" t="str">
        <f t="shared" si="65"/>
        <v/>
      </c>
      <c r="E1247" s="107" t="str">
        <f t="shared" si="64"/>
        <v/>
      </c>
      <c r="F1247" s="19"/>
      <c r="G1247" s="19"/>
      <c r="H1247" s="19"/>
      <c r="I1247" s="19"/>
      <c r="J1247" s="19"/>
      <c r="K1247" s="233"/>
      <c r="L1247" s="19"/>
    </row>
    <row r="1248" spans="1:12" ht="13.5" customHeight="1">
      <c r="A1248" s="219" t="str" cm="1">
        <f t="array" ref="A1248">IFERROR(INDEX('03.Muestra'!$B$8:$B$42,SMALL(IF("Documento no web"='03.Muestra'!$D$8:$D$42,ROW('03.Muestra'!$B$8:$B$42)-MIN(ROW('03.Muestra'!$D$8:$D$42))+1,""),ROW()-1234)),"")</f>
        <v/>
      </c>
      <c r="B1248" s="114" t="str" cm="1">
        <f t="array" ref="B1248">IFERROR(INDEX('03.Muestra'!$C$8:$C$42,SMALL(IF("Documento no web"='03.Muestra'!$D$8:$D$42,ROW('03.Muestra'!$C$8:$C$42)-MIN(ROW('03.Muestra'!$D$8:$D$42))+1,""),ROW()-1234)),"")</f>
        <v/>
      </c>
      <c r="C1248" s="114" t="str" cm="1">
        <f t="array" ref="C1248">IFERROR(INDEX('03.Muestra'!$F$8:$F$42,SMALL(IF("Documento no web"='03.Muestra'!$D$8:$D$42,ROW('03.Muestra'!$F$8:$F$42)-MIN(ROW('03.Muestra'!$D$8:$D$42))+1,""),ROW()-1234)),"")</f>
        <v/>
      </c>
      <c r="D1248" s="130" t="str">
        <f t="shared" si="65"/>
        <v/>
      </c>
      <c r="E1248" s="107" t="str">
        <f t="shared" si="64"/>
        <v/>
      </c>
      <c r="F1248" s="19"/>
      <c r="G1248" s="19"/>
      <c r="H1248" s="19"/>
      <c r="I1248" s="19"/>
      <c r="J1248" s="19"/>
      <c r="K1248" s="233"/>
      <c r="L1248" s="19"/>
    </row>
    <row r="1249" spans="1:12" ht="13.5" customHeight="1">
      <c r="A1249" s="219" t="str" cm="1">
        <f t="array" ref="A1249">IFERROR(INDEX('03.Muestra'!$B$8:$B$42,SMALL(IF("Documento no web"='03.Muestra'!$D$8:$D$42,ROW('03.Muestra'!$B$8:$B$42)-MIN(ROW('03.Muestra'!$D$8:$D$42))+1,""),ROW()-1234)),"")</f>
        <v/>
      </c>
      <c r="B1249" s="114" t="str" cm="1">
        <f t="array" ref="B1249">IFERROR(INDEX('03.Muestra'!$C$8:$C$42,SMALL(IF("Documento no web"='03.Muestra'!$D$8:$D$42,ROW('03.Muestra'!$C$8:$C$42)-MIN(ROW('03.Muestra'!$D$8:$D$42))+1,""),ROW()-1234)),"")</f>
        <v/>
      </c>
      <c r="C1249" s="114" t="str" cm="1">
        <f t="array" ref="C1249">IFERROR(INDEX('03.Muestra'!$F$8:$F$42,SMALL(IF("Documento no web"='03.Muestra'!$D$8:$D$42,ROW('03.Muestra'!$F$8:$F$42)-MIN(ROW('03.Muestra'!$D$8:$D$42))+1,""),ROW()-1234)),"")</f>
        <v/>
      </c>
      <c r="D1249" s="130" t="str">
        <f t="shared" si="65"/>
        <v/>
      </c>
      <c r="E1249" s="107" t="str">
        <f t="shared" si="64"/>
        <v/>
      </c>
      <c r="F1249" s="19"/>
      <c r="G1249" s="19"/>
      <c r="H1249" s="19"/>
      <c r="I1249" s="19"/>
      <c r="J1249" s="19"/>
      <c r="K1249" s="233"/>
      <c r="L1249" s="19"/>
    </row>
    <row r="1250" spans="1:12" ht="13.5" customHeight="1">
      <c r="A1250" s="219" t="str" cm="1">
        <f t="array" ref="A1250">IFERROR(INDEX('03.Muestra'!$B$8:$B$42,SMALL(IF("Documento no web"='03.Muestra'!$D$8:$D$42,ROW('03.Muestra'!$B$8:$B$42)-MIN(ROW('03.Muestra'!$D$8:$D$42))+1,""),ROW()-1234)),"")</f>
        <v/>
      </c>
      <c r="B1250" s="114" t="str" cm="1">
        <f t="array" ref="B1250">IFERROR(INDEX('03.Muestra'!$C$8:$C$42,SMALL(IF("Documento no web"='03.Muestra'!$D$8:$D$42,ROW('03.Muestra'!$C$8:$C$42)-MIN(ROW('03.Muestra'!$D$8:$D$42))+1,""),ROW()-1234)),"")</f>
        <v/>
      </c>
      <c r="C1250" s="114" t="str" cm="1">
        <f t="array" ref="C1250">IFERROR(INDEX('03.Muestra'!$F$8:$F$42,SMALL(IF("Documento no web"='03.Muestra'!$D$8:$D$42,ROW('03.Muestra'!$F$8:$F$42)-MIN(ROW('03.Muestra'!$D$8:$D$42))+1,""),ROW()-1234)),"")</f>
        <v/>
      </c>
      <c r="D1250" s="130" t="str">
        <f t="shared" si="65"/>
        <v/>
      </c>
      <c r="E1250" s="107" t="str">
        <f t="shared" si="64"/>
        <v/>
      </c>
      <c r="F1250" s="19"/>
      <c r="G1250" s="19"/>
      <c r="H1250" s="19"/>
      <c r="I1250" s="19"/>
      <c r="J1250" s="19"/>
      <c r="K1250" s="233"/>
      <c r="L1250" s="19"/>
    </row>
    <row r="1251" spans="1:12" ht="13.5" customHeight="1">
      <c r="A1251" s="219" t="str" cm="1">
        <f t="array" ref="A1251">IFERROR(INDEX('03.Muestra'!$B$8:$B$42,SMALL(IF("Documento no web"='03.Muestra'!$D$8:$D$42,ROW('03.Muestra'!$B$8:$B$42)-MIN(ROW('03.Muestra'!$D$8:$D$42))+1,""),ROW()-1234)),"")</f>
        <v/>
      </c>
      <c r="B1251" s="114" t="str" cm="1">
        <f t="array" ref="B1251">IFERROR(INDEX('03.Muestra'!$C$8:$C$42,SMALL(IF("Documento no web"='03.Muestra'!$D$8:$D$42,ROW('03.Muestra'!$C$8:$C$42)-MIN(ROW('03.Muestra'!$D$8:$D$42))+1,""),ROW()-1234)),"")</f>
        <v/>
      </c>
      <c r="C1251" s="114" t="str" cm="1">
        <f t="array" ref="C1251">IFERROR(INDEX('03.Muestra'!$F$8:$F$42,SMALL(IF("Documento no web"='03.Muestra'!$D$8:$D$42,ROW('03.Muestra'!$F$8:$F$42)-MIN(ROW('03.Muestra'!$D$8:$D$42))+1,""),ROW()-1234)),"")</f>
        <v/>
      </c>
      <c r="D1251" s="130" t="str">
        <f t="shared" si="65"/>
        <v/>
      </c>
      <c r="E1251" s="107" t="str">
        <f t="shared" si="64"/>
        <v/>
      </c>
      <c r="F1251" s="19"/>
      <c r="G1251" s="19"/>
      <c r="H1251" s="19"/>
      <c r="I1251" s="19"/>
      <c r="J1251" s="19"/>
      <c r="K1251" s="233"/>
      <c r="L1251" s="19"/>
    </row>
    <row r="1252" spans="1:12" ht="13.5" customHeight="1">
      <c r="A1252" s="219" t="str" cm="1">
        <f t="array" ref="A1252">IFERROR(INDEX('03.Muestra'!$B$8:$B$42,SMALL(IF("Documento no web"='03.Muestra'!$D$8:$D$42,ROW('03.Muestra'!$B$8:$B$42)-MIN(ROW('03.Muestra'!$D$8:$D$42))+1,""),ROW()-1234)),"")</f>
        <v/>
      </c>
      <c r="B1252" s="114" t="str" cm="1">
        <f t="array" ref="B1252">IFERROR(INDEX('03.Muestra'!$C$8:$C$42,SMALL(IF("Documento no web"='03.Muestra'!$D$8:$D$42,ROW('03.Muestra'!$C$8:$C$42)-MIN(ROW('03.Muestra'!$D$8:$D$42))+1,""),ROW()-1234)),"")</f>
        <v/>
      </c>
      <c r="C1252" s="114" t="str" cm="1">
        <f t="array" ref="C1252">IFERROR(INDEX('03.Muestra'!$F$8:$F$42,SMALL(IF("Documento no web"='03.Muestra'!$D$8:$D$42,ROW('03.Muestra'!$F$8:$F$42)-MIN(ROW('03.Muestra'!$D$8:$D$42))+1,""),ROW()-1234)),"")</f>
        <v/>
      </c>
      <c r="D1252" s="130" t="str">
        <f t="shared" si="65"/>
        <v/>
      </c>
      <c r="E1252" s="107" t="str">
        <f t="shared" si="64"/>
        <v/>
      </c>
      <c r="F1252" s="19"/>
      <c r="G1252" s="19"/>
      <c r="H1252" s="19"/>
      <c r="I1252" s="19"/>
      <c r="J1252" s="19"/>
      <c r="K1252" s="233"/>
      <c r="L1252" s="19"/>
    </row>
    <row r="1253" spans="1:12" ht="13.5" customHeight="1">
      <c r="A1253" s="219" t="str" cm="1">
        <f t="array" ref="A1253">IFERROR(INDEX('03.Muestra'!$B$8:$B$42,SMALL(IF("Documento no web"='03.Muestra'!$D$8:$D$42,ROW('03.Muestra'!$B$8:$B$42)-MIN(ROW('03.Muestra'!$D$8:$D$42))+1,""),ROW()-1234)),"")</f>
        <v/>
      </c>
      <c r="B1253" s="114" t="str" cm="1">
        <f t="array" ref="B1253">IFERROR(INDEX('03.Muestra'!$C$8:$C$42,SMALL(IF("Documento no web"='03.Muestra'!$D$8:$D$42,ROW('03.Muestra'!$C$8:$C$42)-MIN(ROW('03.Muestra'!$D$8:$D$42))+1,""),ROW()-1234)),"")</f>
        <v/>
      </c>
      <c r="C1253" s="114" t="str" cm="1">
        <f t="array" ref="C1253">IFERROR(INDEX('03.Muestra'!$F$8:$F$42,SMALL(IF("Documento no web"='03.Muestra'!$D$8:$D$42,ROW('03.Muestra'!$F$8:$F$42)-MIN(ROW('03.Muestra'!$D$8:$D$42))+1,""),ROW()-1234)),"")</f>
        <v/>
      </c>
      <c r="D1253" s="130" t="str">
        <f t="shared" si="65"/>
        <v/>
      </c>
      <c r="E1253" s="107" t="str">
        <f t="shared" si="64"/>
        <v/>
      </c>
      <c r="F1253" s="19"/>
      <c r="G1253" s="19"/>
      <c r="H1253" s="19"/>
      <c r="I1253" s="19"/>
      <c r="J1253" s="19"/>
      <c r="K1253" s="233"/>
      <c r="L1253" s="19"/>
    </row>
    <row r="1254" spans="1:12" ht="13.5" customHeight="1">
      <c r="A1254" s="219" t="str" cm="1">
        <f t="array" ref="A1254">IFERROR(INDEX('03.Muestra'!$B$8:$B$42,SMALL(IF("Documento no web"='03.Muestra'!$D$8:$D$42,ROW('03.Muestra'!$B$8:$B$42)-MIN(ROW('03.Muestra'!$D$8:$D$42))+1,""),ROW()-1234)),"")</f>
        <v/>
      </c>
      <c r="B1254" s="114" t="str" cm="1">
        <f t="array" ref="B1254">IFERROR(INDEX('03.Muestra'!$C$8:$C$42,SMALL(IF("Documento no web"='03.Muestra'!$D$8:$D$42,ROW('03.Muestra'!$C$8:$C$42)-MIN(ROW('03.Muestra'!$D$8:$D$42))+1,""),ROW()-1234)),"")</f>
        <v/>
      </c>
      <c r="C1254" s="114" t="str" cm="1">
        <f t="array" ref="C1254">IFERROR(INDEX('03.Muestra'!$F$8:$F$42,SMALL(IF("Documento no web"='03.Muestra'!$D$8:$D$42,ROW('03.Muestra'!$F$8:$F$42)-MIN(ROW('03.Muestra'!$D$8:$D$42))+1,""),ROW()-1234)),"")</f>
        <v/>
      </c>
      <c r="D1254" s="130" t="str">
        <f t="shared" si="65"/>
        <v/>
      </c>
      <c r="E1254" s="107" t="str">
        <f t="shared" si="64"/>
        <v/>
      </c>
      <c r="F1254" s="19"/>
      <c r="G1254" s="19"/>
      <c r="H1254" s="19"/>
      <c r="I1254" s="19"/>
      <c r="J1254" s="19"/>
      <c r="K1254" s="233"/>
      <c r="L1254" s="19"/>
    </row>
    <row r="1255" spans="1:12" ht="13.5" customHeight="1">
      <c r="A1255" s="219" t="str" cm="1">
        <f t="array" ref="A1255">IFERROR(INDEX('03.Muestra'!$B$8:$B$42,SMALL(IF("Documento no web"='03.Muestra'!$D$8:$D$42,ROW('03.Muestra'!$B$8:$B$42)-MIN(ROW('03.Muestra'!$D$8:$D$42))+1,""),ROW()-1234)),"")</f>
        <v/>
      </c>
      <c r="B1255" s="114" t="str" cm="1">
        <f t="array" ref="B1255">IFERROR(INDEX('03.Muestra'!$C$8:$C$42,SMALL(IF("Documento no web"='03.Muestra'!$D$8:$D$42,ROW('03.Muestra'!$C$8:$C$42)-MIN(ROW('03.Muestra'!$D$8:$D$42))+1,""),ROW()-1234)),"")</f>
        <v/>
      </c>
      <c r="C1255" s="114" t="str" cm="1">
        <f t="array" ref="C1255">IFERROR(INDEX('03.Muestra'!$F$8:$F$42,SMALL(IF("Documento no web"='03.Muestra'!$D$8:$D$42,ROW('03.Muestra'!$F$8:$F$42)-MIN(ROW('03.Muestra'!$D$8:$D$42))+1,""),ROW()-1234)),"")</f>
        <v/>
      </c>
      <c r="D1255" s="130" t="str">
        <f t="shared" si="65"/>
        <v/>
      </c>
      <c r="E1255" s="107" t="str">
        <f t="shared" si="64"/>
        <v/>
      </c>
      <c r="F1255" s="19"/>
      <c r="G1255" s="19"/>
      <c r="H1255" s="19"/>
      <c r="I1255" s="19"/>
      <c r="J1255" s="19"/>
      <c r="K1255" s="233"/>
      <c r="L1255" s="19"/>
    </row>
    <row r="1256" spans="1:12" ht="13.5" customHeight="1">
      <c r="A1256" s="219" t="str" cm="1">
        <f t="array" ref="A1256">IFERROR(INDEX('03.Muestra'!$B$8:$B$42,SMALL(IF("Documento no web"='03.Muestra'!$D$8:$D$42,ROW('03.Muestra'!$B$8:$B$42)-MIN(ROW('03.Muestra'!$D$8:$D$42))+1,""),ROW()-1234)),"")</f>
        <v/>
      </c>
      <c r="B1256" s="114" t="str" cm="1">
        <f t="array" ref="B1256">IFERROR(INDEX('03.Muestra'!$C$8:$C$42,SMALL(IF("Documento no web"='03.Muestra'!$D$8:$D$42,ROW('03.Muestra'!$C$8:$C$42)-MIN(ROW('03.Muestra'!$D$8:$D$42))+1,""),ROW()-1234)),"")</f>
        <v/>
      </c>
      <c r="C1256" s="114" t="str" cm="1">
        <f t="array" ref="C1256">IFERROR(INDEX('03.Muestra'!$F$8:$F$42,SMALL(IF("Documento no web"='03.Muestra'!$D$8:$D$42,ROW('03.Muestra'!$F$8:$F$42)-MIN(ROW('03.Muestra'!$D$8:$D$42))+1,""),ROW()-1234)),"")</f>
        <v/>
      </c>
      <c r="D1256" s="130" t="str">
        <f t="shared" si="65"/>
        <v/>
      </c>
      <c r="E1256" s="107" t="str">
        <f t="shared" si="64"/>
        <v/>
      </c>
      <c r="F1256" s="19"/>
      <c r="G1256" s="19"/>
      <c r="H1256" s="19"/>
      <c r="I1256" s="19"/>
      <c r="J1256" s="19"/>
      <c r="K1256" s="233"/>
      <c r="L1256" s="19"/>
    </row>
    <row r="1257" spans="1:12" ht="13.5" customHeight="1">
      <c r="A1257" s="219" t="str" cm="1">
        <f t="array" ref="A1257">IFERROR(INDEX('03.Muestra'!$B$8:$B$42,SMALL(IF("Documento no web"='03.Muestra'!$D$8:$D$42,ROW('03.Muestra'!$B$8:$B$42)-MIN(ROW('03.Muestra'!$D$8:$D$42))+1,""),ROW()-1234)),"")</f>
        <v/>
      </c>
      <c r="B1257" s="114" t="str" cm="1">
        <f t="array" ref="B1257">IFERROR(INDEX('03.Muestra'!$C$8:$C$42,SMALL(IF("Documento no web"='03.Muestra'!$D$8:$D$42,ROW('03.Muestra'!$C$8:$C$42)-MIN(ROW('03.Muestra'!$D$8:$D$42))+1,""),ROW()-1234)),"")</f>
        <v/>
      </c>
      <c r="C1257" s="114" t="str" cm="1">
        <f t="array" ref="C1257">IFERROR(INDEX('03.Muestra'!$F$8:$F$42,SMALL(IF("Documento no web"='03.Muestra'!$D$8:$D$42,ROW('03.Muestra'!$F$8:$F$42)-MIN(ROW('03.Muestra'!$D$8:$D$42))+1,""),ROW()-1234)),"")</f>
        <v/>
      </c>
      <c r="D1257" s="130" t="str">
        <f t="shared" si="65"/>
        <v/>
      </c>
      <c r="E1257" s="107" t="str">
        <f t="shared" si="64"/>
        <v/>
      </c>
      <c r="F1257" s="19"/>
      <c r="G1257" s="19"/>
      <c r="H1257" s="19"/>
      <c r="I1257" s="19"/>
      <c r="J1257" s="19"/>
      <c r="K1257" s="233"/>
      <c r="L1257" s="19"/>
    </row>
    <row r="1258" spans="1:12" ht="13.5" customHeight="1">
      <c r="A1258" s="219" t="str" cm="1">
        <f t="array" ref="A1258">IFERROR(INDEX('03.Muestra'!$B$8:$B$42,SMALL(IF("Documento no web"='03.Muestra'!$D$8:$D$42,ROW('03.Muestra'!$B$8:$B$42)-MIN(ROW('03.Muestra'!$D$8:$D$42))+1,""),ROW()-1234)),"")</f>
        <v/>
      </c>
      <c r="B1258" s="114" t="str" cm="1">
        <f t="array" ref="B1258">IFERROR(INDEX('03.Muestra'!$C$8:$C$42,SMALL(IF("Documento no web"='03.Muestra'!$D$8:$D$42,ROW('03.Muestra'!$C$8:$C$42)-MIN(ROW('03.Muestra'!$D$8:$D$42))+1,""),ROW()-1234)),"")</f>
        <v/>
      </c>
      <c r="C1258" s="114" t="str" cm="1">
        <f t="array" ref="C1258">IFERROR(INDEX('03.Muestra'!$F$8:$F$42,SMALL(IF("Documento no web"='03.Muestra'!$D$8:$D$42,ROW('03.Muestra'!$F$8:$F$42)-MIN(ROW('03.Muestra'!$D$8:$D$42))+1,""),ROW()-1234)),"")</f>
        <v/>
      </c>
      <c r="D1258" s="130" t="str">
        <f t="shared" si="65"/>
        <v/>
      </c>
      <c r="E1258" s="107" t="str">
        <f t="shared" si="64"/>
        <v/>
      </c>
      <c r="F1258" s="19"/>
      <c r="G1258" s="19"/>
      <c r="H1258" s="19"/>
      <c r="I1258" s="19"/>
      <c r="J1258" s="19"/>
      <c r="K1258" s="233"/>
      <c r="L1258" s="19"/>
    </row>
    <row r="1259" spans="1:12" ht="13.5" customHeight="1">
      <c r="A1259" s="219" t="str" cm="1">
        <f t="array" ref="A1259">IFERROR(INDEX('03.Muestra'!$B$8:$B$42,SMALL(IF("Documento no web"='03.Muestra'!$D$8:$D$42,ROW('03.Muestra'!$B$8:$B$42)-MIN(ROW('03.Muestra'!$D$8:$D$42))+1,""),ROW()-1234)),"")</f>
        <v/>
      </c>
      <c r="B1259" s="114" t="str" cm="1">
        <f t="array" ref="B1259">IFERROR(INDEX('03.Muestra'!$C$8:$C$42,SMALL(IF("Documento no web"='03.Muestra'!$D$8:$D$42,ROW('03.Muestra'!$C$8:$C$42)-MIN(ROW('03.Muestra'!$D$8:$D$42))+1,""),ROW()-1234)),"")</f>
        <v/>
      </c>
      <c r="C1259" s="114" t="str" cm="1">
        <f t="array" ref="C1259">IFERROR(INDEX('03.Muestra'!$F$8:$F$42,SMALL(IF("Documento no web"='03.Muestra'!$D$8:$D$42,ROW('03.Muestra'!$F$8:$F$42)-MIN(ROW('03.Muestra'!$D$8:$D$42))+1,""),ROW()-1234)),"")</f>
        <v/>
      </c>
      <c r="D1259" s="130" t="str">
        <f t="shared" si="65"/>
        <v/>
      </c>
      <c r="E1259" s="107" t="str">
        <f t="shared" si="64"/>
        <v/>
      </c>
      <c r="F1259" s="19"/>
      <c r="G1259" s="19"/>
      <c r="H1259" s="19"/>
      <c r="I1259" s="19"/>
      <c r="J1259" s="19"/>
      <c r="K1259" s="233"/>
      <c r="L1259" s="19"/>
    </row>
    <row r="1260" spans="1:12" ht="13.5" customHeight="1">
      <c r="A1260" s="219" t="str" cm="1">
        <f t="array" ref="A1260">IFERROR(INDEX('03.Muestra'!$B$8:$B$42,SMALL(IF("Documento no web"='03.Muestra'!$D$8:$D$42,ROW('03.Muestra'!$B$8:$B$42)-MIN(ROW('03.Muestra'!$D$8:$D$42))+1,""),ROW()-1234)),"")</f>
        <v/>
      </c>
      <c r="B1260" s="114" t="str" cm="1">
        <f t="array" ref="B1260">IFERROR(INDEX('03.Muestra'!$C$8:$C$42,SMALL(IF("Documento no web"='03.Muestra'!$D$8:$D$42,ROW('03.Muestra'!$C$8:$C$42)-MIN(ROW('03.Muestra'!$D$8:$D$42))+1,""),ROW()-1234)),"")</f>
        <v/>
      </c>
      <c r="C1260" s="114" t="str" cm="1">
        <f t="array" ref="C1260">IFERROR(INDEX('03.Muestra'!$F$8:$F$42,SMALL(IF("Documento no web"='03.Muestra'!$D$8:$D$42,ROW('03.Muestra'!$F$8:$F$42)-MIN(ROW('03.Muestra'!$D$8:$D$42))+1,""),ROW()-1234)),"")</f>
        <v/>
      </c>
      <c r="D1260" s="130" t="str">
        <f t="shared" si="65"/>
        <v/>
      </c>
      <c r="E1260" s="107" t="str">
        <f t="shared" si="64"/>
        <v/>
      </c>
      <c r="F1260" s="19"/>
      <c r="G1260" s="19"/>
      <c r="H1260" s="19"/>
      <c r="I1260" s="19"/>
      <c r="J1260" s="19"/>
      <c r="K1260" s="233"/>
      <c r="L1260" s="19"/>
    </row>
    <row r="1261" spans="1:12" ht="13.5" customHeight="1">
      <c r="A1261" s="219" t="str" cm="1">
        <f t="array" ref="A1261">IFERROR(INDEX('03.Muestra'!$B$8:$B$42,SMALL(IF("Documento no web"='03.Muestra'!$D$8:$D$42,ROW('03.Muestra'!$B$8:$B$42)-MIN(ROW('03.Muestra'!$D$8:$D$42))+1,""),ROW()-1234)),"")</f>
        <v/>
      </c>
      <c r="B1261" s="114" t="str" cm="1">
        <f t="array" ref="B1261">IFERROR(INDEX('03.Muestra'!$C$8:$C$42,SMALL(IF("Documento no web"='03.Muestra'!$D$8:$D$42,ROW('03.Muestra'!$C$8:$C$42)-MIN(ROW('03.Muestra'!$D$8:$D$42))+1,""),ROW()-1234)),"")</f>
        <v/>
      </c>
      <c r="C1261" s="114" t="str" cm="1">
        <f t="array" ref="C1261">IFERROR(INDEX('03.Muestra'!$F$8:$F$42,SMALL(IF("Documento no web"='03.Muestra'!$D$8:$D$42,ROW('03.Muestra'!$F$8:$F$42)-MIN(ROW('03.Muestra'!$D$8:$D$42))+1,""),ROW()-1234)),"")</f>
        <v/>
      </c>
      <c r="D1261" s="130" t="str">
        <f t="shared" si="65"/>
        <v/>
      </c>
      <c r="E1261" s="107" t="str">
        <f t="shared" si="64"/>
        <v/>
      </c>
      <c r="F1261" s="19"/>
      <c r="G1261" s="19"/>
      <c r="H1261" s="19"/>
      <c r="I1261" s="19"/>
      <c r="J1261" s="19"/>
      <c r="K1261" s="233"/>
      <c r="L1261" s="19"/>
    </row>
    <row r="1262" spans="1:12" ht="13.5" customHeight="1">
      <c r="A1262" s="219" t="str" cm="1">
        <f t="array" ref="A1262">IFERROR(INDEX('03.Muestra'!$B$8:$B$42,SMALL(IF("Documento no web"='03.Muestra'!$D$8:$D$42,ROW('03.Muestra'!$B$8:$B$42)-MIN(ROW('03.Muestra'!$D$8:$D$42))+1,""),ROW()-1234)),"")</f>
        <v/>
      </c>
      <c r="B1262" s="114" t="str" cm="1">
        <f t="array" ref="B1262">IFERROR(INDEX('03.Muestra'!$C$8:$C$42,SMALL(IF("Documento no web"='03.Muestra'!$D$8:$D$42,ROW('03.Muestra'!$C$8:$C$42)-MIN(ROW('03.Muestra'!$D$8:$D$42))+1,""),ROW()-1234)),"")</f>
        <v/>
      </c>
      <c r="C1262" s="114" t="str" cm="1">
        <f t="array" ref="C1262">IFERROR(INDEX('03.Muestra'!$F$8:$F$42,SMALL(IF("Documento no web"='03.Muestra'!$D$8:$D$42,ROW('03.Muestra'!$F$8:$F$42)-MIN(ROW('03.Muestra'!$D$8:$D$42))+1,""),ROW()-1234)),"")</f>
        <v/>
      </c>
      <c r="D1262" s="130" t="str">
        <f t="shared" si="65"/>
        <v/>
      </c>
      <c r="E1262" s="107" t="str">
        <f t="shared" si="64"/>
        <v/>
      </c>
      <c r="G1262" s="19"/>
      <c r="H1262" s="19"/>
      <c r="I1262" s="19"/>
      <c r="J1262" s="19"/>
      <c r="K1262" s="233"/>
      <c r="L1262" s="19"/>
    </row>
    <row r="1263" spans="1:12" ht="13.5" customHeight="1">
      <c r="A1263" s="219" t="str" cm="1">
        <f t="array" ref="A1263">IFERROR(INDEX('03.Muestra'!$B$8:$B$42,SMALL(IF("Documento no web"='03.Muestra'!$D$8:$D$42,ROW('03.Muestra'!$B$8:$B$42)-MIN(ROW('03.Muestra'!$D$8:$D$42))+1,""),ROW()-1234)),"")</f>
        <v/>
      </c>
      <c r="B1263" s="114" t="str" cm="1">
        <f t="array" ref="B1263">IFERROR(INDEX('03.Muestra'!$C$8:$C$42,SMALL(IF("Documento no web"='03.Muestra'!$D$8:$D$42,ROW('03.Muestra'!$C$8:$C$42)-MIN(ROW('03.Muestra'!$D$8:$D$42))+1,""),ROW()-1234)),"")</f>
        <v/>
      </c>
      <c r="C1263" s="114" t="str" cm="1">
        <f t="array" ref="C1263">IFERROR(INDEX('03.Muestra'!$F$8:$F$42,SMALL(IF("Documento no web"='03.Muestra'!$D$8:$D$42,ROW('03.Muestra'!$F$8:$F$42)-MIN(ROW('03.Muestra'!$D$8:$D$42))+1,""),ROW()-1234)),"")</f>
        <v/>
      </c>
      <c r="D1263" s="130" t="str">
        <f t="shared" si="65"/>
        <v/>
      </c>
      <c r="E1263" s="107" t="str">
        <f t="shared" si="64"/>
        <v/>
      </c>
      <c r="F1263" s="124"/>
      <c r="G1263" s="19"/>
      <c r="H1263" s="19"/>
      <c r="I1263" s="19"/>
      <c r="J1263" s="19"/>
      <c r="K1263" s="233"/>
      <c r="L1263" s="19"/>
    </row>
    <row r="1264" spans="1:12" ht="13.5" customHeight="1">
      <c r="A1264" s="219" t="str" cm="1">
        <f t="array" ref="A1264">IFERROR(INDEX('03.Muestra'!$B$8:$B$42,SMALL(IF("Documento no web"='03.Muestra'!$D$8:$D$42,ROW('03.Muestra'!$B$8:$B$42)-MIN(ROW('03.Muestra'!$D$8:$D$42))+1,""),ROW()-1234)),"")</f>
        <v/>
      </c>
      <c r="B1264" s="114" t="str" cm="1">
        <f t="array" ref="B1264">IFERROR(INDEX('03.Muestra'!$C$8:$C$42,SMALL(IF("Documento no web"='03.Muestra'!$D$8:$D$42,ROW('03.Muestra'!$C$8:$C$42)-MIN(ROW('03.Muestra'!$D$8:$D$42))+1,""),ROW()-1234)),"")</f>
        <v/>
      </c>
      <c r="C1264" s="114" t="str" cm="1">
        <f t="array" ref="C1264">IFERROR(INDEX('03.Muestra'!$F$8:$F$42,SMALL(IF("Documento no web"='03.Muestra'!$D$8:$D$42,ROW('03.Muestra'!$F$8:$F$42)-MIN(ROW('03.Muestra'!$D$8:$D$42))+1,""),ROW()-1234)),"")</f>
        <v/>
      </c>
      <c r="D1264" s="130" t="str">
        <f t="shared" si="65"/>
        <v/>
      </c>
      <c r="E1264" s="107" t="str">
        <f t="shared" si="64"/>
        <v/>
      </c>
      <c r="F1264" s="124"/>
      <c r="G1264" s="19"/>
      <c r="H1264" s="19"/>
      <c r="I1264" s="19"/>
      <c r="J1264" s="19"/>
      <c r="K1264" s="233"/>
      <c r="L1264" s="19"/>
    </row>
    <row r="1265" spans="1:12" ht="13.5" customHeight="1">
      <c r="A1265" s="219" t="str" cm="1">
        <f t="array" ref="A1265">IFERROR(INDEX('03.Muestra'!$B$8:$B$42,SMALL(IF("Documento no web"='03.Muestra'!$D$8:$D$42,ROW('03.Muestra'!$B$8:$B$42)-MIN(ROW('03.Muestra'!$D$8:$D$42))+1,""),ROW()-1234)),"")</f>
        <v/>
      </c>
      <c r="B1265" s="114" t="str" cm="1">
        <f t="array" ref="B1265">IFERROR(INDEX('03.Muestra'!$C$8:$C$42,SMALL(IF("Documento no web"='03.Muestra'!$D$8:$D$42,ROW('03.Muestra'!$C$8:$C$42)-MIN(ROW('03.Muestra'!$D$8:$D$42))+1,""),ROW()-1234)),"")</f>
        <v/>
      </c>
      <c r="C1265" s="114" t="str" cm="1">
        <f t="array" ref="C1265">IFERROR(INDEX('03.Muestra'!$F$8:$F$42,SMALL(IF("Documento no web"='03.Muestra'!$D$8:$D$42,ROW('03.Muestra'!$F$8:$F$42)-MIN(ROW('03.Muestra'!$D$8:$D$42))+1,""),ROW()-1234)),"")</f>
        <v/>
      </c>
      <c r="D1265" s="130" t="str">
        <f t="shared" si="65"/>
        <v/>
      </c>
      <c r="E1265" s="107" t="str">
        <f t="shared" si="64"/>
        <v/>
      </c>
      <c r="F1265" s="124"/>
      <c r="G1265" s="19"/>
      <c r="H1265" s="19"/>
      <c r="I1265" s="19"/>
      <c r="J1265" s="19"/>
      <c r="K1265" s="233"/>
      <c r="L1265" s="19"/>
    </row>
    <row r="1266" spans="1:12" ht="13.5" customHeight="1">
      <c r="A1266" s="219" t="str" cm="1">
        <f t="array" ref="A1266">IFERROR(INDEX('03.Muestra'!$B$8:$B$42,SMALL(IF("Documento no web"='03.Muestra'!$D$8:$D$42,ROW('03.Muestra'!$B$8:$B$42)-MIN(ROW('03.Muestra'!$D$8:$D$42))+1,""),ROW()-1234)),"")</f>
        <v/>
      </c>
      <c r="B1266" s="114" t="str" cm="1">
        <f t="array" ref="B1266">IFERROR(INDEX('03.Muestra'!$C$8:$C$42,SMALL(IF("Documento no web"='03.Muestra'!$D$8:$D$42,ROW('03.Muestra'!$C$8:$C$42)-MIN(ROW('03.Muestra'!$D$8:$D$42))+1,""),ROW()-1234)),"")</f>
        <v/>
      </c>
      <c r="C1266" s="114" t="str" cm="1">
        <f t="array" ref="C1266">IFERROR(INDEX('03.Muestra'!$F$8:$F$42,SMALL(IF("Documento no web"='03.Muestra'!$D$8:$D$42,ROW('03.Muestra'!$F$8:$F$42)-MIN(ROW('03.Muestra'!$D$8:$D$42))+1,""),ROW()-1234)),"")</f>
        <v/>
      </c>
      <c r="D1266" s="130" t="str">
        <f t="shared" si="65"/>
        <v/>
      </c>
      <c r="E1266" s="107" t="str">
        <f t="shared" si="64"/>
        <v/>
      </c>
      <c r="F1266" s="124"/>
      <c r="G1266" s="19"/>
      <c r="H1266" s="19"/>
      <c r="I1266" s="19"/>
      <c r="J1266" s="19"/>
      <c r="K1266" s="233"/>
      <c r="L1266" s="19"/>
    </row>
    <row r="1267" spans="1:12" ht="13.5" customHeight="1">
      <c r="A1267" s="219" t="str" cm="1">
        <f t="array" ref="A1267">IFERROR(INDEX('03.Muestra'!$B$8:$B$42,SMALL(IF("Documento no web"='03.Muestra'!$D$8:$D$42,ROW('03.Muestra'!$B$8:$B$42)-MIN(ROW('03.Muestra'!$D$8:$D$42))+1,""),ROW()-1234)),"")</f>
        <v/>
      </c>
      <c r="B1267" s="114" t="str" cm="1">
        <f t="array" ref="B1267">IFERROR(INDEX('03.Muestra'!$C$8:$C$42,SMALL(IF("Documento no web"='03.Muestra'!$D$8:$D$42,ROW('03.Muestra'!$C$8:$C$42)-MIN(ROW('03.Muestra'!$D$8:$D$42))+1,""),ROW()-1234)),"")</f>
        <v/>
      </c>
      <c r="C1267" s="114" t="str" cm="1">
        <f t="array" ref="C1267">IFERROR(INDEX('03.Muestra'!$F$8:$F$42,SMALL(IF("Documento no web"='03.Muestra'!$D$8:$D$42,ROW('03.Muestra'!$F$8:$F$42)-MIN(ROW('03.Muestra'!$D$8:$D$42))+1,""),ROW()-1234)),"")</f>
        <v/>
      </c>
      <c r="D1267" s="130" t="str">
        <f t="shared" si="65"/>
        <v/>
      </c>
      <c r="E1267" s="107" t="str">
        <f t="shared" si="64"/>
        <v/>
      </c>
      <c r="F1267" s="124"/>
      <c r="G1267" s="19"/>
      <c r="H1267" s="19"/>
      <c r="I1267" s="19"/>
      <c r="J1267" s="19"/>
      <c r="K1267" s="233"/>
      <c r="L1267" s="19"/>
    </row>
    <row r="1268" spans="1:12" ht="13.5" customHeight="1">
      <c r="A1268" s="219" t="str" cm="1">
        <f t="array" ref="A1268">IFERROR(INDEX('03.Muestra'!$B$8:$B$42,SMALL(IF("Documento no web"='03.Muestra'!$D$8:$D$42,ROW('03.Muestra'!$B$8:$B$42)-MIN(ROW('03.Muestra'!$D$8:$D$42))+1,""),ROW()-1234)),"")</f>
        <v/>
      </c>
      <c r="B1268" s="114" t="str" cm="1">
        <f t="array" ref="B1268">IFERROR(INDEX('03.Muestra'!$C$8:$C$42,SMALL(IF("Documento no web"='03.Muestra'!$D$8:$D$42,ROW('03.Muestra'!$C$8:$C$42)-MIN(ROW('03.Muestra'!$D$8:$D$42))+1,""),ROW()-1234)),"")</f>
        <v/>
      </c>
      <c r="C1268" s="114" t="str" cm="1">
        <f t="array" ref="C1268">IFERROR(INDEX('03.Muestra'!$F$8:$F$42,SMALL(IF("Documento no web"='03.Muestra'!$D$8:$D$42,ROW('03.Muestra'!$F$8:$F$42)-MIN(ROW('03.Muestra'!$D$8:$D$42))+1,""),ROW()-1234)),"")</f>
        <v/>
      </c>
      <c r="D1268" s="130" t="str">
        <f t="shared" si="65"/>
        <v/>
      </c>
      <c r="E1268" s="107" t="str">
        <f t="shared" si="64"/>
        <v/>
      </c>
      <c r="F1268" s="124"/>
      <c r="G1268" s="19"/>
      <c r="H1268" s="19"/>
      <c r="I1268" s="19"/>
      <c r="J1268" s="19"/>
      <c r="K1268" s="233"/>
      <c r="L1268" s="19"/>
    </row>
    <row r="1269" spans="1:12" ht="13.5" customHeight="1">
      <c r="A1269" s="219" t="str" cm="1">
        <f t="array" ref="A1269">IFERROR(INDEX('03.Muestra'!$B$8:$B$42,SMALL(IF("Documento no web"='03.Muestra'!$D$8:$D$42,ROW('03.Muestra'!$B$8:$B$42)-MIN(ROW('03.Muestra'!$D$8:$D$42))+1,""),ROW()-1234)),"")</f>
        <v/>
      </c>
      <c r="B1269" s="114" t="str" cm="1">
        <f t="array" ref="B1269">IFERROR(INDEX('03.Muestra'!$C$8:$C$42,SMALL(IF("Documento no web"='03.Muestra'!$D$8:$D$42,ROW('03.Muestra'!$C$8:$C$42)-MIN(ROW('03.Muestra'!$D$8:$D$42))+1,""),ROW()-1234)),"")</f>
        <v/>
      </c>
      <c r="C1269" s="114" t="str" cm="1">
        <f t="array" ref="C1269">IFERROR(INDEX('03.Muestra'!$F$8:$F$42,SMALL(IF("Documento no web"='03.Muestra'!$D$8:$D$42,ROW('03.Muestra'!$F$8:$F$42)-MIN(ROW('03.Muestra'!$D$8:$D$42))+1,""),ROW()-1234)),"")</f>
        <v/>
      </c>
      <c r="D1269" s="130" t="str">
        <f t="shared" si="65"/>
        <v/>
      </c>
      <c r="E1269" s="107" t="str">
        <f t="shared" si="64"/>
        <v/>
      </c>
      <c r="F1269" s="19"/>
      <c r="G1269" s="19"/>
      <c r="H1269" s="19"/>
      <c r="I1269" s="19"/>
      <c r="J1269" s="19"/>
      <c r="K1269" s="233"/>
      <c r="L1269" s="19"/>
    </row>
    <row r="1270" spans="1:12" ht="13.5" customHeight="1">
      <c r="B1270" s="19"/>
      <c r="C1270" s="19"/>
      <c r="D1270" s="107"/>
      <c r="E1270" s="19"/>
      <c r="F1270" s="19"/>
      <c r="G1270" s="19"/>
      <c r="H1270" s="19"/>
      <c r="I1270" s="19"/>
      <c r="J1270" s="19"/>
      <c r="K1270" s="233"/>
      <c r="L1270" s="19"/>
    </row>
    <row r="1271" spans="1:12" ht="13.5" customHeight="1">
      <c r="B1271" s="126"/>
      <c r="C1271" s="19"/>
      <c r="D1271" s="107"/>
      <c r="E1271" s="112"/>
      <c r="F1271" s="19"/>
      <c r="G1271" s="19"/>
      <c r="H1271" s="19"/>
      <c r="I1271" s="19"/>
      <c r="J1271" s="19"/>
      <c r="K1271" s="233"/>
      <c r="L1271" s="19"/>
    </row>
    <row r="1272" spans="1:12" ht="30" customHeight="1">
      <c r="A1272" s="218" t="s">
        <v>268</v>
      </c>
      <c r="B1272" s="24" t="s">
        <v>90</v>
      </c>
      <c r="C1272" s="25" t="s">
        <v>455</v>
      </c>
      <c r="D1272" s="26" t="s">
        <v>32</v>
      </c>
      <c r="E1272" s="123"/>
      <c r="K1272" s="233"/>
      <c r="L1272" s="19"/>
    </row>
    <row r="1273" spans="1:12" ht="13.5" customHeight="1">
      <c r="A1273" s="219" t="n" cm="1">
        <f t="array" ref="A1273">IFERROR(INDEX('03.Muestra'!$B$8:$B$42,SMALL(IF("Documento no web"='03.Muestra'!$D$8:$D$42,ROW('03.Muestra'!$B$8:$B$42)-MIN(ROW('03.Muestra'!$D$8:$D$42))+1,""),ROW()-1272)),"")</f>
        <v>1.0</v>
      </c>
      <c r="B1273" s="114" t="str" cm="1">
        <f t="array" ref="B1273">IFERROR(INDEX('03.Muestra'!$C$8:$C$42,SMALL(IF("Documento no web"='03.Muestra'!$D$8:$D$42,ROW('03.Muestra'!$C$8:$C$42)-MIN(ROW('03.Muestra'!$D$8:$D$42))+1,""),ROW()-1272)),"")</f>
        <v>Home - PortCastelló</v>
      </c>
      <c r="C1273" s="114" t="str" cm="1">
        <f t="array" ref="C1273">IFERROR(INDEX('03.Muestra'!$F$8:$F$42,SMALL(IF("Documento no web"='03.Muestra'!$D$8:$D$42,ROW('03.Muestra'!$F$8:$F$42)-MIN(ROW('03.Muestra'!$D$8:$D$42))+1,""),ROW()-1272)),"")</f>
        <v>https://www.portcastello.com/</v>
      </c>
      <c r="D1273" s="130" t="s">
        <v>33</v>
      </c>
      <c r="E1273" s="107" t="str">
        <f t="shared" ref="E1273:E1307" si="66">IF(D1273&lt;&gt;"",IF(AND(B1273&lt;&gt;"",C1273&lt;&gt;""),"","ERR"),"")</f>
        <v/>
      </c>
      <c r="F1273" s="115" t="s">
        <v>33</v>
      </c>
      <c r="G1273" s="116" t="s">
        <v>37</v>
      </c>
      <c r="H1273" s="117" t="s">
        <v>35</v>
      </c>
      <c r="I1273" s="118" t="s">
        <v>28</v>
      </c>
      <c r="J1273" s="119" t="s">
        <v>26</v>
      </c>
      <c r="K1273" s="226" t="s">
        <v>474</v>
      </c>
    </row>
    <row r="1274" spans="1:12" ht="13.5" customHeight="1">
      <c r="A1274" s="219" t="n" cm="1">
        <f t="array" ref="A1274">IFERROR(INDEX('03.Muestra'!$B$8:$B$42,SMALL(IF("Documento no web"='03.Muestra'!$D$8:$D$42,ROW('03.Muestra'!$B$8:$B$42)-MIN(ROW('03.Muestra'!$D$8:$D$42))+1,""),ROW()-1272)),"")</f>
        <v>1.0</v>
      </c>
      <c r="B1274" s="114" t="str" cm="1">
        <f t="array" ref="B1274">IFERROR(INDEX('03.Muestra'!$C$8:$C$42,SMALL(IF("Documento no web"='03.Muestra'!$D$8:$D$42,ROW('03.Muestra'!$C$8:$C$42)-MIN(ROW('03.Muestra'!$D$8:$D$42))+1,""),ROW()-1272)),"")</f>
        <v>Home - PortCastelló</v>
      </c>
      <c r="C1274" s="114" t="str" cm="1">
        <f t="array" ref="C1274">IFERROR(INDEX('03.Muestra'!$F$8:$F$42,SMALL(IF("Documento no web"='03.Muestra'!$D$8:$D$42,ROW('03.Muestra'!$F$8:$F$42)-MIN(ROW('03.Muestra'!$D$8:$D$42))+1,""),ROW()-1272)),"")</f>
        <v>https://www.portcastello.com/</v>
      </c>
      <c r="D1274" s="130" t="s">
        <v>33</v>
      </c>
      <c r="E1274" s="107" t="str">
        <f t="shared" si="66"/>
        <v/>
      </c>
      <c r="F1274" s="120" t="n">
        <f ca="1">COUNTIF($D1273:INDIRECT("$D" &amp;  SUM(ROW()-1,'03.Muestra'!$D$45)-1),F1273)</f>
        <v>2.0</v>
      </c>
      <c r="G1274" s="120" t="n">
        <f ca="1">COUNTIF($D1273:INDIRECT("$D" &amp;  SUM(ROW()-1,'03.Muestra'!$D$45)-1),G1273)</f>
        <v>0.0</v>
      </c>
      <c r="H1274" s="120" t="n">
        <f ca="1">COUNTIF($D1273:INDIRECT("$D" &amp;  SUM(ROW()-1,'03.Muestra'!$D$45)-1),H1273)</f>
        <v>0.0</v>
      </c>
      <c r="I1274" s="120" t="n">
        <f ca="1">COUNTIF($D1273:INDIRECT("$D" &amp;  SUM(ROW()-1,'03.Muestra'!$D$45)-1),I1273)</f>
        <v>0.0</v>
      </c>
      <c r="J1274" s="120" t="n">
        <f ca="1">COUNTIF($D1273:INDIRECT("$D" &amp;  SUM(ROW()-1,'03.Muestra'!$D$45)-1),J1273)</f>
        <v>0.0</v>
      </c>
      <c r="K1274" s="227" t="n">
        <f ca="1">IF(COUNTIF('03.Muestra'!$D$8:$D$42,"Documento no web")=0,0,COUNTBLANK($D1273:INDIRECT("$D" &amp;  SUM(ROW()-1,COUNTIF('03.Muestra'!$D$8:$D$42,"Documento no web"))-1)))</f>
        <v>0.0</v>
      </c>
    </row>
    <row r="1275" spans="1:12" ht="13.5" customHeight="1">
      <c r="A1275" s="219" t="str" cm="1">
        <f t="array" ref="A1275">IFERROR(INDEX('03.Muestra'!$B$8:$B$42,SMALL(IF("Documento no web"='03.Muestra'!$D$8:$D$42,ROW('03.Muestra'!$B$8:$B$42)-MIN(ROW('03.Muestra'!$D$8:$D$42))+1,""),ROW()-1272)),"")</f>
        <v/>
      </c>
      <c r="B1275" s="114" t="str" cm="1">
        <f t="array" ref="B1275">IFERROR(INDEX('03.Muestra'!$C$8:$C$42,SMALL(IF("Documento no web"='03.Muestra'!$D$8:$D$42,ROW('03.Muestra'!$C$8:$C$42)-MIN(ROW('03.Muestra'!$D$8:$D$42))+1,""),ROW()-1272)),"")</f>
        <v/>
      </c>
      <c r="C1275" s="114" t="str" cm="1">
        <f t="array" ref="C1275">IFERROR(INDEX('03.Muestra'!$F$8:$F$42,SMALL(IF("Documento no web"='03.Muestra'!$D$8:$D$42,ROW('03.Muestra'!$F$8:$F$42)-MIN(ROW('03.Muestra'!$D$8:$D$42))+1,""),ROW()-1272)),"")</f>
        <v/>
      </c>
      <c r="D1275" s="130" t="str">
        <f t="shared" si="67" ref="D1275:D1307">IF(AND(B1275&lt;&gt;"",C1275&lt;&gt;""),"N/T","")</f>
        <v/>
      </c>
      <c r="E1275" s="107" t="str">
        <f t="shared" si="66"/>
        <v/>
      </c>
      <c r="G1275" s="19"/>
      <c r="H1275" s="19"/>
      <c r="I1275" s="19"/>
      <c r="J1275" s="19"/>
      <c r="K1275" s="233"/>
    </row>
    <row r="1276" spans="1:12" ht="13.5" customHeight="1">
      <c r="A1276" s="219" t="str" cm="1">
        <f t="array" ref="A1276">IFERROR(INDEX('03.Muestra'!$B$8:$B$42,SMALL(IF("Documento no web"='03.Muestra'!$D$8:$D$42,ROW('03.Muestra'!$B$8:$B$42)-MIN(ROW('03.Muestra'!$D$8:$D$42))+1,""),ROW()-1272)),"")</f>
        <v/>
      </c>
      <c r="B1276" s="114" t="str" cm="1">
        <f t="array" ref="B1276">IFERROR(INDEX('03.Muestra'!$C$8:$C$42,SMALL(IF("Documento no web"='03.Muestra'!$D$8:$D$42,ROW('03.Muestra'!$C$8:$C$42)-MIN(ROW('03.Muestra'!$D$8:$D$42))+1,""),ROW()-1272)),"")</f>
        <v/>
      </c>
      <c r="C1276" s="114" t="str" cm="1">
        <f t="array" ref="C1276">IFERROR(INDEX('03.Muestra'!$F$8:$F$42,SMALL(IF("Documento no web"='03.Muestra'!$D$8:$D$42,ROW('03.Muestra'!$F$8:$F$42)-MIN(ROW('03.Muestra'!$D$8:$D$42))+1,""),ROW()-1272)),"")</f>
        <v/>
      </c>
      <c r="D1276" s="130" t="str">
        <f t="shared" si="67"/>
        <v/>
      </c>
      <c r="E1276" s="107" t="str">
        <f t="shared" si="66"/>
        <v/>
      </c>
      <c r="G1276" s="19"/>
      <c r="H1276" s="19"/>
      <c r="I1276" s="19"/>
      <c r="J1276" s="19"/>
      <c r="K1276" s="233"/>
    </row>
    <row r="1277" spans="1:12" ht="13.5" customHeight="1">
      <c r="A1277" s="219" t="str" cm="1">
        <f t="array" ref="A1277">IFERROR(INDEX('03.Muestra'!$B$8:$B$42,SMALL(IF("Documento no web"='03.Muestra'!$D$8:$D$42,ROW('03.Muestra'!$B$8:$B$42)-MIN(ROW('03.Muestra'!$D$8:$D$42))+1,""),ROW()-1272)),"")</f>
        <v/>
      </c>
      <c r="B1277" s="114" t="str" cm="1">
        <f t="array" ref="B1277">IFERROR(INDEX('03.Muestra'!$C$8:$C$42,SMALL(IF("Documento no web"='03.Muestra'!$D$8:$D$42,ROW('03.Muestra'!$C$8:$C$42)-MIN(ROW('03.Muestra'!$D$8:$D$42))+1,""),ROW()-1272)),"")</f>
        <v/>
      </c>
      <c r="C1277" s="114" t="str" cm="1">
        <f t="array" ref="C1277">IFERROR(INDEX('03.Muestra'!$F$8:$F$42,SMALL(IF("Documento no web"='03.Muestra'!$D$8:$D$42,ROW('03.Muestra'!$F$8:$F$42)-MIN(ROW('03.Muestra'!$D$8:$D$42))+1,""),ROW()-1272)),"")</f>
        <v/>
      </c>
      <c r="D1277" s="130" t="str">
        <f t="shared" si="67"/>
        <v/>
      </c>
      <c r="E1277" s="107" t="str">
        <f t="shared" si="66"/>
        <v/>
      </c>
      <c r="G1277" s="19"/>
      <c r="H1277" s="19"/>
      <c r="I1277" s="19"/>
      <c r="J1277" s="19"/>
      <c r="K1277" s="233"/>
    </row>
    <row r="1278" spans="1:12" ht="13.5" customHeight="1">
      <c r="A1278" s="219" t="str" cm="1">
        <f t="array" ref="A1278">IFERROR(INDEX('03.Muestra'!$B$8:$B$42,SMALL(IF("Documento no web"='03.Muestra'!$D$8:$D$42,ROW('03.Muestra'!$B$8:$B$42)-MIN(ROW('03.Muestra'!$D$8:$D$42))+1,""),ROW()-1272)),"")</f>
        <v/>
      </c>
      <c r="B1278" s="114" t="str" cm="1">
        <f t="array" ref="B1278">IFERROR(INDEX('03.Muestra'!$C$8:$C$42,SMALL(IF("Documento no web"='03.Muestra'!$D$8:$D$42,ROW('03.Muestra'!$C$8:$C$42)-MIN(ROW('03.Muestra'!$D$8:$D$42))+1,""),ROW()-1272)),"")</f>
        <v/>
      </c>
      <c r="C1278" s="114" t="str" cm="1">
        <f t="array" ref="C1278">IFERROR(INDEX('03.Muestra'!$F$8:$F$42,SMALL(IF("Documento no web"='03.Muestra'!$D$8:$D$42,ROW('03.Muestra'!$F$8:$F$42)-MIN(ROW('03.Muestra'!$D$8:$D$42))+1,""),ROW()-1272)),"")</f>
        <v/>
      </c>
      <c r="D1278" s="130" t="str">
        <f t="shared" si="67"/>
        <v/>
      </c>
      <c r="E1278" s="107" t="str">
        <f t="shared" si="66"/>
        <v/>
      </c>
      <c r="G1278" s="19"/>
      <c r="H1278" s="19"/>
      <c r="I1278" s="19"/>
      <c r="J1278" s="19"/>
      <c r="K1278" s="233"/>
    </row>
    <row r="1279" spans="1:12" ht="13.5" customHeight="1">
      <c r="A1279" s="219" t="str" cm="1">
        <f t="array" ref="A1279">IFERROR(INDEX('03.Muestra'!$B$8:$B$42,SMALL(IF("Documento no web"='03.Muestra'!$D$8:$D$42,ROW('03.Muestra'!$B$8:$B$42)-MIN(ROW('03.Muestra'!$D$8:$D$42))+1,""),ROW()-1272)),"")</f>
        <v/>
      </c>
      <c r="B1279" s="114" t="str" cm="1">
        <f t="array" ref="B1279">IFERROR(INDEX('03.Muestra'!$C$8:$C$42,SMALL(IF("Documento no web"='03.Muestra'!$D$8:$D$42,ROW('03.Muestra'!$C$8:$C$42)-MIN(ROW('03.Muestra'!$D$8:$D$42))+1,""),ROW()-1272)),"")</f>
        <v/>
      </c>
      <c r="C1279" s="114" t="str" cm="1">
        <f t="array" ref="C1279">IFERROR(INDEX('03.Muestra'!$F$8:$F$42,SMALL(IF("Documento no web"='03.Muestra'!$D$8:$D$42,ROW('03.Muestra'!$F$8:$F$42)-MIN(ROW('03.Muestra'!$D$8:$D$42))+1,""),ROW()-1272)),"")</f>
        <v/>
      </c>
      <c r="D1279" s="130" t="str">
        <f t="shared" si="67"/>
        <v/>
      </c>
      <c r="E1279" s="107" t="str">
        <f t="shared" si="66"/>
        <v/>
      </c>
      <c r="F1279" s="19"/>
      <c r="G1279" s="19"/>
      <c r="H1279" s="19"/>
      <c r="I1279" s="19"/>
      <c r="J1279" s="19"/>
      <c r="K1279" s="233"/>
    </row>
    <row r="1280" spans="1:12" ht="13.5" customHeight="1">
      <c r="A1280" s="219" t="str" cm="1">
        <f t="array" ref="A1280">IFERROR(INDEX('03.Muestra'!$B$8:$B$42,SMALL(IF("Documento no web"='03.Muestra'!$D$8:$D$42,ROW('03.Muestra'!$B$8:$B$42)-MIN(ROW('03.Muestra'!$D$8:$D$42))+1,""),ROW()-1272)),"")</f>
        <v/>
      </c>
      <c r="B1280" s="114" t="str" cm="1">
        <f t="array" ref="B1280">IFERROR(INDEX('03.Muestra'!$C$8:$C$42,SMALL(IF("Documento no web"='03.Muestra'!$D$8:$D$42,ROW('03.Muestra'!$C$8:$C$42)-MIN(ROW('03.Muestra'!$D$8:$D$42))+1,""),ROW()-1272)),"")</f>
        <v/>
      </c>
      <c r="C1280" s="114" t="str" cm="1">
        <f t="array" ref="C1280">IFERROR(INDEX('03.Muestra'!$F$8:$F$42,SMALL(IF("Documento no web"='03.Muestra'!$D$8:$D$42,ROW('03.Muestra'!$F$8:$F$42)-MIN(ROW('03.Muestra'!$D$8:$D$42))+1,""),ROW()-1272)),"")</f>
        <v/>
      </c>
      <c r="D1280" s="130" t="str">
        <f t="shared" si="67"/>
        <v/>
      </c>
      <c r="E1280" s="107" t="str">
        <f t="shared" si="66"/>
        <v/>
      </c>
      <c r="F1280" s="19"/>
      <c r="G1280" s="19"/>
      <c r="H1280" s="19"/>
      <c r="I1280" s="19"/>
      <c r="J1280" s="19"/>
      <c r="K1280" s="233"/>
      <c r="L1280" s="19"/>
    </row>
    <row r="1281" spans="1:12" ht="13.5" customHeight="1">
      <c r="A1281" s="219" t="str" cm="1">
        <f t="array" ref="A1281">IFERROR(INDEX('03.Muestra'!$B$8:$B$42,SMALL(IF("Documento no web"='03.Muestra'!$D$8:$D$42,ROW('03.Muestra'!$B$8:$B$42)-MIN(ROW('03.Muestra'!$D$8:$D$42))+1,""),ROW()-1272)),"")</f>
        <v/>
      </c>
      <c r="B1281" s="114" t="str" cm="1">
        <f t="array" ref="B1281">IFERROR(INDEX('03.Muestra'!$C$8:$C$42,SMALL(IF("Documento no web"='03.Muestra'!$D$8:$D$42,ROW('03.Muestra'!$C$8:$C$42)-MIN(ROW('03.Muestra'!$D$8:$D$42))+1,""),ROW()-1272)),"")</f>
        <v/>
      </c>
      <c r="C1281" s="114" t="str" cm="1">
        <f t="array" ref="C1281">IFERROR(INDEX('03.Muestra'!$F$8:$F$42,SMALL(IF("Documento no web"='03.Muestra'!$D$8:$D$42,ROW('03.Muestra'!$F$8:$F$42)-MIN(ROW('03.Muestra'!$D$8:$D$42))+1,""),ROW()-1272)),"")</f>
        <v/>
      </c>
      <c r="D1281" s="130" t="str">
        <f t="shared" si="67"/>
        <v/>
      </c>
      <c r="E1281" s="107" t="str">
        <f t="shared" si="66"/>
        <v/>
      </c>
      <c r="F1281" s="19"/>
      <c r="G1281" s="19"/>
      <c r="H1281" s="19"/>
      <c r="I1281" s="19"/>
      <c r="J1281" s="19"/>
      <c r="K1281" s="233"/>
      <c r="L1281" s="19"/>
    </row>
    <row r="1282" spans="1:12" ht="13.5" customHeight="1">
      <c r="A1282" s="219" t="str" cm="1">
        <f t="array" ref="A1282">IFERROR(INDEX('03.Muestra'!$B$8:$B$42,SMALL(IF("Documento no web"='03.Muestra'!$D$8:$D$42,ROW('03.Muestra'!$B$8:$B$42)-MIN(ROW('03.Muestra'!$D$8:$D$42))+1,""),ROW()-1272)),"")</f>
        <v/>
      </c>
      <c r="B1282" s="114" t="str" cm="1">
        <f t="array" ref="B1282">IFERROR(INDEX('03.Muestra'!$C$8:$C$42,SMALL(IF("Documento no web"='03.Muestra'!$D$8:$D$42,ROW('03.Muestra'!$C$8:$C$42)-MIN(ROW('03.Muestra'!$D$8:$D$42))+1,""),ROW()-1272)),"")</f>
        <v/>
      </c>
      <c r="C1282" s="114" t="str" cm="1">
        <f t="array" ref="C1282">IFERROR(INDEX('03.Muestra'!$F$8:$F$42,SMALL(IF("Documento no web"='03.Muestra'!$D$8:$D$42,ROW('03.Muestra'!$F$8:$F$42)-MIN(ROW('03.Muestra'!$D$8:$D$42))+1,""),ROW()-1272)),"")</f>
        <v/>
      </c>
      <c r="D1282" s="130" t="str">
        <f t="shared" si="67"/>
        <v/>
      </c>
      <c r="E1282" s="107" t="str">
        <f t="shared" si="66"/>
        <v/>
      </c>
      <c r="F1282" s="19"/>
      <c r="G1282" s="19"/>
      <c r="H1282" s="19"/>
      <c r="I1282" s="19"/>
      <c r="J1282" s="19"/>
      <c r="K1282" s="233"/>
      <c r="L1282" s="19"/>
    </row>
    <row r="1283" spans="1:12" ht="13.5" customHeight="1">
      <c r="A1283" s="219" t="str" cm="1">
        <f t="array" ref="A1283">IFERROR(INDEX('03.Muestra'!$B$8:$B$42,SMALL(IF("Documento no web"='03.Muestra'!$D$8:$D$42,ROW('03.Muestra'!$B$8:$B$42)-MIN(ROW('03.Muestra'!$D$8:$D$42))+1,""),ROW()-1272)),"")</f>
        <v/>
      </c>
      <c r="B1283" s="114" t="str" cm="1">
        <f t="array" ref="B1283">IFERROR(INDEX('03.Muestra'!$C$8:$C$42,SMALL(IF("Documento no web"='03.Muestra'!$D$8:$D$42,ROW('03.Muestra'!$C$8:$C$42)-MIN(ROW('03.Muestra'!$D$8:$D$42))+1,""),ROW()-1272)),"")</f>
        <v/>
      </c>
      <c r="C1283" s="114" t="str" cm="1">
        <f t="array" ref="C1283">IFERROR(INDEX('03.Muestra'!$F$8:$F$42,SMALL(IF("Documento no web"='03.Muestra'!$D$8:$D$42,ROW('03.Muestra'!$F$8:$F$42)-MIN(ROW('03.Muestra'!$D$8:$D$42))+1,""),ROW()-1272)),"")</f>
        <v/>
      </c>
      <c r="D1283" s="130" t="str">
        <f t="shared" si="67"/>
        <v/>
      </c>
      <c r="E1283" s="107" t="str">
        <f t="shared" si="66"/>
        <v/>
      </c>
      <c r="F1283" s="19"/>
      <c r="G1283" s="19"/>
      <c r="H1283" s="19"/>
      <c r="I1283" s="19"/>
      <c r="J1283" s="19"/>
      <c r="K1283" s="233"/>
      <c r="L1283" s="19"/>
    </row>
    <row r="1284" spans="1:12" ht="13.5" customHeight="1">
      <c r="A1284" s="219" t="str" cm="1">
        <f t="array" ref="A1284">IFERROR(INDEX('03.Muestra'!$B$8:$B$42,SMALL(IF("Documento no web"='03.Muestra'!$D$8:$D$42,ROW('03.Muestra'!$B$8:$B$42)-MIN(ROW('03.Muestra'!$D$8:$D$42))+1,""),ROW()-1272)),"")</f>
        <v/>
      </c>
      <c r="B1284" s="114" t="str" cm="1">
        <f t="array" ref="B1284">IFERROR(INDEX('03.Muestra'!$C$8:$C$42,SMALL(IF("Documento no web"='03.Muestra'!$D$8:$D$42,ROW('03.Muestra'!$C$8:$C$42)-MIN(ROW('03.Muestra'!$D$8:$D$42))+1,""),ROW()-1272)),"")</f>
        <v/>
      </c>
      <c r="C1284" s="114" t="str" cm="1">
        <f t="array" ref="C1284">IFERROR(INDEX('03.Muestra'!$F$8:$F$42,SMALL(IF("Documento no web"='03.Muestra'!$D$8:$D$42,ROW('03.Muestra'!$F$8:$F$42)-MIN(ROW('03.Muestra'!$D$8:$D$42))+1,""),ROW()-1272)),"")</f>
        <v/>
      </c>
      <c r="D1284" s="130" t="str">
        <f t="shared" si="67"/>
        <v/>
      </c>
      <c r="E1284" s="107" t="str">
        <f t="shared" si="66"/>
        <v/>
      </c>
      <c r="F1284" s="19"/>
      <c r="G1284" s="19"/>
      <c r="H1284" s="19"/>
      <c r="I1284" s="19"/>
      <c r="J1284" s="19"/>
      <c r="K1284" s="233"/>
      <c r="L1284" s="19"/>
    </row>
    <row r="1285" spans="1:12" ht="13.5" customHeight="1">
      <c r="A1285" s="219" t="str" cm="1">
        <f t="array" ref="A1285">IFERROR(INDEX('03.Muestra'!$B$8:$B$42,SMALL(IF("Documento no web"='03.Muestra'!$D$8:$D$42,ROW('03.Muestra'!$B$8:$B$42)-MIN(ROW('03.Muestra'!$D$8:$D$42))+1,""),ROW()-1272)),"")</f>
        <v/>
      </c>
      <c r="B1285" s="114" t="str" cm="1">
        <f t="array" ref="B1285">IFERROR(INDEX('03.Muestra'!$C$8:$C$42,SMALL(IF("Documento no web"='03.Muestra'!$D$8:$D$42,ROW('03.Muestra'!$C$8:$C$42)-MIN(ROW('03.Muestra'!$D$8:$D$42))+1,""),ROW()-1272)),"")</f>
        <v/>
      </c>
      <c r="C1285" s="114" t="str" cm="1">
        <f t="array" ref="C1285">IFERROR(INDEX('03.Muestra'!$F$8:$F$42,SMALL(IF("Documento no web"='03.Muestra'!$D$8:$D$42,ROW('03.Muestra'!$F$8:$F$42)-MIN(ROW('03.Muestra'!$D$8:$D$42))+1,""),ROW()-1272)),"")</f>
        <v/>
      </c>
      <c r="D1285" s="130" t="str">
        <f t="shared" si="67"/>
        <v/>
      </c>
      <c r="E1285" s="107" t="str">
        <f t="shared" si="66"/>
        <v/>
      </c>
      <c r="F1285" s="19"/>
      <c r="G1285" s="19"/>
      <c r="H1285" s="19"/>
      <c r="I1285" s="19"/>
      <c r="J1285" s="19"/>
      <c r="K1285" s="233"/>
      <c r="L1285" s="19"/>
    </row>
    <row r="1286" spans="1:12" ht="13.5" customHeight="1">
      <c r="A1286" s="219" t="str" cm="1">
        <f t="array" ref="A1286">IFERROR(INDEX('03.Muestra'!$B$8:$B$42,SMALL(IF("Documento no web"='03.Muestra'!$D$8:$D$42,ROW('03.Muestra'!$B$8:$B$42)-MIN(ROW('03.Muestra'!$D$8:$D$42))+1,""),ROW()-1272)),"")</f>
        <v/>
      </c>
      <c r="B1286" s="114" t="str" cm="1">
        <f t="array" ref="B1286">IFERROR(INDEX('03.Muestra'!$C$8:$C$42,SMALL(IF("Documento no web"='03.Muestra'!$D$8:$D$42,ROW('03.Muestra'!$C$8:$C$42)-MIN(ROW('03.Muestra'!$D$8:$D$42))+1,""),ROW()-1272)),"")</f>
        <v/>
      </c>
      <c r="C1286" s="114" t="str" cm="1">
        <f t="array" ref="C1286">IFERROR(INDEX('03.Muestra'!$F$8:$F$42,SMALL(IF("Documento no web"='03.Muestra'!$D$8:$D$42,ROW('03.Muestra'!$F$8:$F$42)-MIN(ROW('03.Muestra'!$D$8:$D$42))+1,""),ROW()-1272)),"")</f>
        <v/>
      </c>
      <c r="D1286" s="130" t="str">
        <f t="shared" si="67"/>
        <v/>
      </c>
      <c r="E1286" s="107" t="str">
        <f t="shared" si="66"/>
        <v/>
      </c>
      <c r="F1286" s="19"/>
      <c r="G1286" s="19"/>
      <c r="H1286" s="19"/>
      <c r="I1286" s="19"/>
      <c r="J1286" s="19"/>
      <c r="K1286" s="233"/>
      <c r="L1286" s="19"/>
    </row>
    <row r="1287" spans="1:12" ht="13.5" customHeight="1">
      <c r="A1287" s="219" t="str" cm="1">
        <f t="array" ref="A1287">IFERROR(INDEX('03.Muestra'!$B$8:$B$42,SMALL(IF("Documento no web"='03.Muestra'!$D$8:$D$42,ROW('03.Muestra'!$B$8:$B$42)-MIN(ROW('03.Muestra'!$D$8:$D$42))+1,""),ROW()-1272)),"")</f>
        <v/>
      </c>
      <c r="B1287" s="114" t="str" cm="1">
        <f t="array" ref="B1287">IFERROR(INDEX('03.Muestra'!$C$8:$C$42,SMALL(IF("Documento no web"='03.Muestra'!$D$8:$D$42,ROW('03.Muestra'!$C$8:$C$42)-MIN(ROW('03.Muestra'!$D$8:$D$42))+1,""),ROW()-1272)),"")</f>
        <v/>
      </c>
      <c r="C1287" s="114" t="str" cm="1">
        <f t="array" ref="C1287">IFERROR(INDEX('03.Muestra'!$F$8:$F$42,SMALL(IF("Documento no web"='03.Muestra'!$D$8:$D$42,ROW('03.Muestra'!$F$8:$F$42)-MIN(ROW('03.Muestra'!$D$8:$D$42))+1,""),ROW()-1272)),"")</f>
        <v/>
      </c>
      <c r="D1287" s="130" t="str">
        <f t="shared" si="67"/>
        <v/>
      </c>
      <c r="E1287" s="107" t="str">
        <f t="shared" si="66"/>
        <v/>
      </c>
      <c r="F1287" s="19"/>
      <c r="G1287" s="19"/>
      <c r="H1287" s="19"/>
      <c r="I1287" s="19"/>
      <c r="J1287" s="19"/>
      <c r="K1287" s="233"/>
      <c r="L1287" s="19"/>
    </row>
    <row r="1288" spans="1:12" ht="13.5" customHeight="1">
      <c r="A1288" s="219" t="str" cm="1">
        <f t="array" ref="A1288">IFERROR(INDEX('03.Muestra'!$B$8:$B$42,SMALL(IF("Documento no web"='03.Muestra'!$D$8:$D$42,ROW('03.Muestra'!$B$8:$B$42)-MIN(ROW('03.Muestra'!$D$8:$D$42))+1,""),ROW()-1272)),"")</f>
        <v/>
      </c>
      <c r="B1288" s="114" t="str" cm="1">
        <f t="array" ref="B1288">IFERROR(INDEX('03.Muestra'!$C$8:$C$42,SMALL(IF("Documento no web"='03.Muestra'!$D$8:$D$42,ROW('03.Muestra'!$C$8:$C$42)-MIN(ROW('03.Muestra'!$D$8:$D$42))+1,""),ROW()-1272)),"")</f>
        <v/>
      </c>
      <c r="C1288" s="114" t="str" cm="1">
        <f t="array" ref="C1288">IFERROR(INDEX('03.Muestra'!$F$8:$F$42,SMALL(IF("Documento no web"='03.Muestra'!$D$8:$D$42,ROW('03.Muestra'!$F$8:$F$42)-MIN(ROW('03.Muestra'!$D$8:$D$42))+1,""),ROW()-1272)),"")</f>
        <v/>
      </c>
      <c r="D1288" s="130" t="str">
        <f t="shared" si="67"/>
        <v/>
      </c>
      <c r="E1288" s="107" t="str">
        <f t="shared" si="66"/>
        <v/>
      </c>
      <c r="F1288" s="19"/>
      <c r="G1288" s="19"/>
      <c r="H1288" s="19"/>
      <c r="I1288" s="19"/>
      <c r="J1288" s="19"/>
      <c r="K1288" s="233"/>
      <c r="L1288" s="19"/>
    </row>
    <row r="1289" spans="1:12" ht="13.5" customHeight="1">
      <c r="A1289" s="219" t="str" cm="1">
        <f t="array" ref="A1289">IFERROR(INDEX('03.Muestra'!$B$8:$B$42,SMALL(IF("Documento no web"='03.Muestra'!$D$8:$D$42,ROW('03.Muestra'!$B$8:$B$42)-MIN(ROW('03.Muestra'!$D$8:$D$42))+1,""),ROW()-1272)),"")</f>
        <v/>
      </c>
      <c r="B1289" s="114" t="str" cm="1">
        <f t="array" ref="B1289">IFERROR(INDEX('03.Muestra'!$C$8:$C$42,SMALL(IF("Documento no web"='03.Muestra'!$D$8:$D$42,ROW('03.Muestra'!$C$8:$C$42)-MIN(ROW('03.Muestra'!$D$8:$D$42))+1,""),ROW()-1272)),"")</f>
        <v/>
      </c>
      <c r="C1289" s="114" t="str" cm="1">
        <f t="array" ref="C1289">IFERROR(INDEX('03.Muestra'!$F$8:$F$42,SMALL(IF("Documento no web"='03.Muestra'!$D$8:$D$42,ROW('03.Muestra'!$F$8:$F$42)-MIN(ROW('03.Muestra'!$D$8:$D$42))+1,""),ROW()-1272)),"")</f>
        <v/>
      </c>
      <c r="D1289" s="130" t="str">
        <f t="shared" si="67"/>
        <v/>
      </c>
      <c r="E1289" s="107" t="str">
        <f t="shared" si="66"/>
        <v/>
      </c>
      <c r="F1289" s="19"/>
      <c r="G1289" s="19"/>
      <c r="H1289" s="19"/>
      <c r="I1289" s="19"/>
      <c r="J1289" s="19"/>
      <c r="K1289" s="233"/>
      <c r="L1289" s="19"/>
    </row>
    <row r="1290" spans="1:12" ht="13.5" customHeight="1">
      <c r="A1290" s="219" t="str" cm="1">
        <f t="array" ref="A1290">IFERROR(INDEX('03.Muestra'!$B$8:$B$42,SMALL(IF("Documento no web"='03.Muestra'!$D$8:$D$42,ROW('03.Muestra'!$B$8:$B$42)-MIN(ROW('03.Muestra'!$D$8:$D$42))+1,""),ROW()-1272)),"")</f>
        <v/>
      </c>
      <c r="B1290" s="114" t="str" cm="1">
        <f t="array" ref="B1290">IFERROR(INDEX('03.Muestra'!$C$8:$C$42,SMALL(IF("Documento no web"='03.Muestra'!$D$8:$D$42,ROW('03.Muestra'!$C$8:$C$42)-MIN(ROW('03.Muestra'!$D$8:$D$42))+1,""),ROW()-1272)),"")</f>
        <v/>
      </c>
      <c r="C1290" s="114" t="str" cm="1">
        <f t="array" ref="C1290">IFERROR(INDEX('03.Muestra'!$F$8:$F$42,SMALL(IF("Documento no web"='03.Muestra'!$D$8:$D$42,ROW('03.Muestra'!$F$8:$F$42)-MIN(ROW('03.Muestra'!$D$8:$D$42))+1,""),ROW()-1272)),"")</f>
        <v/>
      </c>
      <c r="D1290" s="130" t="str">
        <f t="shared" si="67"/>
        <v/>
      </c>
      <c r="E1290" s="107" t="str">
        <f t="shared" si="66"/>
        <v/>
      </c>
      <c r="F1290" s="19"/>
      <c r="G1290" s="19"/>
      <c r="H1290" s="19"/>
      <c r="I1290" s="19"/>
      <c r="J1290" s="19"/>
      <c r="K1290" s="233"/>
      <c r="L1290" s="19"/>
    </row>
    <row r="1291" spans="1:12" ht="13.5" customHeight="1">
      <c r="A1291" s="219" t="str" cm="1">
        <f t="array" ref="A1291">IFERROR(INDEX('03.Muestra'!$B$8:$B$42,SMALL(IF("Documento no web"='03.Muestra'!$D$8:$D$42,ROW('03.Muestra'!$B$8:$B$42)-MIN(ROW('03.Muestra'!$D$8:$D$42))+1,""),ROW()-1272)),"")</f>
        <v/>
      </c>
      <c r="B1291" s="114" t="str" cm="1">
        <f t="array" ref="B1291">IFERROR(INDEX('03.Muestra'!$C$8:$C$42,SMALL(IF("Documento no web"='03.Muestra'!$D$8:$D$42,ROW('03.Muestra'!$C$8:$C$42)-MIN(ROW('03.Muestra'!$D$8:$D$42))+1,""),ROW()-1272)),"")</f>
        <v/>
      </c>
      <c r="C1291" s="114" t="str" cm="1">
        <f t="array" ref="C1291">IFERROR(INDEX('03.Muestra'!$F$8:$F$42,SMALL(IF("Documento no web"='03.Muestra'!$D$8:$D$42,ROW('03.Muestra'!$F$8:$F$42)-MIN(ROW('03.Muestra'!$D$8:$D$42))+1,""),ROW()-1272)),"")</f>
        <v/>
      </c>
      <c r="D1291" s="130" t="str">
        <f t="shared" si="67"/>
        <v/>
      </c>
      <c r="E1291" s="107" t="str">
        <f t="shared" si="66"/>
        <v/>
      </c>
      <c r="F1291" s="19"/>
      <c r="G1291" s="19"/>
      <c r="H1291" s="19"/>
      <c r="I1291" s="19"/>
      <c r="J1291" s="19"/>
      <c r="K1291" s="233"/>
      <c r="L1291" s="19"/>
    </row>
    <row r="1292" spans="1:12" ht="13.5" customHeight="1">
      <c r="A1292" s="219" t="str" cm="1">
        <f t="array" ref="A1292">IFERROR(INDEX('03.Muestra'!$B$8:$B$42,SMALL(IF("Documento no web"='03.Muestra'!$D$8:$D$42,ROW('03.Muestra'!$B$8:$B$42)-MIN(ROW('03.Muestra'!$D$8:$D$42))+1,""),ROW()-1272)),"")</f>
        <v/>
      </c>
      <c r="B1292" s="114" t="str" cm="1">
        <f t="array" ref="B1292">IFERROR(INDEX('03.Muestra'!$C$8:$C$42,SMALL(IF("Documento no web"='03.Muestra'!$D$8:$D$42,ROW('03.Muestra'!$C$8:$C$42)-MIN(ROW('03.Muestra'!$D$8:$D$42))+1,""),ROW()-1272)),"")</f>
        <v/>
      </c>
      <c r="C1292" s="114" t="str" cm="1">
        <f t="array" ref="C1292">IFERROR(INDEX('03.Muestra'!$F$8:$F$42,SMALL(IF("Documento no web"='03.Muestra'!$D$8:$D$42,ROW('03.Muestra'!$F$8:$F$42)-MIN(ROW('03.Muestra'!$D$8:$D$42))+1,""),ROW()-1272)),"")</f>
        <v/>
      </c>
      <c r="D1292" s="130" t="str">
        <f t="shared" si="67"/>
        <v/>
      </c>
      <c r="E1292" s="107" t="str">
        <f t="shared" si="66"/>
        <v/>
      </c>
      <c r="F1292" s="19"/>
      <c r="G1292" s="19"/>
      <c r="H1292" s="19"/>
      <c r="I1292" s="19"/>
      <c r="J1292" s="19"/>
      <c r="K1292" s="233"/>
      <c r="L1292" s="19"/>
    </row>
    <row r="1293" spans="1:12" ht="13.5" customHeight="1">
      <c r="A1293" s="219" t="str" cm="1">
        <f t="array" ref="A1293">IFERROR(INDEX('03.Muestra'!$B$8:$B$42,SMALL(IF("Documento no web"='03.Muestra'!$D$8:$D$42,ROW('03.Muestra'!$B$8:$B$42)-MIN(ROW('03.Muestra'!$D$8:$D$42))+1,""),ROW()-1272)),"")</f>
        <v/>
      </c>
      <c r="B1293" s="114" t="str" cm="1">
        <f t="array" ref="B1293">IFERROR(INDEX('03.Muestra'!$C$8:$C$42,SMALL(IF("Documento no web"='03.Muestra'!$D$8:$D$42,ROW('03.Muestra'!$C$8:$C$42)-MIN(ROW('03.Muestra'!$D$8:$D$42))+1,""),ROW()-1272)),"")</f>
        <v/>
      </c>
      <c r="C1293" s="114" t="str" cm="1">
        <f t="array" ref="C1293">IFERROR(INDEX('03.Muestra'!$F$8:$F$42,SMALL(IF("Documento no web"='03.Muestra'!$D$8:$D$42,ROW('03.Muestra'!$F$8:$F$42)-MIN(ROW('03.Muestra'!$D$8:$D$42))+1,""),ROW()-1272)),"")</f>
        <v/>
      </c>
      <c r="D1293" s="130" t="str">
        <f t="shared" si="67"/>
        <v/>
      </c>
      <c r="E1293" s="107" t="str">
        <f t="shared" si="66"/>
        <v/>
      </c>
      <c r="F1293" s="19"/>
      <c r="G1293" s="19"/>
      <c r="H1293" s="19"/>
      <c r="I1293" s="19"/>
      <c r="J1293" s="19"/>
      <c r="K1293" s="233"/>
      <c r="L1293" s="19"/>
    </row>
    <row r="1294" spans="1:12" ht="13.5" customHeight="1">
      <c r="A1294" s="219" t="str" cm="1">
        <f t="array" ref="A1294">IFERROR(INDEX('03.Muestra'!$B$8:$B$42,SMALL(IF("Documento no web"='03.Muestra'!$D$8:$D$42,ROW('03.Muestra'!$B$8:$B$42)-MIN(ROW('03.Muestra'!$D$8:$D$42))+1,""),ROW()-1272)),"")</f>
        <v/>
      </c>
      <c r="B1294" s="114" t="str" cm="1">
        <f t="array" ref="B1294">IFERROR(INDEX('03.Muestra'!$C$8:$C$42,SMALL(IF("Documento no web"='03.Muestra'!$D$8:$D$42,ROW('03.Muestra'!$C$8:$C$42)-MIN(ROW('03.Muestra'!$D$8:$D$42))+1,""),ROW()-1272)),"")</f>
        <v/>
      </c>
      <c r="C1294" s="114" t="str" cm="1">
        <f t="array" ref="C1294">IFERROR(INDEX('03.Muestra'!$F$8:$F$42,SMALL(IF("Documento no web"='03.Muestra'!$D$8:$D$42,ROW('03.Muestra'!$F$8:$F$42)-MIN(ROW('03.Muestra'!$D$8:$D$42))+1,""),ROW()-1272)),"")</f>
        <v/>
      </c>
      <c r="D1294" s="130" t="str">
        <f t="shared" si="67"/>
        <v/>
      </c>
      <c r="E1294" s="107" t="str">
        <f t="shared" si="66"/>
        <v/>
      </c>
      <c r="F1294" s="19"/>
      <c r="G1294" s="19"/>
      <c r="H1294" s="19"/>
      <c r="I1294" s="19"/>
      <c r="J1294" s="19"/>
      <c r="K1294" s="233"/>
      <c r="L1294" s="19"/>
    </row>
    <row r="1295" spans="1:12" ht="13.5" customHeight="1">
      <c r="A1295" s="219" t="str" cm="1">
        <f t="array" ref="A1295">IFERROR(INDEX('03.Muestra'!$B$8:$B$42,SMALL(IF("Documento no web"='03.Muestra'!$D$8:$D$42,ROW('03.Muestra'!$B$8:$B$42)-MIN(ROW('03.Muestra'!$D$8:$D$42))+1,""),ROW()-1272)),"")</f>
        <v/>
      </c>
      <c r="B1295" s="114" t="str" cm="1">
        <f t="array" ref="B1295">IFERROR(INDEX('03.Muestra'!$C$8:$C$42,SMALL(IF("Documento no web"='03.Muestra'!$D$8:$D$42,ROW('03.Muestra'!$C$8:$C$42)-MIN(ROW('03.Muestra'!$D$8:$D$42))+1,""),ROW()-1272)),"")</f>
        <v/>
      </c>
      <c r="C1295" s="114" t="str" cm="1">
        <f t="array" ref="C1295">IFERROR(INDEX('03.Muestra'!$F$8:$F$42,SMALL(IF("Documento no web"='03.Muestra'!$D$8:$D$42,ROW('03.Muestra'!$F$8:$F$42)-MIN(ROW('03.Muestra'!$D$8:$D$42))+1,""),ROW()-1272)),"")</f>
        <v/>
      </c>
      <c r="D1295" s="130" t="str">
        <f t="shared" si="67"/>
        <v/>
      </c>
      <c r="E1295" s="107" t="str">
        <f t="shared" si="66"/>
        <v/>
      </c>
      <c r="F1295" s="19"/>
      <c r="G1295" s="19"/>
      <c r="H1295" s="19"/>
      <c r="I1295" s="19"/>
      <c r="J1295" s="19"/>
      <c r="K1295" s="233"/>
      <c r="L1295" s="19"/>
    </row>
    <row r="1296" spans="1:12" ht="13.5" customHeight="1">
      <c r="A1296" s="219" t="str" cm="1">
        <f t="array" ref="A1296">IFERROR(INDEX('03.Muestra'!$B$8:$B$42,SMALL(IF("Documento no web"='03.Muestra'!$D$8:$D$42,ROW('03.Muestra'!$B$8:$B$42)-MIN(ROW('03.Muestra'!$D$8:$D$42))+1,""),ROW()-1272)),"")</f>
        <v/>
      </c>
      <c r="B1296" s="114" t="str" cm="1">
        <f t="array" ref="B1296">IFERROR(INDEX('03.Muestra'!$C$8:$C$42,SMALL(IF("Documento no web"='03.Muestra'!$D$8:$D$42,ROW('03.Muestra'!$C$8:$C$42)-MIN(ROW('03.Muestra'!$D$8:$D$42))+1,""),ROW()-1272)),"")</f>
        <v/>
      </c>
      <c r="C1296" s="114" t="str" cm="1">
        <f t="array" ref="C1296">IFERROR(INDEX('03.Muestra'!$F$8:$F$42,SMALL(IF("Documento no web"='03.Muestra'!$D$8:$D$42,ROW('03.Muestra'!$F$8:$F$42)-MIN(ROW('03.Muestra'!$D$8:$D$42))+1,""),ROW()-1272)),"")</f>
        <v/>
      </c>
      <c r="D1296" s="130" t="str">
        <f t="shared" si="67"/>
        <v/>
      </c>
      <c r="E1296" s="107" t="str">
        <f t="shared" si="66"/>
        <v/>
      </c>
      <c r="F1296" s="19"/>
      <c r="G1296" s="19"/>
      <c r="H1296" s="19"/>
      <c r="I1296" s="19"/>
      <c r="J1296" s="19"/>
      <c r="K1296" s="233"/>
      <c r="L1296" s="19"/>
    </row>
    <row r="1297" spans="1:12" ht="13.5" customHeight="1">
      <c r="A1297" s="219" t="str" cm="1">
        <f t="array" ref="A1297">IFERROR(INDEX('03.Muestra'!$B$8:$B$42,SMALL(IF("Documento no web"='03.Muestra'!$D$8:$D$42,ROW('03.Muestra'!$B$8:$B$42)-MIN(ROW('03.Muestra'!$D$8:$D$42))+1,""),ROW()-1272)),"")</f>
        <v/>
      </c>
      <c r="B1297" s="114" t="str" cm="1">
        <f t="array" ref="B1297">IFERROR(INDEX('03.Muestra'!$C$8:$C$42,SMALL(IF("Documento no web"='03.Muestra'!$D$8:$D$42,ROW('03.Muestra'!$C$8:$C$42)-MIN(ROW('03.Muestra'!$D$8:$D$42))+1,""),ROW()-1272)),"")</f>
        <v/>
      </c>
      <c r="C1297" s="114" t="str" cm="1">
        <f t="array" ref="C1297">IFERROR(INDEX('03.Muestra'!$F$8:$F$42,SMALL(IF("Documento no web"='03.Muestra'!$D$8:$D$42,ROW('03.Muestra'!$F$8:$F$42)-MIN(ROW('03.Muestra'!$D$8:$D$42))+1,""),ROW()-1272)),"")</f>
        <v/>
      </c>
      <c r="D1297" s="130" t="str">
        <f t="shared" si="67"/>
        <v/>
      </c>
      <c r="E1297" s="107" t="str">
        <f t="shared" si="66"/>
        <v/>
      </c>
      <c r="F1297" s="19"/>
      <c r="G1297" s="19"/>
      <c r="H1297" s="19"/>
      <c r="I1297" s="19"/>
      <c r="J1297" s="19"/>
      <c r="K1297" s="233"/>
      <c r="L1297" s="19"/>
    </row>
    <row r="1298" spans="1:12" ht="13.5" customHeight="1">
      <c r="A1298" s="219" t="str" cm="1">
        <f t="array" ref="A1298">IFERROR(INDEX('03.Muestra'!$B$8:$B$42,SMALL(IF("Documento no web"='03.Muestra'!$D$8:$D$42,ROW('03.Muestra'!$B$8:$B$42)-MIN(ROW('03.Muestra'!$D$8:$D$42))+1,""),ROW()-1272)),"")</f>
        <v/>
      </c>
      <c r="B1298" s="114" t="str" cm="1">
        <f t="array" ref="B1298">IFERROR(INDEX('03.Muestra'!$C$8:$C$42,SMALL(IF("Documento no web"='03.Muestra'!$D$8:$D$42,ROW('03.Muestra'!$C$8:$C$42)-MIN(ROW('03.Muestra'!$D$8:$D$42))+1,""),ROW()-1272)),"")</f>
        <v/>
      </c>
      <c r="C1298" s="114" t="str" cm="1">
        <f t="array" ref="C1298">IFERROR(INDEX('03.Muestra'!$F$8:$F$42,SMALL(IF("Documento no web"='03.Muestra'!$D$8:$D$42,ROW('03.Muestra'!$F$8:$F$42)-MIN(ROW('03.Muestra'!$D$8:$D$42))+1,""),ROW()-1272)),"")</f>
        <v/>
      </c>
      <c r="D1298" s="130" t="str">
        <f t="shared" si="67"/>
        <v/>
      </c>
      <c r="E1298" s="107" t="str">
        <f t="shared" si="66"/>
        <v/>
      </c>
      <c r="F1298" s="19"/>
      <c r="G1298" s="19"/>
      <c r="H1298" s="19"/>
      <c r="I1298" s="19"/>
      <c r="J1298" s="19"/>
      <c r="K1298" s="233"/>
      <c r="L1298" s="19"/>
    </row>
    <row r="1299" spans="1:12" ht="13.5" customHeight="1">
      <c r="A1299" s="219" t="str" cm="1">
        <f t="array" ref="A1299">IFERROR(INDEX('03.Muestra'!$B$8:$B$42,SMALL(IF("Documento no web"='03.Muestra'!$D$8:$D$42,ROW('03.Muestra'!$B$8:$B$42)-MIN(ROW('03.Muestra'!$D$8:$D$42))+1,""),ROW()-1272)),"")</f>
        <v/>
      </c>
      <c r="B1299" s="114" t="str" cm="1">
        <f t="array" ref="B1299">IFERROR(INDEX('03.Muestra'!$C$8:$C$42,SMALL(IF("Documento no web"='03.Muestra'!$D$8:$D$42,ROW('03.Muestra'!$C$8:$C$42)-MIN(ROW('03.Muestra'!$D$8:$D$42))+1,""),ROW()-1272)),"")</f>
        <v/>
      </c>
      <c r="C1299" s="114" t="str" cm="1">
        <f t="array" ref="C1299">IFERROR(INDEX('03.Muestra'!$F$8:$F$42,SMALL(IF("Documento no web"='03.Muestra'!$D$8:$D$42,ROW('03.Muestra'!$F$8:$F$42)-MIN(ROW('03.Muestra'!$D$8:$D$42))+1,""),ROW()-1272)),"")</f>
        <v/>
      </c>
      <c r="D1299" s="130" t="str">
        <f t="shared" si="67"/>
        <v/>
      </c>
      <c r="E1299" s="107" t="str">
        <f t="shared" si="66"/>
        <v/>
      </c>
      <c r="F1299" s="19"/>
      <c r="G1299" s="19"/>
      <c r="H1299" s="19"/>
      <c r="I1299" s="19"/>
      <c r="J1299" s="19"/>
      <c r="K1299" s="233"/>
      <c r="L1299" s="19"/>
    </row>
    <row r="1300" spans="1:12" ht="13.5" customHeight="1">
      <c r="A1300" s="219" t="str" cm="1">
        <f t="array" ref="A1300">IFERROR(INDEX('03.Muestra'!$B$8:$B$42,SMALL(IF("Documento no web"='03.Muestra'!$D$8:$D$42,ROW('03.Muestra'!$B$8:$B$42)-MIN(ROW('03.Muestra'!$D$8:$D$42))+1,""),ROW()-1272)),"")</f>
        <v/>
      </c>
      <c r="B1300" s="114" t="str" cm="1">
        <f t="array" ref="B1300">IFERROR(INDEX('03.Muestra'!$C$8:$C$42,SMALL(IF("Documento no web"='03.Muestra'!$D$8:$D$42,ROW('03.Muestra'!$C$8:$C$42)-MIN(ROW('03.Muestra'!$D$8:$D$42))+1,""),ROW()-1272)),"")</f>
        <v/>
      </c>
      <c r="C1300" s="114" t="str" cm="1">
        <f t="array" ref="C1300">IFERROR(INDEX('03.Muestra'!$F$8:$F$42,SMALL(IF("Documento no web"='03.Muestra'!$D$8:$D$42,ROW('03.Muestra'!$F$8:$F$42)-MIN(ROW('03.Muestra'!$D$8:$D$42))+1,""),ROW()-1272)),"")</f>
        <v/>
      </c>
      <c r="D1300" s="130" t="str">
        <f t="shared" si="67"/>
        <v/>
      </c>
      <c r="E1300" s="107" t="str">
        <f t="shared" si="66"/>
        <v/>
      </c>
      <c r="G1300" s="19"/>
      <c r="H1300" s="19"/>
      <c r="I1300" s="19"/>
      <c r="J1300" s="19"/>
      <c r="K1300" s="233"/>
      <c r="L1300" s="19"/>
    </row>
    <row r="1301" spans="1:12" ht="13.5" customHeight="1">
      <c r="A1301" s="219" t="str" cm="1">
        <f t="array" ref="A1301">IFERROR(INDEX('03.Muestra'!$B$8:$B$42,SMALL(IF("Documento no web"='03.Muestra'!$D$8:$D$42,ROW('03.Muestra'!$B$8:$B$42)-MIN(ROW('03.Muestra'!$D$8:$D$42))+1,""),ROW()-1272)),"")</f>
        <v/>
      </c>
      <c r="B1301" s="114" t="str" cm="1">
        <f t="array" ref="B1301">IFERROR(INDEX('03.Muestra'!$C$8:$C$42,SMALL(IF("Documento no web"='03.Muestra'!$D$8:$D$42,ROW('03.Muestra'!$C$8:$C$42)-MIN(ROW('03.Muestra'!$D$8:$D$42))+1,""),ROW()-1272)),"")</f>
        <v/>
      </c>
      <c r="C1301" s="114" t="str" cm="1">
        <f t="array" ref="C1301">IFERROR(INDEX('03.Muestra'!$F$8:$F$42,SMALL(IF("Documento no web"='03.Muestra'!$D$8:$D$42,ROW('03.Muestra'!$F$8:$F$42)-MIN(ROW('03.Muestra'!$D$8:$D$42))+1,""),ROW()-1272)),"")</f>
        <v/>
      </c>
      <c r="D1301" s="130" t="str">
        <f t="shared" si="67"/>
        <v/>
      </c>
      <c r="E1301" s="107" t="str">
        <f t="shared" si="66"/>
        <v/>
      </c>
      <c r="G1301" s="19"/>
      <c r="H1301" s="19"/>
      <c r="I1301" s="19"/>
      <c r="J1301" s="19"/>
      <c r="K1301" s="233"/>
      <c r="L1301" s="19"/>
    </row>
    <row r="1302" spans="1:12" ht="13.5" customHeight="1">
      <c r="A1302" s="219" t="str" cm="1">
        <f t="array" ref="A1302">IFERROR(INDEX('03.Muestra'!$B$8:$B$42,SMALL(IF("Documento no web"='03.Muestra'!$D$8:$D$42,ROW('03.Muestra'!$B$8:$B$42)-MIN(ROW('03.Muestra'!$D$8:$D$42))+1,""),ROW()-1272)),"")</f>
        <v/>
      </c>
      <c r="B1302" s="114" t="str" cm="1">
        <f t="array" ref="B1302">IFERROR(INDEX('03.Muestra'!$C$8:$C$42,SMALL(IF("Documento no web"='03.Muestra'!$D$8:$D$42,ROW('03.Muestra'!$C$8:$C$42)-MIN(ROW('03.Muestra'!$D$8:$D$42))+1,""),ROW()-1272)),"")</f>
        <v/>
      </c>
      <c r="C1302" s="114" t="str" cm="1">
        <f t="array" ref="C1302">IFERROR(INDEX('03.Muestra'!$F$8:$F$42,SMALL(IF("Documento no web"='03.Muestra'!$D$8:$D$42,ROW('03.Muestra'!$F$8:$F$42)-MIN(ROW('03.Muestra'!$D$8:$D$42))+1,""),ROW()-1272)),"")</f>
        <v/>
      </c>
      <c r="D1302" s="130" t="str">
        <f t="shared" si="67"/>
        <v/>
      </c>
      <c r="E1302" s="107" t="str">
        <f t="shared" si="66"/>
        <v/>
      </c>
      <c r="G1302" s="19"/>
      <c r="H1302" s="19"/>
      <c r="I1302" s="19"/>
      <c r="J1302" s="19"/>
      <c r="K1302" s="233"/>
      <c r="L1302" s="19"/>
    </row>
    <row r="1303" spans="1:12" ht="13.5" customHeight="1">
      <c r="A1303" s="219" t="str" cm="1">
        <f t="array" ref="A1303">IFERROR(INDEX('03.Muestra'!$B$8:$B$42,SMALL(IF("Documento no web"='03.Muestra'!$D$8:$D$42,ROW('03.Muestra'!$B$8:$B$42)-MIN(ROW('03.Muestra'!$D$8:$D$42))+1,""),ROW()-1272)),"")</f>
        <v/>
      </c>
      <c r="B1303" s="114" t="str" cm="1">
        <f t="array" ref="B1303">IFERROR(INDEX('03.Muestra'!$C$8:$C$42,SMALL(IF("Documento no web"='03.Muestra'!$D$8:$D$42,ROW('03.Muestra'!$C$8:$C$42)-MIN(ROW('03.Muestra'!$D$8:$D$42))+1,""),ROW()-1272)),"")</f>
        <v/>
      </c>
      <c r="C1303" s="114" t="str" cm="1">
        <f t="array" ref="C1303">IFERROR(INDEX('03.Muestra'!$F$8:$F$42,SMALL(IF("Documento no web"='03.Muestra'!$D$8:$D$42,ROW('03.Muestra'!$F$8:$F$42)-MIN(ROW('03.Muestra'!$D$8:$D$42))+1,""),ROW()-1272)),"")</f>
        <v/>
      </c>
      <c r="D1303" s="130" t="str">
        <f t="shared" si="67"/>
        <v/>
      </c>
      <c r="E1303" s="107" t="str">
        <f t="shared" si="66"/>
        <v/>
      </c>
      <c r="F1303" s="124"/>
      <c r="G1303" s="19"/>
      <c r="H1303" s="19"/>
      <c r="I1303" s="19"/>
      <c r="J1303" s="19"/>
      <c r="K1303" s="233"/>
      <c r="L1303" s="19"/>
    </row>
    <row r="1304" spans="1:12" ht="13.5" customHeight="1">
      <c r="A1304" s="219" t="str" cm="1">
        <f t="array" ref="A1304">IFERROR(INDEX('03.Muestra'!$B$8:$B$42,SMALL(IF("Documento no web"='03.Muestra'!$D$8:$D$42,ROW('03.Muestra'!$B$8:$B$42)-MIN(ROW('03.Muestra'!$D$8:$D$42))+1,""),ROW()-1272)),"")</f>
        <v/>
      </c>
      <c r="B1304" s="114" t="str" cm="1">
        <f t="array" ref="B1304">IFERROR(INDEX('03.Muestra'!$C$8:$C$42,SMALL(IF("Documento no web"='03.Muestra'!$D$8:$D$42,ROW('03.Muestra'!$C$8:$C$42)-MIN(ROW('03.Muestra'!$D$8:$D$42))+1,""),ROW()-1272)),"")</f>
        <v/>
      </c>
      <c r="C1304" s="114" t="str" cm="1">
        <f t="array" ref="C1304">IFERROR(INDEX('03.Muestra'!$F$8:$F$42,SMALL(IF("Documento no web"='03.Muestra'!$D$8:$D$42,ROW('03.Muestra'!$F$8:$F$42)-MIN(ROW('03.Muestra'!$D$8:$D$42))+1,""),ROW()-1272)),"")</f>
        <v/>
      </c>
      <c r="D1304" s="130" t="str">
        <f t="shared" si="67"/>
        <v/>
      </c>
      <c r="E1304" s="107" t="str">
        <f t="shared" si="66"/>
        <v/>
      </c>
      <c r="F1304" s="124"/>
      <c r="G1304" s="19"/>
      <c r="H1304" s="19"/>
      <c r="I1304" s="19"/>
      <c r="J1304" s="19"/>
      <c r="K1304" s="233"/>
      <c r="L1304" s="19"/>
    </row>
    <row r="1305" spans="1:12" ht="13.5" customHeight="1">
      <c r="A1305" s="219" t="str" cm="1">
        <f t="array" ref="A1305">IFERROR(INDEX('03.Muestra'!$B$8:$B$42,SMALL(IF("Documento no web"='03.Muestra'!$D$8:$D$42,ROW('03.Muestra'!$B$8:$B$42)-MIN(ROW('03.Muestra'!$D$8:$D$42))+1,""),ROW()-1272)),"")</f>
        <v/>
      </c>
      <c r="B1305" s="114" t="str" cm="1">
        <f t="array" ref="B1305">IFERROR(INDEX('03.Muestra'!$C$8:$C$42,SMALL(IF("Documento no web"='03.Muestra'!$D$8:$D$42,ROW('03.Muestra'!$C$8:$C$42)-MIN(ROW('03.Muestra'!$D$8:$D$42))+1,""),ROW()-1272)),"")</f>
        <v/>
      </c>
      <c r="C1305" s="114" t="str" cm="1">
        <f t="array" ref="C1305">IFERROR(INDEX('03.Muestra'!$F$8:$F$42,SMALL(IF("Documento no web"='03.Muestra'!$D$8:$D$42,ROW('03.Muestra'!$F$8:$F$42)-MIN(ROW('03.Muestra'!$D$8:$D$42))+1,""),ROW()-1272)),"")</f>
        <v/>
      </c>
      <c r="D1305" s="130" t="str">
        <f t="shared" si="67"/>
        <v/>
      </c>
      <c r="E1305" s="107" t="str">
        <f t="shared" si="66"/>
        <v/>
      </c>
      <c r="F1305" s="124"/>
      <c r="G1305" s="19"/>
      <c r="H1305" s="19"/>
      <c r="I1305" s="19"/>
      <c r="J1305" s="19"/>
      <c r="K1305" s="233"/>
      <c r="L1305" s="19"/>
    </row>
    <row r="1306" spans="1:12" ht="13.5" customHeight="1">
      <c r="A1306" s="219" t="str" cm="1">
        <f t="array" ref="A1306">IFERROR(INDEX('03.Muestra'!$B$8:$B$42,SMALL(IF("Documento no web"='03.Muestra'!$D$8:$D$42,ROW('03.Muestra'!$B$8:$B$42)-MIN(ROW('03.Muestra'!$D$8:$D$42))+1,""),ROW()-1272)),"")</f>
        <v/>
      </c>
      <c r="B1306" s="114" t="str" cm="1">
        <f t="array" ref="B1306">IFERROR(INDEX('03.Muestra'!$C$8:$C$42,SMALL(IF("Documento no web"='03.Muestra'!$D$8:$D$42,ROW('03.Muestra'!$C$8:$C$42)-MIN(ROW('03.Muestra'!$D$8:$D$42))+1,""),ROW()-1272)),"")</f>
        <v/>
      </c>
      <c r="C1306" s="114" t="str" cm="1">
        <f t="array" ref="C1306">IFERROR(INDEX('03.Muestra'!$F$8:$F$42,SMALL(IF("Documento no web"='03.Muestra'!$D$8:$D$42,ROW('03.Muestra'!$F$8:$F$42)-MIN(ROW('03.Muestra'!$D$8:$D$42))+1,""),ROW()-1272)),"")</f>
        <v/>
      </c>
      <c r="D1306" s="130" t="str">
        <f t="shared" si="67"/>
        <v/>
      </c>
      <c r="E1306" s="107" t="str">
        <f t="shared" si="66"/>
        <v/>
      </c>
      <c r="F1306" s="124"/>
      <c r="G1306" s="19"/>
      <c r="H1306" s="19"/>
      <c r="I1306" s="19"/>
      <c r="J1306" s="19"/>
      <c r="K1306" s="233"/>
      <c r="L1306" s="19"/>
    </row>
    <row r="1307" spans="1:12" ht="13.5" customHeight="1">
      <c r="A1307" s="219" t="str" cm="1">
        <f t="array" ref="A1307">IFERROR(INDEX('03.Muestra'!$B$8:$B$42,SMALL(IF("Documento no web"='03.Muestra'!$D$8:$D$42,ROW('03.Muestra'!$B$8:$B$42)-MIN(ROW('03.Muestra'!$D$8:$D$42))+1,""),ROW()-1272)),"")</f>
        <v/>
      </c>
      <c r="B1307" s="114" t="str" cm="1">
        <f t="array" ref="B1307">IFERROR(INDEX('03.Muestra'!$C$8:$C$42,SMALL(IF("Documento no web"='03.Muestra'!$D$8:$D$42,ROW('03.Muestra'!$C$8:$C$42)-MIN(ROW('03.Muestra'!$D$8:$D$42))+1,""),ROW()-1272)),"")</f>
        <v/>
      </c>
      <c r="C1307" s="114" t="str" cm="1">
        <f t="array" ref="C1307">IFERROR(INDEX('03.Muestra'!$F$8:$F$42,SMALL(IF("Documento no web"='03.Muestra'!$D$8:$D$42,ROW('03.Muestra'!$F$8:$F$42)-MIN(ROW('03.Muestra'!$D$8:$D$42))+1,""),ROW()-1272)),"")</f>
        <v/>
      </c>
      <c r="D1307" s="130" t="str">
        <f t="shared" si="67"/>
        <v/>
      </c>
      <c r="E1307" s="107" t="str">
        <f t="shared" si="66"/>
        <v/>
      </c>
      <c r="F1307" s="19"/>
      <c r="G1307" s="19"/>
      <c r="H1307" s="19"/>
      <c r="I1307" s="19"/>
      <c r="J1307" s="19"/>
      <c r="K1307" s="233"/>
      <c r="L1307" s="19"/>
    </row>
    <row r="1308" spans="1:12" ht="13.5" customHeight="1">
      <c r="B1308" s="126"/>
      <c r="C1308" s="19"/>
      <c r="D1308" s="107"/>
      <c r="E1308" s="19"/>
      <c r="F1308" s="19"/>
      <c r="G1308" s="19"/>
      <c r="H1308" s="19"/>
      <c r="I1308" s="19"/>
      <c r="J1308" s="19"/>
      <c r="K1308" s="233"/>
      <c r="L1308" s="19"/>
    </row>
    <row r="1309" spans="1:12" ht="13.5" customHeight="1">
      <c r="B1309" s="19"/>
      <c r="C1309" s="19"/>
      <c r="D1309" s="107"/>
      <c r="E1309" s="112"/>
      <c r="K1309" s="233"/>
      <c r="L1309" s="19"/>
    </row>
    <row r="1310" spans="1:12" ht="30" customHeight="1">
      <c r="A1310" s="218" t="s">
        <v>268</v>
      </c>
      <c r="B1310" s="24" t="s">
        <v>90</v>
      </c>
      <c r="C1310" s="25" t="s">
        <v>456</v>
      </c>
      <c r="D1310" s="26" t="s">
        <v>32</v>
      </c>
      <c r="E1310" s="123"/>
      <c r="K1310" s="233"/>
      <c r="L1310" s="19"/>
    </row>
    <row r="1311" spans="1:12" ht="13.5" customHeight="1">
      <c r="A1311" s="219" t="n" cm="1">
        <f t="array" ref="A1311">IFERROR(INDEX('03.Muestra'!$B$8:$B$42,SMALL(IF("Documento no web"='03.Muestra'!$D$8:$D$42,ROW('03.Muestra'!$B$8:$B$42)-MIN(ROW('03.Muestra'!$D$8:$D$42))+1,""),ROW()-1310)),"")</f>
        <v>1.0</v>
      </c>
      <c r="B1311" s="114" t="str" cm="1">
        <f t="array" ref="B1311">IFERROR(INDEX('03.Muestra'!$C$8:$C$42,SMALL(IF("Documento no web"='03.Muestra'!$D$8:$D$42,ROW('03.Muestra'!$C$8:$C$42)-MIN(ROW('03.Muestra'!$D$8:$D$42))+1,""),ROW()-1310)),"")</f>
        <v>Home - PortCastelló</v>
      </c>
      <c r="C1311" s="114" t="str" cm="1">
        <f t="array" ref="C1311">IFERROR(INDEX('03.Muestra'!$F$8:$F$42,SMALL(IF("Documento no web"='03.Muestra'!$D$8:$D$42,ROW('03.Muestra'!$F$8:$F$42)-MIN(ROW('03.Muestra'!$D$8:$D$42))+1,""),ROW()-1310)),"")</f>
        <v>https://www.portcastello.com/</v>
      </c>
      <c r="D1311" s="130" t="s">
        <v>37</v>
      </c>
      <c r="E1311" s="107" t="str">
        <f t="shared" ref="E1311:E1345" si="68">IF(D1311&lt;&gt;"",IF(AND(B1311&lt;&gt;"",C1311&lt;&gt;""),"","ERR"),"")</f>
        <v/>
      </c>
      <c r="F1311" s="115" t="s">
        <v>33</v>
      </c>
      <c r="G1311" s="116" t="s">
        <v>37</v>
      </c>
      <c r="H1311" s="117" t="s">
        <v>35</v>
      </c>
      <c r="I1311" s="118" t="s">
        <v>28</v>
      </c>
      <c r="J1311" s="119" t="s">
        <v>26</v>
      </c>
      <c r="K1311" s="226" t="s">
        <v>474</v>
      </c>
      <c r="L1311" s="19"/>
    </row>
    <row r="1312" spans="1:12" ht="13.5" customHeight="1">
      <c r="A1312" s="219" t="n" cm="1">
        <f t="array" ref="A1312">IFERROR(INDEX('03.Muestra'!$B$8:$B$42,SMALL(IF("Documento no web"='03.Muestra'!$D$8:$D$42,ROW('03.Muestra'!$B$8:$B$42)-MIN(ROW('03.Muestra'!$D$8:$D$42))+1,""),ROW()-1310)),"")</f>
        <v>1.0</v>
      </c>
      <c r="B1312" s="114" t="str" cm="1">
        <f t="array" ref="B1312">IFERROR(INDEX('03.Muestra'!$C$8:$C$42,SMALL(IF("Documento no web"='03.Muestra'!$D$8:$D$42,ROW('03.Muestra'!$C$8:$C$42)-MIN(ROW('03.Muestra'!$D$8:$D$42))+1,""),ROW()-1310)),"")</f>
        <v>Home - PortCastelló</v>
      </c>
      <c r="C1312" s="114" t="str" cm="1">
        <f t="array" ref="C1312">IFERROR(INDEX('03.Muestra'!$F$8:$F$42,SMALL(IF("Documento no web"='03.Muestra'!$D$8:$D$42,ROW('03.Muestra'!$F$8:$F$42)-MIN(ROW('03.Muestra'!$D$8:$D$42))+1,""),ROW()-1310)),"")</f>
        <v>https://www.portcastello.com/</v>
      </c>
      <c r="D1312" s="130" t="s">
        <v>37</v>
      </c>
      <c r="E1312" s="107" t="str">
        <f t="shared" si="68"/>
        <v/>
      </c>
      <c r="F1312" s="120" t="n">
        <f ca="1">COUNTIF($D1311:INDIRECT("$D" &amp;  SUM(ROW()-1,'03.Muestra'!$D$45)-1),F1311)</f>
        <v>0.0</v>
      </c>
      <c r="G1312" s="120" t="n">
        <f ca="1">COUNTIF($D1311:INDIRECT("$D" &amp;  SUM(ROW()-1,'03.Muestra'!$D$45)-1),G1311)</f>
        <v>2.0</v>
      </c>
      <c r="H1312" s="120" t="n">
        <f ca="1">COUNTIF($D1311:INDIRECT("$D" &amp;  SUM(ROW()-1,'03.Muestra'!$D$45)-1),H1311)</f>
        <v>0.0</v>
      </c>
      <c r="I1312" s="120" t="n">
        <f ca="1">COUNTIF($D1311:INDIRECT("$D" &amp;  SUM(ROW()-1,'03.Muestra'!$D$45)-1),I1311)</f>
        <v>0.0</v>
      </c>
      <c r="J1312" s="120" t="n">
        <f ca="1">COUNTIF($D1311:INDIRECT("$D" &amp;  SUM(ROW()-1,'03.Muestra'!$D$45)-1),J1311)</f>
        <v>0.0</v>
      </c>
      <c r="K1312" s="227" t="n">
        <f ca="1">IF(COUNTIF('03.Muestra'!$D$8:$D$42,"Documento no web")=0,0,COUNTBLANK($D1311:INDIRECT("$D" &amp;  SUM(ROW()-1,COUNTIF('03.Muestra'!$D$8:$D$42,"Documento no web"))-1)))</f>
        <v>0.0</v>
      </c>
      <c r="L1312" s="19"/>
    </row>
    <row r="1313" spans="1:12" ht="13.5" customHeight="1">
      <c r="A1313" s="219" t="str" cm="1">
        <f t="array" ref="A1313">IFERROR(INDEX('03.Muestra'!$B$8:$B$42,SMALL(IF("Documento no web"='03.Muestra'!$D$8:$D$42,ROW('03.Muestra'!$B$8:$B$42)-MIN(ROW('03.Muestra'!$D$8:$D$42))+1,""),ROW()-1310)),"")</f>
        <v/>
      </c>
      <c r="B1313" s="114" t="str" cm="1">
        <f t="array" ref="B1313">IFERROR(INDEX('03.Muestra'!$C$8:$C$42,SMALL(IF("Documento no web"='03.Muestra'!$D$8:$D$42,ROW('03.Muestra'!$C$8:$C$42)-MIN(ROW('03.Muestra'!$D$8:$D$42))+1,""),ROW()-1310)),"")</f>
        <v/>
      </c>
      <c r="C1313" s="114" t="str" cm="1">
        <f t="array" ref="C1313">IFERROR(INDEX('03.Muestra'!$F$8:$F$42,SMALL(IF("Documento no web"='03.Muestra'!$D$8:$D$42,ROW('03.Muestra'!$F$8:$F$42)-MIN(ROW('03.Muestra'!$D$8:$D$42))+1,""),ROW()-1310)),"")</f>
        <v/>
      </c>
      <c r="D1313" s="130" t="str">
        <f t="shared" si="69" ref="D1313:D1345">IF(AND(B1313&lt;&gt;"",C1313&lt;&gt;""),"N/T","")</f>
        <v/>
      </c>
      <c r="E1313" s="107" t="str">
        <f t="shared" si="68"/>
        <v/>
      </c>
      <c r="F1313" s="19"/>
      <c r="G1313" s="19"/>
      <c r="H1313" s="19"/>
      <c r="I1313" s="19"/>
      <c r="J1313" s="19"/>
      <c r="K1313" s="233"/>
      <c r="L1313" s="19"/>
    </row>
    <row r="1314" spans="1:12" ht="13.5" customHeight="1">
      <c r="A1314" s="219" t="str" cm="1">
        <f t="array" ref="A1314">IFERROR(INDEX('03.Muestra'!$B$8:$B$42,SMALL(IF("Documento no web"='03.Muestra'!$D$8:$D$42,ROW('03.Muestra'!$B$8:$B$42)-MIN(ROW('03.Muestra'!$D$8:$D$42))+1,""),ROW()-1310)),"")</f>
        <v/>
      </c>
      <c r="B1314" s="114" t="str" cm="1">
        <f t="array" ref="B1314">IFERROR(INDEX('03.Muestra'!$C$8:$C$42,SMALL(IF("Documento no web"='03.Muestra'!$D$8:$D$42,ROW('03.Muestra'!$C$8:$C$42)-MIN(ROW('03.Muestra'!$D$8:$D$42))+1,""),ROW()-1310)),"")</f>
        <v/>
      </c>
      <c r="C1314" s="114" t="str" cm="1">
        <f t="array" ref="C1314">IFERROR(INDEX('03.Muestra'!$F$8:$F$42,SMALL(IF("Documento no web"='03.Muestra'!$D$8:$D$42,ROW('03.Muestra'!$F$8:$F$42)-MIN(ROW('03.Muestra'!$D$8:$D$42))+1,""),ROW()-1310)),"")</f>
        <v/>
      </c>
      <c r="D1314" s="130" t="str">
        <f t="shared" si="69"/>
        <v/>
      </c>
      <c r="E1314" s="107" t="str">
        <f t="shared" si="68"/>
        <v/>
      </c>
      <c r="F1314" s="19"/>
      <c r="G1314" s="19"/>
      <c r="H1314" s="19"/>
      <c r="I1314" s="19"/>
      <c r="K1314" s="234"/>
      <c r="L1314" s="19"/>
    </row>
    <row r="1315" spans="1:12" ht="13.5" customHeight="1">
      <c r="A1315" s="219" t="str" cm="1">
        <f t="array" ref="A1315">IFERROR(INDEX('03.Muestra'!$B$8:$B$42,SMALL(IF("Documento no web"='03.Muestra'!$D$8:$D$42,ROW('03.Muestra'!$B$8:$B$42)-MIN(ROW('03.Muestra'!$D$8:$D$42))+1,""),ROW()-1310)),"")</f>
        <v/>
      </c>
      <c r="B1315" s="114" t="str" cm="1">
        <f t="array" ref="B1315">IFERROR(INDEX('03.Muestra'!$C$8:$C$42,SMALL(IF("Documento no web"='03.Muestra'!$D$8:$D$42,ROW('03.Muestra'!$C$8:$C$42)-MIN(ROW('03.Muestra'!$D$8:$D$42))+1,""),ROW()-1310)),"")</f>
        <v/>
      </c>
      <c r="C1315" s="114" t="str" cm="1">
        <f t="array" ref="C1315">IFERROR(INDEX('03.Muestra'!$F$8:$F$42,SMALL(IF("Documento no web"='03.Muestra'!$D$8:$D$42,ROW('03.Muestra'!$F$8:$F$42)-MIN(ROW('03.Muestra'!$D$8:$D$42))+1,""),ROW()-1310)),"")</f>
        <v/>
      </c>
      <c r="D1315" s="130" t="str">
        <f t="shared" si="69"/>
        <v/>
      </c>
      <c r="E1315" s="107" t="str">
        <f t="shared" si="68"/>
        <v/>
      </c>
      <c r="F1315" s="122"/>
      <c r="G1315" s="19"/>
      <c r="H1315" s="19"/>
      <c r="I1315" s="19"/>
      <c r="K1315" s="234"/>
      <c r="L1315" s="19"/>
    </row>
    <row r="1316" spans="1:12" ht="13.5" customHeight="1">
      <c r="A1316" s="219" t="str" cm="1">
        <f t="array" ref="A1316">IFERROR(INDEX('03.Muestra'!$B$8:$B$42,SMALL(IF("Documento no web"='03.Muestra'!$D$8:$D$42,ROW('03.Muestra'!$B$8:$B$42)-MIN(ROW('03.Muestra'!$D$8:$D$42))+1,""),ROW()-1310)),"")</f>
        <v/>
      </c>
      <c r="B1316" s="114" t="str" cm="1">
        <f t="array" ref="B1316">IFERROR(INDEX('03.Muestra'!$C$8:$C$42,SMALL(IF("Documento no web"='03.Muestra'!$D$8:$D$42,ROW('03.Muestra'!$C$8:$C$42)-MIN(ROW('03.Muestra'!$D$8:$D$42))+1,""),ROW()-1310)),"")</f>
        <v/>
      </c>
      <c r="C1316" s="114" t="str" cm="1">
        <f t="array" ref="C1316">IFERROR(INDEX('03.Muestra'!$F$8:$F$42,SMALL(IF("Documento no web"='03.Muestra'!$D$8:$D$42,ROW('03.Muestra'!$F$8:$F$42)-MIN(ROW('03.Muestra'!$D$8:$D$42))+1,""),ROW()-1310)),"")</f>
        <v/>
      </c>
      <c r="D1316" s="130" t="str">
        <f t="shared" si="69"/>
        <v/>
      </c>
      <c r="E1316" s="107" t="str">
        <f t="shared" si="68"/>
        <v/>
      </c>
      <c r="F1316" s="19"/>
      <c r="G1316" s="19"/>
      <c r="H1316" s="19"/>
      <c r="I1316" s="19"/>
      <c r="K1316" s="234"/>
      <c r="L1316" s="19"/>
    </row>
    <row r="1317" spans="1:12" ht="13.5" customHeight="1">
      <c r="A1317" s="219" t="str" cm="1">
        <f t="array" ref="A1317">IFERROR(INDEX('03.Muestra'!$B$8:$B$42,SMALL(IF("Documento no web"='03.Muestra'!$D$8:$D$42,ROW('03.Muestra'!$B$8:$B$42)-MIN(ROW('03.Muestra'!$D$8:$D$42))+1,""),ROW()-1310)),"")</f>
        <v/>
      </c>
      <c r="B1317" s="114" t="str" cm="1">
        <f t="array" ref="B1317">IFERROR(INDEX('03.Muestra'!$C$8:$C$42,SMALL(IF("Documento no web"='03.Muestra'!$D$8:$D$42,ROW('03.Muestra'!$C$8:$C$42)-MIN(ROW('03.Muestra'!$D$8:$D$42))+1,""),ROW()-1310)),"")</f>
        <v/>
      </c>
      <c r="C1317" s="114" t="str" cm="1">
        <f t="array" ref="C1317">IFERROR(INDEX('03.Muestra'!$F$8:$F$42,SMALL(IF("Documento no web"='03.Muestra'!$D$8:$D$42,ROW('03.Muestra'!$F$8:$F$42)-MIN(ROW('03.Muestra'!$D$8:$D$42))+1,""),ROW()-1310)),"")</f>
        <v/>
      </c>
      <c r="D1317" s="130" t="str">
        <f t="shared" si="69"/>
        <v/>
      </c>
      <c r="E1317" s="107" t="str">
        <f t="shared" si="68"/>
        <v/>
      </c>
      <c r="F1317" s="19"/>
      <c r="G1317" s="19"/>
      <c r="H1317" s="19"/>
      <c r="I1317" s="19"/>
      <c r="K1317" s="234"/>
      <c r="L1317" s="19"/>
    </row>
    <row r="1318" spans="1:12" ht="13.5" customHeight="1">
      <c r="A1318" s="219" t="str" cm="1">
        <f t="array" ref="A1318">IFERROR(INDEX('03.Muestra'!$B$8:$B$42,SMALL(IF("Documento no web"='03.Muestra'!$D$8:$D$42,ROW('03.Muestra'!$B$8:$B$42)-MIN(ROW('03.Muestra'!$D$8:$D$42))+1,""),ROW()-1310)),"")</f>
        <v/>
      </c>
      <c r="B1318" s="114" t="str" cm="1">
        <f t="array" ref="B1318">IFERROR(INDEX('03.Muestra'!$C$8:$C$42,SMALL(IF("Documento no web"='03.Muestra'!$D$8:$D$42,ROW('03.Muestra'!$C$8:$C$42)-MIN(ROW('03.Muestra'!$D$8:$D$42))+1,""),ROW()-1310)),"")</f>
        <v/>
      </c>
      <c r="C1318" s="114" t="str" cm="1">
        <f t="array" ref="C1318">IFERROR(INDEX('03.Muestra'!$F$8:$F$42,SMALL(IF("Documento no web"='03.Muestra'!$D$8:$D$42,ROW('03.Muestra'!$F$8:$F$42)-MIN(ROW('03.Muestra'!$D$8:$D$42))+1,""),ROW()-1310)),"")</f>
        <v/>
      </c>
      <c r="D1318" s="130" t="str">
        <f t="shared" si="69"/>
        <v/>
      </c>
      <c r="E1318" s="107" t="str">
        <f t="shared" si="68"/>
        <v/>
      </c>
      <c r="F1318" s="19"/>
      <c r="G1318" s="19"/>
      <c r="H1318" s="19"/>
      <c r="I1318" s="19"/>
      <c r="J1318" s="19"/>
      <c r="K1318" s="233"/>
      <c r="L1318" s="19"/>
    </row>
    <row r="1319" spans="1:12" ht="13.5" customHeight="1">
      <c r="A1319" s="219" t="str" cm="1">
        <f t="array" ref="A1319">IFERROR(INDEX('03.Muestra'!$B$8:$B$42,SMALL(IF("Documento no web"='03.Muestra'!$D$8:$D$42,ROW('03.Muestra'!$B$8:$B$42)-MIN(ROW('03.Muestra'!$D$8:$D$42))+1,""),ROW()-1310)),"")</f>
        <v/>
      </c>
      <c r="B1319" s="114" t="str" cm="1">
        <f t="array" ref="B1319">IFERROR(INDEX('03.Muestra'!$C$8:$C$42,SMALL(IF("Documento no web"='03.Muestra'!$D$8:$D$42,ROW('03.Muestra'!$C$8:$C$42)-MIN(ROW('03.Muestra'!$D$8:$D$42))+1,""),ROW()-1310)),"")</f>
        <v/>
      </c>
      <c r="C1319" s="114" t="str" cm="1">
        <f t="array" ref="C1319">IFERROR(INDEX('03.Muestra'!$F$8:$F$42,SMALL(IF("Documento no web"='03.Muestra'!$D$8:$D$42,ROW('03.Muestra'!$F$8:$F$42)-MIN(ROW('03.Muestra'!$D$8:$D$42))+1,""),ROW()-1310)),"")</f>
        <v/>
      </c>
      <c r="D1319" s="130" t="str">
        <f t="shared" si="69"/>
        <v/>
      </c>
      <c r="E1319" s="107" t="str">
        <f t="shared" si="68"/>
        <v/>
      </c>
      <c r="F1319" s="19"/>
      <c r="G1319" s="19"/>
      <c r="H1319" s="19"/>
      <c r="I1319" s="19"/>
      <c r="J1319" s="19"/>
      <c r="K1319" s="233"/>
      <c r="L1319" s="19"/>
    </row>
    <row r="1320" spans="1:12" ht="13.5" customHeight="1">
      <c r="A1320" s="219" t="str" cm="1">
        <f t="array" ref="A1320">IFERROR(INDEX('03.Muestra'!$B$8:$B$42,SMALL(IF("Documento no web"='03.Muestra'!$D$8:$D$42,ROW('03.Muestra'!$B$8:$B$42)-MIN(ROW('03.Muestra'!$D$8:$D$42))+1,""),ROW()-1310)),"")</f>
        <v/>
      </c>
      <c r="B1320" s="114" t="str" cm="1">
        <f t="array" ref="B1320">IFERROR(INDEX('03.Muestra'!$C$8:$C$42,SMALL(IF("Documento no web"='03.Muestra'!$D$8:$D$42,ROW('03.Muestra'!$C$8:$C$42)-MIN(ROW('03.Muestra'!$D$8:$D$42))+1,""),ROW()-1310)),"")</f>
        <v/>
      </c>
      <c r="C1320" s="114" t="str" cm="1">
        <f t="array" ref="C1320">IFERROR(INDEX('03.Muestra'!$F$8:$F$42,SMALL(IF("Documento no web"='03.Muestra'!$D$8:$D$42,ROW('03.Muestra'!$F$8:$F$42)-MIN(ROW('03.Muestra'!$D$8:$D$42))+1,""),ROW()-1310)),"")</f>
        <v/>
      </c>
      <c r="D1320" s="130" t="str">
        <f t="shared" si="69"/>
        <v/>
      </c>
      <c r="E1320" s="107" t="str">
        <f t="shared" si="68"/>
        <v/>
      </c>
      <c r="F1320" s="19"/>
      <c r="G1320" s="19"/>
      <c r="H1320" s="19"/>
      <c r="I1320" s="19"/>
      <c r="J1320" s="19"/>
      <c r="K1320" s="233"/>
      <c r="L1320" s="19"/>
    </row>
    <row r="1321" spans="1:12" ht="13.5" customHeight="1">
      <c r="A1321" s="219" t="str" cm="1">
        <f t="array" ref="A1321">IFERROR(INDEX('03.Muestra'!$B$8:$B$42,SMALL(IF("Documento no web"='03.Muestra'!$D$8:$D$42,ROW('03.Muestra'!$B$8:$B$42)-MIN(ROW('03.Muestra'!$D$8:$D$42))+1,""),ROW()-1310)),"")</f>
        <v/>
      </c>
      <c r="B1321" s="114" t="str" cm="1">
        <f t="array" ref="B1321">IFERROR(INDEX('03.Muestra'!$C$8:$C$42,SMALL(IF("Documento no web"='03.Muestra'!$D$8:$D$42,ROW('03.Muestra'!$C$8:$C$42)-MIN(ROW('03.Muestra'!$D$8:$D$42))+1,""),ROW()-1310)),"")</f>
        <v/>
      </c>
      <c r="C1321" s="114" t="str" cm="1">
        <f t="array" ref="C1321">IFERROR(INDEX('03.Muestra'!$F$8:$F$42,SMALL(IF("Documento no web"='03.Muestra'!$D$8:$D$42,ROW('03.Muestra'!$F$8:$F$42)-MIN(ROW('03.Muestra'!$D$8:$D$42))+1,""),ROW()-1310)),"")</f>
        <v/>
      </c>
      <c r="D1321" s="130" t="str">
        <f t="shared" si="69"/>
        <v/>
      </c>
      <c r="E1321" s="107" t="str">
        <f t="shared" si="68"/>
        <v/>
      </c>
      <c r="F1321" s="19"/>
      <c r="G1321" s="19"/>
      <c r="H1321" s="19"/>
      <c r="I1321" s="19"/>
      <c r="J1321" s="19"/>
      <c r="K1321" s="233"/>
      <c r="L1321" s="19"/>
    </row>
    <row r="1322" spans="1:12" ht="13.5" customHeight="1">
      <c r="A1322" s="219" t="str" cm="1">
        <f t="array" ref="A1322">IFERROR(INDEX('03.Muestra'!$B$8:$B$42,SMALL(IF("Documento no web"='03.Muestra'!$D$8:$D$42,ROW('03.Muestra'!$B$8:$B$42)-MIN(ROW('03.Muestra'!$D$8:$D$42))+1,""),ROW()-1310)),"")</f>
        <v/>
      </c>
      <c r="B1322" s="114" t="str" cm="1">
        <f t="array" ref="B1322">IFERROR(INDEX('03.Muestra'!$C$8:$C$42,SMALL(IF("Documento no web"='03.Muestra'!$D$8:$D$42,ROW('03.Muestra'!$C$8:$C$42)-MIN(ROW('03.Muestra'!$D$8:$D$42))+1,""),ROW()-1310)),"")</f>
        <v/>
      </c>
      <c r="C1322" s="114" t="str" cm="1">
        <f t="array" ref="C1322">IFERROR(INDEX('03.Muestra'!$F$8:$F$42,SMALL(IF("Documento no web"='03.Muestra'!$D$8:$D$42,ROW('03.Muestra'!$F$8:$F$42)-MIN(ROW('03.Muestra'!$D$8:$D$42))+1,""),ROW()-1310)),"")</f>
        <v/>
      </c>
      <c r="D1322" s="130" t="str">
        <f t="shared" si="69"/>
        <v/>
      </c>
      <c r="E1322" s="107" t="str">
        <f t="shared" si="68"/>
        <v/>
      </c>
      <c r="F1322" s="19"/>
      <c r="G1322" s="19"/>
      <c r="H1322" s="19"/>
      <c r="I1322" s="19"/>
      <c r="J1322" s="19"/>
      <c r="K1322" s="233"/>
      <c r="L1322" s="19"/>
    </row>
    <row r="1323" spans="1:12" ht="13.5" customHeight="1">
      <c r="A1323" s="219" t="str" cm="1">
        <f t="array" ref="A1323">IFERROR(INDEX('03.Muestra'!$B$8:$B$42,SMALL(IF("Documento no web"='03.Muestra'!$D$8:$D$42,ROW('03.Muestra'!$B$8:$B$42)-MIN(ROW('03.Muestra'!$D$8:$D$42))+1,""),ROW()-1310)),"")</f>
        <v/>
      </c>
      <c r="B1323" s="114" t="str" cm="1">
        <f t="array" ref="B1323">IFERROR(INDEX('03.Muestra'!$C$8:$C$42,SMALL(IF("Documento no web"='03.Muestra'!$D$8:$D$42,ROW('03.Muestra'!$C$8:$C$42)-MIN(ROW('03.Muestra'!$D$8:$D$42))+1,""),ROW()-1310)),"")</f>
        <v/>
      </c>
      <c r="C1323" s="114" t="str" cm="1">
        <f t="array" ref="C1323">IFERROR(INDEX('03.Muestra'!$F$8:$F$42,SMALL(IF("Documento no web"='03.Muestra'!$D$8:$D$42,ROW('03.Muestra'!$F$8:$F$42)-MIN(ROW('03.Muestra'!$D$8:$D$42))+1,""),ROW()-1310)),"")</f>
        <v/>
      </c>
      <c r="D1323" s="130" t="str">
        <f t="shared" si="69"/>
        <v/>
      </c>
      <c r="E1323" s="107" t="str">
        <f t="shared" si="68"/>
        <v/>
      </c>
      <c r="F1323" s="19"/>
      <c r="G1323" s="19"/>
      <c r="H1323" s="19"/>
      <c r="I1323" s="19"/>
      <c r="J1323" s="19"/>
      <c r="K1323" s="233"/>
      <c r="L1323" s="19"/>
    </row>
    <row r="1324" spans="1:12" ht="13.5" customHeight="1">
      <c r="A1324" s="219" t="str" cm="1">
        <f t="array" ref="A1324">IFERROR(INDEX('03.Muestra'!$B$8:$B$42,SMALL(IF("Documento no web"='03.Muestra'!$D$8:$D$42,ROW('03.Muestra'!$B$8:$B$42)-MIN(ROW('03.Muestra'!$D$8:$D$42))+1,""),ROW()-1310)),"")</f>
        <v/>
      </c>
      <c r="B1324" s="114" t="str" cm="1">
        <f t="array" ref="B1324">IFERROR(INDEX('03.Muestra'!$C$8:$C$42,SMALL(IF("Documento no web"='03.Muestra'!$D$8:$D$42,ROW('03.Muestra'!$C$8:$C$42)-MIN(ROW('03.Muestra'!$D$8:$D$42))+1,""),ROW()-1310)),"")</f>
        <v/>
      </c>
      <c r="C1324" s="114" t="str" cm="1">
        <f t="array" ref="C1324">IFERROR(INDEX('03.Muestra'!$F$8:$F$42,SMALL(IF("Documento no web"='03.Muestra'!$D$8:$D$42,ROW('03.Muestra'!$F$8:$F$42)-MIN(ROW('03.Muestra'!$D$8:$D$42))+1,""),ROW()-1310)),"")</f>
        <v/>
      </c>
      <c r="D1324" s="130" t="str">
        <f t="shared" si="69"/>
        <v/>
      </c>
      <c r="E1324" s="107" t="str">
        <f t="shared" si="68"/>
        <v/>
      </c>
      <c r="F1324" s="19"/>
      <c r="G1324" s="19"/>
      <c r="H1324" s="19"/>
      <c r="I1324" s="19"/>
      <c r="J1324" s="19"/>
      <c r="K1324" s="233"/>
      <c r="L1324" s="19"/>
    </row>
    <row r="1325" spans="1:12" ht="13.5" customHeight="1">
      <c r="A1325" s="219" t="str" cm="1">
        <f t="array" ref="A1325">IFERROR(INDEX('03.Muestra'!$B$8:$B$42,SMALL(IF("Documento no web"='03.Muestra'!$D$8:$D$42,ROW('03.Muestra'!$B$8:$B$42)-MIN(ROW('03.Muestra'!$D$8:$D$42))+1,""),ROW()-1310)),"")</f>
        <v/>
      </c>
      <c r="B1325" s="114" t="str" cm="1">
        <f t="array" ref="B1325">IFERROR(INDEX('03.Muestra'!$C$8:$C$42,SMALL(IF("Documento no web"='03.Muestra'!$D$8:$D$42,ROW('03.Muestra'!$C$8:$C$42)-MIN(ROW('03.Muestra'!$D$8:$D$42))+1,""),ROW()-1310)),"")</f>
        <v/>
      </c>
      <c r="C1325" s="114" t="str" cm="1">
        <f t="array" ref="C1325">IFERROR(INDEX('03.Muestra'!$F$8:$F$42,SMALL(IF("Documento no web"='03.Muestra'!$D$8:$D$42,ROW('03.Muestra'!$F$8:$F$42)-MIN(ROW('03.Muestra'!$D$8:$D$42))+1,""),ROW()-1310)),"")</f>
        <v/>
      </c>
      <c r="D1325" s="130" t="str">
        <f t="shared" si="69"/>
        <v/>
      </c>
      <c r="E1325" s="107" t="str">
        <f t="shared" si="68"/>
        <v/>
      </c>
      <c r="F1325" s="19"/>
      <c r="G1325" s="19"/>
      <c r="H1325" s="19"/>
      <c r="I1325" s="19"/>
      <c r="J1325" s="19"/>
      <c r="K1325" s="233"/>
      <c r="L1325" s="19"/>
    </row>
    <row r="1326" spans="1:12" ht="13.5" customHeight="1">
      <c r="A1326" s="219" t="str" cm="1">
        <f t="array" ref="A1326">IFERROR(INDEX('03.Muestra'!$B$8:$B$42,SMALL(IF("Documento no web"='03.Muestra'!$D$8:$D$42,ROW('03.Muestra'!$B$8:$B$42)-MIN(ROW('03.Muestra'!$D$8:$D$42))+1,""),ROW()-1310)),"")</f>
        <v/>
      </c>
      <c r="B1326" s="114" t="str" cm="1">
        <f t="array" ref="B1326">IFERROR(INDEX('03.Muestra'!$C$8:$C$42,SMALL(IF("Documento no web"='03.Muestra'!$D$8:$D$42,ROW('03.Muestra'!$C$8:$C$42)-MIN(ROW('03.Muestra'!$D$8:$D$42))+1,""),ROW()-1310)),"")</f>
        <v/>
      </c>
      <c r="C1326" s="114" t="str" cm="1">
        <f t="array" ref="C1326">IFERROR(INDEX('03.Muestra'!$F$8:$F$42,SMALL(IF("Documento no web"='03.Muestra'!$D$8:$D$42,ROW('03.Muestra'!$F$8:$F$42)-MIN(ROW('03.Muestra'!$D$8:$D$42))+1,""),ROW()-1310)),"")</f>
        <v/>
      </c>
      <c r="D1326" s="130" t="str">
        <f t="shared" si="69"/>
        <v/>
      </c>
      <c r="E1326" s="107" t="str">
        <f t="shared" si="68"/>
        <v/>
      </c>
      <c r="F1326" s="19"/>
      <c r="G1326" s="19"/>
      <c r="H1326" s="19"/>
      <c r="I1326" s="19"/>
      <c r="J1326" s="19"/>
      <c r="K1326" s="233"/>
      <c r="L1326" s="19"/>
    </row>
    <row r="1327" spans="1:12" ht="13.5" customHeight="1">
      <c r="A1327" s="219" t="str" cm="1">
        <f t="array" ref="A1327">IFERROR(INDEX('03.Muestra'!$B$8:$B$42,SMALL(IF("Documento no web"='03.Muestra'!$D$8:$D$42,ROW('03.Muestra'!$B$8:$B$42)-MIN(ROW('03.Muestra'!$D$8:$D$42))+1,""),ROW()-1310)),"")</f>
        <v/>
      </c>
      <c r="B1327" s="114" t="str" cm="1">
        <f t="array" ref="B1327">IFERROR(INDEX('03.Muestra'!$C$8:$C$42,SMALL(IF("Documento no web"='03.Muestra'!$D$8:$D$42,ROW('03.Muestra'!$C$8:$C$42)-MIN(ROW('03.Muestra'!$D$8:$D$42))+1,""),ROW()-1310)),"")</f>
        <v/>
      </c>
      <c r="C1327" s="114" t="str" cm="1">
        <f t="array" ref="C1327">IFERROR(INDEX('03.Muestra'!$F$8:$F$42,SMALL(IF("Documento no web"='03.Muestra'!$D$8:$D$42,ROW('03.Muestra'!$F$8:$F$42)-MIN(ROW('03.Muestra'!$D$8:$D$42))+1,""),ROW()-1310)),"")</f>
        <v/>
      </c>
      <c r="D1327" s="130" t="str">
        <f t="shared" si="69"/>
        <v/>
      </c>
      <c r="E1327" s="107" t="str">
        <f t="shared" si="68"/>
        <v/>
      </c>
      <c r="F1327" s="19"/>
      <c r="G1327" s="19"/>
      <c r="H1327" s="19"/>
      <c r="I1327" s="19"/>
      <c r="J1327" s="19"/>
      <c r="K1327" s="233"/>
      <c r="L1327" s="19"/>
    </row>
    <row r="1328" spans="1:12" ht="13.5" customHeight="1">
      <c r="A1328" s="219" t="str" cm="1">
        <f t="array" ref="A1328">IFERROR(INDEX('03.Muestra'!$B$8:$B$42,SMALL(IF("Documento no web"='03.Muestra'!$D$8:$D$42,ROW('03.Muestra'!$B$8:$B$42)-MIN(ROW('03.Muestra'!$D$8:$D$42))+1,""),ROW()-1310)),"")</f>
        <v/>
      </c>
      <c r="B1328" s="114" t="str" cm="1">
        <f t="array" ref="B1328">IFERROR(INDEX('03.Muestra'!$C$8:$C$42,SMALL(IF("Documento no web"='03.Muestra'!$D$8:$D$42,ROW('03.Muestra'!$C$8:$C$42)-MIN(ROW('03.Muestra'!$D$8:$D$42))+1,""),ROW()-1310)),"")</f>
        <v/>
      </c>
      <c r="C1328" s="114" t="str" cm="1">
        <f t="array" ref="C1328">IFERROR(INDEX('03.Muestra'!$F$8:$F$42,SMALL(IF("Documento no web"='03.Muestra'!$D$8:$D$42,ROW('03.Muestra'!$F$8:$F$42)-MIN(ROW('03.Muestra'!$D$8:$D$42))+1,""),ROW()-1310)),"")</f>
        <v/>
      </c>
      <c r="D1328" s="130" t="str">
        <f t="shared" si="69"/>
        <v/>
      </c>
      <c r="E1328" s="107" t="str">
        <f t="shared" si="68"/>
        <v/>
      </c>
      <c r="F1328" s="19"/>
      <c r="G1328" s="19"/>
      <c r="H1328" s="19"/>
      <c r="I1328" s="19"/>
      <c r="J1328" s="19"/>
      <c r="K1328" s="233"/>
      <c r="L1328" s="19"/>
    </row>
    <row r="1329" spans="1:12" ht="13.5" customHeight="1">
      <c r="A1329" s="219" t="str" cm="1">
        <f t="array" ref="A1329">IFERROR(INDEX('03.Muestra'!$B$8:$B$42,SMALL(IF("Documento no web"='03.Muestra'!$D$8:$D$42,ROW('03.Muestra'!$B$8:$B$42)-MIN(ROW('03.Muestra'!$D$8:$D$42))+1,""),ROW()-1310)),"")</f>
        <v/>
      </c>
      <c r="B1329" s="114" t="str" cm="1">
        <f t="array" ref="B1329">IFERROR(INDEX('03.Muestra'!$C$8:$C$42,SMALL(IF("Documento no web"='03.Muestra'!$D$8:$D$42,ROW('03.Muestra'!$C$8:$C$42)-MIN(ROW('03.Muestra'!$D$8:$D$42))+1,""),ROW()-1310)),"")</f>
        <v/>
      </c>
      <c r="C1329" s="114" t="str" cm="1">
        <f t="array" ref="C1329">IFERROR(INDEX('03.Muestra'!$F$8:$F$42,SMALL(IF("Documento no web"='03.Muestra'!$D$8:$D$42,ROW('03.Muestra'!$F$8:$F$42)-MIN(ROW('03.Muestra'!$D$8:$D$42))+1,""),ROW()-1310)),"")</f>
        <v/>
      </c>
      <c r="D1329" s="130" t="str">
        <f t="shared" si="69"/>
        <v/>
      </c>
      <c r="E1329" s="107" t="str">
        <f t="shared" si="68"/>
        <v/>
      </c>
      <c r="F1329" s="19"/>
      <c r="G1329" s="19"/>
      <c r="H1329" s="19"/>
      <c r="I1329" s="19"/>
      <c r="J1329" s="19"/>
      <c r="K1329" s="233"/>
      <c r="L1329" s="19"/>
    </row>
    <row r="1330" spans="1:12" ht="13.5" customHeight="1">
      <c r="A1330" s="219" t="str" cm="1">
        <f t="array" ref="A1330">IFERROR(INDEX('03.Muestra'!$B$8:$B$42,SMALL(IF("Documento no web"='03.Muestra'!$D$8:$D$42,ROW('03.Muestra'!$B$8:$B$42)-MIN(ROW('03.Muestra'!$D$8:$D$42))+1,""),ROW()-1310)),"")</f>
        <v/>
      </c>
      <c r="B1330" s="114" t="str" cm="1">
        <f t="array" ref="B1330">IFERROR(INDEX('03.Muestra'!$C$8:$C$42,SMALL(IF("Documento no web"='03.Muestra'!$D$8:$D$42,ROW('03.Muestra'!$C$8:$C$42)-MIN(ROW('03.Muestra'!$D$8:$D$42))+1,""),ROW()-1310)),"")</f>
        <v/>
      </c>
      <c r="C1330" s="114" t="str" cm="1">
        <f t="array" ref="C1330">IFERROR(INDEX('03.Muestra'!$F$8:$F$42,SMALL(IF("Documento no web"='03.Muestra'!$D$8:$D$42,ROW('03.Muestra'!$F$8:$F$42)-MIN(ROW('03.Muestra'!$D$8:$D$42))+1,""),ROW()-1310)),"")</f>
        <v/>
      </c>
      <c r="D1330" s="130" t="str">
        <f t="shared" si="69"/>
        <v/>
      </c>
      <c r="E1330" s="107" t="str">
        <f t="shared" si="68"/>
        <v/>
      </c>
      <c r="F1330" s="19"/>
      <c r="G1330" s="19"/>
      <c r="H1330" s="19"/>
      <c r="I1330" s="19"/>
      <c r="J1330" s="19"/>
      <c r="K1330" s="233"/>
      <c r="L1330" s="19"/>
    </row>
    <row r="1331" spans="1:12" ht="13.5" customHeight="1">
      <c r="A1331" s="219" t="str" cm="1">
        <f t="array" ref="A1331">IFERROR(INDEX('03.Muestra'!$B$8:$B$42,SMALL(IF("Documento no web"='03.Muestra'!$D$8:$D$42,ROW('03.Muestra'!$B$8:$B$42)-MIN(ROW('03.Muestra'!$D$8:$D$42))+1,""),ROW()-1310)),"")</f>
        <v/>
      </c>
      <c r="B1331" s="114" t="str" cm="1">
        <f t="array" ref="B1331">IFERROR(INDEX('03.Muestra'!$C$8:$C$42,SMALL(IF("Documento no web"='03.Muestra'!$D$8:$D$42,ROW('03.Muestra'!$C$8:$C$42)-MIN(ROW('03.Muestra'!$D$8:$D$42))+1,""),ROW()-1310)),"")</f>
        <v/>
      </c>
      <c r="C1331" s="114" t="str" cm="1">
        <f t="array" ref="C1331">IFERROR(INDEX('03.Muestra'!$F$8:$F$42,SMALL(IF("Documento no web"='03.Muestra'!$D$8:$D$42,ROW('03.Muestra'!$F$8:$F$42)-MIN(ROW('03.Muestra'!$D$8:$D$42))+1,""),ROW()-1310)),"")</f>
        <v/>
      </c>
      <c r="D1331" s="130" t="str">
        <f t="shared" si="69"/>
        <v/>
      </c>
      <c r="E1331" s="107" t="str">
        <f t="shared" si="68"/>
        <v/>
      </c>
      <c r="F1331" s="19"/>
      <c r="G1331" s="19"/>
      <c r="H1331" s="19"/>
      <c r="I1331" s="19"/>
      <c r="J1331" s="19"/>
      <c r="K1331" s="233"/>
      <c r="L1331" s="19"/>
    </row>
    <row r="1332" spans="1:12" ht="13.5" customHeight="1">
      <c r="A1332" s="219" t="str" cm="1">
        <f t="array" ref="A1332">IFERROR(INDEX('03.Muestra'!$B$8:$B$42,SMALL(IF("Documento no web"='03.Muestra'!$D$8:$D$42,ROW('03.Muestra'!$B$8:$B$42)-MIN(ROW('03.Muestra'!$D$8:$D$42))+1,""),ROW()-1310)),"")</f>
        <v/>
      </c>
      <c r="B1332" s="114" t="str" cm="1">
        <f t="array" ref="B1332">IFERROR(INDEX('03.Muestra'!$C$8:$C$42,SMALL(IF("Documento no web"='03.Muestra'!$D$8:$D$42,ROW('03.Muestra'!$C$8:$C$42)-MIN(ROW('03.Muestra'!$D$8:$D$42))+1,""),ROW()-1310)),"")</f>
        <v/>
      </c>
      <c r="C1332" s="114" t="str" cm="1">
        <f t="array" ref="C1332">IFERROR(INDEX('03.Muestra'!$F$8:$F$42,SMALL(IF("Documento no web"='03.Muestra'!$D$8:$D$42,ROW('03.Muestra'!$F$8:$F$42)-MIN(ROW('03.Muestra'!$D$8:$D$42))+1,""),ROW()-1310)),"")</f>
        <v/>
      </c>
      <c r="D1332" s="130" t="str">
        <f t="shared" si="69"/>
        <v/>
      </c>
      <c r="E1332" s="107" t="str">
        <f t="shared" si="68"/>
        <v/>
      </c>
      <c r="F1332" s="19"/>
      <c r="G1332" s="19"/>
      <c r="H1332" s="19"/>
      <c r="I1332" s="19"/>
      <c r="J1332" s="19"/>
      <c r="K1332" s="233"/>
      <c r="L1332" s="19"/>
    </row>
    <row r="1333" spans="1:12" ht="13.5" customHeight="1">
      <c r="A1333" s="219" t="str" cm="1">
        <f t="array" ref="A1333">IFERROR(INDEX('03.Muestra'!$B$8:$B$42,SMALL(IF("Documento no web"='03.Muestra'!$D$8:$D$42,ROW('03.Muestra'!$B$8:$B$42)-MIN(ROW('03.Muestra'!$D$8:$D$42))+1,""),ROW()-1310)),"")</f>
        <v/>
      </c>
      <c r="B1333" s="114" t="str" cm="1">
        <f t="array" ref="B1333">IFERROR(INDEX('03.Muestra'!$C$8:$C$42,SMALL(IF("Documento no web"='03.Muestra'!$D$8:$D$42,ROW('03.Muestra'!$C$8:$C$42)-MIN(ROW('03.Muestra'!$D$8:$D$42))+1,""),ROW()-1310)),"")</f>
        <v/>
      </c>
      <c r="C1333" s="114" t="str" cm="1">
        <f t="array" ref="C1333">IFERROR(INDEX('03.Muestra'!$F$8:$F$42,SMALL(IF("Documento no web"='03.Muestra'!$D$8:$D$42,ROW('03.Muestra'!$F$8:$F$42)-MIN(ROW('03.Muestra'!$D$8:$D$42))+1,""),ROW()-1310)),"")</f>
        <v/>
      </c>
      <c r="D1333" s="130" t="str">
        <f t="shared" si="69"/>
        <v/>
      </c>
      <c r="E1333" s="107" t="str">
        <f t="shared" si="68"/>
        <v/>
      </c>
      <c r="F1333" s="19"/>
      <c r="G1333" s="19"/>
      <c r="H1333" s="19"/>
      <c r="I1333" s="19"/>
      <c r="J1333" s="19"/>
      <c r="K1333" s="233"/>
      <c r="L1333" s="19"/>
    </row>
    <row r="1334" spans="1:12" ht="13.5" customHeight="1">
      <c r="A1334" s="219" t="str" cm="1">
        <f t="array" ref="A1334">IFERROR(INDEX('03.Muestra'!$B$8:$B$42,SMALL(IF("Documento no web"='03.Muestra'!$D$8:$D$42,ROW('03.Muestra'!$B$8:$B$42)-MIN(ROW('03.Muestra'!$D$8:$D$42))+1,""),ROW()-1310)),"")</f>
        <v/>
      </c>
      <c r="B1334" s="114" t="str" cm="1">
        <f t="array" ref="B1334">IFERROR(INDEX('03.Muestra'!$C$8:$C$42,SMALL(IF("Documento no web"='03.Muestra'!$D$8:$D$42,ROW('03.Muestra'!$C$8:$C$42)-MIN(ROW('03.Muestra'!$D$8:$D$42))+1,""),ROW()-1310)),"")</f>
        <v/>
      </c>
      <c r="C1334" s="114" t="str" cm="1">
        <f t="array" ref="C1334">IFERROR(INDEX('03.Muestra'!$F$8:$F$42,SMALL(IF("Documento no web"='03.Muestra'!$D$8:$D$42,ROW('03.Muestra'!$F$8:$F$42)-MIN(ROW('03.Muestra'!$D$8:$D$42))+1,""),ROW()-1310)),"")</f>
        <v/>
      </c>
      <c r="D1334" s="130" t="str">
        <f t="shared" si="69"/>
        <v/>
      </c>
      <c r="E1334" s="107" t="str">
        <f t="shared" si="68"/>
        <v/>
      </c>
      <c r="F1334" s="19"/>
      <c r="G1334" s="19"/>
      <c r="H1334" s="19"/>
      <c r="I1334" s="19"/>
      <c r="J1334" s="19"/>
      <c r="K1334" s="233"/>
      <c r="L1334" s="19"/>
    </row>
    <row r="1335" spans="1:12" ht="13.5" customHeight="1">
      <c r="A1335" s="219" t="str" cm="1">
        <f t="array" ref="A1335">IFERROR(INDEX('03.Muestra'!$B$8:$B$42,SMALL(IF("Documento no web"='03.Muestra'!$D$8:$D$42,ROW('03.Muestra'!$B$8:$B$42)-MIN(ROW('03.Muestra'!$D$8:$D$42))+1,""),ROW()-1310)),"")</f>
        <v/>
      </c>
      <c r="B1335" s="114" t="str" cm="1">
        <f t="array" ref="B1335">IFERROR(INDEX('03.Muestra'!$C$8:$C$42,SMALL(IF("Documento no web"='03.Muestra'!$D$8:$D$42,ROW('03.Muestra'!$C$8:$C$42)-MIN(ROW('03.Muestra'!$D$8:$D$42))+1,""),ROW()-1310)),"")</f>
        <v/>
      </c>
      <c r="C1335" s="114" t="str" cm="1">
        <f t="array" ref="C1335">IFERROR(INDEX('03.Muestra'!$F$8:$F$42,SMALL(IF("Documento no web"='03.Muestra'!$D$8:$D$42,ROW('03.Muestra'!$F$8:$F$42)-MIN(ROW('03.Muestra'!$D$8:$D$42))+1,""),ROW()-1310)),"")</f>
        <v/>
      </c>
      <c r="D1335" s="130" t="str">
        <f t="shared" si="69"/>
        <v/>
      </c>
      <c r="E1335" s="107" t="str">
        <f t="shared" si="68"/>
        <v/>
      </c>
      <c r="F1335" s="19"/>
      <c r="G1335" s="19"/>
      <c r="H1335" s="19"/>
      <c r="I1335" s="19"/>
      <c r="J1335" s="19"/>
      <c r="K1335" s="233"/>
      <c r="L1335" s="19"/>
    </row>
    <row r="1336" spans="1:12" ht="13.5" customHeight="1">
      <c r="A1336" s="219" t="str" cm="1">
        <f t="array" ref="A1336">IFERROR(INDEX('03.Muestra'!$B$8:$B$42,SMALL(IF("Documento no web"='03.Muestra'!$D$8:$D$42,ROW('03.Muestra'!$B$8:$B$42)-MIN(ROW('03.Muestra'!$D$8:$D$42))+1,""),ROW()-1310)),"")</f>
        <v/>
      </c>
      <c r="B1336" s="114" t="str" cm="1">
        <f t="array" ref="B1336">IFERROR(INDEX('03.Muestra'!$C$8:$C$42,SMALL(IF("Documento no web"='03.Muestra'!$D$8:$D$42,ROW('03.Muestra'!$C$8:$C$42)-MIN(ROW('03.Muestra'!$D$8:$D$42))+1,""),ROW()-1310)),"")</f>
        <v/>
      </c>
      <c r="C1336" s="114" t="str" cm="1">
        <f t="array" ref="C1336">IFERROR(INDEX('03.Muestra'!$F$8:$F$42,SMALL(IF("Documento no web"='03.Muestra'!$D$8:$D$42,ROW('03.Muestra'!$F$8:$F$42)-MIN(ROW('03.Muestra'!$D$8:$D$42))+1,""),ROW()-1310)),"")</f>
        <v/>
      </c>
      <c r="D1336" s="130" t="str">
        <f t="shared" si="69"/>
        <v/>
      </c>
      <c r="E1336" s="107" t="str">
        <f t="shared" si="68"/>
        <v/>
      </c>
      <c r="F1336" s="19"/>
      <c r="G1336" s="19"/>
      <c r="H1336" s="19"/>
      <c r="I1336" s="19"/>
      <c r="J1336" s="19"/>
      <c r="K1336" s="233"/>
      <c r="L1336" s="19"/>
    </row>
    <row r="1337" spans="1:12" ht="13.5" customHeight="1">
      <c r="A1337" s="219" t="str" cm="1">
        <f t="array" ref="A1337">IFERROR(INDEX('03.Muestra'!$B$8:$B$42,SMALL(IF("Documento no web"='03.Muestra'!$D$8:$D$42,ROW('03.Muestra'!$B$8:$B$42)-MIN(ROW('03.Muestra'!$D$8:$D$42))+1,""),ROW()-1310)),"")</f>
        <v/>
      </c>
      <c r="B1337" s="114" t="str" cm="1">
        <f t="array" ref="B1337">IFERROR(INDEX('03.Muestra'!$C$8:$C$42,SMALL(IF("Documento no web"='03.Muestra'!$D$8:$D$42,ROW('03.Muestra'!$C$8:$C$42)-MIN(ROW('03.Muestra'!$D$8:$D$42))+1,""),ROW()-1310)),"")</f>
        <v/>
      </c>
      <c r="C1337" s="114" t="str" cm="1">
        <f t="array" ref="C1337">IFERROR(INDEX('03.Muestra'!$F$8:$F$42,SMALL(IF("Documento no web"='03.Muestra'!$D$8:$D$42,ROW('03.Muestra'!$F$8:$F$42)-MIN(ROW('03.Muestra'!$D$8:$D$42))+1,""),ROW()-1310)),"")</f>
        <v/>
      </c>
      <c r="D1337" s="130" t="str">
        <f t="shared" si="69"/>
        <v/>
      </c>
      <c r="E1337" s="107" t="str">
        <f t="shared" si="68"/>
        <v/>
      </c>
      <c r="F1337" s="19"/>
      <c r="G1337" s="19"/>
      <c r="H1337" s="19"/>
      <c r="I1337" s="19"/>
      <c r="J1337" s="19"/>
      <c r="K1337" s="233"/>
      <c r="L1337" s="19"/>
    </row>
    <row r="1338" spans="1:12" ht="13.5" customHeight="1">
      <c r="A1338" s="219" t="str" cm="1">
        <f t="array" ref="A1338">IFERROR(INDEX('03.Muestra'!$B$8:$B$42,SMALL(IF("Documento no web"='03.Muestra'!$D$8:$D$42,ROW('03.Muestra'!$B$8:$B$42)-MIN(ROW('03.Muestra'!$D$8:$D$42))+1,""),ROW()-1310)),"")</f>
        <v/>
      </c>
      <c r="B1338" s="114" t="str" cm="1">
        <f t="array" ref="B1338">IFERROR(INDEX('03.Muestra'!$C$8:$C$42,SMALL(IF("Documento no web"='03.Muestra'!$D$8:$D$42,ROW('03.Muestra'!$C$8:$C$42)-MIN(ROW('03.Muestra'!$D$8:$D$42))+1,""),ROW()-1310)),"")</f>
        <v/>
      </c>
      <c r="C1338" s="114" t="str" cm="1">
        <f t="array" ref="C1338">IFERROR(INDEX('03.Muestra'!$F$8:$F$42,SMALL(IF("Documento no web"='03.Muestra'!$D$8:$D$42,ROW('03.Muestra'!$F$8:$F$42)-MIN(ROW('03.Muestra'!$D$8:$D$42))+1,""),ROW()-1310)),"")</f>
        <v/>
      </c>
      <c r="D1338" s="130" t="str">
        <f t="shared" si="69"/>
        <v/>
      </c>
      <c r="E1338" s="107" t="str">
        <f t="shared" si="68"/>
        <v/>
      </c>
      <c r="F1338" s="19"/>
      <c r="G1338" s="19"/>
      <c r="H1338" s="19"/>
      <c r="I1338" s="19"/>
      <c r="J1338" s="19"/>
      <c r="K1338" s="233"/>
      <c r="L1338" s="19"/>
    </row>
    <row r="1339" spans="1:12" ht="13.5" customHeight="1">
      <c r="A1339" s="219" t="str" cm="1">
        <f t="array" ref="A1339">IFERROR(INDEX('03.Muestra'!$B$8:$B$42,SMALL(IF("Documento no web"='03.Muestra'!$D$8:$D$42,ROW('03.Muestra'!$B$8:$B$42)-MIN(ROW('03.Muestra'!$D$8:$D$42))+1,""),ROW()-1310)),"")</f>
        <v/>
      </c>
      <c r="B1339" s="114" t="str" cm="1">
        <f t="array" ref="B1339">IFERROR(INDEX('03.Muestra'!$C$8:$C$42,SMALL(IF("Documento no web"='03.Muestra'!$D$8:$D$42,ROW('03.Muestra'!$C$8:$C$42)-MIN(ROW('03.Muestra'!$D$8:$D$42))+1,""),ROW()-1310)),"")</f>
        <v/>
      </c>
      <c r="C1339" s="114" t="str" cm="1">
        <f t="array" ref="C1339">IFERROR(INDEX('03.Muestra'!$F$8:$F$42,SMALL(IF("Documento no web"='03.Muestra'!$D$8:$D$42,ROW('03.Muestra'!$F$8:$F$42)-MIN(ROW('03.Muestra'!$D$8:$D$42))+1,""),ROW()-1310)),"")</f>
        <v/>
      </c>
      <c r="D1339" s="130" t="str">
        <f t="shared" si="69"/>
        <v/>
      </c>
      <c r="E1339" s="107" t="str">
        <f t="shared" si="68"/>
        <v/>
      </c>
      <c r="F1339" s="19"/>
      <c r="G1339" s="19"/>
      <c r="H1339" s="19"/>
      <c r="I1339" s="19"/>
      <c r="J1339" s="19"/>
      <c r="K1339" s="233"/>
      <c r="L1339" s="19"/>
    </row>
    <row r="1340" spans="1:12" ht="13.5" customHeight="1">
      <c r="A1340" s="219" t="str" cm="1">
        <f t="array" ref="A1340">IFERROR(INDEX('03.Muestra'!$B$8:$B$42,SMALL(IF("Documento no web"='03.Muestra'!$D$8:$D$42,ROW('03.Muestra'!$B$8:$B$42)-MIN(ROW('03.Muestra'!$D$8:$D$42))+1,""),ROW()-1310)),"")</f>
        <v/>
      </c>
      <c r="B1340" s="114" t="str" cm="1">
        <f t="array" ref="B1340">IFERROR(INDEX('03.Muestra'!$C$8:$C$42,SMALL(IF("Documento no web"='03.Muestra'!$D$8:$D$42,ROW('03.Muestra'!$C$8:$C$42)-MIN(ROW('03.Muestra'!$D$8:$D$42))+1,""),ROW()-1310)),"")</f>
        <v/>
      </c>
      <c r="C1340" s="114" t="str" cm="1">
        <f t="array" ref="C1340">IFERROR(INDEX('03.Muestra'!$F$8:$F$42,SMALL(IF("Documento no web"='03.Muestra'!$D$8:$D$42,ROW('03.Muestra'!$F$8:$F$42)-MIN(ROW('03.Muestra'!$D$8:$D$42))+1,""),ROW()-1310)),"")</f>
        <v/>
      </c>
      <c r="D1340" s="130" t="str">
        <f t="shared" si="69"/>
        <v/>
      </c>
      <c r="E1340" s="107" t="str">
        <f t="shared" si="68"/>
        <v/>
      </c>
      <c r="F1340" s="19"/>
      <c r="G1340" s="19"/>
      <c r="H1340" s="19"/>
      <c r="I1340" s="19"/>
      <c r="J1340" s="19"/>
      <c r="K1340" s="233"/>
      <c r="L1340" s="19"/>
    </row>
    <row r="1341" spans="1:12" ht="13.5" customHeight="1">
      <c r="A1341" s="219" t="str" cm="1">
        <f t="array" ref="A1341">IFERROR(INDEX('03.Muestra'!$B$8:$B$42,SMALL(IF("Documento no web"='03.Muestra'!$D$8:$D$42,ROW('03.Muestra'!$B$8:$B$42)-MIN(ROW('03.Muestra'!$D$8:$D$42))+1,""),ROW()-1310)),"")</f>
        <v/>
      </c>
      <c r="B1341" s="114" t="str" cm="1">
        <f t="array" ref="B1341">IFERROR(INDEX('03.Muestra'!$C$8:$C$42,SMALL(IF("Documento no web"='03.Muestra'!$D$8:$D$42,ROW('03.Muestra'!$C$8:$C$42)-MIN(ROW('03.Muestra'!$D$8:$D$42))+1,""),ROW()-1310)),"")</f>
        <v/>
      </c>
      <c r="C1341" s="114" t="str" cm="1">
        <f t="array" ref="C1341">IFERROR(INDEX('03.Muestra'!$F$8:$F$42,SMALL(IF("Documento no web"='03.Muestra'!$D$8:$D$42,ROW('03.Muestra'!$F$8:$F$42)-MIN(ROW('03.Muestra'!$D$8:$D$42))+1,""),ROW()-1310)),"")</f>
        <v/>
      </c>
      <c r="D1341" s="130" t="str">
        <f t="shared" si="69"/>
        <v/>
      </c>
      <c r="E1341" s="107" t="str">
        <f t="shared" si="68"/>
        <v/>
      </c>
      <c r="F1341" s="19"/>
      <c r="G1341" s="19"/>
      <c r="H1341" s="19"/>
      <c r="I1341" s="19"/>
      <c r="J1341" s="19"/>
      <c r="K1341" s="233"/>
      <c r="L1341" s="19"/>
    </row>
    <row r="1342" spans="1:12" ht="13.5" customHeight="1">
      <c r="A1342" s="219" t="str" cm="1">
        <f t="array" ref="A1342">IFERROR(INDEX('03.Muestra'!$B$8:$B$42,SMALL(IF("Documento no web"='03.Muestra'!$D$8:$D$42,ROW('03.Muestra'!$B$8:$B$42)-MIN(ROW('03.Muestra'!$D$8:$D$42))+1,""),ROW()-1310)),"")</f>
        <v/>
      </c>
      <c r="B1342" s="114" t="str" cm="1">
        <f t="array" ref="B1342">IFERROR(INDEX('03.Muestra'!$C$8:$C$42,SMALL(IF("Documento no web"='03.Muestra'!$D$8:$D$42,ROW('03.Muestra'!$C$8:$C$42)-MIN(ROW('03.Muestra'!$D$8:$D$42))+1,""),ROW()-1310)),"")</f>
        <v/>
      </c>
      <c r="C1342" s="114" t="str" cm="1">
        <f t="array" ref="C1342">IFERROR(INDEX('03.Muestra'!$F$8:$F$42,SMALL(IF("Documento no web"='03.Muestra'!$D$8:$D$42,ROW('03.Muestra'!$F$8:$F$42)-MIN(ROW('03.Muestra'!$D$8:$D$42))+1,""),ROW()-1310)),"")</f>
        <v/>
      </c>
      <c r="D1342" s="130" t="str">
        <f t="shared" si="69"/>
        <v/>
      </c>
      <c r="E1342" s="107" t="str">
        <f t="shared" si="68"/>
        <v/>
      </c>
      <c r="F1342" s="19"/>
      <c r="G1342" s="19"/>
      <c r="H1342" s="19"/>
      <c r="I1342" s="19"/>
      <c r="J1342" s="19"/>
      <c r="K1342" s="233"/>
      <c r="L1342" s="19"/>
    </row>
    <row r="1343" spans="1:12" ht="13.5" customHeight="1">
      <c r="A1343" s="219" t="str" cm="1">
        <f t="array" ref="A1343">IFERROR(INDEX('03.Muestra'!$B$8:$B$42,SMALL(IF("Documento no web"='03.Muestra'!$D$8:$D$42,ROW('03.Muestra'!$B$8:$B$42)-MIN(ROW('03.Muestra'!$D$8:$D$42))+1,""),ROW()-1310)),"")</f>
        <v/>
      </c>
      <c r="B1343" s="114" t="str" cm="1">
        <f t="array" ref="B1343">IFERROR(INDEX('03.Muestra'!$C$8:$C$42,SMALL(IF("Documento no web"='03.Muestra'!$D$8:$D$42,ROW('03.Muestra'!$C$8:$C$42)-MIN(ROW('03.Muestra'!$D$8:$D$42))+1,""),ROW()-1310)),"")</f>
        <v/>
      </c>
      <c r="C1343" s="114" t="str" cm="1">
        <f t="array" ref="C1343">IFERROR(INDEX('03.Muestra'!$F$8:$F$42,SMALL(IF("Documento no web"='03.Muestra'!$D$8:$D$42,ROW('03.Muestra'!$F$8:$F$42)-MIN(ROW('03.Muestra'!$D$8:$D$42))+1,""),ROW()-1310)),"")</f>
        <v/>
      </c>
      <c r="D1343" s="130" t="str">
        <f t="shared" si="69"/>
        <v/>
      </c>
      <c r="E1343" s="107" t="str">
        <f t="shared" si="68"/>
        <v/>
      </c>
      <c r="F1343" s="19"/>
      <c r="G1343" s="19"/>
      <c r="H1343" s="19"/>
      <c r="I1343" s="19"/>
      <c r="J1343" s="19"/>
      <c r="K1343" s="233"/>
      <c r="L1343" s="19"/>
    </row>
    <row r="1344" spans="1:12" ht="13.5" customHeight="1">
      <c r="A1344" s="219" t="str" cm="1">
        <f t="array" ref="A1344">IFERROR(INDEX('03.Muestra'!$B$8:$B$42,SMALL(IF("Documento no web"='03.Muestra'!$D$8:$D$42,ROW('03.Muestra'!$B$8:$B$42)-MIN(ROW('03.Muestra'!$D$8:$D$42))+1,""),ROW()-1310)),"")</f>
        <v/>
      </c>
      <c r="B1344" s="114" t="str" cm="1">
        <f t="array" ref="B1344">IFERROR(INDEX('03.Muestra'!$C$8:$C$42,SMALL(IF("Documento no web"='03.Muestra'!$D$8:$D$42,ROW('03.Muestra'!$C$8:$C$42)-MIN(ROW('03.Muestra'!$D$8:$D$42))+1,""),ROW()-1310)),"")</f>
        <v/>
      </c>
      <c r="C1344" s="114" t="str" cm="1">
        <f t="array" ref="C1344">IFERROR(INDEX('03.Muestra'!$F$8:$F$42,SMALL(IF("Documento no web"='03.Muestra'!$D$8:$D$42,ROW('03.Muestra'!$F$8:$F$42)-MIN(ROW('03.Muestra'!$D$8:$D$42))+1,""),ROW()-1310)),"")</f>
        <v/>
      </c>
      <c r="D1344" s="130" t="str">
        <f t="shared" si="69"/>
        <v/>
      </c>
      <c r="E1344" s="107" t="str">
        <f t="shared" si="68"/>
        <v/>
      </c>
      <c r="F1344" s="19"/>
      <c r="G1344" s="19"/>
      <c r="H1344" s="19"/>
      <c r="I1344" s="19"/>
      <c r="J1344" s="19"/>
      <c r="K1344" s="233"/>
      <c r="L1344" s="19"/>
    </row>
    <row r="1345" spans="1:12" ht="13.5" customHeight="1">
      <c r="A1345" s="219" t="str" cm="1">
        <f t="array" ref="A1345">IFERROR(INDEX('03.Muestra'!$B$8:$B$42,SMALL(IF("Documento no web"='03.Muestra'!$D$8:$D$42,ROW('03.Muestra'!$B$8:$B$42)-MIN(ROW('03.Muestra'!$D$8:$D$42))+1,""),ROW()-1310)),"")</f>
        <v/>
      </c>
      <c r="B1345" s="114" t="str" cm="1">
        <f t="array" ref="B1345">IFERROR(INDEX('03.Muestra'!$C$8:$C$42,SMALL(IF("Documento no web"='03.Muestra'!$D$8:$D$42,ROW('03.Muestra'!$C$8:$C$42)-MIN(ROW('03.Muestra'!$D$8:$D$42))+1,""),ROW()-1310)),"")</f>
        <v/>
      </c>
      <c r="C1345" s="114" t="str" cm="1">
        <f t="array" ref="C1345">IFERROR(INDEX('03.Muestra'!$F$8:$F$42,SMALL(IF("Documento no web"='03.Muestra'!$D$8:$D$42,ROW('03.Muestra'!$F$8:$F$42)-MIN(ROW('03.Muestra'!$D$8:$D$42))+1,""),ROW()-1310)),"")</f>
        <v/>
      </c>
      <c r="D1345" s="130" t="str">
        <f t="shared" si="69"/>
        <v/>
      </c>
      <c r="E1345" s="107" t="str">
        <f t="shared" si="68"/>
        <v/>
      </c>
      <c r="F1345" s="19"/>
      <c r="G1345" s="19"/>
      <c r="H1345" s="19"/>
      <c r="I1345" s="19"/>
      <c r="J1345" s="19"/>
      <c r="K1345" s="233"/>
      <c r="L1345" s="19"/>
    </row>
    <row r="1346" spans="1:12" ht="13.5" customHeight="1">
      <c r="B1346" s="19"/>
      <c r="C1346" s="19"/>
      <c r="D1346" s="107"/>
      <c r="E1346" s="19"/>
      <c r="F1346" s="19"/>
      <c r="G1346" s="19"/>
      <c r="H1346" s="19"/>
      <c r="I1346" s="19"/>
      <c r="J1346" s="19"/>
      <c r="K1346" s="233"/>
      <c r="L1346" s="19"/>
    </row>
    <row r="1347" spans="1:12" ht="13.5" customHeight="1">
      <c r="B1347" s="19"/>
      <c r="C1347" s="19"/>
      <c r="D1347" s="107"/>
      <c r="E1347" s="112"/>
      <c r="F1347" s="19"/>
      <c r="G1347" s="19"/>
      <c r="H1347" s="19"/>
      <c r="I1347" s="19"/>
      <c r="J1347" s="19"/>
      <c r="K1347" s="233"/>
      <c r="L1347" s="19"/>
    </row>
    <row r="1348" spans="1:12" ht="30" customHeight="1">
      <c r="A1348" s="218" t="s">
        <v>268</v>
      </c>
      <c r="B1348" s="24" t="s">
        <v>90</v>
      </c>
      <c r="C1348" s="25" t="s">
        <v>457</v>
      </c>
      <c r="D1348" s="26" t="s">
        <v>32</v>
      </c>
      <c r="E1348" s="123"/>
      <c r="K1348" s="233"/>
      <c r="L1348" s="19"/>
    </row>
    <row r="1349" spans="1:12" ht="13.5" customHeight="1">
      <c r="A1349" s="219" t="n" cm="1">
        <f t="array" ref="A1349">IFERROR(INDEX('03.Muestra'!$B$8:$B$42,SMALL(IF("Documento no web"='03.Muestra'!$D$8:$D$42,ROW('03.Muestra'!$B$8:$B$42)-MIN(ROW('03.Muestra'!$D$8:$D$42))+1,""),ROW()-1348)),"")</f>
        <v>1.0</v>
      </c>
      <c r="B1349" s="114" t="str" cm="1">
        <f t="array" ref="B1349">IFERROR(INDEX('03.Muestra'!$C$8:$C$42,SMALL(IF("Documento no web"='03.Muestra'!$D$8:$D$42,ROW('03.Muestra'!$C$8:$C$42)-MIN(ROW('03.Muestra'!$D$8:$D$42))+1,""),ROW()-1348)),"")</f>
        <v>Home - PortCastelló</v>
      </c>
      <c r="C1349" s="114" t="str" cm="1">
        <f t="array" ref="C1349">IFERROR(INDEX('03.Muestra'!$F$8:$F$42,SMALL(IF("Documento no web"='03.Muestra'!$D$8:$D$42,ROW('03.Muestra'!$F$8:$F$42)-MIN(ROW('03.Muestra'!$D$8:$D$42))+1,""),ROW()-1348)),"")</f>
        <v>https://www.portcastello.com/</v>
      </c>
      <c r="D1349" s="130" t="s">
        <v>33</v>
      </c>
      <c r="E1349" s="107" t="str">
        <f t="shared" ref="E1349:E1383" si="70">IF(D1349&lt;&gt;"",IF(AND(B1349&lt;&gt;"",C1349&lt;&gt;""),"","ERR"),"")</f>
        <v/>
      </c>
      <c r="F1349" s="115" t="s">
        <v>33</v>
      </c>
      <c r="G1349" s="116" t="s">
        <v>37</v>
      </c>
      <c r="H1349" s="117" t="s">
        <v>35</v>
      </c>
      <c r="I1349" s="118" t="s">
        <v>28</v>
      </c>
      <c r="J1349" s="119" t="s">
        <v>26</v>
      </c>
      <c r="K1349" s="226" t="s">
        <v>474</v>
      </c>
      <c r="L1349" s="19"/>
    </row>
    <row r="1350" spans="1:12" ht="13.5" customHeight="1">
      <c r="A1350" s="219" t="n" cm="1">
        <f t="array" ref="A1350">IFERROR(INDEX('03.Muestra'!$B$8:$B$42,SMALL(IF("Documento no web"='03.Muestra'!$D$8:$D$42,ROW('03.Muestra'!$B$8:$B$42)-MIN(ROW('03.Muestra'!$D$8:$D$42))+1,""),ROW()-1348)),"")</f>
        <v>1.0</v>
      </c>
      <c r="B1350" s="114" t="str" cm="1">
        <f t="array" ref="B1350">IFERROR(INDEX('03.Muestra'!$C$8:$C$42,SMALL(IF("Documento no web"='03.Muestra'!$D$8:$D$42,ROW('03.Muestra'!$C$8:$C$42)-MIN(ROW('03.Muestra'!$D$8:$D$42))+1,""),ROW()-1348)),"")</f>
        <v>Home - PortCastelló</v>
      </c>
      <c r="C1350" s="114" t="str" cm="1">
        <f t="array" ref="C1350">IFERROR(INDEX('03.Muestra'!$F$8:$F$42,SMALL(IF("Documento no web"='03.Muestra'!$D$8:$D$42,ROW('03.Muestra'!$F$8:$F$42)-MIN(ROW('03.Muestra'!$D$8:$D$42))+1,""),ROW()-1348)),"")</f>
        <v>https://www.portcastello.com/</v>
      </c>
      <c r="D1350" s="130" t="s">
        <v>33</v>
      </c>
      <c r="E1350" s="107" t="str">
        <f t="shared" si="70"/>
        <v/>
      </c>
      <c r="F1350" s="120" t="n">
        <f ca="1">COUNTIF($D1349:INDIRECT("$D" &amp;  SUM(ROW()-1,'03.Muestra'!$D$45)-1),F1349)</f>
        <v>2.0</v>
      </c>
      <c r="G1350" s="120" t="n">
        <f ca="1">COUNTIF($D1349:INDIRECT("$D" &amp;  SUM(ROW()-1,'03.Muestra'!$D$45)-1),G1349)</f>
        <v>0.0</v>
      </c>
      <c r="H1350" s="120" t="n">
        <f ca="1">COUNTIF($D1349:INDIRECT("$D" &amp;  SUM(ROW()-1,'03.Muestra'!$D$45)-1),H1349)</f>
        <v>0.0</v>
      </c>
      <c r="I1350" s="120" t="n">
        <f ca="1">COUNTIF($D1349:INDIRECT("$D" &amp;  SUM(ROW()-1,'03.Muestra'!$D$45)-1),I1349)</f>
        <v>0.0</v>
      </c>
      <c r="J1350" s="120" t="n">
        <f ca="1">COUNTIF($D1349:INDIRECT("$D" &amp;  SUM(ROW()-1,'03.Muestra'!$D$45)-1),J1349)</f>
        <v>0.0</v>
      </c>
      <c r="K1350" s="227" t="n">
        <f ca="1">IF(COUNTIF('03.Muestra'!$D$8:$D$42,"Documento no web")=0,0,COUNTBLANK($D1349:INDIRECT("$D" &amp;  SUM(ROW()-1,COUNTIF('03.Muestra'!$D$8:$D$42,"Documento no web"))-1)))</f>
        <v>0.0</v>
      </c>
      <c r="L1350" s="19"/>
    </row>
    <row r="1351" spans="1:12" ht="13.5" customHeight="1">
      <c r="A1351" s="219" t="str" cm="1">
        <f t="array" ref="A1351">IFERROR(INDEX('03.Muestra'!$B$8:$B$42,SMALL(IF("Documento no web"='03.Muestra'!$D$8:$D$42,ROW('03.Muestra'!$B$8:$B$42)-MIN(ROW('03.Muestra'!$D$8:$D$42))+1,""),ROW()-1348)),"")</f>
        <v/>
      </c>
      <c r="B1351" s="114" t="str" cm="1">
        <f t="array" ref="B1351">IFERROR(INDEX('03.Muestra'!$C$8:$C$42,SMALL(IF("Documento no web"='03.Muestra'!$D$8:$D$42,ROW('03.Muestra'!$C$8:$C$42)-MIN(ROW('03.Muestra'!$D$8:$D$42))+1,""),ROW()-1348)),"")</f>
        <v/>
      </c>
      <c r="C1351" s="114" t="str" cm="1">
        <f t="array" ref="C1351">IFERROR(INDEX('03.Muestra'!$F$8:$F$42,SMALL(IF("Documento no web"='03.Muestra'!$D$8:$D$42,ROW('03.Muestra'!$F$8:$F$42)-MIN(ROW('03.Muestra'!$D$8:$D$42))+1,""),ROW()-1348)),"")</f>
        <v/>
      </c>
      <c r="D1351" s="130" t="str">
        <f t="shared" si="71" ref="D1351:D1383">IF(AND(B1351&lt;&gt;"",C1351&lt;&gt;""),"N/T","")</f>
        <v/>
      </c>
      <c r="E1351" s="107" t="str">
        <f t="shared" si="70"/>
        <v/>
      </c>
      <c r="G1351" s="19"/>
      <c r="H1351" s="19"/>
      <c r="I1351" s="19"/>
      <c r="J1351" s="19"/>
      <c r="K1351" s="233"/>
      <c r="L1351" s="19"/>
    </row>
    <row r="1352" spans="1:12" ht="13.5" customHeight="1">
      <c r="A1352" s="219" t="str" cm="1">
        <f t="array" ref="A1352">IFERROR(INDEX('03.Muestra'!$B$8:$B$42,SMALL(IF("Documento no web"='03.Muestra'!$D$8:$D$42,ROW('03.Muestra'!$B$8:$B$42)-MIN(ROW('03.Muestra'!$D$8:$D$42))+1,""),ROW()-1348)),"")</f>
        <v/>
      </c>
      <c r="B1352" s="114" t="str" cm="1">
        <f t="array" ref="B1352">IFERROR(INDEX('03.Muestra'!$C$8:$C$42,SMALL(IF("Documento no web"='03.Muestra'!$D$8:$D$42,ROW('03.Muestra'!$C$8:$C$42)-MIN(ROW('03.Muestra'!$D$8:$D$42))+1,""),ROW()-1348)),"")</f>
        <v/>
      </c>
      <c r="C1352" s="114" t="str" cm="1">
        <f t="array" ref="C1352">IFERROR(INDEX('03.Muestra'!$F$8:$F$42,SMALL(IF("Documento no web"='03.Muestra'!$D$8:$D$42,ROW('03.Muestra'!$F$8:$F$42)-MIN(ROW('03.Muestra'!$D$8:$D$42))+1,""),ROW()-1348)),"")</f>
        <v/>
      </c>
      <c r="D1352" s="130" t="str">
        <f t="shared" si="71"/>
        <v/>
      </c>
      <c r="E1352" s="107" t="str">
        <f t="shared" si="70"/>
        <v/>
      </c>
      <c r="G1352" s="19"/>
      <c r="H1352" s="19"/>
      <c r="I1352" s="19"/>
      <c r="J1352" s="19"/>
      <c r="K1352" s="233"/>
      <c r="L1352" s="19"/>
    </row>
    <row r="1353" spans="1:12" ht="13.5" customHeight="1">
      <c r="A1353" s="219" t="str" cm="1">
        <f t="array" ref="A1353">IFERROR(INDEX('03.Muestra'!$B$8:$B$42,SMALL(IF("Documento no web"='03.Muestra'!$D$8:$D$42,ROW('03.Muestra'!$B$8:$B$42)-MIN(ROW('03.Muestra'!$D$8:$D$42))+1,""),ROW()-1348)),"")</f>
        <v/>
      </c>
      <c r="B1353" s="114" t="str" cm="1">
        <f t="array" ref="B1353">IFERROR(INDEX('03.Muestra'!$C$8:$C$42,SMALL(IF("Documento no web"='03.Muestra'!$D$8:$D$42,ROW('03.Muestra'!$C$8:$C$42)-MIN(ROW('03.Muestra'!$D$8:$D$42))+1,""),ROW()-1348)),"")</f>
        <v/>
      </c>
      <c r="C1353" s="114" t="str" cm="1">
        <f t="array" ref="C1353">IFERROR(INDEX('03.Muestra'!$F$8:$F$42,SMALL(IF("Documento no web"='03.Muestra'!$D$8:$D$42,ROW('03.Muestra'!$F$8:$F$42)-MIN(ROW('03.Muestra'!$D$8:$D$42))+1,""),ROW()-1348)),"")</f>
        <v/>
      </c>
      <c r="D1353" s="130" t="str">
        <f t="shared" si="71"/>
        <v/>
      </c>
      <c r="E1353" s="107" t="str">
        <f t="shared" si="70"/>
        <v/>
      </c>
      <c r="G1353" s="19"/>
      <c r="H1353" s="19"/>
      <c r="I1353" s="19"/>
      <c r="J1353" s="19"/>
      <c r="K1353" s="233"/>
      <c r="L1353" s="19"/>
    </row>
    <row r="1354" spans="1:12" ht="13.5" customHeight="1">
      <c r="A1354" s="219" t="str" cm="1">
        <f t="array" ref="A1354">IFERROR(INDEX('03.Muestra'!$B$8:$B$42,SMALL(IF("Documento no web"='03.Muestra'!$D$8:$D$42,ROW('03.Muestra'!$B$8:$B$42)-MIN(ROW('03.Muestra'!$D$8:$D$42))+1,""),ROW()-1348)),"")</f>
        <v/>
      </c>
      <c r="B1354" s="114" t="str" cm="1">
        <f t="array" ref="B1354">IFERROR(INDEX('03.Muestra'!$C$8:$C$42,SMALL(IF("Documento no web"='03.Muestra'!$D$8:$D$42,ROW('03.Muestra'!$C$8:$C$42)-MIN(ROW('03.Muestra'!$D$8:$D$42))+1,""),ROW()-1348)),"")</f>
        <v/>
      </c>
      <c r="C1354" s="114" t="str" cm="1">
        <f t="array" ref="C1354">IFERROR(INDEX('03.Muestra'!$F$8:$F$42,SMALL(IF("Documento no web"='03.Muestra'!$D$8:$D$42,ROW('03.Muestra'!$F$8:$F$42)-MIN(ROW('03.Muestra'!$D$8:$D$42))+1,""),ROW()-1348)),"")</f>
        <v/>
      </c>
      <c r="D1354" s="130" t="str">
        <f t="shared" si="71"/>
        <v/>
      </c>
      <c r="E1354" s="107" t="str">
        <f t="shared" si="70"/>
        <v/>
      </c>
      <c r="G1354" s="19"/>
      <c r="H1354" s="19"/>
      <c r="I1354" s="19"/>
      <c r="J1354" s="19"/>
      <c r="K1354" s="233"/>
      <c r="L1354" s="19"/>
    </row>
    <row r="1355" spans="1:12" ht="13.5" customHeight="1">
      <c r="A1355" s="219" t="str" cm="1">
        <f t="array" ref="A1355">IFERROR(INDEX('03.Muestra'!$B$8:$B$42,SMALL(IF("Documento no web"='03.Muestra'!$D$8:$D$42,ROW('03.Muestra'!$B$8:$B$42)-MIN(ROW('03.Muestra'!$D$8:$D$42))+1,""),ROW()-1348)),"")</f>
        <v/>
      </c>
      <c r="B1355" s="114" t="str" cm="1">
        <f t="array" ref="B1355">IFERROR(INDEX('03.Muestra'!$C$8:$C$42,SMALL(IF("Documento no web"='03.Muestra'!$D$8:$D$42,ROW('03.Muestra'!$C$8:$C$42)-MIN(ROW('03.Muestra'!$D$8:$D$42))+1,""),ROW()-1348)),"")</f>
        <v/>
      </c>
      <c r="C1355" s="114" t="str" cm="1">
        <f t="array" ref="C1355">IFERROR(INDEX('03.Muestra'!$F$8:$F$42,SMALL(IF("Documento no web"='03.Muestra'!$D$8:$D$42,ROW('03.Muestra'!$F$8:$F$42)-MIN(ROW('03.Muestra'!$D$8:$D$42))+1,""),ROW()-1348)),"")</f>
        <v/>
      </c>
      <c r="D1355" s="130" t="str">
        <f t="shared" si="71"/>
        <v/>
      </c>
      <c r="E1355" s="107" t="str">
        <f t="shared" si="70"/>
        <v/>
      </c>
      <c r="F1355" s="19"/>
      <c r="G1355" s="19"/>
      <c r="H1355" s="19"/>
      <c r="I1355" s="19"/>
      <c r="J1355" s="19"/>
      <c r="K1355" s="233"/>
      <c r="L1355" s="19"/>
    </row>
    <row r="1356" spans="1:12" ht="13.5" customHeight="1">
      <c r="A1356" s="219" t="str" cm="1">
        <f t="array" ref="A1356">IFERROR(INDEX('03.Muestra'!$B$8:$B$42,SMALL(IF("Documento no web"='03.Muestra'!$D$8:$D$42,ROW('03.Muestra'!$B$8:$B$42)-MIN(ROW('03.Muestra'!$D$8:$D$42))+1,""),ROW()-1348)),"")</f>
        <v/>
      </c>
      <c r="B1356" s="114" t="str" cm="1">
        <f t="array" ref="B1356">IFERROR(INDEX('03.Muestra'!$C$8:$C$42,SMALL(IF("Documento no web"='03.Muestra'!$D$8:$D$42,ROW('03.Muestra'!$C$8:$C$42)-MIN(ROW('03.Muestra'!$D$8:$D$42))+1,""),ROW()-1348)),"")</f>
        <v/>
      </c>
      <c r="C1356" s="114" t="str" cm="1">
        <f t="array" ref="C1356">IFERROR(INDEX('03.Muestra'!$F$8:$F$42,SMALL(IF("Documento no web"='03.Muestra'!$D$8:$D$42,ROW('03.Muestra'!$F$8:$F$42)-MIN(ROW('03.Muestra'!$D$8:$D$42))+1,""),ROW()-1348)),"")</f>
        <v/>
      </c>
      <c r="D1356" s="130" t="str">
        <f t="shared" si="71"/>
        <v/>
      </c>
      <c r="E1356" s="107" t="str">
        <f t="shared" si="70"/>
        <v/>
      </c>
      <c r="F1356" s="19"/>
      <c r="G1356" s="19"/>
      <c r="H1356" s="19"/>
      <c r="I1356" s="19"/>
      <c r="J1356" s="19"/>
      <c r="K1356" s="233"/>
      <c r="L1356" s="19"/>
    </row>
    <row r="1357" spans="1:12" ht="13.5" customHeight="1">
      <c r="A1357" s="219" t="str" cm="1">
        <f t="array" ref="A1357">IFERROR(INDEX('03.Muestra'!$B$8:$B$42,SMALL(IF("Documento no web"='03.Muestra'!$D$8:$D$42,ROW('03.Muestra'!$B$8:$B$42)-MIN(ROW('03.Muestra'!$D$8:$D$42))+1,""),ROW()-1348)),"")</f>
        <v/>
      </c>
      <c r="B1357" s="114" t="str" cm="1">
        <f t="array" ref="B1357">IFERROR(INDEX('03.Muestra'!$C$8:$C$42,SMALL(IF("Documento no web"='03.Muestra'!$D$8:$D$42,ROW('03.Muestra'!$C$8:$C$42)-MIN(ROW('03.Muestra'!$D$8:$D$42))+1,""),ROW()-1348)),"")</f>
        <v/>
      </c>
      <c r="C1357" s="114" t="str" cm="1">
        <f t="array" ref="C1357">IFERROR(INDEX('03.Muestra'!$F$8:$F$42,SMALL(IF("Documento no web"='03.Muestra'!$D$8:$D$42,ROW('03.Muestra'!$F$8:$F$42)-MIN(ROW('03.Muestra'!$D$8:$D$42))+1,""),ROW()-1348)),"")</f>
        <v/>
      </c>
      <c r="D1357" s="130" t="str">
        <f t="shared" si="71"/>
        <v/>
      </c>
      <c r="E1357" s="107" t="str">
        <f t="shared" si="70"/>
        <v/>
      </c>
      <c r="F1357" s="19"/>
      <c r="G1357" s="19"/>
      <c r="H1357" s="19"/>
      <c r="I1357" s="19"/>
      <c r="J1357" s="19"/>
      <c r="K1357" s="233"/>
      <c r="L1357" s="19"/>
    </row>
    <row r="1358" spans="1:12" ht="13.5" customHeight="1">
      <c r="A1358" s="219" t="str" cm="1">
        <f t="array" ref="A1358">IFERROR(INDEX('03.Muestra'!$B$8:$B$42,SMALL(IF("Documento no web"='03.Muestra'!$D$8:$D$42,ROW('03.Muestra'!$B$8:$B$42)-MIN(ROW('03.Muestra'!$D$8:$D$42))+1,""),ROW()-1348)),"")</f>
        <v/>
      </c>
      <c r="B1358" s="114" t="str" cm="1">
        <f t="array" ref="B1358">IFERROR(INDEX('03.Muestra'!$C$8:$C$42,SMALL(IF("Documento no web"='03.Muestra'!$D$8:$D$42,ROW('03.Muestra'!$C$8:$C$42)-MIN(ROW('03.Muestra'!$D$8:$D$42))+1,""),ROW()-1348)),"")</f>
        <v/>
      </c>
      <c r="C1358" s="114" t="str" cm="1">
        <f t="array" ref="C1358">IFERROR(INDEX('03.Muestra'!$F$8:$F$42,SMALL(IF("Documento no web"='03.Muestra'!$D$8:$D$42,ROW('03.Muestra'!$F$8:$F$42)-MIN(ROW('03.Muestra'!$D$8:$D$42))+1,""),ROW()-1348)),"")</f>
        <v/>
      </c>
      <c r="D1358" s="130" t="str">
        <f t="shared" si="71"/>
        <v/>
      </c>
      <c r="E1358" s="107" t="str">
        <f t="shared" si="70"/>
        <v/>
      </c>
      <c r="F1358" s="19"/>
      <c r="G1358" s="19"/>
      <c r="H1358" s="19"/>
      <c r="I1358" s="19"/>
      <c r="J1358" s="19"/>
      <c r="K1358" s="233"/>
      <c r="L1358" s="19"/>
    </row>
    <row r="1359" spans="1:12" ht="13.5" customHeight="1">
      <c r="A1359" s="219" t="str" cm="1">
        <f t="array" ref="A1359">IFERROR(INDEX('03.Muestra'!$B$8:$B$42,SMALL(IF("Documento no web"='03.Muestra'!$D$8:$D$42,ROW('03.Muestra'!$B$8:$B$42)-MIN(ROW('03.Muestra'!$D$8:$D$42))+1,""),ROW()-1348)),"")</f>
        <v/>
      </c>
      <c r="B1359" s="114" t="str" cm="1">
        <f t="array" ref="B1359">IFERROR(INDEX('03.Muestra'!$C$8:$C$42,SMALL(IF("Documento no web"='03.Muestra'!$D$8:$D$42,ROW('03.Muestra'!$C$8:$C$42)-MIN(ROW('03.Muestra'!$D$8:$D$42))+1,""),ROW()-1348)),"")</f>
        <v/>
      </c>
      <c r="C1359" s="114" t="str" cm="1">
        <f t="array" ref="C1359">IFERROR(INDEX('03.Muestra'!$F$8:$F$42,SMALL(IF("Documento no web"='03.Muestra'!$D$8:$D$42,ROW('03.Muestra'!$F$8:$F$42)-MIN(ROW('03.Muestra'!$D$8:$D$42))+1,""),ROW()-1348)),"")</f>
        <v/>
      </c>
      <c r="D1359" s="130" t="str">
        <f t="shared" si="71"/>
        <v/>
      </c>
      <c r="E1359" s="107" t="str">
        <f t="shared" si="70"/>
        <v/>
      </c>
      <c r="F1359" s="19"/>
      <c r="G1359" s="19"/>
      <c r="H1359" s="19"/>
      <c r="I1359" s="19"/>
      <c r="J1359" s="19"/>
      <c r="K1359" s="233"/>
      <c r="L1359" s="19"/>
    </row>
    <row r="1360" spans="1:12" ht="13.5" customHeight="1">
      <c r="A1360" s="219" t="str" cm="1">
        <f t="array" ref="A1360">IFERROR(INDEX('03.Muestra'!$B$8:$B$42,SMALL(IF("Documento no web"='03.Muestra'!$D$8:$D$42,ROW('03.Muestra'!$B$8:$B$42)-MIN(ROW('03.Muestra'!$D$8:$D$42))+1,""),ROW()-1348)),"")</f>
        <v/>
      </c>
      <c r="B1360" s="114" t="str" cm="1">
        <f t="array" ref="B1360">IFERROR(INDEX('03.Muestra'!$C$8:$C$42,SMALL(IF("Documento no web"='03.Muestra'!$D$8:$D$42,ROW('03.Muestra'!$C$8:$C$42)-MIN(ROW('03.Muestra'!$D$8:$D$42))+1,""),ROW()-1348)),"")</f>
        <v/>
      </c>
      <c r="C1360" s="114" t="str" cm="1">
        <f t="array" ref="C1360">IFERROR(INDEX('03.Muestra'!$F$8:$F$42,SMALL(IF("Documento no web"='03.Muestra'!$D$8:$D$42,ROW('03.Muestra'!$F$8:$F$42)-MIN(ROW('03.Muestra'!$D$8:$D$42))+1,""),ROW()-1348)),"")</f>
        <v/>
      </c>
      <c r="D1360" s="130" t="str">
        <f t="shared" si="71"/>
        <v/>
      </c>
      <c r="E1360" s="107" t="str">
        <f t="shared" si="70"/>
        <v/>
      </c>
      <c r="F1360" s="19"/>
      <c r="G1360" s="19"/>
      <c r="H1360" s="19"/>
      <c r="I1360" s="19"/>
      <c r="J1360" s="19"/>
      <c r="K1360" s="233"/>
      <c r="L1360" s="19"/>
    </row>
    <row r="1361" spans="1:12" ht="13.5" customHeight="1">
      <c r="A1361" s="219" t="str" cm="1">
        <f t="array" ref="A1361">IFERROR(INDEX('03.Muestra'!$B$8:$B$42,SMALL(IF("Documento no web"='03.Muestra'!$D$8:$D$42,ROW('03.Muestra'!$B$8:$B$42)-MIN(ROW('03.Muestra'!$D$8:$D$42))+1,""),ROW()-1348)),"")</f>
        <v/>
      </c>
      <c r="B1361" s="114" t="str" cm="1">
        <f t="array" ref="B1361">IFERROR(INDEX('03.Muestra'!$C$8:$C$42,SMALL(IF("Documento no web"='03.Muestra'!$D$8:$D$42,ROW('03.Muestra'!$C$8:$C$42)-MIN(ROW('03.Muestra'!$D$8:$D$42))+1,""),ROW()-1348)),"")</f>
        <v/>
      </c>
      <c r="C1361" s="114" t="str" cm="1">
        <f t="array" ref="C1361">IFERROR(INDEX('03.Muestra'!$F$8:$F$42,SMALL(IF("Documento no web"='03.Muestra'!$D$8:$D$42,ROW('03.Muestra'!$F$8:$F$42)-MIN(ROW('03.Muestra'!$D$8:$D$42))+1,""),ROW()-1348)),"")</f>
        <v/>
      </c>
      <c r="D1361" s="130" t="str">
        <f t="shared" si="71"/>
        <v/>
      </c>
      <c r="E1361" s="107" t="str">
        <f t="shared" si="70"/>
        <v/>
      </c>
      <c r="F1361" s="19"/>
      <c r="G1361" s="19"/>
      <c r="H1361" s="19"/>
      <c r="I1361" s="19"/>
      <c r="J1361" s="19"/>
      <c r="K1361" s="233"/>
      <c r="L1361" s="19"/>
    </row>
    <row r="1362" spans="1:12" ht="13.5" customHeight="1">
      <c r="A1362" s="219" t="str" cm="1">
        <f t="array" ref="A1362">IFERROR(INDEX('03.Muestra'!$B$8:$B$42,SMALL(IF("Documento no web"='03.Muestra'!$D$8:$D$42,ROW('03.Muestra'!$B$8:$B$42)-MIN(ROW('03.Muestra'!$D$8:$D$42))+1,""),ROW()-1348)),"")</f>
        <v/>
      </c>
      <c r="B1362" s="114" t="str" cm="1">
        <f t="array" ref="B1362">IFERROR(INDEX('03.Muestra'!$C$8:$C$42,SMALL(IF("Documento no web"='03.Muestra'!$D$8:$D$42,ROW('03.Muestra'!$C$8:$C$42)-MIN(ROW('03.Muestra'!$D$8:$D$42))+1,""),ROW()-1348)),"")</f>
        <v/>
      </c>
      <c r="C1362" s="114" t="str" cm="1">
        <f t="array" ref="C1362">IFERROR(INDEX('03.Muestra'!$F$8:$F$42,SMALL(IF("Documento no web"='03.Muestra'!$D$8:$D$42,ROW('03.Muestra'!$F$8:$F$42)-MIN(ROW('03.Muestra'!$D$8:$D$42))+1,""),ROW()-1348)),"")</f>
        <v/>
      </c>
      <c r="D1362" s="130" t="str">
        <f t="shared" si="71"/>
        <v/>
      </c>
      <c r="E1362" s="107" t="str">
        <f t="shared" si="70"/>
        <v/>
      </c>
      <c r="F1362" s="19"/>
      <c r="G1362" s="19"/>
      <c r="H1362" s="19"/>
      <c r="I1362" s="19"/>
      <c r="J1362" s="19"/>
      <c r="K1362" s="233"/>
      <c r="L1362" s="19"/>
    </row>
    <row r="1363" spans="1:12" ht="13.5" customHeight="1">
      <c r="A1363" s="219" t="str" cm="1">
        <f t="array" ref="A1363">IFERROR(INDEX('03.Muestra'!$B$8:$B$42,SMALL(IF("Documento no web"='03.Muestra'!$D$8:$D$42,ROW('03.Muestra'!$B$8:$B$42)-MIN(ROW('03.Muestra'!$D$8:$D$42))+1,""),ROW()-1348)),"")</f>
        <v/>
      </c>
      <c r="B1363" s="114" t="str" cm="1">
        <f t="array" ref="B1363">IFERROR(INDEX('03.Muestra'!$C$8:$C$42,SMALL(IF("Documento no web"='03.Muestra'!$D$8:$D$42,ROW('03.Muestra'!$C$8:$C$42)-MIN(ROW('03.Muestra'!$D$8:$D$42))+1,""),ROW()-1348)),"")</f>
        <v/>
      </c>
      <c r="C1363" s="114" t="str" cm="1">
        <f t="array" ref="C1363">IFERROR(INDEX('03.Muestra'!$F$8:$F$42,SMALL(IF("Documento no web"='03.Muestra'!$D$8:$D$42,ROW('03.Muestra'!$F$8:$F$42)-MIN(ROW('03.Muestra'!$D$8:$D$42))+1,""),ROW()-1348)),"")</f>
        <v/>
      </c>
      <c r="D1363" s="130" t="str">
        <f t="shared" si="71"/>
        <v/>
      </c>
      <c r="E1363" s="107" t="str">
        <f t="shared" si="70"/>
        <v/>
      </c>
      <c r="F1363" s="19"/>
      <c r="G1363" s="19"/>
      <c r="H1363" s="19"/>
      <c r="I1363" s="19"/>
      <c r="J1363" s="19"/>
      <c r="K1363" s="233"/>
      <c r="L1363" s="19"/>
    </row>
    <row r="1364" spans="1:12" ht="13.5" customHeight="1">
      <c r="A1364" s="219" t="str" cm="1">
        <f t="array" ref="A1364">IFERROR(INDEX('03.Muestra'!$B$8:$B$42,SMALL(IF("Documento no web"='03.Muestra'!$D$8:$D$42,ROW('03.Muestra'!$B$8:$B$42)-MIN(ROW('03.Muestra'!$D$8:$D$42))+1,""),ROW()-1348)),"")</f>
        <v/>
      </c>
      <c r="B1364" s="114" t="str" cm="1">
        <f t="array" ref="B1364">IFERROR(INDEX('03.Muestra'!$C$8:$C$42,SMALL(IF("Documento no web"='03.Muestra'!$D$8:$D$42,ROW('03.Muestra'!$C$8:$C$42)-MIN(ROW('03.Muestra'!$D$8:$D$42))+1,""),ROW()-1348)),"")</f>
        <v/>
      </c>
      <c r="C1364" s="114" t="str" cm="1">
        <f t="array" ref="C1364">IFERROR(INDEX('03.Muestra'!$F$8:$F$42,SMALL(IF("Documento no web"='03.Muestra'!$D$8:$D$42,ROW('03.Muestra'!$F$8:$F$42)-MIN(ROW('03.Muestra'!$D$8:$D$42))+1,""),ROW()-1348)),"")</f>
        <v/>
      </c>
      <c r="D1364" s="130" t="str">
        <f t="shared" si="71"/>
        <v/>
      </c>
      <c r="E1364" s="107" t="str">
        <f t="shared" si="70"/>
        <v/>
      </c>
      <c r="F1364" s="19"/>
      <c r="G1364" s="19"/>
      <c r="H1364" s="19"/>
      <c r="I1364" s="19"/>
      <c r="J1364" s="19"/>
      <c r="K1364" s="233"/>
      <c r="L1364" s="19"/>
    </row>
    <row r="1365" spans="1:12" ht="13.5" customHeight="1">
      <c r="A1365" s="219" t="str" cm="1">
        <f t="array" ref="A1365">IFERROR(INDEX('03.Muestra'!$B$8:$B$42,SMALL(IF("Documento no web"='03.Muestra'!$D$8:$D$42,ROW('03.Muestra'!$B$8:$B$42)-MIN(ROW('03.Muestra'!$D$8:$D$42))+1,""),ROW()-1348)),"")</f>
        <v/>
      </c>
      <c r="B1365" s="114" t="str" cm="1">
        <f t="array" ref="B1365">IFERROR(INDEX('03.Muestra'!$C$8:$C$42,SMALL(IF("Documento no web"='03.Muestra'!$D$8:$D$42,ROW('03.Muestra'!$C$8:$C$42)-MIN(ROW('03.Muestra'!$D$8:$D$42))+1,""),ROW()-1348)),"")</f>
        <v/>
      </c>
      <c r="C1365" s="114" t="str" cm="1">
        <f t="array" ref="C1365">IFERROR(INDEX('03.Muestra'!$F$8:$F$42,SMALL(IF("Documento no web"='03.Muestra'!$D$8:$D$42,ROW('03.Muestra'!$F$8:$F$42)-MIN(ROW('03.Muestra'!$D$8:$D$42))+1,""),ROW()-1348)),"")</f>
        <v/>
      </c>
      <c r="D1365" s="130" t="str">
        <f t="shared" si="71"/>
        <v/>
      </c>
      <c r="E1365" s="107" t="str">
        <f t="shared" si="70"/>
        <v/>
      </c>
      <c r="F1365" s="19"/>
      <c r="G1365" s="19"/>
      <c r="H1365" s="19"/>
      <c r="I1365" s="19"/>
      <c r="J1365" s="19"/>
      <c r="K1365" s="233"/>
      <c r="L1365" s="19"/>
    </row>
    <row r="1366" spans="1:12" ht="13.5" customHeight="1">
      <c r="A1366" s="219" t="str" cm="1">
        <f t="array" ref="A1366">IFERROR(INDEX('03.Muestra'!$B$8:$B$42,SMALL(IF("Documento no web"='03.Muestra'!$D$8:$D$42,ROW('03.Muestra'!$B$8:$B$42)-MIN(ROW('03.Muestra'!$D$8:$D$42))+1,""),ROW()-1348)),"")</f>
        <v/>
      </c>
      <c r="B1366" s="114" t="str" cm="1">
        <f t="array" ref="B1366">IFERROR(INDEX('03.Muestra'!$C$8:$C$42,SMALL(IF("Documento no web"='03.Muestra'!$D$8:$D$42,ROW('03.Muestra'!$C$8:$C$42)-MIN(ROW('03.Muestra'!$D$8:$D$42))+1,""),ROW()-1348)),"")</f>
        <v/>
      </c>
      <c r="C1366" s="114" t="str" cm="1">
        <f t="array" ref="C1366">IFERROR(INDEX('03.Muestra'!$F$8:$F$42,SMALL(IF("Documento no web"='03.Muestra'!$D$8:$D$42,ROW('03.Muestra'!$F$8:$F$42)-MIN(ROW('03.Muestra'!$D$8:$D$42))+1,""),ROW()-1348)),"")</f>
        <v/>
      </c>
      <c r="D1366" s="130" t="str">
        <f t="shared" si="71"/>
        <v/>
      </c>
      <c r="E1366" s="107" t="str">
        <f t="shared" si="70"/>
        <v/>
      </c>
      <c r="F1366" s="19"/>
      <c r="G1366" s="19"/>
      <c r="H1366" s="19"/>
      <c r="I1366" s="19"/>
      <c r="J1366" s="19"/>
      <c r="K1366" s="233"/>
      <c r="L1366" s="19"/>
    </row>
    <row r="1367" spans="1:12" ht="13.5" customHeight="1">
      <c r="A1367" s="219" t="str" cm="1">
        <f t="array" ref="A1367">IFERROR(INDEX('03.Muestra'!$B$8:$B$42,SMALL(IF("Documento no web"='03.Muestra'!$D$8:$D$42,ROW('03.Muestra'!$B$8:$B$42)-MIN(ROW('03.Muestra'!$D$8:$D$42))+1,""),ROW()-1348)),"")</f>
        <v/>
      </c>
      <c r="B1367" s="114" t="str" cm="1">
        <f t="array" ref="B1367">IFERROR(INDEX('03.Muestra'!$C$8:$C$42,SMALL(IF("Documento no web"='03.Muestra'!$D$8:$D$42,ROW('03.Muestra'!$C$8:$C$42)-MIN(ROW('03.Muestra'!$D$8:$D$42))+1,""),ROW()-1348)),"")</f>
        <v/>
      </c>
      <c r="C1367" s="114" t="str" cm="1">
        <f t="array" ref="C1367">IFERROR(INDEX('03.Muestra'!$F$8:$F$42,SMALL(IF("Documento no web"='03.Muestra'!$D$8:$D$42,ROW('03.Muestra'!$F$8:$F$42)-MIN(ROW('03.Muestra'!$D$8:$D$42))+1,""),ROW()-1348)),"")</f>
        <v/>
      </c>
      <c r="D1367" s="130" t="str">
        <f t="shared" si="71"/>
        <v/>
      </c>
      <c r="E1367" s="107" t="str">
        <f t="shared" si="70"/>
        <v/>
      </c>
      <c r="F1367" s="19"/>
      <c r="G1367" s="19"/>
      <c r="H1367" s="19"/>
      <c r="I1367" s="19"/>
      <c r="J1367" s="19"/>
      <c r="K1367" s="233"/>
      <c r="L1367" s="19"/>
    </row>
    <row r="1368" spans="1:12" ht="13.5" customHeight="1">
      <c r="A1368" s="219" t="str" cm="1">
        <f t="array" ref="A1368">IFERROR(INDEX('03.Muestra'!$B$8:$B$42,SMALL(IF("Documento no web"='03.Muestra'!$D$8:$D$42,ROW('03.Muestra'!$B$8:$B$42)-MIN(ROW('03.Muestra'!$D$8:$D$42))+1,""),ROW()-1348)),"")</f>
        <v/>
      </c>
      <c r="B1368" s="114" t="str" cm="1">
        <f t="array" ref="B1368">IFERROR(INDEX('03.Muestra'!$C$8:$C$42,SMALL(IF("Documento no web"='03.Muestra'!$D$8:$D$42,ROW('03.Muestra'!$C$8:$C$42)-MIN(ROW('03.Muestra'!$D$8:$D$42))+1,""),ROW()-1348)),"")</f>
        <v/>
      </c>
      <c r="C1368" s="114" t="str" cm="1">
        <f t="array" ref="C1368">IFERROR(INDEX('03.Muestra'!$F$8:$F$42,SMALL(IF("Documento no web"='03.Muestra'!$D$8:$D$42,ROW('03.Muestra'!$F$8:$F$42)-MIN(ROW('03.Muestra'!$D$8:$D$42))+1,""),ROW()-1348)),"")</f>
        <v/>
      </c>
      <c r="D1368" s="130" t="str">
        <f t="shared" si="71"/>
        <v/>
      </c>
      <c r="E1368" s="107" t="str">
        <f t="shared" si="70"/>
        <v/>
      </c>
      <c r="F1368" s="19"/>
      <c r="G1368" s="19"/>
      <c r="H1368" s="19"/>
      <c r="I1368" s="19"/>
      <c r="J1368" s="19"/>
      <c r="K1368" s="233"/>
      <c r="L1368" s="19"/>
    </row>
    <row r="1369" spans="1:12" ht="13.5" customHeight="1">
      <c r="A1369" s="219" t="str" cm="1">
        <f t="array" ref="A1369">IFERROR(INDEX('03.Muestra'!$B$8:$B$42,SMALL(IF("Documento no web"='03.Muestra'!$D$8:$D$42,ROW('03.Muestra'!$B$8:$B$42)-MIN(ROW('03.Muestra'!$D$8:$D$42))+1,""),ROW()-1348)),"")</f>
        <v/>
      </c>
      <c r="B1369" s="114" t="str" cm="1">
        <f t="array" ref="B1369">IFERROR(INDEX('03.Muestra'!$C$8:$C$42,SMALL(IF("Documento no web"='03.Muestra'!$D$8:$D$42,ROW('03.Muestra'!$C$8:$C$42)-MIN(ROW('03.Muestra'!$D$8:$D$42))+1,""),ROW()-1348)),"")</f>
        <v/>
      </c>
      <c r="C1369" s="114" t="str" cm="1">
        <f t="array" ref="C1369">IFERROR(INDEX('03.Muestra'!$F$8:$F$42,SMALL(IF("Documento no web"='03.Muestra'!$D$8:$D$42,ROW('03.Muestra'!$F$8:$F$42)-MIN(ROW('03.Muestra'!$D$8:$D$42))+1,""),ROW()-1348)),"")</f>
        <v/>
      </c>
      <c r="D1369" s="130" t="str">
        <f t="shared" si="71"/>
        <v/>
      </c>
      <c r="E1369" s="107" t="str">
        <f t="shared" si="70"/>
        <v/>
      </c>
      <c r="F1369" s="19"/>
      <c r="G1369" s="19"/>
      <c r="H1369" s="19"/>
      <c r="I1369" s="19"/>
      <c r="J1369" s="19"/>
      <c r="K1369" s="233"/>
      <c r="L1369" s="19"/>
    </row>
    <row r="1370" spans="1:12" ht="13.5" customHeight="1">
      <c r="A1370" s="219" t="str" cm="1">
        <f t="array" ref="A1370">IFERROR(INDEX('03.Muestra'!$B$8:$B$42,SMALL(IF("Documento no web"='03.Muestra'!$D$8:$D$42,ROW('03.Muestra'!$B$8:$B$42)-MIN(ROW('03.Muestra'!$D$8:$D$42))+1,""),ROW()-1348)),"")</f>
        <v/>
      </c>
      <c r="B1370" s="114" t="str" cm="1">
        <f t="array" ref="B1370">IFERROR(INDEX('03.Muestra'!$C$8:$C$42,SMALL(IF("Documento no web"='03.Muestra'!$D$8:$D$42,ROW('03.Muestra'!$C$8:$C$42)-MIN(ROW('03.Muestra'!$D$8:$D$42))+1,""),ROW()-1348)),"")</f>
        <v/>
      </c>
      <c r="C1370" s="114" t="str" cm="1">
        <f t="array" ref="C1370">IFERROR(INDEX('03.Muestra'!$F$8:$F$42,SMALL(IF("Documento no web"='03.Muestra'!$D$8:$D$42,ROW('03.Muestra'!$F$8:$F$42)-MIN(ROW('03.Muestra'!$D$8:$D$42))+1,""),ROW()-1348)),"")</f>
        <v/>
      </c>
      <c r="D1370" s="130" t="str">
        <f t="shared" si="71"/>
        <v/>
      </c>
      <c r="E1370" s="107" t="str">
        <f t="shared" si="70"/>
        <v/>
      </c>
      <c r="F1370" s="19"/>
      <c r="G1370" s="19"/>
      <c r="H1370" s="19"/>
      <c r="I1370" s="19"/>
      <c r="J1370" s="19"/>
      <c r="K1370" s="233"/>
      <c r="L1370" s="19"/>
    </row>
    <row r="1371" spans="1:12" ht="13.5" customHeight="1">
      <c r="A1371" s="219" t="str" cm="1">
        <f t="array" ref="A1371">IFERROR(INDEX('03.Muestra'!$B$8:$B$42,SMALL(IF("Documento no web"='03.Muestra'!$D$8:$D$42,ROW('03.Muestra'!$B$8:$B$42)-MIN(ROW('03.Muestra'!$D$8:$D$42))+1,""),ROW()-1348)),"")</f>
        <v/>
      </c>
      <c r="B1371" s="114" t="str" cm="1">
        <f t="array" ref="B1371">IFERROR(INDEX('03.Muestra'!$C$8:$C$42,SMALL(IF("Documento no web"='03.Muestra'!$D$8:$D$42,ROW('03.Muestra'!$C$8:$C$42)-MIN(ROW('03.Muestra'!$D$8:$D$42))+1,""),ROW()-1348)),"")</f>
        <v/>
      </c>
      <c r="C1371" s="114" t="str" cm="1">
        <f t="array" ref="C1371">IFERROR(INDEX('03.Muestra'!$F$8:$F$42,SMALL(IF("Documento no web"='03.Muestra'!$D$8:$D$42,ROW('03.Muestra'!$F$8:$F$42)-MIN(ROW('03.Muestra'!$D$8:$D$42))+1,""),ROW()-1348)),"")</f>
        <v/>
      </c>
      <c r="D1371" s="130" t="str">
        <f t="shared" si="71"/>
        <v/>
      </c>
      <c r="E1371" s="107" t="str">
        <f t="shared" si="70"/>
        <v/>
      </c>
      <c r="F1371" s="19"/>
      <c r="G1371" s="19"/>
      <c r="H1371" s="19"/>
      <c r="I1371" s="19"/>
      <c r="J1371" s="19"/>
      <c r="K1371" s="233"/>
      <c r="L1371" s="19"/>
    </row>
    <row r="1372" spans="1:12" ht="13.5" customHeight="1">
      <c r="A1372" s="219" t="str" cm="1">
        <f t="array" ref="A1372">IFERROR(INDEX('03.Muestra'!$B$8:$B$42,SMALL(IF("Documento no web"='03.Muestra'!$D$8:$D$42,ROW('03.Muestra'!$B$8:$B$42)-MIN(ROW('03.Muestra'!$D$8:$D$42))+1,""),ROW()-1348)),"")</f>
        <v/>
      </c>
      <c r="B1372" s="114" t="str" cm="1">
        <f t="array" ref="B1372">IFERROR(INDEX('03.Muestra'!$C$8:$C$42,SMALL(IF("Documento no web"='03.Muestra'!$D$8:$D$42,ROW('03.Muestra'!$C$8:$C$42)-MIN(ROW('03.Muestra'!$D$8:$D$42))+1,""),ROW()-1348)),"")</f>
        <v/>
      </c>
      <c r="C1372" s="114" t="str" cm="1">
        <f t="array" ref="C1372">IFERROR(INDEX('03.Muestra'!$F$8:$F$42,SMALL(IF("Documento no web"='03.Muestra'!$D$8:$D$42,ROW('03.Muestra'!$F$8:$F$42)-MIN(ROW('03.Muestra'!$D$8:$D$42))+1,""),ROW()-1348)),"")</f>
        <v/>
      </c>
      <c r="D1372" s="130" t="str">
        <f t="shared" si="71"/>
        <v/>
      </c>
      <c r="E1372" s="107" t="str">
        <f t="shared" si="70"/>
        <v/>
      </c>
      <c r="F1372" s="19"/>
      <c r="G1372" s="19"/>
      <c r="H1372" s="19"/>
      <c r="I1372" s="19"/>
      <c r="J1372" s="19"/>
      <c r="K1372" s="233"/>
      <c r="L1372" s="19"/>
    </row>
    <row r="1373" spans="1:12" ht="13.5" customHeight="1">
      <c r="A1373" s="219" t="str" cm="1">
        <f t="array" ref="A1373">IFERROR(INDEX('03.Muestra'!$B$8:$B$42,SMALL(IF("Documento no web"='03.Muestra'!$D$8:$D$42,ROW('03.Muestra'!$B$8:$B$42)-MIN(ROW('03.Muestra'!$D$8:$D$42))+1,""),ROW()-1348)),"")</f>
        <v/>
      </c>
      <c r="B1373" s="114" t="str" cm="1">
        <f t="array" ref="B1373">IFERROR(INDEX('03.Muestra'!$C$8:$C$42,SMALL(IF("Documento no web"='03.Muestra'!$D$8:$D$42,ROW('03.Muestra'!$C$8:$C$42)-MIN(ROW('03.Muestra'!$D$8:$D$42))+1,""),ROW()-1348)),"")</f>
        <v/>
      </c>
      <c r="C1373" s="114" t="str" cm="1">
        <f t="array" ref="C1373">IFERROR(INDEX('03.Muestra'!$F$8:$F$42,SMALL(IF("Documento no web"='03.Muestra'!$D$8:$D$42,ROW('03.Muestra'!$F$8:$F$42)-MIN(ROW('03.Muestra'!$D$8:$D$42))+1,""),ROW()-1348)),"")</f>
        <v/>
      </c>
      <c r="D1373" s="130" t="str">
        <f t="shared" si="71"/>
        <v/>
      </c>
      <c r="E1373" s="107" t="str">
        <f t="shared" si="70"/>
        <v/>
      </c>
      <c r="F1373" s="19"/>
      <c r="G1373" s="19"/>
      <c r="H1373" s="19"/>
      <c r="I1373" s="19"/>
      <c r="J1373" s="19"/>
      <c r="K1373" s="233"/>
      <c r="L1373" s="19"/>
    </row>
    <row r="1374" spans="1:12" ht="13.5" customHeight="1">
      <c r="A1374" s="219" t="str" cm="1">
        <f t="array" ref="A1374">IFERROR(INDEX('03.Muestra'!$B$8:$B$42,SMALL(IF("Documento no web"='03.Muestra'!$D$8:$D$42,ROW('03.Muestra'!$B$8:$B$42)-MIN(ROW('03.Muestra'!$D$8:$D$42))+1,""),ROW()-1348)),"")</f>
        <v/>
      </c>
      <c r="B1374" s="114" t="str" cm="1">
        <f t="array" ref="B1374">IFERROR(INDEX('03.Muestra'!$C$8:$C$42,SMALL(IF("Documento no web"='03.Muestra'!$D$8:$D$42,ROW('03.Muestra'!$C$8:$C$42)-MIN(ROW('03.Muestra'!$D$8:$D$42))+1,""),ROW()-1348)),"")</f>
        <v/>
      </c>
      <c r="C1374" s="114" t="str" cm="1">
        <f t="array" ref="C1374">IFERROR(INDEX('03.Muestra'!$F$8:$F$42,SMALL(IF("Documento no web"='03.Muestra'!$D$8:$D$42,ROW('03.Muestra'!$F$8:$F$42)-MIN(ROW('03.Muestra'!$D$8:$D$42))+1,""),ROW()-1348)),"")</f>
        <v/>
      </c>
      <c r="D1374" s="130" t="str">
        <f t="shared" si="71"/>
        <v/>
      </c>
      <c r="E1374" s="107" t="str">
        <f t="shared" si="70"/>
        <v/>
      </c>
      <c r="F1374" s="19"/>
      <c r="G1374" s="19"/>
      <c r="H1374" s="19"/>
      <c r="I1374" s="19"/>
      <c r="J1374" s="19"/>
      <c r="K1374" s="233"/>
      <c r="L1374" s="19"/>
    </row>
    <row r="1375" spans="1:12" ht="13.5" customHeight="1">
      <c r="A1375" s="219" t="str" cm="1">
        <f t="array" ref="A1375">IFERROR(INDEX('03.Muestra'!$B$8:$B$42,SMALL(IF("Documento no web"='03.Muestra'!$D$8:$D$42,ROW('03.Muestra'!$B$8:$B$42)-MIN(ROW('03.Muestra'!$D$8:$D$42))+1,""),ROW()-1348)),"")</f>
        <v/>
      </c>
      <c r="B1375" s="114" t="str" cm="1">
        <f t="array" ref="B1375">IFERROR(INDEX('03.Muestra'!$C$8:$C$42,SMALL(IF("Documento no web"='03.Muestra'!$D$8:$D$42,ROW('03.Muestra'!$C$8:$C$42)-MIN(ROW('03.Muestra'!$D$8:$D$42))+1,""),ROW()-1348)),"")</f>
        <v/>
      </c>
      <c r="C1375" s="114" t="str" cm="1">
        <f t="array" ref="C1375">IFERROR(INDEX('03.Muestra'!$F$8:$F$42,SMALL(IF("Documento no web"='03.Muestra'!$D$8:$D$42,ROW('03.Muestra'!$F$8:$F$42)-MIN(ROW('03.Muestra'!$D$8:$D$42))+1,""),ROW()-1348)),"")</f>
        <v/>
      </c>
      <c r="D1375" s="130" t="str">
        <f t="shared" si="71"/>
        <v/>
      </c>
      <c r="E1375" s="107" t="str">
        <f t="shared" si="70"/>
        <v/>
      </c>
      <c r="F1375" s="19"/>
      <c r="G1375" s="19"/>
      <c r="H1375" s="19"/>
      <c r="I1375" s="19"/>
      <c r="J1375" s="19"/>
      <c r="K1375" s="233"/>
      <c r="L1375" s="19"/>
    </row>
    <row r="1376" spans="1:12" ht="13.5" customHeight="1">
      <c r="A1376" s="219" t="str" cm="1">
        <f t="array" ref="A1376">IFERROR(INDEX('03.Muestra'!$B$8:$B$42,SMALL(IF("Documento no web"='03.Muestra'!$D$8:$D$42,ROW('03.Muestra'!$B$8:$B$42)-MIN(ROW('03.Muestra'!$D$8:$D$42))+1,""),ROW()-1348)),"")</f>
        <v/>
      </c>
      <c r="B1376" s="114" t="str" cm="1">
        <f t="array" ref="B1376">IFERROR(INDEX('03.Muestra'!$C$8:$C$42,SMALL(IF("Documento no web"='03.Muestra'!$D$8:$D$42,ROW('03.Muestra'!$C$8:$C$42)-MIN(ROW('03.Muestra'!$D$8:$D$42))+1,""),ROW()-1348)),"")</f>
        <v/>
      </c>
      <c r="C1376" s="114" t="str" cm="1">
        <f t="array" ref="C1376">IFERROR(INDEX('03.Muestra'!$F$8:$F$42,SMALL(IF("Documento no web"='03.Muestra'!$D$8:$D$42,ROW('03.Muestra'!$F$8:$F$42)-MIN(ROW('03.Muestra'!$D$8:$D$42))+1,""),ROW()-1348)),"")</f>
        <v/>
      </c>
      <c r="D1376" s="130" t="str">
        <f t="shared" si="71"/>
        <v/>
      </c>
      <c r="E1376" s="107" t="str">
        <f t="shared" si="70"/>
        <v/>
      </c>
      <c r="G1376" s="19"/>
      <c r="H1376" s="19"/>
      <c r="I1376" s="19"/>
      <c r="J1376" s="19"/>
      <c r="K1376" s="233"/>
      <c r="L1376" s="19"/>
    </row>
    <row r="1377" spans="1:12" ht="13.5" customHeight="1">
      <c r="A1377" s="219" t="str" cm="1">
        <f t="array" ref="A1377">IFERROR(INDEX('03.Muestra'!$B$8:$B$42,SMALL(IF("Documento no web"='03.Muestra'!$D$8:$D$42,ROW('03.Muestra'!$B$8:$B$42)-MIN(ROW('03.Muestra'!$D$8:$D$42))+1,""),ROW()-1348)),"")</f>
        <v/>
      </c>
      <c r="B1377" s="114" t="str" cm="1">
        <f t="array" ref="B1377">IFERROR(INDEX('03.Muestra'!$C$8:$C$42,SMALL(IF("Documento no web"='03.Muestra'!$D$8:$D$42,ROW('03.Muestra'!$C$8:$C$42)-MIN(ROW('03.Muestra'!$D$8:$D$42))+1,""),ROW()-1348)),"")</f>
        <v/>
      </c>
      <c r="C1377" s="114" t="str" cm="1">
        <f t="array" ref="C1377">IFERROR(INDEX('03.Muestra'!$F$8:$F$42,SMALL(IF("Documento no web"='03.Muestra'!$D$8:$D$42,ROW('03.Muestra'!$F$8:$F$42)-MIN(ROW('03.Muestra'!$D$8:$D$42))+1,""),ROW()-1348)),"")</f>
        <v/>
      </c>
      <c r="D1377" s="130" t="str">
        <f t="shared" si="71"/>
        <v/>
      </c>
      <c r="E1377" s="107" t="str">
        <f t="shared" si="70"/>
        <v/>
      </c>
      <c r="F1377" s="124"/>
      <c r="G1377" s="19"/>
      <c r="H1377" s="19"/>
      <c r="I1377" s="19"/>
      <c r="J1377" s="19"/>
      <c r="K1377" s="233"/>
      <c r="L1377" s="19"/>
    </row>
    <row r="1378" spans="1:12" ht="13.5" customHeight="1">
      <c r="A1378" s="219" t="str" cm="1">
        <f t="array" ref="A1378">IFERROR(INDEX('03.Muestra'!$B$8:$B$42,SMALL(IF("Documento no web"='03.Muestra'!$D$8:$D$42,ROW('03.Muestra'!$B$8:$B$42)-MIN(ROW('03.Muestra'!$D$8:$D$42))+1,""),ROW()-1348)),"")</f>
        <v/>
      </c>
      <c r="B1378" s="114" t="str" cm="1">
        <f t="array" ref="B1378">IFERROR(INDEX('03.Muestra'!$C$8:$C$42,SMALL(IF("Documento no web"='03.Muestra'!$D$8:$D$42,ROW('03.Muestra'!$C$8:$C$42)-MIN(ROW('03.Muestra'!$D$8:$D$42))+1,""),ROW()-1348)),"")</f>
        <v/>
      </c>
      <c r="C1378" s="114" t="str" cm="1">
        <f t="array" ref="C1378">IFERROR(INDEX('03.Muestra'!$F$8:$F$42,SMALL(IF("Documento no web"='03.Muestra'!$D$8:$D$42,ROW('03.Muestra'!$F$8:$F$42)-MIN(ROW('03.Muestra'!$D$8:$D$42))+1,""),ROW()-1348)),"")</f>
        <v/>
      </c>
      <c r="D1378" s="130" t="str">
        <f t="shared" si="71"/>
        <v/>
      </c>
      <c r="E1378" s="107" t="str">
        <f t="shared" si="70"/>
        <v/>
      </c>
      <c r="F1378" s="124"/>
      <c r="G1378" s="19"/>
      <c r="H1378" s="19"/>
      <c r="I1378" s="19"/>
      <c r="J1378" s="19"/>
      <c r="K1378" s="233"/>
      <c r="L1378" s="19"/>
    </row>
    <row r="1379" spans="1:12" ht="13.5" customHeight="1">
      <c r="A1379" s="219" t="str" cm="1">
        <f t="array" ref="A1379">IFERROR(INDEX('03.Muestra'!$B$8:$B$42,SMALL(IF("Documento no web"='03.Muestra'!$D$8:$D$42,ROW('03.Muestra'!$B$8:$B$42)-MIN(ROW('03.Muestra'!$D$8:$D$42))+1,""),ROW()-1348)),"")</f>
        <v/>
      </c>
      <c r="B1379" s="114" t="str" cm="1">
        <f t="array" ref="B1379">IFERROR(INDEX('03.Muestra'!$C$8:$C$42,SMALL(IF("Documento no web"='03.Muestra'!$D$8:$D$42,ROW('03.Muestra'!$C$8:$C$42)-MIN(ROW('03.Muestra'!$D$8:$D$42))+1,""),ROW()-1348)),"")</f>
        <v/>
      </c>
      <c r="C1379" s="114" t="str" cm="1">
        <f t="array" ref="C1379">IFERROR(INDEX('03.Muestra'!$F$8:$F$42,SMALL(IF("Documento no web"='03.Muestra'!$D$8:$D$42,ROW('03.Muestra'!$F$8:$F$42)-MIN(ROW('03.Muestra'!$D$8:$D$42))+1,""),ROW()-1348)),"")</f>
        <v/>
      </c>
      <c r="D1379" s="130" t="str">
        <f t="shared" si="71"/>
        <v/>
      </c>
      <c r="E1379" s="107" t="str">
        <f t="shared" si="70"/>
        <v/>
      </c>
      <c r="F1379" s="124"/>
      <c r="G1379" s="19"/>
      <c r="H1379" s="19"/>
      <c r="I1379" s="19"/>
      <c r="J1379" s="19"/>
      <c r="K1379" s="233"/>
      <c r="L1379" s="19"/>
    </row>
    <row r="1380" spans="1:12" ht="13.5" customHeight="1">
      <c r="A1380" s="219" t="str" cm="1">
        <f t="array" ref="A1380">IFERROR(INDEX('03.Muestra'!$B$8:$B$42,SMALL(IF("Documento no web"='03.Muestra'!$D$8:$D$42,ROW('03.Muestra'!$B$8:$B$42)-MIN(ROW('03.Muestra'!$D$8:$D$42))+1,""),ROW()-1348)),"")</f>
        <v/>
      </c>
      <c r="B1380" s="114" t="str" cm="1">
        <f t="array" ref="B1380">IFERROR(INDEX('03.Muestra'!$C$8:$C$42,SMALL(IF("Documento no web"='03.Muestra'!$D$8:$D$42,ROW('03.Muestra'!$C$8:$C$42)-MIN(ROW('03.Muestra'!$D$8:$D$42))+1,""),ROW()-1348)),"")</f>
        <v/>
      </c>
      <c r="C1380" s="114" t="str" cm="1">
        <f t="array" ref="C1380">IFERROR(INDEX('03.Muestra'!$F$8:$F$42,SMALL(IF("Documento no web"='03.Muestra'!$D$8:$D$42,ROW('03.Muestra'!$F$8:$F$42)-MIN(ROW('03.Muestra'!$D$8:$D$42))+1,""),ROW()-1348)),"")</f>
        <v/>
      </c>
      <c r="D1380" s="130" t="str">
        <f t="shared" si="71"/>
        <v/>
      </c>
      <c r="E1380" s="107" t="str">
        <f t="shared" si="70"/>
        <v/>
      </c>
      <c r="F1380" s="124"/>
      <c r="G1380" s="19"/>
      <c r="H1380" s="19"/>
      <c r="I1380" s="19"/>
      <c r="J1380" s="19"/>
      <c r="K1380" s="233"/>
      <c r="L1380" s="19"/>
    </row>
    <row r="1381" spans="1:12" ht="13.5" customHeight="1">
      <c r="A1381" s="219" t="str" cm="1">
        <f t="array" ref="A1381">IFERROR(INDEX('03.Muestra'!$B$8:$B$42,SMALL(IF("Documento no web"='03.Muestra'!$D$8:$D$42,ROW('03.Muestra'!$B$8:$B$42)-MIN(ROW('03.Muestra'!$D$8:$D$42))+1,""),ROW()-1348)),"")</f>
        <v/>
      </c>
      <c r="B1381" s="114" t="str" cm="1">
        <f t="array" ref="B1381">IFERROR(INDEX('03.Muestra'!$C$8:$C$42,SMALL(IF("Documento no web"='03.Muestra'!$D$8:$D$42,ROW('03.Muestra'!$C$8:$C$42)-MIN(ROW('03.Muestra'!$D$8:$D$42))+1,""),ROW()-1348)),"")</f>
        <v/>
      </c>
      <c r="C1381" s="114" t="str" cm="1">
        <f t="array" ref="C1381">IFERROR(INDEX('03.Muestra'!$F$8:$F$42,SMALL(IF("Documento no web"='03.Muestra'!$D$8:$D$42,ROW('03.Muestra'!$F$8:$F$42)-MIN(ROW('03.Muestra'!$D$8:$D$42))+1,""),ROW()-1348)),"")</f>
        <v/>
      </c>
      <c r="D1381" s="130" t="str">
        <f t="shared" si="71"/>
        <v/>
      </c>
      <c r="E1381" s="107" t="str">
        <f t="shared" si="70"/>
        <v/>
      </c>
      <c r="F1381" s="124"/>
      <c r="G1381" s="19"/>
      <c r="H1381" s="19"/>
      <c r="I1381" s="19"/>
      <c r="J1381" s="19"/>
      <c r="K1381" s="233"/>
      <c r="L1381" s="19"/>
    </row>
    <row r="1382" spans="1:12" ht="13.5" customHeight="1">
      <c r="A1382" s="219" t="str" cm="1">
        <f t="array" ref="A1382">IFERROR(INDEX('03.Muestra'!$B$8:$B$42,SMALL(IF("Documento no web"='03.Muestra'!$D$8:$D$42,ROW('03.Muestra'!$B$8:$B$42)-MIN(ROW('03.Muestra'!$D$8:$D$42))+1,""),ROW()-1348)),"")</f>
        <v/>
      </c>
      <c r="B1382" s="114" t="str" cm="1">
        <f t="array" ref="B1382">IFERROR(INDEX('03.Muestra'!$C$8:$C$42,SMALL(IF("Documento no web"='03.Muestra'!$D$8:$D$42,ROW('03.Muestra'!$C$8:$C$42)-MIN(ROW('03.Muestra'!$D$8:$D$42))+1,""),ROW()-1348)),"")</f>
        <v/>
      </c>
      <c r="C1382" s="114" t="str" cm="1">
        <f t="array" ref="C1382">IFERROR(INDEX('03.Muestra'!$F$8:$F$42,SMALL(IF("Documento no web"='03.Muestra'!$D$8:$D$42,ROW('03.Muestra'!$F$8:$F$42)-MIN(ROW('03.Muestra'!$D$8:$D$42))+1,""),ROW()-1348)),"")</f>
        <v/>
      </c>
      <c r="D1382" s="130" t="str">
        <f t="shared" si="71"/>
        <v/>
      </c>
      <c r="E1382" s="107" t="str">
        <f t="shared" si="70"/>
        <v/>
      </c>
      <c r="F1382" s="124"/>
      <c r="G1382" s="19"/>
      <c r="H1382" s="19"/>
      <c r="I1382" s="19"/>
      <c r="J1382" s="19"/>
      <c r="K1382" s="233"/>
      <c r="L1382" s="19"/>
    </row>
    <row r="1383" spans="1:12" ht="13.5" customHeight="1">
      <c r="A1383" s="219" t="str" cm="1">
        <f t="array" ref="A1383">IFERROR(INDEX('03.Muestra'!$B$8:$B$42,SMALL(IF("Documento no web"='03.Muestra'!$D$8:$D$42,ROW('03.Muestra'!$B$8:$B$42)-MIN(ROW('03.Muestra'!$D$8:$D$42))+1,""),ROW()-1348)),"")</f>
        <v/>
      </c>
      <c r="B1383" s="114" t="str" cm="1">
        <f t="array" ref="B1383">IFERROR(INDEX('03.Muestra'!$C$8:$C$42,SMALL(IF("Documento no web"='03.Muestra'!$D$8:$D$42,ROW('03.Muestra'!$C$8:$C$42)-MIN(ROW('03.Muestra'!$D$8:$D$42))+1,""),ROW()-1348)),"")</f>
        <v/>
      </c>
      <c r="C1383" s="114" t="str" cm="1">
        <f t="array" ref="C1383">IFERROR(INDEX('03.Muestra'!$F$8:$F$42,SMALL(IF("Documento no web"='03.Muestra'!$D$8:$D$42,ROW('03.Muestra'!$F$8:$F$42)-MIN(ROW('03.Muestra'!$D$8:$D$42))+1,""),ROW()-1348)),"")</f>
        <v/>
      </c>
      <c r="D1383" s="130" t="str">
        <f t="shared" si="71"/>
        <v/>
      </c>
      <c r="E1383" s="107" t="str">
        <f t="shared" si="70"/>
        <v/>
      </c>
      <c r="F1383" s="19"/>
      <c r="G1383" s="19"/>
      <c r="H1383" s="19"/>
      <c r="I1383" s="19"/>
      <c r="J1383" s="19"/>
      <c r="K1383" s="233"/>
      <c r="L1383" s="19"/>
    </row>
    <row r="1384" spans="1:12" ht="13.5" customHeight="1">
      <c r="B1384" s="19"/>
      <c r="C1384" s="19"/>
      <c r="D1384" s="107"/>
      <c r="E1384" s="19"/>
      <c r="F1384" s="19"/>
      <c r="G1384" s="19"/>
      <c r="H1384" s="19"/>
      <c r="I1384" s="19"/>
      <c r="J1384" s="19"/>
      <c r="K1384" s="233"/>
      <c r="L1384" s="19"/>
    </row>
    <row r="1385" spans="1:12" ht="13.5" customHeight="1">
      <c r="B1385" s="19"/>
      <c r="C1385" s="19"/>
      <c r="D1385" s="107"/>
      <c r="E1385" s="112"/>
      <c r="F1385" s="19"/>
      <c r="G1385" s="19"/>
      <c r="H1385" s="19"/>
      <c r="I1385" s="19"/>
      <c r="J1385" s="19"/>
      <c r="K1385" s="233"/>
      <c r="L1385" s="19"/>
    </row>
    <row r="1386" spans="1:12" ht="30" customHeight="1">
      <c r="A1386" s="218" t="s">
        <v>268</v>
      </c>
      <c r="B1386" s="24" t="s">
        <v>90</v>
      </c>
      <c r="C1386" s="25" t="s">
        <v>458</v>
      </c>
      <c r="D1386" s="26" t="s">
        <v>32</v>
      </c>
      <c r="E1386" s="123"/>
      <c r="K1386" s="233"/>
      <c r="L1386" s="19"/>
    </row>
    <row r="1387" spans="1:12" ht="13.5" customHeight="1">
      <c r="A1387" s="219" t="n" cm="1">
        <f t="array" ref="A1387">IFERROR(INDEX('03.Muestra'!$B$8:$B$42,SMALL(IF("Documento no web"='03.Muestra'!$D$8:$D$42,ROW('03.Muestra'!$B$8:$B$42)-MIN(ROW('03.Muestra'!$D$8:$D$42))+1,""),ROW()-1386)),"")</f>
        <v>1.0</v>
      </c>
      <c r="B1387" s="114" t="str" cm="1">
        <f t="array" ref="B1387">IFERROR(INDEX('03.Muestra'!$C$8:$C$42,SMALL(IF("Documento no web"='03.Muestra'!$D$8:$D$42,ROW('03.Muestra'!$C$8:$C$42)-MIN(ROW('03.Muestra'!$D$8:$D$42))+1,""),ROW()-1386)),"")</f>
        <v>Home - PortCastelló</v>
      </c>
      <c r="C1387" s="114" t="str" cm="1">
        <f t="array" ref="C1387">IFERROR(INDEX('03.Muestra'!$F$8:$F$42,SMALL(IF("Documento no web"='03.Muestra'!$D$8:$D$42,ROW('03.Muestra'!$F$8:$F$42)-MIN(ROW('03.Muestra'!$D$8:$D$42))+1,""),ROW()-1386)),"")</f>
        <v>https://www.portcastello.com/</v>
      </c>
      <c r="D1387" s="130" t="s">
        <v>33</v>
      </c>
      <c r="E1387" s="107" t="str">
        <f t="shared" ref="E1387:E1421" si="72">IF(D1387&lt;&gt;"",IF(AND(B1387&lt;&gt;"",C1387&lt;&gt;""),"","ERR"),"")</f>
        <v/>
      </c>
      <c r="F1387" s="115" t="s">
        <v>33</v>
      </c>
      <c r="G1387" s="116" t="s">
        <v>37</v>
      </c>
      <c r="H1387" s="117" t="s">
        <v>35</v>
      </c>
      <c r="I1387" s="118" t="s">
        <v>28</v>
      </c>
      <c r="J1387" s="119" t="s">
        <v>26</v>
      </c>
      <c r="K1387" s="226" t="s">
        <v>474</v>
      </c>
      <c r="L1387" s="19"/>
    </row>
    <row r="1388" spans="1:12" ht="13.5" customHeight="1">
      <c r="A1388" s="219" t="n" cm="1">
        <f t="array" ref="A1388">IFERROR(INDEX('03.Muestra'!$B$8:$B$42,SMALL(IF("Documento no web"='03.Muestra'!$D$8:$D$42,ROW('03.Muestra'!$B$8:$B$42)-MIN(ROW('03.Muestra'!$D$8:$D$42))+1,""),ROW()-1386)),"")</f>
        <v>1.0</v>
      </c>
      <c r="B1388" s="114" t="str" cm="1">
        <f t="array" ref="B1388">IFERROR(INDEX('03.Muestra'!$C$8:$C$42,SMALL(IF("Documento no web"='03.Muestra'!$D$8:$D$42,ROW('03.Muestra'!$C$8:$C$42)-MIN(ROW('03.Muestra'!$D$8:$D$42))+1,""),ROW()-1386)),"")</f>
        <v>Home - PortCastelló</v>
      </c>
      <c r="C1388" s="114" t="str" cm="1">
        <f t="array" ref="C1388">IFERROR(INDEX('03.Muestra'!$F$8:$F$42,SMALL(IF("Documento no web"='03.Muestra'!$D$8:$D$42,ROW('03.Muestra'!$F$8:$F$42)-MIN(ROW('03.Muestra'!$D$8:$D$42))+1,""),ROW()-1386)),"")</f>
        <v>https://www.portcastello.com/</v>
      </c>
      <c r="D1388" s="130" t="s">
        <v>33</v>
      </c>
      <c r="E1388" s="107" t="str">
        <f t="shared" si="72"/>
        <v/>
      </c>
      <c r="F1388" s="120" t="n">
        <f ca="1">COUNTIF($D1387:INDIRECT("$D" &amp;  SUM(ROW()-1,'03.Muestra'!$D$45)-1),F1387)</f>
        <v>2.0</v>
      </c>
      <c r="G1388" s="120" t="n">
        <f ca="1">COUNTIF($D1387:INDIRECT("$D" &amp;  SUM(ROW()-1,'03.Muestra'!$D$45)-1),G1387)</f>
        <v>0.0</v>
      </c>
      <c r="H1388" s="120" t="n">
        <f ca="1">COUNTIF($D1387:INDIRECT("$D" &amp;  SUM(ROW()-1,'03.Muestra'!$D$45)-1),H1387)</f>
        <v>0.0</v>
      </c>
      <c r="I1388" s="120" t="n">
        <f ca="1">COUNTIF($D1387:INDIRECT("$D" &amp;  SUM(ROW()-1,'03.Muestra'!$D$45)-1),I1387)</f>
        <v>0.0</v>
      </c>
      <c r="J1388" s="120" t="n">
        <f ca="1">COUNTIF($D1387:INDIRECT("$D" &amp;  SUM(ROW()-1,'03.Muestra'!$D$45)-1),J1387)</f>
        <v>0.0</v>
      </c>
      <c r="K1388" s="227" t="n">
        <f ca="1">IF(COUNTIF('03.Muestra'!$D$8:$D$42,"Documento no web")=0,0,COUNTBLANK($D1387:INDIRECT("$D" &amp;  SUM(ROW()-1,COUNTIF('03.Muestra'!$D$8:$D$42,"Documento no web"))-1)))</f>
        <v>0.0</v>
      </c>
      <c r="L1388" s="19"/>
    </row>
    <row r="1389" spans="1:12" ht="13.5" customHeight="1">
      <c r="A1389" s="219" t="str" cm="1">
        <f t="array" ref="A1389">IFERROR(INDEX('03.Muestra'!$B$8:$B$42,SMALL(IF("Documento no web"='03.Muestra'!$D$8:$D$42,ROW('03.Muestra'!$B$8:$B$42)-MIN(ROW('03.Muestra'!$D$8:$D$42))+1,""),ROW()-1386)),"")</f>
        <v/>
      </c>
      <c r="B1389" s="114" t="str" cm="1">
        <f t="array" ref="B1389">IFERROR(INDEX('03.Muestra'!$C$8:$C$42,SMALL(IF("Documento no web"='03.Muestra'!$D$8:$D$42,ROW('03.Muestra'!$C$8:$C$42)-MIN(ROW('03.Muestra'!$D$8:$D$42))+1,""),ROW()-1386)),"")</f>
        <v/>
      </c>
      <c r="C1389" s="114" t="str" cm="1">
        <f t="array" ref="C1389">IFERROR(INDEX('03.Muestra'!$F$8:$F$42,SMALL(IF("Documento no web"='03.Muestra'!$D$8:$D$42,ROW('03.Muestra'!$F$8:$F$42)-MIN(ROW('03.Muestra'!$D$8:$D$42))+1,""),ROW()-1386)),"")</f>
        <v/>
      </c>
      <c r="D1389" s="130" t="str">
        <f t="shared" si="73" ref="D1389:D1421">IF(AND(B1389&lt;&gt;"",C1389&lt;&gt;""),"N/T","")</f>
        <v/>
      </c>
      <c r="E1389" s="107" t="str">
        <f t="shared" si="72"/>
        <v/>
      </c>
      <c r="G1389" s="19"/>
      <c r="H1389" s="19"/>
      <c r="I1389" s="19"/>
      <c r="J1389" s="19"/>
      <c r="K1389" s="233"/>
      <c r="L1389" s="19"/>
    </row>
    <row r="1390" spans="1:12" ht="13.5" customHeight="1">
      <c r="A1390" s="219" t="str" cm="1">
        <f t="array" ref="A1390">IFERROR(INDEX('03.Muestra'!$B$8:$B$42,SMALL(IF("Documento no web"='03.Muestra'!$D$8:$D$42,ROW('03.Muestra'!$B$8:$B$42)-MIN(ROW('03.Muestra'!$D$8:$D$42))+1,""),ROW()-1386)),"")</f>
        <v/>
      </c>
      <c r="B1390" s="114" t="str" cm="1">
        <f t="array" ref="B1390">IFERROR(INDEX('03.Muestra'!$C$8:$C$42,SMALL(IF("Documento no web"='03.Muestra'!$D$8:$D$42,ROW('03.Muestra'!$C$8:$C$42)-MIN(ROW('03.Muestra'!$D$8:$D$42))+1,""),ROW()-1386)),"")</f>
        <v/>
      </c>
      <c r="C1390" s="114" t="str" cm="1">
        <f t="array" ref="C1390">IFERROR(INDEX('03.Muestra'!$F$8:$F$42,SMALL(IF("Documento no web"='03.Muestra'!$D$8:$D$42,ROW('03.Muestra'!$F$8:$F$42)-MIN(ROW('03.Muestra'!$D$8:$D$42))+1,""),ROW()-1386)),"")</f>
        <v/>
      </c>
      <c r="D1390" s="130" t="str">
        <f t="shared" si="73"/>
        <v/>
      </c>
      <c r="E1390" s="107" t="str">
        <f t="shared" si="72"/>
        <v/>
      </c>
      <c r="G1390" s="19"/>
      <c r="H1390" s="19"/>
      <c r="I1390" s="19"/>
      <c r="J1390" s="19"/>
      <c r="K1390" s="233"/>
      <c r="L1390" s="19"/>
    </row>
    <row r="1391" spans="1:12" ht="13.5" customHeight="1">
      <c r="A1391" s="219" t="str" cm="1">
        <f t="array" ref="A1391">IFERROR(INDEX('03.Muestra'!$B$8:$B$42,SMALL(IF("Documento no web"='03.Muestra'!$D$8:$D$42,ROW('03.Muestra'!$B$8:$B$42)-MIN(ROW('03.Muestra'!$D$8:$D$42))+1,""),ROW()-1386)),"")</f>
        <v/>
      </c>
      <c r="B1391" s="114" t="str" cm="1">
        <f t="array" ref="B1391">IFERROR(INDEX('03.Muestra'!$C$8:$C$42,SMALL(IF("Documento no web"='03.Muestra'!$D$8:$D$42,ROW('03.Muestra'!$C$8:$C$42)-MIN(ROW('03.Muestra'!$D$8:$D$42))+1,""),ROW()-1386)),"")</f>
        <v/>
      </c>
      <c r="C1391" s="114" t="str" cm="1">
        <f t="array" ref="C1391">IFERROR(INDEX('03.Muestra'!$F$8:$F$42,SMALL(IF("Documento no web"='03.Muestra'!$D$8:$D$42,ROW('03.Muestra'!$F$8:$F$42)-MIN(ROW('03.Muestra'!$D$8:$D$42))+1,""),ROW()-1386)),"")</f>
        <v/>
      </c>
      <c r="D1391" s="130" t="str">
        <f t="shared" si="73"/>
        <v/>
      </c>
      <c r="E1391" s="107" t="str">
        <f t="shared" si="72"/>
        <v/>
      </c>
      <c r="G1391" s="19"/>
      <c r="H1391" s="19"/>
      <c r="I1391" s="19"/>
      <c r="J1391" s="19"/>
      <c r="K1391" s="233"/>
      <c r="L1391" s="19"/>
    </row>
    <row r="1392" spans="1:12" ht="13.5" customHeight="1">
      <c r="A1392" s="219" t="str" cm="1">
        <f t="array" ref="A1392">IFERROR(INDEX('03.Muestra'!$B$8:$B$42,SMALL(IF("Documento no web"='03.Muestra'!$D$8:$D$42,ROW('03.Muestra'!$B$8:$B$42)-MIN(ROW('03.Muestra'!$D$8:$D$42))+1,""),ROW()-1386)),"")</f>
        <v/>
      </c>
      <c r="B1392" s="114" t="str" cm="1">
        <f t="array" ref="B1392">IFERROR(INDEX('03.Muestra'!$C$8:$C$42,SMALL(IF("Documento no web"='03.Muestra'!$D$8:$D$42,ROW('03.Muestra'!$C$8:$C$42)-MIN(ROW('03.Muestra'!$D$8:$D$42))+1,""),ROW()-1386)),"")</f>
        <v/>
      </c>
      <c r="C1392" s="114" t="str" cm="1">
        <f t="array" ref="C1392">IFERROR(INDEX('03.Muestra'!$F$8:$F$42,SMALL(IF("Documento no web"='03.Muestra'!$D$8:$D$42,ROW('03.Muestra'!$F$8:$F$42)-MIN(ROW('03.Muestra'!$D$8:$D$42))+1,""),ROW()-1386)),"")</f>
        <v/>
      </c>
      <c r="D1392" s="130" t="str">
        <f t="shared" si="73"/>
        <v/>
      </c>
      <c r="E1392" s="107" t="str">
        <f t="shared" si="72"/>
        <v/>
      </c>
      <c r="G1392" s="19"/>
      <c r="H1392" s="19"/>
      <c r="I1392" s="19"/>
      <c r="J1392" s="19"/>
      <c r="K1392" s="233"/>
      <c r="L1392" s="19"/>
    </row>
    <row r="1393" spans="1:12" ht="13.5" customHeight="1">
      <c r="A1393" s="219" t="str" cm="1">
        <f t="array" ref="A1393">IFERROR(INDEX('03.Muestra'!$B$8:$B$42,SMALL(IF("Documento no web"='03.Muestra'!$D$8:$D$42,ROW('03.Muestra'!$B$8:$B$42)-MIN(ROW('03.Muestra'!$D$8:$D$42))+1,""),ROW()-1386)),"")</f>
        <v/>
      </c>
      <c r="B1393" s="114" t="str" cm="1">
        <f t="array" ref="B1393">IFERROR(INDEX('03.Muestra'!$C$8:$C$42,SMALL(IF("Documento no web"='03.Muestra'!$D$8:$D$42,ROW('03.Muestra'!$C$8:$C$42)-MIN(ROW('03.Muestra'!$D$8:$D$42))+1,""),ROW()-1386)),"")</f>
        <v/>
      </c>
      <c r="C1393" s="114" t="str" cm="1">
        <f t="array" ref="C1393">IFERROR(INDEX('03.Muestra'!$F$8:$F$42,SMALL(IF("Documento no web"='03.Muestra'!$D$8:$D$42,ROW('03.Muestra'!$F$8:$F$42)-MIN(ROW('03.Muestra'!$D$8:$D$42))+1,""),ROW()-1386)),"")</f>
        <v/>
      </c>
      <c r="D1393" s="130" t="str">
        <f t="shared" si="73"/>
        <v/>
      </c>
      <c r="E1393" s="107" t="str">
        <f t="shared" si="72"/>
        <v/>
      </c>
      <c r="F1393" s="19"/>
      <c r="G1393" s="19"/>
      <c r="H1393" s="19"/>
      <c r="I1393" s="19"/>
      <c r="J1393" s="19"/>
      <c r="K1393" s="233"/>
      <c r="L1393" s="19"/>
    </row>
    <row r="1394" spans="1:12" ht="13.5" customHeight="1">
      <c r="A1394" s="219" t="str" cm="1">
        <f t="array" ref="A1394">IFERROR(INDEX('03.Muestra'!$B$8:$B$42,SMALL(IF("Documento no web"='03.Muestra'!$D$8:$D$42,ROW('03.Muestra'!$B$8:$B$42)-MIN(ROW('03.Muestra'!$D$8:$D$42))+1,""),ROW()-1386)),"")</f>
        <v/>
      </c>
      <c r="B1394" s="114" t="str" cm="1">
        <f t="array" ref="B1394">IFERROR(INDEX('03.Muestra'!$C$8:$C$42,SMALL(IF("Documento no web"='03.Muestra'!$D$8:$D$42,ROW('03.Muestra'!$C$8:$C$42)-MIN(ROW('03.Muestra'!$D$8:$D$42))+1,""),ROW()-1386)),"")</f>
        <v/>
      </c>
      <c r="C1394" s="114" t="str" cm="1">
        <f t="array" ref="C1394">IFERROR(INDEX('03.Muestra'!$F$8:$F$42,SMALL(IF("Documento no web"='03.Muestra'!$D$8:$D$42,ROW('03.Muestra'!$F$8:$F$42)-MIN(ROW('03.Muestra'!$D$8:$D$42))+1,""),ROW()-1386)),"")</f>
        <v/>
      </c>
      <c r="D1394" s="130" t="str">
        <f t="shared" si="73"/>
        <v/>
      </c>
      <c r="E1394" s="107" t="str">
        <f t="shared" si="72"/>
        <v/>
      </c>
      <c r="F1394" s="19"/>
      <c r="G1394" s="19"/>
      <c r="H1394" s="19"/>
      <c r="I1394" s="19"/>
      <c r="J1394" s="19"/>
      <c r="K1394" s="233"/>
      <c r="L1394" s="19"/>
    </row>
    <row r="1395" spans="1:12" ht="13.5" customHeight="1">
      <c r="A1395" s="219" t="str" cm="1">
        <f t="array" ref="A1395">IFERROR(INDEX('03.Muestra'!$B$8:$B$42,SMALL(IF("Documento no web"='03.Muestra'!$D$8:$D$42,ROW('03.Muestra'!$B$8:$B$42)-MIN(ROW('03.Muestra'!$D$8:$D$42))+1,""),ROW()-1386)),"")</f>
        <v/>
      </c>
      <c r="B1395" s="114" t="str" cm="1">
        <f t="array" ref="B1395">IFERROR(INDEX('03.Muestra'!$C$8:$C$42,SMALL(IF("Documento no web"='03.Muestra'!$D$8:$D$42,ROW('03.Muestra'!$C$8:$C$42)-MIN(ROW('03.Muestra'!$D$8:$D$42))+1,""),ROW()-1386)),"")</f>
        <v/>
      </c>
      <c r="C1395" s="114" t="str" cm="1">
        <f t="array" ref="C1395">IFERROR(INDEX('03.Muestra'!$F$8:$F$42,SMALL(IF("Documento no web"='03.Muestra'!$D$8:$D$42,ROW('03.Muestra'!$F$8:$F$42)-MIN(ROW('03.Muestra'!$D$8:$D$42))+1,""),ROW()-1386)),"")</f>
        <v/>
      </c>
      <c r="D1395" s="130" t="str">
        <f t="shared" si="73"/>
        <v/>
      </c>
      <c r="E1395" s="107" t="str">
        <f t="shared" si="72"/>
        <v/>
      </c>
      <c r="F1395" s="19"/>
      <c r="G1395" s="19"/>
      <c r="H1395" s="19"/>
      <c r="I1395" s="19"/>
      <c r="J1395" s="19"/>
      <c r="K1395" s="233"/>
      <c r="L1395" s="19"/>
    </row>
    <row r="1396" spans="1:12" ht="13.5" customHeight="1">
      <c r="A1396" s="219" t="str" cm="1">
        <f t="array" ref="A1396">IFERROR(INDEX('03.Muestra'!$B$8:$B$42,SMALL(IF("Documento no web"='03.Muestra'!$D$8:$D$42,ROW('03.Muestra'!$B$8:$B$42)-MIN(ROW('03.Muestra'!$D$8:$D$42))+1,""),ROW()-1386)),"")</f>
        <v/>
      </c>
      <c r="B1396" s="114" t="str" cm="1">
        <f t="array" ref="B1396">IFERROR(INDEX('03.Muestra'!$C$8:$C$42,SMALL(IF("Documento no web"='03.Muestra'!$D$8:$D$42,ROW('03.Muestra'!$C$8:$C$42)-MIN(ROW('03.Muestra'!$D$8:$D$42))+1,""),ROW()-1386)),"")</f>
        <v/>
      </c>
      <c r="C1396" s="114" t="str" cm="1">
        <f t="array" ref="C1396">IFERROR(INDEX('03.Muestra'!$F$8:$F$42,SMALL(IF("Documento no web"='03.Muestra'!$D$8:$D$42,ROW('03.Muestra'!$F$8:$F$42)-MIN(ROW('03.Muestra'!$D$8:$D$42))+1,""),ROW()-1386)),"")</f>
        <v/>
      </c>
      <c r="D1396" s="130" t="str">
        <f t="shared" si="73"/>
        <v/>
      </c>
      <c r="E1396" s="107" t="str">
        <f t="shared" si="72"/>
        <v/>
      </c>
      <c r="F1396" s="19"/>
      <c r="G1396" s="19"/>
      <c r="H1396" s="19"/>
      <c r="I1396" s="19"/>
      <c r="J1396" s="19"/>
      <c r="K1396" s="233"/>
      <c r="L1396" s="19"/>
    </row>
    <row r="1397" spans="1:12" ht="13.5" customHeight="1">
      <c r="A1397" s="219" t="str" cm="1">
        <f t="array" ref="A1397">IFERROR(INDEX('03.Muestra'!$B$8:$B$42,SMALL(IF("Documento no web"='03.Muestra'!$D$8:$D$42,ROW('03.Muestra'!$B$8:$B$42)-MIN(ROW('03.Muestra'!$D$8:$D$42))+1,""),ROW()-1386)),"")</f>
        <v/>
      </c>
      <c r="B1397" s="114" t="str" cm="1">
        <f t="array" ref="B1397">IFERROR(INDEX('03.Muestra'!$C$8:$C$42,SMALL(IF("Documento no web"='03.Muestra'!$D$8:$D$42,ROW('03.Muestra'!$C$8:$C$42)-MIN(ROW('03.Muestra'!$D$8:$D$42))+1,""),ROW()-1386)),"")</f>
        <v/>
      </c>
      <c r="C1397" s="114" t="str" cm="1">
        <f t="array" ref="C1397">IFERROR(INDEX('03.Muestra'!$F$8:$F$42,SMALL(IF("Documento no web"='03.Muestra'!$D$8:$D$42,ROW('03.Muestra'!$F$8:$F$42)-MIN(ROW('03.Muestra'!$D$8:$D$42))+1,""),ROW()-1386)),"")</f>
        <v/>
      </c>
      <c r="D1397" s="130" t="str">
        <f t="shared" si="73"/>
        <v/>
      </c>
      <c r="E1397" s="107" t="str">
        <f t="shared" si="72"/>
        <v/>
      </c>
      <c r="F1397" s="19"/>
      <c r="G1397" s="19"/>
      <c r="H1397" s="19"/>
      <c r="I1397" s="19"/>
      <c r="J1397" s="19"/>
      <c r="K1397" s="233"/>
      <c r="L1397" s="19"/>
    </row>
    <row r="1398" spans="1:12" ht="13.5" customHeight="1">
      <c r="A1398" s="219" t="str" cm="1">
        <f t="array" ref="A1398">IFERROR(INDEX('03.Muestra'!$B$8:$B$42,SMALL(IF("Documento no web"='03.Muestra'!$D$8:$D$42,ROW('03.Muestra'!$B$8:$B$42)-MIN(ROW('03.Muestra'!$D$8:$D$42))+1,""),ROW()-1386)),"")</f>
        <v/>
      </c>
      <c r="B1398" s="114" t="str" cm="1">
        <f t="array" ref="B1398">IFERROR(INDEX('03.Muestra'!$C$8:$C$42,SMALL(IF("Documento no web"='03.Muestra'!$D$8:$D$42,ROW('03.Muestra'!$C$8:$C$42)-MIN(ROW('03.Muestra'!$D$8:$D$42))+1,""),ROW()-1386)),"")</f>
        <v/>
      </c>
      <c r="C1398" s="114" t="str" cm="1">
        <f t="array" ref="C1398">IFERROR(INDEX('03.Muestra'!$F$8:$F$42,SMALL(IF("Documento no web"='03.Muestra'!$D$8:$D$42,ROW('03.Muestra'!$F$8:$F$42)-MIN(ROW('03.Muestra'!$D$8:$D$42))+1,""),ROW()-1386)),"")</f>
        <v/>
      </c>
      <c r="D1398" s="130" t="str">
        <f t="shared" si="73"/>
        <v/>
      </c>
      <c r="E1398" s="107" t="str">
        <f t="shared" si="72"/>
        <v/>
      </c>
      <c r="F1398" s="19"/>
      <c r="G1398" s="19"/>
      <c r="H1398" s="19"/>
      <c r="I1398" s="19"/>
      <c r="J1398" s="19"/>
      <c r="K1398" s="233"/>
      <c r="L1398" s="19"/>
    </row>
    <row r="1399" spans="1:12" ht="13.5" customHeight="1">
      <c r="A1399" s="219" t="str" cm="1">
        <f t="array" ref="A1399">IFERROR(INDEX('03.Muestra'!$B$8:$B$42,SMALL(IF("Documento no web"='03.Muestra'!$D$8:$D$42,ROW('03.Muestra'!$B$8:$B$42)-MIN(ROW('03.Muestra'!$D$8:$D$42))+1,""),ROW()-1386)),"")</f>
        <v/>
      </c>
      <c r="B1399" s="114" t="str" cm="1">
        <f t="array" ref="B1399">IFERROR(INDEX('03.Muestra'!$C$8:$C$42,SMALL(IF("Documento no web"='03.Muestra'!$D$8:$D$42,ROW('03.Muestra'!$C$8:$C$42)-MIN(ROW('03.Muestra'!$D$8:$D$42))+1,""),ROW()-1386)),"")</f>
        <v/>
      </c>
      <c r="C1399" s="114" t="str" cm="1">
        <f t="array" ref="C1399">IFERROR(INDEX('03.Muestra'!$F$8:$F$42,SMALL(IF("Documento no web"='03.Muestra'!$D$8:$D$42,ROW('03.Muestra'!$F$8:$F$42)-MIN(ROW('03.Muestra'!$D$8:$D$42))+1,""),ROW()-1386)),"")</f>
        <v/>
      </c>
      <c r="D1399" s="130" t="str">
        <f t="shared" si="73"/>
        <v/>
      </c>
      <c r="E1399" s="107" t="str">
        <f t="shared" si="72"/>
        <v/>
      </c>
      <c r="F1399" s="19"/>
      <c r="G1399" s="19"/>
      <c r="H1399" s="19"/>
      <c r="I1399" s="19"/>
      <c r="J1399" s="19"/>
      <c r="K1399" s="233"/>
      <c r="L1399" s="19"/>
    </row>
    <row r="1400" spans="1:12" ht="13.5" customHeight="1">
      <c r="A1400" s="219" t="str" cm="1">
        <f t="array" ref="A1400">IFERROR(INDEX('03.Muestra'!$B$8:$B$42,SMALL(IF("Documento no web"='03.Muestra'!$D$8:$D$42,ROW('03.Muestra'!$B$8:$B$42)-MIN(ROW('03.Muestra'!$D$8:$D$42))+1,""),ROW()-1386)),"")</f>
        <v/>
      </c>
      <c r="B1400" s="114" t="str" cm="1">
        <f t="array" ref="B1400">IFERROR(INDEX('03.Muestra'!$C$8:$C$42,SMALL(IF("Documento no web"='03.Muestra'!$D$8:$D$42,ROW('03.Muestra'!$C$8:$C$42)-MIN(ROW('03.Muestra'!$D$8:$D$42))+1,""),ROW()-1386)),"")</f>
        <v/>
      </c>
      <c r="C1400" s="114" t="str" cm="1">
        <f t="array" ref="C1400">IFERROR(INDEX('03.Muestra'!$F$8:$F$42,SMALL(IF("Documento no web"='03.Muestra'!$D$8:$D$42,ROW('03.Muestra'!$F$8:$F$42)-MIN(ROW('03.Muestra'!$D$8:$D$42))+1,""),ROW()-1386)),"")</f>
        <v/>
      </c>
      <c r="D1400" s="130" t="str">
        <f t="shared" si="73"/>
        <v/>
      </c>
      <c r="E1400" s="107" t="str">
        <f t="shared" si="72"/>
        <v/>
      </c>
      <c r="F1400" s="19"/>
      <c r="G1400" s="19"/>
      <c r="H1400" s="19"/>
      <c r="I1400" s="19"/>
      <c r="J1400" s="19"/>
      <c r="K1400" s="233"/>
      <c r="L1400" s="19"/>
    </row>
    <row r="1401" spans="1:12" ht="13.5" customHeight="1">
      <c r="A1401" s="219" t="str" cm="1">
        <f t="array" ref="A1401">IFERROR(INDEX('03.Muestra'!$B$8:$B$42,SMALL(IF("Documento no web"='03.Muestra'!$D$8:$D$42,ROW('03.Muestra'!$B$8:$B$42)-MIN(ROW('03.Muestra'!$D$8:$D$42))+1,""),ROW()-1386)),"")</f>
        <v/>
      </c>
      <c r="B1401" s="114" t="str" cm="1">
        <f t="array" ref="B1401">IFERROR(INDEX('03.Muestra'!$C$8:$C$42,SMALL(IF("Documento no web"='03.Muestra'!$D$8:$D$42,ROW('03.Muestra'!$C$8:$C$42)-MIN(ROW('03.Muestra'!$D$8:$D$42))+1,""),ROW()-1386)),"")</f>
        <v/>
      </c>
      <c r="C1401" s="114" t="str" cm="1">
        <f t="array" ref="C1401">IFERROR(INDEX('03.Muestra'!$F$8:$F$42,SMALL(IF("Documento no web"='03.Muestra'!$D$8:$D$42,ROW('03.Muestra'!$F$8:$F$42)-MIN(ROW('03.Muestra'!$D$8:$D$42))+1,""),ROW()-1386)),"")</f>
        <v/>
      </c>
      <c r="D1401" s="130" t="str">
        <f t="shared" si="73"/>
        <v/>
      </c>
      <c r="E1401" s="107" t="str">
        <f t="shared" si="72"/>
        <v/>
      </c>
      <c r="F1401" s="19"/>
      <c r="G1401" s="19"/>
      <c r="H1401" s="19"/>
      <c r="I1401" s="19"/>
      <c r="J1401" s="19"/>
      <c r="K1401" s="233"/>
      <c r="L1401" s="19"/>
    </row>
    <row r="1402" spans="1:12" ht="13.5" customHeight="1">
      <c r="A1402" s="219" t="str" cm="1">
        <f t="array" ref="A1402">IFERROR(INDEX('03.Muestra'!$B$8:$B$42,SMALL(IF("Documento no web"='03.Muestra'!$D$8:$D$42,ROW('03.Muestra'!$B$8:$B$42)-MIN(ROW('03.Muestra'!$D$8:$D$42))+1,""),ROW()-1386)),"")</f>
        <v/>
      </c>
      <c r="B1402" s="114" t="str" cm="1">
        <f t="array" ref="B1402">IFERROR(INDEX('03.Muestra'!$C$8:$C$42,SMALL(IF("Documento no web"='03.Muestra'!$D$8:$D$42,ROW('03.Muestra'!$C$8:$C$42)-MIN(ROW('03.Muestra'!$D$8:$D$42))+1,""),ROW()-1386)),"")</f>
        <v/>
      </c>
      <c r="C1402" s="114" t="str" cm="1">
        <f t="array" ref="C1402">IFERROR(INDEX('03.Muestra'!$F$8:$F$42,SMALL(IF("Documento no web"='03.Muestra'!$D$8:$D$42,ROW('03.Muestra'!$F$8:$F$42)-MIN(ROW('03.Muestra'!$D$8:$D$42))+1,""),ROW()-1386)),"")</f>
        <v/>
      </c>
      <c r="D1402" s="130" t="str">
        <f t="shared" si="73"/>
        <v/>
      </c>
      <c r="E1402" s="107" t="str">
        <f t="shared" si="72"/>
        <v/>
      </c>
      <c r="F1402" s="19"/>
      <c r="G1402" s="19"/>
      <c r="H1402" s="19"/>
      <c r="I1402" s="19"/>
      <c r="J1402" s="19"/>
      <c r="K1402" s="233"/>
      <c r="L1402" s="19"/>
    </row>
    <row r="1403" spans="1:12" ht="13.5" customHeight="1">
      <c r="A1403" s="219" t="str" cm="1">
        <f t="array" ref="A1403">IFERROR(INDEX('03.Muestra'!$B$8:$B$42,SMALL(IF("Documento no web"='03.Muestra'!$D$8:$D$42,ROW('03.Muestra'!$B$8:$B$42)-MIN(ROW('03.Muestra'!$D$8:$D$42))+1,""),ROW()-1386)),"")</f>
        <v/>
      </c>
      <c r="B1403" s="114" t="str" cm="1">
        <f t="array" ref="B1403">IFERROR(INDEX('03.Muestra'!$C$8:$C$42,SMALL(IF("Documento no web"='03.Muestra'!$D$8:$D$42,ROW('03.Muestra'!$C$8:$C$42)-MIN(ROW('03.Muestra'!$D$8:$D$42))+1,""),ROW()-1386)),"")</f>
        <v/>
      </c>
      <c r="C1403" s="114" t="str" cm="1">
        <f t="array" ref="C1403">IFERROR(INDEX('03.Muestra'!$F$8:$F$42,SMALL(IF("Documento no web"='03.Muestra'!$D$8:$D$42,ROW('03.Muestra'!$F$8:$F$42)-MIN(ROW('03.Muestra'!$D$8:$D$42))+1,""),ROW()-1386)),"")</f>
        <v/>
      </c>
      <c r="D1403" s="130" t="str">
        <f t="shared" si="73"/>
        <v/>
      </c>
      <c r="E1403" s="107" t="str">
        <f t="shared" si="72"/>
        <v/>
      </c>
      <c r="F1403" s="19"/>
      <c r="G1403" s="19"/>
      <c r="H1403" s="19"/>
      <c r="I1403" s="19"/>
      <c r="J1403" s="19"/>
      <c r="K1403" s="233"/>
      <c r="L1403" s="19"/>
    </row>
    <row r="1404" spans="1:12" ht="13.5" customHeight="1">
      <c r="A1404" s="219" t="str" cm="1">
        <f t="array" ref="A1404">IFERROR(INDEX('03.Muestra'!$B$8:$B$42,SMALL(IF("Documento no web"='03.Muestra'!$D$8:$D$42,ROW('03.Muestra'!$B$8:$B$42)-MIN(ROW('03.Muestra'!$D$8:$D$42))+1,""),ROW()-1386)),"")</f>
        <v/>
      </c>
      <c r="B1404" s="114" t="str" cm="1">
        <f t="array" ref="B1404">IFERROR(INDEX('03.Muestra'!$C$8:$C$42,SMALL(IF("Documento no web"='03.Muestra'!$D$8:$D$42,ROW('03.Muestra'!$C$8:$C$42)-MIN(ROW('03.Muestra'!$D$8:$D$42))+1,""),ROW()-1386)),"")</f>
        <v/>
      </c>
      <c r="C1404" s="114" t="str" cm="1">
        <f t="array" ref="C1404">IFERROR(INDEX('03.Muestra'!$F$8:$F$42,SMALL(IF("Documento no web"='03.Muestra'!$D$8:$D$42,ROW('03.Muestra'!$F$8:$F$42)-MIN(ROW('03.Muestra'!$D$8:$D$42))+1,""),ROW()-1386)),"")</f>
        <v/>
      </c>
      <c r="D1404" s="130" t="str">
        <f t="shared" si="73"/>
        <v/>
      </c>
      <c r="E1404" s="107" t="str">
        <f t="shared" si="72"/>
        <v/>
      </c>
      <c r="F1404" s="19"/>
      <c r="G1404" s="19"/>
      <c r="H1404" s="19"/>
      <c r="I1404" s="19"/>
      <c r="J1404" s="19"/>
      <c r="K1404" s="233"/>
      <c r="L1404" s="19"/>
    </row>
    <row r="1405" spans="1:12" ht="13.5" customHeight="1">
      <c r="A1405" s="219" t="str" cm="1">
        <f t="array" ref="A1405">IFERROR(INDEX('03.Muestra'!$B$8:$B$42,SMALL(IF("Documento no web"='03.Muestra'!$D$8:$D$42,ROW('03.Muestra'!$B$8:$B$42)-MIN(ROW('03.Muestra'!$D$8:$D$42))+1,""),ROW()-1386)),"")</f>
        <v/>
      </c>
      <c r="B1405" s="114" t="str" cm="1">
        <f t="array" ref="B1405">IFERROR(INDEX('03.Muestra'!$C$8:$C$42,SMALL(IF("Documento no web"='03.Muestra'!$D$8:$D$42,ROW('03.Muestra'!$C$8:$C$42)-MIN(ROW('03.Muestra'!$D$8:$D$42))+1,""),ROW()-1386)),"")</f>
        <v/>
      </c>
      <c r="C1405" s="114" t="str" cm="1">
        <f t="array" ref="C1405">IFERROR(INDEX('03.Muestra'!$F$8:$F$42,SMALL(IF("Documento no web"='03.Muestra'!$D$8:$D$42,ROW('03.Muestra'!$F$8:$F$42)-MIN(ROW('03.Muestra'!$D$8:$D$42))+1,""),ROW()-1386)),"")</f>
        <v/>
      </c>
      <c r="D1405" s="130" t="str">
        <f t="shared" si="73"/>
        <v/>
      </c>
      <c r="E1405" s="107" t="str">
        <f t="shared" si="72"/>
        <v/>
      </c>
      <c r="F1405" s="19"/>
      <c r="G1405" s="19"/>
      <c r="H1405" s="19"/>
      <c r="I1405" s="19"/>
      <c r="J1405" s="19"/>
      <c r="K1405" s="233"/>
      <c r="L1405" s="19"/>
    </row>
    <row r="1406" spans="1:12" ht="13.5" customHeight="1">
      <c r="A1406" s="219" t="str" cm="1">
        <f t="array" ref="A1406">IFERROR(INDEX('03.Muestra'!$B$8:$B$42,SMALL(IF("Documento no web"='03.Muestra'!$D$8:$D$42,ROW('03.Muestra'!$B$8:$B$42)-MIN(ROW('03.Muestra'!$D$8:$D$42))+1,""),ROW()-1386)),"")</f>
        <v/>
      </c>
      <c r="B1406" s="114" t="str" cm="1">
        <f t="array" ref="B1406">IFERROR(INDEX('03.Muestra'!$C$8:$C$42,SMALL(IF("Documento no web"='03.Muestra'!$D$8:$D$42,ROW('03.Muestra'!$C$8:$C$42)-MIN(ROW('03.Muestra'!$D$8:$D$42))+1,""),ROW()-1386)),"")</f>
        <v/>
      </c>
      <c r="C1406" s="114" t="str" cm="1">
        <f t="array" ref="C1406">IFERROR(INDEX('03.Muestra'!$F$8:$F$42,SMALL(IF("Documento no web"='03.Muestra'!$D$8:$D$42,ROW('03.Muestra'!$F$8:$F$42)-MIN(ROW('03.Muestra'!$D$8:$D$42))+1,""),ROW()-1386)),"")</f>
        <v/>
      </c>
      <c r="D1406" s="130" t="str">
        <f t="shared" si="73"/>
        <v/>
      </c>
      <c r="E1406" s="107" t="str">
        <f t="shared" si="72"/>
        <v/>
      </c>
      <c r="F1406" s="19"/>
      <c r="G1406" s="19"/>
      <c r="H1406" s="19"/>
      <c r="I1406" s="19"/>
      <c r="J1406" s="19"/>
      <c r="K1406" s="233"/>
      <c r="L1406" s="19"/>
    </row>
    <row r="1407" spans="1:12" ht="13.5" customHeight="1">
      <c r="A1407" s="219" t="str" cm="1">
        <f t="array" ref="A1407">IFERROR(INDEX('03.Muestra'!$B$8:$B$42,SMALL(IF("Documento no web"='03.Muestra'!$D$8:$D$42,ROW('03.Muestra'!$B$8:$B$42)-MIN(ROW('03.Muestra'!$D$8:$D$42))+1,""),ROW()-1386)),"")</f>
        <v/>
      </c>
      <c r="B1407" s="114" t="str" cm="1">
        <f t="array" ref="B1407">IFERROR(INDEX('03.Muestra'!$C$8:$C$42,SMALL(IF("Documento no web"='03.Muestra'!$D$8:$D$42,ROW('03.Muestra'!$C$8:$C$42)-MIN(ROW('03.Muestra'!$D$8:$D$42))+1,""),ROW()-1386)),"")</f>
        <v/>
      </c>
      <c r="C1407" s="114" t="str" cm="1">
        <f t="array" ref="C1407">IFERROR(INDEX('03.Muestra'!$F$8:$F$42,SMALL(IF("Documento no web"='03.Muestra'!$D$8:$D$42,ROW('03.Muestra'!$F$8:$F$42)-MIN(ROW('03.Muestra'!$D$8:$D$42))+1,""),ROW()-1386)),"")</f>
        <v/>
      </c>
      <c r="D1407" s="130" t="str">
        <f t="shared" si="73"/>
        <v/>
      </c>
      <c r="E1407" s="107" t="str">
        <f t="shared" si="72"/>
        <v/>
      </c>
      <c r="F1407" s="19"/>
      <c r="G1407" s="19"/>
      <c r="H1407" s="19"/>
      <c r="I1407" s="19"/>
      <c r="J1407" s="19"/>
      <c r="K1407" s="233"/>
      <c r="L1407" s="19"/>
    </row>
    <row r="1408" spans="1:12" ht="13.5" customHeight="1">
      <c r="A1408" s="219" t="str" cm="1">
        <f t="array" ref="A1408">IFERROR(INDEX('03.Muestra'!$B$8:$B$42,SMALL(IF("Documento no web"='03.Muestra'!$D$8:$D$42,ROW('03.Muestra'!$B$8:$B$42)-MIN(ROW('03.Muestra'!$D$8:$D$42))+1,""),ROW()-1386)),"")</f>
        <v/>
      </c>
      <c r="B1408" s="114" t="str" cm="1">
        <f t="array" ref="B1408">IFERROR(INDEX('03.Muestra'!$C$8:$C$42,SMALL(IF("Documento no web"='03.Muestra'!$D$8:$D$42,ROW('03.Muestra'!$C$8:$C$42)-MIN(ROW('03.Muestra'!$D$8:$D$42))+1,""),ROW()-1386)),"")</f>
        <v/>
      </c>
      <c r="C1408" s="114" t="str" cm="1">
        <f t="array" ref="C1408">IFERROR(INDEX('03.Muestra'!$F$8:$F$42,SMALL(IF("Documento no web"='03.Muestra'!$D$8:$D$42,ROW('03.Muestra'!$F$8:$F$42)-MIN(ROW('03.Muestra'!$D$8:$D$42))+1,""),ROW()-1386)),"")</f>
        <v/>
      </c>
      <c r="D1408" s="130" t="str">
        <f t="shared" si="73"/>
        <v/>
      </c>
      <c r="E1408" s="107" t="str">
        <f t="shared" si="72"/>
        <v/>
      </c>
      <c r="F1408" s="19"/>
      <c r="G1408" s="19"/>
      <c r="H1408" s="19"/>
      <c r="I1408" s="19"/>
      <c r="J1408" s="19"/>
      <c r="K1408" s="233"/>
      <c r="L1408" s="19"/>
    </row>
    <row r="1409" spans="1:12" ht="13.5" customHeight="1">
      <c r="A1409" s="219" t="str" cm="1">
        <f t="array" ref="A1409">IFERROR(INDEX('03.Muestra'!$B$8:$B$42,SMALL(IF("Documento no web"='03.Muestra'!$D$8:$D$42,ROW('03.Muestra'!$B$8:$B$42)-MIN(ROW('03.Muestra'!$D$8:$D$42))+1,""),ROW()-1386)),"")</f>
        <v/>
      </c>
      <c r="B1409" s="114" t="str" cm="1">
        <f t="array" ref="B1409">IFERROR(INDEX('03.Muestra'!$C$8:$C$42,SMALL(IF("Documento no web"='03.Muestra'!$D$8:$D$42,ROW('03.Muestra'!$C$8:$C$42)-MIN(ROW('03.Muestra'!$D$8:$D$42))+1,""),ROW()-1386)),"")</f>
        <v/>
      </c>
      <c r="C1409" s="114" t="str" cm="1">
        <f t="array" ref="C1409">IFERROR(INDEX('03.Muestra'!$F$8:$F$42,SMALL(IF("Documento no web"='03.Muestra'!$D$8:$D$42,ROW('03.Muestra'!$F$8:$F$42)-MIN(ROW('03.Muestra'!$D$8:$D$42))+1,""),ROW()-1386)),"")</f>
        <v/>
      </c>
      <c r="D1409" s="130" t="str">
        <f t="shared" si="73"/>
        <v/>
      </c>
      <c r="E1409" s="107" t="str">
        <f t="shared" si="72"/>
        <v/>
      </c>
      <c r="F1409" s="19"/>
      <c r="G1409" s="19"/>
      <c r="H1409" s="19"/>
      <c r="I1409" s="19"/>
      <c r="J1409" s="19"/>
      <c r="K1409" s="233"/>
      <c r="L1409" s="19"/>
    </row>
    <row r="1410" spans="1:12" ht="13.5" customHeight="1">
      <c r="A1410" s="219" t="str" cm="1">
        <f t="array" ref="A1410">IFERROR(INDEX('03.Muestra'!$B$8:$B$42,SMALL(IF("Documento no web"='03.Muestra'!$D$8:$D$42,ROW('03.Muestra'!$B$8:$B$42)-MIN(ROW('03.Muestra'!$D$8:$D$42))+1,""),ROW()-1386)),"")</f>
        <v/>
      </c>
      <c r="B1410" s="114" t="str" cm="1">
        <f t="array" ref="B1410">IFERROR(INDEX('03.Muestra'!$C$8:$C$42,SMALL(IF("Documento no web"='03.Muestra'!$D$8:$D$42,ROW('03.Muestra'!$C$8:$C$42)-MIN(ROW('03.Muestra'!$D$8:$D$42))+1,""),ROW()-1386)),"")</f>
        <v/>
      </c>
      <c r="C1410" s="114" t="str" cm="1">
        <f t="array" ref="C1410">IFERROR(INDEX('03.Muestra'!$F$8:$F$42,SMALL(IF("Documento no web"='03.Muestra'!$D$8:$D$42,ROW('03.Muestra'!$F$8:$F$42)-MIN(ROW('03.Muestra'!$D$8:$D$42))+1,""),ROW()-1386)),"")</f>
        <v/>
      </c>
      <c r="D1410" s="130" t="str">
        <f t="shared" si="73"/>
        <v/>
      </c>
      <c r="E1410" s="107" t="str">
        <f t="shared" si="72"/>
        <v/>
      </c>
      <c r="F1410" s="19"/>
      <c r="G1410" s="19"/>
      <c r="H1410" s="19"/>
      <c r="I1410" s="19"/>
      <c r="J1410" s="19"/>
      <c r="K1410" s="233"/>
      <c r="L1410" s="19"/>
    </row>
    <row r="1411" spans="1:12" ht="13.5" customHeight="1">
      <c r="A1411" s="219" t="str" cm="1">
        <f t="array" ref="A1411">IFERROR(INDEX('03.Muestra'!$B$8:$B$42,SMALL(IF("Documento no web"='03.Muestra'!$D$8:$D$42,ROW('03.Muestra'!$B$8:$B$42)-MIN(ROW('03.Muestra'!$D$8:$D$42))+1,""),ROW()-1386)),"")</f>
        <v/>
      </c>
      <c r="B1411" s="114" t="str" cm="1">
        <f t="array" ref="B1411">IFERROR(INDEX('03.Muestra'!$C$8:$C$42,SMALL(IF("Documento no web"='03.Muestra'!$D$8:$D$42,ROW('03.Muestra'!$C$8:$C$42)-MIN(ROW('03.Muestra'!$D$8:$D$42))+1,""),ROW()-1386)),"")</f>
        <v/>
      </c>
      <c r="C1411" s="114" t="str" cm="1">
        <f t="array" ref="C1411">IFERROR(INDEX('03.Muestra'!$F$8:$F$42,SMALL(IF("Documento no web"='03.Muestra'!$D$8:$D$42,ROW('03.Muestra'!$F$8:$F$42)-MIN(ROW('03.Muestra'!$D$8:$D$42))+1,""),ROW()-1386)),"")</f>
        <v/>
      </c>
      <c r="D1411" s="130" t="str">
        <f t="shared" si="73"/>
        <v/>
      </c>
      <c r="E1411" s="107" t="str">
        <f t="shared" si="72"/>
        <v/>
      </c>
      <c r="F1411" s="19"/>
      <c r="G1411" s="19"/>
      <c r="H1411" s="19"/>
      <c r="I1411" s="19"/>
      <c r="J1411" s="19"/>
      <c r="K1411" s="233"/>
      <c r="L1411" s="19"/>
    </row>
    <row r="1412" spans="1:12" ht="13.5" customHeight="1">
      <c r="A1412" s="219" t="str" cm="1">
        <f t="array" ref="A1412">IFERROR(INDEX('03.Muestra'!$B$8:$B$42,SMALL(IF("Documento no web"='03.Muestra'!$D$8:$D$42,ROW('03.Muestra'!$B$8:$B$42)-MIN(ROW('03.Muestra'!$D$8:$D$42))+1,""),ROW()-1386)),"")</f>
        <v/>
      </c>
      <c r="B1412" s="114" t="str" cm="1">
        <f t="array" ref="B1412">IFERROR(INDEX('03.Muestra'!$C$8:$C$42,SMALL(IF("Documento no web"='03.Muestra'!$D$8:$D$42,ROW('03.Muestra'!$C$8:$C$42)-MIN(ROW('03.Muestra'!$D$8:$D$42))+1,""),ROW()-1386)),"")</f>
        <v/>
      </c>
      <c r="C1412" s="114" t="str" cm="1">
        <f t="array" ref="C1412">IFERROR(INDEX('03.Muestra'!$F$8:$F$42,SMALL(IF("Documento no web"='03.Muestra'!$D$8:$D$42,ROW('03.Muestra'!$F$8:$F$42)-MIN(ROW('03.Muestra'!$D$8:$D$42))+1,""),ROW()-1386)),"")</f>
        <v/>
      </c>
      <c r="D1412" s="130" t="str">
        <f t="shared" si="73"/>
        <v/>
      </c>
      <c r="E1412" s="107" t="str">
        <f t="shared" si="72"/>
        <v/>
      </c>
      <c r="F1412" s="19"/>
      <c r="G1412" s="19"/>
      <c r="H1412" s="19"/>
      <c r="I1412" s="19"/>
      <c r="J1412" s="19"/>
      <c r="K1412" s="233"/>
      <c r="L1412" s="19"/>
    </row>
    <row r="1413" spans="1:12" ht="13.5" customHeight="1">
      <c r="A1413" s="219" t="str" cm="1">
        <f t="array" ref="A1413">IFERROR(INDEX('03.Muestra'!$B$8:$B$42,SMALL(IF("Documento no web"='03.Muestra'!$D$8:$D$42,ROW('03.Muestra'!$B$8:$B$42)-MIN(ROW('03.Muestra'!$D$8:$D$42))+1,""),ROW()-1386)),"")</f>
        <v/>
      </c>
      <c r="B1413" s="114" t="str" cm="1">
        <f t="array" ref="B1413">IFERROR(INDEX('03.Muestra'!$C$8:$C$42,SMALL(IF("Documento no web"='03.Muestra'!$D$8:$D$42,ROW('03.Muestra'!$C$8:$C$42)-MIN(ROW('03.Muestra'!$D$8:$D$42))+1,""),ROW()-1386)),"")</f>
        <v/>
      </c>
      <c r="C1413" s="114" t="str" cm="1">
        <f t="array" ref="C1413">IFERROR(INDEX('03.Muestra'!$F$8:$F$42,SMALL(IF("Documento no web"='03.Muestra'!$D$8:$D$42,ROW('03.Muestra'!$F$8:$F$42)-MIN(ROW('03.Muestra'!$D$8:$D$42))+1,""),ROW()-1386)),"")</f>
        <v/>
      </c>
      <c r="D1413" s="130" t="str">
        <f t="shared" si="73"/>
        <v/>
      </c>
      <c r="E1413" s="107" t="str">
        <f t="shared" si="72"/>
        <v/>
      </c>
      <c r="F1413" s="19"/>
      <c r="G1413" s="19"/>
      <c r="H1413" s="19"/>
      <c r="I1413" s="19"/>
      <c r="J1413" s="19"/>
      <c r="K1413" s="233"/>
      <c r="L1413" s="19"/>
    </row>
    <row r="1414" spans="1:12" ht="13.5" customHeight="1">
      <c r="A1414" s="219" t="str" cm="1">
        <f t="array" ref="A1414">IFERROR(INDEX('03.Muestra'!$B$8:$B$42,SMALL(IF("Documento no web"='03.Muestra'!$D$8:$D$42,ROW('03.Muestra'!$B$8:$B$42)-MIN(ROW('03.Muestra'!$D$8:$D$42))+1,""),ROW()-1386)),"")</f>
        <v/>
      </c>
      <c r="B1414" s="114" t="str" cm="1">
        <f t="array" ref="B1414">IFERROR(INDEX('03.Muestra'!$C$8:$C$42,SMALL(IF("Documento no web"='03.Muestra'!$D$8:$D$42,ROW('03.Muestra'!$C$8:$C$42)-MIN(ROW('03.Muestra'!$D$8:$D$42))+1,""),ROW()-1386)),"")</f>
        <v/>
      </c>
      <c r="C1414" s="114" t="str" cm="1">
        <f t="array" ref="C1414">IFERROR(INDEX('03.Muestra'!$F$8:$F$42,SMALL(IF("Documento no web"='03.Muestra'!$D$8:$D$42,ROW('03.Muestra'!$F$8:$F$42)-MIN(ROW('03.Muestra'!$D$8:$D$42))+1,""),ROW()-1386)),"")</f>
        <v/>
      </c>
      <c r="D1414" s="130" t="str">
        <f t="shared" si="73"/>
        <v/>
      </c>
      <c r="E1414" s="107" t="str">
        <f t="shared" si="72"/>
        <v/>
      </c>
      <c r="G1414" s="19"/>
      <c r="H1414" s="19"/>
      <c r="I1414" s="19"/>
      <c r="J1414" s="19"/>
      <c r="K1414" s="233"/>
      <c r="L1414" s="19"/>
    </row>
    <row r="1415" spans="1:12" ht="13.5" customHeight="1">
      <c r="A1415" s="219" t="str" cm="1">
        <f t="array" ref="A1415">IFERROR(INDEX('03.Muestra'!$B$8:$B$42,SMALL(IF("Documento no web"='03.Muestra'!$D$8:$D$42,ROW('03.Muestra'!$B$8:$B$42)-MIN(ROW('03.Muestra'!$D$8:$D$42))+1,""),ROW()-1386)),"")</f>
        <v/>
      </c>
      <c r="B1415" s="114" t="str" cm="1">
        <f t="array" ref="B1415">IFERROR(INDEX('03.Muestra'!$C$8:$C$42,SMALL(IF("Documento no web"='03.Muestra'!$D$8:$D$42,ROW('03.Muestra'!$C$8:$C$42)-MIN(ROW('03.Muestra'!$D$8:$D$42))+1,""),ROW()-1386)),"")</f>
        <v/>
      </c>
      <c r="C1415" s="114" t="str" cm="1">
        <f t="array" ref="C1415">IFERROR(INDEX('03.Muestra'!$F$8:$F$42,SMALL(IF("Documento no web"='03.Muestra'!$D$8:$D$42,ROW('03.Muestra'!$F$8:$F$42)-MIN(ROW('03.Muestra'!$D$8:$D$42))+1,""),ROW()-1386)),"")</f>
        <v/>
      </c>
      <c r="D1415" s="130" t="str">
        <f t="shared" si="73"/>
        <v/>
      </c>
      <c r="E1415" s="107" t="str">
        <f t="shared" si="72"/>
        <v/>
      </c>
      <c r="F1415" s="124"/>
      <c r="G1415" s="19"/>
      <c r="H1415" s="19"/>
      <c r="I1415" s="19"/>
      <c r="J1415" s="19"/>
      <c r="K1415" s="233"/>
      <c r="L1415" s="19"/>
    </row>
    <row r="1416" spans="1:12" ht="13.5" customHeight="1">
      <c r="A1416" s="219" t="str" cm="1">
        <f t="array" ref="A1416">IFERROR(INDEX('03.Muestra'!$B$8:$B$42,SMALL(IF("Documento no web"='03.Muestra'!$D$8:$D$42,ROW('03.Muestra'!$B$8:$B$42)-MIN(ROW('03.Muestra'!$D$8:$D$42))+1,""),ROW()-1386)),"")</f>
        <v/>
      </c>
      <c r="B1416" s="114" t="str" cm="1">
        <f t="array" ref="B1416">IFERROR(INDEX('03.Muestra'!$C$8:$C$42,SMALL(IF("Documento no web"='03.Muestra'!$D$8:$D$42,ROW('03.Muestra'!$C$8:$C$42)-MIN(ROW('03.Muestra'!$D$8:$D$42))+1,""),ROW()-1386)),"")</f>
        <v/>
      </c>
      <c r="C1416" s="114" t="str" cm="1">
        <f t="array" ref="C1416">IFERROR(INDEX('03.Muestra'!$F$8:$F$42,SMALL(IF("Documento no web"='03.Muestra'!$D$8:$D$42,ROW('03.Muestra'!$F$8:$F$42)-MIN(ROW('03.Muestra'!$D$8:$D$42))+1,""),ROW()-1386)),"")</f>
        <v/>
      </c>
      <c r="D1416" s="130" t="str">
        <f t="shared" si="73"/>
        <v/>
      </c>
      <c r="E1416" s="107" t="str">
        <f t="shared" si="72"/>
        <v/>
      </c>
      <c r="F1416" s="124"/>
      <c r="G1416" s="19"/>
      <c r="H1416" s="19"/>
      <c r="I1416" s="19"/>
      <c r="J1416" s="19"/>
      <c r="K1416" s="233"/>
      <c r="L1416" s="19"/>
    </row>
    <row r="1417" spans="1:12" ht="13.5" customHeight="1">
      <c r="A1417" s="219" t="str" cm="1">
        <f t="array" ref="A1417">IFERROR(INDEX('03.Muestra'!$B$8:$B$42,SMALL(IF("Documento no web"='03.Muestra'!$D$8:$D$42,ROW('03.Muestra'!$B$8:$B$42)-MIN(ROW('03.Muestra'!$D$8:$D$42))+1,""),ROW()-1386)),"")</f>
        <v/>
      </c>
      <c r="B1417" s="114" t="str" cm="1">
        <f t="array" ref="B1417">IFERROR(INDEX('03.Muestra'!$C$8:$C$42,SMALL(IF("Documento no web"='03.Muestra'!$D$8:$D$42,ROW('03.Muestra'!$C$8:$C$42)-MIN(ROW('03.Muestra'!$D$8:$D$42))+1,""),ROW()-1386)),"")</f>
        <v/>
      </c>
      <c r="C1417" s="114" t="str" cm="1">
        <f t="array" ref="C1417">IFERROR(INDEX('03.Muestra'!$F$8:$F$42,SMALL(IF("Documento no web"='03.Muestra'!$D$8:$D$42,ROW('03.Muestra'!$F$8:$F$42)-MIN(ROW('03.Muestra'!$D$8:$D$42))+1,""),ROW()-1386)),"")</f>
        <v/>
      </c>
      <c r="D1417" s="130" t="str">
        <f t="shared" si="73"/>
        <v/>
      </c>
      <c r="E1417" s="107" t="str">
        <f t="shared" si="72"/>
        <v/>
      </c>
      <c r="F1417" s="124"/>
      <c r="G1417" s="19"/>
      <c r="H1417" s="19"/>
      <c r="I1417" s="19"/>
      <c r="J1417" s="19"/>
      <c r="K1417" s="233"/>
      <c r="L1417" s="19"/>
    </row>
    <row r="1418" spans="1:12" ht="13.5" customHeight="1">
      <c r="A1418" s="219" t="str" cm="1">
        <f t="array" ref="A1418">IFERROR(INDEX('03.Muestra'!$B$8:$B$42,SMALL(IF("Documento no web"='03.Muestra'!$D$8:$D$42,ROW('03.Muestra'!$B$8:$B$42)-MIN(ROW('03.Muestra'!$D$8:$D$42))+1,""),ROW()-1386)),"")</f>
        <v/>
      </c>
      <c r="B1418" s="114" t="str" cm="1">
        <f t="array" ref="B1418">IFERROR(INDEX('03.Muestra'!$C$8:$C$42,SMALL(IF("Documento no web"='03.Muestra'!$D$8:$D$42,ROW('03.Muestra'!$C$8:$C$42)-MIN(ROW('03.Muestra'!$D$8:$D$42))+1,""),ROW()-1386)),"")</f>
        <v/>
      </c>
      <c r="C1418" s="114" t="str" cm="1">
        <f t="array" ref="C1418">IFERROR(INDEX('03.Muestra'!$F$8:$F$42,SMALL(IF("Documento no web"='03.Muestra'!$D$8:$D$42,ROW('03.Muestra'!$F$8:$F$42)-MIN(ROW('03.Muestra'!$D$8:$D$42))+1,""),ROW()-1386)),"")</f>
        <v/>
      </c>
      <c r="D1418" s="130" t="str">
        <f t="shared" si="73"/>
        <v/>
      </c>
      <c r="E1418" s="107" t="str">
        <f t="shared" si="72"/>
        <v/>
      </c>
      <c r="F1418" s="124"/>
      <c r="G1418" s="19"/>
      <c r="H1418" s="19"/>
      <c r="I1418" s="19"/>
      <c r="J1418" s="19"/>
      <c r="K1418" s="233"/>
      <c r="L1418" s="19"/>
    </row>
    <row r="1419" spans="1:12" ht="13.5" customHeight="1">
      <c r="A1419" s="219" t="str" cm="1">
        <f t="array" ref="A1419">IFERROR(INDEX('03.Muestra'!$B$8:$B$42,SMALL(IF("Documento no web"='03.Muestra'!$D$8:$D$42,ROW('03.Muestra'!$B$8:$B$42)-MIN(ROW('03.Muestra'!$D$8:$D$42))+1,""),ROW()-1386)),"")</f>
        <v/>
      </c>
      <c r="B1419" s="114" t="str" cm="1">
        <f t="array" ref="B1419">IFERROR(INDEX('03.Muestra'!$C$8:$C$42,SMALL(IF("Documento no web"='03.Muestra'!$D$8:$D$42,ROW('03.Muestra'!$C$8:$C$42)-MIN(ROW('03.Muestra'!$D$8:$D$42))+1,""),ROW()-1386)),"")</f>
        <v/>
      </c>
      <c r="C1419" s="114" t="str" cm="1">
        <f t="array" ref="C1419">IFERROR(INDEX('03.Muestra'!$F$8:$F$42,SMALL(IF("Documento no web"='03.Muestra'!$D$8:$D$42,ROW('03.Muestra'!$F$8:$F$42)-MIN(ROW('03.Muestra'!$D$8:$D$42))+1,""),ROW()-1386)),"")</f>
        <v/>
      </c>
      <c r="D1419" s="130" t="str">
        <f t="shared" si="73"/>
        <v/>
      </c>
      <c r="E1419" s="107" t="str">
        <f t="shared" si="72"/>
        <v/>
      </c>
      <c r="F1419" s="124"/>
      <c r="G1419" s="19"/>
      <c r="H1419" s="19"/>
      <c r="I1419" s="19"/>
      <c r="J1419" s="19"/>
      <c r="K1419" s="233"/>
      <c r="L1419" s="19"/>
    </row>
    <row r="1420" spans="1:12" ht="13.5" customHeight="1">
      <c r="A1420" s="219" t="str" cm="1">
        <f t="array" ref="A1420">IFERROR(INDEX('03.Muestra'!$B$8:$B$42,SMALL(IF("Documento no web"='03.Muestra'!$D$8:$D$42,ROW('03.Muestra'!$B$8:$B$42)-MIN(ROW('03.Muestra'!$D$8:$D$42))+1,""),ROW()-1386)),"")</f>
        <v/>
      </c>
      <c r="B1420" s="114" t="str" cm="1">
        <f t="array" ref="B1420">IFERROR(INDEX('03.Muestra'!$C$8:$C$42,SMALL(IF("Documento no web"='03.Muestra'!$D$8:$D$42,ROW('03.Muestra'!$C$8:$C$42)-MIN(ROW('03.Muestra'!$D$8:$D$42))+1,""),ROW()-1386)),"")</f>
        <v/>
      </c>
      <c r="C1420" s="114" t="str" cm="1">
        <f t="array" ref="C1420">IFERROR(INDEX('03.Muestra'!$F$8:$F$42,SMALL(IF("Documento no web"='03.Muestra'!$D$8:$D$42,ROW('03.Muestra'!$F$8:$F$42)-MIN(ROW('03.Muestra'!$D$8:$D$42))+1,""),ROW()-1386)),"")</f>
        <v/>
      </c>
      <c r="D1420" s="130" t="str">
        <f t="shared" si="73"/>
        <v/>
      </c>
      <c r="E1420" s="107" t="str">
        <f t="shared" si="72"/>
        <v/>
      </c>
      <c r="F1420" s="124"/>
      <c r="G1420" s="19"/>
      <c r="H1420" s="19"/>
      <c r="I1420" s="19"/>
      <c r="J1420" s="19"/>
      <c r="K1420" s="233"/>
      <c r="L1420" s="19"/>
    </row>
    <row r="1421" spans="1:12" ht="13.5" customHeight="1">
      <c r="A1421" s="219" t="str" cm="1">
        <f t="array" ref="A1421">IFERROR(INDEX('03.Muestra'!$B$8:$B$42,SMALL(IF("Documento no web"='03.Muestra'!$D$8:$D$42,ROW('03.Muestra'!$B$8:$B$42)-MIN(ROW('03.Muestra'!$D$8:$D$42))+1,""),ROW()-1386)),"")</f>
        <v/>
      </c>
      <c r="B1421" s="114" t="str" cm="1">
        <f t="array" ref="B1421">IFERROR(INDEX('03.Muestra'!$C$8:$C$42,SMALL(IF("Documento no web"='03.Muestra'!$D$8:$D$42,ROW('03.Muestra'!$C$8:$C$42)-MIN(ROW('03.Muestra'!$D$8:$D$42))+1,""),ROW()-1386)),"")</f>
        <v/>
      </c>
      <c r="C1421" s="114" t="str" cm="1">
        <f t="array" ref="C1421">IFERROR(INDEX('03.Muestra'!$F$8:$F$42,SMALL(IF("Documento no web"='03.Muestra'!$D$8:$D$42,ROW('03.Muestra'!$F$8:$F$42)-MIN(ROW('03.Muestra'!$D$8:$D$42))+1,""),ROW()-1386)),"")</f>
        <v/>
      </c>
      <c r="D1421" s="130" t="str">
        <f t="shared" si="73"/>
        <v/>
      </c>
      <c r="E1421" s="107" t="str">
        <f t="shared" si="72"/>
        <v/>
      </c>
      <c r="F1421" s="19"/>
      <c r="G1421" s="19"/>
      <c r="H1421" s="19"/>
      <c r="I1421" s="19"/>
      <c r="J1421" s="19"/>
      <c r="K1421" s="233"/>
      <c r="L1421" s="19"/>
    </row>
    <row r="1422" spans="1:12" ht="13.5" customHeight="1">
      <c r="B1422" s="19"/>
      <c r="C1422" s="19"/>
      <c r="D1422" s="107"/>
      <c r="E1422" s="19"/>
      <c r="F1422" s="19"/>
      <c r="G1422" s="19"/>
      <c r="H1422" s="19"/>
      <c r="I1422" s="19"/>
      <c r="J1422" s="19"/>
      <c r="K1422" s="233"/>
      <c r="L1422" s="19"/>
    </row>
    <row r="1423" spans="1:12" ht="13.5" customHeight="1">
      <c r="B1423" s="19"/>
      <c r="C1423" s="19"/>
      <c r="D1423" s="107"/>
      <c r="E1423" s="112"/>
      <c r="F1423" s="19"/>
      <c r="G1423" s="19"/>
      <c r="H1423" s="19"/>
      <c r="I1423" s="19"/>
      <c r="J1423" s="19"/>
      <c r="K1423" s="233"/>
      <c r="L1423" s="19"/>
    </row>
    <row r="1424" spans="1:12" ht="30" customHeight="1">
      <c r="A1424" s="218" t="s">
        <v>268</v>
      </c>
      <c r="B1424" s="24" t="s">
        <v>90</v>
      </c>
      <c r="C1424" s="25" t="s">
        <v>459</v>
      </c>
      <c r="D1424" s="26" t="s">
        <v>32</v>
      </c>
      <c r="E1424" s="123"/>
      <c r="K1424" s="233"/>
      <c r="L1424" s="19"/>
    </row>
    <row r="1425" spans="1:12" ht="13.5" customHeight="1">
      <c r="A1425" s="219" t="n" cm="1">
        <f t="array" ref="A1425">IFERROR(INDEX('03.Muestra'!$B$8:$B$42,SMALL(IF("Documento no web"='03.Muestra'!$D$8:$D$42,ROW('03.Muestra'!$B$8:$B$42)-MIN(ROW('03.Muestra'!$D$8:$D$42))+1,""),ROW()-1424)),"")</f>
        <v>1.0</v>
      </c>
      <c r="B1425" s="114" t="str" cm="1">
        <f t="array" ref="B1425">IFERROR(INDEX('03.Muestra'!$C$8:$C$42,SMALL(IF("Documento no web"='03.Muestra'!$D$8:$D$42,ROW('03.Muestra'!$C$8:$C$42)-MIN(ROW('03.Muestra'!$D$8:$D$42))+1,""),ROW()-1424)),"")</f>
        <v>Home - PortCastelló</v>
      </c>
      <c r="C1425" s="114" t="str" cm="1">
        <f t="array" ref="C1425">IFERROR(INDEX('03.Muestra'!$F$8:$F$42,SMALL(IF("Documento no web"='03.Muestra'!$D$8:$D$42,ROW('03.Muestra'!$F$8:$F$42)-MIN(ROW('03.Muestra'!$D$8:$D$42))+1,""),ROW()-1424)),"")</f>
        <v>https://www.portcastello.com/</v>
      </c>
      <c r="D1425" s="130" t="s">
        <v>33</v>
      </c>
      <c r="E1425" s="107" t="str">
        <f t="shared" ref="E1425:E1459" si="74">IF(D1425&lt;&gt;"",IF(AND(B1425&lt;&gt;"",C1425&lt;&gt;""),"","ERR"),"")</f>
        <v/>
      </c>
      <c r="F1425" s="115" t="s">
        <v>33</v>
      </c>
      <c r="G1425" s="116" t="s">
        <v>37</v>
      </c>
      <c r="H1425" s="117" t="s">
        <v>35</v>
      </c>
      <c r="I1425" s="118" t="s">
        <v>28</v>
      </c>
      <c r="J1425" s="119" t="s">
        <v>26</v>
      </c>
      <c r="K1425" s="226" t="s">
        <v>474</v>
      </c>
      <c r="L1425" s="19"/>
    </row>
    <row r="1426" spans="1:12" ht="13.5" customHeight="1">
      <c r="A1426" s="219" t="n" cm="1">
        <f t="array" ref="A1426">IFERROR(INDEX('03.Muestra'!$B$8:$B$42,SMALL(IF("Documento no web"='03.Muestra'!$D$8:$D$42,ROW('03.Muestra'!$B$8:$B$42)-MIN(ROW('03.Muestra'!$D$8:$D$42))+1,""),ROW()-1424)),"")</f>
        <v>1.0</v>
      </c>
      <c r="B1426" s="114" t="str" cm="1">
        <f t="array" ref="B1426">IFERROR(INDEX('03.Muestra'!$C$8:$C$42,SMALL(IF("Documento no web"='03.Muestra'!$D$8:$D$42,ROW('03.Muestra'!$C$8:$C$42)-MIN(ROW('03.Muestra'!$D$8:$D$42))+1,""),ROW()-1424)),"")</f>
        <v>Home - PortCastelló</v>
      </c>
      <c r="C1426" s="114" t="str" cm="1">
        <f t="array" ref="C1426">IFERROR(INDEX('03.Muestra'!$F$8:$F$42,SMALL(IF("Documento no web"='03.Muestra'!$D$8:$D$42,ROW('03.Muestra'!$F$8:$F$42)-MIN(ROW('03.Muestra'!$D$8:$D$42))+1,""),ROW()-1424)),"")</f>
        <v>https://www.portcastello.com/</v>
      </c>
      <c r="D1426" s="130" t="s">
        <v>33</v>
      </c>
      <c r="E1426" s="107" t="str">
        <f t="shared" si="74"/>
        <v/>
      </c>
      <c r="F1426" s="120" t="n">
        <f ca="1">COUNTIF($D1425:INDIRECT("$D" &amp;  SUM(ROW()-1,'03.Muestra'!$D$45)-1),F1425)</f>
        <v>2.0</v>
      </c>
      <c r="G1426" s="120" t="n">
        <f ca="1">COUNTIF($D1425:INDIRECT("$D" &amp;  SUM(ROW()-1,'03.Muestra'!$D$45)-1),G1425)</f>
        <v>0.0</v>
      </c>
      <c r="H1426" s="120" t="n">
        <f ca="1">COUNTIF($D1425:INDIRECT("$D" &amp;  SUM(ROW()-1,'03.Muestra'!$D$45)-1),H1425)</f>
        <v>0.0</v>
      </c>
      <c r="I1426" s="120" t="n">
        <f ca="1">COUNTIF($D1425:INDIRECT("$D" &amp;  SUM(ROW()-1,'03.Muestra'!$D$45)-1),I1425)</f>
        <v>0.0</v>
      </c>
      <c r="J1426" s="120" t="n">
        <f ca="1">COUNTIF($D1425:INDIRECT("$D" &amp;  SUM(ROW()-1,'03.Muestra'!$D$45)-1),J1425)</f>
        <v>0.0</v>
      </c>
      <c r="K1426" s="227" t="n">
        <f ca="1">IF(COUNTIF('03.Muestra'!$D$8:$D$42,"Documento no web")=0,0,COUNTBLANK($D1425:INDIRECT("$D" &amp;  SUM(ROW()-1,COUNTIF('03.Muestra'!$D$8:$D$42,"Documento no web"))-1)))</f>
        <v>0.0</v>
      </c>
      <c r="L1426" s="19"/>
    </row>
    <row r="1427" spans="1:12" ht="13.5" customHeight="1">
      <c r="A1427" s="219" t="str" cm="1">
        <f t="array" ref="A1427">IFERROR(INDEX('03.Muestra'!$B$8:$B$42,SMALL(IF("Documento no web"='03.Muestra'!$D$8:$D$42,ROW('03.Muestra'!$B$8:$B$42)-MIN(ROW('03.Muestra'!$D$8:$D$42))+1,""),ROW()-1424)),"")</f>
        <v/>
      </c>
      <c r="B1427" s="114" t="str" cm="1">
        <f t="array" ref="B1427">IFERROR(INDEX('03.Muestra'!$C$8:$C$42,SMALL(IF("Documento no web"='03.Muestra'!$D$8:$D$42,ROW('03.Muestra'!$C$8:$C$42)-MIN(ROW('03.Muestra'!$D$8:$D$42))+1,""),ROW()-1424)),"")</f>
        <v/>
      </c>
      <c r="C1427" s="114" t="str" cm="1">
        <f t="array" ref="C1427">IFERROR(INDEX('03.Muestra'!$F$8:$F$42,SMALL(IF("Documento no web"='03.Muestra'!$D$8:$D$42,ROW('03.Muestra'!$F$8:$F$42)-MIN(ROW('03.Muestra'!$D$8:$D$42))+1,""),ROW()-1424)),"")</f>
        <v/>
      </c>
      <c r="D1427" s="130" t="str">
        <f t="shared" si="75" ref="D1427:D1459">IF(AND(B1427&lt;&gt;"",C1427&lt;&gt;""),"N/T","")</f>
        <v/>
      </c>
      <c r="E1427" s="107" t="str">
        <f t="shared" si="74"/>
        <v/>
      </c>
      <c r="G1427" s="19"/>
      <c r="H1427" s="19"/>
      <c r="I1427" s="19"/>
      <c r="J1427" s="19"/>
      <c r="K1427" s="233"/>
      <c r="L1427" s="19"/>
    </row>
    <row r="1428" spans="1:12" ht="13.5" customHeight="1">
      <c r="A1428" s="219" t="str" cm="1">
        <f t="array" ref="A1428">IFERROR(INDEX('03.Muestra'!$B$8:$B$42,SMALL(IF("Documento no web"='03.Muestra'!$D$8:$D$42,ROW('03.Muestra'!$B$8:$B$42)-MIN(ROW('03.Muestra'!$D$8:$D$42))+1,""),ROW()-1424)),"")</f>
        <v/>
      </c>
      <c r="B1428" s="114" t="str" cm="1">
        <f t="array" ref="B1428">IFERROR(INDEX('03.Muestra'!$C$8:$C$42,SMALL(IF("Documento no web"='03.Muestra'!$D$8:$D$42,ROW('03.Muestra'!$C$8:$C$42)-MIN(ROW('03.Muestra'!$D$8:$D$42))+1,""),ROW()-1424)),"")</f>
        <v/>
      </c>
      <c r="C1428" s="114" t="str" cm="1">
        <f t="array" ref="C1428">IFERROR(INDEX('03.Muestra'!$F$8:$F$42,SMALL(IF("Documento no web"='03.Muestra'!$D$8:$D$42,ROW('03.Muestra'!$F$8:$F$42)-MIN(ROW('03.Muestra'!$D$8:$D$42))+1,""),ROW()-1424)),"")</f>
        <v/>
      </c>
      <c r="D1428" s="130" t="str">
        <f t="shared" si="75"/>
        <v/>
      </c>
      <c r="E1428" s="107" t="str">
        <f t="shared" si="74"/>
        <v/>
      </c>
      <c r="G1428" s="19"/>
      <c r="H1428" s="19"/>
      <c r="I1428" s="19"/>
      <c r="J1428" s="19"/>
      <c r="K1428" s="233"/>
      <c r="L1428" s="19"/>
    </row>
    <row r="1429" spans="1:12" ht="13.5" customHeight="1">
      <c r="A1429" s="219" t="str" cm="1">
        <f t="array" ref="A1429">IFERROR(INDEX('03.Muestra'!$B$8:$B$42,SMALL(IF("Documento no web"='03.Muestra'!$D$8:$D$42,ROW('03.Muestra'!$B$8:$B$42)-MIN(ROW('03.Muestra'!$D$8:$D$42))+1,""),ROW()-1424)),"")</f>
        <v/>
      </c>
      <c r="B1429" s="114" t="str" cm="1">
        <f t="array" ref="B1429">IFERROR(INDEX('03.Muestra'!$C$8:$C$42,SMALL(IF("Documento no web"='03.Muestra'!$D$8:$D$42,ROW('03.Muestra'!$C$8:$C$42)-MIN(ROW('03.Muestra'!$D$8:$D$42))+1,""),ROW()-1424)),"")</f>
        <v/>
      </c>
      <c r="C1429" s="114" t="str" cm="1">
        <f t="array" ref="C1429">IFERROR(INDEX('03.Muestra'!$F$8:$F$42,SMALL(IF("Documento no web"='03.Muestra'!$D$8:$D$42,ROW('03.Muestra'!$F$8:$F$42)-MIN(ROW('03.Muestra'!$D$8:$D$42))+1,""),ROW()-1424)),"")</f>
        <v/>
      </c>
      <c r="D1429" s="130" t="str">
        <f t="shared" si="75"/>
        <v/>
      </c>
      <c r="E1429" s="107" t="str">
        <f t="shared" si="74"/>
        <v/>
      </c>
      <c r="G1429" s="19"/>
      <c r="H1429" s="19"/>
      <c r="I1429" s="19"/>
      <c r="J1429" s="19"/>
      <c r="K1429" s="233"/>
      <c r="L1429" s="19"/>
    </row>
    <row r="1430" spans="1:12" ht="13.5" customHeight="1">
      <c r="A1430" s="219" t="str" cm="1">
        <f t="array" ref="A1430">IFERROR(INDEX('03.Muestra'!$B$8:$B$42,SMALL(IF("Documento no web"='03.Muestra'!$D$8:$D$42,ROW('03.Muestra'!$B$8:$B$42)-MIN(ROW('03.Muestra'!$D$8:$D$42))+1,""),ROW()-1424)),"")</f>
        <v/>
      </c>
      <c r="B1430" s="114" t="str" cm="1">
        <f t="array" ref="B1430">IFERROR(INDEX('03.Muestra'!$C$8:$C$42,SMALL(IF("Documento no web"='03.Muestra'!$D$8:$D$42,ROW('03.Muestra'!$C$8:$C$42)-MIN(ROW('03.Muestra'!$D$8:$D$42))+1,""),ROW()-1424)),"")</f>
        <v/>
      </c>
      <c r="C1430" s="114" t="str" cm="1">
        <f t="array" ref="C1430">IFERROR(INDEX('03.Muestra'!$F$8:$F$42,SMALL(IF("Documento no web"='03.Muestra'!$D$8:$D$42,ROW('03.Muestra'!$F$8:$F$42)-MIN(ROW('03.Muestra'!$D$8:$D$42))+1,""),ROW()-1424)),"")</f>
        <v/>
      </c>
      <c r="D1430" s="130" t="str">
        <f t="shared" si="75"/>
        <v/>
      </c>
      <c r="E1430" s="107" t="str">
        <f t="shared" si="74"/>
        <v/>
      </c>
      <c r="G1430" s="19"/>
      <c r="H1430" s="19"/>
      <c r="I1430" s="19"/>
      <c r="J1430" s="19"/>
      <c r="K1430" s="233"/>
      <c r="L1430" s="19"/>
    </row>
    <row r="1431" spans="1:12" ht="13.5" customHeight="1">
      <c r="A1431" s="219" t="str" cm="1">
        <f t="array" ref="A1431">IFERROR(INDEX('03.Muestra'!$B$8:$B$42,SMALL(IF("Documento no web"='03.Muestra'!$D$8:$D$42,ROW('03.Muestra'!$B$8:$B$42)-MIN(ROW('03.Muestra'!$D$8:$D$42))+1,""),ROW()-1424)),"")</f>
        <v/>
      </c>
      <c r="B1431" s="114" t="str" cm="1">
        <f t="array" ref="B1431">IFERROR(INDEX('03.Muestra'!$C$8:$C$42,SMALL(IF("Documento no web"='03.Muestra'!$D$8:$D$42,ROW('03.Muestra'!$C$8:$C$42)-MIN(ROW('03.Muestra'!$D$8:$D$42))+1,""),ROW()-1424)),"")</f>
        <v/>
      </c>
      <c r="C1431" s="114" t="str" cm="1">
        <f t="array" ref="C1431">IFERROR(INDEX('03.Muestra'!$F$8:$F$42,SMALL(IF("Documento no web"='03.Muestra'!$D$8:$D$42,ROW('03.Muestra'!$F$8:$F$42)-MIN(ROW('03.Muestra'!$D$8:$D$42))+1,""),ROW()-1424)),"")</f>
        <v/>
      </c>
      <c r="D1431" s="130" t="str">
        <f t="shared" si="75"/>
        <v/>
      </c>
      <c r="E1431" s="107" t="str">
        <f t="shared" si="74"/>
        <v/>
      </c>
      <c r="F1431" s="19"/>
      <c r="G1431" s="19"/>
      <c r="H1431" s="19"/>
      <c r="I1431" s="19"/>
      <c r="J1431" s="19"/>
      <c r="K1431" s="233"/>
      <c r="L1431" s="19"/>
    </row>
    <row r="1432" spans="1:12" ht="13.5" customHeight="1">
      <c r="A1432" s="219" t="str" cm="1">
        <f t="array" ref="A1432">IFERROR(INDEX('03.Muestra'!$B$8:$B$42,SMALL(IF("Documento no web"='03.Muestra'!$D$8:$D$42,ROW('03.Muestra'!$B$8:$B$42)-MIN(ROW('03.Muestra'!$D$8:$D$42))+1,""),ROW()-1424)),"")</f>
        <v/>
      </c>
      <c r="B1432" s="114" t="str" cm="1">
        <f t="array" ref="B1432">IFERROR(INDEX('03.Muestra'!$C$8:$C$42,SMALL(IF("Documento no web"='03.Muestra'!$D$8:$D$42,ROW('03.Muestra'!$C$8:$C$42)-MIN(ROW('03.Muestra'!$D$8:$D$42))+1,""),ROW()-1424)),"")</f>
        <v/>
      </c>
      <c r="C1432" s="114" t="str" cm="1">
        <f t="array" ref="C1432">IFERROR(INDEX('03.Muestra'!$F$8:$F$42,SMALL(IF("Documento no web"='03.Muestra'!$D$8:$D$42,ROW('03.Muestra'!$F$8:$F$42)-MIN(ROW('03.Muestra'!$D$8:$D$42))+1,""),ROW()-1424)),"")</f>
        <v/>
      </c>
      <c r="D1432" s="130" t="str">
        <f t="shared" si="75"/>
        <v/>
      </c>
      <c r="E1432" s="107" t="str">
        <f t="shared" si="74"/>
        <v/>
      </c>
      <c r="F1432" s="19"/>
      <c r="G1432" s="19"/>
      <c r="H1432" s="19"/>
      <c r="I1432" s="19"/>
      <c r="J1432" s="19"/>
      <c r="K1432" s="233"/>
      <c r="L1432" s="19"/>
    </row>
    <row r="1433" spans="1:12" ht="13.5" customHeight="1">
      <c r="A1433" s="219" t="str" cm="1">
        <f t="array" ref="A1433">IFERROR(INDEX('03.Muestra'!$B$8:$B$42,SMALL(IF("Documento no web"='03.Muestra'!$D$8:$D$42,ROW('03.Muestra'!$B$8:$B$42)-MIN(ROW('03.Muestra'!$D$8:$D$42))+1,""),ROW()-1424)),"")</f>
        <v/>
      </c>
      <c r="B1433" s="114" t="str" cm="1">
        <f t="array" ref="B1433">IFERROR(INDEX('03.Muestra'!$C$8:$C$42,SMALL(IF("Documento no web"='03.Muestra'!$D$8:$D$42,ROW('03.Muestra'!$C$8:$C$42)-MIN(ROW('03.Muestra'!$D$8:$D$42))+1,""),ROW()-1424)),"")</f>
        <v/>
      </c>
      <c r="C1433" s="114" t="str" cm="1">
        <f t="array" ref="C1433">IFERROR(INDEX('03.Muestra'!$F$8:$F$42,SMALL(IF("Documento no web"='03.Muestra'!$D$8:$D$42,ROW('03.Muestra'!$F$8:$F$42)-MIN(ROW('03.Muestra'!$D$8:$D$42))+1,""),ROW()-1424)),"")</f>
        <v/>
      </c>
      <c r="D1433" s="130" t="str">
        <f t="shared" si="75"/>
        <v/>
      </c>
      <c r="E1433" s="107" t="str">
        <f t="shared" si="74"/>
        <v/>
      </c>
      <c r="F1433" s="19"/>
      <c r="G1433" s="19"/>
      <c r="H1433" s="19"/>
      <c r="I1433" s="19"/>
      <c r="J1433" s="19"/>
      <c r="K1433" s="233"/>
      <c r="L1433" s="19"/>
    </row>
    <row r="1434" spans="1:12" ht="13.5" customHeight="1">
      <c r="A1434" s="219" t="str" cm="1">
        <f t="array" ref="A1434">IFERROR(INDEX('03.Muestra'!$B$8:$B$42,SMALL(IF("Documento no web"='03.Muestra'!$D$8:$D$42,ROW('03.Muestra'!$B$8:$B$42)-MIN(ROW('03.Muestra'!$D$8:$D$42))+1,""),ROW()-1424)),"")</f>
        <v/>
      </c>
      <c r="B1434" s="114" t="str" cm="1">
        <f t="array" ref="B1434">IFERROR(INDEX('03.Muestra'!$C$8:$C$42,SMALL(IF("Documento no web"='03.Muestra'!$D$8:$D$42,ROW('03.Muestra'!$C$8:$C$42)-MIN(ROW('03.Muestra'!$D$8:$D$42))+1,""),ROW()-1424)),"")</f>
        <v/>
      </c>
      <c r="C1434" s="114" t="str" cm="1">
        <f t="array" ref="C1434">IFERROR(INDEX('03.Muestra'!$F$8:$F$42,SMALL(IF("Documento no web"='03.Muestra'!$D$8:$D$42,ROW('03.Muestra'!$F$8:$F$42)-MIN(ROW('03.Muestra'!$D$8:$D$42))+1,""),ROW()-1424)),"")</f>
        <v/>
      </c>
      <c r="D1434" s="130" t="str">
        <f t="shared" si="75"/>
        <v/>
      </c>
      <c r="E1434" s="107" t="str">
        <f t="shared" si="74"/>
        <v/>
      </c>
      <c r="F1434" s="19"/>
      <c r="G1434" s="19"/>
      <c r="H1434" s="19"/>
      <c r="I1434" s="19"/>
      <c r="J1434" s="19"/>
      <c r="K1434" s="233"/>
      <c r="L1434" s="19"/>
    </row>
    <row r="1435" spans="1:12" ht="13.5" customHeight="1">
      <c r="A1435" s="219" t="str" cm="1">
        <f t="array" ref="A1435">IFERROR(INDEX('03.Muestra'!$B$8:$B$42,SMALL(IF("Documento no web"='03.Muestra'!$D$8:$D$42,ROW('03.Muestra'!$B$8:$B$42)-MIN(ROW('03.Muestra'!$D$8:$D$42))+1,""),ROW()-1424)),"")</f>
        <v/>
      </c>
      <c r="B1435" s="114" t="str" cm="1">
        <f t="array" ref="B1435">IFERROR(INDEX('03.Muestra'!$C$8:$C$42,SMALL(IF("Documento no web"='03.Muestra'!$D$8:$D$42,ROW('03.Muestra'!$C$8:$C$42)-MIN(ROW('03.Muestra'!$D$8:$D$42))+1,""),ROW()-1424)),"")</f>
        <v/>
      </c>
      <c r="C1435" s="114" t="str" cm="1">
        <f t="array" ref="C1435">IFERROR(INDEX('03.Muestra'!$F$8:$F$42,SMALL(IF("Documento no web"='03.Muestra'!$D$8:$D$42,ROW('03.Muestra'!$F$8:$F$42)-MIN(ROW('03.Muestra'!$D$8:$D$42))+1,""),ROW()-1424)),"")</f>
        <v/>
      </c>
      <c r="D1435" s="130" t="str">
        <f t="shared" si="75"/>
        <v/>
      </c>
      <c r="E1435" s="107" t="str">
        <f t="shared" si="74"/>
        <v/>
      </c>
      <c r="F1435" s="19"/>
      <c r="G1435" s="19"/>
      <c r="H1435" s="19"/>
      <c r="I1435" s="19"/>
      <c r="J1435" s="19"/>
      <c r="K1435" s="233"/>
      <c r="L1435" s="19"/>
    </row>
    <row r="1436" spans="1:12" ht="13.5" customHeight="1">
      <c r="A1436" s="219" t="str" cm="1">
        <f t="array" ref="A1436">IFERROR(INDEX('03.Muestra'!$B$8:$B$42,SMALL(IF("Documento no web"='03.Muestra'!$D$8:$D$42,ROW('03.Muestra'!$B$8:$B$42)-MIN(ROW('03.Muestra'!$D$8:$D$42))+1,""),ROW()-1424)),"")</f>
        <v/>
      </c>
      <c r="B1436" s="114" t="str" cm="1">
        <f t="array" ref="B1436">IFERROR(INDEX('03.Muestra'!$C$8:$C$42,SMALL(IF("Documento no web"='03.Muestra'!$D$8:$D$42,ROW('03.Muestra'!$C$8:$C$42)-MIN(ROW('03.Muestra'!$D$8:$D$42))+1,""),ROW()-1424)),"")</f>
        <v/>
      </c>
      <c r="C1436" s="114" t="str" cm="1">
        <f t="array" ref="C1436">IFERROR(INDEX('03.Muestra'!$F$8:$F$42,SMALL(IF("Documento no web"='03.Muestra'!$D$8:$D$42,ROW('03.Muestra'!$F$8:$F$42)-MIN(ROW('03.Muestra'!$D$8:$D$42))+1,""),ROW()-1424)),"")</f>
        <v/>
      </c>
      <c r="D1436" s="130" t="str">
        <f t="shared" si="75"/>
        <v/>
      </c>
      <c r="E1436" s="107" t="str">
        <f t="shared" si="74"/>
        <v/>
      </c>
      <c r="F1436" s="19"/>
      <c r="G1436" s="19"/>
      <c r="H1436" s="19"/>
      <c r="I1436" s="19"/>
      <c r="J1436" s="19"/>
      <c r="K1436" s="233"/>
      <c r="L1436" s="19"/>
    </row>
    <row r="1437" spans="1:12" ht="13.5" customHeight="1">
      <c r="A1437" s="219" t="str" cm="1">
        <f t="array" ref="A1437">IFERROR(INDEX('03.Muestra'!$B$8:$B$42,SMALL(IF("Documento no web"='03.Muestra'!$D$8:$D$42,ROW('03.Muestra'!$B$8:$B$42)-MIN(ROW('03.Muestra'!$D$8:$D$42))+1,""),ROW()-1424)),"")</f>
        <v/>
      </c>
      <c r="B1437" s="114" t="str" cm="1">
        <f t="array" ref="B1437">IFERROR(INDEX('03.Muestra'!$C$8:$C$42,SMALL(IF("Documento no web"='03.Muestra'!$D$8:$D$42,ROW('03.Muestra'!$C$8:$C$42)-MIN(ROW('03.Muestra'!$D$8:$D$42))+1,""),ROW()-1424)),"")</f>
        <v/>
      </c>
      <c r="C1437" s="114" t="str" cm="1">
        <f t="array" ref="C1437">IFERROR(INDEX('03.Muestra'!$F$8:$F$42,SMALL(IF("Documento no web"='03.Muestra'!$D$8:$D$42,ROW('03.Muestra'!$F$8:$F$42)-MIN(ROW('03.Muestra'!$D$8:$D$42))+1,""),ROW()-1424)),"")</f>
        <v/>
      </c>
      <c r="D1437" s="130" t="str">
        <f t="shared" si="75"/>
        <v/>
      </c>
      <c r="E1437" s="107" t="str">
        <f t="shared" si="74"/>
        <v/>
      </c>
      <c r="F1437" s="19"/>
      <c r="G1437" s="19"/>
      <c r="H1437" s="19"/>
      <c r="I1437" s="19"/>
      <c r="J1437" s="19"/>
      <c r="K1437" s="233"/>
      <c r="L1437" s="19"/>
    </row>
    <row r="1438" spans="1:12" ht="13.5" customHeight="1">
      <c r="A1438" s="219" t="str" cm="1">
        <f t="array" ref="A1438">IFERROR(INDEX('03.Muestra'!$B$8:$B$42,SMALL(IF("Documento no web"='03.Muestra'!$D$8:$D$42,ROW('03.Muestra'!$B$8:$B$42)-MIN(ROW('03.Muestra'!$D$8:$D$42))+1,""),ROW()-1424)),"")</f>
        <v/>
      </c>
      <c r="B1438" s="114" t="str" cm="1">
        <f t="array" ref="B1438">IFERROR(INDEX('03.Muestra'!$C$8:$C$42,SMALL(IF("Documento no web"='03.Muestra'!$D$8:$D$42,ROW('03.Muestra'!$C$8:$C$42)-MIN(ROW('03.Muestra'!$D$8:$D$42))+1,""),ROW()-1424)),"")</f>
        <v/>
      </c>
      <c r="C1438" s="114" t="str" cm="1">
        <f t="array" ref="C1438">IFERROR(INDEX('03.Muestra'!$F$8:$F$42,SMALL(IF("Documento no web"='03.Muestra'!$D$8:$D$42,ROW('03.Muestra'!$F$8:$F$42)-MIN(ROW('03.Muestra'!$D$8:$D$42))+1,""),ROW()-1424)),"")</f>
        <v/>
      </c>
      <c r="D1438" s="130" t="str">
        <f t="shared" si="75"/>
        <v/>
      </c>
      <c r="E1438" s="107" t="str">
        <f t="shared" si="74"/>
        <v/>
      </c>
      <c r="F1438" s="19"/>
      <c r="G1438" s="19"/>
      <c r="H1438" s="19"/>
      <c r="I1438" s="19"/>
      <c r="J1438" s="19"/>
      <c r="K1438" s="233"/>
      <c r="L1438" s="19"/>
    </row>
    <row r="1439" spans="1:12" ht="13.5" customHeight="1">
      <c r="A1439" s="219" t="str" cm="1">
        <f t="array" ref="A1439">IFERROR(INDEX('03.Muestra'!$B$8:$B$42,SMALL(IF("Documento no web"='03.Muestra'!$D$8:$D$42,ROW('03.Muestra'!$B$8:$B$42)-MIN(ROW('03.Muestra'!$D$8:$D$42))+1,""),ROW()-1424)),"")</f>
        <v/>
      </c>
      <c r="B1439" s="114" t="str" cm="1">
        <f t="array" ref="B1439">IFERROR(INDEX('03.Muestra'!$C$8:$C$42,SMALL(IF("Documento no web"='03.Muestra'!$D$8:$D$42,ROW('03.Muestra'!$C$8:$C$42)-MIN(ROW('03.Muestra'!$D$8:$D$42))+1,""),ROW()-1424)),"")</f>
        <v/>
      </c>
      <c r="C1439" s="114" t="str" cm="1">
        <f t="array" ref="C1439">IFERROR(INDEX('03.Muestra'!$F$8:$F$42,SMALL(IF("Documento no web"='03.Muestra'!$D$8:$D$42,ROW('03.Muestra'!$F$8:$F$42)-MIN(ROW('03.Muestra'!$D$8:$D$42))+1,""),ROW()-1424)),"")</f>
        <v/>
      </c>
      <c r="D1439" s="130" t="str">
        <f t="shared" si="75"/>
        <v/>
      </c>
      <c r="E1439" s="107" t="str">
        <f t="shared" si="74"/>
        <v/>
      </c>
      <c r="F1439" s="19"/>
      <c r="G1439" s="19"/>
      <c r="H1439" s="19"/>
      <c r="I1439" s="19"/>
      <c r="J1439" s="19"/>
      <c r="K1439" s="233"/>
      <c r="L1439" s="19"/>
    </row>
    <row r="1440" spans="1:12" ht="13.5" customHeight="1">
      <c r="A1440" s="219" t="str" cm="1">
        <f t="array" ref="A1440">IFERROR(INDEX('03.Muestra'!$B$8:$B$42,SMALL(IF("Documento no web"='03.Muestra'!$D$8:$D$42,ROW('03.Muestra'!$B$8:$B$42)-MIN(ROW('03.Muestra'!$D$8:$D$42))+1,""),ROW()-1424)),"")</f>
        <v/>
      </c>
      <c r="B1440" s="114" t="str" cm="1">
        <f t="array" ref="B1440">IFERROR(INDEX('03.Muestra'!$C$8:$C$42,SMALL(IF("Documento no web"='03.Muestra'!$D$8:$D$42,ROW('03.Muestra'!$C$8:$C$42)-MIN(ROW('03.Muestra'!$D$8:$D$42))+1,""),ROW()-1424)),"")</f>
        <v/>
      </c>
      <c r="C1440" s="114" t="str" cm="1">
        <f t="array" ref="C1440">IFERROR(INDEX('03.Muestra'!$F$8:$F$42,SMALL(IF("Documento no web"='03.Muestra'!$D$8:$D$42,ROW('03.Muestra'!$F$8:$F$42)-MIN(ROW('03.Muestra'!$D$8:$D$42))+1,""),ROW()-1424)),"")</f>
        <v/>
      </c>
      <c r="D1440" s="130" t="str">
        <f t="shared" si="75"/>
        <v/>
      </c>
      <c r="E1440" s="107" t="str">
        <f t="shared" si="74"/>
        <v/>
      </c>
      <c r="F1440" s="19"/>
      <c r="G1440" s="19"/>
      <c r="H1440" s="19"/>
      <c r="I1440" s="19"/>
      <c r="J1440" s="19"/>
      <c r="K1440" s="233"/>
      <c r="L1440" s="19"/>
    </row>
    <row r="1441" spans="1:12" ht="13.5" customHeight="1">
      <c r="A1441" s="219" t="str" cm="1">
        <f t="array" ref="A1441">IFERROR(INDEX('03.Muestra'!$B$8:$B$42,SMALL(IF("Documento no web"='03.Muestra'!$D$8:$D$42,ROW('03.Muestra'!$B$8:$B$42)-MIN(ROW('03.Muestra'!$D$8:$D$42))+1,""),ROW()-1424)),"")</f>
        <v/>
      </c>
      <c r="B1441" s="114" t="str" cm="1">
        <f t="array" ref="B1441">IFERROR(INDEX('03.Muestra'!$C$8:$C$42,SMALL(IF("Documento no web"='03.Muestra'!$D$8:$D$42,ROW('03.Muestra'!$C$8:$C$42)-MIN(ROW('03.Muestra'!$D$8:$D$42))+1,""),ROW()-1424)),"")</f>
        <v/>
      </c>
      <c r="C1441" s="114" t="str" cm="1">
        <f t="array" ref="C1441">IFERROR(INDEX('03.Muestra'!$F$8:$F$42,SMALL(IF("Documento no web"='03.Muestra'!$D$8:$D$42,ROW('03.Muestra'!$F$8:$F$42)-MIN(ROW('03.Muestra'!$D$8:$D$42))+1,""),ROW()-1424)),"")</f>
        <v/>
      </c>
      <c r="D1441" s="130" t="str">
        <f t="shared" si="75"/>
        <v/>
      </c>
      <c r="E1441" s="107" t="str">
        <f t="shared" si="74"/>
        <v/>
      </c>
      <c r="F1441" s="19"/>
      <c r="G1441" s="19"/>
      <c r="H1441" s="19"/>
      <c r="I1441" s="19"/>
      <c r="J1441" s="19"/>
      <c r="K1441" s="233"/>
      <c r="L1441" s="19"/>
    </row>
    <row r="1442" spans="1:12" ht="13.5" customHeight="1">
      <c r="A1442" s="219" t="str" cm="1">
        <f t="array" ref="A1442">IFERROR(INDEX('03.Muestra'!$B$8:$B$42,SMALL(IF("Documento no web"='03.Muestra'!$D$8:$D$42,ROW('03.Muestra'!$B$8:$B$42)-MIN(ROW('03.Muestra'!$D$8:$D$42))+1,""),ROW()-1424)),"")</f>
        <v/>
      </c>
      <c r="B1442" s="114" t="str" cm="1">
        <f t="array" ref="B1442">IFERROR(INDEX('03.Muestra'!$C$8:$C$42,SMALL(IF("Documento no web"='03.Muestra'!$D$8:$D$42,ROW('03.Muestra'!$C$8:$C$42)-MIN(ROW('03.Muestra'!$D$8:$D$42))+1,""),ROW()-1424)),"")</f>
        <v/>
      </c>
      <c r="C1442" s="114" t="str" cm="1">
        <f t="array" ref="C1442">IFERROR(INDEX('03.Muestra'!$F$8:$F$42,SMALL(IF("Documento no web"='03.Muestra'!$D$8:$D$42,ROW('03.Muestra'!$F$8:$F$42)-MIN(ROW('03.Muestra'!$D$8:$D$42))+1,""),ROW()-1424)),"")</f>
        <v/>
      </c>
      <c r="D1442" s="130" t="str">
        <f t="shared" si="75"/>
        <v/>
      </c>
      <c r="E1442" s="107" t="str">
        <f t="shared" si="74"/>
        <v/>
      </c>
      <c r="F1442" s="19"/>
      <c r="G1442" s="19"/>
      <c r="H1442" s="19"/>
      <c r="I1442" s="19"/>
      <c r="J1442" s="19"/>
      <c r="K1442" s="233"/>
      <c r="L1442" s="19"/>
    </row>
    <row r="1443" spans="1:12" ht="13.5" customHeight="1">
      <c r="A1443" s="219" t="str" cm="1">
        <f t="array" ref="A1443">IFERROR(INDEX('03.Muestra'!$B$8:$B$42,SMALL(IF("Documento no web"='03.Muestra'!$D$8:$D$42,ROW('03.Muestra'!$B$8:$B$42)-MIN(ROW('03.Muestra'!$D$8:$D$42))+1,""),ROW()-1424)),"")</f>
        <v/>
      </c>
      <c r="B1443" s="114" t="str" cm="1">
        <f t="array" ref="B1443">IFERROR(INDEX('03.Muestra'!$C$8:$C$42,SMALL(IF("Documento no web"='03.Muestra'!$D$8:$D$42,ROW('03.Muestra'!$C$8:$C$42)-MIN(ROW('03.Muestra'!$D$8:$D$42))+1,""),ROW()-1424)),"")</f>
        <v/>
      </c>
      <c r="C1443" s="114" t="str" cm="1">
        <f t="array" ref="C1443">IFERROR(INDEX('03.Muestra'!$F$8:$F$42,SMALL(IF("Documento no web"='03.Muestra'!$D$8:$D$42,ROW('03.Muestra'!$F$8:$F$42)-MIN(ROW('03.Muestra'!$D$8:$D$42))+1,""),ROW()-1424)),"")</f>
        <v/>
      </c>
      <c r="D1443" s="130" t="str">
        <f t="shared" si="75"/>
        <v/>
      </c>
      <c r="E1443" s="107" t="str">
        <f t="shared" si="74"/>
        <v/>
      </c>
      <c r="F1443" s="19"/>
      <c r="G1443" s="19"/>
      <c r="H1443" s="19"/>
      <c r="I1443" s="19"/>
      <c r="J1443" s="19"/>
      <c r="K1443" s="233"/>
      <c r="L1443" s="19"/>
    </row>
    <row r="1444" spans="1:12" ht="13.5" customHeight="1">
      <c r="A1444" s="219" t="str" cm="1">
        <f t="array" ref="A1444">IFERROR(INDEX('03.Muestra'!$B$8:$B$42,SMALL(IF("Documento no web"='03.Muestra'!$D$8:$D$42,ROW('03.Muestra'!$B$8:$B$42)-MIN(ROW('03.Muestra'!$D$8:$D$42))+1,""),ROW()-1424)),"")</f>
        <v/>
      </c>
      <c r="B1444" s="114" t="str" cm="1">
        <f t="array" ref="B1444">IFERROR(INDEX('03.Muestra'!$C$8:$C$42,SMALL(IF("Documento no web"='03.Muestra'!$D$8:$D$42,ROW('03.Muestra'!$C$8:$C$42)-MIN(ROW('03.Muestra'!$D$8:$D$42))+1,""),ROW()-1424)),"")</f>
        <v/>
      </c>
      <c r="C1444" s="114" t="str" cm="1">
        <f t="array" ref="C1444">IFERROR(INDEX('03.Muestra'!$F$8:$F$42,SMALL(IF("Documento no web"='03.Muestra'!$D$8:$D$42,ROW('03.Muestra'!$F$8:$F$42)-MIN(ROW('03.Muestra'!$D$8:$D$42))+1,""),ROW()-1424)),"")</f>
        <v/>
      </c>
      <c r="D1444" s="130" t="str">
        <f t="shared" si="75"/>
        <v/>
      </c>
      <c r="E1444" s="107" t="str">
        <f t="shared" si="74"/>
        <v/>
      </c>
      <c r="F1444" s="19"/>
      <c r="G1444" s="19"/>
      <c r="H1444" s="19"/>
      <c r="I1444" s="19"/>
      <c r="J1444" s="19"/>
      <c r="K1444" s="233"/>
      <c r="L1444" s="19"/>
    </row>
    <row r="1445" spans="1:12" ht="13.5" customHeight="1">
      <c r="A1445" s="219" t="str" cm="1">
        <f t="array" ref="A1445">IFERROR(INDEX('03.Muestra'!$B$8:$B$42,SMALL(IF("Documento no web"='03.Muestra'!$D$8:$D$42,ROW('03.Muestra'!$B$8:$B$42)-MIN(ROW('03.Muestra'!$D$8:$D$42))+1,""),ROW()-1424)),"")</f>
        <v/>
      </c>
      <c r="B1445" s="114" t="str" cm="1">
        <f t="array" ref="B1445">IFERROR(INDEX('03.Muestra'!$C$8:$C$42,SMALL(IF("Documento no web"='03.Muestra'!$D$8:$D$42,ROW('03.Muestra'!$C$8:$C$42)-MIN(ROW('03.Muestra'!$D$8:$D$42))+1,""),ROW()-1424)),"")</f>
        <v/>
      </c>
      <c r="C1445" s="114" t="str" cm="1">
        <f t="array" ref="C1445">IFERROR(INDEX('03.Muestra'!$F$8:$F$42,SMALL(IF("Documento no web"='03.Muestra'!$D$8:$D$42,ROW('03.Muestra'!$F$8:$F$42)-MIN(ROW('03.Muestra'!$D$8:$D$42))+1,""),ROW()-1424)),"")</f>
        <v/>
      </c>
      <c r="D1445" s="130" t="str">
        <f t="shared" si="75"/>
        <v/>
      </c>
      <c r="E1445" s="107" t="str">
        <f t="shared" si="74"/>
        <v/>
      </c>
      <c r="F1445" s="19"/>
      <c r="G1445" s="19"/>
      <c r="H1445" s="19"/>
      <c r="I1445" s="19"/>
      <c r="J1445" s="19"/>
      <c r="K1445" s="233"/>
      <c r="L1445" s="19"/>
    </row>
    <row r="1446" spans="1:12" ht="13.5" customHeight="1">
      <c r="A1446" s="219" t="str" cm="1">
        <f t="array" ref="A1446">IFERROR(INDEX('03.Muestra'!$B$8:$B$42,SMALL(IF("Documento no web"='03.Muestra'!$D$8:$D$42,ROW('03.Muestra'!$B$8:$B$42)-MIN(ROW('03.Muestra'!$D$8:$D$42))+1,""),ROW()-1424)),"")</f>
        <v/>
      </c>
      <c r="B1446" s="114" t="str" cm="1">
        <f t="array" ref="B1446">IFERROR(INDEX('03.Muestra'!$C$8:$C$42,SMALL(IF("Documento no web"='03.Muestra'!$D$8:$D$42,ROW('03.Muestra'!$C$8:$C$42)-MIN(ROW('03.Muestra'!$D$8:$D$42))+1,""),ROW()-1424)),"")</f>
        <v/>
      </c>
      <c r="C1446" s="114" t="str" cm="1">
        <f t="array" ref="C1446">IFERROR(INDEX('03.Muestra'!$F$8:$F$42,SMALL(IF("Documento no web"='03.Muestra'!$D$8:$D$42,ROW('03.Muestra'!$F$8:$F$42)-MIN(ROW('03.Muestra'!$D$8:$D$42))+1,""),ROW()-1424)),"")</f>
        <v/>
      </c>
      <c r="D1446" s="130" t="str">
        <f t="shared" si="75"/>
        <v/>
      </c>
      <c r="E1446" s="107" t="str">
        <f t="shared" si="74"/>
        <v/>
      </c>
      <c r="F1446" s="19"/>
      <c r="G1446" s="19"/>
      <c r="H1446" s="19"/>
      <c r="I1446" s="19"/>
      <c r="J1446" s="19"/>
      <c r="K1446" s="233"/>
      <c r="L1446" s="19"/>
    </row>
    <row r="1447" spans="1:12" ht="13.5" customHeight="1">
      <c r="A1447" s="219" t="str" cm="1">
        <f t="array" ref="A1447">IFERROR(INDEX('03.Muestra'!$B$8:$B$42,SMALL(IF("Documento no web"='03.Muestra'!$D$8:$D$42,ROW('03.Muestra'!$B$8:$B$42)-MIN(ROW('03.Muestra'!$D$8:$D$42))+1,""),ROW()-1424)),"")</f>
        <v/>
      </c>
      <c r="B1447" s="114" t="str" cm="1">
        <f t="array" ref="B1447">IFERROR(INDEX('03.Muestra'!$C$8:$C$42,SMALL(IF("Documento no web"='03.Muestra'!$D$8:$D$42,ROW('03.Muestra'!$C$8:$C$42)-MIN(ROW('03.Muestra'!$D$8:$D$42))+1,""),ROW()-1424)),"")</f>
        <v/>
      </c>
      <c r="C1447" s="114" t="str" cm="1">
        <f t="array" ref="C1447">IFERROR(INDEX('03.Muestra'!$F$8:$F$42,SMALL(IF("Documento no web"='03.Muestra'!$D$8:$D$42,ROW('03.Muestra'!$F$8:$F$42)-MIN(ROW('03.Muestra'!$D$8:$D$42))+1,""),ROW()-1424)),"")</f>
        <v/>
      </c>
      <c r="D1447" s="130" t="str">
        <f t="shared" si="75"/>
        <v/>
      </c>
      <c r="E1447" s="107" t="str">
        <f t="shared" si="74"/>
        <v/>
      </c>
      <c r="F1447" s="19"/>
      <c r="G1447" s="19"/>
      <c r="H1447" s="19"/>
      <c r="I1447" s="19"/>
      <c r="J1447" s="19"/>
      <c r="K1447" s="233"/>
      <c r="L1447" s="19"/>
    </row>
    <row r="1448" spans="1:12" ht="13.5" customHeight="1">
      <c r="A1448" s="219" t="str" cm="1">
        <f t="array" ref="A1448">IFERROR(INDEX('03.Muestra'!$B$8:$B$42,SMALL(IF("Documento no web"='03.Muestra'!$D$8:$D$42,ROW('03.Muestra'!$B$8:$B$42)-MIN(ROW('03.Muestra'!$D$8:$D$42))+1,""),ROW()-1424)),"")</f>
        <v/>
      </c>
      <c r="B1448" s="114" t="str" cm="1">
        <f t="array" ref="B1448">IFERROR(INDEX('03.Muestra'!$C$8:$C$42,SMALL(IF("Documento no web"='03.Muestra'!$D$8:$D$42,ROW('03.Muestra'!$C$8:$C$42)-MIN(ROW('03.Muestra'!$D$8:$D$42))+1,""),ROW()-1424)),"")</f>
        <v/>
      </c>
      <c r="C1448" s="114" t="str" cm="1">
        <f t="array" ref="C1448">IFERROR(INDEX('03.Muestra'!$F$8:$F$42,SMALL(IF("Documento no web"='03.Muestra'!$D$8:$D$42,ROW('03.Muestra'!$F$8:$F$42)-MIN(ROW('03.Muestra'!$D$8:$D$42))+1,""),ROW()-1424)),"")</f>
        <v/>
      </c>
      <c r="D1448" s="130" t="str">
        <f t="shared" si="75"/>
        <v/>
      </c>
      <c r="E1448" s="107" t="str">
        <f t="shared" si="74"/>
        <v/>
      </c>
      <c r="F1448" s="19"/>
      <c r="G1448" s="19"/>
      <c r="H1448" s="19"/>
      <c r="I1448" s="19"/>
      <c r="J1448" s="19"/>
      <c r="K1448" s="233"/>
      <c r="L1448" s="19"/>
    </row>
    <row r="1449" spans="1:12" ht="13.5" customHeight="1">
      <c r="A1449" s="219" t="str" cm="1">
        <f t="array" ref="A1449">IFERROR(INDEX('03.Muestra'!$B$8:$B$42,SMALL(IF("Documento no web"='03.Muestra'!$D$8:$D$42,ROW('03.Muestra'!$B$8:$B$42)-MIN(ROW('03.Muestra'!$D$8:$D$42))+1,""),ROW()-1424)),"")</f>
        <v/>
      </c>
      <c r="B1449" s="114" t="str" cm="1">
        <f t="array" ref="B1449">IFERROR(INDEX('03.Muestra'!$C$8:$C$42,SMALL(IF("Documento no web"='03.Muestra'!$D$8:$D$42,ROW('03.Muestra'!$C$8:$C$42)-MIN(ROW('03.Muestra'!$D$8:$D$42))+1,""),ROW()-1424)),"")</f>
        <v/>
      </c>
      <c r="C1449" s="114" t="str" cm="1">
        <f t="array" ref="C1449">IFERROR(INDEX('03.Muestra'!$F$8:$F$42,SMALL(IF("Documento no web"='03.Muestra'!$D$8:$D$42,ROW('03.Muestra'!$F$8:$F$42)-MIN(ROW('03.Muestra'!$D$8:$D$42))+1,""),ROW()-1424)),"")</f>
        <v/>
      </c>
      <c r="D1449" s="130" t="str">
        <f t="shared" si="75"/>
        <v/>
      </c>
      <c r="E1449" s="107" t="str">
        <f t="shared" si="74"/>
        <v/>
      </c>
      <c r="F1449" s="19"/>
      <c r="G1449" s="19"/>
      <c r="H1449" s="19"/>
      <c r="I1449" s="19"/>
      <c r="J1449" s="19"/>
      <c r="K1449" s="233"/>
      <c r="L1449" s="19"/>
    </row>
    <row r="1450" spans="1:12" ht="13.5" customHeight="1">
      <c r="A1450" s="219" t="str" cm="1">
        <f t="array" ref="A1450">IFERROR(INDEX('03.Muestra'!$B$8:$B$42,SMALL(IF("Documento no web"='03.Muestra'!$D$8:$D$42,ROW('03.Muestra'!$B$8:$B$42)-MIN(ROW('03.Muestra'!$D$8:$D$42))+1,""),ROW()-1424)),"")</f>
        <v/>
      </c>
      <c r="B1450" s="114" t="str" cm="1">
        <f t="array" ref="B1450">IFERROR(INDEX('03.Muestra'!$C$8:$C$42,SMALL(IF("Documento no web"='03.Muestra'!$D$8:$D$42,ROW('03.Muestra'!$C$8:$C$42)-MIN(ROW('03.Muestra'!$D$8:$D$42))+1,""),ROW()-1424)),"")</f>
        <v/>
      </c>
      <c r="C1450" s="114" t="str" cm="1">
        <f t="array" ref="C1450">IFERROR(INDEX('03.Muestra'!$F$8:$F$42,SMALL(IF("Documento no web"='03.Muestra'!$D$8:$D$42,ROW('03.Muestra'!$F$8:$F$42)-MIN(ROW('03.Muestra'!$D$8:$D$42))+1,""),ROW()-1424)),"")</f>
        <v/>
      </c>
      <c r="D1450" s="130" t="str">
        <f t="shared" si="75"/>
        <v/>
      </c>
      <c r="E1450" s="107" t="str">
        <f t="shared" si="74"/>
        <v/>
      </c>
      <c r="F1450" s="19"/>
      <c r="G1450" s="19"/>
      <c r="H1450" s="19"/>
      <c r="I1450" s="19"/>
      <c r="J1450" s="19"/>
      <c r="K1450" s="233"/>
      <c r="L1450" s="19"/>
    </row>
    <row r="1451" spans="1:12" ht="13.5" customHeight="1">
      <c r="A1451" s="219" t="str" cm="1">
        <f t="array" ref="A1451">IFERROR(INDEX('03.Muestra'!$B$8:$B$42,SMALL(IF("Documento no web"='03.Muestra'!$D$8:$D$42,ROW('03.Muestra'!$B$8:$B$42)-MIN(ROW('03.Muestra'!$D$8:$D$42))+1,""),ROW()-1424)),"")</f>
        <v/>
      </c>
      <c r="B1451" s="114" t="str" cm="1">
        <f t="array" ref="B1451">IFERROR(INDEX('03.Muestra'!$C$8:$C$42,SMALL(IF("Documento no web"='03.Muestra'!$D$8:$D$42,ROW('03.Muestra'!$C$8:$C$42)-MIN(ROW('03.Muestra'!$D$8:$D$42))+1,""),ROW()-1424)),"")</f>
        <v/>
      </c>
      <c r="C1451" s="114" t="str" cm="1">
        <f t="array" ref="C1451">IFERROR(INDEX('03.Muestra'!$F$8:$F$42,SMALL(IF("Documento no web"='03.Muestra'!$D$8:$D$42,ROW('03.Muestra'!$F$8:$F$42)-MIN(ROW('03.Muestra'!$D$8:$D$42))+1,""),ROW()-1424)),"")</f>
        <v/>
      </c>
      <c r="D1451" s="130" t="str">
        <f t="shared" si="75"/>
        <v/>
      </c>
      <c r="E1451" s="107" t="str">
        <f t="shared" si="74"/>
        <v/>
      </c>
      <c r="F1451" s="19"/>
      <c r="G1451" s="19"/>
      <c r="H1451" s="19"/>
      <c r="I1451" s="19"/>
      <c r="J1451" s="19"/>
      <c r="K1451" s="233"/>
      <c r="L1451" s="19"/>
    </row>
    <row r="1452" spans="1:12" ht="13.5" customHeight="1">
      <c r="A1452" s="219" t="str" cm="1">
        <f t="array" ref="A1452">IFERROR(INDEX('03.Muestra'!$B$8:$B$42,SMALL(IF("Documento no web"='03.Muestra'!$D$8:$D$42,ROW('03.Muestra'!$B$8:$B$42)-MIN(ROW('03.Muestra'!$D$8:$D$42))+1,""),ROW()-1424)),"")</f>
        <v/>
      </c>
      <c r="B1452" s="114" t="str" cm="1">
        <f t="array" ref="B1452">IFERROR(INDEX('03.Muestra'!$C$8:$C$42,SMALL(IF("Documento no web"='03.Muestra'!$D$8:$D$42,ROW('03.Muestra'!$C$8:$C$42)-MIN(ROW('03.Muestra'!$D$8:$D$42))+1,""),ROW()-1424)),"")</f>
        <v/>
      </c>
      <c r="C1452" s="114" t="str" cm="1">
        <f t="array" ref="C1452">IFERROR(INDEX('03.Muestra'!$F$8:$F$42,SMALL(IF("Documento no web"='03.Muestra'!$D$8:$D$42,ROW('03.Muestra'!$F$8:$F$42)-MIN(ROW('03.Muestra'!$D$8:$D$42))+1,""),ROW()-1424)),"")</f>
        <v/>
      </c>
      <c r="D1452" s="130" t="str">
        <f t="shared" si="75"/>
        <v/>
      </c>
      <c r="E1452" s="107" t="str">
        <f t="shared" si="74"/>
        <v/>
      </c>
      <c r="G1452" s="19"/>
      <c r="H1452" s="19"/>
      <c r="I1452" s="19"/>
      <c r="J1452" s="19"/>
      <c r="K1452" s="233"/>
      <c r="L1452" s="19"/>
    </row>
    <row r="1453" spans="1:12" ht="13.5" customHeight="1">
      <c r="A1453" s="219" t="str" cm="1">
        <f t="array" ref="A1453">IFERROR(INDEX('03.Muestra'!$B$8:$B$42,SMALL(IF("Documento no web"='03.Muestra'!$D$8:$D$42,ROW('03.Muestra'!$B$8:$B$42)-MIN(ROW('03.Muestra'!$D$8:$D$42))+1,""),ROW()-1424)),"")</f>
        <v/>
      </c>
      <c r="B1453" s="114" t="str" cm="1">
        <f t="array" ref="B1453">IFERROR(INDEX('03.Muestra'!$C$8:$C$42,SMALL(IF("Documento no web"='03.Muestra'!$D$8:$D$42,ROW('03.Muestra'!$C$8:$C$42)-MIN(ROW('03.Muestra'!$D$8:$D$42))+1,""),ROW()-1424)),"")</f>
        <v/>
      </c>
      <c r="C1453" s="114" t="str" cm="1">
        <f t="array" ref="C1453">IFERROR(INDEX('03.Muestra'!$F$8:$F$42,SMALL(IF("Documento no web"='03.Muestra'!$D$8:$D$42,ROW('03.Muestra'!$F$8:$F$42)-MIN(ROW('03.Muestra'!$D$8:$D$42))+1,""),ROW()-1424)),"")</f>
        <v/>
      </c>
      <c r="D1453" s="130" t="str">
        <f t="shared" si="75"/>
        <v/>
      </c>
      <c r="E1453" s="107" t="str">
        <f t="shared" si="74"/>
        <v/>
      </c>
      <c r="F1453" s="124"/>
      <c r="G1453" s="19"/>
      <c r="H1453" s="19"/>
      <c r="I1453" s="19"/>
      <c r="J1453" s="19"/>
      <c r="K1453" s="233"/>
      <c r="L1453" s="19"/>
    </row>
    <row r="1454" spans="1:12" ht="13.5" customHeight="1">
      <c r="A1454" s="219" t="str" cm="1">
        <f t="array" ref="A1454">IFERROR(INDEX('03.Muestra'!$B$8:$B$42,SMALL(IF("Documento no web"='03.Muestra'!$D$8:$D$42,ROW('03.Muestra'!$B$8:$B$42)-MIN(ROW('03.Muestra'!$D$8:$D$42))+1,""),ROW()-1424)),"")</f>
        <v/>
      </c>
      <c r="B1454" s="114" t="str" cm="1">
        <f t="array" ref="B1454">IFERROR(INDEX('03.Muestra'!$C$8:$C$42,SMALL(IF("Documento no web"='03.Muestra'!$D$8:$D$42,ROW('03.Muestra'!$C$8:$C$42)-MIN(ROW('03.Muestra'!$D$8:$D$42))+1,""),ROW()-1424)),"")</f>
        <v/>
      </c>
      <c r="C1454" s="114" t="str" cm="1">
        <f t="array" ref="C1454">IFERROR(INDEX('03.Muestra'!$F$8:$F$42,SMALL(IF("Documento no web"='03.Muestra'!$D$8:$D$42,ROW('03.Muestra'!$F$8:$F$42)-MIN(ROW('03.Muestra'!$D$8:$D$42))+1,""),ROW()-1424)),"")</f>
        <v/>
      </c>
      <c r="D1454" s="130" t="str">
        <f t="shared" si="75"/>
        <v/>
      </c>
      <c r="E1454" s="107" t="str">
        <f t="shared" si="74"/>
        <v/>
      </c>
      <c r="F1454" s="124"/>
      <c r="G1454" s="19"/>
      <c r="H1454" s="19"/>
      <c r="I1454" s="19"/>
      <c r="J1454" s="19"/>
      <c r="K1454" s="233"/>
      <c r="L1454" s="19"/>
    </row>
    <row r="1455" spans="1:12" ht="13.5" customHeight="1">
      <c r="A1455" s="219" t="str" cm="1">
        <f t="array" ref="A1455">IFERROR(INDEX('03.Muestra'!$B$8:$B$42,SMALL(IF("Documento no web"='03.Muestra'!$D$8:$D$42,ROW('03.Muestra'!$B$8:$B$42)-MIN(ROW('03.Muestra'!$D$8:$D$42))+1,""),ROW()-1424)),"")</f>
        <v/>
      </c>
      <c r="B1455" s="114" t="str" cm="1">
        <f t="array" ref="B1455">IFERROR(INDEX('03.Muestra'!$C$8:$C$42,SMALL(IF("Documento no web"='03.Muestra'!$D$8:$D$42,ROW('03.Muestra'!$C$8:$C$42)-MIN(ROW('03.Muestra'!$D$8:$D$42))+1,""),ROW()-1424)),"")</f>
        <v/>
      </c>
      <c r="C1455" s="114" t="str" cm="1">
        <f t="array" ref="C1455">IFERROR(INDEX('03.Muestra'!$F$8:$F$42,SMALL(IF("Documento no web"='03.Muestra'!$D$8:$D$42,ROW('03.Muestra'!$F$8:$F$42)-MIN(ROW('03.Muestra'!$D$8:$D$42))+1,""),ROW()-1424)),"")</f>
        <v/>
      </c>
      <c r="D1455" s="130" t="str">
        <f t="shared" si="75"/>
        <v/>
      </c>
      <c r="E1455" s="107" t="str">
        <f t="shared" si="74"/>
        <v/>
      </c>
      <c r="F1455" s="124"/>
      <c r="G1455" s="19"/>
      <c r="H1455" s="19"/>
      <c r="I1455" s="19"/>
      <c r="J1455" s="19"/>
      <c r="K1455" s="233"/>
      <c r="L1455" s="19"/>
    </row>
    <row r="1456" spans="1:12" ht="13.5" customHeight="1">
      <c r="A1456" s="219" t="str" cm="1">
        <f t="array" ref="A1456">IFERROR(INDEX('03.Muestra'!$B$8:$B$42,SMALL(IF("Documento no web"='03.Muestra'!$D$8:$D$42,ROW('03.Muestra'!$B$8:$B$42)-MIN(ROW('03.Muestra'!$D$8:$D$42))+1,""),ROW()-1424)),"")</f>
        <v/>
      </c>
      <c r="B1456" s="114" t="str" cm="1">
        <f t="array" ref="B1456">IFERROR(INDEX('03.Muestra'!$C$8:$C$42,SMALL(IF("Documento no web"='03.Muestra'!$D$8:$D$42,ROW('03.Muestra'!$C$8:$C$42)-MIN(ROW('03.Muestra'!$D$8:$D$42))+1,""),ROW()-1424)),"")</f>
        <v/>
      </c>
      <c r="C1456" s="114" t="str" cm="1">
        <f t="array" ref="C1456">IFERROR(INDEX('03.Muestra'!$F$8:$F$42,SMALL(IF("Documento no web"='03.Muestra'!$D$8:$D$42,ROW('03.Muestra'!$F$8:$F$42)-MIN(ROW('03.Muestra'!$D$8:$D$42))+1,""),ROW()-1424)),"")</f>
        <v/>
      </c>
      <c r="D1456" s="130" t="str">
        <f t="shared" si="75"/>
        <v/>
      </c>
      <c r="E1456" s="107" t="str">
        <f t="shared" si="74"/>
        <v/>
      </c>
      <c r="F1456" s="124"/>
      <c r="G1456" s="19"/>
      <c r="H1456" s="19"/>
      <c r="I1456" s="19"/>
      <c r="J1456" s="19"/>
      <c r="K1456" s="233"/>
      <c r="L1456" s="19"/>
    </row>
    <row r="1457" spans="1:12" ht="13.5" customHeight="1">
      <c r="A1457" s="219" t="str" cm="1">
        <f t="array" ref="A1457">IFERROR(INDEX('03.Muestra'!$B$8:$B$42,SMALL(IF("Documento no web"='03.Muestra'!$D$8:$D$42,ROW('03.Muestra'!$B$8:$B$42)-MIN(ROW('03.Muestra'!$D$8:$D$42))+1,""),ROW()-1424)),"")</f>
        <v/>
      </c>
      <c r="B1457" s="114" t="str" cm="1">
        <f t="array" ref="B1457">IFERROR(INDEX('03.Muestra'!$C$8:$C$42,SMALL(IF("Documento no web"='03.Muestra'!$D$8:$D$42,ROW('03.Muestra'!$C$8:$C$42)-MIN(ROW('03.Muestra'!$D$8:$D$42))+1,""),ROW()-1424)),"")</f>
        <v/>
      </c>
      <c r="C1457" s="114" t="str" cm="1">
        <f t="array" ref="C1457">IFERROR(INDEX('03.Muestra'!$F$8:$F$42,SMALL(IF("Documento no web"='03.Muestra'!$D$8:$D$42,ROW('03.Muestra'!$F$8:$F$42)-MIN(ROW('03.Muestra'!$D$8:$D$42))+1,""),ROW()-1424)),"")</f>
        <v/>
      </c>
      <c r="D1457" s="130" t="str">
        <f t="shared" si="75"/>
        <v/>
      </c>
      <c r="E1457" s="107" t="str">
        <f t="shared" si="74"/>
        <v/>
      </c>
      <c r="F1457" s="124"/>
      <c r="G1457" s="19"/>
      <c r="H1457" s="19"/>
      <c r="I1457" s="19"/>
      <c r="J1457" s="19"/>
      <c r="K1457" s="233"/>
      <c r="L1457" s="19"/>
    </row>
    <row r="1458" spans="1:12" ht="13.5" customHeight="1">
      <c r="A1458" s="219" t="str" cm="1">
        <f t="array" ref="A1458">IFERROR(INDEX('03.Muestra'!$B$8:$B$42,SMALL(IF("Documento no web"='03.Muestra'!$D$8:$D$42,ROW('03.Muestra'!$B$8:$B$42)-MIN(ROW('03.Muestra'!$D$8:$D$42))+1,""),ROW()-1424)),"")</f>
        <v/>
      </c>
      <c r="B1458" s="114" t="str" cm="1">
        <f t="array" ref="B1458">IFERROR(INDEX('03.Muestra'!$C$8:$C$42,SMALL(IF("Documento no web"='03.Muestra'!$D$8:$D$42,ROW('03.Muestra'!$C$8:$C$42)-MIN(ROW('03.Muestra'!$D$8:$D$42))+1,""),ROW()-1424)),"")</f>
        <v/>
      </c>
      <c r="C1458" s="114" t="str" cm="1">
        <f t="array" ref="C1458">IFERROR(INDEX('03.Muestra'!$F$8:$F$42,SMALL(IF("Documento no web"='03.Muestra'!$D$8:$D$42,ROW('03.Muestra'!$F$8:$F$42)-MIN(ROW('03.Muestra'!$D$8:$D$42))+1,""),ROW()-1424)),"")</f>
        <v/>
      </c>
      <c r="D1458" s="130" t="str">
        <f t="shared" si="75"/>
        <v/>
      </c>
      <c r="E1458" s="107" t="str">
        <f t="shared" si="74"/>
        <v/>
      </c>
      <c r="F1458" s="124"/>
      <c r="G1458" s="19"/>
      <c r="H1458" s="19"/>
      <c r="I1458" s="19"/>
      <c r="J1458" s="19"/>
      <c r="K1458" s="233"/>
      <c r="L1458" s="19"/>
    </row>
    <row r="1459" spans="1:12" ht="13.5" customHeight="1">
      <c r="A1459" s="219" t="str" cm="1">
        <f t="array" ref="A1459">IFERROR(INDEX('03.Muestra'!$B$8:$B$42,SMALL(IF("Documento no web"='03.Muestra'!$D$8:$D$42,ROW('03.Muestra'!$B$8:$B$42)-MIN(ROW('03.Muestra'!$D$8:$D$42))+1,""),ROW()-1424)),"")</f>
        <v/>
      </c>
      <c r="B1459" s="114" t="str" cm="1">
        <f t="array" ref="B1459">IFERROR(INDEX('03.Muestra'!$C$8:$C$42,SMALL(IF("Documento no web"='03.Muestra'!$D$8:$D$42,ROW('03.Muestra'!$C$8:$C$42)-MIN(ROW('03.Muestra'!$D$8:$D$42))+1,""),ROW()-1424)),"")</f>
        <v/>
      </c>
      <c r="C1459" s="114" t="str" cm="1">
        <f t="array" ref="C1459">IFERROR(INDEX('03.Muestra'!$F$8:$F$42,SMALL(IF("Documento no web"='03.Muestra'!$D$8:$D$42,ROW('03.Muestra'!$F$8:$F$42)-MIN(ROW('03.Muestra'!$D$8:$D$42))+1,""),ROW()-1424)),"")</f>
        <v/>
      </c>
      <c r="D1459" s="130" t="str">
        <f t="shared" si="75"/>
        <v/>
      </c>
      <c r="E1459" s="107" t="str">
        <f t="shared" si="74"/>
        <v/>
      </c>
      <c r="F1459" s="19"/>
      <c r="G1459" s="19"/>
      <c r="H1459" s="19"/>
      <c r="I1459" s="19"/>
      <c r="J1459" s="19"/>
      <c r="K1459" s="233"/>
      <c r="L1459" s="19"/>
    </row>
    <row r="1460" spans="1:12" ht="13.5" customHeight="1">
      <c r="B1460" s="19"/>
      <c r="C1460" s="19"/>
      <c r="D1460" s="19"/>
      <c r="E1460" s="19"/>
      <c r="F1460" s="19"/>
      <c r="G1460" s="19"/>
      <c r="H1460" s="19"/>
      <c r="I1460" s="19"/>
      <c r="J1460" s="19"/>
      <c r="K1460" s="233"/>
      <c r="L1460" s="19"/>
    </row>
    <row r="1461" spans="1:12" ht="13.5" customHeight="1">
      <c r="B1461" s="19"/>
      <c r="C1461" s="19"/>
      <c r="D1461" s="107"/>
      <c r="E1461" s="112"/>
      <c r="F1461" s="19"/>
      <c r="G1461" s="19"/>
      <c r="H1461" s="19"/>
      <c r="I1461" s="19"/>
      <c r="J1461" s="19"/>
      <c r="K1461" s="233"/>
      <c r="L1461" s="19"/>
    </row>
    <row r="1462" spans="1:12" ht="30" customHeight="1">
      <c r="A1462" s="218" t="s">
        <v>268</v>
      </c>
      <c r="B1462" s="24" t="s">
        <v>90</v>
      </c>
      <c r="C1462" s="25" t="s">
        <v>460</v>
      </c>
      <c r="D1462" s="26" t="s">
        <v>32</v>
      </c>
      <c r="E1462" s="123"/>
      <c r="K1462" s="233"/>
      <c r="L1462" s="19"/>
    </row>
    <row r="1463" spans="1:12" ht="13.5" customHeight="1">
      <c r="A1463" s="219" t="n" cm="1">
        <f t="array" ref="A1463">IFERROR(INDEX('03.Muestra'!$B$8:$B$42,SMALL(IF("Documento no web"='03.Muestra'!$D$8:$D$42,ROW('03.Muestra'!$B$8:$B$42)-MIN(ROW('03.Muestra'!$D$8:$D$42))+1,""),ROW()-1462)),"")</f>
        <v>1.0</v>
      </c>
      <c r="B1463" s="114" t="str" cm="1">
        <f t="array" ref="B1463">IFERROR(INDEX('03.Muestra'!$C$8:$C$42,SMALL(IF("Documento no web"='03.Muestra'!$D$8:$D$42,ROW('03.Muestra'!$C$8:$C$42)-MIN(ROW('03.Muestra'!$D$8:$D$42))+1,""),ROW()-1462)),"")</f>
        <v>Home - PortCastelló</v>
      </c>
      <c r="C1463" s="114" t="str" cm="1">
        <f t="array" ref="C1463">IFERROR(INDEX('03.Muestra'!$F$8:$F$42,SMALL(IF("Documento no web"='03.Muestra'!$D$8:$D$42,ROW('03.Muestra'!$F$8:$F$42)-MIN(ROW('03.Muestra'!$D$8:$D$42))+1,""),ROW()-1462)),"")</f>
        <v>https://www.portcastello.com/</v>
      </c>
      <c r="D1463" s="130" t="s">
        <v>33</v>
      </c>
      <c r="E1463" s="107" t="str">
        <f t="shared" ref="E1463:E1497" si="76">IF(D1463&lt;&gt;"",IF(AND(B1463&lt;&gt;"",C1463&lt;&gt;""),"","ERR"),"")</f>
        <v/>
      </c>
      <c r="F1463" s="115" t="s">
        <v>33</v>
      </c>
      <c r="G1463" s="116" t="s">
        <v>37</v>
      </c>
      <c r="H1463" s="117" t="s">
        <v>35</v>
      </c>
      <c r="I1463" s="118" t="s">
        <v>28</v>
      </c>
      <c r="J1463" s="119" t="s">
        <v>26</v>
      </c>
      <c r="K1463" s="226" t="s">
        <v>474</v>
      </c>
      <c r="L1463" s="19"/>
    </row>
    <row r="1464" spans="1:12" ht="13.5" customHeight="1">
      <c r="A1464" s="219" t="n" cm="1">
        <f t="array" ref="A1464">IFERROR(INDEX('03.Muestra'!$B$8:$B$42,SMALL(IF("Documento no web"='03.Muestra'!$D$8:$D$42,ROW('03.Muestra'!$B$8:$B$42)-MIN(ROW('03.Muestra'!$D$8:$D$42))+1,""),ROW()-1462)),"")</f>
        <v>1.0</v>
      </c>
      <c r="B1464" s="114" t="str" cm="1">
        <f t="array" ref="B1464">IFERROR(INDEX('03.Muestra'!$C$8:$C$42,SMALL(IF("Documento no web"='03.Muestra'!$D$8:$D$42,ROW('03.Muestra'!$C$8:$C$42)-MIN(ROW('03.Muestra'!$D$8:$D$42))+1,""),ROW()-1462)),"")</f>
        <v>Home - PortCastelló</v>
      </c>
      <c r="C1464" s="114" t="str" cm="1">
        <f t="array" ref="C1464">IFERROR(INDEX('03.Muestra'!$F$8:$F$42,SMALL(IF("Documento no web"='03.Muestra'!$D$8:$D$42,ROW('03.Muestra'!$F$8:$F$42)-MIN(ROW('03.Muestra'!$D$8:$D$42))+1,""),ROW()-1462)),"")</f>
        <v>https://www.portcastello.com/</v>
      </c>
      <c r="D1464" s="130" t="s">
        <v>33</v>
      </c>
      <c r="E1464" s="107" t="str">
        <f t="shared" si="76"/>
        <v/>
      </c>
      <c r="F1464" s="120" t="n">
        <f ca="1">COUNTIF($D1463:INDIRECT("$D" &amp;  SUM(ROW()-1,'03.Muestra'!$D$45)-1),F1463)</f>
        <v>2.0</v>
      </c>
      <c r="G1464" s="120" t="n">
        <f ca="1">COUNTIF($D1463:INDIRECT("$D" &amp;  SUM(ROW()-1,'03.Muestra'!$D$45)-1),G1463)</f>
        <v>0.0</v>
      </c>
      <c r="H1464" s="120" t="n">
        <f ca="1">COUNTIF($D1463:INDIRECT("$D" &amp;  SUM(ROW()-1,'03.Muestra'!$D$45)-1),H1463)</f>
        <v>0.0</v>
      </c>
      <c r="I1464" s="120" t="n">
        <f ca="1">COUNTIF($D1463:INDIRECT("$D" &amp;  SUM(ROW()-1,'03.Muestra'!$D$45)-1),I1463)</f>
        <v>0.0</v>
      </c>
      <c r="J1464" s="120" t="n">
        <f ca="1">COUNTIF($D1463:INDIRECT("$D" &amp;  SUM(ROW()-1,'03.Muestra'!$D$45)-1),J1463)</f>
        <v>0.0</v>
      </c>
      <c r="K1464" s="227" t="n">
        <f ca="1">IF(COUNTIF('03.Muestra'!$D$8:$D$42,"Documento no web")=0,0,COUNTBLANK($D1463:INDIRECT("$D" &amp;  SUM(ROW()-1,COUNTIF('03.Muestra'!$D$8:$D$42,"Documento no web"))-1)))</f>
        <v>0.0</v>
      </c>
      <c r="L1464" s="19"/>
    </row>
    <row r="1465" spans="1:12" ht="13.5" customHeight="1">
      <c r="A1465" s="219" t="str" cm="1">
        <f t="array" ref="A1465">IFERROR(INDEX('03.Muestra'!$B$8:$B$42,SMALL(IF("Documento no web"='03.Muestra'!$D$8:$D$42,ROW('03.Muestra'!$B$8:$B$42)-MIN(ROW('03.Muestra'!$D$8:$D$42))+1,""),ROW()-1462)),"")</f>
        <v/>
      </c>
      <c r="B1465" s="114" t="str" cm="1">
        <f t="array" ref="B1465">IFERROR(INDEX('03.Muestra'!$C$8:$C$42,SMALL(IF("Documento no web"='03.Muestra'!$D$8:$D$42,ROW('03.Muestra'!$C$8:$C$42)-MIN(ROW('03.Muestra'!$D$8:$D$42))+1,""),ROW()-1462)),"")</f>
        <v/>
      </c>
      <c r="C1465" s="114" t="str" cm="1">
        <f t="array" ref="C1465">IFERROR(INDEX('03.Muestra'!$F$8:$F$42,SMALL(IF("Documento no web"='03.Muestra'!$D$8:$D$42,ROW('03.Muestra'!$F$8:$F$42)-MIN(ROW('03.Muestra'!$D$8:$D$42))+1,""),ROW()-1462)),"")</f>
        <v/>
      </c>
      <c r="D1465" s="130" t="str">
        <f t="shared" si="77" ref="D1465:D1497">IF(AND(B1465&lt;&gt;"",C1465&lt;&gt;""),"N/T","")</f>
        <v/>
      </c>
      <c r="E1465" s="107" t="str">
        <f t="shared" si="76"/>
        <v/>
      </c>
      <c r="K1465" s="233"/>
      <c r="L1465" s="19"/>
    </row>
    <row r="1466" spans="1:12" ht="13.5" customHeight="1">
      <c r="A1466" s="219" t="str" cm="1">
        <f t="array" ref="A1466">IFERROR(INDEX('03.Muestra'!$B$8:$B$42,SMALL(IF("Documento no web"='03.Muestra'!$D$8:$D$42,ROW('03.Muestra'!$B$8:$B$42)-MIN(ROW('03.Muestra'!$D$8:$D$42))+1,""),ROW()-1462)),"")</f>
        <v/>
      </c>
      <c r="B1466" s="114" t="str" cm="1">
        <f t="array" ref="B1466">IFERROR(INDEX('03.Muestra'!$C$8:$C$42,SMALL(IF("Documento no web"='03.Muestra'!$D$8:$D$42,ROW('03.Muestra'!$C$8:$C$42)-MIN(ROW('03.Muestra'!$D$8:$D$42))+1,""),ROW()-1462)),"")</f>
        <v/>
      </c>
      <c r="C1466" s="114" t="str" cm="1">
        <f t="array" ref="C1466">IFERROR(INDEX('03.Muestra'!$F$8:$F$42,SMALL(IF("Documento no web"='03.Muestra'!$D$8:$D$42,ROW('03.Muestra'!$F$8:$F$42)-MIN(ROW('03.Muestra'!$D$8:$D$42))+1,""),ROW()-1462)),"")</f>
        <v/>
      </c>
      <c r="D1466" s="130" t="str">
        <f t="shared" si="77"/>
        <v/>
      </c>
      <c r="E1466" s="107" t="str">
        <f t="shared" si="76"/>
        <v/>
      </c>
      <c r="G1466" s="19"/>
      <c r="H1466" s="19"/>
      <c r="I1466" s="19"/>
      <c r="J1466" s="19"/>
      <c r="K1466" s="233"/>
      <c r="L1466" s="19"/>
    </row>
    <row r="1467" spans="1:12" ht="13.5" customHeight="1">
      <c r="A1467" s="219" t="str" cm="1">
        <f t="array" ref="A1467">IFERROR(INDEX('03.Muestra'!$B$8:$B$42,SMALL(IF("Documento no web"='03.Muestra'!$D$8:$D$42,ROW('03.Muestra'!$B$8:$B$42)-MIN(ROW('03.Muestra'!$D$8:$D$42))+1,""),ROW()-1462)),"")</f>
        <v/>
      </c>
      <c r="B1467" s="114" t="str" cm="1">
        <f t="array" ref="B1467">IFERROR(INDEX('03.Muestra'!$C$8:$C$42,SMALL(IF("Documento no web"='03.Muestra'!$D$8:$D$42,ROW('03.Muestra'!$C$8:$C$42)-MIN(ROW('03.Muestra'!$D$8:$D$42))+1,""),ROW()-1462)),"")</f>
        <v/>
      </c>
      <c r="C1467" s="114" t="str" cm="1">
        <f t="array" ref="C1467">IFERROR(INDEX('03.Muestra'!$F$8:$F$42,SMALL(IF("Documento no web"='03.Muestra'!$D$8:$D$42,ROW('03.Muestra'!$F$8:$F$42)-MIN(ROW('03.Muestra'!$D$8:$D$42))+1,""),ROW()-1462)),"")</f>
        <v/>
      </c>
      <c r="D1467" s="130" t="str">
        <f t="shared" si="77"/>
        <v/>
      </c>
      <c r="E1467" s="107" t="str">
        <f t="shared" si="76"/>
        <v/>
      </c>
      <c r="G1467" s="19"/>
      <c r="H1467" s="19"/>
      <c r="I1467" s="19"/>
      <c r="J1467" s="19"/>
      <c r="K1467" s="233"/>
      <c r="L1467" s="19"/>
    </row>
    <row r="1468" spans="1:12" ht="13.5" customHeight="1">
      <c r="A1468" s="219" t="str" cm="1">
        <f t="array" ref="A1468">IFERROR(INDEX('03.Muestra'!$B$8:$B$42,SMALL(IF("Documento no web"='03.Muestra'!$D$8:$D$42,ROW('03.Muestra'!$B$8:$B$42)-MIN(ROW('03.Muestra'!$D$8:$D$42))+1,""),ROW()-1462)),"")</f>
        <v/>
      </c>
      <c r="B1468" s="114" t="str" cm="1">
        <f t="array" ref="B1468">IFERROR(INDEX('03.Muestra'!$C$8:$C$42,SMALL(IF("Documento no web"='03.Muestra'!$D$8:$D$42,ROW('03.Muestra'!$C$8:$C$42)-MIN(ROW('03.Muestra'!$D$8:$D$42))+1,""),ROW()-1462)),"")</f>
        <v/>
      </c>
      <c r="C1468" s="114" t="str" cm="1">
        <f t="array" ref="C1468">IFERROR(INDEX('03.Muestra'!$F$8:$F$42,SMALL(IF("Documento no web"='03.Muestra'!$D$8:$D$42,ROW('03.Muestra'!$F$8:$F$42)-MIN(ROW('03.Muestra'!$D$8:$D$42))+1,""),ROW()-1462)),"")</f>
        <v/>
      </c>
      <c r="D1468" s="130" t="str">
        <f t="shared" si="77"/>
        <v/>
      </c>
      <c r="E1468" s="107" t="str">
        <f t="shared" si="76"/>
        <v/>
      </c>
      <c r="G1468" s="19"/>
      <c r="H1468" s="19"/>
      <c r="I1468" s="19"/>
      <c r="J1468" s="19"/>
      <c r="K1468" s="233"/>
      <c r="L1468" s="19"/>
    </row>
    <row r="1469" spans="1:12" ht="13.5" customHeight="1">
      <c r="A1469" s="219" t="str" cm="1">
        <f t="array" ref="A1469">IFERROR(INDEX('03.Muestra'!$B$8:$B$42,SMALL(IF("Documento no web"='03.Muestra'!$D$8:$D$42,ROW('03.Muestra'!$B$8:$B$42)-MIN(ROW('03.Muestra'!$D$8:$D$42))+1,""),ROW()-1462)),"")</f>
        <v/>
      </c>
      <c r="B1469" s="114" t="str" cm="1">
        <f t="array" ref="B1469">IFERROR(INDEX('03.Muestra'!$C$8:$C$42,SMALL(IF("Documento no web"='03.Muestra'!$D$8:$D$42,ROW('03.Muestra'!$C$8:$C$42)-MIN(ROW('03.Muestra'!$D$8:$D$42))+1,""),ROW()-1462)),"")</f>
        <v/>
      </c>
      <c r="C1469" s="114" t="str" cm="1">
        <f t="array" ref="C1469">IFERROR(INDEX('03.Muestra'!$F$8:$F$42,SMALL(IF("Documento no web"='03.Muestra'!$D$8:$D$42,ROW('03.Muestra'!$F$8:$F$42)-MIN(ROW('03.Muestra'!$D$8:$D$42))+1,""),ROW()-1462)),"")</f>
        <v/>
      </c>
      <c r="D1469" s="130" t="str">
        <f t="shared" si="77"/>
        <v/>
      </c>
      <c r="E1469" s="107" t="str">
        <f t="shared" si="76"/>
        <v/>
      </c>
      <c r="F1469" s="19"/>
      <c r="G1469" s="19"/>
      <c r="H1469" s="19"/>
      <c r="I1469" s="19"/>
      <c r="J1469" s="19"/>
      <c r="K1469" s="233"/>
      <c r="L1469" s="19"/>
    </row>
    <row r="1470" spans="1:12" ht="13.5" customHeight="1">
      <c r="A1470" s="219" t="str" cm="1">
        <f t="array" ref="A1470">IFERROR(INDEX('03.Muestra'!$B$8:$B$42,SMALL(IF("Documento no web"='03.Muestra'!$D$8:$D$42,ROW('03.Muestra'!$B$8:$B$42)-MIN(ROW('03.Muestra'!$D$8:$D$42))+1,""),ROW()-1462)),"")</f>
        <v/>
      </c>
      <c r="B1470" s="114" t="str" cm="1">
        <f t="array" ref="B1470">IFERROR(INDEX('03.Muestra'!$C$8:$C$42,SMALL(IF("Documento no web"='03.Muestra'!$D$8:$D$42,ROW('03.Muestra'!$C$8:$C$42)-MIN(ROW('03.Muestra'!$D$8:$D$42))+1,""),ROW()-1462)),"")</f>
        <v/>
      </c>
      <c r="C1470" s="114" t="str" cm="1">
        <f t="array" ref="C1470">IFERROR(INDEX('03.Muestra'!$F$8:$F$42,SMALL(IF("Documento no web"='03.Muestra'!$D$8:$D$42,ROW('03.Muestra'!$F$8:$F$42)-MIN(ROW('03.Muestra'!$D$8:$D$42))+1,""),ROW()-1462)),"")</f>
        <v/>
      </c>
      <c r="D1470" s="130" t="str">
        <f t="shared" si="77"/>
        <v/>
      </c>
      <c r="E1470" s="107" t="str">
        <f t="shared" si="76"/>
        <v/>
      </c>
      <c r="F1470" s="19"/>
      <c r="G1470" s="19"/>
      <c r="H1470" s="19"/>
      <c r="I1470" s="19"/>
      <c r="J1470" s="19"/>
      <c r="K1470" s="233"/>
      <c r="L1470" s="19"/>
    </row>
    <row r="1471" spans="1:12" ht="13.5" customHeight="1">
      <c r="A1471" s="219" t="str" cm="1">
        <f t="array" ref="A1471">IFERROR(INDEX('03.Muestra'!$B$8:$B$42,SMALL(IF("Documento no web"='03.Muestra'!$D$8:$D$42,ROW('03.Muestra'!$B$8:$B$42)-MIN(ROW('03.Muestra'!$D$8:$D$42))+1,""),ROW()-1462)),"")</f>
        <v/>
      </c>
      <c r="B1471" s="114" t="str" cm="1">
        <f t="array" ref="B1471">IFERROR(INDEX('03.Muestra'!$C$8:$C$42,SMALL(IF("Documento no web"='03.Muestra'!$D$8:$D$42,ROW('03.Muestra'!$C$8:$C$42)-MIN(ROW('03.Muestra'!$D$8:$D$42))+1,""),ROW()-1462)),"")</f>
        <v/>
      </c>
      <c r="C1471" s="114" t="str" cm="1">
        <f t="array" ref="C1471">IFERROR(INDEX('03.Muestra'!$F$8:$F$42,SMALL(IF("Documento no web"='03.Muestra'!$D$8:$D$42,ROW('03.Muestra'!$F$8:$F$42)-MIN(ROW('03.Muestra'!$D$8:$D$42))+1,""),ROW()-1462)),"")</f>
        <v/>
      </c>
      <c r="D1471" s="130" t="str">
        <f t="shared" si="77"/>
        <v/>
      </c>
      <c r="E1471" s="107" t="str">
        <f t="shared" si="76"/>
        <v/>
      </c>
      <c r="F1471" s="19"/>
      <c r="G1471" s="19"/>
      <c r="H1471" s="19"/>
      <c r="I1471" s="19"/>
      <c r="J1471" s="19"/>
      <c r="K1471" s="233"/>
      <c r="L1471" s="19"/>
    </row>
    <row r="1472" spans="1:12" ht="13.5" customHeight="1">
      <c r="A1472" s="219" t="str" cm="1">
        <f t="array" ref="A1472">IFERROR(INDEX('03.Muestra'!$B$8:$B$42,SMALL(IF("Documento no web"='03.Muestra'!$D$8:$D$42,ROW('03.Muestra'!$B$8:$B$42)-MIN(ROW('03.Muestra'!$D$8:$D$42))+1,""),ROW()-1462)),"")</f>
        <v/>
      </c>
      <c r="B1472" s="114" t="str" cm="1">
        <f t="array" ref="B1472">IFERROR(INDEX('03.Muestra'!$C$8:$C$42,SMALL(IF("Documento no web"='03.Muestra'!$D$8:$D$42,ROW('03.Muestra'!$C$8:$C$42)-MIN(ROW('03.Muestra'!$D$8:$D$42))+1,""),ROW()-1462)),"")</f>
        <v/>
      </c>
      <c r="C1472" s="114" t="str" cm="1">
        <f t="array" ref="C1472">IFERROR(INDEX('03.Muestra'!$F$8:$F$42,SMALL(IF("Documento no web"='03.Muestra'!$D$8:$D$42,ROW('03.Muestra'!$F$8:$F$42)-MIN(ROW('03.Muestra'!$D$8:$D$42))+1,""),ROW()-1462)),"")</f>
        <v/>
      </c>
      <c r="D1472" s="130" t="str">
        <f t="shared" si="77"/>
        <v/>
      </c>
      <c r="E1472" s="107" t="str">
        <f t="shared" si="76"/>
        <v/>
      </c>
      <c r="F1472" s="19"/>
      <c r="G1472" s="19"/>
      <c r="H1472" s="19"/>
      <c r="I1472" s="19"/>
      <c r="J1472" s="19"/>
      <c r="K1472" s="233"/>
      <c r="L1472" s="19"/>
    </row>
    <row r="1473" spans="1:12" ht="13.5" customHeight="1">
      <c r="A1473" s="219" t="str" cm="1">
        <f t="array" ref="A1473">IFERROR(INDEX('03.Muestra'!$B$8:$B$42,SMALL(IF("Documento no web"='03.Muestra'!$D$8:$D$42,ROW('03.Muestra'!$B$8:$B$42)-MIN(ROW('03.Muestra'!$D$8:$D$42))+1,""),ROW()-1462)),"")</f>
        <v/>
      </c>
      <c r="B1473" s="114" t="str" cm="1">
        <f t="array" ref="B1473">IFERROR(INDEX('03.Muestra'!$C$8:$C$42,SMALL(IF("Documento no web"='03.Muestra'!$D$8:$D$42,ROW('03.Muestra'!$C$8:$C$42)-MIN(ROW('03.Muestra'!$D$8:$D$42))+1,""),ROW()-1462)),"")</f>
        <v/>
      </c>
      <c r="C1473" s="114" t="str" cm="1">
        <f t="array" ref="C1473">IFERROR(INDEX('03.Muestra'!$F$8:$F$42,SMALL(IF("Documento no web"='03.Muestra'!$D$8:$D$42,ROW('03.Muestra'!$F$8:$F$42)-MIN(ROW('03.Muestra'!$D$8:$D$42))+1,""),ROW()-1462)),"")</f>
        <v/>
      </c>
      <c r="D1473" s="130" t="str">
        <f t="shared" si="77"/>
        <v/>
      </c>
      <c r="E1473" s="107" t="str">
        <f t="shared" si="76"/>
        <v/>
      </c>
      <c r="F1473" s="19"/>
      <c r="G1473" s="19"/>
      <c r="H1473" s="19"/>
      <c r="I1473" s="19"/>
      <c r="J1473" s="19"/>
      <c r="K1473" s="233"/>
      <c r="L1473" s="19"/>
    </row>
    <row r="1474" spans="1:12" ht="13.5" customHeight="1">
      <c r="A1474" s="219" t="str" cm="1">
        <f t="array" ref="A1474">IFERROR(INDEX('03.Muestra'!$B$8:$B$42,SMALL(IF("Documento no web"='03.Muestra'!$D$8:$D$42,ROW('03.Muestra'!$B$8:$B$42)-MIN(ROW('03.Muestra'!$D$8:$D$42))+1,""),ROW()-1462)),"")</f>
        <v/>
      </c>
      <c r="B1474" s="114" t="str" cm="1">
        <f t="array" ref="B1474">IFERROR(INDEX('03.Muestra'!$C$8:$C$42,SMALL(IF("Documento no web"='03.Muestra'!$D$8:$D$42,ROW('03.Muestra'!$C$8:$C$42)-MIN(ROW('03.Muestra'!$D$8:$D$42))+1,""),ROW()-1462)),"")</f>
        <v/>
      </c>
      <c r="C1474" s="114" t="str" cm="1">
        <f t="array" ref="C1474">IFERROR(INDEX('03.Muestra'!$F$8:$F$42,SMALL(IF("Documento no web"='03.Muestra'!$D$8:$D$42,ROW('03.Muestra'!$F$8:$F$42)-MIN(ROW('03.Muestra'!$D$8:$D$42))+1,""),ROW()-1462)),"")</f>
        <v/>
      </c>
      <c r="D1474" s="130" t="str">
        <f t="shared" si="77"/>
        <v/>
      </c>
      <c r="E1474" s="107" t="str">
        <f t="shared" si="76"/>
        <v/>
      </c>
      <c r="F1474" s="19"/>
      <c r="G1474" s="19"/>
      <c r="H1474" s="19"/>
      <c r="I1474" s="19"/>
      <c r="J1474" s="19"/>
      <c r="K1474" s="233"/>
      <c r="L1474" s="19"/>
    </row>
    <row r="1475" spans="1:12" ht="13.5" customHeight="1">
      <c r="A1475" s="219" t="str" cm="1">
        <f t="array" ref="A1475">IFERROR(INDEX('03.Muestra'!$B$8:$B$42,SMALL(IF("Documento no web"='03.Muestra'!$D$8:$D$42,ROW('03.Muestra'!$B$8:$B$42)-MIN(ROW('03.Muestra'!$D$8:$D$42))+1,""),ROW()-1462)),"")</f>
        <v/>
      </c>
      <c r="B1475" s="114" t="str" cm="1">
        <f t="array" ref="B1475">IFERROR(INDEX('03.Muestra'!$C$8:$C$42,SMALL(IF("Documento no web"='03.Muestra'!$D$8:$D$42,ROW('03.Muestra'!$C$8:$C$42)-MIN(ROW('03.Muestra'!$D$8:$D$42))+1,""),ROW()-1462)),"")</f>
        <v/>
      </c>
      <c r="C1475" s="114" t="str" cm="1">
        <f t="array" ref="C1475">IFERROR(INDEX('03.Muestra'!$F$8:$F$42,SMALL(IF("Documento no web"='03.Muestra'!$D$8:$D$42,ROW('03.Muestra'!$F$8:$F$42)-MIN(ROW('03.Muestra'!$D$8:$D$42))+1,""),ROW()-1462)),"")</f>
        <v/>
      </c>
      <c r="D1475" s="130" t="str">
        <f t="shared" si="77"/>
        <v/>
      </c>
      <c r="E1475" s="107" t="str">
        <f t="shared" si="76"/>
        <v/>
      </c>
      <c r="F1475" s="19"/>
      <c r="G1475" s="19"/>
      <c r="H1475" s="19"/>
      <c r="I1475" s="19"/>
      <c r="J1475" s="19"/>
      <c r="K1475" s="233"/>
      <c r="L1475" s="19"/>
    </row>
    <row r="1476" spans="1:12" ht="13.5" customHeight="1">
      <c r="A1476" s="219" t="str" cm="1">
        <f t="array" ref="A1476">IFERROR(INDEX('03.Muestra'!$B$8:$B$42,SMALL(IF("Documento no web"='03.Muestra'!$D$8:$D$42,ROW('03.Muestra'!$B$8:$B$42)-MIN(ROW('03.Muestra'!$D$8:$D$42))+1,""),ROW()-1462)),"")</f>
        <v/>
      </c>
      <c r="B1476" s="114" t="str" cm="1">
        <f t="array" ref="B1476">IFERROR(INDEX('03.Muestra'!$C$8:$C$42,SMALL(IF("Documento no web"='03.Muestra'!$D$8:$D$42,ROW('03.Muestra'!$C$8:$C$42)-MIN(ROW('03.Muestra'!$D$8:$D$42))+1,""),ROW()-1462)),"")</f>
        <v/>
      </c>
      <c r="C1476" s="114" t="str" cm="1">
        <f t="array" ref="C1476">IFERROR(INDEX('03.Muestra'!$F$8:$F$42,SMALL(IF("Documento no web"='03.Muestra'!$D$8:$D$42,ROW('03.Muestra'!$F$8:$F$42)-MIN(ROW('03.Muestra'!$D$8:$D$42))+1,""),ROW()-1462)),"")</f>
        <v/>
      </c>
      <c r="D1476" s="130" t="str">
        <f t="shared" si="77"/>
        <v/>
      </c>
      <c r="E1476" s="107" t="str">
        <f t="shared" si="76"/>
        <v/>
      </c>
      <c r="F1476" s="19"/>
      <c r="G1476" s="19"/>
      <c r="H1476" s="19"/>
      <c r="I1476" s="19"/>
      <c r="J1476" s="19"/>
      <c r="K1476" s="233"/>
      <c r="L1476" s="19"/>
    </row>
    <row r="1477" spans="1:12" ht="13.5" customHeight="1">
      <c r="A1477" s="219" t="str" cm="1">
        <f t="array" ref="A1477">IFERROR(INDEX('03.Muestra'!$B$8:$B$42,SMALL(IF("Documento no web"='03.Muestra'!$D$8:$D$42,ROW('03.Muestra'!$B$8:$B$42)-MIN(ROW('03.Muestra'!$D$8:$D$42))+1,""),ROW()-1462)),"")</f>
        <v/>
      </c>
      <c r="B1477" s="114" t="str" cm="1">
        <f t="array" ref="B1477">IFERROR(INDEX('03.Muestra'!$C$8:$C$42,SMALL(IF("Documento no web"='03.Muestra'!$D$8:$D$42,ROW('03.Muestra'!$C$8:$C$42)-MIN(ROW('03.Muestra'!$D$8:$D$42))+1,""),ROW()-1462)),"")</f>
        <v/>
      </c>
      <c r="C1477" s="114" t="str" cm="1">
        <f t="array" ref="C1477">IFERROR(INDEX('03.Muestra'!$F$8:$F$42,SMALL(IF("Documento no web"='03.Muestra'!$D$8:$D$42,ROW('03.Muestra'!$F$8:$F$42)-MIN(ROW('03.Muestra'!$D$8:$D$42))+1,""),ROW()-1462)),"")</f>
        <v/>
      </c>
      <c r="D1477" s="130" t="str">
        <f t="shared" si="77"/>
        <v/>
      </c>
      <c r="E1477" s="107" t="str">
        <f t="shared" si="76"/>
        <v/>
      </c>
      <c r="F1477" s="19"/>
      <c r="G1477" s="19"/>
      <c r="H1477" s="19"/>
      <c r="I1477" s="19"/>
      <c r="J1477" s="19"/>
      <c r="K1477" s="233"/>
      <c r="L1477" s="19"/>
    </row>
    <row r="1478" spans="1:12" ht="13.5" customHeight="1">
      <c r="A1478" s="219" t="str" cm="1">
        <f t="array" ref="A1478">IFERROR(INDEX('03.Muestra'!$B$8:$B$42,SMALL(IF("Documento no web"='03.Muestra'!$D$8:$D$42,ROW('03.Muestra'!$B$8:$B$42)-MIN(ROW('03.Muestra'!$D$8:$D$42))+1,""),ROW()-1462)),"")</f>
        <v/>
      </c>
      <c r="B1478" s="114" t="str" cm="1">
        <f t="array" ref="B1478">IFERROR(INDEX('03.Muestra'!$C$8:$C$42,SMALL(IF("Documento no web"='03.Muestra'!$D$8:$D$42,ROW('03.Muestra'!$C$8:$C$42)-MIN(ROW('03.Muestra'!$D$8:$D$42))+1,""),ROW()-1462)),"")</f>
        <v/>
      </c>
      <c r="C1478" s="114" t="str" cm="1">
        <f t="array" ref="C1478">IFERROR(INDEX('03.Muestra'!$F$8:$F$42,SMALL(IF("Documento no web"='03.Muestra'!$D$8:$D$42,ROW('03.Muestra'!$F$8:$F$42)-MIN(ROW('03.Muestra'!$D$8:$D$42))+1,""),ROW()-1462)),"")</f>
        <v/>
      </c>
      <c r="D1478" s="130" t="str">
        <f t="shared" si="77"/>
        <v/>
      </c>
      <c r="E1478" s="107" t="str">
        <f t="shared" si="76"/>
        <v/>
      </c>
      <c r="F1478" s="19"/>
      <c r="G1478" s="19"/>
      <c r="H1478" s="19"/>
      <c r="I1478" s="19"/>
      <c r="J1478" s="19"/>
      <c r="K1478" s="233"/>
      <c r="L1478" s="19"/>
    </row>
    <row r="1479" spans="1:12" ht="13.5" customHeight="1">
      <c r="A1479" s="219" t="str" cm="1">
        <f t="array" ref="A1479">IFERROR(INDEX('03.Muestra'!$B$8:$B$42,SMALL(IF("Documento no web"='03.Muestra'!$D$8:$D$42,ROW('03.Muestra'!$B$8:$B$42)-MIN(ROW('03.Muestra'!$D$8:$D$42))+1,""),ROW()-1462)),"")</f>
        <v/>
      </c>
      <c r="B1479" s="114" t="str" cm="1">
        <f t="array" ref="B1479">IFERROR(INDEX('03.Muestra'!$C$8:$C$42,SMALL(IF("Documento no web"='03.Muestra'!$D$8:$D$42,ROW('03.Muestra'!$C$8:$C$42)-MIN(ROW('03.Muestra'!$D$8:$D$42))+1,""),ROW()-1462)),"")</f>
        <v/>
      </c>
      <c r="C1479" s="114" t="str" cm="1">
        <f t="array" ref="C1479">IFERROR(INDEX('03.Muestra'!$F$8:$F$42,SMALL(IF("Documento no web"='03.Muestra'!$D$8:$D$42,ROW('03.Muestra'!$F$8:$F$42)-MIN(ROW('03.Muestra'!$D$8:$D$42))+1,""),ROW()-1462)),"")</f>
        <v/>
      </c>
      <c r="D1479" s="130" t="str">
        <f t="shared" si="77"/>
        <v/>
      </c>
      <c r="E1479" s="107" t="str">
        <f t="shared" si="76"/>
        <v/>
      </c>
      <c r="F1479" s="19"/>
      <c r="G1479" s="19"/>
      <c r="H1479" s="19"/>
      <c r="I1479" s="19"/>
      <c r="J1479" s="19"/>
      <c r="K1479" s="233"/>
      <c r="L1479" s="19"/>
    </row>
    <row r="1480" spans="1:12" ht="13.5" customHeight="1">
      <c r="A1480" s="219" t="str" cm="1">
        <f t="array" ref="A1480">IFERROR(INDEX('03.Muestra'!$B$8:$B$42,SMALL(IF("Documento no web"='03.Muestra'!$D$8:$D$42,ROW('03.Muestra'!$B$8:$B$42)-MIN(ROW('03.Muestra'!$D$8:$D$42))+1,""),ROW()-1462)),"")</f>
        <v/>
      </c>
      <c r="B1480" s="114" t="str" cm="1">
        <f t="array" ref="B1480">IFERROR(INDEX('03.Muestra'!$C$8:$C$42,SMALL(IF("Documento no web"='03.Muestra'!$D$8:$D$42,ROW('03.Muestra'!$C$8:$C$42)-MIN(ROW('03.Muestra'!$D$8:$D$42))+1,""),ROW()-1462)),"")</f>
        <v/>
      </c>
      <c r="C1480" s="114" t="str" cm="1">
        <f t="array" ref="C1480">IFERROR(INDEX('03.Muestra'!$F$8:$F$42,SMALL(IF("Documento no web"='03.Muestra'!$D$8:$D$42,ROW('03.Muestra'!$F$8:$F$42)-MIN(ROW('03.Muestra'!$D$8:$D$42))+1,""),ROW()-1462)),"")</f>
        <v/>
      </c>
      <c r="D1480" s="130" t="str">
        <f t="shared" si="77"/>
        <v/>
      </c>
      <c r="E1480" s="107" t="str">
        <f t="shared" si="76"/>
        <v/>
      </c>
      <c r="F1480" s="19"/>
      <c r="G1480" s="19"/>
      <c r="H1480" s="19"/>
      <c r="I1480" s="19"/>
      <c r="J1480" s="19"/>
      <c r="K1480" s="233"/>
      <c r="L1480" s="19"/>
    </row>
    <row r="1481" spans="1:12" ht="13.5" customHeight="1">
      <c r="A1481" s="219" t="str" cm="1">
        <f t="array" ref="A1481">IFERROR(INDEX('03.Muestra'!$B$8:$B$42,SMALL(IF("Documento no web"='03.Muestra'!$D$8:$D$42,ROW('03.Muestra'!$B$8:$B$42)-MIN(ROW('03.Muestra'!$D$8:$D$42))+1,""),ROW()-1462)),"")</f>
        <v/>
      </c>
      <c r="B1481" s="114" t="str" cm="1">
        <f t="array" ref="B1481">IFERROR(INDEX('03.Muestra'!$C$8:$C$42,SMALL(IF("Documento no web"='03.Muestra'!$D$8:$D$42,ROW('03.Muestra'!$C$8:$C$42)-MIN(ROW('03.Muestra'!$D$8:$D$42))+1,""),ROW()-1462)),"")</f>
        <v/>
      </c>
      <c r="C1481" s="114" t="str" cm="1">
        <f t="array" ref="C1481">IFERROR(INDEX('03.Muestra'!$F$8:$F$42,SMALL(IF("Documento no web"='03.Muestra'!$D$8:$D$42,ROW('03.Muestra'!$F$8:$F$42)-MIN(ROW('03.Muestra'!$D$8:$D$42))+1,""),ROW()-1462)),"")</f>
        <v/>
      </c>
      <c r="D1481" s="130" t="str">
        <f t="shared" si="77"/>
        <v/>
      </c>
      <c r="E1481" s="107" t="str">
        <f t="shared" si="76"/>
        <v/>
      </c>
      <c r="F1481" s="19"/>
      <c r="G1481" s="19"/>
      <c r="H1481" s="19"/>
      <c r="I1481" s="19"/>
      <c r="J1481" s="19"/>
      <c r="K1481" s="233"/>
      <c r="L1481" s="19"/>
    </row>
    <row r="1482" spans="1:12" ht="13.5" customHeight="1">
      <c r="A1482" s="219" t="str" cm="1">
        <f t="array" ref="A1482">IFERROR(INDEX('03.Muestra'!$B$8:$B$42,SMALL(IF("Documento no web"='03.Muestra'!$D$8:$D$42,ROW('03.Muestra'!$B$8:$B$42)-MIN(ROW('03.Muestra'!$D$8:$D$42))+1,""),ROW()-1462)),"")</f>
        <v/>
      </c>
      <c r="B1482" s="114" t="str" cm="1">
        <f t="array" ref="B1482">IFERROR(INDEX('03.Muestra'!$C$8:$C$42,SMALL(IF("Documento no web"='03.Muestra'!$D$8:$D$42,ROW('03.Muestra'!$C$8:$C$42)-MIN(ROW('03.Muestra'!$D$8:$D$42))+1,""),ROW()-1462)),"")</f>
        <v/>
      </c>
      <c r="C1482" s="114" t="str" cm="1">
        <f t="array" ref="C1482">IFERROR(INDEX('03.Muestra'!$F$8:$F$42,SMALL(IF("Documento no web"='03.Muestra'!$D$8:$D$42,ROW('03.Muestra'!$F$8:$F$42)-MIN(ROW('03.Muestra'!$D$8:$D$42))+1,""),ROW()-1462)),"")</f>
        <v/>
      </c>
      <c r="D1482" s="130" t="str">
        <f t="shared" si="77"/>
        <v/>
      </c>
      <c r="E1482" s="107" t="str">
        <f t="shared" si="76"/>
        <v/>
      </c>
      <c r="F1482" s="19"/>
      <c r="G1482" s="19"/>
      <c r="H1482" s="19"/>
      <c r="I1482" s="19"/>
      <c r="J1482" s="19"/>
      <c r="K1482" s="233"/>
      <c r="L1482" s="19"/>
    </row>
    <row r="1483" spans="1:12" ht="13.5" customHeight="1">
      <c r="A1483" s="219" t="str" cm="1">
        <f t="array" ref="A1483">IFERROR(INDEX('03.Muestra'!$B$8:$B$42,SMALL(IF("Documento no web"='03.Muestra'!$D$8:$D$42,ROW('03.Muestra'!$B$8:$B$42)-MIN(ROW('03.Muestra'!$D$8:$D$42))+1,""),ROW()-1462)),"")</f>
        <v/>
      </c>
      <c r="B1483" s="114" t="str" cm="1">
        <f t="array" ref="B1483">IFERROR(INDEX('03.Muestra'!$C$8:$C$42,SMALL(IF("Documento no web"='03.Muestra'!$D$8:$D$42,ROW('03.Muestra'!$C$8:$C$42)-MIN(ROW('03.Muestra'!$D$8:$D$42))+1,""),ROW()-1462)),"")</f>
        <v/>
      </c>
      <c r="C1483" s="114" t="str" cm="1">
        <f t="array" ref="C1483">IFERROR(INDEX('03.Muestra'!$F$8:$F$42,SMALL(IF("Documento no web"='03.Muestra'!$D$8:$D$42,ROW('03.Muestra'!$F$8:$F$42)-MIN(ROW('03.Muestra'!$D$8:$D$42))+1,""),ROW()-1462)),"")</f>
        <v/>
      </c>
      <c r="D1483" s="130" t="str">
        <f t="shared" si="77"/>
        <v/>
      </c>
      <c r="E1483" s="107" t="str">
        <f t="shared" si="76"/>
        <v/>
      </c>
      <c r="F1483" s="19"/>
      <c r="G1483" s="19"/>
      <c r="H1483" s="19"/>
      <c r="I1483" s="19"/>
      <c r="J1483" s="19"/>
      <c r="K1483" s="233"/>
      <c r="L1483" s="19"/>
    </row>
    <row r="1484" spans="1:12" ht="13.5" customHeight="1">
      <c r="A1484" s="219" t="str" cm="1">
        <f t="array" ref="A1484">IFERROR(INDEX('03.Muestra'!$B$8:$B$42,SMALL(IF("Documento no web"='03.Muestra'!$D$8:$D$42,ROW('03.Muestra'!$B$8:$B$42)-MIN(ROW('03.Muestra'!$D$8:$D$42))+1,""),ROW()-1462)),"")</f>
        <v/>
      </c>
      <c r="B1484" s="114" t="str" cm="1">
        <f t="array" ref="B1484">IFERROR(INDEX('03.Muestra'!$C$8:$C$42,SMALL(IF("Documento no web"='03.Muestra'!$D$8:$D$42,ROW('03.Muestra'!$C$8:$C$42)-MIN(ROW('03.Muestra'!$D$8:$D$42))+1,""),ROW()-1462)),"")</f>
        <v/>
      </c>
      <c r="C1484" s="114" t="str" cm="1">
        <f t="array" ref="C1484">IFERROR(INDEX('03.Muestra'!$F$8:$F$42,SMALL(IF("Documento no web"='03.Muestra'!$D$8:$D$42,ROW('03.Muestra'!$F$8:$F$42)-MIN(ROW('03.Muestra'!$D$8:$D$42))+1,""),ROW()-1462)),"")</f>
        <v/>
      </c>
      <c r="D1484" s="130" t="str">
        <f t="shared" si="77"/>
        <v/>
      </c>
      <c r="E1484" s="107" t="str">
        <f t="shared" si="76"/>
        <v/>
      </c>
      <c r="F1484" s="19"/>
      <c r="G1484" s="19"/>
      <c r="H1484" s="19"/>
      <c r="I1484" s="19"/>
      <c r="J1484" s="19"/>
      <c r="K1484" s="233"/>
      <c r="L1484" s="19"/>
    </row>
    <row r="1485" spans="1:12" ht="13.5" customHeight="1">
      <c r="A1485" s="219" t="str" cm="1">
        <f t="array" ref="A1485">IFERROR(INDEX('03.Muestra'!$B$8:$B$42,SMALL(IF("Documento no web"='03.Muestra'!$D$8:$D$42,ROW('03.Muestra'!$B$8:$B$42)-MIN(ROW('03.Muestra'!$D$8:$D$42))+1,""),ROW()-1462)),"")</f>
        <v/>
      </c>
      <c r="B1485" s="114" t="str" cm="1">
        <f t="array" ref="B1485">IFERROR(INDEX('03.Muestra'!$C$8:$C$42,SMALL(IF("Documento no web"='03.Muestra'!$D$8:$D$42,ROW('03.Muestra'!$C$8:$C$42)-MIN(ROW('03.Muestra'!$D$8:$D$42))+1,""),ROW()-1462)),"")</f>
        <v/>
      </c>
      <c r="C1485" s="114" t="str" cm="1">
        <f t="array" ref="C1485">IFERROR(INDEX('03.Muestra'!$F$8:$F$42,SMALL(IF("Documento no web"='03.Muestra'!$D$8:$D$42,ROW('03.Muestra'!$F$8:$F$42)-MIN(ROW('03.Muestra'!$D$8:$D$42))+1,""),ROW()-1462)),"")</f>
        <v/>
      </c>
      <c r="D1485" s="130" t="str">
        <f t="shared" si="77"/>
        <v/>
      </c>
      <c r="E1485" s="107" t="str">
        <f t="shared" si="76"/>
        <v/>
      </c>
      <c r="F1485" s="19"/>
      <c r="G1485" s="19"/>
      <c r="H1485" s="19"/>
      <c r="I1485" s="19"/>
      <c r="J1485" s="19"/>
      <c r="K1485" s="233"/>
      <c r="L1485" s="19"/>
    </row>
    <row r="1486" spans="1:12" ht="13.5" customHeight="1">
      <c r="A1486" s="219" t="str" cm="1">
        <f t="array" ref="A1486">IFERROR(INDEX('03.Muestra'!$B$8:$B$42,SMALL(IF("Documento no web"='03.Muestra'!$D$8:$D$42,ROW('03.Muestra'!$B$8:$B$42)-MIN(ROW('03.Muestra'!$D$8:$D$42))+1,""),ROW()-1462)),"")</f>
        <v/>
      </c>
      <c r="B1486" s="114" t="str" cm="1">
        <f t="array" ref="B1486">IFERROR(INDEX('03.Muestra'!$C$8:$C$42,SMALL(IF("Documento no web"='03.Muestra'!$D$8:$D$42,ROW('03.Muestra'!$C$8:$C$42)-MIN(ROW('03.Muestra'!$D$8:$D$42))+1,""),ROW()-1462)),"")</f>
        <v/>
      </c>
      <c r="C1486" s="114" t="str" cm="1">
        <f t="array" ref="C1486">IFERROR(INDEX('03.Muestra'!$F$8:$F$42,SMALL(IF("Documento no web"='03.Muestra'!$D$8:$D$42,ROW('03.Muestra'!$F$8:$F$42)-MIN(ROW('03.Muestra'!$D$8:$D$42))+1,""),ROW()-1462)),"")</f>
        <v/>
      </c>
      <c r="D1486" s="130" t="str">
        <f t="shared" si="77"/>
        <v/>
      </c>
      <c r="E1486" s="107" t="str">
        <f t="shared" si="76"/>
        <v/>
      </c>
      <c r="F1486" s="19"/>
      <c r="G1486" s="19"/>
      <c r="H1486" s="19"/>
      <c r="I1486" s="19"/>
      <c r="J1486" s="19"/>
      <c r="K1486" s="233"/>
      <c r="L1486" s="19"/>
    </row>
    <row r="1487" spans="1:12" ht="13.5" customHeight="1">
      <c r="A1487" s="219" t="str" cm="1">
        <f t="array" ref="A1487">IFERROR(INDEX('03.Muestra'!$B$8:$B$42,SMALL(IF("Documento no web"='03.Muestra'!$D$8:$D$42,ROW('03.Muestra'!$B$8:$B$42)-MIN(ROW('03.Muestra'!$D$8:$D$42))+1,""),ROW()-1462)),"")</f>
        <v/>
      </c>
      <c r="B1487" s="114" t="str" cm="1">
        <f t="array" ref="B1487">IFERROR(INDEX('03.Muestra'!$C$8:$C$42,SMALL(IF("Documento no web"='03.Muestra'!$D$8:$D$42,ROW('03.Muestra'!$C$8:$C$42)-MIN(ROW('03.Muestra'!$D$8:$D$42))+1,""),ROW()-1462)),"")</f>
        <v/>
      </c>
      <c r="C1487" s="114" t="str" cm="1">
        <f t="array" ref="C1487">IFERROR(INDEX('03.Muestra'!$F$8:$F$42,SMALL(IF("Documento no web"='03.Muestra'!$D$8:$D$42,ROW('03.Muestra'!$F$8:$F$42)-MIN(ROW('03.Muestra'!$D$8:$D$42))+1,""),ROW()-1462)),"")</f>
        <v/>
      </c>
      <c r="D1487" s="130" t="str">
        <f t="shared" si="77"/>
        <v/>
      </c>
      <c r="E1487" s="107" t="str">
        <f t="shared" si="76"/>
        <v/>
      </c>
      <c r="F1487" s="19"/>
      <c r="G1487" s="19"/>
      <c r="H1487" s="19"/>
      <c r="I1487" s="19"/>
      <c r="J1487" s="19"/>
      <c r="K1487" s="233"/>
      <c r="L1487" s="19"/>
    </row>
    <row r="1488" spans="1:12" ht="13.5" customHeight="1">
      <c r="A1488" s="219" t="str" cm="1">
        <f t="array" ref="A1488">IFERROR(INDEX('03.Muestra'!$B$8:$B$42,SMALL(IF("Documento no web"='03.Muestra'!$D$8:$D$42,ROW('03.Muestra'!$B$8:$B$42)-MIN(ROW('03.Muestra'!$D$8:$D$42))+1,""),ROW()-1462)),"")</f>
        <v/>
      </c>
      <c r="B1488" s="114" t="str" cm="1">
        <f t="array" ref="B1488">IFERROR(INDEX('03.Muestra'!$C$8:$C$42,SMALL(IF("Documento no web"='03.Muestra'!$D$8:$D$42,ROW('03.Muestra'!$C$8:$C$42)-MIN(ROW('03.Muestra'!$D$8:$D$42))+1,""),ROW()-1462)),"")</f>
        <v/>
      </c>
      <c r="C1488" s="114" t="str" cm="1">
        <f t="array" ref="C1488">IFERROR(INDEX('03.Muestra'!$F$8:$F$42,SMALL(IF("Documento no web"='03.Muestra'!$D$8:$D$42,ROW('03.Muestra'!$F$8:$F$42)-MIN(ROW('03.Muestra'!$D$8:$D$42))+1,""),ROW()-1462)),"")</f>
        <v/>
      </c>
      <c r="D1488" s="130" t="str">
        <f t="shared" si="77"/>
        <v/>
      </c>
      <c r="E1488" s="107" t="str">
        <f t="shared" si="76"/>
        <v/>
      </c>
      <c r="F1488" s="19"/>
      <c r="G1488" s="19"/>
      <c r="H1488" s="19"/>
      <c r="I1488" s="19"/>
      <c r="J1488" s="19"/>
      <c r="K1488" s="233"/>
      <c r="L1488" s="19"/>
    </row>
    <row r="1489" spans="1:12" ht="13.5" customHeight="1">
      <c r="A1489" s="219" t="str" cm="1">
        <f t="array" ref="A1489">IFERROR(INDEX('03.Muestra'!$B$8:$B$42,SMALL(IF("Documento no web"='03.Muestra'!$D$8:$D$42,ROW('03.Muestra'!$B$8:$B$42)-MIN(ROW('03.Muestra'!$D$8:$D$42))+1,""),ROW()-1462)),"")</f>
        <v/>
      </c>
      <c r="B1489" s="114" t="str" cm="1">
        <f t="array" ref="B1489">IFERROR(INDEX('03.Muestra'!$C$8:$C$42,SMALL(IF("Documento no web"='03.Muestra'!$D$8:$D$42,ROW('03.Muestra'!$C$8:$C$42)-MIN(ROW('03.Muestra'!$D$8:$D$42))+1,""),ROW()-1462)),"")</f>
        <v/>
      </c>
      <c r="C1489" s="114" t="str" cm="1">
        <f t="array" ref="C1489">IFERROR(INDEX('03.Muestra'!$F$8:$F$42,SMALL(IF("Documento no web"='03.Muestra'!$D$8:$D$42,ROW('03.Muestra'!$F$8:$F$42)-MIN(ROW('03.Muestra'!$D$8:$D$42))+1,""),ROW()-1462)),"")</f>
        <v/>
      </c>
      <c r="D1489" s="130" t="str">
        <f t="shared" si="77"/>
        <v/>
      </c>
      <c r="E1489" s="107" t="str">
        <f t="shared" si="76"/>
        <v/>
      </c>
      <c r="F1489" s="19"/>
      <c r="G1489" s="19"/>
      <c r="H1489" s="19"/>
      <c r="I1489" s="19"/>
      <c r="J1489" s="19"/>
      <c r="K1489" s="233"/>
      <c r="L1489" s="19"/>
    </row>
    <row r="1490" spans="1:12" ht="13.5" customHeight="1">
      <c r="A1490" s="219" t="str" cm="1">
        <f t="array" ref="A1490">IFERROR(INDEX('03.Muestra'!$B$8:$B$42,SMALL(IF("Documento no web"='03.Muestra'!$D$8:$D$42,ROW('03.Muestra'!$B$8:$B$42)-MIN(ROW('03.Muestra'!$D$8:$D$42))+1,""),ROW()-1462)),"")</f>
        <v/>
      </c>
      <c r="B1490" s="114" t="str" cm="1">
        <f t="array" ref="B1490">IFERROR(INDEX('03.Muestra'!$C$8:$C$42,SMALL(IF("Documento no web"='03.Muestra'!$D$8:$D$42,ROW('03.Muestra'!$C$8:$C$42)-MIN(ROW('03.Muestra'!$D$8:$D$42))+1,""),ROW()-1462)),"")</f>
        <v/>
      </c>
      <c r="C1490" s="114" t="str" cm="1">
        <f t="array" ref="C1490">IFERROR(INDEX('03.Muestra'!$F$8:$F$42,SMALL(IF("Documento no web"='03.Muestra'!$D$8:$D$42,ROW('03.Muestra'!$F$8:$F$42)-MIN(ROW('03.Muestra'!$D$8:$D$42))+1,""),ROW()-1462)),"")</f>
        <v/>
      </c>
      <c r="D1490" s="130" t="str">
        <f t="shared" si="77"/>
        <v/>
      </c>
      <c r="E1490" s="107" t="str">
        <f t="shared" si="76"/>
        <v/>
      </c>
      <c r="G1490" s="19"/>
      <c r="H1490" s="19"/>
      <c r="I1490" s="19"/>
      <c r="J1490" s="19"/>
      <c r="K1490" s="233"/>
      <c r="L1490" s="19"/>
    </row>
    <row r="1491" spans="1:12" ht="13.5" customHeight="1">
      <c r="A1491" s="219" t="str" cm="1">
        <f t="array" ref="A1491">IFERROR(INDEX('03.Muestra'!$B$8:$B$42,SMALL(IF("Documento no web"='03.Muestra'!$D$8:$D$42,ROW('03.Muestra'!$B$8:$B$42)-MIN(ROW('03.Muestra'!$D$8:$D$42))+1,""),ROW()-1462)),"")</f>
        <v/>
      </c>
      <c r="B1491" s="114" t="str" cm="1">
        <f t="array" ref="B1491">IFERROR(INDEX('03.Muestra'!$C$8:$C$42,SMALL(IF("Documento no web"='03.Muestra'!$D$8:$D$42,ROW('03.Muestra'!$C$8:$C$42)-MIN(ROW('03.Muestra'!$D$8:$D$42))+1,""),ROW()-1462)),"")</f>
        <v/>
      </c>
      <c r="C1491" s="114" t="str" cm="1">
        <f t="array" ref="C1491">IFERROR(INDEX('03.Muestra'!$F$8:$F$42,SMALL(IF("Documento no web"='03.Muestra'!$D$8:$D$42,ROW('03.Muestra'!$F$8:$F$42)-MIN(ROW('03.Muestra'!$D$8:$D$42))+1,""),ROW()-1462)),"")</f>
        <v/>
      </c>
      <c r="D1491" s="130" t="str">
        <f t="shared" si="77"/>
        <v/>
      </c>
      <c r="E1491" s="107" t="str">
        <f t="shared" si="76"/>
        <v/>
      </c>
      <c r="F1491" s="124"/>
      <c r="G1491" s="19"/>
      <c r="H1491" s="19"/>
      <c r="I1491" s="19"/>
      <c r="J1491" s="19"/>
      <c r="K1491" s="233"/>
      <c r="L1491" s="19"/>
    </row>
    <row r="1492" spans="1:12" ht="13.5" customHeight="1">
      <c r="A1492" s="219" t="str" cm="1">
        <f t="array" ref="A1492">IFERROR(INDEX('03.Muestra'!$B$8:$B$42,SMALL(IF("Documento no web"='03.Muestra'!$D$8:$D$42,ROW('03.Muestra'!$B$8:$B$42)-MIN(ROW('03.Muestra'!$D$8:$D$42))+1,""),ROW()-1462)),"")</f>
        <v/>
      </c>
      <c r="B1492" s="114" t="str" cm="1">
        <f t="array" ref="B1492">IFERROR(INDEX('03.Muestra'!$C$8:$C$42,SMALL(IF("Documento no web"='03.Muestra'!$D$8:$D$42,ROW('03.Muestra'!$C$8:$C$42)-MIN(ROW('03.Muestra'!$D$8:$D$42))+1,""),ROW()-1462)),"")</f>
        <v/>
      </c>
      <c r="C1492" s="114" t="str" cm="1">
        <f t="array" ref="C1492">IFERROR(INDEX('03.Muestra'!$F$8:$F$42,SMALL(IF("Documento no web"='03.Muestra'!$D$8:$D$42,ROW('03.Muestra'!$F$8:$F$42)-MIN(ROW('03.Muestra'!$D$8:$D$42))+1,""),ROW()-1462)),"")</f>
        <v/>
      </c>
      <c r="D1492" s="130" t="str">
        <f t="shared" si="77"/>
        <v/>
      </c>
      <c r="E1492" s="107" t="str">
        <f t="shared" si="76"/>
        <v/>
      </c>
      <c r="F1492" s="124"/>
      <c r="G1492" s="19"/>
      <c r="H1492" s="19"/>
      <c r="I1492" s="19"/>
      <c r="J1492" s="19"/>
      <c r="K1492" s="233"/>
      <c r="L1492" s="19"/>
    </row>
    <row r="1493" spans="1:12" ht="13.5" customHeight="1">
      <c r="A1493" s="219" t="str" cm="1">
        <f t="array" ref="A1493">IFERROR(INDEX('03.Muestra'!$B$8:$B$42,SMALL(IF("Documento no web"='03.Muestra'!$D$8:$D$42,ROW('03.Muestra'!$B$8:$B$42)-MIN(ROW('03.Muestra'!$D$8:$D$42))+1,""),ROW()-1462)),"")</f>
        <v/>
      </c>
      <c r="B1493" s="114" t="str" cm="1">
        <f t="array" ref="B1493">IFERROR(INDEX('03.Muestra'!$C$8:$C$42,SMALL(IF("Documento no web"='03.Muestra'!$D$8:$D$42,ROW('03.Muestra'!$C$8:$C$42)-MIN(ROW('03.Muestra'!$D$8:$D$42))+1,""),ROW()-1462)),"")</f>
        <v/>
      </c>
      <c r="C1493" s="114" t="str" cm="1">
        <f t="array" ref="C1493">IFERROR(INDEX('03.Muestra'!$F$8:$F$42,SMALL(IF("Documento no web"='03.Muestra'!$D$8:$D$42,ROW('03.Muestra'!$F$8:$F$42)-MIN(ROW('03.Muestra'!$D$8:$D$42))+1,""),ROW()-1462)),"")</f>
        <v/>
      </c>
      <c r="D1493" s="130" t="str">
        <f t="shared" si="77"/>
        <v/>
      </c>
      <c r="E1493" s="107" t="str">
        <f t="shared" si="76"/>
        <v/>
      </c>
      <c r="F1493" s="124"/>
      <c r="G1493" s="19"/>
      <c r="H1493" s="19"/>
      <c r="I1493" s="19"/>
      <c r="J1493" s="19"/>
      <c r="K1493" s="233"/>
      <c r="L1493" s="19"/>
    </row>
    <row r="1494" spans="1:12" ht="13.5" customHeight="1">
      <c r="A1494" s="219" t="str" cm="1">
        <f t="array" ref="A1494">IFERROR(INDEX('03.Muestra'!$B$8:$B$42,SMALL(IF("Documento no web"='03.Muestra'!$D$8:$D$42,ROW('03.Muestra'!$B$8:$B$42)-MIN(ROW('03.Muestra'!$D$8:$D$42))+1,""),ROW()-1462)),"")</f>
        <v/>
      </c>
      <c r="B1494" s="114" t="str" cm="1">
        <f t="array" ref="B1494">IFERROR(INDEX('03.Muestra'!$C$8:$C$42,SMALL(IF("Documento no web"='03.Muestra'!$D$8:$D$42,ROW('03.Muestra'!$C$8:$C$42)-MIN(ROW('03.Muestra'!$D$8:$D$42))+1,""),ROW()-1462)),"")</f>
        <v/>
      </c>
      <c r="C1494" s="114" t="str" cm="1">
        <f t="array" ref="C1494">IFERROR(INDEX('03.Muestra'!$F$8:$F$42,SMALL(IF("Documento no web"='03.Muestra'!$D$8:$D$42,ROW('03.Muestra'!$F$8:$F$42)-MIN(ROW('03.Muestra'!$D$8:$D$42))+1,""),ROW()-1462)),"")</f>
        <v/>
      </c>
      <c r="D1494" s="130" t="str">
        <f t="shared" si="77"/>
        <v/>
      </c>
      <c r="E1494" s="107" t="str">
        <f t="shared" si="76"/>
        <v/>
      </c>
      <c r="F1494" s="124"/>
      <c r="G1494" s="19"/>
      <c r="H1494" s="19"/>
      <c r="I1494" s="19"/>
      <c r="J1494" s="19"/>
      <c r="K1494" s="233"/>
      <c r="L1494" s="19"/>
    </row>
    <row r="1495" spans="1:12" ht="13.5" customHeight="1">
      <c r="A1495" s="219" t="str" cm="1">
        <f t="array" ref="A1495">IFERROR(INDEX('03.Muestra'!$B$8:$B$42,SMALL(IF("Documento no web"='03.Muestra'!$D$8:$D$42,ROW('03.Muestra'!$B$8:$B$42)-MIN(ROW('03.Muestra'!$D$8:$D$42))+1,""),ROW()-1462)),"")</f>
        <v/>
      </c>
      <c r="B1495" s="114" t="str" cm="1">
        <f t="array" ref="B1495">IFERROR(INDEX('03.Muestra'!$C$8:$C$42,SMALL(IF("Documento no web"='03.Muestra'!$D$8:$D$42,ROW('03.Muestra'!$C$8:$C$42)-MIN(ROW('03.Muestra'!$D$8:$D$42))+1,""),ROW()-1462)),"")</f>
        <v/>
      </c>
      <c r="C1495" s="114" t="str" cm="1">
        <f t="array" ref="C1495">IFERROR(INDEX('03.Muestra'!$F$8:$F$42,SMALL(IF("Documento no web"='03.Muestra'!$D$8:$D$42,ROW('03.Muestra'!$F$8:$F$42)-MIN(ROW('03.Muestra'!$D$8:$D$42))+1,""),ROW()-1462)),"")</f>
        <v/>
      </c>
      <c r="D1495" s="130" t="str">
        <f t="shared" si="77"/>
        <v/>
      </c>
      <c r="E1495" s="107" t="str">
        <f t="shared" si="76"/>
        <v/>
      </c>
      <c r="F1495" s="124"/>
      <c r="G1495" s="19"/>
      <c r="H1495" s="19"/>
      <c r="I1495" s="19"/>
      <c r="J1495" s="19"/>
      <c r="K1495" s="233"/>
      <c r="L1495" s="19"/>
    </row>
    <row r="1496" spans="1:12" ht="13.5" customHeight="1">
      <c r="A1496" s="219" t="str" cm="1">
        <f t="array" ref="A1496">IFERROR(INDEX('03.Muestra'!$B$8:$B$42,SMALL(IF("Documento no web"='03.Muestra'!$D$8:$D$42,ROW('03.Muestra'!$B$8:$B$42)-MIN(ROW('03.Muestra'!$D$8:$D$42))+1,""),ROW()-1462)),"")</f>
        <v/>
      </c>
      <c r="B1496" s="114" t="str" cm="1">
        <f t="array" ref="B1496">IFERROR(INDEX('03.Muestra'!$C$8:$C$42,SMALL(IF("Documento no web"='03.Muestra'!$D$8:$D$42,ROW('03.Muestra'!$C$8:$C$42)-MIN(ROW('03.Muestra'!$D$8:$D$42))+1,""),ROW()-1462)),"")</f>
        <v/>
      </c>
      <c r="C1496" s="114" t="str" cm="1">
        <f t="array" ref="C1496">IFERROR(INDEX('03.Muestra'!$F$8:$F$42,SMALL(IF("Documento no web"='03.Muestra'!$D$8:$D$42,ROW('03.Muestra'!$F$8:$F$42)-MIN(ROW('03.Muestra'!$D$8:$D$42))+1,""),ROW()-1462)),"")</f>
        <v/>
      </c>
      <c r="D1496" s="130" t="str">
        <f t="shared" si="77"/>
        <v/>
      </c>
      <c r="E1496" s="107" t="str">
        <f t="shared" si="76"/>
        <v/>
      </c>
      <c r="F1496" s="124"/>
      <c r="G1496" s="19"/>
      <c r="H1496" s="19"/>
      <c r="I1496" s="19"/>
      <c r="J1496" s="19"/>
      <c r="K1496" s="233"/>
      <c r="L1496" s="19"/>
    </row>
    <row r="1497" spans="1:12" ht="13.5" customHeight="1">
      <c r="A1497" s="219" t="str" cm="1">
        <f t="array" ref="A1497">IFERROR(INDEX('03.Muestra'!$B$8:$B$42,SMALL(IF("Documento no web"='03.Muestra'!$D$8:$D$42,ROW('03.Muestra'!$B$8:$B$42)-MIN(ROW('03.Muestra'!$D$8:$D$42))+1,""),ROW()-1462)),"")</f>
        <v/>
      </c>
      <c r="B1497" s="114" t="str" cm="1">
        <f t="array" ref="B1497">IFERROR(INDEX('03.Muestra'!$C$8:$C$42,SMALL(IF("Documento no web"='03.Muestra'!$D$8:$D$42,ROW('03.Muestra'!$C$8:$C$42)-MIN(ROW('03.Muestra'!$D$8:$D$42))+1,""),ROW()-1462)),"")</f>
        <v/>
      </c>
      <c r="C1497" s="114" t="str" cm="1">
        <f t="array" ref="C1497">IFERROR(INDEX('03.Muestra'!$F$8:$F$42,SMALL(IF("Documento no web"='03.Muestra'!$D$8:$D$42,ROW('03.Muestra'!$F$8:$F$42)-MIN(ROW('03.Muestra'!$D$8:$D$42))+1,""),ROW()-1462)),"")</f>
        <v/>
      </c>
      <c r="D1497" s="130" t="str">
        <f t="shared" si="77"/>
        <v/>
      </c>
      <c r="E1497" s="107" t="str">
        <f t="shared" si="76"/>
        <v/>
      </c>
      <c r="F1497" s="19"/>
      <c r="G1497" s="19"/>
      <c r="H1497" s="19"/>
      <c r="I1497" s="19"/>
      <c r="J1497" s="19"/>
      <c r="K1497" s="233"/>
      <c r="L1497" s="19"/>
    </row>
    <row r="1498" spans="1:12" ht="13.5" customHeight="1">
      <c r="B1498" s="19"/>
      <c r="C1498" s="19"/>
      <c r="D1498" s="107"/>
      <c r="E1498" s="19"/>
      <c r="F1498" s="19"/>
      <c r="G1498" s="19"/>
      <c r="H1498" s="19"/>
      <c r="I1498" s="19"/>
      <c r="J1498" s="19"/>
      <c r="K1498" s="233"/>
      <c r="L1498" s="19"/>
    </row>
    <row r="1499" spans="1:12" ht="13.5" customHeight="1">
      <c r="B1499" s="19"/>
      <c r="C1499" s="19"/>
      <c r="D1499" s="107"/>
      <c r="E1499" s="112"/>
      <c r="F1499" s="19"/>
      <c r="G1499" s="19"/>
      <c r="H1499" s="19"/>
      <c r="I1499" s="19"/>
      <c r="J1499" s="19"/>
      <c r="K1499" s="233"/>
      <c r="L1499" s="19"/>
    </row>
    <row r="1500" spans="1:12" ht="30" customHeight="1">
      <c r="A1500" s="218" t="s">
        <v>268</v>
      </c>
      <c r="B1500" s="24" t="s">
        <v>90</v>
      </c>
      <c r="C1500" s="25" t="s">
        <v>461</v>
      </c>
      <c r="D1500" s="26" t="s">
        <v>32</v>
      </c>
      <c r="E1500" s="123"/>
      <c r="K1500" s="233"/>
      <c r="L1500" s="19"/>
    </row>
    <row r="1501" spans="1:12" ht="13.5" customHeight="1">
      <c r="A1501" s="219" t="n" cm="1">
        <f t="array" ref="A1501">IFERROR(INDEX('03.Muestra'!$B$8:$B$42,SMALL(IF("Documento no web"='03.Muestra'!$D$8:$D$42,ROW('03.Muestra'!$B$8:$B$42)-MIN(ROW('03.Muestra'!$D$8:$D$42))+1,""),ROW()-1500)),"")</f>
        <v>1.0</v>
      </c>
      <c r="B1501" s="114" t="str" cm="1">
        <f t="array" ref="B1501">IFERROR(INDEX('03.Muestra'!$C$8:$C$42,SMALL(IF("Documento no web"='03.Muestra'!$D$8:$D$42,ROW('03.Muestra'!$C$8:$C$42)-MIN(ROW('03.Muestra'!$D$8:$D$42))+1,""),ROW()-1500)),"")</f>
        <v>Home - PortCastelló</v>
      </c>
      <c r="C1501" s="114" t="str" cm="1">
        <f t="array" ref="C1501">IFERROR(INDEX('03.Muestra'!$F$8:$F$42,SMALL(IF("Documento no web"='03.Muestra'!$D$8:$D$42,ROW('03.Muestra'!$F$8:$F$42)-MIN(ROW('03.Muestra'!$D$8:$D$42))+1,""),ROW()-1500)),"")</f>
        <v>https://www.portcastello.com/</v>
      </c>
      <c r="D1501" s="130" t="s">
        <v>33</v>
      </c>
      <c r="E1501" s="107" t="str">
        <f t="shared" ref="E1501:E1535" si="78">IF(D1501&lt;&gt;"",IF(AND(B1501&lt;&gt;"",C1501&lt;&gt;""),"","ERR"),"")</f>
        <v/>
      </c>
      <c r="F1501" s="115" t="s">
        <v>33</v>
      </c>
      <c r="G1501" s="116" t="s">
        <v>37</v>
      </c>
      <c r="H1501" s="117" t="s">
        <v>35</v>
      </c>
      <c r="I1501" s="118" t="s">
        <v>28</v>
      </c>
      <c r="J1501" s="119" t="s">
        <v>26</v>
      </c>
      <c r="K1501" s="226" t="s">
        <v>474</v>
      </c>
      <c r="L1501" s="19"/>
    </row>
    <row r="1502" spans="1:12" ht="13.5" customHeight="1">
      <c r="A1502" s="219" t="n" cm="1">
        <f t="array" ref="A1502">IFERROR(INDEX('03.Muestra'!$B$8:$B$42,SMALL(IF("Documento no web"='03.Muestra'!$D$8:$D$42,ROW('03.Muestra'!$B$8:$B$42)-MIN(ROW('03.Muestra'!$D$8:$D$42))+1,""),ROW()-1500)),"")</f>
        <v>1.0</v>
      </c>
      <c r="B1502" s="114" t="str" cm="1">
        <f t="array" ref="B1502">IFERROR(INDEX('03.Muestra'!$C$8:$C$42,SMALL(IF("Documento no web"='03.Muestra'!$D$8:$D$42,ROW('03.Muestra'!$C$8:$C$42)-MIN(ROW('03.Muestra'!$D$8:$D$42))+1,""),ROW()-1500)),"")</f>
        <v>Home - PortCastelló</v>
      </c>
      <c r="C1502" s="114" t="str" cm="1">
        <f t="array" ref="C1502">IFERROR(INDEX('03.Muestra'!$F$8:$F$42,SMALL(IF("Documento no web"='03.Muestra'!$D$8:$D$42,ROW('03.Muestra'!$F$8:$F$42)-MIN(ROW('03.Muestra'!$D$8:$D$42))+1,""),ROW()-1500)),"")</f>
        <v>https://www.portcastello.com/</v>
      </c>
      <c r="D1502" s="130" t="s">
        <v>33</v>
      </c>
      <c r="E1502" s="107" t="str">
        <f t="shared" si="78"/>
        <v/>
      </c>
      <c r="F1502" s="120" t="n">
        <f ca="1">COUNTIF($D1501:INDIRECT("$D" &amp;  SUM(ROW()-1,'03.Muestra'!$D$45)-1),F1501)</f>
        <v>2.0</v>
      </c>
      <c r="G1502" s="120" t="n">
        <f ca="1">COUNTIF($D1501:INDIRECT("$D" &amp;  SUM(ROW()-1,'03.Muestra'!$D$45)-1),G1501)</f>
        <v>0.0</v>
      </c>
      <c r="H1502" s="120" t="n">
        <f ca="1">COUNTIF($D1501:INDIRECT("$D" &amp;  SUM(ROW()-1,'03.Muestra'!$D$45)-1),H1501)</f>
        <v>0.0</v>
      </c>
      <c r="I1502" s="120" t="n">
        <f ca="1">COUNTIF($D1501:INDIRECT("$D" &amp;  SUM(ROW()-1,'03.Muestra'!$D$45)-1),I1501)</f>
        <v>0.0</v>
      </c>
      <c r="J1502" s="120" t="n">
        <f ca="1">COUNTIF($D1501:INDIRECT("$D" &amp;  SUM(ROW()-1,'03.Muestra'!$D$45)-1),J1501)</f>
        <v>0.0</v>
      </c>
      <c r="K1502" s="227" t="n">
        <f ca="1">IF(COUNTIF('03.Muestra'!$D$8:$D$42,"Documento no web")=0,0,COUNTBLANK($D1501:INDIRECT("$D" &amp;  SUM(ROW()-1,COUNTIF('03.Muestra'!$D$8:$D$42,"Documento no web"))-1)))</f>
        <v>0.0</v>
      </c>
      <c r="L1502" s="19"/>
    </row>
    <row r="1503" spans="1:12" ht="13.5" customHeight="1">
      <c r="A1503" s="219" t="str" cm="1">
        <f t="array" ref="A1503">IFERROR(INDEX('03.Muestra'!$B$8:$B$42,SMALL(IF("Documento no web"='03.Muestra'!$D$8:$D$42,ROW('03.Muestra'!$B$8:$B$42)-MIN(ROW('03.Muestra'!$D$8:$D$42))+1,""),ROW()-1500)),"")</f>
        <v/>
      </c>
      <c r="B1503" s="114" t="str" cm="1">
        <f t="array" ref="B1503">IFERROR(INDEX('03.Muestra'!$C$8:$C$42,SMALL(IF("Documento no web"='03.Muestra'!$D$8:$D$42,ROW('03.Muestra'!$C$8:$C$42)-MIN(ROW('03.Muestra'!$D$8:$D$42))+1,""),ROW()-1500)),"")</f>
        <v/>
      </c>
      <c r="C1503" s="114" t="str" cm="1">
        <f t="array" ref="C1503">IFERROR(INDEX('03.Muestra'!$F$8:$F$42,SMALL(IF("Documento no web"='03.Muestra'!$D$8:$D$42,ROW('03.Muestra'!$F$8:$F$42)-MIN(ROW('03.Muestra'!$D$8:$D$42))+1,""),ROW()-1500)),"")</f>
        <v/>
      </c>
      <c r="D1503" s="130" t="str">
        <f t="shared" si="79" ref="D1503:D1535">IF(AND(B1503&lt;&gt;"",C1503&lt;&gt;""),"N/T","")</f>
        <v/>
      </c>
      <c r="E1503" s="107" t="str">
        <f t="shared" si="78"/>
        <v/>
      </c>
      <c r="G1503" s="19"/>
      <c r="H1503" s="19"/>
      <c r="I1503" s="19"/>
      <c r="J1503" s="19"/>
      <c r="K1503" s="233"/>
      <c r="L1503" s="19"/>
    </row>
    <row r="1504" spans="1:12" ht="13.5" customHeight="1">
      <c r="A1504" s="219" t="str" cm="1">
        <f t="array" ref="A1504">IFERROR(INDEX('03.Muestra'!$B$8:$B$42,SMALL(IF("Documento no web"='03.Muestra'!$D$8:$D$42,ROW('03.Muestra'!$B$8:$B$42)-MIN(ROW('03.Muestra'!$D$8:$D$42))+1,""),ROW()-1500)),"")</f>
        <v/>
      </c>
      <c r="B1504" s="114" t="str" cm="1">
        <f t="array" ref="B1504">IFERROR(INDEX('03.Muestra'!$C$8:$C$42,SMALL(IF("Documento no web"='03.Muestra'!$D$8:$D$42,ROW('03.Muestra'!$C$8:$C$42)-MIN(ROW('03.Muestra'!$D$8:$D$42))+1,""),ROW()-1500)),"")</f>
        <v/>
      </c>
      <c r="C1504" s="114" t="str" cm="1">
        <f t="array" ref="C1504">IFERROR(INDEX('03.Muestra'!$F$8:$F$42,SMALL(IF("Documento no web"='03.Muestra'!$D$8:$D$42,ROW('03.Muestra'!$F$8:$F$42)-MIN(ROW('03.Muestra'!$D$8:$D$42))+1,""),ROW()-1500)),"")</f>
        <v/>
      </c>
      <c r="D1504" s="130" t="str">
        <f t="shared" si="79"/>
        <v/>
      </c>
      <c r="E1504" s="107" t="str">
        <f t="shared" si="78"/>
        <v/>
      </c>
      <c r="G1504" s="19"/>
      <c r="H1504" s="19"/>
      <c r="I1504" s="19"/>
      <c r="J1504" s="19"/>
      <c r="K1504" s="233"/>
      <c r="L1504" s="19"/>
    </row>
    <row r="1505" spans="1:12" ht="13.5" customHeight="1">
      <c r="A1505" s="219" t="str" cm="1">
        <f t="array" ref="A1505">IFERROR(INDEX('03.Muestra'!$B$8:$B$42,SMALL(IF("Documento no web"='03.Muestra'!$D$8:$D$42,ROW('03.Muestra'!$B$8:$B$42)-MIN(ROW('03.Muestra'!$D$8:$D$42))+1,""),ROW()-1500)),"")</f>
        <v/>
      </c>
      <c r="B1505" s="114" t="str" cm="1">
        <f t="array" ref="B1505">IFERROR(INDEX('03.Muestra'!$C$8:$C$42,SMALL(IF("Documento no web"='03.Muestra'!$D$8:$D$42,ROW('03.Muestra'!$C$8:$C$42)-MIN(ROW('03.Muestra'!$D$8:$D$42))+1,""),ROW()-1500)),"")</f>
        <v/>
      </c>
      <c r="C1505" s="114" t="str" cm="1">
        <f t="array" ref="C1505">IFERROR(INDEX('03.Muestra'!$F$8:$F$42,SMALL(IF("Documento no web"='03.Muestra'!$D$8:$D$42,ROW('03.Muestra'!$F$8:$F$42)-MIN(ROW('03.Muestra'!$D$8:$D$42))+1,""),ROW()-1500)),"")</f>
        <v/>
      </c>
      <c r="D1505" s="130" t="str">
        <f t="shared" si="79"/>
        <v/>
      </c>
      <c r="E1505" s="107" t="str">
        <f t="shared" si="78"/>
        <v/>
      </c>
      <c r="G1505" s="19"/>
      <c r="H1505" s="19"/>
      <c r="I1505" s="19"/>
      <c r="J1505" s="19"/>
      <c r="K1505" s="233"/>
      <c r="L1505" s="19"/>
    </row>
    <row r="1506" spans="1:12" ht="13.5" customHeight="1">
      <c r="A1506" s="219" t="str" cm="1">
        <f t="array" ref="A1506">IFERROR(INDEX('03.Muestra'!$B$8:$B$42,SMALL(IF("Documento no web"='03.Muestra'!$D$8:$D$42,ROW('03.Muestra'!$B$8:$B$42)-MIN(ROW('03.Muestra'!$D$8:$D$42))+1,""),ROW()-1500)),"")</f>
        <v/>
      </c>
      <c r="B1506" s="114" t="str" cm="1">
        <f t="array" ref="B1506">IFERROR(INDEX('03.Muestra'!$C$8:$C$42,SMALL(IF("Documento no web"='03.Muestra'!$D$8:$D$42,ROW('03.Muestra'!$C$8:$C$42)-MIN(ROW('03.Muestra'!$D$8:$D$42))+1,""),ROW()-1500)),"")</f>
        <v/>
      </c>
      <c r="C1506" s="114" t="str" cm="1">
        <f t="array" ref="C1506">IFERROR(INDEX('03.Muestra'!$F$8:$F$42,SMALL(IF("Documento no web"='03.Muestra'!$D$8:$D$42,ROW('03.Muestra'!$F$8:$F$42)-MIN(ROW('03.Muestra'!$D$8:$D$42))+1,""),ROW()-1500)),"")</f>
        <v/>
      </c>
      <c r="D1506" s="130" t="str">
        <f t="shared" si="79"/>
        <v/>
      </c>
      <c r="E1506" s="107" t="str">
        <f t="shared" si="78"/>
        <v/>
      </c>
      <c r="G1506" s="19"/>
      <c r="H1506" s="19"/>
      <c r="I1506" s="19"/>
      <c r="J1506" s="19"/>
      <c r="K1506" s="233"/>
      <c r="L1506" s="19"/>
    </row>
    <row r="1507" spans="1:12" ht="13.5" customHeight="1">
      <c r="A1507" s="219" t="str" cm="1">
        <f t="array" ref="A1507">IFERROR(INDEX('03.Muestra'!$B$8:$B$42,SMALL(IF("Documento no web"='03.Muestra'!$D$8:$D$42,ROW('03.Muestra'!$B$8:$B$42)-MIN(ROW('03.Muestra'!$D$8:$D$42))+1,""),ROW()-1500)),"")</f>
        <v/>
      </c>
      <c r="B1507" s="114" t="str" cm="1">
        <f t="array" ref="B1507">IFERROR(INDEX('03.Muestra'!$C$8:$C$42,SMALL(IF("Documento no web"='03.Muestra'!$D$8:$D$42,ROW('03.Muestra'!$C$8:$C$42)-MIN(ROW('03.Muestra'!$D$8:$D$42))+1,""),ROW()-1500)),"")</f>
        <v/>
      </c>
      <c r="C1507" s="114" t="str" cm="1">
        <f t="array" ref="C1507">IFERROR(INDEX('03.Muestra'!$F$8:$F$42,SMALL(IF("Documento no web"='03.Muestra'!$D$8:$D$42,ROW('03.Muestra'!$F$8:$F$42)-MIN(ROW('03.Muestra'!$D$8:$D$42))+1,""),ROW()-1500)),"")</f>
        <v/>
      </c>
      <c r="D1507" s="130" t="str">
        <f t="shared" si="79"/>
        <v/>
      </c>
      <c r="E1507" s="107" t="str">
        <f t="shared" si="78"/>
        <v/>
      </c>
      <c r="F1507" s="19"/>
      <c r="G1507" s="19"/>
      <c r="H1507" s="19"/>
      <c r="I1507" s="19"/>
      <c r="J1507" s="19"/>
      <c r="K1507" s="233"/>
      <c r="L1507" s="19"/>
    </row>
    <row r="1508" spans="1:12" ht="13.5" customHeight="1">
      <c r="A1508" s="219" t="str" cm="1">
        <f t="array" ref="A1508">IFERROR(INDEX('03.Muestra'!$B$8:$B$42,SMALL(IF("Documento no web"='03.Muestra'!$D$8:$D$42,ROW('03.Muestra'!$B$8:$B$42)-MIN(ROW('03.Muestra'!$D$8:$D$42))+1,""),ROW()-1500)),"")</f>
        <v/>
      </c>
      <c r="B1508" s="114" t="str" cm="1">
        <f t="array" ref="B1508">IFERROR(INDEX('03.Muestra'!$C$8:$C$42,SMALL(IF("Documento no web"='03.Muestra'!$D$8:$D$42,ROW('03.Muestra'!$C$8:$C$42)-MIN(ROW('03.Muestra'!$D$8:$D$42))+1,""),ROW()-1500)),"")</f>
        <v/>
      </c>
      <c r="C1508" s="114" t="str" cm="1">
        <f t="array" ref="C1508">IFERROR(INDEX('03.Muestra'!$F$8:$F$42,SMALL(IF("Documento no web"='03.Muestra'!$D$8:$D$42,ROW('03.Muestra'!$F$8:$F$42)-MIN(ROW('03.Muestra'!$D$8:$D$42))+1,""),ROW()-1500)),"")</f>
        <v/>
      </c>
      <c r="D1508" s="130" t="str">
        <f t="shared" si="79"/>
        <v/>
      </c>
      <c r="E1508" s="107" t="str">
        <f t="shared" si="78"/>
        <v/>
      </c>
      <c r="F1508" s="19"/>
      <c r="G1508" s="19"/>
      <c r="H1508" s="19"/>
      <c r="I1508" s="19"/>
      <c r="J1508" s="19"/>
      <c r="K1508" s="233"/>
      <c r="L1508" s="19"/>
    </row>
    <row r="1509" spans="1:12" ht="13.5" customHeight="1">
      <c r="A1509" s="219" t="str" cm="1">
        <f t="array" ref="A1509">IFERROR(INDEX('03.Muestra'!$B$8:$B$42,SMALL(IF("Documento no web"='03.Muestra'!$D$8:$D$42,ROW('03.Muestra'!$B$8:$B$42)-MIN(ROW('03.Muestra'!$D$8:$D$42))+1,""),ROW()-1500)),"")</f>
        <v/>
      </c>
      <c r="B1509" s="114" t="str" cm="1">
        <f t="array" ref="B1509">IFERROR(INDEX('03.Muestra'!$C$8:$C$42,SMALL(IF("Documento no web"='03.Muestra'!$D$8:$D$42,ROW('03.Muestra'!$C$8:$C$42)-MIN(ROW('03.Muestra'!$D$8:$D$42))+1,""),ROW()-1500)),"")</f>
        <v/>
      </c>
      <c r="C1509" s="114" t="str" cm="1">
        <f t="array" ref="C1509">IFERROR(INDEX('03.Muestra'!$F$8:$F$42,SMALL(IF("Documento no web"='03.Muestra'!$D$8:$D$42,ROW('03.Muestra'!$F$8:$F$42)-MIN(ROW('03.Muestra'!$D$8:$D$42))+1,""),ROW()-1500)),"")</f>
        <v/>
      </c>
      <c r="D1509" s="130" t="str">
        <f t="shared" si="79"/>
        <v/>
      </c>
      <c r="E1509" s="107" t="str">
        <f t="shared" si="78"/>
        <v/>
      </c>
      <c r="F1509" s="19"/>
      <c r="G1509" s="19"/>
      <c r="H1509" s="19"/>
      <c r="I1509" s="19"/>
      <c r="J1509" s="19"/>
      <c r="K1509" s="233"/>
      <c r="L1509" s="19"/>
    </row>
    <row r="1510" spans="1:12" ht="13.5" customHeight="1">
      <c r="A1510" s="219" t="str" cm="1">
        <f t="array" ref="A1510">IFERROR(INDEX('03.Muestra'!$B$8:$B$42,SMALL(IF("Documento no web"='03.Muestra'!$D$8:$D$42,ROW('03.Muestra'!$B$8:$B$42)-MIN(ROW('03.Muestra'!$D$8:$D$42))+1,""),ROW()-1500)),"")</f>
        <v/>
      </c>
      <c r="B1510" s="114" t="str" cm="1">
        <f t="array" ref="B1510">IFERROR(INDEX('03.Muestra'!$C$8:$C$42,SMALL(IF("Documento no web"='03.Muestra'!$D$8:$D$42,ROW('03.Muestra'!$C$8:$C$42)-MIN(ROW('03.Muestra'!$D$8:$D$42))+1,""),ROW()-1500)),"")</f>
        <v/>
      </c>
      <c r="C1510" s="114" t="str" cm="1">
        <f t="array" ref="C1510">IFERROR(INDEX('03.Muestra'!$F$8:$F$42,SMALL(IF("Documento no web"='03.Muestra'!$D$8:$D$42,ROW('03.Muestra'!$F$8:$F$42)-MIN(ROW('03.Muestra'!$D$8:$D$42))+1,""),ROW()-1500)),"")</f>
        <v/>
      </c>
      <c r="D1510" s="130" t="str">
        <f t="shared" si="79"/>
        <v/>
      </c>
      <c r="E1510" s="107" t="str">
        <f t="shared" si="78"/>
        <v/>
      </c>
      <c r="F1510" s="19"/>
      <c r="G1510" s="19"/>
      <c r="H1510" s="19"/>
      <c r="I1510" s="19"/>
      <c r="J1510" s="19"/>
      <c r="K1510" s="233"/>
      <c r="L1510" s="19"/>
    </row>
    <row r="1511" spans="1:12" ht="13.5" customHeight="1">
      <c r="A1511" s="219" t="str" cm="1">
        <f t="array" ref="A1511">IFERROR(INDEX('03.Muestra'!$B$8:$B$42,SMALL(IF("Documento no web"='03.Muestra'!$D$8:$D$42,ROW('03.Muestra'!$B$8:$B$42)-MIN(ROW('03.Muestra'!$D$8:$D$42))+1,""),ROW()-1500)),"")</f>
        <v/>
      </c>
      <c r="B1511" s="114" t="str" cm="1">
        <f t="array" ref="B1511">IFERROR(INDEX('03.Muestra'!$C$8:$C$42,SMALL(IF("Documento no web"='03.Muestra'!$D$8:$D$42,ROW('03.Muestra'!$C$8:$C$42)-MIN(ROW('03.Muestra'!$D$8:$D$42))+1,""),ROW()-1500)),"")</f>
        <v/>
      </c>
      <c r="C1511" s="114" t="str" cm="1">
        <f t="array" ref="C1511">IFERROR(INDEX('03.Muestra'!$F$8:$F$42,SMALL(IF("Documento no web"='03.Muestra'!$D$8:$D$42,ROW('03.Muestra'!$F$8:$F$42)-MIN(ROW('03.Muestra'!$D$8:$D$42))+1,""),ROW()-1500)),"")</f>
        <v/>
      </c>
      <c r="D1511" s="130" t="str">
        <f t="shared" si="79"/>
        <v/>
      </c>
      <c r="E1511" s="107" t="str">
        <f t="shared" si="78"/>
        <v/>
      </c>
      <c r="F1511" s="19"/>
      <c r="G1511" s="19"/>
      <c r="H1511" s="19"/>
      <c r="I1511" s="19"/>
      <c r="J1511" s="19"/>
      <c r="K1511" s="233"/>
      <c r="L1511" s="19"/>
    </row>
    <row r="1512" spans="1:12" ht="13.5" customHeight="1">
      <c r="A1512" s="219" t="str" cm="1">
        <f t="array" ref="A1512">IFERROR(INDEX('03.Muestra'!$B$8:$B$42,SMALL(IF("Documento no web"='03.Muestra'!$D$8:$D$42,ROW('03.Muestra'!$B$8:$B$42)-MIN(ROW('03.Muestra'!$D$8:$D$42))+1,""),ROW()-1500)),"")</f>
        <v/>
      </c>
      <c r="B1512" s="114" t="str" cm="1">
        <f t="array" ref="B1512">IFERROR(INDEX('03.Muestra'!$C$8:$C$42,SMALL(IF("Documento no web"='03.Muestra'!$D$8:$D$42,ROW('03.Muestra'!$C$8:$C$42)-MIN(ROW('03.Muestra'!$D$8:$D$42))+1,""),ROW()-1500)),"")</f>
        <v/>
      </c>
      <c r="C1512" s="114" t="str" cm="1">
        <f t="array" ref="C1512">IFERROR(INDEX('03.Muestra'!$F$8:$F$42,SMALL(IF("Documento no web"='03.Muestra'!$D$8:$D$42,ROW('03.Muestra'!$F$8:$F$42)-MIN(ROW('03.Muestra'!$D$8:$D$42))+1,""),ROW()-1500)),"")</f>
        <v/>
      </c>
      <c r="D1512" s="130" t="str">
        <f t="shared" si="79"/>
        <v/>
      </c>
      <c r="E1512" s="107" t="str">
        <f t="shared" si="78"/>
        <v/>
      </c>
      <c r="F1512" s="19"/>
      <c r="G1512" s="19"/>
      <c r="H1512" s="19"/>
      <c r="I1512" s="19"/>
      <c r="J1512" s="19"/>
      <c r="K1512" s="233"/>
      <c r="L1512" s="19"/>
    </row>
    <row r="1513" spans="1:12" ht="13.5" customHeight="1">
      <c r="A1513" s="219" t="str" cm="1">
        <f t="array" ref="A1513">IFERROR(INDEX('03.Muestra'!$B$8:$B$42,SMALL(IF("Documento no web"='03.Muestra'!$D$8:$D$42,ROW('03.Muestra'!$B$8:$B$42)-MIN(ROW('03.Muestra'!$D$8:$D$42))+1,""),ROW()-1500)),"")</f>
        <v/>
      </c>
      <c r="B1513" s="114" t="str" cm="1">
        <f t="array" ref="B1513">IFERROR(INDEX('03.Muestra'!$C$8:$C$42,SMALL(IF("Documento no web"='03.Muestra'!$D$8:$D$42,ROW('03.Muestra'!$C$8:$C$42)-MIN(ROW('03.Muestra'!$D$8:$D$42))+1,""),ROW()-1500)),"")</f>
        <v/>
      </c>
      <c r="C1513" s="114" t="str" cm="1">
        <f t="array" ref="C1513">IFERROR(INDEX('03.Muestra'!$F$8:$F$42,SMALL(IF("Documento no web"='03.Muestra'!$D$8:$D$42,ROW('03.Muestra'!$F$8:$F$42)-MIN(ROW('03.Muestra'!$D$8:$D$42))+1,""),ROW()-1500)),"")</f>
        <v/>
      </c>
      <c r="D1513" s="130" t="str">
        <f t="shared" si="79"/>
        <v/>
      </c>
      <c r="E1513" s="107" t="str">
        <f t="shared" si="78"/>
        <v/>
      </c>
      <c r="F1513" s="19"/>
      <c r="G1513" s="19"/>
      <c r="H1513" s="19"/>
      <c r="I1513" s="19"/>
      <c r="J1513" s="19"/>
      <c r="K1513" s="233"/>
      <c r="L1513" s="19"/>
    </row>
    <row r="1514" spans="1:12" ht="13.5" customHeight="1">
      <c r="A1514" s="219" t="str" cm="1">
        <f t="array" ref="A1514">IFERROR(INDEX('03.Muestra'!$B$8:$B$42,SMALL(IF("Documento no web"='03.Muestra'!$D$8:$D$42,ROW('03.Muestra'!$B$8:$B$42)-MIN(ROW('03.Muestra'!$D$8:$D$42))+1,""),ROW()-1500)),"")</f>
        <v/>
      </c>
      <c r="B1514" s="114" t="str" cm="1">
        <f t="array" ref="B1514">IFERROR(INDEX('03.Muestra'!$C$8:$C$42,SMALL(IF("Documento no web"='03.Muestra'!$D$8:$D$42,ROW('03.Muestra'!$C$8:$C$42)-MIN(ROW('03.Muestra'!$D$8:$D$42))+1,""),ROW()-1500)),"")</f>
        <v/>
      </c>
      <c r="C1514" s="114" t="str" cm="1">
        <f t="array" ref="C1514">IFERROR(INDEX('03.Muestra'!$F$8:$F$42,SMALL(IF("Documento no web"='03.Muestra'!$D$8:$D$42,ROW('03.Muestra'!$F$8:$F$42)-MIN(ROW('03.Muestra'!$D$8:$D$42))+1,""),ROW()-1500)),"")</f>
        <v/>
      </c>
      <c r="D1514" s="130" t="str">
        <f t="shared" si="79"/>
        <v/>
      </c>
      <c r="E1514" s="107" t="str">
        <f t="shared" si="78"/>
        <v/>
      </c>
      <c r="F1514" s="19"/>
      <c r="G1514" s="19"/>
      <c r="H1514" s="19"/>
      <c r="I1514" s="19"/>
      <c r="J1514" s="19"/>
      <c r="K1514" s="233"/>
      <c r="L1514" s="19"/>
    </row>
    <row r="1515" spans="1:12" ht="13.5" customHeight="1">
      <c r="A1515" s="219" t="str" cm="1">
        <f t="array" ref="A1515">IFERROR(INDEX('03.Muestra'!$B$8:$B$42,SMALL(IF("Documento no web"='03.Muestra'!$D$8:$D$42,ROW('03.Muestra'!$B$8:$B$42)-MIN(ROW('03.Muestra'!$D$8:$D$42))+1,""),ROW()-1500)),"")</f>
        <v/>
      </c>
      <c r="B1515" s="114" t="str" cm="1">
        <f t="array" ref="B1515">IFERROR(INDEX('03.Muestra'!$C$8:$C$42,SMALL(IF("Documento no web"='03.Muestra'!$D$8:$D$42,ROW('03.Muestra'!$C$8:$C$42)-MIN(ROW('03.Muestra'!$D$8:$D$42))+1,""),ROW()-1500)),"")</f>
        <v/>
      </c>
      <c r="C1515" s="114" t="str" cm="1">
        <f t="array" ref="C1515">IFERROR(INDEX('03.Muestra'!$F$8:$F$42,SMALL(IF("Documento no web"='03.Muestra'!$D$8:$D$42,ROW('03.Muestra'!$F$8:$F$42)-MIN(ROW('03.Muestra'!$D$8:$D$42))+1,""),ROW()-1500)),"")</f>
        <v/>
      </c>
      <c r="D1515" s="130" t="str">
        <f t="shared" si="79"/>
        <v/>
      </c>
      <c r="E1515" s="107" t="str">
        <f t="shared" si="78"/>
        <v/>
      </c>
      <c r="F1515" s="19"/>
      <c r="G1515" s="19"/>
      <c r="H1515" s="19"/>
      <c r="I1515" s="19"/>
      <c r="J1515" s="19"/>
      <c r="K1515" s="233"/>
      <c r="L1515" s="19"/>
    </row>
    <row r="1516" spans="1:12" ht="13.5" customHeight="1">
      <c r="A1516" s="219" t="str" cm="1">
        <f t="array" ref="A1516">IFERROR(INDEX('03.Muestra'!$B$8:$B$42,SMALL(IF("Documento no web"='03.Muestra'!$D$8:$D$42,ROW('03.Muestra'!$B$8:$B$42)-MIN(ROW('03.Muestra'!$D$8:$D$42))+1,""),ROW()-1500)),"")</f>
        <v/>
      </c>
      <c r="B1516" s="114" t="str" cm="1">
        <f t="array" ref="B1516">IFERROR(INDEX('03.Muestra'!$C$8:$C$42,SMALL(IF("Documento no web"='03.Muestra'!$D$8:$D$42,ROW('03.Muestra'!$C$8:$C$42)-MIN(ROW('03.Muestra'!$D$8:$D$42))+1,""),ROW()-1500)),"")</f>
        <v/>
      </c>
      <c r="C1516" s="114" t="str" cm="1">
        <f t="array" ref="C1516">IFERROR(INDEX('03.Muestra'!$F$8:$F$42,SMALL(IF("Documento no web"='03.Muestra'!$D$8:$D$42,ROW('03.Muestra'!$F$8:$F$42)-MIN(ROW('03.Muestra'!$D$8:$D$42))+1,""),ROW()-1500)),"")</f>
        <v/>
      </c>
      <c r="D1516" s="130" t="str">
        <f t="shared" si="79"/>
        <v/>
      </c>
      <c r="E1516" s="107" t="str">
        <f t="shared" si="78"/>
        <v/>
      </c>
      <c r="F1516" s="19"/>
      <c r="G1516" s="19"/>
      <c r="H1516" s="19"/>
      <c r="I1516" s="19"/>
      <c r="J1516" s="19"/>
      <c r="K1516" s="233"/>
      <c r="L1516" s="19"/>
    </row>
    <row r="1517" spans="1:12" ht="13.5" customHeight="1">
      <c r="A1517" s="219" t="str" cm="1">
        <f t="array" ref="A1517">IFERROR(INDEX('03.Muestra'!$B$8:$B$42,SMALL(IF("Documento no web"='03.Muestra'!$D$8:$D$42,ROW('03.Muestra'!$B$8:$B$42)-MIN(ROW('03.Muestra'!$D$8:$D$42))+1,""),ROW()-1500)),"")</f>
        <v/>
      </c>
      <c r="B1517" s="114" t="str" cm="1">
        <f t="array" ref="B1517">IFERROR(INDEX('03.Muestra'!$C$8:$C$42,SMALL(IF("Documento no web"='03.Muestra'!$D$8:$D$42,ROW('03.Muestra'!$C$8:$C$42)-MIN(ROW('03.Muestra'!$D$8:$D$42))+1,""),ROW()-1500)),"")</f>
        <v/>
      </c>
      <c r="C1517" s="114" t="str" cm="1">
        <f t="array" ref="C1517">IFERROR(INDEX('03.Muestra'!$F$8:$F$42,SMALL(IF("Documento no web"='03.Muestra'!$D$8:$D$42,ROW('03.Muestra'!$F$8:$F$42)-MIN(ROW('03.Muestra'!$D$8:$D$42))+1,""),ROW()-1500)),"")</f>
        <v/>
      </c>
      <c r="D1517" s="130" t="str">
        <f t="shared" si="79"/>
        <v/>
      </c>
      <c r="E1517" s="107" t="str">
        <f t="shared" si="78"/>
        <v/>
      </c>
      <c r="F1517" s="19"/>
      <c r="G1517" s="19"/>
      <c r="H1517" s="19"/>
      <c r="I1517" s="19"/>
      <c r="J1517" s="19"/>
      <c r="K1517" s="233"/>
      <c r="L1517" s="19"/>
    </row>
    <row r="1518" spans="1:12" ht="13.5" customHeight="1">
      <c r="A1518" s="219" t="str" cm="1">
        <f t="array" ref="A1518">IFERROR(INDEX('03.Muestra'!$B$8:$B$42,SMALL(IF("Documento no web"='03.Muestra'!$D$8:$D$42,ROW('03.Muestra'!$B$8:$B$42)-MIN(ROW('03.Muestra'!$D$8:$D$42))+1,""),ROW()-1500)),"")</f>
        <v/>
      </c>
      <c r="B1518" s="114" t="str" cm="1">
        <f t="array" ref="B1518">IFERROR(INDEX('03.Muestra'!$C$8:$C$42,SMALL(IF("Documento no web"='03.Muestra'!$D$8:$D$42,ROW('03.Muestra'!$C$8:$C$42)-MIN(ROW('03.Muestra'!$D$8:$D$42))+1,""),ROW()-1500)),"")</f>
        <v/>
      </c>
      <c r="C1518" s="114" t="str" cm="1">
        <f t="array" ref="C1518">IFERROR(INDEX('03.Muestra'!$F$8:$F$42,SMALL(IF("Documento no web"='03.Muestra'!$D$8:$D$42,ROW('03.Muestra'!$F$8:$F$42)-MIN(ROW('03.Muestra'!$D$8:$D$42))+1,""),ROW()-1500)),"")</f>
        <v/>
      </c>
      <c r="D1518" s="130" t="str">
        <f t="shared" si="79"/>
        <v/>
      </c>
      <c r="E1518" s="107" t="str">
        <f t="shared" si="78"/>
        <v/>
      </c>
      <c r="F1518" s="19"/>
      <c r="G1518" s="19"/>
      <c r="H1518" s="19"/>
      <c r="I1518" s="19"/>
      <c r="J1518" s="19"/>
      <c r="K1518" s="233"/>
      <c r="L1518" s="19"/>
    </row>
    <row r="1519" spans="1:12" ht="13.5" customHeight="1">
      <c r="A1519" s="219" t="str" cm="1">
        <f t="array" ref="A1519">IFERROR(INDEX('03.Muestra'!$B$8:$B$42,SMALL(IF("Documento no web"='03.Muestra'!$D$8:$D$42,ROW('03.Muestra'!$B$8:$B$42)-MIN(ROW('03.Muestra'!$D$8:$D$42))+1,""),ROW()-1500)),"")</f>
        <v/>
      </c>
      <c r="B1519" s="114" t="str" cm="1">
        <f t="array" ref="B1519">IFERROR(INDEX('03.Muestra'!$C$8:$C$42,SMALL(IF("Documento no web"='03.Muestra'!$D$8:$D$42,ROW('03.Muestra'!$C$8:$C$42)-MIN(ROW('03.Muestra'!$D$8:$D$42))+1,""),ROW()-1500)),"")</f>
        <v/>
      </c>
      <c r="C1519" s="114" t="str" cm="1">
        <f t="array" ref="C1519">IFERROR(INDEX('03.Muestra'!$F$8:$F$42,SMALL(IF("Documento no web"='03.Muestra'!$D$8:$D$42,ROW('03.Muestra'!$F$8:$F$42)-MIN(ROW('03.Muestra'!$D$8:$D$42))+1,""),ROW()-1500)),"")</f>
        <v/>
      </c>
      <c r="D1519" s="130" t="str">
        <f t="shared" si="79"/>
        <v/>
      </c>
      <c r="E1519" s="107" t="str">
        <f t="shared" si="78"/>
        <v/>
      </c>
      <c r="F1519" s="19"/>
      <c r="G1519" s="19"/>
      <c r="H1519" s="19"/>
      <c r="I1519" s="19"/>
      <c r="J1519" s="19"/>
      <c r="K1519" s="233"/>
      <c r="L1519" s="19"/>
    </row>
    <row r="1520" spans="1:12" ht="13.5" customHeight="1">
      <c r="A1520" s="219" t="str" cm="1">
        <f t="array" ref="A1520">IFERROR(INDEX('03.Muestra'!$B$8:$B$42,SMALL(IF("Documento no web"='03.Muestra'!$D$8:$D$42,ROW('03.Muestra'!$B$8:$B$42)-MIN(ROW('03.Muestra'!$D$8:$D$42))+1,""),ROW()-1500)),"")</f>
        <v/>
      </c>
      <c r="B1520" s="114" t="str" cm="1">
        <f t="array" ref="B1520">IFERROR(INDEX('03.Muestra'!$C$8:$C$42,SMALL(IF("Documento no web"='03.Muestra'!$D$8:$D$42,ROW('03.Muestra'!$C$8:$C$42)-MIN(ROW('03.Muestra'!$D$8:$D$42))+1,""),ROW()-1500)),"")</f>
        <v/>
      </c>
      <c r="C1520" s="114" t="str" cm="1">
        <f t="array" ref="C1520">IFERROR(INDEX('03.Muestra'!$F$8:$F$42,SMALL(IF("Documento no web"='03.Muestra'!$D$8:$D$42,ROW('03.Muestra'!$F$8:$F$42)-MIN(ROW('03.Muestra'!$D$8:$D$42))+1,""),ROW()-1500)),"")</f>
        <v/>
      </c>
      <c r="D1520" s="130" t="str">
        <f t="shared" si="79"/>
        <v/>
      </c>
      <c r="E1520" s="107" t="str">
        <f t="shared" si="78"/>
        <v/>
      </c>
      <c r="F1520" s="19"/>
      <c r="G1520" s="19"/>
      <c r="H1520" s="19"/>
      <c r="I1520" s="19"/>
      <c r="J1520" s="19"/>
      <c r="K1520" s="233"/>
      <c r="L1520" s="19"/>
    </row>
    <row r="1521" spans="1:12" ht="13.5" customHeight="1">
      <c r="A1521" s="219" t="str" cm="1">
        <f t="array" ref="A1521">IFERROR(INDEX('03.Muestra'!$B$8:$B$42,SMALL(IF("Documento no web"='03.Muestra'!$D$8:$D$42,ROW('03.Muestra'!$B$8:$B$42)-MIN(ROW('03.Muestra'!$D$8:$D$42))+1,""),ROW()-1500)),"")</f>
        <v/>
      </c>
      <c r="B1521" s="114" t="str" cm="1">
        <f t="array" ref="B1521">IFERROR(INDEX('03.Muestra'!$C$8:$C$42,SMALL(IF("Documento no web"='03.Muestra'!$D$8:$D$42,ROW('03.Muestra'!$C$8:$C$42)-MIN(ROW('03.Muestra'!$D$8:$D$42))+1,""),ROW()-1500)),"")</f>
        <v/>
      </c>
      <c r="C1521" s="114" t="str" cm="1">
        <f t="array" ref="C1521">IFERROR(INDEX('03.Muestra'!$F$8:$F$42,SMALL(IF("Documento no web"='03.Muestra'!$D$8:$D$42,ROW('03.Muestra'!$F$8:$F$42)-MIN(ROW('03.Muestra'!$D$8:$D$42))+1,""),ROW()-1500)),"")</f>
        <v/>
      </c>
      <c r="D1521" s="130" t="str">
        <f t="shared" si="79"/>
        <v/>
      </c>
      <c r="E1521" s="107" t="str">
        <f t="shared" si="78"/>
        <v/>
      </c>
      <c r="F1521" s="19"/>
      <c r="G1521" s="19"/>
      <c r="H1521" s="19"/>
      <c r="I1521" s="19"/>
      <c r="J1521" s="19"/>
      <c r="K1521" s="233"/>
      <c r="L1521" s="19"/>
    </row>
    <row r="1522" spans="1:12" ht="13.5" customHeight="1">
      <c r="A1522" s="219" t="str" cm="1">
        <f t="array" ref="A1522">IFERROR(INDEX('03.Muestra'!$B$8:$B$42,SMALL(IF("Documento no web"='03.Muestra'!$D$8:$D$42,ROW('03.Muestra'!$B$8:$B$42)-MIN(ROW('03.Muestra'!$D$8:$D$42))+1,""),ROW()-1500)),"")</f>
        <v/>
      </c>
      <c r="B1522" s="114" t="str" cm="1">
        <f t="array" ref="B1522">IFERROR(INDEX('03.Muestra'!$C$8:$C$42,SMALL(IF("Documento no web"='03.Muestra'!$D$8:$D$42,ROW('03.Muestra'!$C$8:$C$42)-MIN(ROW('03.Muestra'!$D$8:$D$42))+1,""),ROW()-1500)),"")</f>
        <v/>
      </c>
      <c r="C1522" s="114" t="str" cm="1">
        <f t="array" ref="C1522">IFERROR(INDEX('03.Muestra'!$F$8:$F$42,SMALL(IF("Documento no web"='03.Muestra'!$D$8:$D$42,ROW('03.Muestra'!$F$8:$F$42)-MIN(ROW('03.Muestra'!$D$8:$D$42))+1,""),ROW()-1500)),"")</f>
        <v/>
      </c>
      <c r="D1522" s="130" t="str">
        <f t="shared" si="79"/>
        <v/>
      </c>
      <c r="E1522" s="107" t="str">
        <f t="shared" si="78"/>
        <v/>
      </c>
      <c r="F1522" s="19"/>
      <c r="G1522" s="19"/>
      <c r="H1522" s="19"/>
      <c r="I1522" s="19"/>
      <c r="J1522" s="19"/>
      <c r="K1522" s="233"/>
      <c r="L1522" s="19"/>
    </row>
    <row r="1523" spans="1:12" ht="13.5" customHeight="1">
      <c r="A1523" s="219" t="str" cm="1">
        <f t="array" ref="A1523">IFERROR(INDEX('03.Muestra'!$B$8:$B$42,SMALL(IF("Documento no web"='03.Muestra'!$D$8:$D$42,ROW('03.Muestra'!$B$8:$B$42)-MIN(ROW('03.Muestra'!$D$8:$D$42))+1,""),ROW()-1500)),"")</f>
        <v/>
      </c>
      <c r="B1523" s="114" t="str" cm="1">
        <f t="array" ref="B1523">IFERROR(INDEX('03.Muestra'!$C$8:$C$42,SMALL(IF("Documento no web"='03.Muestra'!$D$8:$D$42,ROW('03.Muestra'!$C$8:$C$42)-MIN(ROW('03.Muestra'!$D$8:$D$42))+1,""),ROW()-1500)),"")</f>
        <v/>
      </c>
      <c r="C1523" s="114" t="str" cm="1">
        <f t="array" ref="C1523">IFERROR(INDEX('03.Muestra'!$F$8:$F$42,SMALL(IF("Documento no web"='03.Muestra'!$D$8:$D$42,ROW('03.Muestra'!$F$8:$F$42)-MIN(ROW('03.Muestra'!$D$8:$D$42))+1,""),ROW()-1500)),"")</f>
        <v/>
      </c>
      <c r="D1523" s="130" t="str">
        <f t="shared" si="79"/>
        <v/>
      </c>
      <c r="E1523" s="107" t="str">
        <f t="shared" si="78"/>
        <v/>
      </c>
      <c r="F1523" s="19"/>
      <c r="G1523" s="19"/>
      <c r="H1523" s="19"/>
      <c r="I1523" s="19"/>
      <c r="J1523" s="19"/>
      <c r="K1523" s="233"/>
      <c r="L1523" s="19"/>
    </row>
    <row r="1524" spans="1:12" ht="13.5" customHeight="1">
      <c r="A1524" s="219" t="str" cm="1">
        <f t="array" ref="A1524">IFERROR(INDEX('03.Muestra'!$B$8:$B$42,SMALL(IF("Documento no web"='03.Muestra'!$D$8:$D$42,ROW('03.Muestra'!$B$8:$B$42)-MIN(ROW('03.Muestra'!$D$8:$D$42))+1,""),ROW()-1500)),"")</f>
        <v/>
      </c>
      <c r="B1524" s="114" t="str" cm="1">
        <f t="array" ref="B1524">IFERROR(INDEX('03.Muestra'!$C$8:$C$42,SMALL(IF("Documento no web"='03.Muestra'!$D$8:$D$42,ROW('03.Muestra'!$C$8:$C$42)-MIN(ROW('03.Muestra'!$D$8:$D$42))+1,""),ROW()-1500)),"")</f>
        <v/>
      </c>
      <c r="C1524" s="114" t="str" cm="1">
        <f t="array" ref="C1524">IFERROR(INDEX('03.Muestra'!$F$8:$F$42,SMALL(IF("Documento no web"='03.Muestra'!$D$8:$D$42,ROW('03.Muestra'!$F$8:$F$42)-MIN(ROW('03.Muestra'!$D$8:$D$42))+1,""),ROW()-1500)),"")</f>
        <v/>
      </c>
      <c r="D1524" s="130" t="str">
        <f t="shared" si="79"/>
        <v/>
      </c>
      <c r="E1524" s="107" t="str">
        <f t="shared" si="78"/>
        <v/>
      </c>
      <c r="F1524" s="19"/>
      <c r="G1524" s="19"/>
      <c r="H1524" s="19"/>
      <c r="I1524" s="19"/>
      <c r="J1524" s="19"/>
      <c r="K1524" s="233"/>
      <c r="L1524" s="19"/>
    </row>
    <row r="1525" spans="1:12" ht="13.5" customHeight="1">
      <c r="A1525" s="219" t="str" cm="1">
        <f t="array" ref="A1525">IFERROR(INDEX('03.Muestra'!$B$8:$B$42,SMALL(IF("Documento no web"='03.Muestra'!$D$8:$D$42,ROW('03.Muestra'!$B$8:$B$42)-MIN(ROW('03.Muestra'!$D$8:$D$42))+1,""),ROW()-1500)),"")</f>
        <v/>
      </c>
      <c r="B1525" s="114" t="str" cm="1">
        <f t="array" ref="B1525">IFERROR(INDEX('03.Muestra'!$C$8:$C$42,SMALL(IF("Documento no web"='03.Muestra'!$D$8:$D$42,ROW('03.Muestra'!$C$8:$C$42)-MIN(ROW('03.Muestra'!$D$8:$D$42))+1,""),ROW()-1500)),"")</f>
        <v/>
      </c>
      <c r="C1525" s="114" t="str" cm="1">
        <f t="array" ref="C1525">IFERROR(INDEX('03.Muestra'!$F$8:$F$42,SMALL(IF("Documento no web"='03.Muestra'!$D$8:$D$42,ROW('03.Muestra'!$F$8:$F$42)-MIN(ROW('03.Muestra'!$D$8:$D$42))+1,""),ROW()-1500)),"")</f>
        <v/>
      </c>
      <c r="D1525" s="130" t="str">
        <f t="shared" si="79"/>
        <v/>
      </c>
      <c r="E1525" s="107" t="str">
        <f t="shared" si="78"/>
        <v/>
      </c>
      <c r="F1525" s="19"/>
      <c r="G1525" s="19"/>
      <c r="H1525" s="19"/>
      <c r="I1525" s="19"/>
      <c r="J1525" s="19"/>
      <c r="K1525" s="233"/>
      <c r="L1525" s="19"/>
    </row>
    <row r="1526" spans="1:12" ht="13.5" customHeight="1">
      <c r="A1526" s="219" t="str" cm="1">
        <f t="array" ref="A1526">IFERROR(INDEX('03.Muestra'!$B$8:$B$42,SMALL(IF("Documento no web"='03.Muestra'!$D$8:$D$42,ROW('03.Muestra'!$B$8:$B$42)-MIN(ROW('03.Muestra'!$D$8:$D$42))+1,""),ROW()-1500)),"")</f>
        <v/>
      </c>
      <c r="B1526" s="114" t="str" cm="1">
        <f t="array" ref="B1526">IFERROR(INDEX('03.Muestra'!$C$8:$C$42,SMALL(IF("Documento no web"='03.Muestra'!$D$8:$D$42,ROW('03.Muestra'!$C$8:$C$42)-MIN(ROW('03.Muestra'!$D$8:$D$42))+1,""),ROW()-1500)),"")</f>
        <v/>
      </c>
      <c r="C1526" s="114" t="str" cm="1">
        <f t="array" ref="C1526">IFERROR(INDEX('03.Muestra'!$F$8:$F$42,SMALL(IF("Documento no web"='03.Muestra'!$D$8:$D$42,ROW('03.Muestra'!$F$8:$F$42)-MIN(ROW('03.Muestra'!$D$8:$D$42))+1,""),ROW()-1500)),"")</f>
        <v/>
      </c>
      <c r="D1526" s="130" t="str">
        <f t="shared" si="79"/>
        <v/>
      </c>
      <c r="E1526" s="107" t="str">
        <f t="shared" si="78"/>
        <v/>
      </c>
      <c r="F1526" s="19"/>
      <c r="G1526" s="19"/>
      <c r="H1526" s="19"/>
      <c r="I1526" s="19"/>
      <c r="J1526" s="19"/>
      <c r="K1526" s="233"/>
      <c r="L1526" s="19"/>
    </row>
    <row r="1527" spans="1:12" ht="13.5" customHeight="1">
      <c r="A1527" s="219" t="str" cm="1">
        <f t="array" ref="A1527">IFERROR(INDEX('03.Muestra'!$B$8:$B$42,SMALL(IF("Documento no web"='03.Muestra'!$D$8:$D$42,ROW('03.Muestra'!$B$8:$B$42)-MIN(ROW('03.Muestra'!$D$8:$D$42))+1,""),ROW()-1500)),"")</f>
        <v/>
      </c>
      <c r="B1527" s="114" t="str" cm="1">
        <f t="array" ref="B1527">IFERROR(INDEX('03.Muestra'!$C$8:$C$42,SMALL(IF("Documento no web"='03.Muestra'!$D$8:$D$42,ROW('03.Muestra'!$C$8:$C$42)-MIN(ROW('03.Muestra'!$D$8:$D$42))+1,""),ROW()-1500)),"")</f>
        <v/>
      </c>
      <c r="C1527" s="114" t="str" cm="1">
        <f t="array" ref="C1527">IFERROR(INDEX('03.Muestra'!$F$8:$F$42,SMALL(IF("Documento no web"='03.Muestra'!$D$8:$D$42,ROW('03.Muestra'!$F$8:$F$42)-MIN(ROW('03.Muestra'!$D$8:$D$42))+1,""),ROW()-1500)),"")</f>
        <v/>
      </c>
      <c r="D1527" s="130" t="str">
        <f t="shared" si="79"/>
        <v/>
      </c>
      <c r="E1527" s="107" t="str">
        <f t="shared" si="78"/>
        <v/>
      </c>
      <c r="F1527" s="19"/>
      <c r="G1527" s="19"/>
      <c r="H1527" s="19"/>
      <c r="I1527" s="19"/>
      <c r="J1527" s="19"/>
      <c r="K1527" s="233"/>
      <c r="L1527" s="19"/>
    </row>
    <row r="1528" spans="1:12" ht="13.5" customHeight="1">
      <c r="A1528" s="219" t="str" cm="1">
        <f t="array" ref="A1528">IFERROR(INDEX('03.Muestra'!$B$8:$B$42,SMALL(IF("Documento no web"='03.Muestra'!$D$8:$D$42,ROW('03.Muestra'!$B$8:$B$42)-MIN(ROW('03.Muestra'!$D$8:$D$42))+1,""),ROW()-1500)),"")</f>
        <v/>
      </c>
      <c r="B1528" s="114" t="str" cm="1">
        <f t="array" ref="B1528">IFERROR(INDEX('03.Muestra'!$C$8:$C$42,SMALL(IF("Documento no web"='03.Muestra'!$D$8:$D$42,ROW('03.Muestra'!$C$8:$C$42)-MIN(ROW('03.Muestra'!$D$8:$D$42))+1,""),ROW()-1500)),"")</f>
        <v/>
      </c>
      <c r="C1528" s="114" t="str" cm="1">
        <f t="array" ref="C1528">IFERROR(INDEX('03.Muestra'!$F$8:$F$42,SMALL(IF("Documento no web"='03.Muestra'!$D$8:$D$42,ROW('03.Muestra'!$F$8:$F$42)-MIN(ROW('03.Muestra'!$D$8:$D$42))+1,""),ROW()-1500)),"")</f>
        <v/>
      </c>
      <c r="D1528" s="130" t="str">
        <f t="shared" si="79"/>
        <v/>
      </c>
      <c r="E1528" s="107" t="str">
        <f t="shared" si="78"/>
        <v/>
      </c>
      <c r="G1528" s="19"/>
      <c r="H1528" s="19"/>
      <c r="I1528" s="19"/>
      <c r="J1528" s="19"/>
      <c r="K1528" s="233"/>
      <c r="L1528" s="19"/>
    </row>
    <row r="1529" spans="1:12" ht="13.5" customHeight="1">
      <c r="A1529" s="219" t="str" cm="1">
        <f t="array" ref="A1529">IFERROR(INDEX('03.Muestra'!$B$8:$B$42,SMALL(IF("Documento no web"='03.Muestra'!$D$8:$D$42,ROW('03.Muestra'!$B$8:$B$42)-MIN(ROW('03.Muestra'!$D$8:$D$42))+1,""),ROW()-1500)),"")</f>
        <v/>
      </c>
      <c r="B1529" s="114" t="str" cm="1">
        <f t="array" ref="B1529">IFERROR(INDEX('03.Muestra'!$C$8:$C$42,SMALL(IF("Documento no web"='03.Muestra'!$D$8:$D$42,ROW('03.Muestra'!$C$8:$C$42)-MIN(ROW('03.Muestra'!$D$8:$D$42))+1,""),ROW()-1500)),"")</f>
        <v/>
      </c>
      <c r="C1529" s="114" t="str" cm="1">
        <f t="array" ref="C1529">IFERROR(INDEX('03.Muestra'!$F$8:$F$42,SMALL(IF("Documento no web"='03.Muestra'!$D$8:$D$42,ROW('03.Muestra'!$F$8:$F$42)-MIN(ROW('03.Muestra'!$D$8:$D$42))+1,""),ROW()-1500)),"")</f>
        <v/>
      </c>
      <c r="D1529" s="130" t="str">
        <f t="shared" si="79"/>
        <v/>
      </c>
      <c r="E1529" s="107" t="str">
        <f t="shared" si="78"/>
        <v/>
      </c>
      <c r="G1529" s="19"/>
      <c r="H1529" s="19"/>
      <c r="I1529" s="19"/>
      <c r="J1529" s="19"/>
      <c r="K1529" s="233"/>
      <c r="L1529" s="19"/>
    </row>
    <row r="1530" spans="1:12" ht="13.5" customHeight="1">
      <c r="A1530" s="219" t="str" cm="1">
        <f t="array" ref="A1530">IFERROR(INDEX('03.Muestra'!$B$8:$B$42,SMALL(IF("Documento no web"='03.Muestra'!$D$8:$D$42,ROW('03.Muestra'!$B$8:$B$42)-MIN(ROW('03.Muestra'!$D$8:$D$42))+1,""),ROW()-1500)),"")</f>
        <v/>
      </c>
      <c r="B1530" s="114" t="str" cm="1">
        <f t="array" ref="B1530">IFERROR(INDEX('03.Muestra'!$C$8:$C$42,SMALL(IF("Documento no web"='03.Muestra'!$D$8:$D$42,ROW('03.Muestra'!$C$8:$C$42)-MIN(ROW('03.Muestra'!$D$8:$D$42))+1,""),ROW()-1500)),"")</f>
        <v/>
      </c>
      <c r="C1530" s="114" t="str" cm="1">
        <f t="array" ref="C1530">IFERROR(INDEX('03.Muestra'!$F$8:$F$42,SMALL(IF("Documento no web"='03.Muestra'!$D$8:$D$42,ROW('03.Muestra'!$F$8:$F$42)-MIN(ROW('03.Muestra'!$D$8:$D$42))+1,""),ROW()-1500)),"")</f>
        <v/>
      </c>
      <c r="D1530" s="130" t="str">
        <f t="shared" si="79"/>
        <v/>
      </c>
      <c r="E1530" s="107" t="str">
        <f t="shared" si="78"/>
        <v/>
      </c>
      <c r="G1530" s="19"/>
      <c r="H1530" s="19"/>
      <c r="I1530" s="19"/>
      <c r="J1530" s="19"/>
      <c r="K1530" s="233"/>
      <c r="L1530" s="19"/>
    </row>
    <row r="1531" spans="1:12" ht="13.5" customHeight="1">
      <c r="A1531" s="219" t="str" cm="1">
        <f t="array" ref="A1531">IFERROR(INDEX('03.Muestra'!$B$8:$B$42,SMALL(IF("Documento no web"='03.Muestra'!$D$8:$D$42,ROW('03.Muestra'!$B$8:$B$42)-MIN(ROW('03.Muestra'!$D$8:$D$42))+1,""),ROW()-1500)),"")</f>
        <v/>
      </c>
      <c r="B1531" s="114" t="str" cm="1">
        <f t="array" ref="B1531">IFERROR(INDEX('03.Muestra'!$C$8:$C$42,SMALL(IF("Documento no web"='03.Muestra'!$D$8:$D$42,ROW('03.Muestra'!$C$8:$C$42)-MIN(ROW('03.Muestra'!$D$8:$D$42))+1,""),ROW()-1500)),"")</f>
        <v/>
      </c>
      <c r="C1531" s="114" t="str" cm="1">
        <f t="array" ref="C1531">IFERROR(INDEX('03.Muestra'!$F$8:$F$42,SMALL(IF("Documento no web"='03.Muestra'!$D$8:$D$42,ROW('03.Muestra'!$F$8:$F$42)-MIN(ROW('03.Muestra'!$D$8:$D$42))+1,""),ROW()-1500)),"")</f>
        <v/>
      </c>
      <c r="D1531" s="130" t="str">
        <f t="shared" si="79"/>
        <v/>
      </c>
      <c r="E1531" s="107" t="str">
        <f t="shared" si="78"/>
        <v/>
      </c>
      <c r="F1531" s="124"/>
      <c r="G1531" s="19"/>
      <c r="H1531" s="19"/>
      <c r="I1531" s="19"/>
      <c r="J1531" s="19"/>
      <c r="K1531" s="233"/>
      <c r="L1531" s="19"/>
    </row>
    <row r="1532" spans="1:12" ht="13.5" customHeight="1">
      <c r="A1532" s="219" t="str" cm="1">
        <f t="array" ref="A1532">IFERROR(INDEX('03.Muestra'!$B$8:$B$42,SMALL(IF("Documento no web"='03.Muestra'!$D$8:$D$42,ROW('03.Muestra'!$B$8:$B$42)-MIN(ROW('03.Muestra'!$D$8:$D$42))+1,""),ROW()-1500)),"")</f>
        <v/>
      </c>
      <c r="B1532" s="114" t="str" cm="1">
        <f t="array" ref="B1532">IFERROR(INDEX('03.Muestra'!$C$8:$C$42,SMALL(IF("Documento no web"='03.Muestra'!$D$8:$D$42,ROW('03.Muestra'!$C$8:$C$42)-MIN(ROW('03.Muestra'!$D$8:$D$42))+1,""),ROW()-1500)),"")</f>
        <v/>
      </c>
      <c r="C1532" s="114" t="str" cm="1">
        <f t="array" ref="C1532">IFERROR(INDEX('03.Muestra'!$F$8:$F$42,SMALL(IF("Documento no web"='03.Muestra'!$D$8:$D$42,ROW('03.Muestra'!$F$8:$F$42)-MIN(ROW('03.Muestra'!$D$8:$D$42))+1,""),ROW()-1500)),"")</f>
        <v/>
      </c>
      <c r="D1532" s="130" t="str">
        <f t="shared" si="79"/>
        <v/>
      </c>
      <c r="E1532" s="107" t="str">
        <f t="shared" si="78"/>
        <v/>
      </c>
      <c r="F1532" s="124"/>
      <c r="G1532" s="19"/>
      <c r="H1532" s="19"/>
      <c r="I1532" s="19"/>
      <c r="J1532" s="19"/>
      <c r="K1532" s="233"/>
      <c r="L1532" s="19"/>
    </row>
    <row r="1533" spans="1:12" ht="13.5" customHeight="1">
      <c r="A1533" s="219" t="str" cm="1">
        <f t="array" ref="A1533">IFERROR(INDEX('03.Muestra'!$B$8:$B$42,SMALL(IF("Documento no web"='03.Muestra'!$D$8:$D$42,ROW('03.Muestra'!$B$8:$B$42)-MIN(ROW('03.Muestra'!$D$8:$D$42))+1,""),ROW()-1500)),"")</f>
        <v/>
      </c>
      <c r="B1533" s="114" t="str" cm="1">
        <f t="array" ref="B1533">IFERROR(INDEX('03.Muestra'!$C$8:$C$42,SMALL(IF("Documento no web"='03.Muestra'!$D$8:$D$42,ROW('03.Muestra'!$C$8:$C$42)-MIN(ROW('03.Muestra'!$D$8:$D$42))+1,""),ROW()-1500)),"")</f>
        <v/>
      </c>
      <c r="C1533" s="114" t="str" cm="1">
        <f t="array" ref="C1533">IFERROR(INDEX('03.Muestra'!$F$8:$F$42,SMALL(IF("Documento no web"='03.Muestra'!$D$8:$D$42,ROW('03.Muestra'!$F$8:$F$42)-MIN(ROW('03.Muestra'!$D$8:$D$42))+1,""),ROW()-1500)),"")</f>
        <v/>
      </c>
      <c r="D1533" s="130" t="str">
        <f t="shared" si="79"/>
        <v/>
      </c>
      <c r="E1533" s="107" t="str">
        <f t="shared" si="78"/>
        <v/>
      </c>
      <c r="F1533" s="124"/>
      <c r="G1533" s="19"/>
      <c r="H1533" s="19"/>
      <c r="I1533" s="19"/>
      <c r="J1533" s="19"/>
      <c r="K1533" s="233"/>
      <c r="L1533" s="19"/>
    </row>
    <row r="1534" spans="1:12" ht="13.5" customHeight="1">
      <c r="A1534" s="219" t="str" cm="1">
        <f t="array" ref="A1534">IFERROR(INDEX('03.Muestra'!$B$8:$B$42,SMALL(IF("Documento no web"='03.Muestra'!$D$8:$D$42,ROW('03.Muestra'!$B$8:$B$42)-MIN(ROW('03.Muestra'!$D$8:$D$42))+1,""),ROW()-1500)),"")</f>
        <v/>
      </c>
      <c r="B1534" s="114" t="str" cm="1">
        <f t="array" ref="B1534">IFERROR(INDEX('03.Muestra'!$C$8:$C$42,SMALL(IF("Documento no web"='03.Muestra'!$D$8:$D$42,ROW('03.Muestra'!$C$8:$C$42)-MIN(ROW('03.Muestra'!$D$8:$D$42))+1,""),ROW()-1500)),"")</f>
        <v/>
      </c>
      <c r="C1534" s="114" t="str" cm="1">
        <f t="array" ref="C1534">IFERROR(INDEX('03.Muestra'!$F$8:$F$42,SMALL(IF("Documento no web"='03.Muestra'!$D$8:$D$42,ROW('03.Muestra'!$F$8:$F$42)-MIN(ROW('03.Muestra'!$D$8:$D$42))+1,""),ROW()-1500)),"")</f>
        <v/>
      </c>
      <c r="D1534" s="130" t="str">
        <f t="shared" si="79"/>
        <v/>
      </c>
      <c r="E1534" s="107" t="str">
        <f t="shared" si="78"/>
        <v/>
      </c>
      <c r="F1534" s="124"/>
      <c r="G1534" s="19"/>
      <c r="H1534" s="19"/>
      <c r="I1534" s="19"/>
      <c r="J1534" s="19"/>
      <c r="K1534" s="233"/>
      <c r="L1534" s="19"/>
    </row>
    <row r="1535" spans="1:12" ht="13.5" customHeight="1">
      <c r="A1535" s="219" t="str" cm="1">
        <f t="array" ref="A1535">IFERROR(INDEX('03.Muestra'!$B$8:$B$42,SMALL(IF("Documento no web"='03.Muestra'!$D$8:$D$42,ROW('03.Muestra'!$B$8:$B$42)-MIN(ROW('03.Muestra'!$D$8:$D$42))+1,""),ROW()-1500)),"")</f>
        <v/>
      </c>
      <c r="B1535" s="114" t="str" cm="1">
        <f t="array" ref="B1535">IFERROR(INDEX('03.Muestra'!$C$8:$C$42,SMALL(IF("Documento no web"='03.Muestra'!$D$8:$D$42,ROW('03.Muestra'!$C$8:$C$42)-MIN(ROW('03.Muestra'!$D$8:$D$42))+1,""),ROW()-1500)),"")</f>
        <v/>
      </c>
      <c r="C1535" s="114" t="str" cm="1">
        <f t="array" ref="C1535">IFERROR(INDEX('03.Muestra'!$F$8:$F$42,SMALL(IF("Documento no web"='03.Muestra'!$D$8:$D$42,ROW('03.Muestra'!$F$8:$F$42)-MIN(ROW('03.Muestra'!$D$8:$D$42))+1,""),ROW()-1500)),"")</f>
        <v/>
      </c>
      <c r="D1535" s="130" t="str">
        <f t="shared" si="79"/>
        <v/>
      </c>
      <c r="E1535" s="107" t="str">
        <f t="shared" si="78"/>
        <v/>
      </c>
      <c r="F1535" s="19"/>
      <c r="G1535" s="19"/>
      <c r="H1535" s="19"/>
      <c r="I1535" s="19"/>
      <c r="J1535" s="19"/>
      <c r="K1535" s="233"/>
      <c r="L1535" s="19"/>
    </row>
    <row r="1536" spans="1:12" ht="13.5" customHeight="1">
      <c r="B1536" s="19"/>
      <c r="C1536" s="19"/>
      <c r="D1536" s="107"/>
      <c r="E1536" s="19"/>
      <c r="F1536" s="19"/>
      <c r="G1536" s="19"/>
      <c r="H1536" s="19"/>
      <c r="I1536" s="19"/>
      <c r="J1536" s="19"/>
      <c r="K1536" s="233"/>
      <c r="L1536" s="19"/>
    </row>
    <row r="1537" spans="1:12" ht="13.5" customHeight="1">
      <c r="B1537" s="19"/>
      <c r="C1537" s="19"/>
      <c r="D1537" s="107"/>
      <c r="E1537" s="112"/>
      <c r="F1537" s="19"/>
      <c r="G1537" s="19"/>
      <c r="H1537" s="19"/>
      <c r="I1537" s="19"/>
      <c r="J1537" s="19"/>
      <c r="K1537" s="233"/>
      <c r="L1537" s="19"/>
    </row>
    <row r="1538" spans="1:12" ht="30" customHeight="1">
      <c r="A1538" s="218" t="s">
        <v>268</v>
      </c>
      <c r="B1538" s="24" t="s">
        <v>90</v>
      </c>
      <c r="C1538" s="25" t="s">
        <v>462</v>
      </c>
      <c r="D1538" s="26" t="s">
        <v>32</v>
      </c>
      <c r="E1538" s="123"/>
      <c r="K1538" s="233"/>
      <c r="L1538" s="19"/>
    </row>
    <row r="1539" spans="1:12" ht="13.5" customHeight="1">
      <c r="A1539" s="219" t="n" cm="1">
        <f t="array" ref="A1539">IFERROR(INDEX('03.Muestra'!$B$8:$B$42,SMALL(IF("Documento no web"='03.Muestra'!$D$8:$D$42,ROW('03.Muestra'!$B$8:$B$42)-MIN(ROW('03.Muestra'!$D$8:$D$42))+1,""),ROW()-1538)),"")</f>
        <v>1.0</v>
      </c>
      <c r="B1539" s="114" t="str" cm="1">
        <f t="array" ref="B1539">IFERROR(INDEX('03.Muestra'!$C$8:$C$42,SMALL(IF("Documento no web"='03.Muestra'!$D$8:$D$42,ROW('03.Muestra'!$C$8:$C$42)-MIN(ROW('03.Muestra'!$D$8:$D$42))+1,""),ROW()-1538)),"")</f>
        <v>Home - PortCastelló</v>
      </c>
      <c r="C1539" s="114" t="str" cm="1">
        <f t="array" ref="C1539">IFERROR(INDEX('03.Muestra'!$F$8:$F$42,SMALL(IF("Documento no web"='03.Muestra'!$D$8:$D$42,ROW('03.Muestra'!$F$8:$F$42)-MIN(ROW('03.Muestra'!$D$8:$D$42))+1,""),ROW()-1538)),"")</f>
        <v>https://www.portcastello.com/</v>
      </c>
      <c r="D1539" s="130" t="s">
        <v>33</v>
      </c>
      <c r="E1539" s="107" t="str">
        <f t="shared" ref="E1539:E1573" si="80">IF(D1539&lt;&gt;"",IF(AND(B1539&lt;&gt;"",C1539&lt;&gt;""),"","ERR"),"")</f>
        <v/>
      </c>
      <c r="F1539" s="115" t="s">
        <v>33</v>
      </c>
      <c r="G1539" s="116" t="s">
        <v>37</v>
      </c>
      <c r="H1539" s="117" t="s">
        <v>35</v>
      </c>
      <c r="I1539" s="118" t="s">
        <v>28</v>
      </c>
      <c r="J1539" s="119" t="s">
        <v>26</v>
      </c>
      <c r="K1539" s="226" t="s">
        <v>474</v>
      </c>
    </row>
    <row r="1540" spans="1:12" ht="13.5" customHeight="1">
      <c r="A1540" s="219" t="n" cm="1">
        <f t="array" ref="A1540">IFERROR(INDEX('03.Muestra'!$B$8:$B$42,SMALL(IF("Documento no web"='03.Muestra'!$D$8:$D$42,ROW('03.Muestra'!$B$8:$B$42)-MIN(ROW('03.Muestra'!$D$8:$D$42))+1,""),ROW()-1538)),"")</f>
        <v>1.0</v>
      </c>
      <c r="B1540" s="114" t="str" cm="1">
        <f t="array" ref="B1540">IFERROR(INDEX('03.Muestra'!$C$8:$C$42,SMALL(IF("Documento no web"='03.Muestra'!$D$8:$D$42,ROW('03.Muestra'!$C$8:$C$42)-MIN(ROW('03.Muestra'!$D$8:$D$42))+1,""),ROW()-1538)),"")</f>
        <v>Home - PortCastelló</v>
      </c>
      <c r="C1540" s="114" t="str" cm="1">
        <f t="array" ref="C1540">IFERROR(INDEX('03.Muestra'!$F$8:$F$42,SMALL(IF("Documento no web"='03.Muestra'!$D$8:$D$42,ROW('03.Muestra'!$F$8:$F$42)-MIN(ROW('03.Muestra'!$D$8:$D$42))+1,""),ROW()-1538)),"")</f>
        <v>https://www.portcastello.com/</v>
      </c>
      <c r="D1540" s="130" t="s">
        <v>33</v>
      </c>
      <c r="E1540" s="107" t="str">
        <f t="shared" si="80"/>
        <v/>
      </c>
      <c r="F1540" s="120" t="n">
        <f ca="1">COUNTIF($D1539:INDIRECT("$D" &amp;  SUM(ROW()-1,'03.Muestra'!$D$45)-1),F1539)</f>
        <v>2.0</v>
      </c>
      <c r="G1540" s="120" t="n">
        <f ca="1">COUNTIF($D1539:INDIRECT("$D" &amp;  SUM(ROW()-1,'03.Muestra'!$D$45)-1),G1539)</f>
        <v>0.0</v>
      </c>
      <c r="H1540" s="120" t="n">
        <f ca="1">COUNTIF($D1539:INDIRECT("$D" &amp;  SUM(ROW()-1,'03.Muestra'!$D$45)-1),H1539)</f>
        <v>0.0</v>
      </c>
      <c r="I1540" s="120" t="n">
        <f ca="1">COUNTIF($D1539:INDIRECT("$D" &amp;  SUM(ROW()-1,'03.Muestra'!$D$45)-1),I1539)</f>
        <v>0.0</v>
      </c>
      <c r="J1540" s="120" t="n">
        <f ca="1">COUNTIF($D1539:INDIRECT("$D" &amp;  SUM(ROW()-1,'03.Muestra'!$D$45)-1),J1539)</f>
        <v>0.0</v>
      </c>
      <c r="K1540" s="227" t="n">
        <f ca="1">IF(COUNTIF('03.Muestra'!$D$8:$D$42,"Documento no web")=0,0,COUNTBLANK($D1539:INDIRECT("$D" &amp;  SUM(ROW()-1,COUNTIF('03.Muestra'!$D$8:$D$42,"Documento no web"))-1)))</f>
        <v>0.0</v>
      </c>
    </row>
    <row r="1541" spans="1:12" ht="13.5" customHeight="1">
      <c r="A1541" s="219" t="str" cm="1">
        <f t="array" ref="A1541">IFERROR(INDEX('03.Muestra'!$B$8:$B$42,SMALL(IF("Documento no web"='03.Muestra'!$D$8:$D$42,ROW('03.Muestra'!$B$8:$B$42)-MIN(ROW('03.Muestra'!$D$8:$D$42))+1,""),ROW()-1538)),"")</f>
        <v/>
      </c>
      <c r="B1541" s="114" t="str" cm="1">
        <f t="array" ref="B1541">IFERROR(INDEX('03.Muestra'!$C$8:$C$42,SMALL(IF("Documento no web"='03.Muestra'!$D$8:$D$42,ROW('03.Muestra'!$C$8:$C$42)-MIN(ROW('03.Muestra'!$D$8:$D$42))+1,""),ROW()-1538)),"")</f>
        <v/>
      </c>
      <c r="C1541" s="114" t="str" cm="1">
        <f t="array" ref="C1541">IFERROR(INDEX('03.Muestra'!$F$8:$F$42,SMALL(IF("Documento no web"='03.Muestra'!$D$8:$D$42,ROW('03.Muestra'!$F$8:$F$42)-MIN(ROW('03.Muestra'!$D$8:$D$42))+1,""),ROW()-1538)),"")</f>
        <v/>
      </c>
      <c r="D1541" s="130" t="str">
        <f t="shared" si="81" ref="D1541:D1573">IF(AND(B1541&lt;&gt;"",C1541&lt;&gt;""),"N/T","")</f>
        <v/>
      </c>
      <c r="E1541" s="107" t="str">
        <f t="shared" si="80"/>
        <v/>
      </c>
      <c r="G1541" s="19"/>
      <c r="H1541" s="19"/>
      <c r="I1541" s="19"/>
      <c r="J1541" s="19"/>
      <c r="K1541" s="233"/>
    </row>
    <row r="1542" spans="1:12" ht="13.5" customHeight="1">
      <c r="A1542" s="219" t="str" cm="1">
        <f t="array" ref="A1542">IFERROR(INDEX('03.Muestra'!$B$8:$B$42,SMALL(IF("Documento no web"='03.Muestra'!$D$8:$D$42,ROW('03.Muestra'!$B$8:$B$42)-MIN(ROW('03.Muestra'!$D$8:$D$42))+1,""),ROW()-1538)),"")</f>
        <v/>
      </c>
      <c r="B1542" s="114" t="str" cm="1">
        <f t="array" ref="B1542">IFERROR(INDEX('03.Muestra'!$C$8:$C$42,SMALL(IF("Documento no web"='03.Muestra'!$D$8:$D$42,ROW('03.Muestra'!$C$8:$C$42)-MIN(ROW('03.Muestra'!$D$8:$D$42))+1,""),ROW()-1538)),"")</f>
        <v/>
      </c>
      <c r="C1542" s="114" t="str" cm="1">
        <f t="array" ref="C1542">IFERROR(INDEX('03.Muestra'!$F$8:$F$42,SMALL(IF("Documento no web"='03.Muestra'!$D$8:$D$42,ROW('03.Muestra'!$F$8:$F$42)-MIN(ROW('03.Muestra'!$D$8:$D$42))+1,""),ROW()-1538)),"")</f>
        <v/>
      </c>
      <c r="D1542" s="130" t="str">
        <f t="shared" si="81"/>
        <v/>
      </c>
      <c r="E1542" s="107" t="str">
        <f t="shared" si="80"/>
        <v/>
      </c>
      <c r="G1542" s="19"/>
      <c r="H1542" s="19"/>
      <c r="I1542" s="19"/>
      <c r="J1542" s="19"/>
      <c r="K1542" s="233"/>
    </row>
    <row r="1543" spans="1:12" ht="13.5" customHeight="1">
      <c r="A1543" s="219" t="str" cm="1">
        <f t="array" ref="A1543">IFERROR(INDEX('03.Muestra'!$B$8:$B$42,SMALL(IF("Documento no web"='03.Muestra'!$D$8:$D$42,ROW('03.Muestra'!$B$8:$B$42)-MIN(ROW('03.Muestra'!$D$8:$D$42))+1,""),ROW()-1538)),"")</f>
        <v/>
      </c>
      <c r="B1543" s="114" t="str" cm="1">
        <f t="array" ref="B1543">IFERROR(INDEX('03.Muestra'!$C$8:$C$42,SMALL(IF("Documento no web"='03.Muestra'!$D$8:$D$42,ROW('03.Muestra'!$C$8:$C$42)-MIN(ROW('03.Muestra'!$D$8:$D$42))+1,""),ROW()-1538)),"")</f>
        <v/>
      </c>
      <c r="C1543" s="114" t="str" cm="1">
        <f t="array" ref="C1543">IFERROR(INDEX('03.Muestra'!$F$8:$F$42,SMALL(IF("Documento no web"='03.Muestra'!$D$8:$D$42,ROW('03.Muestra'!$F$8:$F$42)-MIN(ROW('03.Muestra'!$D$8:$D$42))+1,""),ROW()-1538)),"")</f>
        <v/>
      </c>
      <c r="D1543" s="130" t="str">
        <f t="shared" si="81"/>
        <v/>
      </c>
      <c r="E1543" s="107" t="str">
        <f t="shared" si="80"/>
        <v/>
      </c>
      <c r="G1543" s="19"/>
      <c r="H1543" s="19"/>
      <c r="I1543" s="19"/>
      <c r="J1543" s="19"/>
      <c r="K1543" s="233"/>
    </row>
    <row r="1544" spans="1:12" ht="13.5" customHeight="1">
      <c r="A1544" s="219" t="str" cm="1">
        <f t="array" ref="A1544">IFERROR(INDEX('03.Muestra'!$B$8:$B$42,SMALL(IF("Documento no web"='03.Muestra'!$D$8:$D$42,ROW('03.Muestra'!$B$8:$B$42)-MIN(ROW('03.Muestra'!$D$8:$D$42))+1,""),ROW()-1538)),"")</f>
        <v/>
      </c>
      <c r="B1544" s="114" t="str" cm="1">
        <f t="array" ref="B1544">IFERROR(INDEX('03.Muestra'!$C$8:$C$42,SMALL(IF("Documento no web"='03.Muestra'!$D$8:$D$42,ROW('03.Muestra'!$C$8:$C$42)-MIN(ROW('03.Muestra'!$D$8:$D$42))+1,""),ROW()-1538)),"")</f>
        <v/>
      </c>
      <c r="C1544" s="114" t="str" cm="1">
        <f t="array" ref="C1544">IFERROR(INDEX('03.Muestra'!$F$8:$F$42,SMALL(IF("Documento no web"='03.Muestra'!$D$8:$D$42,ROW('03.Muestra'!$F$8:$F$42)-MIN(ROW('03.Muestra'!$D$8:$D$42))+1,""),ROW()-1538)),"")</f>
        <v/>
      </c>
      <c r="D1544" s="130" t="str">
        <f t="shared" si="81"/>
        <v/>
      </c>
      <c r="E1544" s="107" t="str">
        <f t="shared" si="80"/>
        <v/>
      </c>
      <c r="G1544" s="19"/>
      <c r="H1544" s="19"/>
      <c r="I1544" s="19"/>
      <c r="J1544" s="19"/>
      <c r="K1544" s="233"/>
    </row>
    <row r="1545" spans="1:12" ht="13.5" customHeight="1">
      <c r="A1545" s="219" t="str" cm="1">
        <f t="array" ref="A1545">IFERROR(INDEX('03.Muestra'!$B$8:$B$42,SMALL(IF("Documento no web"='03.Muestra'!$D$8:$D$42,ROW('03.Muestra'!$B$8:$B$42)-MIN(ROW('03.Muestra'!$D$8:$D$42))+1,""),ROW()-1538)),"")</f>
        <v/>
      </c>
      <c r="B1545" s="114" t="str" cm="1">
        <f t="array" ref="B1545">IFERROR(INDEX('03.Muestra'!$C$8:$C$42,SMALL(IF("Documento no web"='03.Muestra'!$D$8:$D$42,ROW('03.Muestra'!$C$8:$C$42)-MIN(ROW('03.Muestra'!$D$8:$D$42))+1,""),ROW()-1538)),"")</f>
        <v/>
      </c>
      <c r="C1545" s="114" t="str" cm="1">
        <f t="array" ref="C1545">IFERROR(INDEX('03.Muestra'!$F$8:$F$42,SMALL(IF("Documento no web"='03.Muestra'!$D$8:$D$42,ROW('03.Muestra'!$F$8:$F$42)-MIN(ROW('03.Muestra'!$D$8:$D$42))+1,""),ROW()-1538)),"")</f>
        <v/>
      </c>
      <c r="D1545" s="130" t="str">
        <f t="shared" si="81"/>
        <v/>
      </c>
      <c r="E1545" s="107" t="str">
        <f t="shared" si="80"/>
        <v/>
      </c>
      <c r="F1545" s="19"/>
      <c r="G1545" s="19"/>
      <c r="H1545" s="19"/>
      <c r="I1545" s="19"/>
      <c r="J1545" s="19"/>
      <c r="K1545" s="233"/>
      <c r="L1545" s="19"/>
    </row>
    <row r="1546" spans="1:12" ht="13.5" customHeight="1">
      <c r="A1546" s="219" t="str" cm="1">
        <f t="array" ref="A1546">IFERROR(INDEX('03.Muestra'!$B$8:$B$42,SMALL(IF("Documento no web"='03.Muestra'!$D$8:$D$42,ROW('03.Muestra'!$B$8:$B$42)-MIN(ROW('03.Muestra'!$D$8:$D$42))+1,""),ROW()-1538)),"")</f>
        <v/>
      </c>
      <c r="B1546" s="114" t="str" cm="1">
        <f t="array" ref="B1546">IFERROR(INDEX('03.Muestra'!$C$8:$C$42,SMALL(IF("Documento no web"='03.Muestra'!$D$8:$D$42,ROW('03.Muestra'!$C$8:$C$42)-MIN(ROW('03.Muestra'!$D$8:$D$42))+1,""),ROW()-1538)),"")</f>
        <v/>
      </c>
      <c r="C1546" s="114" t="str" cm="1">
        <f t="array" ref="C1546">IFERROR(INDEX('03.Muestra'!$F$8:$F$42,SMALL(IF("Documento no web"='03.Muestra'!$D$8:$D$42,ROW('03.Muestra'!$F$8:$F$42)-MIN(ROW('03.Muestra'!$D$8:$D$42))+1,""),ROW()-1538)),"")</f>
        <v/>
      </c>
      <c r="D1546" s="130" t="str">
        <f t="shared" si="81"/>
        <v/>
      </c>
      <c r="E1546" s="107" t="str">
        <f t="shared" si="80"/>
        <v/>
      </c>
      <c r="F1546" s="19"/>
      <c r="G1546" s="19"/>
      <c r="H1546" s="19"/>
      <c r="I1546" s="19"/>
      <c r="J1546" s="19"/>
      <c r="K1546" s="233"/>
      <c r="L1546" s="19"/>
    </row>
    <row r="1547" spans="1:12" ht="13.5" customHeight="1">
      <c r="A1547" s="219" t="str" cm="1">
        <f t="array" ref="A1547">IFERROR(INDEX('03.Muestra'!$B$8:$B$42,SMALL(IF("Documento no web"='03.Muestra'!$D$8:$D$42,ROW('03.Muestra'!$B$8:$B$42)-MIN(ROW('03.Muestra'!$D$8:$D$42))+1,""),ROW()-1538)),"")</f>
        <v/>
      </c>
      <c r="B1547" s="114" t="str" cm="1">
        <f t="array" ref="B1547">IFERROR(INDEX('03.Muestra'!$C$8:$C$42,SMALL(IF("Documento no web"='03.Muestra'!$D$8:$D$42,ROW('03.Muestra'!$C$8:$C$42)-MIN(ROW('03.Muestra'!$D$8:$D$42))+1,""),ROW()-1538)),"")</f>
        <v/>
      </c>
      <c r="C1547" s="114" t="str" cm="1">
        <f t="array" ref="C1547">IFERROR(INDEX('03.Muestra'!$F$8:$F$42,SMALL(IF("Documento no web"='03.Muestra'!$D$8:$D$42,ROW('03.Muestra'!$F$8:$F$42)-MIN(ROW('03.Muestra'!$D$8:$D$42))+1,""),ROW()-1538)),"")</f>
        <v/>
      </c>
      <c r="D1547" s="130" t="str">
        <f t="shared" si="81"/>
        <v/>
      </c>
      <c r="E1547" s="107" t="str">
        <f t="shared" si="80"/>
        <v/>
      </c>
      <c r="F1547" s="19"/>
      <c r="G1547" s="19"/>
      <c r="H1547" s="19"/>
      <c r="I1547" s="19"/>
      <c r="J1547" s="19"/>
      <c r="K1547" s="233"/>
    </row>
    <row r="1548" spans="1:12" ht="13.5" customHeight="1">
      <c r="A1548" s="219" t="str" cm="1">
        <f t="array" ref="A1548">IFERROR(INDEX('03.Muestra'!$B$8:$B$42,SMALL(IF("Documento no web"='03.Muestra'!$D$8:$D$42,ROW('03.Muestra'!$B$8:$B$42)-MIN(ROW('03.Muestra'!$D$8:$D$42))+1,""),ROW()-1538)),"")</f>
        <v/>
      </c>
      <c r="B1548" s="114" t="str" cm="1">
        <f t="array" ref="B1548">IFERROR(INDEX('03.Muestra'!$C$8:$C$42,SMALL(IF("Documento no web"='03.Muestra'!$D$8:$D$42,ROW('03.Muestra'!$C$8:$C$42)-MIN(ROW('03.Muestra'!$D$8:$D$42))+1,""),ROW()-1538)),"")</f>
        <v/>
      </c>
      <c r="C1548" s="114" t="str" cm="1">
        <f t="array" ref="C1548">IFERROR(INDEX('03.Muestra'!$F$8:$F$42,SMALL(IF("Documento no web"='03.Muestra'!$D$8:$D$42,ROW('03.Muestra'!$F$8:$F$42)-MIN(ROW('03.Muestra'!$D$8:$D$42))+1,""),ROW()-1538)),"")</f>
        <v/>
      </c>
      <c r="D1548" s="130" t="str">
        <f t="shared" si="81"/>
        <v/>
      </c>
      <c r="E1548" s="107" t="str">
        <f t="shared" si="80"/>
        <v/>
      </c>
      <c r="F1548" s="19"/>
      <c r="G1548" s="19"/>
      <c r="H1548" s="19"/>
      <c r="I1548" s="19"/>
      <c r="J1548" s="19"/>
      <c r="K1548" s="233"/>
    </row>
    <row r="1549" spans="1:12" ht="13.5" customHeight="1">
      <c r="A1549" s="219" t="str" cm="1">
        <f t="array" ref="A1549">IFERROR(INDEX('03.Muestra'!$B$8:$B$42,SMALL(IF("Documento no web"='03.Muestra'!$D$8:$D$42,ROW('03.Muestra'!$B$8:$B$42)-MIN(ROW('03.Muestra'!$D$8:$D$42))+1,""),ROW()-1538)),"")</f>
        <v/>
      </c>
      <c r="B1549" s="114" t="str" cm="1">
        <f t="array" ref="B1549">IFERROR(INDEX('03.Muestra'!$C$8:$C$42,SMALL(IF("Documento no web"='03.Muestra'!$D$8:$D$42,ROW('03.Muestra'!$C$8:$C$42)-MIN(ROW('03.Muestra'!$D$8:$D$42))+1,""),ROW()-1538)),"")</f>
        <v/>
      </c>
      <c r="C1549" s="114" t="str" cm="1">
        <f t="array" ref="C1549">IFERROR(INDEX('03.Muestra'!$F$8:$F$42,SMALL(IF("Documento no web"='03.Muestra'!$D$8:$D$42,ROW('03.Muestra'!$F$8:$F$42)-MIN(ROW('03.Muestra'!$D$8:$D$42))+1,""),ROW()-1538)),"")</f>
        <v/>
      </c>
      <c r="D1549" s="130" t="str">
        <f t="shared" si="81"/>
        <v/>
      </c>
      <c r="E1549" s="107" t="str">
        <f t="shared" si="80"/>
        <v/>
      </c>
      <c r="F1549" s="19"/>
      <c r="G1549" s="19"/>
      <c r="H1549" s="19"/>
      <c r="I1549" s="19"/>
      <c r="J1549" s="19"/>
      <c r="K1549" s="233"/>
      <c r="L1549" s="19"/>
    </row>
    <row r="1550" spans="1:12" ht="13.5" customHeight="1">
      <c r="A1550" s="219" t="str" cm="1">
        <f t="array" ref="A1550">IFERROR(INDEX('03.Muestra'!$B$8:$B$42,SMALL(IF("Documento no web"='03.Muestra'!$D$8:$D$42,ROW('03.Muestra'!$B$8:$B$42)-MIN(ROW('03.Muestra'!$D$8:$D$42))+1,""),ROW()-1538)),"")</f>
        <v/>
      </c>
      <c r="B1550" s="114" t="str" cm="1">
        <f t="array" ref="B1550">IFERROR(INDEX('03.Muestra'!$C$8:$C$42,SMALL(IF("Documento no web"='03.Muestra'!$D$8:$D$42,ROW('03.Muestra'!$C$8:$C$42)-MIN(ROW('03.Muestra'!$D$8:$D$42))+1,""),ROW()-1538)),"")</f>
        <v/>
      </c>
      <c r="C1550" s="114" t="str" cm="1">
        <f t="array" ref="C1550">IFERROR(INDEX('03.Muestra'!$F$8:$F$42,SMALL(IF("Documento no web"='03.Muestra'!$D$8:$D$42,ROW('03.Muestra'!$F$8:$F$42)-MIN(ROW('03.Muestra'!$D$8:$D$42))+1,""),ROW()-1538)),"")</f>
        <v/>
      </c>
      <c r="D1550" s="130" t="str">
        <f t="shared" si="81"/>
        <v/>
      </c>
      <c r="E1550" s="107" t="str">
        <f t="shared" si="80"/>
        <v/>
      </c>
      <c r="F1550" s="19"/>
      <c r="G1550" s="19"/>
      <c r="H1550" s="19"/>
      <c r="I1550" s="19"/>
      <c r="J1550" s="19"/>
      <c r="K1550" s="233"/>
      <c r="L1550" s="19"/>
    </row>
    <row r="1551" spans="1:12" ht="13.5" customHeight="1">
      <c r="A1551" s="219" t="str" cm="1">
        <f t="array" ref="A1551">IFERROR(INDEX('03.Muestra'!$B$8:$B$42,SMALL(IF("Documento no web"='03.Muestra'!$D$8:$D$42,ROW('03.Muestra'!$B$8:$B$42)-MIN(ROW('03.Muestra'!$D$8:$D$42))+1,""),ROW()-1538)),"")</f>
        <v/>
      </c>
      <c r="B1551" s="114" t="str" cm="1">
        <f t="array" ref="B1551">IFERROR(INDEX('03.Muestra'!$C$8:$C$42,SMALL(IF("Documento no web"='03.Muestra'!$D$8:$D$42,ROW('03.Muestra'!$C$8:$C$42)-MIN(ROW('03.Muestra'!$D$8:$D$42))+1,""),ROW()-1538)),"")</f>
        <v/>
      </c>
      <c r="C1551" s="114" t="str" cm="1">
        <f t="array" ref="C1551">IFERROR(INDEX('03.Muestra'!$F$8:$F$42,SMALL(IF("Documento no web"='03.Muestra'!$D$8:$D$42,ROW('03.Muestra'!$F$8:$F$42)-MIN(ROW('03.Muestra'!$D$8:$D$42))+1,""),ROW()-1538)),"")</f>
        <v/>
      </c>
      <c r="D1551" s="130" t="str">
        <f t="shared" si="81"/>
        <v/>
      </c>
      <c r="E1551" s="107" t="str">
        <f t="shared" si="80"/>
        <v/>
      </c>
      <c r="F1551" s="19"/>
      <c r="G1551" s="19"/>
      <c r="H1551" s="19"/>
      <c r="I1551" s="19"/>
      <c r="J1551" s="19"/>
      <c r="K1551" s="233"/>
      <c r="L1551" s="19"/>
    </row>
    <row r="1552" spans="1:12" ht="13.5" customHeight="1">
      <c r="A1552" s="219" t="str" cm="1">
        <f t="array" ref="A1552">IFERROR(INDEX('03.Muestra'!$B$8:$B$42,SMALL(IF("Documento no web"='03.Muestra'!$D$8:$D$42,ROW('03.Muestra'!$B$8:$B$42)-MIN(ROW('03.Muestra'!$D$8:$D$42))+1,""),ROW()-1538)),"")</f>
        <v/>
      </c>
      <c r="B1552" s="114" t="str" cm="1">
        <f t="array" ref="B1552">IFERROR(INDEX('03.Muestra'!$C$8:$C$42,SMALL(IF("Documento no web"='03.Muestra'!$D$8:$D$42,ROW('03.Muestra'!$C$8:$C$42)-MIN(ROW('03.Muestra'!$D$8:$D$42))+1,""),ROW()-1538)),"")</f>
        <v/>
      </c>
      <c r="C1552" s="114" t="str" cm="1">
        <f t="array" ref="C1552">IFERROR(INDEX('03.Muestra'!$F$8:$F$42,SMALL(IF("Documento no web"='03.Muestra'!$D$8:$D$42,ROW('03.Muestra'!$F$8:$F$42)-MIN(ROW('03.Muestra'!$D$8:$D$42))+1,""),ROW()-1538)),"")</f>
        <v/>
      </c>
      <c r="D1552" s="130" t="str">
        <f t="shared" si="81"/>
        <v/>
      </c>
      <c r="E1552" s="107" t="str">
        <f t="shared" si="80"/>
        <v/>
      </c>
      <c r="F1552" s="19"/>
      <c r="G1552" s="19"/>
      <c r="H1552" s="19"/>
      <c r="I1552" s="19"/>
      <c r="J1552" s="19"/>
      <c r="K1552" s="233"/>
      <c r="L1552" s="19"/>
    </row>
    <row r="1553" spans="1:12" ht="13.5" customHeight="1">
      <c r="A1553" s="219" t="str" cm="1">
        <f t="array" ref="A1553">IFERROR(INDEX('03.Muestra'!$B$8:$B$42,SMALL(IF("Documento no web"='03.Muestra'!$D$8:$D$42,ROW('03.Muestra'!$B$8:$B$42)-MIN(ROW('03.Muestra'!$D$8:$D$42))+1,""),ROW()-1538)),"")</f>
        <v/>
      </c>
      <c r="B1553" s="114" t="str" cm="1">
        <f t="array" ref="B1553">IFERROR(INDEX('03.Muestra'!$C$8:$C$42,SMALL(IF("Documento no web"='03.Muestra'!$D$8:$D$42,ROW('03.Muestra'!$C$8:$C$42)-MIN(ROW('03.Muestra'!$D$8:$D$42))+1,""),ROW()-1538)),"")</f>
        <v/>
      </c>
      <c r="C1553" s="114" t="str" cm="1">
        <f t="array" ref="C1553">IFERROR(INDEX('03.Muestra'!$F$8:$F$42,SMALL(IF("Documento no web"='03.Muestra'!$D$8:$D$42,ROW('03.Muestra'!$F$8:$F$42)-MIN(ROW('03.Muestra'!$D$8:$D$42))+1,""),ROW()-1538)),"")</f>
        <v/>
      </c>
      <c r="D1553" s="130" t="str">
        <f t="shared" si="81"/>
        <v/>
      </c>
      <c r="E1553" s="107" t="str">
        <f t="shared" si="80"/>
        <v/>
      </c>
      <c r="F1553" s="19"/>
      <c r="G1553" s="19"/>
      <c r="H1553" s="19"/>
      <c r="I1553" s="19"/>
      <c r="J1553" s="19"/>
      <c r="K1553" s="233"/>
      <c r="L1553" s="19"/>
    </row>
    <row r="1554" spans="1:12" ht="13.5" customHeight="1">
      <c r="A1554" s="219" t="str" cm="1">
        <f t="array" ref="A1554">IFERROR(INDEX('03.Muestra'!$B$8:$B$42,SMALL(IF("Documento no web"='03.Muestra'!$D$8:$D$42,ROW('03.Muestra'!$B$8:$B$42)-MIN(ROW('03.Muestra'!$D$8:$D$42))+1,""),ROW()-1538)),"")</f>
        <v/>
      </c>
      <c r="B1554" s="114" t="str" cm="1">
        <f t="array" ref="B1554">IFERROR(INDEX('03.Muestra'!$C$8:$C$42,SMALL(IF("Documento no web"='03.Muestra'!$D$8:$D$42,ROW('03.Muestra'!$C$8:$C$42)-MIN(ROW('03.Muestra'!$D$8:$D$42))+1,""),ROW()-1538)),"")</f>
        <v/>
      </c>
      <c r="C1554" s="114" t="str" cm="1">
        <f t="array" ref="C1554">IFERROR(INDEX('03.Muestra'!$F$8:$F$42,SMALL(IF("Documento no web"='03.Muestra'!$D$8:$D$42,ROW('03.Muestra'!$F$8:$F$42)-MIN(ROW('03.Muestra'!$D$8:$D$42))+1,""),ROW()-1538)),"")</f>
        <v/>
      </c>
      <c r="D1554" s="130" t="str">
        <f t="shared" si="81"/>
        <v/>
      </c>
      <c r="E1554" s="107" t="str">
        <f t="shared" si="80"/>
        <v/>
      </c>
      <c r="F1554" s="19"/>
      <c r="G1554" s="19"/>
      <c r="H1554" s="19"/>
      <c r="I1554" s="19"/>
      <c r="J1554" s="19"/>
      <c r="K1554" s="233"/>
      <c r="L1554" s="19"/>
    </row>
    <row r="1555" spans="1:12" ht="13.5" customHeight="1">
      <c r="A1555" s="219" t="str" cm="1">
        <f t="array" ref="A1555">IFERROR(INDEX('03.Muestra'!$B$8:$B$42,SMALL(IF("Documento no web"='03.Muestra'!$D$8:$D$42,ROW('03.Muestra'!$B$8:$B$42)-MIN(ROW('03.Muestra'!$D$8:$D$42))+1,""),ROW()-1538)),"")</f>
        <v/>
      </c>
      <c r="B1555" s="114" t="str" cm="1">
        <f t="array" ref="B1555">IFERROR(INDEX('03.Muestra'!$C$8:$C$42,SMALL(IF("Documento no web"='03.Muestra'!$D$8:$D$42,ROW('03.Muestra'!$C$8:$C$42)-MIN(ROW('03.Muestra'!$D$8:$D$42))+1,""),ROW()-1538)),"")</f>
        <v/>
      </c>
      <c r="C1555" s="114" t="str" cm="1">
        <f t="array" ref="C1555">IFERROR(INDEX('03.Muestra'!$F$8:$F$42,SMALL(IF("Documento no web"='03.Muestra'!$D$8:$D$42,ROW('03.Muestra'!$F$8:$F$42)-MIN(ROW('03.Muestra'!$D$8:$D$42))+1,""),ROW()-1538)),"")</f>
        <v/>
      </c>
      <c r="D1555" s="130" t="str">
        <f t="shared" si="81"/>
        <v/>
      </c>
      <c r="E1555" s="107" t="str">
        <f t="shared" si="80"/>
        <v/>
      </c>
      <c r="F1555" s="19"/>
      <c r="G1555" s="19"/>
      <c r="H1555" s="19"/>
      <c r="I1555" s="19"/>
      <c r="J1555" s="19"/>
      <c r="K1555" s="233"/>
      <c r="L1555" s="19"/>
    </row>
    <row r="1556" spans="1:12" ht="13.5" customHeight="1">
      <c r="A1556" s="219" t="str" cm="1">
        <f t="array" ref="A1556">IFERROR(INDEX('03.Muestra'!$B$8:$B$42,SMALL(IF("Documento no web"='03.Muestra'!$D$8:$D$42,ROW('03.Muestra'!$B$8:$B$42)-MIN(ROW('03.Muestra'!$D$8:$D$42))+1,""),ROW()-1538)),"")</f>
        <v/>
      </c>
      <c r="B1556" s="114" t="str" cm="1">
        <f t="array" ref="B1556">IFERROR(INDEX('03.Muestra'!$C$8:$C$42,SMALL(IF("Documento no web"='03.Muestra'!$D$8:$D$42,ROW('03.Muestra'!$C$8:$C$42)-MIN(ROW('03.Muestra'!$D$8:$D$42))+1,""),ROW()-1538)),"")</f>
        <v/>
      </c>
      <c r="C1556" s="114" t="str" cm="1">
        <f t="array" ref="C1556">IFERROR(INDEX('03.Muestra'!$F$8:$F$42,SMALL(IF("Documento no web"='03.Muestra'!$D$8:$D$42,ROW('03.Muestra'!$F$8:$F$42)-MIN(ROW('03.Muestra'!$D$8:$D$42))+1,""),ROW()-1538)),"")</f>
        <v/>
      </c>
      <c r="D1556" s="130" t="str">
        <f t="shared" si="81"/>
        <v/>
      </c>
      <c r="E1556" s="107" t="str">
        <f t="shared" si="80"/>
        <v/>
      </c>
      <c r="F1556" s="19"/>
      <c r="G1556" s="19"/>
      <c r="H1556" s="19"/>
      <c r="I1556" s="19"/>
      <c r="J1556" s="19"/>
      <c r="K1556" s="233"/>
      <c r="L1556" s="19"/>
    </row>
    <row r="1557" spans="1:12" ht="13.5" customHeight="1">
      <c r="A1557" s="219" t="str" cm="1">
        <f t="array" ref="A1557">IFERROR(INDEX('03.Muestra'!$B$8:$B$42,SMALL(IF("Documento no web"='03.Muestra'!$D$8:$D$42,ROW('03.Muestra'!$B$8:$B$42)-MIN(ROW('03.Muestra'!$D$8:$D$42))+1,""),ROW()-1538)),"")</f>
        <v/>
      </c>
      <c r="B1557" s="114" t="str" cm="1">
        <f t="array" ref="B1557">IFERROR(INDEX('03.Muestra'!$C$8:$C$42,SMALL(IF("Documento no web"='03.Muestra'!$D$8:$D$42,ROW('03.Muestra'!$C$8:$C$42)-MIN(ROW('03.Muestra'!$D$8:$D$42))+1,""),ROW()-1538)),"")</f>
        <v/>
      </c>
      <c r="C1557" s="114" t="str" cm="1">
        <f t="array" ref="C1557">IFERROR(INDEX('03.Muestra'!$F$8:$F$42,SMALL(IF("Documento no web"='03.Muestra'!$D$8:$D$42,ROW('03.Muestra'!$F$8:$F$42)-MIN(ROW('03.Muestra'!$D$8:$D$42))+1,""),ROW()-1538)),"")</f>
        <v/>
      </c>
      <c r="D1557" s="130" t="str">
        <f t="shared" si="81"/>
        <v/>
      </c>
      <c r="E1557" s="107" t="str">
        <f t="shared" si="80"/>
        <v/>
      </c>
      <c r="F1557" s="19"/>
      <c r="G1557" s="19"/>
      <c r="H1557" s="19"/>
      <c r="I1557" s="19"/>
      <c r="J1557" s="19"/>
      <c r="K1557" s="233"/>
      <c r="L1557" s="19"/>
    </row>
    <row r="1558" spans="1:12" ht="13.5" customHeight="1">
      <c r="A1558" s="219" t="str" cm="1">
        <f t="array" ref="A1558">IFERROR(INDEX('03.Muestra'!$B$8:$B$42,SMALL(IF("Documento no web"='03.Muestra'!$D$8:$D$42,ROW('03.Muestra'!$B$8:$B$42)-MIN(ROW('03.Muestra'!$D$8:$D$42))+1,""),ROW()-1538)),"")</f>
        <v/>
      </c>
      <c r="B1558" s="114" t="str" cm="1">
        <f t="array" ref="B1558">IFERROR(INDEX('03.Muestra'!$C$8:$C$42,SMALL(IF("Documento no web"='03.Muestra'!$D$8:$D$42,ROW('03.Muestra'!$C$8:$C$42)-MIN(ROW('03.Muestra'!$D$8:$D$42))+1,""),ROW()-1538)),"")</f>
        <v/>
      </c>
      <c r="C1558" s="114" t="str" cm="1">
        <f t="array" ref="C1558">IFERROR(INDEX('03.Muestra'!$F$8:$F$42,SMALL(IF("Documento no web"='03.Muestra'!$D$8:$D$42,ROW('03.Muestra'!$F$8:$F$42)-MIN(ROW('03.Muestra'!$D$8:$D$42))+1,""),ROW()-1538)),"")</f>
        <v/>
      </c>
      <c r="D1558" s="130" t="str">
        <f t="shared" si="81"/>
        <v/>
      </c>
      <c r="E1558" s="107" t="str">
        <f t="shared" si="80"/>
        <v/>
      </c>
      <c r="F1558" s="19"/>
      <c r="G1558" s="19"/>
      <c r="H1558" s="19"/>
      <c r="I1558" s="19"/>
      <c r="J1558" s="19"/>
      <c r="K1558" s="233"/>
      <c r="L1558" s="19"/>
    </row>
    <row r="1559" spans="1:12" ht="13.5" customHeight="1">
      <c r="A1559" s="219" t="str" cm="1">
        <f t="array" ref="A1559">IFERROR(INDEX('03.Muestra'!$B$8:$B$42,SMALL(IF("Documento no web"='03.Muestra'!$D$8:$D$42,ROW('03.Muestra'!$B$8:$B$42)-MIN(ROW('03.Muestra'!$D$8:$D$42))+1,""),ROW()-1538)),"")</f>
        <v/>
      </c>
      <c r="B1559" s="114" t="str" cm="1">
        <f t="array" ref="B1559">IFERROR(INDEX('03.Muestra'!$C$8:$C$42,SMALL(IF("Documento no web"='03.Muestra'!$D$8:$D$42,ROW('03.Muestra'!$C$8:$C$42)-MIN(ROW('03.Muestra'!$D$8:$D$42))+1,""),ROW()-1538)),"")</f>
        <v/>
      </c>
      <c r="C1559" s="114" t="str" cm="1">
        <f t="array" ref="C1559">IFERROR(INDEX('03.Muestra'!$F$8:$F$42,SMALL(IF("Documento no web"='03.Muestra'!$D$8:$D$42,ROW('03.Muestra'!$F$8:$F$42)-MIN(ROW('03.Muestra'!$D$8:$D$42))+1,""),ROW()-1538)),"")</f>
        <v/>
      </c>
      <c r="D1559" s="130" t="str">
        <f t="shared" si="81"/>
        <v/>
      </c>
      <c r="E1559" s="107" t="str">
        <f t="shared" si="80"/>
        <v/>
      </c>
      <c r="F1559" s="19"/>
      <c r="G1559" s="19"/>
      <c r="H1559" s="19"/>
      <c r="I1559" s="19"/>
      <c r="J1559" s="19"/>
      <c r="K1559" s="233"/>
      <c r="L1559" s="19"/>
    </row>
    <row r="1560" spans="1:12" ht="13.5" customHeight="1">
      <c r="A1560" s="219" t="str" cm="1">
        <f t="array" ref="A1560">IFERROR(INDEX('03.Muestra'!$B$8:$B$42,SMALL(IF("Documento no web"='03.Muestra'!$D$8:$D$42,ROW('03.Muestra'!$B$8:$B$42)-MIN(ROW('03.Muestra'!$D$8:$D$42))+1,""),ROW()-1538)),"")</f>
        <v/>
      </c>
      <c r="B1560" s="114" t="str" cm="1">
        <f t="array" ref="B1560">IFERROR(INDEX('03.Muestra'!$C$8:$C$42,SMALL(IF("Documento no web"='03.Muestra'!$D$8:$D$42,ROW('03.Muestra'!$C$8:$C$42)-MIN(ROW('03.Muestra'!$D$8:$D$42))+1,""),ROW()-1538)),"")</f>
        <v/>
      </c>
      <c r="C1560" s="114" t="str" cm="1">
        <f t="array" ref="C1560">IFERROR(INDEX('03.Muestra'!$F$8:$F$42,SMALL(IF("Documento no web"='03.Muestra'!$D$8:$D$42,ROW('03.Muestra'!$F$8:$F$42)-MIN(ROW('03.Muestra'!$D$8:$D$42))+1,""),ROW()-1538)),"")</f>
        <v/>
      </c>
      <c r="D1560" s="130" t="str">
        <f t="shared" si="81"/>
        <v/>
      </c>
      <c r="E1560" s="107" t="str">
        <f t="shared" si="80"/>
        <v/>
      </c>
      <c r="F1560" s="19"/>
      <c r="G1560" s="19"/>
      <c r="H1560" s="19"/>
      <c r="I1560" s="19"/>
      <c r="J1560" s="19"/>
      <c r="K1560" s="233"/>
      <c r="L1560" s="19"/>
    </row>
    <row r="1561" spans="1:12" ht="13.5" customHeight="1">
      <c r="A1561" s="219" t="str" cm="1">
        <f t="array" ref="A1561">IFERROR(INDEX('03.Muestra'!$B$8:$B$42,SMALL(IF("Documento no web"='03.Muestra'!$D$8:$D$42,ROW('03.Muestra'!$B$8:$B$42)-MIN(ROW('03.Muestra'!$D$8:$D$42))+1,""),ROW()-1538)),"")</f>
        <v/>
      </c>
      <c r="B1561" s="114" t="str" cm="1">
        <f t="array" ref="B1561">IFERROR(INDEX('03.Muestra'!$C$8:$C$42,SMALL(IF("Documento no web"='03.Muestra'!$D$8:$D$42,ROW('03.Muestra'!$C$8:$C$42)-MIN(ROW('03.Muestra'!$D$8:$D$42))+1,""),ROW()-1538)),"")</f>
        <v/>
      </c>
      <c r="C1561" s="114" t="str" cm="1">
        <f t="array" ref="C1561">IFERROR(INDEX('03.Muestra'!$F$8:$F$42,SMALL(IF("Documento no web"='03.Muestra'!$D$8:$D$42,ROW('03.Muestra'!$F$8:$F$42)-MIN(ROW('03.Muestra'!$D$8:$D$42))+1,""),ROW()-1538)),"")</f>
        <v/>
      </c>
      <c r="D1561" s="130" t="str">
        <f t="shared" si="81"/>
        <v/>
      </c>
      <c r="E1561" s="107" t="str">
        <f t="shared" si="80"/>
        <v/>
      </c>
      <c r="F1561" s="19"/>
      <c r="G1561" s="19"/>
      <c r="H1561" s="19"/>
      <c r="I1561" s="19"/>
      <c r="J1561" s="19"/>
      <c r="K1561" s="233"/>
      <c r="L1561" s="19"/>
    </row>
    <row r="1562" spans="1:12" ht="13.5" customHeight="1">
      <c r="A1562" s="219" t="str" cm="1">
        <f t="array" ref="A1562">IFERROR(INDEX('03.Muestra'!$B$8:$B$42,SMALL(IF("Documento no web"='03.Muestra'!$D$8:$D$42,ROW('03.Muestra'!$B$8:$B$42)-MIN(ROW('03.Muestra'!$D$8:$D$42))+1,""),ROW()-1538)),"")</f>
        <v/>
      </c>
      <c r="B1562" s="114" t="str" cm="1">
        <f t="array" ref="B1562">IFERROR(INDEX('03.Muestra'!$C$8:$C$42,SMALL(IF("Documento no web"='03.Muestra'!$D$8:$D$42,ROW('03.Muestra'!$C$8:$C$42)-MIN(ROW('03.Muestra'!$D$8:$D$42))+1,""),ROW()-1538)),"")</f>
        <v/>
      </c>
      <c r="C1562" s="114" t="str" cm="1">
        <f t="array" ref="C1562">IFERROR(INDEX('03.Muestra'!$F$8:$F$42,SMALL(IF("Documento no web"='03.Muestra'!$D$8:$D$42,ROW('03.Muestra'!$F$8:$F$42)-MIN(ROW('03.Muestra'!$D$8:$D$42))+1,""),ROW()-1538)),"")</f>
        <v/>
      </c>
      <c r="D1562" s="130" t="str">
        <f t="shared" si="81"/>
        <v/>
      </c>
      <c r="E1562" s="107" t="str">
        <f t="shared" si="80"/>
        <v/>
      </c>
      <c r="F1562" s="19"/>
      <c r="G1562" s="19"/>
      <c r="H1562" s="19"/>
      <c r="I1562" s="19"/>
      <c r="J1562" s="19"/>
      <c r="K1562" s="233"/>
      <c r="L1562" s="19"/>
    </row>
    <row r="1563" spans="1:12" ht="13.5" customHeight="1">
      <c r="A1563" s="219" t="str" cm="1">
        <f t="array" ref="A1563">IFERROR(INDEX('03.Muestra'!$B$8:$B$42,SMALL(IF("Documento no web"='03.Muestra'!$D$8:$D$42,ROW('03.Muestra'!$B$8:$B$42)-MIN(ROW('03.Muestra'!$D$8:$D$42))+1,""),ROW()-1538)),"")</f>
        <v/>
      </c>
      <c r="B1563" s="114" t="str" cm="1">
        <f t="array" ref="B1563">IFERROR(INDEX('03.Muestra'!$C$8:$C$42,SMALL(IF("Documento no web"='03.Muestra'!$D$8:$D$42,ROW('03.Muestra'!$C$8:$C$42)-MIN(ROW('03.Muestra'!$D$8:$D$42))+1,""),ROW()-1538)),"")</f>
        <v/>
      </c>
      <c r="C1563" s="114" t="str" cm="1">
        <f t="array" ref="C1563">IFERROR(INDEX('03.Muestra'!$F$8:$F$42,SMALL(IF("Documento no web"='03.Muestra'!$D$8:$D$42,ROW('03.Muestra'!$F$8:$F$42)-MIN(ROW('03.Muestra'!$D$8:$D$42))+1,""),ROW()-1538)),"")</f>
        <v/>
      </c>
      <c r="D1563" s="130" t="str">
        <f t="shared" si="81"/>
        <v/>
      </c>
      <c r="E1563" s="107" t="str">
        <f t="shared" si="80"/>
        <v/>
      </c>
      <c r="F1563" s="19"/>
      <c r="G1563" s="19"/>
      <c r="H1563" s="19"/>
      <c r="I1563" s="19"/>
      <c r="J1563" s="19"/>
      <c r="K1563" s="233"/>
      <c r="L1563" s="19"/>
    </row>
    <row r="1564" spans="1:12" ht="13.5" customHeight="1">
      <c r="A1564" s="219" t="str" cm="1">
        <f t="array" ref="A1564">IFERROR(INDEX('03.Muestra'!$B$8:$B$42,SMALL(IF("Documento no web"='03.Muestra'!$D$8:$D$42,ROW('03.Muestra'!$B$8:$B$42)-MIN(ROW('03.Muestra'!$D$8:$D$42))+1,""),ROW()-1538)),"")</f>
        <v/>
      </c>
      <c r="B1564" s="114" t="str" cm="1">
        <f t="array" ref="B1564">IFERROR(INDEX('03.Muestra'!$C$8:$C$42,SMALL(IF("Documento no web"='03.Muestra'!$D$8:$D$42,ROW('03.Muestra'!$C$8:$C$42)-MIN(ROW('03.Muestra'!$D$8:$D$42))+1,""),ROW()-1538)),"")</f>
        <v/>
      </c>
      <c r="C1564" s="114" t="str" cm="1">
        <f t="array" ref="C1564">IFERROR(INDEX('03.Muestra'!$F$8:$F$42,SMALL(IF("Documento no web"='03.Muestra'!$D$8:$D$42,ROW('03.Muestra'!$F$8:$F$42)-MIN(ROW('03.Muestra'!$D$8:$D$42))+1,""),ROW()-1538)),"")</f>
        <v/>
      </c>
      <c r="D1564" s="130" t="str">
        <f t="shared" si="81"/>
        <v/>
      </c>
      <c r="E1564" s="107" t="str">
        <f t="shared" si="80"/>
        <v/>
      </c>
      <c r="F1564" s="19"/>
      <c r="G1564" s="19"/>
      <c r="H1564" s="19"/>
      <c r="I1564" s="19"/>
      <c r="J1564" s="19"/>
      <c r="K1564" s="233"/>
      <c r="L1564" s="19"/>
    </row>
    <row r="1565" spans="1:12" ht="13.5" customHeight="1">
      <c r="A1565" s="219" t="str" cm="1">
        <f t="array" ref="A1565">IFERROR(INDEX('03.Muestra'!$B$8:$B$42,SMALL(IF("Documento no web"='03.Muestra'!$D$8:$D$42,ROW('03.Muestra'!$B$8:$B$42)-MIN(ROW('03.Muestra'!$D$8:$D$42))+1,""),ROW()-1538)),"")</f>
        <v/>
      </c>
      <c r="B1565" s="114" t="str" cm="1">
        <f t="array" ref="B1565">IFERROR(INDEX('03.Muestra'!$C$8:$C$42,SMALL(IF("Documento no web"='03.Muestra'!$D$8:$D$42,ROW('03.Muestra'!$C$8:$C$42)-MIN(ROW('03.Muestra'!$D$8:$D$42))+1,""),ROW()-1538)),"")</f>
        <v/>
      </c>
      <c r="C1565" s="114" t="str" cm="1">
        <f t="array" ref="C1565">IFERROR(INDEX('03.Muestra'!$F$8:$F$42,SMALL(IF("Documento no web"='03.Muestra'!$D$8:$D$42,ROW('03.Muestra'!$F$8:$F$42)-MIN(ROW('03.Muestra'!$D$8:$D$42))+1,""),ROW()-1538)),"")</f>
        <v/>
      </c>
      <c r="D1565" s="130" t="str">
        <f t="shared" si="81"/>
        <v/>
      </c>
      <c r="E1565" s="107" t="str">
        <f t="shared" si="80"/>
        <v/>
      </c>
      <c r="F1565" s="19"/>
      <c r="G1565" s="19"/>
      <c r="H1565" s="19"/>
      <c r="I1565" s="19"/>
      <c r="J1565" s="19"/>
      <c r="K1565" s="233"/>
      <c r="L1565" s="19"/>
    </row>
    <row r="1566" spans="1:12" ht="13.5" customHeight="1">
      <c r="A1566" s="219" t="str" cm="1">
        <f t="array" ref="A1566">IFERROR(INDEX('03.Muestra'!$B$8:$B$42,SMALL(IF("Documento no web"='03.Muestra'!$D$8:$D$42,ROW('03.Muestra'!$B$8:$B$42)-MIN(ROW('03.Muestra'!$D$8:$D$42))+1,""),ROW()-1538)),"")</f>
        <v/>
      </c>
      <c r="B1566" s="114" t="str" cm="1">
        <f t="array" ref="B1566">IFERROR(INDEX('03.Muestra'!$C$8:$C$42,SMALL(IF("Documento no web"='03.Muestra'!$D$8:$D$42,ROW('03.Muestra'!$C$8:$C$42)-MIN(ROW('03.Muestra'!$D$8:$D$42))+1,""),ROW()-1538)),"")</f>
        <v/>
      </c>
      <c r="C1566" s="114" t="str" cm="1">
        <f t="array" ref="C1566">IFERROR(INDEX('03.Muestra'!$F$8:$F$42,SMALL(IF("Documento no web"='03.Muestra'!$D$8:$D$42,ROW('03.Muestra'!$F$8:$F$42)-MIN(ROW('03.Muestra'!$D$8:$D$42))+1,""),ROW()-1538)),"")</f>
        <v/>
      </c>
      <c r="D1566" s="130" t="str">
        <f t="shared" si="81"/>
        <v/>
      </c>
      <c r="E1566" s="107" t="str">
        <f t="shared" si="80"/>
        <v/>
      </c>
      <c r="G1566" s="19"/>
      <c r="H1566" s="19"/>
      <c r="I1566" s="19"/>
      <c r="J1566" s="19"/>
      <c r="K1566" s="233"/>
      <c r="L1566" s="19"/>
    </row>
    <row r="1567" spans="1:12" ht="13.5" customHeight="1">
      <c r="A1567" s="219" t="str" cm="1">
        <f t="array" ref="A1567">IFERROR(INDEX('03.Muestra'!$B$8:$B$42,SMALL(IF("Documento no web"='03.Muestra'!$D$8:$D$42,ROW('03.Muestra'!$B$8:$B$42)-MIN(ROW('03.Muestra'!$D$8:$D$42))+1,""),ROW()-1538)),"")</f>
        <v/>
      </c>
      <c r="B1567" s="114" t="str" cm="1">
        <f t="array" ref="B1567">IFERROR(INDEX('03.Muestra'!$C$8:$C$42,SMALL(IF("Documento no web"='03.Muestra'!$D$8:$D$42,ROW('03.Muestra'!$C$8:$C$42)-MIN(ROW('03.Muestra'!$D$8:$D$42))+1,""),ROW()-1538)),"")</f>
        <v/>
      </c>
      <c r="C1567" s="114" t="str" cm="1">
        <f t="array" ref="C1567">IFERROR(INDEX('03.Muestra'!$F$8:$F$42,SMALL(IF("Documento no web"='03.Muestra'!$D$8:$D$42,ROW('03.Muestra'!$F$8:$F$42)-MIN(ROW('03.Muestra'!$D$8:$D$42))+1,""),ROW()-1538)),"")</f>
        <v/>
      </c>
      <c r="D1567" s="130" t="str">
        <f t="shared" si="81"/>
        <v/>
      </c>
      <c r="E1567" s="107" t="str">
        <f t="shared" si="80"/>
        <v/>
      </c>
      <c r="F1567" s="124"/>
      <c r="G1567" s="19"/>
      <c r="H1567" s="19"/>
      <c r="I1567" s="19"/>
      <c r="J1567" s="19"/>
      <c r="K1567" s="233"/>
      <c r="L1567" s="19"/>
    </row>
    <row r="1568" spans="1:12" ht="13.5" customHeight="1">
      <c r="A1568" s="219" t="str" cm="1">
        <f t="array" ref="A1568">IFERROR(INDEX('03.Muestra'!$B$8:$B$42,SMALL(IF("Documento no web"='03.Muestra'!$D$8:$D$42,ROW('03.Muestra'!$B$8:$B$42)-MIN(ROW('03.Muestra'!$D$8:$D$42))+1,""),ROW()-1538)),"")</f>
        <v/>
      </c>
      <c r="B1568" s="114" t="str" cm="1">
        <f t="array" ref="B1568">IFERROR(INDEX('03.Muestra'!$C$8:$C$42,SMALL(IF("Documento no web"='03.Muestra'!$D$8:$D$42,ROW('03.Muestra'!$C$8:$C$42)-MIN(ROW('03.Muestra'!$D$8:$D$42))+1,""),ROW()-1538)),"")</f>
        <v/>
      </c>
      <c r="C1568" s="114" t="str" cm="1">
        <f t="array" ref="C1568">IFERROR(INDEX('03.Muestra'!$F$8:$F$42,SMALL(IF("Documento no web"='03.Muestra'!$D$8:$D$42,ROW('03.Muestra'!$F$8:$F$42)-MIN(ROW('03.Muestra'!$D$8:$D$42))+1,""),ROW()-1538)),"")</f>
        <v/>
      </c>
      <c r="D1568" s="130" t="str">
        <f t="shared" si="81"/>
        <v/>
      </c>
      <c r="E1568" s="107" t="str">
        <f t="shared" si="80"/>
        <v/>
      </c>
      <c r="F1568" s="124"/>
      <c r="G1568" s="19"/>
      <c r="H1568" s="19"/>
      <c r="I1568" s="19"/>
      <c r="J1568" s="19"/>
      <c r="K1568" s="233"/>
      <c r="L1568" s="19"/>
    </row>
    <row r="1569" spans="1:12" ht="13.5" customHeight="1">
      <c r="A1569" s="219" t="str" cm="1">
        <f t="array" ref="A1569">IFERROR(INDEX('03.Muestra'!$B$8:$B$42,SMALL(IF("Documento no web"='03.Muestra'!$D$8:$D$42,ROW('03.Muestra'!$B$8:$B$42)-MIN(ROW('03.Muestra'!$D$8:$D$42))+1,""),ROW()-1538)),"")</f>
        <v/>
      </c>
      <c r="B1569" s="114" t="str" cm="1">
        <f t="array" ref="B1569">IFERROR(INDEX('03.Muestra'!$C$8:$C$42,SMALL(IF("Documento no web"='03.Muestra'!$D$8:$D$42,ROW('03.Muestra'!$C$8:$C$42)-MIN(ROW('03.Muestra'!$D$8:$D$42))+1,""),ROW()-1538)),"")</f>
        <v/>
      </c>
      <c r="C1569" s="114" t="str" cm="1">
        <f t="array" ref="C1569">IFERROR(INDEX('03.Muestra'!$F$8:$F$42,SMALL(IF("Documento no web"='03.Muestra'!$D$8:$D$42,ROW('03.Muestra'!$F$8:$F$42)-MIN(ROW('03.Muestra'!$D$8:$D$42))+1,""),ROW()-1538)),"")</f>
        <v/>
      </c>
      <c r="D1569" s="130" t="str">
        <f t="shared" si="81"/>
        <v/>
      </c>
      <c r="E1569" s="107" t="str">
        <f t="shared" si="80"/>
        <v/>
      </c>
      <c r="F1569" s="124"/>
      <c r="G1569" s="19"/>
      <c r="H1569" s="19"/>
      <c r="I1569" s="19"/>
      <c r="J1569" s="19"/>
      <c r="K1569" s="233"/>
      <c r="L1569" s="19"/>
    </row>
    <row r="1570" spans="1:12" ht="13.5" customHeight="1">
      <c r="A1570" s="219" t="str" cm="1">
        <f t="array" ref="A1570">IFERROR(INDEX('03.Muestra'!$B$8:$B$42,SMALL(IF("Documento no web"='03.Muestra'!$D$8:$D$42,ROW('03.Muestra'!$B$8:$B$42)-MIN(ROW('03.Muestra'!$D$8:$D$42))+1,""),ROW()-1538)),"")</f>
        <v/>
      </c>
      <c r="B1570" s="114" t="str" cm="1">
        <f t="array" ref="B1570">IFERROR(INDEX('03.Muestra'!$C$8:$C$42,SMALL(IF("Documento no web"='03.Muestra'!$D$8:$D$42,ROW('03.Muestra'!$C$8:$C$42)-MIN(ROW('03.Muestra'!$D$8:$D$42))+1,""),ROW()-1538)),"")</f>
        <v/>
      </c>
      <c r="C1570" s="114" t="str" cm="1">
        <f t="array" ref="C1570">IFERROR(INDEX('03.Muestra'!$F$8:$F$42,SMALL(IF("Documento no web"='03.Muestra'!$D$8:$D$42,ROW('03.Muestra'!$F$8:$F$42)-MIN(ROW('03.Muestra'!$D$8:$D$42))+1,""),ROW()-1538)),"")</f>
        <v/>
      </c>
      <c r="D1570" s="130" t="str">
        <f t="shared" si="81"/>
        <v/>
      </c>
      <c r="E1570" s="107" t="str">
        <f t="shared" si="80"/>
        <v/>
      </c>
      <c r="F1570" s="124"/>
      <c r="G1570" s="19"/>
      <c r="H1570" s="19"/>
      <c r="I1570" s="19"/>
      <c r="J1570" s="19"/>
      <c r="K1570" s="233"/>
      <c r="L1570" s="19"/>
    </row>
    <row r="1571" spans="1:12" ht="13.5" customHeight="1">
      <c r="A1571" s="219" t="str" cm="1">
        <f t="array" ref="A1571">IFERROR(INDEX('03.Muestra'!$B$8:$B$42,SMALL(IF("Documento no web"='03.Muestra'!$D$8:$D$42,ROW('03.Muestra'!$B$8:$B$42)-MIN(ROW('03.Muestra'!$D$8:$D$42))+1,""),ROW()-1538)),"")</f>
        <v/>
      </c>
      <c r="B1571" s="114" t="str" cm="1">
        <f t="array" ref="B1571">IFERROR(INDEX('03.Muestra'!$C$8:$C$42,SMALL(IF("Documento no web"='03.Muestra'!$D$8:$D$42,ROW('03.Muestra'!$C$8:$C$42)-MIN(ROW('03.Muestra'!$D$8:$D$42))+1,""),ROW()-1538)),"")</f>
        <v/>
      </c>
      <c r="C1571" s="114" t="str" cm="1">
        <f t="array" ref="C1571">IFERROR(INDEX('03.Muestra'!$F$8:$F$42,SMALL(IF("Documento no web"='03.Muestra'!$D$8:$D$42,ROW('03.Muestra'!$F$8:$F$42)-MIN(ROW('03.Muestra'!$D$8:$D$42))+1,""),ROW()-1538)),"")</f>
        <v/>
      </c>
      <c r="D1571" s="130" t="str">
        <f t="shared" si="81"/>
        <v/>
      </c>
      <c r="E1571" s="107" t="str">
        <f t="shared" si="80"/>
        <v/>
      </c>
      <c r="F1571" s="124"/>
      <c r="G1571" s="19"/>
      <c r="H1571" s="19"/>
      <c r="I1571" s="19"/>
      <c r="J1571" s="19"/>
      <c r="K1571" s="233"/>
      <c r="L1571" s="19"/>
    </row>
    <row r="1572" spans="1:12" ht="13.5" customHeight="1">
      <c r="A1572" s="219" t="str" cm="1">
        <f t="array" ref="A1572">IFERROR(INDEX('03.Muestra'!$B$8:$B$42,SMALL(IF("Documento no web"='03.Muestra'!$D$8:$D$42,ROW('03.Muestra'!$B$8:$B$42)-MIN(ROW('03.Muestra'!$D$8:$D$42))+1,""),ROW()-1538)),"")</f>
        <v/>
      </c>
      <c r="B1572" s="114" t="str" cm="1">
        <f t="array" ref="B1572">IFERROR(INDEX('03.Muestra'!$C$8:$C$42,SMALL(IF("Documento no web"='03.Muestra'!$D$8:$D$42,ROW('03.Muestra'!$C$8:$C$42)-MIN(ROW('03.Muestra'!$D$8:$D$42))+1,""),ROW()-1538)),"")</f>
        <v/>
      </c>
      <c r="C1572" s="114" t="str" cm="1">
        <f t="array" ref="C1572">IFERROR(INDEX('03.Muestra'!$F$8:$F$42,SMALL(IF("Documento no web"='03.Muestra'!$D$8:$D$42,ROW('03.Muestra'!$F$8:$F$42)-MIN(ROW('03.Muestra'!$D$8:$D$42))+1,""),ROW()-1538)),"")</f>
        <v/>
      </c>
      <c r="D1572" s="130" t="str">
        <f t="shared" si="81"/>
        <v/>
      </c>
      <c r="E1572" s="107" t="str">
        <f t="shared" si="80"/>
        <v/>
      </c>
      <c r="F1572" s="124"/>
      <c r="G1572" s="19"/>
      <c r="H1572" s="19"/>
      <c r="I1572" s="19"/>
      <c r="J1572" s="19"/>
      <c r="K1572" s="233"/>
      <c r="L1572" s="19"/>
    </row>
    <row r="1573" spans="1:12" ht="13.5" customHeight="1">
      <c r="A1573" s="219" t="str" cm="1">
        <f t="array" ref="A1573">IFERROR(INDEX('03.Muestra'!$B$8:$B$42,SMALL(IF("Documento no web"='03.Muestra'!$D$8:$D$42,ROW('03.Muestra'!$B$8:$B$42)-MIN(ROW('03.Muestra'!$D$8:$D$42))+1,""),ROW()-1538)),"")</f>
        <v/>
      </c>
      <c r="B1573" s="114" t="str" cm="1">
        <f t="array" ref="B1573">IFERROR(INDEX('03.Muestra'!$C$8:$C$42,SMALL(IF("Documento no web"='03.Muestra'!$D$8:$D$42,ROW('03.Muestra'!$C$8:$C$42)-MIN(ROW('03.Muestra'!$D$8:$D$42))+1,""),ROW()-1538)),"")</f>
        <v/>
      </c>
      <c r="C1573" s="114" t="str" cm="1">
        <f t="array" ref="C1573">IFERROR(INDEX('03.Muestra'!$F$8:$F$42,SMALL(IF("Documento no web"='03.Muestra'!$D$8:$D$42,ROW('03.Muestra'!$F$8:$F$42)-MIN(ROW('03.Muestra'!$D$8:$D$42))+1,""),ROW()-1538)),"")</f>
        <v/>
      </c>
      <c r="D1573" s="130" t="str">
        <f t="shared" si="81"/>
        <v/>
      </c>
      <c r="E1573" s="107" t="str">
        <f t="shared" si="80"/>
        <v/>
      </c>
      <c r="F1573" s="19"/>
      <c r="G1573" s="19"/>
      <c r="H1573" s="19"/>
      <c r="I1573" s="19"/>
      <c r="J1573" s="19"/>
      <c r="K1573" s="233"/>
      <c r="L1573" s="19"/>
    </row>
    <row r="1574" spans="1:12" ht="13.5" customHeight="1">
      <c r="B1574" s="19"/>
      <c r="C1574" s="19"/>
      <c r="D1574" s="107"/>
      <c r="E1574" s="19"/>
      <c r="F1574" s="19"/>
      <c r="G1574" s="19"/>
      <c r="H1574" s="19"/>
      <c r="I1574" s="19"/>
      <c r="J1574" s="19"/>
      <c r="K1574" s="233"/>
      <c r="L1574" s="19"/>
    </row>
    <row r="1575" spans="1:12" ht="13.5" customHeight="1">
      <c r="B1575" s="19"/>
      <c r="C1575" s="19"/>
      <c r="D1575" s="107"/>
      <c r="E1575" s="112"/>
      <c r="F1575" s="19"/>
      <c r="G1575" s="19"/>
      <c r="H1575" s="19"/>
      <c r="I1575" s="19"/>
      <c r="J1575" s="19"/>
      <c r="K1575" s="233"/>
      <c r="L1575" s="19"/>
    </row>
    <row r="1576" spans="1:12" ht="30" customHeight="1">
      <c r="A1576" s="218" t="s">
        <v>268</v>
      </c>
      <c r="B1576" s="24" t="s">
        <v>90</v>
      </c>
      <c r="C1576" s="25" t="s">
        <v>463</v>
      </c>
      <c r="D1576" s="26" t="s">
        <v>32</v>
      </c>
      <c r="E1576" s="123"/>
      <c r="K1576" s="233"/>
      <c r="L1576" s="19"/>
    </row>
    <row r="1577" spans="1:12" ht="13.5" customHeight="1">
      <c r="A1577" s="219" t="n" cm="1">
        <f t="array" ref="A1577">IFERROR(INDEX('03.Muestra'!$B$8:$B$42,SMALL(IF("Documento no web"='03.Muestra'!$D$8:$D$42,ROW('03.Muestra'!$B$8:$B$42)-MIN(ROW('03.Muestra'!$D$8:$D$42))+1,""),ROW()-1576)),"")</f>
        <v>1.0</v>
      </c>
      <c r="B1577" s="114" t="str" cm="1">
        <f t="array" ref="B1577">IFERROR(INDEX('03.Muestra'!$C$8:$C$42,SMALL(IF("Documento no web"='03.Muestra'!$D$8:$D$42,ROW('03.Muestra'!$C$8:$C$42)-MIN(ROW('03.Muestra'!$D$8:$D$42))+1,""),ROW()-1576)),"")</f>
        <v>Home - PortCastelló</v>
      </c>
      <c r="C1577" s="114" t="str" cm="1">
        <f t="array" ref="C1577">IFERROR(INDEX('03.Muestra'!$F$8:$F$42,SMALL(IF("Documento no web"='03.Muestra'!$D$8:$D$42,ROW('03.Muestra'!$F$8:$F$42)-MIN(ROW('03.Muestra'!$D$8:$D$42))+1,""),ROW()-1576)),"")</f>
        <v>https://www.portcastello.com/</v>
      </c>
      <c r="D1577" s="130" t="s">
        <v>33</v>
      </c>
      <c r="E1577" s="107" t="str">
        <f t="shared" ref="E1577:E1611" si="82">IF(D1577&lt;&gt;"",IF(AND(B1577&lt;&gt;"",C1577&lt;&gt;""),"","ERR"),"")</f>
        <v/>
      </c>
      <c r="F1577" s="115" t="s">
        <v>33</v>
      </c>
      <c r="G1577" s="116" t="s">
        <v>37</v>
      </c>
      <c r="H1577" s="117" t="s">
        <v>35</v>
      </c>
      <c r="I1577" s="118" t="s">
        <v>28</v>
      </c>
      <c r="J1577" s="119" t="s">
        <v>26</v>
      </c>
      <c r="K1577" s="226" t="s">
        <v>474</v>
      </c>
      <c r="L1577" s="19"/>
    </row>
    <row r="1578" spans="1:12" ht="13.5" customHeight="1">
      <c r="A1578" s="219" t="n" cm="1">
        <f t="array" ref="A1578">IFERROR(INDEX('03.Muestra'!$B$8:$B$42,SMALL(IF("Documento no web"='03.Muestra'!$D$8:$D$42,ROW('03.Muestra'!$B$8:$B$42)-MIN(ROW('03.Muestra'!$D$8:$D$42))+1,""),ROW()-1576)),"")</f>
        <v>1.0</v>
      </c>
      <c r="B1578" s="114" t="str" cm="1">
        <f t="array" ref="B1578">IFERROR(INDEX('03.Muestra'!$C$8:$C$42,SMALL(IF("Documento no web"='03.Muestra'!$D$8:$D$42,ROW('03.Muestra'!$C$8:$C$42)-MIN(ROW('03.Muestra'!$D$8:$D$42))+1,""),ROW()-1576)),"")</f>
        <v>Home - PortCastelló</v>
      </c>
      <c r="C1578" s="114" t="str" cm="1">
        <f t="array" ref="C1578">IFERROR(INDEX('03.Muestra'!$F$8:$F$42,SMALL(IF("Documento no web"='03.Muestra'!$D$8:$D$42,ROW('03.Muestra'!$F$8:$F$42)-MIN(ROW('03.Muestra'!$D$8:$D$42))+1,""),ROW()-1576)),"")</f>
        <v>https://www.portcastello.com/</v>
      </c>
      <c r="D1578" s="130" t="s">
        <v>33</v>
      </c>
      <c r="E1578" s="107" t="str">
        <f t="shared" si="82"/>
        <v/>
      </c>
      <c r="F1578" s="120" t="n">
        <f ca="1">COUNTIF($D1577:INDIRECT("$D" &amp;  SUM(ROW()-1,'03.Muestra'!$D$45)-1),F1577)</f>
        <v>2.0</v>
      </c>
      <c r="G1578" s="120" t="n">
        <f ca="1">COUNTIF($D1577:INDIRECT("$D" &amp;  SUM(ROW()-1,'03.Muestra'!$D$45)-1),G1577)</f>
        <v>0.0</v>
      </c>
      <c r="H1578" s="120" t="n">
        <f ca="1">COUNTIF($D1577:INDIRECT("$D" &amp;  SUM(ROW()-1,'03.Muestra'!$D$45)-1),H1577)</f>
        <v>0.0</v>
      </c>
      <c r="I1578" s="120" t="n">
        <f ca="1">COUNTIF($D1577:INDIRECT("$D" &amp;  SUM(ROW()-1,'03.Muestra'!$D$45)-1),I1577)</f>
        <v>0.0</v>
      </c>
      <c r="J1578" s="120" t="n">
        <f ca="1">COUNTIF($D1577:INDIRECT("$D" &amp;  SUM(ROW()-1,'03.Muestra'!$D$45)-1),J1577)</f>
        <v>0.0</v>
      </c>
      <c r="K1578" s="227" t="n">
        <f ca="1">IF(COUNTIF('03.Muestra'!$D$8:$D$42,"Documento no web")=0,0,COUNTBLANK($D1577:INDIRECT("$D" &amp;  SUM(ROW()-1,COUNTIF('03.Muestra'!$D$8:$D$42,"Documento no web"))-1)))</f>
        <v>0.0</v>
      </c>
      <c r="L1578" s="19"/>
    </row>
    <row r="1579" spans="1:12" ht="13.5" customHeight="1">
      <c r="A1579" s="219" t="str" cm="1">
        <f t="array" ref="A1579">IFERROR(INDEX('03.Muestra'!$B$8:$B$42,SMALL(IF("Documento no web"='03.Muestra'!$D$8:$D$42,ROW('03.Muestra'!$B$8:$B$42)-MIN(ROW('03.Muestra'!$D$8:$D$42))+1,""),ROW()-1576)),"")</f>
        <v/>
      </c>
      <c r="B1579" s="114" t="str" cm="1">
        <f t="array" ref="B1579">IFERROR(INDEX('03.Muestra'!$C$8:$C$42,SMALL(IF("Documento no web"='03.Muestra'!$D$8:$D$42,ROW('03.Muestra'!$C$8:$C$42)-MIN(ROW('03.Muestra'!$D$8:$D$42))+1,""),ROW()-1576)),"")</f>
        <v/>
      </c>
      <c r="C1579" s="114" t="str" cm="1">
        <f t="array" ref="C1579">IFERROR(INDEX('03.Muestra'!$F$8:$F$42,SMALL(IF("Documento no web"='03.Muestra'!$D$8:$D$42,ROW('03.Muestra'!$F$8:$F$42)-MIN(ROW('03.Muestra'!$D$8:$D$42))+1,""),ROW()-1576)),"")</f>
        <v/>
      </c>
      <c r="D1579" s="130" t="str">
        <f t="shared" si="83" ref="D1579:D1611">IF(AND(B1579&lt;&gt;"",C1579&lt;&gt;""),"N/T","")</f>
        <v/>
      </c>
      <c r="E1579" s="107" t="str">
        <f t="shared" si="82"/>
        <v/>
      </c>
      <c r="G1579" s="19"/>
      <c r="H1579" s="19"/>
      <c r="I1579" s="19"/>
      <c r="J1579" s="19"/>
      <c r="K1579" s="233"/>
      <c r="L1579" s="19"/>
    </row>
    <row r="1580" spans="1:12" ht="13.5" customHeight="1">
      <c r="A1580" s="219" t="str" cm="1">
        <f t="array" ref="A1580">IFERROR(INDEX('03.Muestra'!$B$8:$B$42,SMALL(IF("Documento no web"='03.Muestra'!$D$8:$D$42,ROW('03.Muestra'!$B$8:$B$42)-MIN(ROW('03.Muestra'!$D$8:$D$42))+1,""),ROW()-1576)),"")</f>
        <v/>
      </c>
      <c r="B1580" s="114" t="str" cm="1">
        <f t="array" ref="B1580">IFERROR(INDEX('03.Muestra'!$C$8:$C$42,SMALL(IF("Documento no web"='03.Muestra'!$D$8:$D$42,ROW('03.Muestra'!$C$8:$C$42)-MIN(ROW('03.Muestra'!$D$8:$D$42))+1,""),ROW()-1576)),"")</f>
        <v/>
      </c>
      <c r="C1580" s="114" t="str" cm="1">
        <f t="array" ref="C1580">IFERROR(INDEX('03.Muestra'!$F$8:$F$42,SMALL(IF("Documento no web"='03.Muestra'!$D$8:$D$42,ROW('03.Muestra'!$F$8:$F$42)-MIN(ROW('03.Muestra'!$D$8:$D$42))+1,""),ROW()-1576)),"")</f>
        <v/>
      </c>
      <c r="D1580" s="130" t="str">
        <f t="shared" si="83"/>
        <v/>
      </c>
      <c r="E1580" s="107" t="str">
        <f t="shared" si="82"/>
        <v/>
      </c>
      <c r="G1580" s="19"/>
      <c r="H1580" s="19"/>
      <c r="I1580" s="19"/>
      <c r="J1580" s="19"/>
      <c r="K1580" s="233"/>
      <c r="L1580" s="19"/>
    </row>
    <row r="1581" spans="1:12" ht="13.5" customHeight="1">
      <c r="A1581" s="219" t="str" cm="1">
        <f t="array" ref="A1581">IFERROR(INDEX('03.Muestra'!$B$8:$B$42,SMALL(IF("Documento no web"='03.Muestra'!$D$8:$D$42,ROW('03.Muestra'!$B$8:$B$42)-MIN(ROW('03.Muestra'!$D$8:$D$42))+1,""),ROW()-1576)),"")</f>
        <v/>
      </c>
      <c r="B1581" s="114" t="str" cm="1">
        <f t="array" ref="B1581">IFERROR(INDEX('03.Muestra'!$C$8:$C$42,SMALL(IF("Documento no web"='03.Muestra'!$D$8:$D$42,ROW('03.Muestra'!$C$8:$C$42)-MIN(ROW('03.Muestra'!$D$8:$D$42))+1,""),ROW()-1576)),"")</f>
        <v/>
      </c>
      <c r="C1581" s="114" t="str" cm="1">
        <f t="array" ref="C1581">IFERROR(INDEX('03.Muestra'!$F$8:$F$42,SMALL(IF("Documento no web"='03.Muestra'!$D$8:$D$42,ROW('03.Muestra'!$F$8:$F$42)-MIN(ROW('03.Muestra'!$D$8:$D$42))+1,""),ROW()-1576)),"")</f>
        <v/>
      </c>
      <c r="D1581" s="130" t="str">
        <f t="shared" si="83"/>
        <v/>
      </c>
      <c r="E1581" s="107" t="str">
        <f t="shared" si="82"/>
        <v/>
      </c>
      <c r="G1581" s="19"/>
      <c r="H1581" s="19"/>
      <c r="I1581" s="19"/>
      <c r="J1581" s="19"/>
      <c r="K1581" s="233"/>
      <c r="L1581" s="19"/>
    </row>
    <row r="1582" spans="1:12" ht="13.5" customHeight="1">
      <c r="A1582" s="219" t="str" cm="1">
        <f t="array" ref="A1582">IFERROR(INDEX('03.Muestra'!$B$8:$B$42,SMALL(IF("Documento no web"='03.Muestra'!$D$8:$D$42,ROW('03.Muestra'!$B$8:$B$42)-MIN(ROW('03.Muestra'!$D$8:$D$42))+1,""),ROW()-1576)),"")</f>
        <v/>
      </c>
      <c r="B1582" s="114" t="str" cm="1">
        <f t="array" ref="B1582">IFERROR(INDEX('03.Muestra'!$C$8:$C$42,SMALL(IF("Documento no web"='03.Muestra'!$D$8:$D$42,ROW('03.Muestra'!$C$8:$C$42)-MIN(ROW('03.Muestra'!$D$8:$D$42))+1,""),ROW()-1576)),"")</f>
        <v/>
      </c>
      <c r="C1582" s="114" t="str" cm="1">
        <f t="array" ref="C1582">IFERROR(INDEX('03.Muestra'!$F$8:$F$42,SMALL(IF("Documento no web"='03.Muestra'!$D$8:$D$42,ROW('03.Muestra'!$F$8:$F$42)-MIN(ROW('03.Muestra'!$D$8:$D$42))+1,""),ROW()-1576)),"")</f>
        <v/>
      </c>
      <c r="D1582" s="130" t="str">
        <f t="shared" si="83"/>
        <v/>
      </c>
      <c r="E1582" s="107" t="str">
        <f t="shared" si="82"/>
        <v/>
      </c>
      <c r="G1582" s="19"/>
      <c r="H1582" s="19"/>
      <c r="I1582" s="19"/>
      <c r="J1582" s="19"/>
      <c r="K1582" s="233"/>
      <c r="L1582" s="19"/>
    </row>
    <row r="1583" spans="1:12" ht="13.5" customHeight="1">
      <c r="A1583" s="219" t="str" cm="1">
        <f t="array" ref="A1583">IFERROR(INDEX('03.Muestra'!$B$8:$B$42,SMALL(IF("Documento no web"='03.Muestra'!$D$8:$D$42,ROW('03.Muestra'!$B$8:$B$42)-MIN(ROW('03.Muestra'!$D$8:$D$42))+1,""),ROW()-1576)),"")</f>
        <v/>
      </c>
      <c r="B1583" s="114" t="str" cm="1">
        <f t="array" ref="B1583">IFERROR(INDEX('03.Muestra'!$C$8:$C$42,SMALL(IF("Documento no web"='03.Muestra'!$D$8:$D$42,ROW('03.Muestra'!$C$8:$C$42)-MIN(ROW('03.Muestra'!$D$8:$D$42))+1,""),ROW()-1576)),"")</f>
        <v/>
      </c>
      <c r="C1583" s="114" t="str" cm="1">
        <f t="array" ref="C1583">IFERROR(INDEX('03.Muestra'!$F$8:$F$42,SMALL(IF("Documento no web"='03.Muestra'!$D$8:$D$42,ROW('03.Muestra'!$F$8:$F$42)-MIN(ROW('03.Muestra'!$D$8:$D$42))+1,""),ROW()-1576)),"")</f>
        <v/>
      </c>
      <c r="D1583" s="130" t="str">
        <f t="shared" si="83"/>
        <v/>
      </c>
      <c r="E1583" s="107" t="str">
        <f t="shared" si="82"/>
        <v/>
      </c>
      <c r="F1583" s="19"/>
      <c r="G1583" s="19"/>
      <c r="H1583" s="19"/>
      <c r="I1583" s="19"/>
      <c r="J1583" s="19"/>
      <c r="K1583" s="233"/>
      <c r="L1583" s="19"/>
    </row>
    <row r="1584" spans="1:12" ht="13.5" customHeight="1">
      <c r="A1584" s="219" t="str" cm="1">
        <f t="array" ref="A1584">IFERROR(INDEX('03.Muestra'!$B$8:$B$42,SMALL(IF("Documento no web"='03.Muestra'!$D$8:$D$42,ROW('03.Muestra'!$B$8:$B$42)-MIN(ROW('03.Muestra'!$D$8:$D$42))+1,""),ROW()-1576)),"")</f>
        <v/>
      </c>
      <c r="B1584" s="114" t="str" cm="1">
        <f t="array" ref="B1584">IFERROR(INDEX('03.Muestra'!$C$8:$C$42,SMALL(IF("Documento no web"='03.Muestra'!$D$8:$D$42,ROW('03.Muestra'!$C$8:$C$42)-MIN(ROW('03.Muestra'!$D$8:$D$42))+1,""),ROW()-1576)),"")</f>
        <v/>
      </c>
      <c r="C1584" s="114" t="str" cm="1">
        <f t="array" ref="C1584">IFERROR(INDEX('03.Muestra'!$F$8:$F$42,SMALL(IF("Documento no web"='03.Muestra'!$D$8:$D$42,ROW('03.Muestra'!$F$8:$F$42)-MIN(ROW('03.Muestra'!$D$8:$D$42))+1,""),ROW()-1576)),"")</f>
        <v/>
      </c>
      <c r="D1584" s="130" t="str">
        <f t="shared" si="83"/>
        <v/>
      </c>
      <c r="E1584" s="107" t="str">
        <f t="shared" si="82"/>
        <v/>
      </c>
      <c r="F1584" s="19"/>
      <c r="G1584" s="19"/>
      <c r="H1584" s="19"/>
      <c r="I1584" s="19"/>
      <c r="J1584" s="19"/>
      <c r="K1584" s="233"/>
      <c r="L1584" s="19"/>
    </row>
    <row r="1585" spans="1:12" ht="13.5" customHeight="1">
      <c r="A1585" s="219" t="str" cm="1">
        <f t="array" ref="A1585">IFERROR(INDEX('03.Muestra'!$B$8:$B$42,SMALL(IF("Documento no web"='03.Muestra'!$D$8:$D$42,ROW('03.Muestra'!$B$8:$B$42)-MIN(ROW('03.Muestra'!$D$8:$D$42))+1,""),ROW()-1576)),"")</f>
        <v/>
      </c>
      <c r="B1585" s="114" t="str" cm="1">
        <f t="array" ref="B1585">IFERROR(INDEX('03.Muestra'!$C$8:$C$42,SMALL(IF("Documento no web"='03.Muestra'!$D$8:$D$42,ROW('03.Muestra'!$C$8:$C$42)-MIN(ROW('03.Muestra'!$D$8:$D$42))+1,""),ROW()-1576)),"")</f>
        <v/>
      </c>
      <c r="C1585" s="114" t="str" cm="1">
        <f t="array" ref="C1585">IFERROR(INDEX('03.Muestra'!$F$8:$F$42,SMALL(IF("Documento no web"='03.Muestra'!$D$8:$D$42,ROW('03.Muestra'!$F$8:$F$42)-MIN(ROW('03.Muestra'!$D$8:$D$42))+1,""),ROW()-1576)),"")</f>
        <v/>
      </c>
      <c r="D1585" s="130" t="str">
        <f t="shared" si="83"/>
        <v/>
      </c>
      <c r="E1585" s="107" t="str">
        <f t="shared" si="82"/>
        <v/>
      </c>
      <c r="F1585" s="19"/>
      <c r="G1585" s="19"/>
      <c r="H1585" s="19"/>
      <c r="I1585" s="19"/>
      <c r="J1585" s="19"/>
      <c r="K1585" s="233"/>
      <c r="L1585" s="19"/>
    </row>
    <row r="1586" spans="1:12" ht="13.5" customHeight="1">
      <c r="A1586" s="219" t="str" cm="1">
        <f t="array" ref="A1586">IFERROR(INDEX('03.Muestra'!$B$8:$B$42,SMALL(IF("Documento no web"='03.Muestra'!$D$8:$D$42,ROW('03.Muestra'!$B$8:$B$42)-MIN(ROW('03.Muestra'!$D$8:$D$42))+1,""),ROW()-1576)),"")</f>
        <v/>
      </c>
      <c r="B1586" s="114" t="str" cm="1">
        <f t="array" ref="B1586">IFERROR(INDEX('03.Muestra'!$C$8:$C$42,SMALL(IF("Documento no web"='03.Muestra'!$D$8:$D$42,ROW('03.Muestra'!$C$8:$C$42)-MIN(ROW('03.Muestra'!$D$8:$D$42))+1,""),ROW()-1576)),"")</f>
        <v/>
      </c>
      <c r="C1586" s="114" t="str" cm="1">
        <f t="array" ref="C1586">IFERROR(INDEX('03.Muestra'!$F$8:$F$42,SMALL(IF("Documento no web"='03.Muestra'!$D$8:$D$42,ROW('03.Muestra'!$F$8:$F$42)-MIN(ROW('03.Muestra'!$D$8:$D$42))+1,""),ROW()-1576)),"")</f>
        <v/>
      </c>
      <c r="D1586" s="130" t="str">
        <f t="shared" si="83"/>
        <v/>
      </c>
      <c r="E1586" s="107" t="str">
        <f t="shared" si="82"/>
        <v/>
      </c>
      <c r="F1586" s="19"/>
      <c r="G1586" s="19"/>
      <c r="H1586" s="19"/>
      <c r="I1586" s="19"/>
      <c r="J1586" s="19"/>
      <c r="K1586" s="233"/>
      <c r="L1586" s="19"/>
    </row>
    <row r="1587" spans="1:12" ht="13.5" customHeight="1">
      <c r="A1587" s="219" t="str" cm="1">
        <f t="array" ref="A1587">IFERROR(INDEX('03.Muestra'!$B$8:$B$42,SMALL(IF("Documento no web"='03.Muestra'!$D$8:$D$42,ROW('03.Muestra'!$B$8:$B$42)-MIN(ROW('03.Muestra'!$D$8:$D$42))+1,""),ROW()-1576)),"")</f>
        <v/>
      </c>
      <c r="B1587" s="114" t="str" cm="1">
        <f t="array" ref="B1587">IFERROR(INDEX('03.Muestra'!$C$8:$C$42,SMALL(IF("Documento no web"='03.Muestra'!$D$8:$D$42,ROW('03.Muestra'!$C$8:$C$42)-MIN(ROW('03.Muestra'!$D$8:$D$42))+1,""),ROW()-1576)),"")</f>
        <v/>
      </c>
      <c r="C1587" s="114" t="str" cm="1">
        <f t="array" ref="C1587">IFERROR(INDEX('03.Muestra'!$F$8:$F$42,SMALL(IF("Documento no web"='03.Muestra'!$D$8:$D$42,ROW('03.Muestra'!$F$8:$F$42)-MIN(ROW('03.Muestra'!$D$8:$D$42))+1,""),ROW()-1576)),"")</f>
        <v/>
      </c>
      <c r="D1587" s="130" t="str">
        <f t="shared" si="83"/>
        <v/>
      </c>
      <c r="E1587" s="107" t="str">
        <f t="shared" si="82"/>
        <v/>
      </c>
      <c r="F1587" s="19"/>
      <c r="G1587" s="19"/>
      <c r="H1587" s="19"/>
      <c r="I1587" s="19"/>
      <c r="J1587" s="19"/>
      <c r="K1587" s="233"/>
      <c r="L1587" s="19"/>
    </row>
    <row r="1588" spans="1:12" ht="13.5" customHeight="1">
      <c r="A1588" s="219" t="str" cm="1">
        <f t="array" ref="A1588">IFERROR(INDEX('03.Muestra'!$B$8:$B$42,SMALL(IF("Documento no web"='03.Muestra'!$D$8:$D$42,ROW('03.Muestra'!$B$8:$B$42)-MIN(ROW('03.Muestra'!$D$8:$D$42))+1,""),ROW()-1576)),"")</f>
        <v/>
      </c>
      <c r="B1588" s="114" t="str" cm="1">
        <f t="array" ref="B1588">IFERROR(INDEX('03.Muestra'!$C$8:$C$42,SMALL(IF("Documento no web"='03.Muestra'!$D$8:$D$42,ROW('03.Muestra'!$C$8:$C$42)-MIN(ROW('03.Muestra'!$D$8:$D$42))+1,""),ROW()-1576)),"")</f>
        <v/>
      </c>
      <c r="C1588" s="114" t="str" cm="1">
        <f t="array" ref="C1588">IFERROR(INDEX('03.Muestra'!$F$8:$F$42,SMALL(IF("Documento no web"='03.Muestra'!$D$8:$D$42,ROW('03.Muestra'!$F$8:$F$42)-MIN(ROW('03.Muestra'!$D$8:$D$42))+1,""),ROW()-1576)),"")</f>
        <v/>
      </c>
      <c r="D1588" s="130" t="str">
        <f t="shared" si="83"/>
        <v/>
      </c>
      <c r="E1588" s="107" t="str">
        <f t="shared" si="82"/>
        <v/>
      </c>
      <c r="F1588" s="19"/>
      <c r="G1588" s="19"/>
      <c r="H1588" s="19"/>
      <c r="I1588" s="19"/>
      <c r="J1588" s="19"/>
      <c r="K1588" s="233"/>
      <c r="L1588" s="19"/>
    </row>
    <row r="1589" spans="1:12" ht="13.5" customHeight="1">
      <c r="A1589" s="219" t="str" cm="1">
        <f t="array" ref="A1589">IFERROR(INDEX('03.Muestra'!$B$8:$B$42,SMALL(IF("Documento no web"='03.Muestra'!$D$8:$D$42,ROW('03.Muestra'!$B$8:$B$42)-MIN(ROW('03.Muestra'!$D$8:$D$42))+1,""),ROW()-1576)),"")</f>
        <v/>
      </c>
      <c r="B1589" s="114" t="str" cm="1">
        <f t="array" ref="B1589">IFERROR(INDEX('03.Muestra'!$C$8:$C$42,SMALL(IF("Documento no web"='03.Muestra'!$D$8:$D$42,ROW('03.Muestra'!$C$8:$C$42)-MIN(ROW('03.Muestra'!$D$8:$D$42))+1,""),ROW()-1576)),"")</f>
        <v/>
      </c>
      <c r="C1589" s="114" t="str" cm="1">
        <f t="array" ref="C1589">IFERROR(INDEX('03.Muestra'!$F$8:$F$42,SMALL(IF("Documento no web"='03.Muestra'!$D$8:$D$42,ROW('03.Muestra'!$F$8:$F$42)-MIN(ROW('03.Muestra'!$D$8:$D$42))+1,""),ROW()-1576)),"")</f>
        <v/>
      </c>
      <c r="D1589" s="130" t="str">
        <f t="shared" si="83"/>
        <v/>
      </c>
      <c r="E1589" s="107" t="str">
        <f t="shared" si="82"/>
        <v/>
      </c>
      <c r="F1589" s="19"/>
      <c r="G1589" s="19"/>
      <c r="H1589" s="19"/>
      <c r="I1589" s="19"/>
      <c r="J1589" s="19"/>
      <c r="K1589" s="233"/>
      <c r="L1589" s="19"/>
    </row>
    <row r="1590" spans="1:12" ht="13.5" customHeight="1">
      <c r="A1590" s="219" t="str" cm="1">
        <f t="array" ref="A1590">IFERROR(INDEX('03.Muestra'!$B$8:$B$42,SMALL(IF("Documento no web"='03.Muestra'!$D$8:$D$42,ROW('03.Muestra'!$B$8:$B$42)-MIN(ROW('03.Muestra'!$D$8:$D$42))+1,""),ROW()-1576)),"")</f>
        <v/>
      </c>
      <c r="B1590" s="114" t="str" cm="1">
        <f t="array" ref="B1590">IFERROR(INDEX('03.Muestra'!$C$8:$C$42,SMALL(IF("Documento no web"='03.Muestra'!$D$8:$D$42,ROW('03.Muestra'!$C$8:$C$42)-MIN(ROW('03.Muestra'!$D$8:$D$42))+1,""),ROW()-1576)),"")</f>
        <v/>
      </c>
      <c r="C1590" s="114" t="str" cm="1">
        <f t="array" ref="C1590">IFERROR(INDEX('03.Muestra'!$F$8:$F$42,SMALL(IF("Documento no web"='03.Muestra'!$D$8:$D$42,ROW('03.Muestra'!$F$8:$F$42)-MIN(ROW('03.Muestra'!$D$8:$D$42))+1,""),ROW()-1576)),"")</f>
        <v/>
      </c>
      <c r="D1590" s="130" t="str">
        <f t="shared" si="83"/>
        <v/>
      </c>
      <c r="E1590" s="107" t="str">
        <f t="shared" si="82"/>
        <v/>
      </c>
      <c r="F1590" s="19"/>
      <c r="G1590" s="19"/>
      <c r="H1590" s="19"/>
      <c r="I1590" s="19"/>
      <c r="J1590" s="19"/>
      <c r="K1590" s="233"/>
      <c r="L1590" s="19"/>
    </row>
    <row r="1591" spans="1:12" ht="13.5" customHeight="1">
      <c r="A1591" s="219" t="str" cm="1">
        <f t="array" ref="A1591">IFERROR(INDEX('03.Muestra'!$B$8:$B$42,SMALL(IF("Documento no web"='03.Muestra'!$D$8:$D$42,ROW('03.Muestra'!$B$8:$B$42)-MIN(ROW('03.Muestra'!$D$8:$D$42))+1,""),ROW()-1576)),"")</f>
        <v/>
      </c>
      <c r="B1591" s="114" t="str" cm="1">
        <f t="array" ref="B1591">IFERROR(INDEX('03.Muestra'!$C$8:$C$42,SMALL(IF("Documento no web"='03.Muestra'!$D$8:$D$42,ROW('03.Muestra'!$C$8:$C$42)-MIN(ROW('03.Muestra'!$D$8:$D$42))+1,""),ROW()-1576)),"")</f>
        <v/>
      </c>
      <c r="C1591" s="114" t="str" cm="1">
        <f t="array" ref="C1591">IFERROR(INDEX('03.Muestra'!$F$8:$F$42,SMALL(IF("Documento no web"='03.Muestra'!$D$8:$D$42,ROW('03.Muestra'!$F$8:$F$42)-MIN(ROW('03.Muestra'!$D$8:$D$42))+1,""),ROW()-1576)),"")</f>
        <v/>
      </c>
      <c r="D1591" s="130" t="str">
        <f t="shared" si="83"/>
        <v/>
      </c>
      <c r="E1591" s="107" t="str">
        <f t="shared" si="82"/>
        <v/>
      </c>
      <c r="F1591" s="19"/>
      <c r="G1591" s="19"/>
      <c r="H1591" s="19"/>
      <c r="I1591" s="19"/>
      <c r="J1591" s="19"/>
      <c r="K1591" s="233"/>
      <c r="L1591" s="19"/>
    </row>
    <row r="1592" spans="1:12" ht="13.5" customHeight="1">
      <c r="A1592" s="219" t="str" cm="1">
        <f t="array" ref="A1592">IFERROR(INDEX('03.Muestra'!$B$8:$B$42,SMALL(IF("Documento no web"='03.Muestra'!$D$8:$D$42,ROW('03.Muestra'!$B$8:$B$42)-MIN(ROW('03.Muestra'!$D$8:$D$42))+1,""),ROW()-1576)),"")</f>
        <v/>
      </c>
      <c r="B1592" s="114" t="str" cm="1">
        <f t="array" ref="B1592">IFERROR(INDEX('03.Muestra'!$C$8:$C$42,SMALL(IF("Documento no web"='03.Muestra'!$D$8:$D$42,ROW('03.Muestra'!$C$8:$C$42)-MIN(ROW('03.Muestra'!$D$8:$D$42))+1,""),ROW()-1576)),"")</f>
        <v/>
      </c>
      <c r="C1592" s="114" t="str" cm="1">
        <f t="array" ref="C1592">IFERROR(INDEX('03.Muestra'!$F$8:$F$42,SMALL(IF("Documento no web"='03.Muestra'!$D$8:$D$42,ROW('03.Muestra'!$F$8:$F$42)-MIN(ROW('03.Muestra'!$D$8:$D$42))+1,""),ROW()-1576)),"")</f>
        <v/>
      </c>
      <c r="D1592" s="130" t="str">
        <f t="shared" si="83"/>
        <v/>
      </c>
      <c r="E1592" s="107" t="str">
        <f t="shared" si="82"/>
        <v/>
      </c>
      <c r="F1592" s="19"/>
      <c r="G1592" s="19"/>
      <c r="H1592" s="19"/>
      <c r="I1592" s="19"/>
      <c r="J1592" s="19"/>
      <c r="K1592" s="233"/>
      <c r="L1592" s="19"/>
    </row>
    <row r="1593" spans="1:12" ht="13.5" customHeight="1">
      <c r="A1593" s="219" t="str" cm="1">
        <f t="array" ref="A1593">IFERROR(INDEX('03.Muestra'!$B$8:$B$42,SMALL(IF("Documento no web"='03.Muestra'!$D$8:$D$42,ROW('03.Muestra'!$B$8:$B$42)-MIN(ROW('03.Muestra'!$D$8:$D$42))+1,""),ROW()-1576)),"")</f>
        <v/>
      </c>
      <c r="B1593" s="114" t="str" cm="1">
        <f t="array" ref="B1593">IFERROR(INDEX('03.Muestra'!$C$8:$C$42,SMALL(IF("Documento no web"='03.Muestra'!$D$8:$D$42,ROW('03.Muestra'!$C$8:$C$42)-MIN(ROW('03.Muestra'!$D$8:$D$42))+1,""),ROW()-1576)),"")</f>
        <v/>
      </c>
      <c r="C1593" s="114" t="str" cm="1">
        <f t="array" ref="C1593">IFERROR(INDEX('03.Muestra'!$F$8:$F$42,SMALL(IF("Documento no web"='03.Muestra'!$D$8:$D$42,ROW('03.Muestra'!$F$8:$F$42)-MIN(ROW('03.Muestra'!$D$8:$D$42))+1,""),ROW()-1576)),"")</f>
        <v/>
      </c>
      <c r="D1593" s="130" t="str">
        <f t="shared" si="83"/>
        <v/>
      </c>
      <c r="E1593" s="107" t="str">
        <f t="shared" si="82"/>
        <v/>
      </c>
      <c r="F1593" s="19"/>
      <c r="G1593" s="19"/>
      <c r="H1593" s="19"/>
      <c r="I1593" s="19"/>
      <c r="J1593" s="19"/>
      <c r="K1593" s="233"/>
      <c r="L1593" s="19"/>
    </row>
    <row r="1594" spans="1:12" ht="13.5" customHeight="1">
      <c r="A1594" s="219" t="str" cm="1">
        <f t="array" ref="A1594">IFERROR(INDEX('03.Muestra'!$B$8:$B$42,SMALL(IF("Documento no web"='03.Muestra'!$D$8:$D$42,ROW('03.Muestra'!$B$8:$B$42)-MIN(ROW('03.Muestra'!$D$8:$D$42))+1,""),ROW()-1576)),"")</f>
        <v/>
      </c>
      <c r="B1594" s="114" t="str" cm="1">
        <f t="array" ref="B1594">IFERROR(INDEX('03.Muestra'!$C$8:$C$42,SMALL(IF("Documento no web"='03.Muestra'!$D$8:$D$42,ROW('03.Muestra'!$C$8:$C$42)-MIN(ROW('03.Muestra'!$D$8:$D$42))+1,""),ROW()-1576)),"")</f>
        <v/>
      </c>
      <c r="C1594" s="114" t="str" cm="1">
        <f t="array" ref="C1594">IFERROR(INDEX('03.Muestra'!$F$8:$F$42,SMALL(IF("Documento no web"='03.Muestra'!$D$8:$D$42,ROW('03.Muestra'!$F$8:$F$42)-MIN(ROW('03.Muestra'!$D$8:$D$42))+1,""),ROW()-1576)),"")</f>
        <v/>
      </c>
      <c r="D1594" s="130" t="str">
        <f t="shared" si="83"/>
        <v/>
      </c>
      <c r="E1594" s="107" t="str">
        <f t="shared" si="82"/>
        <v/>
      </c>
      <c r="F1594" s="19"/>
      <c r="G1594" s="19"/>
      <c r="H1594" s="19"/>
      <c r="I1594" s="19"/>
      <c r="J1594" s="19"/>
      <c r="K1594" s="233"/>
      <c r="L1594" s="19"/>
    </row>
    <row r="1595" spans="1:12" ht="13.5" customHeight="1">
      <c r="A1595" s="219" t="str" cm="1">
        <f t="array" ref="A1595">IFERROR(INDEX('03.Muestra'!$B$8:$B$42,SMALL(IF("Documento no web"='03.Muestra'!$D$8:$D$42,ROW('03.Muestra'!$B$8:$B$42)-MIN(ROW('03.Muestra'!$D$8:$D$42))+1,""),ROW()-1576)),"")</f>
        <v/>
      </c>
      <c r="B1595" s="114" t="str" cm="1">
        <f t="array" ref="B1595">IFERROR(INDEX('03.Muestra'!$C$8:$C$42,SMALL(IF("Documento no web"='03.Muestra'!$D$8:$D$42,ROW('03.Muestra'!$C$8:$C$42)-MIN(ROW('03.Muestra'!$D$8:$D$42))+1,""),ROW()-1576)),"")</f>
        <v/>
      </c>
      <c r="C1595" s="114" t="str" cm="1">
        <f t="array" ref="C1595">IFERROR(INDEX('03.Muestra'!$F$8:$F$42,SMALL(IF("Documento no web"='03.Muestra'!$D$8:$D$42,ROW('03.Muestra'!$F$8:$F$42)-MIN(ROW('03.Muestra'!$D$8:$D$42))+1,""),ROW()-1576)),"")</f>
        <v/>
      </c>
      <c r="D1595" s="130" t="str">
        <f t="shared" si="83"/>
        <v/>
      </c>
      <c r="E1595" s="107" t="str">
        <f t="shared" si="82"/>
        <v/>
      </c>
      <c r="F1595" s="19"/>
      <c r="G1595" s="19"/>
      <c r="H1595" s="19"/>
      <c r="I1595" s="19"/>
      <c r="J1595" s="19"/>
      <c r="K1595" s="233"/>
      <c r="L1595" s="19"/>
    </row>
    <row r="1596" spans="1:12" ht="13.5" customHeight="1">
      <c r="A1596" s="219" t="str" cm="1">
        <f t="array" ref="A1596">IFERROR(INDEX('03.Muestra'!$B$8:$B$42,SMALL(IF("Documento no web"='03.Muestra'!$D$8:$D$42,ROW('03.Muestra'!$B$8:$B$42)-MIN(ROW('03.Muestra'!$D$8:$D$42))+1,""),ROW()-1576)),"")</f>
        <v/>
      </c>
      <c r="B1596" s="114" t="str" cm="1">
        <f t="array" ref="B1596">IFERROR(INDEX('03.Muestra'!$C$8:$C$42,SMALL(IF("Documento no web"='03.Muestra'!$D$8:$D$42,ROW('03.Muestra'!$C$8:$C$42)-MIN(ROW('03.Muestra'!$D$8:$D$42))+1,""),ROW()-1576)),"")</f>
        <v/>
      </c>
      <c r="C1596" s="114" t="str" cm="1">
        <f t="array" ref="C1596">IFERROR(INDEX('03.Muestra'!$F$8:$F$42,SMALL(IF("Documento no web"='03.Muestra'!$D$8:$D$42,ROW('03.Muestra'!$F$8:$F$42)-MIN(ROW('03.Muestra'!$D$8:$D$42))+1,""),ROW()-1576)),"")</f>
        <v/>
      </c>
      <c r="D1596" s="130" t="str">
        <f t="shared" si="83"/>
        <v/>
      </c>
      <c r="E1596" s="107" t="str">
        <f t="shared" si="82"/>
        <v/>
      </c>
      <c r="F1596" s="19"/>
      <c r="G1596" s="19"/>
      <c r="H1596" s="19"/>
      <c r="I1596" s="19"/>
      <c r="J1596" s="19"/>
      <c r="K1596" s="233"/>
      <c r="L1596" s="19"/>
    </row>
    <row r="1597" spans="1:12" ht="13.5" customHeight="1">
      <c r="A1597" s="219" t="str" cm="1">
        <f t="array" ref="A1597">IFERROR(INDEX('03.Muestra'!$B$8:$B$42,SMALL(IF("Documento no web"='03.Muestra'!$D$8:$D$42,ROW('03.Muestra'!$B$8:$B$42)-MIN(ROW('03.Muestra'!$D$8:$D$42))+1,""),ROW()-1576)),"")</f>
        <v/>
      </c>
      <c r="B1597" s="114" t="str" cm="1">
        <f t="array" ref="B1597">IFERROR(INDEX('03.Muestra'!$C$8:$C$42,SMALL(IF("Documento no web"='03.Muestra'!$D$8:$D$42,ROW('03.Muestra'!$C$8:$C$42)-MIN(ROW('03.Muestra'!$D$8:$D$42))+1,""),ROW()-1576)),"")</f>
        <v/>
      </c>
      <c r="C1597" s="114" t="str" cm="1">
        <f t="array" ref="C1597">IFERROR(INDEX('03.Muestra'!$F$8:$F$42,SMALL(IF("Documento no web"='03.Muestra'!$D$8:$D$42,ROW('03.Muestra'!$F$8:$F$42)-MIN(ROW('03.Muestra'!$D$8:$D$42))+1,""),ROW()-1576)),"")</f>
        <v/>
      </c>
      <c r="D1597" s="130" t="str">
        <f t="shared" si="83"/>
        <v/>
      </c>
      <c r="E1597" s="107" t="str">
        <f t="shared" si="82"/>
        <v/>
      </c>
      <c r="F1597" s="19"/>
      <c r="G1597" s="19"/>
      <c r="H1597" s="19"/>
      <c r="I1597" s="19"/>
      <c r="J1597" s="19"/>
      <c r="K1597" s="233"/>
      <c r="L1597" s="19"/>
    </row>
    <row r="1598" spans="1:12" ht="13.5" customHeight="1">
      <c r="A1598" s="219" t="str" cm="1">
        <f t="array" ref="A1598">IFERROR(INDEX('03.Muestra'!$B$8:$B$42,SMALL(IF("Documento no web"='03.Muestra'!$D$8:$D$42,ROW('03.Muestra'!$B$8:$B$42)-MIN(ROW('03.Muestra'!$D$8:$D$42))+1,""),ROW()-1576)),"")</f>
        <v/>
      </c>
      <c r="B1598" s="114" t="str" cm="1">
        <f t="array" ref="B1598">IFERROR(INDEX('03.Muestra'!$C$8:$C$42,SMALL(IF("Documento no web"='03.Muestra'!$D$8:$D$42,ROW('03.Muestra'!$C$8:$C$42)-MIN(ROW('03.Muestra'!$D$8:$D$42))+1,""),ROW()-1576)),"")</f>
        <v/>
      </c>
      <c r="C1598" s="114" t="str" cm="1">
        <f t="array" ref="C1598">IFERROR(INDEX('03.Muestra'!$F$8:$F$42,SMALL(IF("Documento no web"='03.Muestra'!$D$8:$D$42,ROW('03.Muestra'!$F$8:$F$42)-MIN(ROW('03.Muestra'!$D$8:$D$42))+1,""),ROW()-1576)),"")</f>
        <v/>
      </c>
      <c r="D1598" s="130" t="str">
        <f t="shared" si="83"/>
        <v/>
      </c>
      <c r="E1598" s="107" t="str">
        <f t="shared" si="82"/>
        <v/>
      </c>
      <c r="F1598" s="19"/>
      <c r="G1598" s="19"/>
      <c r="H1598" s="19"/>
      <c r="I1598" s="19"/>
      <c r="J1598" s="19"/>
      <c r="K1598" s="233"/>
      <c r="L1598" s="19"/>
    </row>
    <row r="1599" spans="1:12" ht="13.5" customHeight="1">
      <c r="A1599" s="219" t="str" cm="1">
        <f t="array" ref="A1599">IFERROR(INDEX('03.Muestra'!$B$8:$B$42,SMALL(IF("Documento no web"='03.Muestra'!$D$8:$D$42,ROW('03.Muestra'!$B$8:$B$42)-MIN(ROW('03.Muestra'!$D$8:$D$42))+1,""),ROW()-1576)),"")</f>
        <v/>
      </c>
      <c r="B1599" s="114" t="str" cm="1">
        <f t="array" ref="B1599">IFERROR(INDEX('03.Muestra'!$C$8:$C$42,SMALL(IF("Documento no web"='03.Muestra'!$D$8:$D$42,ROW('03.Muestra'!$C$8:$C$42)-MIN(ROW('03.Muestra'!$D$8:$D$42))+1,""),ROW()-1576)),"")</f>
        <v/>
      </c>
      <c r="C1599" s="114" t="str" cm="1">
        <f t="array" ref="C1599">IFERROR(INDEX('03.Muestra'!$F$8:$F$42,SMALL(IF("Documento no web"='03.Muestra'!$D$8:$D$42,ROW('03.Muestra'!$F$8:$F$42)-MIN(ROW('03.Muestra'!$D$8:$D$42))+1,""),ROW()-1576)),"")</f>
        <v/>
      </c>
      <c r="D1599" s="130" t="str">
        <f t="shared" si="83"/>
        <v/>
      </c>
      <c r="E1599" s="107" t="str">
        <f t="shared" si="82"/>
        <v/>
      </c>
      <c r="F1599" s="19"/>
      <c r="G1599" s="19"/>
      <c r="H1599" s="19"/>
      <c r="I1599" s="19"/>
      <c r="J1599" s="19"/>
      <c r="K1599" s="233"/>
      <c r="L1599" s="19"/>
    </row>
    <row r="1600" spans="1:12" ht="13.5" customHeight="1">
      <c r="A1600" s="219" t="str" cm="1">
        <f t="array" ref="A1600">IFERROR(INDEX('03.Muestra'!$B$8:$B$42,SMALL(IF("Documento no web"='03.Muestra'!$D$8:$D$42,ROW('03.Muestra'!$B$8:$B$42)-MIN(ROW('03.Muestra'!$D$8:$D$42))+1,""),ROW()-1576)),"")</f>
        <v/>
      </c>
      <c r="B1600" s="114" t="str" cm="1">
        <f t="array" ref="B1600">IFERROR(INDEX('03.Muestra'!$C$8:$C$42,SMALL(IF("Documento no web"='03.Muestra'!$D$8:$D$42,ROW('03.Muestra'!$C$8:$C$42)-MIN(ROW('03.Muestra'!$D$8:$D$42))+1,""),ROW()-1576)),"")</f>
        <v/>
      </c>
      <c r="C1600" s="114" t="str" cm="1">
        <f t="array" ref="C1600">IFERROR(INDEX('03.Muestra'!$F$8:$F$42,SMALL(IF("Documento no web"='03.Muestra'!$D$8:$D$42,ROW('03.Muestra'!$F$8:$F$42)-MIN(ROW('03.Muestra'!$D$8:$D$42))+1,""),ROW()-1576)),"")</f>
        <v/>
      </c>
      <c r="D1600" s="130" t="str">
        <f t="shared" si="83"/>
        <v/>
      </c>
      <c r="E1600" s="107" t="str">
        <f t="shared" si="82"/>
        <v/>
      </c>
      <c r="F1600" s="19"/>
      <c r="G1600" s="19"/>
      <c r="H1600" s="19"/>
      <c r="I1600" s="19"/>
      <c r="J1600" s="19"/>
      <c r="K1600" s="233"/>
      <c r="L1600" s="19"/>
    </row>
    <row r="1601" spans="1:12" ht="13.5" customHeight="1">
      <c r="A1601" s="219" t="str" cm="1">
        <f t="array" ref="A1601">IFERROR(INDEX('03.Muestra'!$B$8:$B$42,SMALL(IF("Documento no web"='03.Muestra'!$D$8:$D$42,ROW('03.Muestra'!$B$8:$B$42)-MIN(ROW('03.Muestra'!$D$8:$D$42))+1,""),ROW()-1576)),"")</f>
        <v/>
      </c>
      <c r="B1601" s="114" t="str" cm="1">
        <f t="array" ref="B1601">IFERROR(INDEX('03.Muestra'!$C$8:$C$42,SMALL(IF("Documento no web"='03.Muestra'!$D$8:$D$42,ROW('03.Muestra'!$C$8:$C$42)-MIN(ROW('03.Muestra'!$D$8:$D$42))+1,""),ROW()-1576)),"")</f>
        <v/>
      </c>
      <c r="C1601" s="114" t="str" cm="1">
        <f t="array" ref="C1601">IFERROR(INDEX('03.Muestra'!$F$8:$F$42,SMALL(IF("Documento no web"='03.Muestra'!$D$8:$D$42,ROW('03.Muestra'!$F$8:$F$42)-MIN(ROW('03.Muestra'!$D$8:$D$42))+1,""),ROW()-1576)),"")</f>
        <v/>
      </c>
      <c r="D1601" s="130" t="str">
        <f t="shared" si="83"/>
        <v/>
      </c>
      <c r="E1601" s="107" t="str">
        <f t="shared" si="82"/>
        <v/>
      </c>
      <c r="F1601" s="19"/>
      <c r="G1601" s="19"/>
      <c r="H1601" s="19"/>
      <c r="I1601" s="19"/>
      <c r="J1601" s="19"/>
      <c r="K1601" s="233"/>
      <c r="L1601" s="19"/>
    </row>
    <row r="1602" spans="1:12" ht="13.5" customHeight="1">
      <c r="A1602" s="219" t="str" cm="1">
        <f t="array" ref="A1602">IFERROR(INDEX('03.Muestra'!$B$8:$B$42,SMALL(IF("Documento no web"='03.Muestra'!$D$8:$D$42,ROW('03.Muestra'!$B$8:$B$42)-MIN(ROW('03.Muestra'!$D$8:$D$42))+1,""),ROW()-1576)),"")</f>
        <v/>
      </c>
      <c r="B1602" s="114" t="str" cm="1">
        <f t="array" ref="B1602">IFERROR(INDEX('03.Muestra'!$C$8:$C$42,SMALL(IF("Documento no web"='03.Muestra'!$D$8:$D$42,ROW('03.Muestra'!$C$8:$C$42)-MIN(ROW('03.Muestra'!$D$8:$D$42))+1,""),ROW()-1576)),"")</f>
        <v/>
      </c>
      <c r="C1602" s="114" t="str" cm="1">
        <f t="array" ref="C1602">IFERROR(INDEX('03.Muestra'!$F$8:$F$42,SMALL(IF("Documento no web"='03.Muestra'!$D$8:$D$42,ROW('03.Muestra'!$F$8:$F$42)-MIN(ROW('03.Muestra'!$D$8:$D$42))+1,""),ROW()-1576)),"")</f>
        <v/>
      </c>
      <c r="D1602" s="130" t="str">
        <f t="shared" si="83"/>
        <v/>
      </c>
      <c r="E1602" s="107" t="str">
        <f t="shared" si="82"/>
        <v/>
      </c>
      <c r="F1602" s="19"/>
      <c r="G1602" s="19"/>
      <c r="H1602" s="19"/>
      <c r="I1602" s="19"/>
      <c r="J1602" s="19"/>
      <c r="K1602" s="233"/>
      <c r="L1602" s="19"/>
    </row>
    <row r="1603" spans="1:12" ht="13.5" customHeight="1">
      <c r="A1603" s="219" t="str" cm="1">
        <f t="array" ref="A1603">IFERROR(INDEX('03.Muestra'!$B$8:$B$42,SMALL(IF("Documento no web"='03.Muestra'!$D$8:$D$42,ROW('03.Muestra'!$B$8:$B$42)-MIN(ROW('03.Muestra'!$D$8:$D$42))+1,""),ROW()-1576)),"")</f>
        <v/>
      </c>
      <c r="B1603" s="114" t="str" cm="1">
        <f t="array" ref="B1603">IFERROR(INDEX('03.Muestra'!$C$8:$C$42,SMALL(IF("Documento no web"='03.Muestra'!$D$8:$D$42,ROW('03.Muestra'!$C$8:$C$42)-MIN(ROW('03.Muestra'!$D$8:$D$42))+1,""),ROW()-1576)),"")</f>
        <v/>
      </c>
      <c r="C1603" s="114" t="str" cm="1">
        <f t="array" ref="C1603">IFERROR(INDEX('03.Muestra'!$F$8:$F$42,SMALL(IF("Documento no web"='03.Muestra'!$D$8:$D$42,ROW('03.Muestra'!$F$8:$F$42)-MIN(ROW('03.Muestra'!$D$8:$D$42))+1,""),ROW()-1576)),"")</f>
        <v/>
      </c>
      <c r="D1603" s="130" t="str">
        <f t="shared" si="83"/>
        <v/>
      </c>
      <c r="E1603" s="107" t="str">
        <f t="shared" si="82"/>
        <v/>
      </c>
      <c r="F1603" s="19"/>
      <c r="G1603" s="19"/>
      <c r="H1603" s="19"/>
      <c r="I1603" s="19"/>
      <c r="J1603" s="19"/>
      <c r="K1603" s="233"/>
      <c r="L1603" s="19"/>
    </row>
    <row r="1604" spans="1:12" ht="13.5" customHeight="1">
      <c r="A1604" s="219" t="str" cm="1">
        <f t="array" ref="A1604">IFERROR(INDEX('03.Muestra'!$B$8:$B$42,SMALL(IF("Documento no web"='03.Muestra'!$D$8:$D$42,ROW('03.Muestra'!$B$8:$B$42)-MIN(ROW('03.Muestra'!$D$8:$D$42))+1,""),ROW()-1576)),"")</f>
        <v/>
      </c>
      <c r="B1604" s="114" t="str" cm="1">
        <f t="array" ref="B1604">IFERROR(INDEX('03.Muestra'!$C$8:$C$42,SMALL(IF("Documento no web"='03.Muestra'!$D$8:$D$42,ROW('03.Muestra'!$C$8:$C$42)-MIN(ROW('03.Muestra'!$D$8:$D$42))+1,""),ROW()-1576)),"")</f>
        <v/>
      </c>
      <c r="C1604" s="114" t="str" cm="1">
        <f t="array" ref="C1604">IFERROR(INDEX('03.Muestra'!$F$8:$F$42,SMALL(IF("Documento no web"='03.Muestra'!$D$8:$D$42,ROW('03.Muestra'!$F$8:$F$42)-MIN(ROW('03.Muestra'!$D$8:$D$42))+1,""),ROW()-1576)),"")</f>
        <v/>
      </c>
      <c r="D1604" s="130" t="str">
        <f t="shared" si="83"/>
        <v/>
      </c>
      <c r="E1604" s="107" t="str">
        <f t="shared" si="82"/>
        <v/>
      </c>
      <c r="G1604" s="19"/>
      <c r="H1604" s="19"/>
      <c r="I1604" s="19"/>
      <c r="J1604" s="19"/>
      <c r="K1604" s="233"/>
      <c r="L1604" s="19"/>
    </row>
    <row r="1605" spans="1:12" ht="13.5" customHeight="1">
      <c r="A1605" s="219" t="str" cm="1">
        <f t="array" ref="A1605">IFERROR(INDEX('03.Muestra'!$B$8:$B$42,SMALL(IF("Documento no web"='03.Muestra'!$D$8:$D$42,ROW('03.Muestra'!$B$8:$B$42)-MIN(ROW('03.Muestra'!$D$8:$D$42))+1,""),ROW()-1576)),"")</f>
        <v/>
      </c>
      <c r="B1605" s="114" t="str" cm="1">
        <f t="array" ref="B1605">IFERROR(INDEX('03.Muestra'!$C$8:$C$42,SMALL(IF("Documento no web"='03.Muestra'!$D$8:$D$42,ROW('03.Muestra'!$C$8:$C$42)-MIN(ROW('03.Muestra'!$D$8:$D$42))+1,""),ROW()-1576)),"")</f>
        <v/>
      </c>
      <c r="C1605" s="114" t="str" cm="1">
        <f t="array" ref="C1605">IFERROR(INDEX('03.Muestra'!$F$8:$F$42,SMALL(IF("Documento no web"='03.Muestra'!$D$8:$D$42,ROW('03.Muestra'!$F$8:$F$42)-MIN(ROW('03.Muestra'!$D$8:$D$42))+1,""),ROW()-1576)),"")</f>
        <v/>
      </c>
      <c r="D1605" s="130" t="str">
        <f t="shared" si="83"/>
        <v/>
      </c>
      <c r="E1605" s="107" t="str">
        <f t="shared" si="82"/>
        <v/>
      </c>
      <c r="F1605" s="124"/>
      <c r="G1605" s="19"/>
      <c r="H1605" s="19"/>
      <c r="I1605" s="19"/>
      <c r="J1605" s="19"/>
      <c r="K1605" s="233"/>
      <c r="L1605" s="19"/>
    </row>
    <row r="1606" spans="1:12" ht="13.5" customHeight="1">
      <c r="A1606" s="219" t="str" cm="1">
        <f t="array" ref="A1606">IFERROR(INDEX('03.Muestra'!$B$8:$B$42,SMALL(IF("Documento no web"='03.Muestra'!$D$8:$D$42,ROW('03.Muestra'!$B$8:$B$42)-MIN(ROW('03.Muestra'!$D$8:$D$42))+1,""),ROW()-1576)),"")</f>
        <v/>
      </c>
      <c r="B1606" s="114" t="str" cm="1">
        <f t="array" ref="B1606">IFERROR(INDEX('03.Muestra'!$C$8:$C$42,SMALL(IF("Documento no web"='03.Muestra'!$D$8:$D$42,ROW('03.Muestra'!$C$8:$C$42)-MIN(ROW('03.Muestra'!$D$8:$D$42))+1,""),ROW()-1576)),"")</f>
        <v/>
      </c>
      <c r="C1606" s="114" t="str" cm="1">
        <f t="array" ref="C1606">IFERROR(INDEX('03.Muestra'!$F$8:$F$42,SMALL(IF("Documento no web"='03.Muestra'!$D$8:$D$42,ROW('03.Muestra'!$F$8:$F$42)-MIN(ROW('03.Muestra'!$D$8:$D$42))+1,""),ROW()-1576)),"")</f>
        <v/>
      </c>
      <c r="D1606" s="130" t="str">
        <f t="shared" si="83"/>
        <v/>
      </c>
      <c r="E1606" s="107" t="str">
        <f t="shared" si="82"/>
        <v/>
      </c>
      <c r="F1606" s="124"/>
      <c r="G1606" s="19"/>
      <c r="H1606" s="19"/>
      <c r="I1606" s="19"/>
      <c r="J1606" s="19"/>
      <c r="K1606" s="233"/>
      <c r="L1606" s="19"/>
    </row>
    <row r="1607" spans="1:12" ht="13.5" customHeight="1">
      <c r="A1607" s="219" t="str" cm="1">
        <f t="array" ref="A1607">IFERROR(INDEX('03.Muestra'!$B$8:$B$42,SMALL(IF("Documento no web"='03.Muestra'!$D$8:$D$42,ROW('03.Muestra'!$B$8:$B$42)-MIN(ROW('03.Muestra'!$D$8:$D$42))+1,""),ROW()-1576)),"")</f>
        <v/>
      </c>
      <c r="B1607" s="114" t="str" cm="1">
        <f t="array" ref="B1607">IFERROR(INDEX('03.Muestra'!$C$8:$C$42,SMALL(IF("Documento no web"='03.Muestra'!$D$8:$D$42,ROW('03.Muestra'!$C$8:$C$42)-MIN(ROW('03.Muestra'!$D$8:$D$42))+1,""),ROW()-1576)),"")</f>
        <v/>
      </c>
      <c r="C1607" s="114" t="str" cm="1">
        <f t="array" ref="C1607">IFERROR(INDEX('03.Muestra'!$F$8:$F$42,SMALL(IF("Documento no web"='03.Muestra'!$D$8:$D$42,ROW('03.Muestra'!$F$8:$F$42)-MIN(ROW('03.Muestra'!$D$8:$D$42))+1,""),ROW()-1576)),"")</f>
        <v/>
      </c>
      <c r="D1607" s="130" t="str">
        <f t="shared" si="83"/>
        <v/>
      </c>
      <c r="E1607" s="107" t="str">
        <f t="shared" si="82"/>
        <v/>
      </c>
      <c r="F1607" s="124"/>
      <c r="G1607" s="19"/>
      <c r="H1607" s="19"/>
      <c r="I1607" s="19"/>
      <c r="J1607" s="19"/>
      <c r="K1607" s="233"/>
      <c r="L1607" s="19"/>
    </row>
    <row r="1608" spans="1:12" ht="13.5" customHeight="1">
      <c r="A1608" s="219" t="str" cm="1">
        <f t="array" ref="A1608">IFERROR(INDEX('03.Muestra'!$B$8:$B$42,SMALL(IF("Documento no web"='03.Muestra'!$D$8:$D$42,ROW('03.Muestra'!$B$8:$B$42)-MIN(ROW('03.Muestra'!$D$8:$D$42))+1,""),ROW()-1576)),"")</f>
        <v/>
      </c>
      <c r="B1608" s="114" t="str" cm="1">
        <f t="array" ref="B1608">IFERROR(INDEX('03.Muestra'!$C$8:$C$42,SMALL(IF("Documento no web"='03.Muestra'!$D$8:$D$42,ROW('03.Muestra'!$C$8:$C$42)-MIN(ROW('03.Muestra'!$D$8:$D$42))+1,""),ROW()-1576)),"")</f>
        <v/>
      </c>
      <c r="C1608" s="114" t="str" cm="1">
        <f t="array" ref="C1608">IFERROR(INDEX('03.Muestra'!$F$8:$F$42,SMALL(IF("Documento no web"='03.Muestra'!$D$8:$D$42,ROW('03.Muestra'!$F$8:$F$42)-MIN(ROW('03.Muestra'!$D$8:$D$42))+1,""),ROW()-1576)),"")</f>
        <v/>
      </c>
      <c r="D1608" s="130" t="str">
        <f t="shared" si="83"/>
        <v/>
      </c>
      <c r="E1608" s="107" t="str">
        <f t="shared" si="82"/>
        <v/>
      </c>
      <c r="F1608" s="124"/>
      <c r="G1608" s="19"/>
      <c r="H1608" s="19"/>
      <c r="I1608" s="19"/>
      <c r="J1608" s="19"/>
      <c r="K1608" s="233"/>
      <c r="L1608" s="19"/>
    </row>
    <row r="1609" spans="1:12" ht="13.5" customHeight="1">
      <c r="A1609" s="219" t="str" cm="1">
        <f t="array" ref="A1609">IFERROR(INDEX('03.Muestra'!$B$8:$B$42,SMALL(IF("Documento no web"='03.Muestra'!$D$8:$D$42,ROW('03.Muestra'!$B$8:$B$42)-MIN(ROW('03.Muestra'!$D$8:$D$42))+1,""),ROW()-1576)),"")</f>
        <v/>
      </c>
      <c r="B1609" s="114" t="str" cm="1">
        <f t="array" ref="B1609">IFERROR(INDEX('03.Muestra'!$C$8:$C$42,SMALL(IF("Documento no web"='03.Muestra'!$D$8:$D$42,ROW('03.Muestra'!$C$8:$C$42)-MIN(ROW('03.Muestra'!$D$8:$D$42))+1,""),ROW()-1576)),"")</f>
        <v/>
      </c>
      <c r="C1609" s="114" t="str" cm="1">
        <f t="array" ref="C1609">IFERROR(INDEX('03.Muestra'!$F$8:$F$42,SMALL(IF("Documento no web"='03.Muestra'!$D$8:$D$42,ROW('03.Muestra'!$F$8:$F$42)-MIN(ROW('03.Muestra'!$D$8:$D$42))+1,""),ROW()-1576)),"")</f>
        <v/>
      </c>
      <c r="D1609" s="130" t="str">
        <f t="shared" si="83"/>
        <v/>
      </c>
      <c r="E1609" s="107" t="str">
        <f t="shared" si="82"/>
        <v/>
      </c>
      <c r="F1609" s="124"/>
      <c r="G1609" s="19"/>
      <c r="H1609" s="19"/>
      <c r="I1609" s="19"/>
      <c r="J1609" s="19"/>
      <c r="K1609" s="233"/>
      <c r="L1609" s="19"/>
    </row>
    <row r="1610" spans="1:12" ht="13.5" customHeight="1">
      <c r="A1610" s="219" t="str" cm="1">
        <f t="array" ref="A1610">IFERROR(INDEX('03.Muestra'!$B$8:$B$42,SMALL(IF("Documento no web"='03.Muestra'!$D$8:$D$42,ROW('03.Muestra'!$B$8:$B$42)-MIN(ROW('03.Muestra'!$D$8:$D$42))+1,""),ROW()-1576)),"")</f>
        <v/>
      </c>
      <c r="B1610" s="114" t="str" cm="1">
        <f t="array" ref="B1610">IFERROR(INDEX('03.Muestra'!$C$8:$C$42,SMALL(IF("Documento no web"='03.Muestra'!$D$8:$D$42,ROW('03.Muestra'!$C$8:$C$42)-MIN(ROW('03.Muestra'!$D$8:$D$42))+1,""),ROW()-1576)),"")</f>
        <v/>
      </c>
      <c r="C1610" s="114" t="str" cm="1">
        <f t="array" ref="C1610">IFERROR(INDEX('03.Muestra'!$F$8:$F$42,SMALL(IF("Documento no web"='03.Muestra'!$D$8:$D$42,ROW('03.Muestra'!$F$8:$F$42)-MIN(ROW('03.Muestra'!$D$8:$D$42))+1,""),ROW()-1576)),"")</f>
        <v/>
      </c>
      <c r="D1610" s="130" t="str">
        <f t="shared" si="83"/>
        <v/>
      </c>
      <c r="E1610" s="107" t="str">
        <f t="shared" si="82"/>
        <v/>
      </c>
      <c r="F1610" s="124"/>
      <c r="G1610" s="19"/>
      <c r="H1610" s="19"/>
      <c r="I1610" s="19"/>
      <c r="J1610" s="19"/>
      <c r="K1610" s="233"/>
      <c r="L1610" s="19"/>
    </row>
    <row r="1611" spans="1:12" ht="13.5" customHeight="1">
      <c r="A1611" s="219" t="str" cm="1">
        <f t="array" ref="A1611">IFERROR(INDEX('03.Muestra'!$B$8:$B$42,SMALL(IF("Documento no web"='03.Muestra'!$D$8:$D$42,ROW('03.Muestra'!$B$8:$B$42)-MIN(ROW('03.Muestra'!$D$8:$D$42))+1,""),ROW()-1576)),"")</f>
        <v/>
      </c>
      <c r="B1611" s="114" t="str" cm="1">
        <f t="array" ref="B1611">IFERROR(INDEX('03.Muestra'!$C$8:$C$42,SMALL(IF("Documento no web"='03.Muestra'!$D$8:$D$42,ROW('03.Muestra'!$C$8:$C$42)-MIN(ROW('03.Muestra'!$D$8:$D$42))+1,""),ROW()-1576)),"")</f>
        <v/>
      </c>
      <c r="C1611" s="114" t="str" cm="1">
        <f t="array" ref="C1611">IFERROR(INDEX('03.Muestra'!$F$8:$F$42,SMALL(IF("Documento no web"='03.Muestra'!$D$8:$D$42,ROW('03.Muestra'!$F$8:$F$42)-MIN(ROW('03.Muestra'!$D$8:$D$42))+1,""),ROW()-1576)),"")</f>
        <v/>
      </c>
      <c r="D1611" s="130" t="str">
        <f t="shared" si="83"/>
        <v/>
      </c>
      <c r="E1611" s="107" t="str">
        <f t="shared" si="82"/>
        <v/>
      </c>
      <c r="F1611" s="19"/>
      <c r="G1611" s="19"/>
      <c r="H1611" s="19"/>
      <c r="I1611" s="19"/>
      <c r="J1611" s="19"/>
      <c r="K1611" s="233"/>
      <c r="L1611" s="19"/>
    </row>
    <row r="1612" spans="1:12" ht="13.5" customHeight="1">
      <c r="B1612" s="19"/>
      <c r="C1612" s="19"/>
      <c r="D1612" s="107"/>
      <c r="E1612" s="19"/>
      <c r="F1612" s="19"/>
      <c r="G1612" s="19"/>
      <c r="H1612" s="19"/>
      <c r="I1612" s="19"/>
      <c r="J1612" s="19"/>
      <c r="K1612" s="233"/>
      <c r="L1612" s="19"/>
    </row>
    <row r="1613" spans="1:12" ht="15">
      <c r="B1613" s="19"/>
      <c r="C1613" s="19"/>
      <c r="D1613" s="107"/>
      <c r="E1613" s="112"/>
      <c r="K1613" s="233"/>
      <c r="L1613" s="19"/>
    </row>
    <row r="1614" spans="1:12" ht="31.5">
      <c r="A1614" s="218" t="s">
        <v>268</v>
      </c>
      <c r="B1614" s="24" t="s">
        <v>90</v>
      </c>
      <c r="C1614" s="25" t="s">
        <v>464</v>
      </c>
      <c r="D1614" s="26" t="s">
        <v>32</v>
      </c>
      <c r="E1614" s="123"/>
      <c r="K1614" s="233"/>
      <c r="L1614" s="19"/>
    </row>
    <row r="1615" spans="1:12" ht="15">
      <c r="A1615" s="219" t="n" cm="1">
        <f t="array" ref="A1615">IFERROR(INDEX('03.Muestra'!$B$8:$B$42,SMALL(IF("Documento no web"='03.Muestra'!$D$8:$D$42,ROW('03.Muestra'!$B$8:$B$42)-MIN(ROW('03.Muestra'!$D$8:$D$42))+1,""),ROW()-1614)),"")</f>
        <v>1.0</v>
      </c>
      <c r="B1615" s="114" t="str" cm="1">
        <f t="array" ref="B1615">IFERROR(INDEX('03.Muestra'!$C$8:$C$42,SMALL(IF("Documento no web"='03.Muestra'!$D$8:$D$42,ROW('03.Muestra'!$C$8:$C$42)-MIN(ROW('03.Muestra'!$D$8:$D$42))+1,""),ROW()-1614)),"")</f>
        <v>Home - PortCastelló</v>
      </c>
      <c r="C1615" s="114" t="str" cm="1">
        <f t="array" ref="C1615">IFERROR(INDEX('03.Muestra'!$F$8:$F$42,SMALL(IF("Documento no web"='03.Muestra'!$D$8:$D$42,ROW('03.Muestra'!$F$8:$F$42)-MIN(ROW('03.Muestra'!$D$8:$D$42))+1,""),ROW()-1614)),"")</f>
        <v>https://www.portcastello.com/</v>
      </c>
      <c r="D1615" s="130" t="str">
        <f>IF(AND(B1615&lt;&gt;"",C1615&lt;&gt;""),"N/T","")</f>
        <v>N/T</v>
      </c>
      <c r="E1615" s="107" t="str">
        <f t="shared" ref="E1615:E1649" si="84">IF(D1615&lt;&gt;"",IF(AND(B1615&lt;&gt;"",C1615&lt;&gt;""),"","ERR"),"")</f>
        <v/>
      </c>
      <c r="F1615" s="115" t="s">
        <v>33</v>
      </c>
      <c r="G1615" s="116" t="s">
        <v>37</v>
      </c>
      <c r="H1615" s="117" t="s">
        <v>35</v>
      </c>
      <c r="I1615" s="118" t="s">
        <v>28</v>
      </c>
      <c r="J1615" s="119" t="s">
        <v>26</v>
      </c>
      <c r="K1615" s="226" t="s">
        <v>474</v>
      </c>
      <c r="L1615" s="19"/>
    </row>
    <row r="1616" spans="1:12" ht="15">
      <c r="A1616" s="219" t="n" cm="1">
        <f t="array" ref="A1616">IFERROR(INDEX('03.Muestra'!$B$8:$B$42,SMALL(IF("Documento no web"='03.Muestra'!$D$8:$D$42,ROW('03.Muestra'!$B$8:$B$42)-MIN(ROW('03.Muestra'!$D$8:$D$42))+1,""),ROW()-1614)),"")</f>
        <v>1.0</v>
      </c>
      <c r="B1616" s="114" t="str" cm="1">
        <f t="array" ref="B1616">IFERROR(INDEX('03.Muestra'!$C$8:$C$42,SMALL(IF("Documento no web"='03.Muestra'!$D$8:$D$42,ROW('03.Muestra'!$C$8:$C$42)-MIN(ROW('03.Muestra'!$D$8:$D$42))+1,""),ROW()-1614)),"")</f>
        <v>Home - PortCastelló</v>
      </c>
      <c r="C1616" s="114" t="str" cm="1">
        <f t="array" ref="C1616">IFERROR(INDEX('03.Muestra'!$F$8:$F$42,SMALL(IF("Documento no web"='03.Muestra'!$D$8:$D$42,ROW('03.Muestra'!$F$8:$F$42)-MIN(ROW('03.Muestra'!$D$8:$D$42))+1,""),ROW()-1614)),"")</f>
        <v>https://www.portcastello.com/</v>
      </c>
      <c r="D1616" s="130" t="str">
        <f t="shared" ref="D1616:D1649" si="85">IF(AND(B1616&lt;&gt;"",C1616&lt;&gt;""),"N/T","")</f>
        <v>N/T</v>
      </c>
      <c r="E1616" s="107" t="str">
        <f t="shared" si="84"/>
        <v/>
      </c>
      <c r="F1616" s="120" t="n">
        <f ca="1">COUNTIF($D1615:INDIRECT("$D" &amp;  SUM(ROW()-1,'03.Muestra'!$D$45)-1),F1615)</f>
        <v>2.0</v>
      </c>
      <c r="G1616" s="120" t="n">
        <f ca="1">COUNTIF($D1615:INDIRECT("$D" &amp;  SUM(ROW()-1,'03.Muestra'!$D$45)-1),G1615)</f>
        <v>0.0</v>
      </c>
      <c r="H1616" s="120" t="n">
        <f ca="1">COUNTIF($D1615:INDIRECT("$D" &amp;  SUM(ROW()-1,'03.Muestra'!$D$45)-1),H1615)</f>
        <v>0.0</v>
      </c>
      <c r="I1616" s="120" t="n">
        <f ca="1">COUNTIF($D1615:INDIRECT("$D" &amp;  SUM(ROW()-1,'03.Muestra'!$D$45)-1),I1615)</f>
        <v>0.0</v>
      </c>
      <c r="J1616" s="120" t="n">
        <f ca="1">COUNTIF($D1615:INDIRECT("$D" &amp;  SUM(ROW()-1,'03.Muestra'!$D$45)-1),J1615)</f>
        <v>0.0</v>
      </c>
      <c r="K1616" s="227" t="n">
        <f ca="1">IF(COUNTIF('03.Muestra'!$D$8:$D$42,"Documento no web")=0,0,COUNTBLANK($D1615:INDIRECT("$D" &amp;  SUM(ROW()-1,COUNTIF('03.Muestra'!$D$8:$D$42,"Documento no web"))-1)))</f>
        <v>0.0</v>
      </c>
    </row>
    <row r="1617" spans="1:11" ht="15">
      <c r="A1617" s="219" t="str" cm="1">
        <f t="array" ref="A1617">IFERROR(INDEX('03.Muestra'!$B$8:$B$42,SMALL(IF("Documento no web"='03.Muestra'!$D$8:$D$42,ROW('03.Muestra'!$B$8:$B$42)-MIN(ROW('03.Muestra'!$D$8:$D$42))+1,""),ROW()-1614)),"")</f>
        <v/>
      </c>
      <c r="B1617" s="114" t="str" cm="1">
        <f t="array" ref="B1617">IFERROR(INDEX('03.Muestra'!$C$8:$C$42,SMALL(IF("Documento no web"='03.Muestra'!$D$8:$D$42,ROW('03.Muestra'!$C$8:$C$42)-MIN(ROW('03.Muestra'!$D$8:$D$42))+1,""),ROW()-1614)),"")</f>
        <v/>
      </c>
      <c r="C1617" s="114" t="str" cm="1">
        <f t="array" ref="C1617">IFERROR(INDEX('03.Muestra'!$F$8:$F$42,SMALL(IF("Documento no web"='03.Muestra'!$D$8:$D$42,ROW('03.Muestra'!$F$8:$F$42)-MIN(ROW('03.Muestra'!$D$8:$D$42))+1,""),ROW()-1614)),"")</f>
        <v/>
      </c>
      <c r="D1617" s="130" t="str">
        <f t="shared" si="85"/>
        <v/>
      </c>
      <c r="E1617" s="107" t="str">
        <f t="shared" si="84"/>
        <v/>
      </c>
      <c r="F1617" s="19"/>
      <c r="G1617" s="19"/>
      <c r="H1617" s="19"/>
      <c r="I1617" s="19"/>
      <c r="J1617" s="19"/>
      <c r="K1617" s="233"/>
    </row>
    <row r="1618" spans="1:11" ht="15">
      <c r="A1618" s="219" t="str" cm="1">
        <f t="array" ref="A1618">IFERROR(INDEX('03.Muestra'!$B$8:$B$42,SMALL(IF("Documento no web"='03.Muestra'!$D$8:$D$42,ROW('03.Muestra'!$B$8:$B$42)-MIN(ROW('03.Muestra'!$D$8:$D$42))+1,""),ROW()-1614)),"")</f>
        <v/>
      </c>
      <c r="B1618" s="114" t="str" cm="1">
        <f t="array" ref="B1618">IFERROR(INDEX('03.Muestra'!$C$8:$C$42,SMALL(IF("Documento no web"='03.Muestra'!$D$8:$D$42,ROW('03.Muestra'!$C$8:$C$42)-MIN(ROW('03.Muestra'!$D$8:$D$42))+1,""),ROW()-1614)),"")</f>
        <v/>
      </c>
      <c r="C1618" s="114" t="str" cm="1">
        <f t="array" ref="C1618">IFERROR(INDEX('03.Muestra'!$F$8:$F$42,SMALL(IF("Documento no web"='03.Muestra'!$D$8:$D$42,ROW('03.Muestra'!$F$8:$F$42)-MIN(ROW('03.Muestra'!$D$8:$D$42))+1,""),ROW()-1614)),"")</f>
        <v/>
      </c>
      <c r="D1618" s="130" t="str">
        <f t="shared" si="85"/>
        <v/>
      </c>
      <c r="E1618" s="107" t="str">
        <f t="shared" si="84"/>
        <v/>
      </c>
      <c r="F1618" s="19"/>
      <c r="G1618" s="19"/>
      <c r="H1618" s="19"/>
      <c r="I1618" s="19"/>
      <c r="J1618" s="19"/>
      <c r="K1618" s="234"/>
    </row>
    <row r="1619" spans="1:11" ht="15">
      <c r="A1619" s="219" t="str" cm="1">
        <f t="array" ref="A1619">IFERROR(INDEX('03.Muestra'!$B$8:$B$42,SMALL(IF("Documento no web"='03.Muestra'!$D$8:$D$42,ROW('03.Muestra'!$B$8:$B$42)-MIN(ROW('03.Muestra'!$D$8:$D$42))+1,""),ROW()-1614)),"")</f>
        <v/>
      </c>
      <c r="B1619" s="114" t="str" cm="1">
        <f t="array" ref="B1619">IFERROR(INDEX('03.Muestra'!$C$8:$C$42,SMALL(IF("Documento no web"='03.Muestra'!$D$8:$D$42,ROW('03.Muestra'!$C$8:$C$42)-MIN(ROW('03.Muestra'!$D$8:$D$42))+1,""),ROW()-1614)),"")</f>
        <v/>
      </c>
      <c r="C1619" s="114" t="str" cm="1">
        <f t="array" ref="C1619">IFERROR(INDEX('03.Muestra'!$F$8:$F$42,SMALL(IF("Documento no web"='03.Muestra'!$D$8:$D$42,ROW('03.Muestra'!$F$8:$F$42)-MIN(ROW('03.Muestra'!$D$8:$D$42))+1,""),ROW()-1614)),"")</f>
        <v/>
      </c>
      <c r="D1619" s="130" t="str">
        <f t="shared" si="85"/>
        <v/>
      </c>
      <c r="E1619" s="107" t="str">
        <f t="shared" si="84"/>
        <v/>
      </c>
      <c r="F1619" s="122"/>
      <c r="G1619" s="19"/>
      <c r="H1619" s="19"/>
      <c r="I1619" s="19"/>
      <c r="J1619" s="19"/>
      <c r="K1619" s="234"/>
    </row>
    <row r="1620" spans="1:11" ht="15">
      <c r="A1620" s="219" t="str" cm="1">
        <f t="array" ref="A1620">IFERROR(INDEX('03.Muestra'!$B$8:$B$42,SMALL(IF("Documento no web"='03.Muestra'!$D$8:$D$42,ROW('03.Muestra'!$B$8:$B$42)-MIN(ROW('03.Muestra'!$D$8:$D$42))+1,""),ROW()-1614)),"")</f>
        <v/>
      </c>
      <c r="B1620" s="114" t="str" cm="1">
        <f t="array" ref="B1620">IFERROR(INDEX('03.Muestra'!$C$8:$C$42,SMALL(IF("Documento no web"='03.Muestra'!$D$8:$D$42,ROW('03.Muestra'!$C$8:$C$42)-MIN(ROW('03.Muestra'!$D$8:$D$42))+1,""),ROW()-1614)),"")</f>
        <v/>
      </c>
      <c r="C1620" s="114" t="str" cm="1">
        <f t="array" ref="C1620">IFERROR(INDEX('03.Muestra'!$F$8:$F$42,SMALL(IF("Documento no web"='03.Muestra'!$D$8:$D$42,ROW('03.Muestra'!$F$8:$F$42)-MIN(ROW('03.Muestra'!$D$8:$D$42))+1,""),ROW()-1614)),"")</f>
        <v/>
      </c>
      <c r="D1620" s="130" t="str">
        <f t="shared" si="85"/>
        <v/>
      </c>
      <c r="E1620" s="107" t="str">
        <f t="shared" si="84"/>
        <v/>
      </c>
      <c r="F1620" s="19"/>
      <c r="G1620" s="19"/>
      <c r="H1620" s="19"/>
      <c r="I1620" s="19"/>
      <c r="J1620" s="19"/>
      <c r="K1620" s="234"/>
    </row>
    <row r="1621" spans="1:11" ht="15">
      <c r="A1621" s="219" t="str" cm="1">
        <f t="array" ref="A1621">IFERROR(INDEX('03.Muestra'!$B$8:$B$42,SMALL(IF("Documento no web"='03.Muestra'!$D$8:$D$42,ROW('03.Muestra'!$B$8:$B$42)-MIN(ROW('03.Muestra'!$D$8:$D$42))+1,""),ROW()-1614)),"")</f>
        <v/>
      </c>
      <c r="B1621" s="114" t="str" cm="1">
        <f t="array" ref="B1621">IFERROR(INDEX('03.Muestra'!$C$8:$C$42,SMALL(IF("Documento no web"='03.Muestra'!$D$8:$D$42,ROW('03.Muestra'!$C$8:$C$42)-MIN(ROW('03.Muestra'!$D$8:$D$42))+1,""),ROW()-1614)),"")</f>
        <v/>
      </c>
      <c r="C1621" s="114" t="str" cm="1">
        <f t="array" ref="C1621">IFERROR(INDEX('03.Muestra'!$F$8:$F$42,SMALL(IF("Documento no web"='03.Muestra'!$D$8:$D$42,ROW('03.Muestra'!$F$8:$F$42)-MIN(ROW('03.Muestra'!$D$8:$D$42))+1,""),ROW()-1614)),"")</f>
        <v/>
      </c>
      <c r="D1621" s="130" t="str">
        <f t="shared" si="85"/>
        <v/>
      </c>
      <c r="E1621" s="107" t="str">
        <f t="shared" si="84"/>
        <v/>
      </c>
      <c r="F1621" s="19"/>
      <c r="G1621" s="19"/>
      <c r="H1621" s="19"/>
      <c r="I1621" s="19"/>
      <c r="J1621" s="19"/>
      <c r="K1621" s="233"/>
    </row>
    <row r="1622" spans="1:11" ht="15">
      <c r="A1622" s="219" t="str" cm="1">
        <f t="array" ref="A1622">IFERROR(INDEX('03.Muestra'!$B$8:$B$42,SMALL(IF("Documento no web"='03.Muestra'!$D$8:$D$42,ROW('03.Muestra'!$B$8:$B$42)-MIN(ROW('03.Muestra'!$D$8:$D$42))+1,""),ROW()-1614)),"")</f>
        <v/>
      </c>
      <c r="B1622" s="114" t="str" cm="1">
        <f t="array" ref="B1622">IFERROR(INDEX('03.Muestra'!$C$8:$C$42,SMALL(IF("Documento no web"='03.Muestra'!$D$8:$D$42,ROW('03.Muestra'!$C$8:$C$42)-MIN(ROW('03.Muestra'!$D$8:$D$42))+1,""),ROW()-1614)),"")</f>
        <v/>
      </c>
      <c r="C1622" s="114" t="str" cm="1">
        <f t="array" ref="C1622">IFERROR(INDEX('03.Muestra'!$F$8:$F$42,SMALL(IF("Documento no web"='03.Muestra'!$D$8:$D$42,ROW('03.Muestra'!$F$8:$F$42)-MIN(ROW('03.Muestra'!$D$8:$D$42))+1,""),ROW()-1614)),"")</f>
        <v/>
      </c>
      <c r="D1622" s="130" t="str">
        <f t="shared" si="85"/>
        <v/>
      </c>
      <c r="E1622" s="107" t="str">
        <f t="shared" si="84"/>
        <v/>
      </c>
      <c r="F1622" s="19"/>
      <c r="G1622" s="19"/>
      <c r="H1622" s="19"/>
      <c r="I1622" s="19"/>
      <c r="J1622" s="19"/>
      <c r="K1622" s="233"/>
    </row>
    <row r="1623" spans="1:11" ht="15">
      <c r="A1623" s="219" t="str" cm="1">
        <f t="array" ref="A1623">IFERROR(INDEX('03.Muestra'!$B$8:$B$42,SMALL(IF("Documento no web"='03.Muestra'!$D$8:$D$42,ROW('03.Muestra'!$B$8:$B$42)-MIN(ROW('03.Muestra'!$D$8:$D$42))+1,""),ROW()-1614)),"")</f>
        <v/>
      </c>
      <c r="B1623" s="114" t="str" cm="1">
        <f t="array" ref="B1623">IFERROR(INDEX('03.Muestra'!$C$8:$C$42,SMALL(IF("Documento no web"='03.Muestra'!$D$8:$D$42,ROW('03.Muestra'!$C$8:$C$42)-MIN(ROW('03.Muestra'!$D$8:$D$42))+1,""),ROW()-1614)),"")</f>
        <v/>
      </c>
      <c r="C1623" s="114" t="str" cm="1">
        <f t="array" ref="C1623">IFERROR(INDEX('03.Muestra'!$F$8:$F$42,SMALL(IF("Documento no web"='03.Muestra'!$D$8:$D$42,ROW('03.Muestra'!$F$8:$F$42)-MIN(ROW('03.Muestra'!$D$8:$D$42))+1,""),ROW()-1614)),"")</f>
        <v/>
      </c>
      <c r="D1623" s="130" t="str">
        <f t="shared" si="85"/>
        <v/>
      </c>
      <c r="E1623" s="107" t="str">
        <f t="shared" si="84"/>
        <v/>
      </c>
      <c r="F1623" s="19"/>
      <c r="G1623" s="19"/>
      <c r="H1623" s="19"/>
      <c r="I1623" s="19"/>
      <c r="J1623" s="19"/>
      <c r="K1623" s="233"/>
    </row>
    <row r="1624" spans="1:11" ht="15">
      <c r="A1624" s="219" t="str" cm="1">
        <f t="array" ref="A1624">IFERROR(INDEX('03.Muestra'!$B$8:$B$42,SMALL(IF("Documento no web"='03.Muestra'!$D$8:$D$42,ROW('03.Muestra'!$B$8:$B$42)-MIN(ROW('03.Muestra'!$D$8:$D$42))+1,""),ROW()-1614)),"")</f>
        <v/>
      </c>
      <c r="B1624" s="114" t="str" cm="1">
        <f t="array" ref="B1624">IFERROR(INDEX('03.Muestra'!$C$8:$C$42,SMALL(IF("Documento no web"='03.Muestra'!$D$8:$D$42,ROW('03.Muestra'!$C$8:$C$42)-MIN(ROW('03.Muestra'!$D$8:$D$42))+1,""),ROW()-1614)),"")</f>
        <v/>
      </c>
      <c r="C1624" s="114" t="str" cm="1">
        <f t="array" ref="C1624">IFERROR(INDEX('03.Muestra'!$F$8:$F$42,SMALL(IF("Documento no web"='03.Muestra'!$D$8:$D$42,ROW('03.Muestra'!$F$8:$F$42)-MIN(ROW('03.Muestra'!$D$8:$D$42))+1,""),ROW()-1614)),"")</f>
        <v/>
      </c>
      <c r="D1624" s="130" t="str">
        <f t="shared" si="85"/>
        <v/>
      </c>
      <c r="E1624" s="107" t="str">
        <f t="shared" si="84"/>
        <v/>
      </c>
      <c r="F1624" s="19"/>
      <c r="G1624" s="19"/>
      <c r="H1624" s="19"/>
      <c r="I1624" s="19"/>
      <c r="J1624" s="19"/>
      <c r="K1624" s="233"/>
    </row>
    <row r="1625" spans="1:11" ht="15">
      <c r="A1625" s="219" t="str" cm="1">
        <f t="array" ref="A1625">IFERROR(INDEX('03.Muestra'!$B$8:$B$42,SMALL(IF("Documento no web"='03.Muestra'!$D$8:$D$42,ROW('03.Muestra'!$B$8:$B$42)-MIN(ROW('03.Muestra'!$D$8:$D$42))+1,""),ROW()-1614)),"")</f>
        <v/>
      </c>
      <c r="B1625" s="114" t="str" cm="1">
        <f t="array" ref="B1625">IFERROR(INDEX('03.Muestra'!$C$8:$C$42,SMALL(IF("Documento no web"='03.Muestra'!$D$8:$D$42,ROW('03.Muestra'!$C$8:$C$42)-MIN(ROW('03.Muestra'!$D$8:$D$42))+1,""),ROW()-1614)),"")</f>
        <v/>
      </c>
      <c r="C1625" s="114" t="str" cm="1">
        <f t="array" ref="C1625">IFERROR(INDEX('03.Muestra'!$F$8:$F$42,SMALL(IF("Documento no web"='03.Muestra'!$D$8:$D$42,ROW('03.Muestra'!$F$8:$F$42)-MIN(ROW('03.Muestra'!$D$8:$D$42))+1,""),ROW()-1614)),"")</f>
        <v/>
      </c>
      <c r="D1625" s="130" t="str">
        <f t="shared" si="85"/>
        <v/>
      </c>
      <c r="E1625" s="107" t="str">
        <f t="shared" si="84"/>
        <v/>
      </c>
      <c r="F1625" s="19"/>
      <c r="G1625" s="19"/>
      <c r="H1625" s="19"/>
      <c r="I1625" s="19"/>
      <c r="J1625" s="19"/>
      <c r="K1625" s="233"/>
    </row>
    <row r="1626" spans="1:11" ht="15">
      <c r="A1626" s="219" t="str" cm="1">
        <f t="array" ref="A1626">IFERROR(INDEX('03.Muestra'!$B$8:$B$42,SMALL(IF("Documento no web"='03.Muestra'!$D$8:$D$42,ROW('03.Muestra'!$B$8:$B$42)-MIN(ROW('03.Muestra'!$D$8:$D$42))+1,""),ROW()-1614)),"")</f>
        <v/>
      </c>
      <c r="B1626" s="114" t="str" cm="1">
        <f t="array" ref="B1626">IFERROR(INDEX('03.Muestra'!$C$8:$C$42,SMALL(IF("Documento no web"='03.Muestra'!$D$8:$D$42,ROW('03.Muestra'!$C$8:$C$42)-MIN(ROW('03.Muestra'!$D$8:$D$42))+1,""),ROW()-1614)),"")</f>
        <v/>
      </c>
      <c r="C1626" s="114" t="str" cm="1">
        <f t="array" ref="C1626">IFERROR(INDEX('03.Muestra'!$F$8:$F$42,SMALL(IF("Documento no web"='03.Muestra'!$D$8:$D$42,ROW('03.Muestra'!$F$8:$F$42)-MIN(ROW('03.Muestra'!$D$8:$D$42))+1,""),ROW()-1614)),"")</f>
        <v/>
      </c>
      <c r="D1626" s="130" t="str">
        <f t="shared" si="85"/>
        <v/>
      </c>
      <c r="E1626" s="107" t="str">
        <f t="shared" si="84"/>
        <v/>
      </c>
      <c r="F1626" s="19"/>
      <c r="G1626" s="19"/>
      <c r="H1626" s="19"/>
      <c r="I1626" s="19"/>
      <c r="J1626" s="19"/>
      <c r="K1626" s="233"/>
    </row>
    <row r="1627" spans="1:11" ht="15">
      <c r="A1627" s="219" t="str" cm="1">
        <f t="array" ref="A1627">IFERROR(INDEX('03.Muestra'!$B$8:$B$42,SMALL(IF("Documento no web"='03.Muestra'!$D$8:$D$42,ROW('03.Muestra'!$B$8:$B$42)-MIN(ROW('03.Muestra'!$D$8:$D$42))+1,""),ROW()-1614)),"")</f>
        <v/>
      </c>
      <c r="B1627" s="114" t="str" cm="1">
        <f t="array" ref="B1627">IFERROR(INDEX('03.Muestra'!$C$8:$C$42,SMALL(IF("Documento no web"='03.Muestra'!$D$8:$D$42,ROW('03.Muestra'!$C$8:$C$42)-MIN(ROW('03.Muestra'!$D$8:$D$42))+1,""),ROW()-1614)),"")</f>
        <v/>
      </c>
      <c r="C1627" s="114" t="str" cm="1">
        <f t="array" ref="C1627">IFERROR(INDEX('03.Muestra'!$F$8:$F$42,SMALL(IF("Documento no web"='03.Muestra'!$D$8:$D$42,ROW('03.Muestra'!$F$8:$F$42)-MIN(ROW('03.Muestra'!$D$8:$D$42))+1,""),ROW()-1614)),"")</f>
        <v/>
      </c>
      <c r="D1627" s="130" t="str">
        <f t="shared" si="85"/>
        <v/>
      </c>
      <c r="E1627" s="107" t="str">
        <f t="shared" si="84"/>
        <v/>
      </c>
      <c r="F1627" s="19"/>
      <c r="G1627" s="19"/>
      <c r="H1627" s="19"/>
      <c r="I1627" s="19"/>
      <c r="J1627" s="19"/>
      <c r="K1627" s="233"/>
    </row>
    <row r="1628" spans="1:11" ht="15">
      <c r="A1628" s="219" t="str" cm="1">
        <f t="array" ref="A1628">IFERROR(INDEX('03.Muestra'!$B$8:$B$42,SMALL(IF("Documento no web"='03.Muestra'!$D$8:$D$42,ROW('03.Muestra'!$B$8:$B$42)-MIN(ROW('03.Muestra'!$D$8:$D$42))+1,""),ROW()-1614)),"")</f>
        <v/>
      </c>
      <c r="B1628" s="114" t="str" cm="1">
        <f t="array" ref="B1628">IFERROR(INDEX('03.Muestra'!$C$8:$C$42,SMALL(IF("Documento no web"='03.Muestra'!$D$8:$D$42,ROW('03.Muestra'!$C$8:$C$42)-MIN(ROW('03.Muestra'!$D$8:$D$42))+1,""),ROW()-1614)),"")</f>
        <v/>
      </c>
      <c r="C1628" s="114" t="str" cm="1">
        <f t="array" ref="C1628">IFERROR(INDEX('03.Muestra'!$F$8:$F$42,SMALL(IF("Documento no web"='03.Muestra'!$D$8:$D$42,ROW('03.Muestra'!$F$8:$F$42)-MIN(ROW('03.Muestra'!$D$8:$D$42))+1,""),ROW()-1614)),"")</f>
        <v/>
      </c>
      <c r="D1628" s="130" t="str">
        <f t="shared" si="85"/>
        <v/>
      </c>
      <c r="E1628" s="107" t="str">
        <f t="shared" si="84"/>
        <v/>
      </c>
      <c r="F1628" s="19"/>
      <c r="G1628" s="19"/>
      <c r="H1628" s="19"/>
      <c r="I1628" s="19"/>
      <c r="J1628" s="19"/>
      <c r="K1628" s="233"/>
    </row>
    <row r="1629" spans="1:11" ht="15">
      <c r="A1629" s="219" t="str" cm="1">
        <f t="array" ref="A1629">IFERROR(INDEX('03.Muestra'!$B$8:$B$42,SMALL(IF("Documento no web"='03.Muestra'!$D$8:$D$42,ROW('03.Muestra'!$B$8:$B$42)-MIN(ROW('03.Muestra'!$D$8:$D$42))+1,""),ROW()-1614)),"")</f>
        <v/>
      </c>
      <c r="B1629" s="114" t="str" cm="1">
        <f t="array" ref="B1629">IFERROR(INDEX('03.Muestra'!$C$8:$C$42,SMALL(IF("Documento no web"='03.Muestra'!$D$8:$D$42,ROW('03.Muestra'!$C$8:$C$42)-MIN(ROW('03.Muestra'!$D$8:$D$42))+1,""),ROW()-1614)),"")</f>
        <v/>
      </c>
      <c r="C1629" s="114" t="str" cm="1">
        <f t="array" ref="C1629">IFERROR(INDEX('03.Muestra'!$F$8:$F$42,SMALL(IF("Documento no web"='03.Muestra'!$D$8:$D$42,ROW('03.Muestra'!$F$8:$F$42)-MIN(ROW('03.Muestra'!$D$8:$D$42))+1,""),ROW()-1614)),"")</f>
        <v/>
      </c>
      <c r="D1629" s="130" t="str">
        <f t="shared" si="85"/>
        <v/>
      </c>
      <c r="E1629" s="107" t="str">
        <f t="shared" si="84"/>
        <v/>
      </c>
      <c r="F1629" s="19"/>
      <c r="G1629" s="19"/>
      <c r="H1629" s="19"/>
      <c r="I1629" s="19"/>
      <c r="J1629" s="19"/>
      <c r="K1629" s="233"/>
    </row>
    <row r="1630" spans="1:11" ht="15">
      <c r="A1630" s="219" t="str" cm="1">
        <f t="array" ref="A1630">IFERROR(INDEX('03.Muestra'!$B$8:$B$42,SMALL(IF("Documento no web"='03.Muestra'!$D$8:$D$42,ROW('03.Muestra'!$B$8:$B$42)-MIN(ROW('03.Muestra'!$D$8:$D$42))+1,""),ROW()-1614)),"")</f>
        <v/>
      </c>
      <c r="B1630" s="114" t="str" cm="1">
        <f t="array" ref="B1630">IFERROR(INDEX('03.Muestra'!$C$8:$C$42,SMALL(IF("Documento no web"='03.Muestra'!$D$8:$D$42,ROW('03.Muestra'!$C$8:$C$42)-MIN(ROW('03.Muestra'!$D$8:$D$42))+1,""),ROW()-1614)),"")</f>
        <v/>
      </c>
      <c r="C1630" s="114" t="str" cm="1">
        <f t="array" ref="C1630">IFERROR(INDEX('03.Muestra'!$F$8:$F$42,SMALL(IF("Documento no web"='03.Muestra'!$D$8:$D$42,ROW('03.Muestra'!$F$8:$F$42)-MIN(ROW('03.Muestra'!$D$8:$D$42))+1,""),ROW()-1614)),"")</f>
        <v/>
      </c>
      <c r="D1630" s="130" t="str">
        <f t="shared" si="85"/>
        <v/>
      </c>
      <c r="E1630" s="107" t="str">
        <f t="shared" si="84"/>
        <v/>
      </c>
      <c r="F1630" s="19"/>
      <c r="G1630" s="19"/>
      <c r="H1630" s="19"/>
      <c r="I1630" s="19"/>
      <c r="J1630" s="19"/>
      <c r="K1630" s="233"/>
    </row>
    <row r="1631" spans="1:11" ht="15">
      <c r="A1631" s="219" t="str" cm="1">
        <f t="array" ref="A1631">IFERROR(INDEX('03.Muestra'!$B$8:$B$42,SMALL(IF("Documento no web"='03.Muestra'!$D$8:$D$42,ROW('03.Muestra'!$B$8:$B$42)-MIN(ROW('03.Muestra'!$D$8:$D$42))+1,""),ROW()-1614)),"")</f>
        <v/>
      </c>
      <c r="B1631" s="114" t="str" cm="1">
        <f t="array" ref="B1631">IFERROR(INDEX('03.Muestra'!$C$8:$C$42,SMALL(IF("Documento no web"='03.Muestra'!$D$8:$D$42,ROW('03.Muestra'!$C$8:$C$42)-MIN(ROW('03.Muestra'!$D$8:$D$42))+1,""),ROW()-1614)),"")</f>
        <v/>
      </c>
      <c r="C1631" s="114" t="str" cm="1">
        <f t="array" ref="C1631">IFERROR(INDEX('03.Muestra'!$F$8:$F$42,SMALL(IF("Documento no web"='03.Muestra'!$D$8:$D$42,ROW('03.Muestra'!$F$8:$F$42)-MIN(ROW('03.Muestra'!$D$8:$D$42))+1,""),ROW()-1614)),"")</f>
        <v/>
      </c>
      <c r="D1631" s="130" t="str">
        <f t="shared" si="85"/>
        <v/>
      </c>
      <c r="E1631" s="107" t="str">
        <f t="shared" si="84"/>
        <v/>
      </c>
      <c r="F1631" s="19"/>
      <c r="G1631" s="19"/>
      <c r="H1631" s="19"/>
      <c r="I1631" s="19"/>
      <c r="J1631" s="19"/>
      <c r="K1631" s="233"/>
    </row>
    <row r="1632" spans="1:11" ht="15">
      <c r="A1632" s="219" t="str" cm="1">
        <f t="array" ref="A1632">IFERROR(INDEX('03.Muestra'!$B$8:$B$42,SMALL(IF("Documento no web"='03.Muestra'!$D$8:$D$42,ROW('03.Muestra'!$B$8:$B$42)-MIN(ROW('03.Muestra'!$D$8:$D$42))+1,""),ROW()-1614)),"")</f>
        <v/>
      </c>
      <c r="B1632" s="114" t="str" cm="1">
        <f t="array" ref="B1632">IFERROR(INDEX('03.Muestra'!$C$8:$C$42,SMALL(IF("Documento no web"='03.Muestra'!$D$8:$D$42,ROW('03.Muestra'!$C$8:$C$42)-MIN(ROW('03.Muestra'!$D$8:$D$42))+1,""),ROW()-1614)),"")</f>
        <v/>
      </c>
      <c r="C1632" s="114" t="str" cm="1">
        <f t="array" ref="C1632">IFERROR(INDEX('03.Muestra'!$F$8:$F$42,SMALL(IF("Documento no web"='03.Muestra'!$D$8:$D$42,ROW('03.Muestra'!$F$8:$F$42)-MIN(ROW('03.Muestra'!$D$8:$D$42))+1,""),ROW()-1614)),"")</f>
        <v/>
      </c>
      <c r="D1632" s="130" t="str">
        <f t="shared" si="85"/>
        <v/>
      </c>
      <c r="E1632" s="107" t="str">
        <f t="shared" si="84"/>
        <v/>
      </c>
      <c r="F1632" s="19"/>
      <c r="G1632" s="19"/>
      <c r="H1632" s="19"/>
      <c r="I1632" s="19"/>
      <c r="J1632" s="19"/>
      <c r="K1632" s="233"/>
    </row>
    <row r="1633" spans="1:11" ht="15">
      <c r="A1633" s="219" t="str" cm="1">
        <f t="array" ref="A1633">IFERROR(INDEX('03.Muestra'!$B$8:$B$42,SMALL(IF("Documento no web"='03.Muestra'!$D$8:$D$42,ROW('03.Muestra'!$B$8:$B$42)-MIN(ROW('03.Muestra'!$D$8:$D$42))+1,""),ROW()-1614)),"")</f>
        <v/>
      </c>
      <c r="B1633" s="114" t="str" cm="1">
        <f t="array" ref="B1633">IFERROR(INDEX('03.Muestra'!$C$8:$C$42,SMALL(IF("Documento no web"='03.Muestra'!$D$8:$D$42,ROW('03.Muestra'!$C$8:$C$42)-MIN(ROW('03.Muestra'!$D$8:$D$42))+1,""),ROW()-1614)),"")</f>
        <v/>
      </c>
      <c r="C1633" s="114" t="str" cm="1">
        <f t="array" ref="C1633">IFERROR(INDEX('03.Muestra'!$F$8:$F$42,SMALL(IF("Documento no web"='03.Muestra'!$D$8:$D$42,ROW('03.Muestra'!$F$8:$F$42)-MIN(ROW('03.Muestra'!$D$8:$D$42))+1,""),ROW()-1614)),"")</f>
        <v/>
      </c>
      <c r="D1633" s="130" t="str">
        <f t="shared" si="85"/>
        <v/>
      </c>
      <c r="E1633" s="107" t="str">
        <f t="shared" si="84"/>
        <v/>
      </c>
      <c r="F1633" s="19"/>
      <c r="G1633" s="19"/>
      <c r="H1633" s="19"/>
      <c r="I1633" s="19"/>
      <c r="J1633" s="19"/>
      <c r="K1633" s="233"/>
    </row>
    <row r="1634" spans="1:11" ht="15">
      <c r="A1634" s="219" t="str" cm="1">
        <f t="array" ref="A1634">IFERROR(INDEX('03.Muestra'!$B$8:$B$42,SMALL(IF("Documento no web"='03.Muestra'!$D$8:$D$42,ROW('03.Muestra'!$B$8:$B$42)-MIN(ROW('03.Muestra'!$D$8:$D$42))+1,""),ROW()-1614)),"")</f>
        <v/>
      </c>
      <c r="B1634" s="114" t="str" cm="1">
        <f t="array" ref="B1634">IFERROR(INDEX('03.Muestra'!$C$8:$C$42,SMALL(IF("Documento no web"='03.Muestra'!$D$8:$D$42,ROW('03.Muestra'!$C$8:$C$42)-MIN(ROW('03.Muestra'!$D$8:$D$42))+1,""),ROW()-1614)),"")</f>
        <v/>
      </c>
      <c r="C1634" s="114" t="str" cm="1">
        <f t="array" ref="C1634">IFERROR(INDEX('03.Muestra'!$F$8:$F$42,SMALL(IF("Documento no web"='03.Muestra'!$D$8:$D$42,ROW('03.Muestra'!$F$8:$F$42)-MIN(ROW('03.Muestra'!$D$8:$D$42))+1,""),ROW()-1614)),"")</f>
        <v/>
      </c>
      <c r="D1634" s="130" t="str">
        <f t="shared" si="85"/>
        <v/>
      </c>
      <c r="E1634" s="107" t="str">
        <f t="shared" si="84"/>
        <v/>
      </c>
      <c r="F1634" s="19"/>
      <c r="G1634" s="19"/>
      <c r="H1634" s="19"/>
      <c r="I1634" s="19"/>
      <c r="J1634" s="19"/>
      <c r="K1634" s="233"/>
    </row>
    <row r="1635" spans="1:11" ht="15">
      <c r="A1635" s="219" t="str" cm="1">
        <f t="array" ref="A1635">IFERROR(INDEX('03.Muestra'!$B$8:$B$42,SMALL(IF("Documento no web"='03.Muestra'!$D$8:$D$42,ROW('03.Muestra'!$B$8:$B$42)-MIN(ROW('03.Muestra'!$D$8:$D$42))+1,""),ROW()-1614)),"")</f>
        <v/>
      </c>
      <c r="B1635" s="114" t="str" cm="1">
        <f t="array" ref="B1635">IFERROR(INDEX('03.Muestra'!$C$8:$C$42,SMALL(IF("Documento no web"='03.Muestra'!$D$8:$D$42,ROW('03.Muestra'!$C$8:$C$42)-MIN(ROW('03.Muestra'!$D$8:$D$42))+1,""),ROW()-1614)),"")</f>
        <v/>
      </c>
      <c r="C1635" s="114" t="str" cm="1">
        <f t="array" ref="C1635">IFERROR(INDEX('03.Muestra'!$F$8:$F$42,SMALL(IF("Documento no web"='03.Muestra'!$D$8:$D$42,ROW('03.Muestra'!$F$8:$F$42)-MIN(ROW('03.Muestra'!$D$8:$D$42))+1,""),ROW()-1614)),"")</f>
        <v/>
      </c>
      <c r="D1635" s="130" t="str">
        <f t="shared" si="85"/>
        <v/>
      </c>
      <c r="E1635" s="107" t="str">
        <f t="shared" si="84"/>
        <v/>
      </c>
      <c r="F1635" s="19"/>
      <c r="G1635" s="19"/>
      <c r="H1635" s="19"/>
      <c r="I1635" s="19"/>
      <c r="J1635" s="19"/>
      <c r="K1635" s="233"/>
    </row>
    <row r="1636" spans="1:11" ht="15">
      <c r="A1636" s="219" t="str" cm="1">
        <f t="array" ref="A1636">IFERROR(INDEX('03.Muestra'!$B$8:$B$42,SMALL(IF("Documento no web"='03.Muestra'!$D$8:$D$42,ROW('03.Muestra'!$B$8:$B$42)-MIN(ROW('03.Muestra'!$D$8:$D$42))+1,""),ROW()-1614)),"")</f>
        <v/>
      </c>
      <c r="B1636" s="114" t="str" cm="1">
        <f t="array" ref="B1636">IFERROR(INDEX('03.Muestra'!$C$8:$C$42,SMALL(IF("Documento no web"='03.Muestra'!$D$8:$D$42,ROW('03.Muestra'!$C$8:$C$42)-MIN(ROW('03.Muestra'!$D$8:$D$42))+1,""),ROW()-1614)),"")</f>
        <v/>
      </c>
      <c r="C1636" s="114" t="str" cm="1">
        <f t="array" ref="C1636">IFERROR(INDEX('03.Muestra'!$F$8:$F$42,SMALL(IF("Documento no web"='03.Muestra'!$D$8:$D$42,ROW('03.Muestra'!$F$8:$F$42)-MIN(ROW('03.Muestra'!$D$8:$D$42))+1,""),ROW()-1614)),"")</f>
        <v/>
      </c>
      <c r="D1636" s="130" t="str">
        <f t="shared" si="85"/>
        <v/>
      </c>
      <c r="E1636" s="107" t="str">
        <f t="shared" si="84"/>
        <v/>
      </c>
      <c r="F1636" s="19"/>
      <c r="G1636" s="19"/>
      <c r="H1636" s="19"/>
      <c r="I1636" s="19"/>
      <c r="J1636" s="19"/>
      <c r="K1636" s="233"/>
    </row>
    <row r="1637" spans="1:11" ht="15">
      <c r="A1637" s="219" t="str" cm="1">
        <f t="array" ref="A1637">IFERROR(INDEX('03.Muestra'!$B$8:$B$42,SMALL(IF("Documento no web"='03.Muestra'!$D$8:$D$42,ROW('03.Muestra'!$B$8:$B$42)-MIN(ROW('03.Muestra'!$D$8:$D$42))+1,""),ROW()-1614)),"")</f>
        <v/>
      </c>
      <c r="B1637" s="114" t="str" cm="1">
        <f t="array" ref="B1637">IFERROR(INDEX('03.Muestra'!$C$8:$C$42,SMALL(IF("Documento no web"='03.Muestra'!$D$8:$D$42,ROW('03.Muestra'!$C$8:$C$42)-MIN(ROW('03.Muestra'!$D$8:$D$42))+1,""),ROW()-1614)),"")</f>
        <v/>
      </c>
      <c r="C1637" s="114" t="str" cm="1">
        <f t="array" ref="C1637">IFERROR(INDEX('03.Muestra'!$F$8:$F$42,SMALL(IF("Documento no web"='03.Muestra'!$D$8:$D$42,ROW('03.Muestra'!$F$8:$F$42)-MIN(ROW('03.Muestra'!$D$8:$D$42))+1,""),ROW()-1614)),"")</f>
        <v/>
      </c>
      <c r="D1637" s="130" t="str">
        <f t="shared" si="85"/>
        <v/>
      </c>
      <c r="E1637" s="107" t="str">
        <f t="shared" si="84"/>
        <v/>
      </c>
      <c r="F1637" s="19"/>
      <c r="G1637" s="19"/>
      <c r="H1637" s="19"/>
      <c r="I1637" s="19"/>
      <c r="J1637" s="19"/>
      <c r="K1637" s="233"/>
    </row>
    <row r="1638" spans="1:11" ht="15">
      <c r="A1638" s="219" t="str" cm="1">
        <f t="array" ref="A1638">IFERROR(INDEX('03.Muestra'!$B$8:$B$42,SMALL(IF("Documento no web"='03.Muestra'!$D$8:$D$42,ROW('03.Muestra'!$B$8:$B$42)-MIN(ROW('03.Muestra'!$D$8:$D$42))+1,""),ROW()-1614)),"")</f>
        <v/>
      </c>
      <c r="B1638" s="114" t="str" cm="1">
        <f t="array" ref="B1638">IFERROR(INDEX('03.Muestra'!$C$8:$C$42,SMALL(IF("Documento no web"='03.Muestra'!$D$8:$D$42,ROW('03.Muestra'!$C$8:$C$42)-MIN(ROW('03.Muestra'!$D$8:$D$42))+1,""),ROW()-1614)),"")</f>
        <v/>
      </c>
      <c r="C1638" s="114" t="str" cm="1">
        <f t="array" ref="C1638">IFERROR(INDEX('03.Muestra'!$F$8:$F$42,SMALL(IF("Documento no web"='03.Muestra'!$D$8:$D$42,ROW('03.Muestra'!$F$8:$F$42)-MIN(ROW('03.Muestra'!$D$8:$D$42))+1,""),ROW()-1614)),"")</f>
        <v/>
      </c>
      <c r="D1638" s="130" t="str">
        <f t="shared" si="85"/>
        <v/>
      </c>
      <c r="E1638" s="107" t="str">
        <f t="shared" si="84"/>
        <v/>
      </c>
      <c r="F1638" s="19"/>
      <c r="G1638" s="19"/>
      <c r="H1638" s="19"/>
      <c r="I1638" s="19"/>
      <c r="J1638" s="19"/>
      <c r="K1638" s="233"/>
    </row>
    <row r="1639" spans="1:11" ht="15">
      <c r="A1639" s="219" t="str" cm="1">
        <f t="array" ref="A1639">IFERROR(INDEX('03.Muestra'!$B$8:$B$42,SMALL(IF("Documento no web"='03.Muestra'!$D$8:$D$42,ROW('03.Muestra'!$B$8:$B$42)-MIN(ROW('03.Muestra'!$D$8:$D$42))+1,""),ROW()-1614)),"")</f>
        <v/>
      </c>
      <c r="B1639" s="114" t="str" cm="1">
        <f t="array" ref="B1639">IFERROR(INDEX('03.Muestra'!$C$8:$C$42,SMALL(IF("Documento no web"='03.Muestra'!$D$8:$D$42,ROW('03.Muestra'!$C$8:$C$42)-MIN(ROW('03.Muestra'!$D$8:$D$42))+1,""),ROW()-1614)),"")</f>
        <v/>
      </c>
      <c r="C1639" s="114" t="str" cm="1">
        <f t="array" ref="C1639">IFERROR(INDEX('03.Muestra'!$F$8:$F$42,SMALL(IF("Documento no web"='03.Muestra'!$D$8:$D$42,ROW('03.Muestra'!$F$8:$F$42)-MIN(ROW('03.Muestra'!$D$8:$D$42))+1,""),ROW()-1614)),"")</f>
        <v/>
      </c>
      <c r="D1639" s="130" t="str">
        <f t="shared" si="85"/>
        <v/>
      </c>
      <c r="E1639" s="107" t="str">
        <f t="shared" si="84"/>
        <v/>
      </c>
      <c r="F1639" s="19"/>
      <c r="G1639" s="19"/>
      <c r="H1639" s="19"/>
      <c r="I1639" s="19"/>
      <c r="J1639" s="19"/>
      <c r="K1639" s="233"/>
    </row>
    <row r="1640" spans="1:11" ht="15">
      <c r="A1640" s="219" t="str" cm="1">
        <f t="array" ref="A1640">IFERROR(INDEX('03.Muestra'!$B$8:$B$42,SMALL(IF("Documento no web"='03.Muestra'!$D$8:$D$42,ROW('03.Muestra'!$B$8:$B$42)-MIN(ROW('03.Muestra'!$D$8:$D$42))+1,""),ROW()-1614)),"")</f>
        <v/>
      </c>
      <c r="B1640" s="114" t="str" cm="1">
        <f t="array" ref="B1640">IFERROR(INDEX('03.Muestra'!$C$8:$C$42,SMALL(IF("Documento no web"='03.Muestra'!$D$8:$D$42,ROW('03.Muestra'!$C$8:$C$42)-MIN(ROW('03.Muestra'!$D$8:$D$42))+1,""),ROW()-1614)),"")</f>
        <v/>
      </c>
      <c r="C1640" s="114" t="str" cm="1">
        <f t="array" ref="C1640">IFERROR(INDEX('03.Muestra'!$F$8:$F$42,SMALL(IF("Documento no web"='03.Muestra'!$D$8:$D$42,ROW('03.Muestra'!$F$8:$F$42)-MIN(ROW('03.Muestra'!$D$8:$D$42))+1,""),ROW()-1614)),"")</f>
        <v/>
      </c>
      <c r="D1640" s="130" t="str">
        <f t="shared" si="85"/>
        <v/>
      </c>
      <c r="E1640" s="107" t="str">
        <f t="shared" si="84"/>
        <v/>
      </c>
      <c r="F1640" s="19"/>
      <c r="G1640" s="19"/>
      <c r="H1640" s="19"/>
      <c r="I1640" s="19"/>
      <c r="J1640" s="19"/>
      <c r="K1640" s="233"/>
    </row>
    <row r="1641" spans="1:11" ht="15">
      <c r="A1641" s="219" t="str" cm="1">
        <f t="array" ref="A1641">IFERROR(INDEX('03.Muestra'!$B$8:$B$42,SMALL(IF("Documento no web"='03.Muestra'!$D$8:$D$42,ROW('03.Muestra'!$B$8:$B$42)-MIN(ROW('03.Muestra'!$D$8:$D$42))+1,""),ROW()-1614)),"")</f>
        <v/>
      </c>
      <c r="B1641" s="114" t="str" cm="1">
        <f t="array" ref="B1641">IFERROR(INDEX('03.Muestra'!$C$8:$C$42,SMALL(IF("Documento no web"='03.Muestra'!$D$8:$D$42,ROW('03.Muestra'!$C$8:$C$42)-MIN(ROW('03.Muestra'!$D$8:$D$42))+1,""),ROW()-1614)),"")</f>
        <v/>
      </c>
      <c r="C1641" s="114" t="str" cm="1">
        <f t="array" ref="C1641">IFERROR(INDEX('03.Muestra'!$F$8:$F$42,SMALL(IF("Documento no web"='03.Muestra'!$D$8:$D$42,ROW('03.Muestra'!$F$8:$F$42)-MIN(ROW('03.Muestra'!$D$8:$D$42))+1,""),ROW()-1614)),"")</f>
        <v/>
      </c>
      <c r="D1641" s="130" t="str">
        <f t="shared" si="85"/>
        <v/>
      </c>
      <c r="E1641" s="107" t="str">
        <f t="shared" si="84"/>
        <v/>
      </c>
      <c r="F1641" s="19"/>
      <c r="G1641" s="19"/>
      <c r="H1641" s="19"/>
      <c r="I1641" s="19"/>
      <c r="J1641" s="19"/>
      <c r="K1641" s="233"/>
    </row>
    <row r="1642" spans="1:11" ht="15">
      <c r="A1642" s="219" t="str" cm="1">
        <f t="array" ref="A1642">IFERROR(INDEX('03.Muestra'!$B$8:$B$42,SMALL(IF("Documento no web"='03.Muestra'!$D$8:$D$42,ROW('03.Muestra'!$B$8:$B$42)-MIN(ROW('03.Muestra'!$D$8:$D$42))+1,""),ROW()-1614)),"")</f>
        <v/>
      </c>
      <c r="B1642" s="114" t="str" cm="1">
        <f t="array" ref="B1642">IFERROR(INDEX('03.Muestra'!$C$8:$C$42,SMALL(IF("Documento no web"='03.Muestra'!$D$8:$D$42,ROW('03.Muestra'!$C$8:$C$42)-MIN(ROW('03.Muestra'!$D$8:$D$42))+1,""),ROW()-1614)),"")</f>
        <v/>
      </c>
      <c r="C1642" s="114" t="str" cm="1">
        <f t="array" ref="C1642">IFERROR(INDEX('03.Muestra'!$F$8:$F$42,SMALL(IF("Documento no web"='03.Muestra'!$D$8:$D$42,ROW('03.Muestra'!$F$8:$F$42)-MIN(ROW('03.Muestra'!$D$8:$D$42))+1,""),ROW()-1614)),"")</f>
        <v/>
      </c>
      <c r="D1642" s="130" t="str">
        <f t="shared" si="85"/>
        <v/>
      </c>
      <c r="E1642" s="107" t="str">
        <f t="shared" si="84"/>
        <v/>
      </c>
      <c r="F1642" s="19"/>
      <c r="G1642" s="19"/>
      <c r="H1642" s="19"/>
      <c r="I1642" s="19"/>
      <c r="J1642" s="19"/>
      <c r="K1642" s="233"/>
    </row>
    <row r="1643" spans="1:11" ht="15">
      <c r="A1643" s="219" t="str" cm="1">
        <f t="array" ref="A1643">IFERROR(INDEX('03.Muestra'!$B$8:$B$42,SMALL(IF("Documento no web"='03.Muestra'!$D$8:$D$42,ROW('03.Muestra'!$B$8:$B$42)-MIN(ROW('03.Muestra'!$D$8:$D$42))+1,""),ROW()-1614)),"")</f>
        <v/>
      </c>
      <c r="B1643" s="114" t="str" cm="1">
        <f t="array" ref="B1643">IFERROR(INDEX('03.Muestra'!$C$8:$C$42,SMALL(IF("Documento no web"='03.Muestra'!$D$8:$D$42,ROW('03.Muestra'!$C$8:$C$42)-MIN(ROW('03.Muestra'!$D$8:$D$42))+1,""),ROW()-1614)),"")</f>
        <v/>
      </c>
      <c r="C1643" s="114" t="str" cm="1">
        <f t="array" ref="C1643">IFERROR(INDEX('03.Muestra'!$F$8:$F$42,SMALL(IF("Documento no web"='03.Muestra'!$D$8:$D$42,ROW('03.Muestra'!$F$8:$F$42)-MIN(ROW('03.Muestra'!$D$8:$D$42))+1,""),ROW()-1614)),"")</f>
        <v/>
      </c>
      <c r="D1643" s="130" t="str">
        <f t="shared" si="85"/>
        <v/>
      </c>
      <c r="E1643" s="107" t="str">
        <f t="shared" si="84"/>
        <v/>
      </c>
      <c r="F1643" s="19"/>
      <c r="G1643" s="19"/>
      <c r="H1643" s="19"/>
      <c r="I1643" s="19"/>
      <c r="J1643" s="19"/>
      <c r="K1643" s="233"/>
    </row>
    <row r="1644" spans="1:11" ht="15">
      <c r="A1644" s="219" t="str" cm="1">
        <f t="array" ref="A1644">IFERROR(INDEX('03.Muestra'!$B$8:$B$42,SMALL(IF("Documento no web"='03.Muestra'!$D$8:$D$42,ROW('03.Muestra'!$B$8:$B$42)-MIN(ROW('03.Muestra'!$D$8:$D$42))+1,""),ROW()-1614)),"")</f>
        <v/>
      </c>
      <c r="B1644" s="114" t="str" cm="1">
        <f t="array" ref="B1644">IFERROR(INDEX('03.Muestra'!$C$8:$C$42,SMALL(IF("Documento no web"='03.Muestra'!$D$8:$D$42,ROW('03.Muestra'!$C$8:$C$42)-MIN(ROW('03.Muestra'!$D$8:$D$42))+1,""),ROW()-1614)),"")</f>
        <v/>
      </c>
      <c r="C1644" s="114" t="str" cm="1">
        <f t="array" ref="C1644">IFERROR(INDEX('03.Muestra'!$F$8:$F$42,SMALL(IF("Documento no web"='03.Muestra'!$D$8:$D$42,ROW('03.Muestra'!$F$8:$F$42)-MIN(ROW('03.Muestra'!$D$8:$D$42))+1,""),ROW()-1614)),"")</f>
        <v/>
      </c>
      <c r="D1644" s="130" t="str">
        <f t="shared" si="85"/>
        <v/>
      </c>
      <c r="E1644" s="107" t="str">
        <f t="shared" si="84"/>
        <v/>
      </c>
      <c r="F1644" s="19"/>
      <c r="G1644" s="19"/>
      <c r="H1644" s="19"/>
      <c r="I1644" s="19"/>
      <c r="J1644" s="19"/>
      <c r="K1644" s="233"/>
    </row>
    <row r="1645" spans="1:11" ht="15">
      <c r="A1645" s="219" t="str" cm="1">
        <f t="array" ref="A1645">IFERROR(INDEX('03.Muestra'!$B$8:$B$42,SMALL(IF("Documento no web"='03.Muestra'!$D$8:$D$42,ROW('03.Muestra'!$B$8:$B$42)-MIN(ROW('03.Muestra'!$D$8:$D$42))+1,""),ROW()-1614)),"")</f>
        <v/>
      </c>
      <c r="B1645" s="114" t="str" cm="1">
        <f t="array" ref="B1645">IFERROR(INDEX('03.Muestra'!$C$8:$C$42,SMALL(IF("Documento no web"='03.Muestra'!$D$8:$D$42,ROW('03.Muestra'!$C$8:$C$42)-MIN(ROW('03.Muestra'!$D$8:$D$42))+1,""),ROW()-1614)),"")</f>
        <v/>
      </c>
      <c r="C1645" s="114" t="str" cm="1">
        <f t="array" ref="C1645">IFERROR(INDEX('03.Muestra'!$F$8:$F$42,SMALL(IF("Documento no web"='03.Muestra'!$D$8:$D$42,ROW('03.Muestra'!$F$8:$F$42)-MIN(ROW('03.Muestra'!$D$8:$D$42))+1,""),ROW()-1614)),"")</f>
        <v/>
      </c>
      <c r="D1645" s="130" t="str">
        <f t="shared" si="85"/>
        <v/>
      </c>
      <c r="E1645" s="107" t="str">
        <f t="shared" si="84"/>
        <v/>
      </c>
      <c r="F1645" s="19"/>
      <c r="G1645" s="19"/>
      <c r="H1645" s="19"/>
      <c r="I1645" s="19"/>
      <c r="J1645" s="19"/>
      <c r="K1645" s="233"/>
    </row>
    <row r="1646" spans="1:11" ht="15">
      <c r="A1646" s="219" t="str" cm="1">
        <f t="array" ref="A1646">IFERROR(INDEX('03.Muestra'!$B$8:$B$42,SMALL(IF("Documento no web"='03.Muestra'!$D$8:$D$42,ROW('03.Muestra'!$B$8:$B$42)-MIN(ROW('03.Muestra'!$D$8:$D$42))+1,""),ROW()-1614)),"")</f>
        <v/>
      </c>
      <c r="B1646" s="114" t="str" cm="1">
        <f t="array" ref="B1646">IFERROR(INDEX('03.Muestra'!$C$8:$C$42,SMALL(IF("Documento no web"='03.Muestra'!$D$8:$D$42,ROW('03.Muestra'!$C$8:$C$42)-MIN(ROW('03.Muestra'!$D$8:$D$42))+1,""),ROW()-1614)),"")</f>
        <v/>
      </c>
      <c r="C1646" s="114" t="str" cm="1">
        <f t="array" ref="C1646">IFERROR(INDEX('03.Muestra'!$F$8:$F$42,SMALL(IF("Documento no web"='03.Muestra'!$D$8:$D$42,ROW('03.Muestra'!$F$8:$F$42)-MIN(ROW('03.Muestra'!$D$8:$D$42))+1,""),ROW()-1614)),"")</f>
        <v/>
      </c>
      <c r="D1646" s="130" t="str">
        <f t="shared" si="85"/>
        <v/>
      </c>
      <c r="E1646" s="107" t="str">
        <f t="shared" si="84"/>
        <v/>
      </c>
      <c r="F1646" s="19"/>
      <c r="G1646" s="19"/>
      <c r="H1646" s="19"/>
      <c r="I1646" s="19"/>
      <c r="J1646" s="19"/>
      <c r="K1646" s="233"/>
    </row>
    <row r="1647" spans="1:11" ht="15">
      <c r="A1647" s="219" t="str" cm="1">
        <f t="array" ref="A1647">IFERROR(INDEX('03.Muestra'!$B$8:$B$42,SMALL(IF("Documento no web"='03.Muestra'!$D$8:$D$42,ROW('03.Muestra'!$B$8:$B$42)-MIN(ROW('03.Muestra'!$D$8:$D$42))+1,""),ROW()-1614)),"")</f>
        <v/>
      </c>
      <c r="B1647" s="114" t="str" cm="1">
        <f t="array" ref="B1647">IFERROR(INDEX('03.Muestra'!$C$8:$C$42,SMALL(IF("Documento no web"='03.Muestra'!$D$8:$D$42,ROW('03.Muestra'!$C$8:$C$42)-MIN(ROW('03.Muestra'!$D$8:$D$42))+1,""),ROW()-1614)),"")</f>
        <v/>
      </c>
      <c r="C1647" s="114" t="str" cm="1">
        <f t="array" ref="C1647">IFERROR(INDEX('03.Muestra'!$F$8:$F$42,SMALL(IF("Documento no web"='03.Muestra'!$D$8:$D$42,ROW('03.Muestra'!$F$8:$F$42)-MIN(ROW('03.Muestra'!$D$8:$D$42))+1,""),ROW()-1614)),"")</f>
        <v/>
      </c>
      <c r="D1647" s="130" t="str">
        <f t="shared" si="85"/>
        <v/>
      </c>
      <c r="E1647" s="107" t="str">
        <f t="shared" si="84"/>
        <v/>
      </c>
      <c r="F1647" s="19"/>
      <c r="G1647" s="19"/>
      <c r="H1647" s="19"/>
      <c r="I1647" s="19"/>
      <c r="J1647" s="19"/>
      <c r="K1647" s="233"/>
    </row>
    <row r="1648" spans="1:11" ht="15">
      <c r="A1648" s="219" t="str" cm="1">
        <f t="array" ref="A1648">IFERROR(INDEX('03.Muestra'!$B$8:$B$42,SMALL(IF("Documento no web"='03.Muestra'!$D$8:$D$42,ROW('03.Muestra'!$B$8:$B$42)-MIN(ROW('03.Muestra'!$D$8:$D$42))+1,""),ROW()-1614)),"")</f>
        <v/>
      </c>
      <c r="B1648" s="114" t="str" cm="1">
        <f t="array" ref="B1648">IFERROR(INDEX('03.Muestra'!$C$8:$C$42,SMALL(IF("Documento no web"='03.Muestra'!$D$8:$D$42,ROW('03.Muestra'!$C$8:$C$42)-MIN(ROW('03.Muestra'!$D$8:$D$42))+1,""),ROW()-1614)),"")</f>
        <v/>
      </c>
      <c r="C1648" s="114" t="str" cm="1">
        <f t="array" ref="C1648">IFERROR(INDEX('03.Muestra'!$F$8:$F$42,SMALL(IF("Documento no web"='03.Muestra'!$D$8:$D$42,ROW('03.Muestra'!$F$8:$F$42)-MIN(ROW('03.Muestra'!$D$8:$D$42))+1,""),ROW()-1614)),"")</f>
        <v/>
      </c>
      <c r="D1648" s="130" t="str">
        <f t="shared" si="85"/>
        <v/>
      </c>
      <c r="E1648" s="107" t="str">
        <f t="shared" si="84"/>
        <v/>
      </c>
      <c r="F1648" s="19"/>
      <c r="G1648" s="19"/>
      <c r="H1648" s="19"/>
      <c r="I1648" s="19"/>
      <c r="J1648" s="19"/>
      <c r="K1648" s="233"/>
    </row>
    <row r="1649" spans="1:11" ht="15">
      <c r="A1649" s="219" t="str" cm="1">
        <f t="array" ref="A1649">IFERROR(INDEX('03.Muestra'!$B$8:$B$42,SMALL(IF("Documento no web"='03.Muestra'!$D$8:$D$42,ROW('03.Muestra'!$B$8:$B$42)-MIN(ROW('03.Muestra'!$D$8:$D$42))+1,""),ROW()-1614)),"")</f>
        <v/>
      </c>
      <c r="B1649" s="114" t="str" cm="1">
        <f t="array" ref="B1649">IFERROR(INDEX('03.Muestra'!$C$8:$C$42,SMALL(IF("Documento no web"='03.Muestra'!$D$8:$D$42,ROW('03.Muestra'!$C$8:$C$42)-MIN(ROW('03.Muestra'!$D$8:$D$42))+1,""),ROW()-1614)),"")</f>
        <v/>
      </c>
      <c r="C1649" s="114" t="str" cm="1">
        <f t="array" ref="C1649">IFERROR(INDEX('03.Muestra'!$F$8:$F$42,SMALL(IF("Documento no web"='03.Muestra'!$D$8:$D$42,ROW('03.Muestra'!$F$8:$F$42)-MIN(ROW('03.Muestra'!$D$8:$D$42))+1,""),ROW()-1614)),"")</f>
        <v/>
      </c>
      <c r="D1649" s="130" t="str">
        <f t="shared" si="85"/>
        <v/>
      </c>
      <c r="E1649" s="107" t="str">
        <f t="shared" si="84"/>
        <v/>
      </c>
      <c r="F1649" s="19"/>
      <c r="G1649" s="19"/>
      <c r="H1649" s="19"/>
      <c r="I1649" s="19"/>
      <c r="J1649" s="19"/>
      <c r="K1649" s="233"/>
    </row>
    <row r="1650" spans="1:11" ht="15">
      <c r="B1650" s="19"/>
      <c r="C1650" s="19"/>
      <c r="D1650" s="107"/>
      <c r="E1650" s="19"/>
      <c r="F1650" s="19"/>
      <c r="G1650" s="19"/>
      <c r="H1650" s="19"/>
      <c r="I1650" s="19"/>
      <c r="J1650" s="19"/>
      <c r="K1650" s="233"/>
    </row>
    <row r="1651" spans="1:11" ht="15">
      <c r="B1651" s="19"/>
      <c r="C1651" s="19"/>
      <c r="D1651" s="107"/>
      <c r="E1651" s="112"/>
      <c r="F1651" s="19"/>
      <c r="G1651" s="19"/>
      <c r="H1651" s="19"/>
      <c r="I1651" s="19"/>
      <c r="J1651" s="19"/>
      <c r="K1651" s="233"/>
    </row>
    <row r="1652" spans="1:11" ht="31.5">
      <c r="A1652" s="218" t="s">
        <v>268</v>
      </c>
      <c r="B1652" s="24" t="s">
        <v>90</v>
      </c>
      <c r="C1652" s="25" t="s">
        <v>465</v>
      </c>
      <c r="D1652" s="26" t="s">
        <v>32</v>
      </c>
      <c r="E1652" s="123"/>
      <c r="K1652" s="233"/>
    </row>
    <row r="1653" spans="1:11" ht="15">
      <c r="A1653" s="219" t="n" cm="1">
        <f t="array" ref="A1653">IFERROR(INDEX('03.Muestra'!$B$8:$B$42,SMALL(IF("Documento no web"='03.Muestra'!$D$8:$D$42,ROW('03.Muestra'!$B$8:$B$42)-MIN(ROW('03.Muestra'!$D$8:$D$42))+1,""),ROW()-1652)),"")</f>
        <v>1.0</v>
      </c>
      <c r="B1653" s="114" t="str" cm="1">
        <f t="array" ref="B1653">IFERROR(INDEX('03.Muestra'!$C$8:$C$42,SMALL(IF("Documento no web"='03.Muestra'!$D$8:$D$42,ROW('03.Muestra'!$C$8:$C$42)-MIN(ROW('03.Muestra'!$D$8:$D$42))+1,""),ROW()-1652)),"")</f>
        <v>Home - PortCastelló</v>
      </c>
      <c r="C1653" s="114" t="str" cm="1">
        <f t="array" ref="C1653">IFERROR(INDEX('03.Muestra'!$F$8:$F$42,SMALL(IF("Documento no web"='03.Muestra'!$D$8:$D$42,ROW('03.Muestra'!$F$8:$F$42)-MIN(ROW('03.Muestra'!$D$8:$D$42))+1,""),ROW()-1652)),"")</f>
        <v>https://www.portcastello.com/</v>
      </c>
      <c r="D1653" s="130" t="s">
        <v>28</v>
      </c>
      <c r="E1653" s="107" t="str">
        <f t="shared" ref="E1653:E1687" si="86">IF(D1653&lt;&gt;"",IF(AND(B1653&lt;&gt;"",C1653&lt;&gt;""),"","ERR"),"")</f>
        <v/>
      </c>
      <c r="F1653" s="115" t="s">
        <v>33</v>
      </c>
      <c r="G1653" s="116" t="s">
        <v>37</v>
      </c>
      <c r="H1653" s="117" t="s">
        <v>35</v>
      </c>
      <c r="I1653" s="118" t="s">
        <v>28</v>
      </c>
      <c r="J1653" s="119" t="s">
        <v>26</v>
      </c>
      <c r="K1653" s="226" t="s">
        <v>474</v>
      </c>
    </row>
    <row r="1654" spans="1:11" ht="15">
      <c r="A1654" s="219" t="n" cm="1">
        <f t="array" ref="A1654">IFERROR(INDEX('03.Muestra'!$B$8:$B$42,SMALL(IF("Documento no web"='03.Muestra'!$D$8:$D$42,ROW('03.Muestra'!$B$8:$B$42)-MIN(ROW('03.Muestra'!$D$8:$D$42))+1,""),ROW()-1652)),"")</f>
        <v>1.0</v>
      </c>
      <c r="B1654" s="114" t="str" cm="1">
        <f t="array" ref="B1654">IFERROR(INDEX('03.Muestra'!$C$8:$C$42,SMALL(IF("Documento no web"='03.Muestra'!$D$8:$D$42,ROW('03.Muestra'!$C$8:$C$42)-MIN(ROW('03.Muestra'!$D$8:$D$42))+1,""),ROW()-1652)),"")</f>
        <v>Home - PortCastelló</v>
      </c>
      <c r="C1654" s="114" t="str" cm="1">
        <f t="array" ref="C1654">IFERROR(INDEX('03.Muestra'!$F$8:$F$42,SMALL(IF("Documento no web"='03.Muestra'!$D$8:$D$42,ROW('03.Muestra'!$F$8:$F$42)-MIN(ROW('03.Muestra'!$D$8:$D$42))+1,""),ROW()-1652)),"")</f>
        <v>https://www.portcastello.com/</v>
      </c>
      <c r="D1654" s="130" t="s">
        <v>28</v>
      </c>
      <c r="E1654" s="107" t="str">
        <f t="shared" si="86"/>
        <v/>
      </c>
      <c r="F1654" s="120" t="n">
        <f ca="1">COUNTIF($D1653:INDIRECT("$D" &amp;  SUM(ROW()-1,'03.Muestra'!$D$45)-1),F1653)</f>
        <v>0.0</v>
      </c>
      <c r="G1654" s="120" t="n">
        <f ca="1">COUNTIF($D1653:INDIRECT("$D" &amp;  SUM(ROW()-1,'03.Muestra'!$D$45)-1),G1653)</f>
        <v>0.0</v>
      </c>
      <c r="H1654" s="120" t="n">
        <f ca="1">COUNTIF($D1653:INDIRECT("$D" &amp;  SUM(ROW()-1,'03.Muestra'!$D$45)-1),H1653)</f>
        <v>0.0</v>
      </c>
      <c r="I1654" s="120" t="n">
        <f ca="1">COUNTIF($D1653:INDIRECT("$D" &amp;  SUM(ROW()-1,'03.Muestra'!$D$45)-1),I1653)</f>
        <v>2.0</v>
      </c>
      <c r="J1654" s="120" t="n">
        <f ca="1">COUNTIF($D1653:INDIRECT("$D" &amp;  SUM(ROW()-1,'03.Muestra'!$D$45)-1),J1653)</f>
        <v>0.0</v>
      </c>
      <c r="K1654" s="227" t="n">
        <f ca="1">IF(COUNTIF('03.Muestra'!$D$8:$D$42,"Documento no web")=0,0,COUNTBLANK($D1653:INDIRECT("$D" &amp;  SUM(ROW()-1,COUNTIF('03.Muestra'!$D$8:$D$42,"Documento no web"))-1)))</f>
        <v>0.0</v>
      </c>
    </row>
    <row r="1655" spans="1:11" ht="15">
      <c r="A1655" s="219" t="str" cm="1">
        <f t="array" ref="A1655">IFERROR(INDEX('03.Muestra'!$B$8:$B$42,SMALL(IF("Documento no web"='03.Muestra'!$D$8:$D$42,ROW('03.Muestra'!$B$8:$B$42)-MIN(ROW('03.Muestra'!$D$8:$D$42))+1,""),ROW()-1652)),"")</f>
        <v/>
      </c>
      <c r="B1655" s="114" t="str" cm="1">
        <f t="array" ref="B1655">IFERROR(INDEX('03.Muestra'!$C$8:$C$42,SMALL(IF("Documento no web"='03.Muestra'!$D$8:$D$42,ROW('03.Muestra'!$C$8:$C$42)-MIN(ROW('03.Muestra'!$D$8:$D$42))+1,""),ROW()-1652)),"")</f>
        <v/>
      </c>
      <c r="C1655" s="114" t="str" cm="1">
        <f t="array" ref="C1655">IFERROR(INDEX('03.Muestra'!$F$8:$F$42,SMALL(IF("Documento no web"='03.Muestra'!$D$8:$D$42,ROW('03.Muestra'!$F$8:$F$42)-MIN(ROW('03.Muestra'!$D$8:$D$42))+1,""),ROW()-1652)),"")</f>
        <v/>
      </c>
      <c r="D1655" s="130" t="str">
        <f t="shared" si="87" ref="D1655:D1687">IF(AND(B1655&lt;&gt;"",C1655&lt;&gt;""),"N/T","")</f>
        <v/>
      </c>
      <c r="E1655" s="107" t="str">
        <f t="shared" si="86"/>
        <v/>
      </c>
      <c r="G1655" s="19"/>
      <c r="H1655" s="19"/>
      <c r="I1655" s="19"/>
      <c r="J1655" s="19"/>
      <c r="K1655" s="233"/>
    </row>
    <row r="1656" spans="1:11" ht="15">
      <c r="A1656" s="219" t="str" cm="1">
        <f t="array" ref="A1656">IFERROR(INDEX('03.Muestra'!$B$8:$B$42,SMALL(IF("Documento no web"='03.Muestra'!$D$8:$D$42,ROW('03.Muestra'!$B$8:$B$42)-MIN(ROW('03.Muestra'!$D$8:$D$42))+1,""),ROW()-1652)),"")</f>
        <v/>
      </c>
      <c r="B1656" s="114" t="str" cm="1">
        <f t="array" ref="B1656">IFERROR(INDEX('03.Muestra'!$C$8:$C$42,SMALL(IF("Documento no web"='03.Muestra'!$D$8:$D$42,ROW('03.Muestra'!$C$8:$C$42)-MIN(ROW('03.Muestra'!$D$8:$D$42))+1,""),ROW()-1652)),"")</f>
        <v/>
      </c>
      <c r="C1656" s="114" t="str" cm="1">
        <f t="array" ref="C1656">IFERROR(INDEX('03.Muestra'!$F$8:$F$42,SMALL(IF("Documento no web"='03.Muestra'!$D$8:$D$42,ROW('03.Muestra'!$F$8:$F$42)-MIN(ROW('03.Muestra'!$D$8:$D$42))+1,""),ROW()-1652)),"")</f>
        <v/>
      </c>
      <c r="D1656" s="130" t="str">
        <f t="shared" si="87"/>
        <v/>
      </c>
      <c r="E1656" s="107" t="str">
        <f t="shared" si="86"/>
        <v/>
      </c>
      <c r="G1656" s="19"/>
      <c r="H1656" s="19"/>
      <c r="I1656" s="19"/>
      <c r="J1656" s="19"/>
      <c r="K1656" s="233"/>
    </row>
    <row r="1657" spans="1:11" ht="15">
      <c r="A1657" s="219" t="str" cm="1">
        <f t="array" ref="A1657">IFERROR(INDEX('03.Muestra'!$B$8:$B$42,SMALL(IF("Documento no web"='03.Muestra'!$D$8:$D$42,ROW('03.Muestra'!$B$8:$B$42)-MIN(ROW('03.Muestra'!$D$8:$D$42))+1,""),ROW()-1652)),"")</f>
        <v/>
      </c>
      <c r="B1657" s="114" t="str" cm="1">
        <f t="array" ref="B1657">IFERROR(INDEX('03.Muestra'!$C$8:$C$42,SMALL(IF("Documento no web"='03.Muestra'!$D$8:$D$42,ROW('03.Muestra'!$C$8:$C$42)-MIN(ROW('03.Muestra'!$D$8:$D$42))+1,""),ROW()-1652)),"")</f>
        <v/>
      </c>
      <c r="C1657" s="114" t="str" cm="1">
        <f t="array" ref="C1657">IFERROR(INDEX('03.Muestra'!$F$8:$F$42,SMALL(IF("Documento no web"='03.Muestra'!$D$8:$D$42,ROW('03.Muestra'!$F$8:$F$42)-MIN(ROW('03.Muestra'!$D$8:$D$42))+1,""),ROW()-1652)),"")</f>
        <v/>
      </c>
      <c r="D1657" s="130" t="str">
        <f t="shared" si="87"/>
        <v/>
      </c>
      <c r="E1657" s="107" t="str">
        <f t="shared" si="86"/>
        <v/>
      </c>
      <c r="G1657" s="19"/>
      <c r="H1657" s="19"/>
      <c r="I1657" s="19"/>
      <c r="J1657" s="19"/>
      <c r="K1657" s="233"/>
    </row>
    <row r="1658" spans="1:11" ht="15">
      <c r="A1658" s="219" t="str" cm="1">
        <f t="array" ref="A1658">IFERROR(INDEX('03.Muestra'!$B$8:$B$42,SMALL(IF("Documento no web"='03.Muestra'!$D$8:$D$42,ROW('03.Muestra'!$B$8:$B$42)-MIN(ROW('03.Muestra'!$D$8:$D$42))+1,""),ROW()-1652)),"")</f>
        <v/>
      </c>
      <c r="B1658" s="114" t="str" cm="1">
        <f t="array" ref="B1658">IFERROR(INDEX('03.Muestra'!$C$8:$C$42,SMALL(IF("Documento no web"='03.Muestra'!$D$8:$D$42,ROW('03.Muestra'!$C$8:$C$42)-MIN(ROW('03.Muestra'!$D$8:$D$42))+1,""),ROW()-1652)),"")</f>
        <v/>
      </c>
      <c r="C1658" s="114" t="str" cm="1">
        <f t="array" ref="C1658">IFERROR(INDEX('03.Muestra'!$F$8:$F$42,SMALL(IF("Documento no web"='03.Muestra'!$D$8:$D$42,ROW('03.Muestra'!$F$8:$F$42)-MIN(ROW('03.Muestra'!$D$8:$D$42))+1,""),ROW()-1652)),"")</f>
        <v/>
      </c>
      <c r="D1658" s="130" t="str">
        <f t="shared" si="87"/>
        <v/>
      </c>
      <c r="E1658" s="107" t="str">
        <f t="shared" si="86"/>
        <v/>
      </c>
      <c r="G1658" s="19"/>
      <c r="H1658" s="19"/>
      <c r="I1658" s="19"/>
      <c r="J1658" s="19"/>
      <c r="K1658" s="233"/>
    </row>
    <row r="1659" spans="1:11" ht="15">
      <c r="A1659" s="219" t="str" cm="1">
        <f t="array" ref="A1659">IFERROR(INDEX('03.Muestra'!$B$8:$B$42,SMALL(IF("Documento no web"='03.Muestra'!$D$8:$D$42,ROW('03.Muestra'!$B$8:$B$42)-MIN(ROW('03.Muestra'!$D$8:$D$42))+1,""),ROW()-1652)),"")</f>
        <v/>
      </c>
      <c r="B1659" s="114" t="str" cm="1">
        <f t="array" ref="B1659">IFERROR(INDEX('03.Muestra'!$C$8:$C$42,SMALL(IF("Documento no web"='03.Muestra'!$D$8:$D$42,ROW('03.Muestra'!$C$8:$C$42)-MIN(ROW('03.Muestra'!$D$8:$D$42))+1,""),ROW()-1652)),"")</f>
        <v/>
      </c>
      <c r="C1659" s="114" t="str" cm="1">
        <f t="array" ref="C1659">IFERROR(INDEX('03.Muestra'!$F$8:$F$42,SMALL(IF("Documento no web"='03.Muestra'!$D$8:$D$42,ROW('03.Muestra'!$F$8:$F$42)-MIN(ROW('03.Muestra'!$D$8:$D$42))+1,""),ROW()-1652)),"")</f>
        <v/>
      </c>
      <c r="D1659" s="130" t="str">
        <f t="shared" si="87"/>
        <v/>
      </c>
      <c r="E1659" s="107" t="str">
        <f t="shared" si="86"/>
        <v/>
      </c>
      <c r="F1659" s="19"/>
      <c r="G1659" s="19"/>
      <c r="H1659" s="19"/>
      <c r="I1659" s="19"/>
      <c r="J1659" s="19"/>
      <c r="K1659" s="233"/>
    </row>
    <row r="1660" spans="1:11" ht="15">
      <c r="A1660" s="219" t="str" cm="1">
        <f t="array" ref="A1660">IFERROR(INDEX('03.Muestra'!$B$8:$B$42,SMALL(IF("Documento no web"='03.Muestra'!$D$8:$D$42,ROW('03.Muestra'!$B$8:$B$42)-MIN(ROW('03.Muestra'!$D$8:$D$42))+1,""),ROW()-1652)),"")</f>
        <v/>
      </c>
      <c r="B1660" s="114" t="str" cm="1">
        <f t="array" ref="B1660">IFERROR(INDEX('03.Muestra'!$C$8:$C$42,SMALL(IF("Documento no web"='03.Muestra'!$D$8:$D$42,ROW('03.Muestra'!$C$8:$C$42)-MIN(ROW('03.Muestra'!$D$8:$D$42))+1,""),ROW()-1652)),"")</f>
        <v/>
      </c>
      <c r="C1660" s="114" t="str" cm="1">
        <f t="array" ref="C1660">IFERROR(INDEX('03.Muestra'!$F$8:$F$42,SMALL(IF("Documento no web"='03.Muestra'!$D$8:$D$42,ROW('03.Muestra'!$F$8:$F$42)-MIN(ROW('03.Muestra'!$D$8:$D$42))+1,""),ROW()-1652)),"")</f>
        <v/>
      </c>
      <c r="D1660" s="130" t="str">
        <f t="shared" si="87"/>
        <v/>
      </c>
      <c r="E1660" s="107" t="str">
        <f t="shared" si="86"/>
        <v/>
      </c>
      <c r="F1660" s="19"/>
      <c r="G1660" s="19"/>
      <c r="H1660" s="19"/>
      <c r="I1660" s="19"/>
      <c r="J1660" s="19"/>
      <c r="K1660" s="233"/>
    </row>
    <row r="1661" spans="1:11" ht="15">
      <c r="A1661" s="219" t="str" cm="1">
        <f t="array" ref="A1661">IFERROR(INDEX('03.Muestra'!$B$8:$B$42,SMALL(IF("Documento no web"='03.Muestra'!$D$8:$D$42,ROW('03.Muestra'!$B$8:$B$42)-MIN(ROW('03.Muestra'!$D$8:$D$42))+1,""),ROW()-1652)),"")</f>
        <v/>
      </c>
      <c r="B1661" s="114" t="str" cm="1">
        <f t="array" ref="B1661">IFERROR(INDEX('03.Muestra'!$C$8:$C$42,SMALL(IF("Documento no web"='03.Muestra'!$D$8:$D$42,ROW('03.Muestra'!$C$8:$C$42)-MIN(ROW('03.Muestra'!$D$8:$D$42))+1,""),ROW()-1652)),"")</f>
        <v/>
      </c>
      <c r="C1661" s="114" t="str" cm="1">
        <f t="array" ref="C1661">IFERROR(INDEX('03.Muestra'!$F$8:$F$42,SMALL(IF("Documento no web"='03.Muestra'!$D$8:$D$42,ROW('03.Muestra'!$F$8:$F$42)-MIN(ROW('03.Muestra'!$D$8:$D$42))+1,""),ROW()-1652)),"")</f>
        <v/>
      </c>
      <c r="D1661" s="130" t="str">
        <f t="shared" si="87"/>
        <v/>
      </c>
      <c r="E1661" s="107" t="str">
        <f t="shared" si="86"/>
        <v/>
      </c>
      <c r="F1661" s="19"/>
      <c r="G1661" s="19"/>
      <c r="H1661" s="19"/>
      <c r="I1661" s="19"/>
      <c r="J1661" s="19"/>
      <c r="K1661" s="233"/>
    </row>
    <row r="1662" spans="1:11" ht="15">
      <c r="A1662" s="219" t="str" cm="1">
        <f t="array" ref="A1662">IFERROR(INDEX('03.Muestra'!$B$8:$B$42,SMALL(IF("Documento no web"='03.Muestra'!$D$8:$D$42,ROW('03.Muestra'!$B$8:$B$42)-MIN(ROW('03.Muestra'!$D$8:$D$42))+1,""),ROW()-1652)),"")</f>
        <v/>
      </c>
      <c r="B1662" s="114" t="str" cm="1">
        <f t="array" ref="B1662">IFERROR(INDEX('03.Muestra'!$C$8:$C$42,SMALL(IF("Documento no web"='03.Muestra'!$D$8:$D$42,ROW('03.Muestra'!$C$8:$C$42)-MIN(ROW('03.Muestra'!$D$8:$D$42))+1,""),ROW()-1652)),"")</f>
        <v/>
      </c>
      <c r="C1662" s="114" t="str" cm="1">
        <f t="array" ref="C1662">IFERROR(INDEX('03.Muestra'!$F$8:$F$42,SMALL(IF("Documento no web"='03.Muestra'!$D$8:$D$42,ROW('03.Muestra'!$F$8:$F$42)-MIN(ROW('03.Muestra'!$D$8:$D$42))+1,""),ROW()-1652)),"")</f>
        <v/>
      </c>
      <c r="D1662" s="130" t="str">
        <f t="shared" si="87"/>
        <v/>
      </c>
      <c r="E1662" s="107" t="str">
        <f t="shared" si="86"/>
        <v/>
      </c>
      <c r="F1662" s="19"/>
      <c r="G1662" s="19"/>
      <c r="H1662" s="19"/>
      <c r="I1662" s="19"/>
      <c r="J1662" s="19"/>
      <c r="K1662" s="233"/>
    </row>
    <row r="1663" spans="1:11" ht="15">
      <c r="A1663" s="219" t="str" cm="1">
        <f t="array" ref="A1663">IFERROR(INDEX('03.Muestra'!$B$8:$B$42,SMALL(IF("Documento no web"='03.Muestra'!$D$8:$D$42,ROW('03.Muestra'!$B$8:$B$42)-MIN(ROW('03.Muestra'!$D$8:$D$42))+1,""),ROW()-1652)),"")</f>
        <v/>
      </c>
      <c r="B1663" s="114" t="str" cm="1">
        <f t="array" ref="B1663">IFERROR(INDEX('03.Muestra'!$C$8:$C$42,SMALL(IF("Documento no web"='03.Muestra'!$D$8:$D$42,ROW('03.Muestra'!$C$8:$C$42)-MIN(ROW('03.Muestra'!$D$8:$D$42))+1,""),ROW()-1652)),"")</f>
        <v/>
      </c>
      <c r="C1663" s="114" t="str" cm="1">
        <f t="array" ref="C1663">IFERROR(INDEX('03.Muestra'!$F$8:$F$42,SMALL(IF("Documento no web"='03.Muestra'!$D$8:$D$42,ROW('03.Muestra'!$F$8:$F$42)-MIN(ROW('03.Muestra'!$D$8:$D$42))+1,""),ROW()-1652)),"")</f>
        <v/>
      </c>
      <c r="D1663" s="130" t="str">
        <f t="shared" si="87"/>
        <v/>
      </c>
      <c r="E1663" s="107" t="str">
        <f t="shared" si="86"/>
        <v/>
      </c>
      <c r="F1663" s="19"/>
      <c r="G1663" s="19"/>
      <c r="H1663" s="19"/>
      <c r="I1663" s="19"/>
      <c r="J1663" s="19"/>
      <c r="K1663" s="233"/>
    </row>
    <row r="1664" spans="1:11" ht="15">
      <c r="A1664" s="219" t="str" cm="1">
        <f t="array" ref="A1664">IFERROR(INDEX('03.Muestra'!$B$8:$B$42,SMALL(IF("Documento no web"='03.Muestra'!$D$8:$D$42,ROW('03.Muestra'!$B$8:$B$42)-MIN(ROW('03.Muestra'!$D$8:$D$42))+1,""),ROW()-1652)),"")</f>
        <v/>
      </c>
      <c r="B1664" s="114" t="str" cm="1">
        <f t="array" ref="B1664">IFERROR(INDEX('03.Muestra'!$C$8:$C$42,SMALL(IF("Documento no web"='03.Muestra'!$D$8:$D$42,ROW('03.Muestra'!$C$8:$C$42)-MIN(ROW('03.Muestra'!$D$8:$D$42))+1,""),ROW()-1652)),"")</f>
        <v/>
      </c>
      <c r="C1664" s="114" t="str" cm="1">
        <f t="array" ref="C1664">IFERROR(INDEX('03.Muestra'!$F$8:$F$42,SMALL(IF("Documento no web"='03.Muestra'!$D$8:$D$42,ROW('03.Muestra'!$F$8:$F$42)-MIN(ROW('03.Muestra'!$D$8:$D$42))+1,""),ROW()-1652)),"")</f>
        <v/>
      </c>
      <c r="D1664" s="130" t="str">
        <f t="shared" si="87"/>
        <v/>
      </c>
      <c r="E1664" s="107" t="str">
        <f t="shared" si="86"/>
        <v/>
      </c>
      <c r="F1664" s="19"/>
      <c r="G1664" s="19"/>
      <c r="H1664" s="19"/>
      <c r="I1664" s="19"/>
      <c r="J1664" s="19"/>
      <c r="K1664" s="233"/>
    </row>
    <row r="1665" spans="1:11" ht="15">
      <c r="A1665" s="219" t="str" cm="1">
        <f t="array" ref="A1665">IFERROR(INDEX('03.Muestra'!$B$8:$B$42,SMALL(IF("Documento no web"='03.Muestra'!$D$8:$D$42,ROW('03.Muestra'!$B$8:$B$42)-MIN(ROW('03.Muestra'!$D$8:$D$42))+1,""),ROW()-1652)),"")</f>
        <v/>
      </c>
      <c r="B1665" s="114" t="str" cm="1">
        <f t="array" ref="B1665">IFERROR(INDEX('03.Muestra'!$C$8:$C$42,SMALL(IF("Documento no web"='03.Muestra'!$D$8:$D$42,ROW('03.Muestra'!$C$8:$C$42)-MIN(ROW('03.Muestra'!$D$8:$D$42))+1,""),ROW()-1652)),"")</f>
        <v/>
      </c>
      <c r="C1665" s="114" t="str" cm="1">
        <f t="array" ref="C1665">IFERROR(INDEX('03.Muestra'!$F$8:$F$42,SMALL(IF("Documento no web"='03.Muestra'!$D$8:$D$42,ROW('03.Muestra'!$F$8:$F$42)-MIN(ROW('03.Muestra'!$D$8:$D$42))+1,""),ROW()-1652)),"")</f>
        <v/>
      </c>
      <c r="D1665" s="130" t="str">
        <f t="shared" si="87"/>
        <v/>
      </c>
      <c r="E1665" s="107" t="str">
        <f t="shared" si="86"/>
        <v/>
      </c>
      <c r="F1665" s="19"/>
      <c r="G1665" s="19"/>
      <c r="H1665" s="19"/>
      <c r="I1665" s="19"/>
      <c r="J1665" s="19"/>
      <c r="K1665" s="233"/>
    </row>
    <row r="1666" spans="1:11" ht="15">
      <c r="A1666" s="219" t="str" cm="1">
        <f t="array" ref="A1666">IFERROR(INDEX('03.Muestra'!$B$8:$B$42,SMALL(IF("Documento no web"='03.Muestra'!$D$8:$D$42,ROW('03.Muestra'!$B$8:$B$42)-MIN(ROW('03.Muestra'!$D$8:$D$42))+1,""),ROW()-1652)),"")</f>
        <v/>
      </c>
      <c r="B1666" s="114" t="str" cm="1">
        <f t="array" ref="B1666">IFERROR(INDEX('03.Muestra'!$C$8:$C$42,SMALL(IF("Documento no web"='03.Muestra'!$D$8:$D$42,ROW('03.Muestra'!$C$8:$C$42)-MIN(ROW('03.Muestra'!$D$8:$D$42))+1,""),ROW()-1652)),"")</f>
        <v/>
      </c>
      <c r="C1666" s="114" t="str" cm="1">
        <f t="array" ref="C1666">IFERROR(INDEX('03.Muestra'!$F$8:$F$42,SMALL(IF("Documento no web"='03.Muestra'!$D$8:$D$42,ROW('03.Muestra'!$F$8:$F$42)-MIN(ROW('03.Muestra'!$D$8:$D$42))+1,""),ROW()-1652)),"")</f>
        <v/>
      </c>
      <c r="D1666" s="130" t="str">
        <f t="shared" si="87"/>
        <v/>
      </c>
      <c r="E1666" s="107" t="str">
        <f t="shared" si="86"/>
        <v/>
      </c>
      <c r="F1666" s="19"/>
      <c r="G1666" s="19"/>
      <c r="H1666" s="19"/>
      <c r="I1666" s="19"/>
      <c r="J1666" s="19"/>
      <c r="K1666" s="233"/>
    </row>
    <row r="1667" spans="1:11" ht="15">
      <c r="A1667" s="219" t="str" cm="1">
        <f t="array" ref="A1667">IFERROR(INDEX('03.Muestra'!$B$8:$B$42,SMALL(IF("Documento no web"='03.Muestra'!$D$8:$D$42,ROW('03.Muestra'!$B$8:$B$42)-MIN(ROW('03.Muestra'!$D$8:$D$42))+1,""),ROW()-1652)),"")</f>
        <v/>
      </c>
      <c r="B1667" s="114" t="str" cm="1">
        <f t="array" ref="B1667">IFERROR(INDEX('03.Muestra'!$C$8:$C$42,SMALL(IF("Documento no web"='03.Muestra'!$D$8:$D$42,ROW('03.Muestra'!$C$8:$C$42)-MIN(ROW('03.Muestra'!$D$8:$D$42))+1,""),ROW()-1652)),"")</f>
        <v/>
      </c>
      <c r="C1667" s="114" t="str" cm="1">
        <f t="array" ref="C1667">IFERROR(INDEX('03.Muestra'!$F$8:$F$42,SMALL(IF("Documento no web"='03.Muestra'!$D$8:$D$42,ROW('03.Muestra'!$F$8:$F$42)-MIN(ROW('03.Muestra'!$D$8:$D$42))+1,""),ROW()-1652)),"")</f>
        <v/>
      </c>
      <c r="D1667" s="130" t="str">
        <f t="shared" si="87"/>
        <v/>
      </c>
      <c r="E1667" s="107" t="str">
        <f t="shared" si="86"/>
        <v/>
      </c>
      <c r="F1667" s="19"/>
      <c r="G1667" s="19"/>
      <c r="H1667" s="19"/>
      <c r="I1667" s="19"/>
      <c r="J1667" s="19"/>
      <c r="K1667" s="233"/>
    </row>
    <row r="1668" spans="1:11" ht="15">
      <c r="A1668" s="219" t="str" cm="1">
        <f t="array" ref="A1668">IFERROR(INDEX('03.Muestra'!$B$8:$B$42,SMALL(IF("Documento no web"='03.Muestra'!$D$8:$D$42,ROW('03.Muestra'!$B$8:$B$42)-MIN(ROW('03.Muestra'!$D$8:$D$42))+1,""),ROW()-1652)),"")</f>
        <v/>
      </c>
      <c r="B1668" s="114" t="str" cm="1">
        <f t="array" ref="B1668">IFERROR(INDEX('03.Muestra'!$C$8:$C$42,SMALL(IF("Documento no web"='03.Muestra'!$D$8:$D$42,ROW('03.Muestra'!$C$8:$C$42)-MIN(ROW('03.Muestra'!$D$8:$D$42))+1,""),ROW()-1652)),"")</f>
        <v/>
      </c>
      <c r="C1668" s="114" t="str" cm="1">
        <f t="array" ref="C1668">IFERROR(INDEX('03.Muestra'!$F$8:$F$42,SMALL(IF("Documento no web"='03.Muestra'!$D$8:$D$42,ROW('03.Muestra'!$F$8:$F$42)-MIN(ROW('03.Muestra'!$D$8:$D$42))+1,""),ROW()-1652)),"")</f>
        <v/>
      </c>
      <c r="D1668" s="130" t="str">
        <f t="shared" si="87"/>
        <v/>
      </c>
      <c r="E1668" s="107" t="str">
        <f t="shared" si="86"/>
        <v/>
      </c>
      <c r="F1668" s="19"/>
      <c r="G1668" s="19"/>
      <c r="H1668" s="19"/>
      <c r="I1668" s="19"/>
      <c r="J1668" s="19"/>
      <c r="K1668" s="233"/>
    </row>
    <row r="1669" spans="1:11" ht="15">
      <c r="A1669" s="219" t="str" cm="1">
        <f t="array" ref="A1669">IFERROR(INDEX('03.Muestra'!$B$8:$B$42,SMALL(IF("Documento no web"='03.Muestra'!$D$8:$D$42,ROW('03.Muestra'!$B$8:$B$42)-MIN(ROW('03.Muestra'!$D$8:$D$42))+1,""),ROW()-1652)),"")</f>
        <v/>
      </c>
      <c r="B1669" s="114" t="str" cm="1">
        <f t="array" ref="B1669">IFERROR(INDEX('03.Muestra'!$C$8:$C$42,SMALL(IF("Documento no web"='03.Muestra'!$D$8:$D$42,ROW('03.Muestra'!$C$8:$C$42)-MIN(ROW('03.Muestra'!$D$8:$D$42))+1,""),ROW()-1652)),"")</f>
        <v/>
      </c>
      <c r="C1669" s="114" t="str" cm="1">
        <f t="array" ref="C1669">IFERROR(INDEX('03.Muestra'!$F$8:$F$42,SMALL(IF("Documento no web"='03.Muestra'!$D$8:$D$42,ROW('03.Muestra'!$F$8:$F$42)-MIN(ROW('03.Muestra'!$D$8:$D$42))+1,""),ROW()-1652)),"")</f>
        <v/>
      </c>
      <c r="D1669" s="130" t="str">
        <f t="shared" si="87"/>
        <v/>
      </c>
      <c r="E1669" s="107" t="str">
        <f t="shared" si="86"/>
        <v/>
      </c>
      <c r="F1669" s="19"/>
      <c r="G1669" s="19"/>
      <c r="H1669" s="19"/>
      <c r="I1669" s="19"/>
      <c r="J1669" s="19"/>
      <c r="K1669" s="233"/>
    </row>
    <row r="1670" spans="1:11" ht="15">
      <c r="A1670" s="219" t="str" cm="1">
        <f t="array" ref="A1670">IFERROR(INDEX('03.Muestra'!$B$8:$B$42,SMALL(IF("Documento no web"='03.Muestra'!$D$8:$D$42,ROW('03.Muestra'!$B$8:$B$42)-MIN(ROW('03.Muestra'!$D$8:$D$42))+1,""),ROW()-1652)),"")</f>
        <v/>
      </c>
      <c r="B1670" s="114" t="str" cm="1">
        <f t="array" ref="B1670">IFERROR(INDEX('03.Muestra'!$C$8:$C$42,SMALL(IF("Documento no web"='03.Muestra'!$D$8:$D$42,ROW('03.Muestra'!$C$8:$C$42)-MIN(ROW('03.Muestra'!$D$8:$D$42))+1,""),ROW()-1652)),"")</f>
        <v/>
      </c>
      <c r="C1670" s="114" t="str" cm="1">
        <f t="array" ref="C1670">IFERROR(INDEX('03.Muestra'!$F$8:$F$42,SMALL(IF("Documento no web"='03.Muestra'!$D$8:$D$42,ROW('03.Muestra'!$F$8:$F$42)-MIN(ROW('03.Muestra'!$D$8:$D$42))+1,""),ROW()-1652)),"")</f>
        <v/>
      </c>
      <c r="D1670" s="130" t="str">
        <f t="shared" si="87"/>
        <v/>
      </c>
      <c r="E1670" s="107" t="str">
        <f t="shared" si="86"/>
        <v/>
      </c>
      <c r="F1670" s="19"/>
      <c r="G1670" s="19"/>
      <c r="H1670" s="19"/>
      <c r="I1670" s="19"/>
      <c r="J1670" s="19"/>
      <c r="K1670" s="233"/>
    </row>
    <row r="1671" spans="1:11" ht="15">
      <c r="A1671" s="219" t="str" cm="1">
        <f t="array" ref="A1671">IFERROR(INDEX('03.Muestra'!$B$8:$B$42,SMALL(IF("Documento no web"='03.Muestra'!$D$8:$D$42,ROW('03.Muestra'!$B$8:$B$42)-MIN(ROW('03.Muestra'!$D$8:$D$42))+1,""),ROW()-1652)),"")</f>
        <v/>
      </c>
      <c r="B1671" s="114" t="str" cm="1">
        <f t="array" ref="B1671">IFERROR(INDEX('03.Muestra'!$C$8:$C$42,SMALL(IF("Documento no web"='03.Muestra'!$D$8:$D$42,ROW('03.Muestra'!$C$8:$C$42)-MIN(ROW('03.Muestra'!$D$8:$D$42))+1,""),ROW()-1652)),"")</f>
        <v/>
      </c>
      <c r="C1671" s="114" t="str" cm="1">
        <f t="array" ref="C1671">IFERROR(INDEX('03.Muestra'!$F$8:$F$42,SMALL(IF("Documento no web"='03.Muestra'!$D$8:$D$42,ROW('03.Muestra'!$F$8:$F$42)-MIN(ROW('03.Muestra'!$D$8:$D$42))+1,""),ROW()-1652)),"")</f>
        <v/>
      </c>
      <c r="D1671" s="130" t="str">
        <f t="shared" si="87"/>
        <v/>
      </c>
      <c r="E1671" s="107" t="str">
        <f t="shared" si="86"/>
        <v/>
      </c>
      <c r="F1671" s="19"/>
      <c r="G1671" s="19"/>
      <c r="H1671" s="19"/>
      <c r="I1671" s="19"/>
      <c r="J1671" s="19"/>
      <c r="K1671" s="233"/>
    </row>
    <row r="1672" spans="1:11" ht="15">
      <c r="A1672" s="219" t="str" cm="1">
        <f t="array" ref="A1672">IFERROR(INDEX('03.Muestra'!$B$8:$B$42,SMALL(IF("Documento no web"='03.Muestra'!$D$8:$D$42,ROW('03.Muestra'!$B$8:$B$42)-MIN(ROW('03.Muestra'!$D$8:$D$42))+1,""),ROW()-1652)),"")</f>
        <v/>
      </c>
      <c r="B1672" s="114" t="str" cm="1">
        <f t="array" ref="B1672">IFERROR(INDEX('03.Muestra'!$C$8:$C$42,SMALL(IF("Documento no web"='03.Muestra'!$D$8:$D$42,ROW('03.Muestra'!$C$8:$C$42)-MIN(ROW('03.Muestra'!$D$8:$D$42))+1,""),ROW()-1652)),"")</f>
        <v/>
      </c>
      <c r="C1672" s="114" t="str" cm="1">
        <f t="array" ref="C1672">IFERROR(INDEX('03.Muestra'!$F$8:$F$42,SMALL(IF("Documento no web"='03.Muestra'!$D$8:$D$42,ROW('03.Muestra'!$F$8:$F$42)-MIN(ROW('03.Muestra'!$D$8:$D$42))+1,""),ROW()-1652)),"")</f>
        <v/>
      </c>
      <c r="D1672" s="130" t="str">
        <f t="shared" si="87"/>
        <v/>
      </c>
      <c r="E1672" s="107" t="str">
        <f t="shared" si="86"/>
        <v/>
      </c>
      <c r="F1672" s="19"/>
      <c r="G1672" s="19"/>
      <c r="H1672" s="19"/>
      <c r="I1672" s="19"/>
      <c r="J1672" s="19"/>
      <c r="K1672" s="233"/>
    </row>
    <row r="1673" spans="1:11" ht="15">
      <c r="A1673" s="219" t="str" cm="1">
        <f t="array" ref="A1673">IFERROR(INDEX('03.Muestra'!$B$8:$B$42,SMALL(IF("Documento no web"='03.Muestra'!$D$8:$D$42,ROW('03.Muestra'!$B$8:$B$42)-MIN(ROW('03.Muestra'!$D$8:$D$42))+1,""),ROW()-1652)),"")</f>
        <v/>
      </c>
      <c r="B1673" s="114" t="str" cm="1">
        <f t="array" ref="B1673">IFERROR(INDEX('03.Muestra'!$C$8:$C$42,SMALL(IF("Documento no web"='03.Muestra'!$D$8:$D$42,ROW('03.Muestra'!$C$8:$C$42)-MIN(ROW('03.Muestra'!$D$8:$D$42))+1,""),ROW()-1652)),"")</f>
        <v/>
      </c>
      <c r="C1673" s="114" t="str" cm="1">
        <f t="array" ref="C1673">IFERROR(INDEX('03.Muestra'!$F$8:$F$42,SMALL(IF("Documento no web"='03.Muestra'!$D$8:$D$42,ROW('03.Muestra'!$F$8:$F$42)-MIN(ROW('03.Muestra'!$D$8:$D$42))+1,""),ROW()-1652)),"")</f>
        <v/>
      </c>
      <c r="D1673" s="130" t="str">
        <f t="shared" si="87"/>
        <v/>
      </c>
      <c r="E1673" s="107" t="str">
        <f t="shared" si="86"/>
        <v/>
      </c>
      <c r="F1673" s="19"/>
      <c r="G1673" s="19"/>
      <c r="H1673" s="19"/>
      <c r="I1673" s="19"/>
      <c r="J1673" s="19"/>
      <c r="K1673" s="233"/>
    </row>
    <row r="1674" spans="1:11" ht="15">
      <c r="A1674" s="219" t="str" cm="1">
        <f t="array" ref="A1674">IFERROR(INDEX('03.Muestra'!$B$8:$B$42,SMALL(IF("Documento no web"='03.Muestra'!$D$8:$D$42,ROW('03.Muestra'!$B$8:$B$42)-MIN(ROW('03.Muestra'!$D$8:$D$42))+1,""),ROW()-1652)),"")</f>
        <v/>
      </c>
      <c r="B1674" s="114" t="str" cm="1">
        <f t="array" ref="B1674">IFERROR(INDEX('03.Muestra'!$C$8:$C$42,SMALL(IF("Documento no web"='03.Muestra'!$D$8:$D$42,ROW('03.Muestra'!$C$8:$C$42)-MIN(ROW('03.Muestra'!$D$8:$D$42))+1,""),ROW()-1652)),"")</f>
        <v/>
      </c>
      <c r="C1674" s="114" t="str" cm="1">
        <f t="array" ref="C1674">IFERROR(INDEX('03.Muestra'!$F$8:$F$42,SMALL(IF("Documento no web"='03.Muestra'!$D$8:$D$42,ROW('03.Muestra'!$F$8:$F$42)-MIN(ROW('03.Muestra'!$D$8:$D$42))+1,""),ROW()-1652)),"")</f>
        <v/>
      </c>
      <c r="D1674" s="130" t="str">
        <f t="shared" si="87"/>
        <v/>
      </c>
      <c r="E1674" s="107" t="str">
        <f t="shared" si="86"/>
        <v/>
      </c>
      <c r="F1674" s="19"/>
      <c r="G1674" s="19"/>
      <c r="H1674" s="19"/>
      <c r="I1674" s="19"/>
      <c r="J1674" s="19"/>
      <c r="K1674" s="233"/>
    </row>
    <row r="1675" spans="1:11" ht="15">
      <c r="A1675" s="219" t="str" cm="1">
        <f t="array" ref="A1675">IFERROR(INDEX('03.Muestra'!$B$8:$B$42,SMALL(IF("Documento no web"='03.Muestra'!$D$8:$D$42,ROW('03.Muestra'!$B$8:$B$42)-MIN(ROW('03.Muestra'!$D$8:$D$42))+1,""),ROW()-1652)),"")</f>
        <v/>
      </c>
      <c r="B1675" s="114" t="str" cm="1">
        <f t="array" ref="B1675">IFERROR(INDEX('03.Muestra'!$C$8:$C$42,SMALL(IF("Documento no web"='03.Muestra'!$D$8:$D$42,ROW('03.Muestra'!$C$8:$C$42)-MIN(ROW('03.Muestra'!$D$8:$D$42))+1,""),ROW()-1652)),"")</f>
        <v/>
      </c>
      <c r="C1675" s="114" t="str" cm="1">
        <f t="array" ref="C1675">IFERROR(INDEX('03.Muestra'!$F$8:$F$42,SMALL(IF("Documento no web"='03.Muestra'!$D$8:$D$42,ROW('03.Muestra'!$F$8:$F$42)-MIN(ROW('03.Muestra'!$D$8:$D$42))+1,""),ROW()-1652)),"")</f>
        <v/>
      </c>
      <c r="D1675" s="130" t="str">
        <f t="shared" si="87"/>
        <v/>
      </c>
      <c r="E1675" s="107" t="str">
        <f t="shared" si="86"/>
        <v/>
      </c>
      <c r="F1675" s="19"/>
      <c r="G1675" s="19"/>
      <c r="H1675" s="19"/>
      <c r="I1675" s="19"/>
      <c r="J1675" s="19"/>
      <c r="K1675" s="233"/>
    </row>
    <row r="1676" spans="1:11" ht="15">
      <c r="A1676" s="219" t="str" cm="1">
        <f t="array" ref="A1676">IFERROR(INDEX('03.Muestra'!$B$8:$B$42,SMALL(IF("Documento no web"='03.Muestra'!$D$8:$D$42,ROW('03.Muestra'!$B$8:$B$42)-MIN(ROW('03.Muestra'!$D$8:$D$42))+1,""),ROW()-1652)),"")</f>
        <v/>
      </c>
      <c r="B1676" s="114" t="str" cm="1">
        <f t="array" ref="B1676">IFERROR(INDEX('03.Muestra'!$C$8:$C$42,SMALL(IF("Documento no web"='03.Muestra'!$D$8:$D$42,ROW('03.Muestra'!$C$8:$C$42)-MIN(ROW('03.Muestra'!$D$8:$D$42))+1,""),ROW()-1652)),"")</f>
        <v/>
      </c>
      <c r="C1676" s="114" t="str" cm="1">
        <f t="array" ref="C1676">IFERROR(INDEX('03.Muestra'!$F$8:$F$42,SMALL(IF("Documento no web"='03.Muestra'!$D$8:$D$42,ROW('03.Muestra'!$F$8:$F$42)-MIN(ROW('03.Muestra'!$D$8:$D$42))+1,""),ROW()-1652)),"")</f>
        <v/>
      </c>
      <c r="D1676" s="130" t="str">
        <f t="shared" si="87"/>
        <v/>
      </c>
      <c r="E1676" s="107" t="str">
        <f t="shared" si="86"/>
        <v/>
      </c>
      <c r="F1676" s="19"/>
      <c r="G1676" s="19"/>
      <c r="H1676" s="19"/>
      <c r="I1676" s="19"/>
      <c r="J1676" s="19"/>
      <c r="K1676" s="233"/>
    </row>
    <row r="1677" spans="1:11" ht="15">
      <c r="A1677" s="219" t="str" cm="1">
        <f t="array" ref="A1677">IFERROR(INDEX('03.Muestra'!$B$8:$B$42,SMALL(IF("Documento no web"='03.Muestra'!$D$8:$D$42,ROW('03.Muestra'!$B$8:$B$42)-MIN(ROW('03.Muestra'!$D$8:$D$42))+1,""),ROW()-1652)),"")</f>
        <v/>
      </c>
      <c r="B1677" s="114" t="str" cm="1">
        <f t="array" ref="B1677">IFERROR(INDEX('03.Muestra'!$C$8:$C$42,SMALL(IF("Documento no web"='03.Muestra'!$D$8:$D$42,ROW('03.Muestra'!$C$8:$C$42)-MIN(ROW('03.Muestra'!$D$8:$D$42))+1,""),ROW()-1652)),"")</f>
        <v/>
      </c>
      <c r="C1677" s="114" t="str" cm="1">
        <f t="array" ref="C1677">IFERROR(INDEX('03.Muestra'!$F$8:$F$42,SMALL(IF("Documento no web"='03.Muestra'!$D$8:$D$42,ROW('03.Muestra'!$F$8:$F$42)-MIN(ROW('03.Muestra'!$D$8:$D$42))+1,""),ROW()-1652)),"")</f>
        <v/>
      </c>
      <c r="D1677" s="130" t="str">
        <f t="shared" si="87"/>
        <v/>
      </c>
      <c r="E1677" s="107" t="str">
        <f t="shared" si="86"/>
        <v/>
      </c>
      <c r="F1677" s="19"/>
      <c r="G1677" s="19"/>
      <c r="H1677" s="19"/>
      <c r="I1677" s="19"/>
      <c r="J1677" s="19"/>
      <c r="K1677" s="233"/>
    </row>
    <row r="1678" spans="1:11" ht="15">
      <c r="A1678" s="219" t="str" cm="1">
        <f t="array" ref="A1678">IFERROR(INDEX('03.Muestra'!$B$8:$B$42,SMALL(IF("Documento no web"='03.Muestra'!$D$8:$D$42,ROW('03.Muestra'!$B$8:$B$42)-MIN(ROW('03.Muestra'!$D$8:$D$42))+1,""),ROW()-1652)),"")</f>
        <v/>
      </c>
      <c r="B1678" s="114" t="str" cm="1">
        <f t="array" ref="B1678">IFERROR(INDEX('03.Muestra'!$C$8:$C$42,SMALL(IF("Documento no web"='03.Muestra'!$D$8:$D$42,ROW('03.Muestra'!$C$8:$C$42)-MIN(ROW('03.Muestra'!$D$8:$D$42))+1,""),ROW()-1652)),"")</f>
        <v/>
      </c>
      <c r="C1678" s="114" t="str" cm="1">
        <f t="array" ref="C1678">IFERROR(INDEX('03.Muestra'!$F$8:$F$42,SMALL(IF("Documento no web"='03.Muestra'!$D$8:$D$42,ROW('03.Muestra'!$F$8:$F$42)-MIN(ROW('03.Muestra'!$D$8:$D$42))+1,""),ROW()-1652)),"")</f>
        <v/>
      </c>
      <c r="D1678" s="130" t="str">
        <f t="shared" si="87"/>
        <v/>
      </c>
      <c r="E1678" s="107" t="str">
        <f t="shared" si="86"/>
        <v/>
      </c>
      <c r="F1678" s="19"/>
      <c r="G1678" s="19"/>
      <c r="H1678" s="19"/>
      <c r="I1678" s="19"/>
      <c r="J1678" s="19"/>
      <c r="K1678" s="233"/>
    </row>
    <row r="1679" spans="1:11" ht="15">
      <c r="A1679" s="219" t="str" cm="1">
        <f t="array" ref="A1679">IFERROR(INDEX('03.Muestra'!$B$8:$B$42,SMALL(IF("Documento no web"='03.Muestra'!$D$8:$D$42,ROW('03.Muestra'!$B$8:$B$42)-MIN(ROW('03.Muestra'!$D$8:$D$42))+1,""),ROW()-1652)),"")</f>
        <v/>
      </c>
      <c r="B1679" s="114" t="str" cm="1">
        <f t="array" ref="B1679">IFERROR(INDEX('03.Muestra'!$C$8:$C$42,SMALL(IF("Documento no web"='03.Muestra'!$D$8:$D$42,ROW('03.Muestra'!$C$8:$C$42)-MIN(ROW('03.Muestra'!$D$8:$D$42))+1,""),ROW()-1652)),"")</f>
        <v/>
      </c>
      <c r="C1679" s="114" t="str" cm="1">
        <f t="array" ref="C1679">IFERROR(INDEX('03.Muestra'!$F$8:$F$42,SMALL(IF("Documento no web"='03.Muestra'!$D$8:$D$42,ROW('03.Muestra'!$F$8:$F$42)-MIN(ROW('03.Muestra'!$D$8:$D$42))+1,""),ROW()-1652)),"")</f>
        <v/>
      </c>
      <c r="D1679" s="130" t="str">
        <f t="shared" si="87"/>
        <v/>
      </c>
      <c r="E1679" s="107" t="str">
        <f t="shared" si="86"/>
        <v/>
      </c>
      <c r="F1679" s="19"/>
      <c r="G1679" s="19"/>
      <c r="H1679" s="19"/>
      <c r="I1679" s="19"/>
      <c r="J1679" s="19"/>
      <c r="K1679" s="233"/>
    </row>
    <row r="1680" spans="1:11" ht="15">
      <c r="A1680" s="219" t="str" cm="1">
        <f t="array" ref="A1680">IFERROR(INDEX('03.Muestra'!$B$8:$B$42,SMALL(IF("Documento no web"='03.Muestra'!$D$8:$D$42,ROW('03.Muestra'!$B$8:$B$42)-MIN(ROW('03.Muestra'!$D$8:$D$42))+1,""),ROW()-1652)),"")</f>
        <v/>
      </c>
      <c r="B1680" s="114" t="str" cm="1">
        <f t="array" ref="B1680">IFERROR(INDEX('03.Muestra'!$C$8:$C$42,SMALL(IF("Documento no web"='03.Muestra'!$D$8:$D$42,ROW('03.Muestra'!$C$8:$C$42)-MIN(ROW('03.Muestra'!$D$8:$D$42))+1,""),ROW()-1652)),"")</f>
        <v/>
      </c>
      <c r="C1680" s="114" t="str" cm="1">
        <f t="array" ref="C1680">IFERROR(INDEX('03.Muestra'!$F$8:$F$42,SMALL(IF("Documento no web"='03.Muestra'!$D$8:$D$42,ROW('03.Muestra'!$F$8:$F$42)-MIN(ROW('03.Muestra'!$D$8:$D$42))+1,""),ROW()-1652)),"")</f>
        <v/>
      </c>
      <c r="D1680" s="130" t="str">
        <f t="shared" si="87"/>
        <v/>
      </c>
      <c r="E1680" s="107" t="str">
        <f t="shared" si="86"/>
        <v/>
      </c>
      <c r="G1680" s="19"/>
      <c r="H1680" s="19"/>
      <c r="I1680" s="19"/>
      <c r="J1680" s="19"/>
      <c r="K1680" s="233"/>
    </row>
    <row r="1681" spans="1:11" ht="15">
      <c r="A1681" s="219" t="str" cm="1">
        <f t="array" ref="A1681">IFERROR(INDEX('03.Muestra'!$B$8:$B$42,SMALL(IF("Documento no web"='03.Muestra'!$D$8:$D$42,ROW('03.Muestra'!$B$8:$B$42)-MIN(ROW('03.Muestra'!$D$8:$D$42))+1,""),ROW()-1652)),"")</f>
        <v/>
      </c>
      <c r="B1681" s="114" t="str" cm="1">
        <f t="array" ref="B1681">IFERROR(INDEX('03.Muestra'!$C$8:$C$42,SMALL(IF("Documento no web"='03.Muestra'!$D$8:$D$42,ROW('03.Muestra'!$C$8:$C$42)-MIN(ROW('03.Muestra'!$D$8:$D$42))+1,""),ROW()-1652)),"")</f>
        <v/>
      </c>
      <c r="C1681" s="114" t="str" cm="1">
        <f t="array" ref="C1681">IFERROR(INDEX('03.Muestra'!$F$8:$F$42,SMALL(IF("Documento no web"='03.Muestra'!$D$8:$D$42,ROW('03.Muestra'!$F$8:$F$42)-MIN(ROW('03.Muestra'!$D$8:$D$42))+1,""),ROW()-1652)),"")</f>
        <v/>
      </c>
      <c r="D1681" s="130" t="str">
        <f t="shared" si="87"/>
        <v/>
      </c>
      <c r="E1681" s="107" t="str">
        <f t="shared" si="86"/>
        <v/>
      </c>
      <c r="G1681" s="19"/>
      <c r="H1681" s="19"/>
      <c r="I1681" s="19"/>
      <c r="J1681" s="19"/>
      <c r="K1681" s="233"/>
    </row>
    <row r="1682" spans="1:11" ht="15">
      <c r="A1682" s="219" t="str" cm="1">
        <f t="array" ref="A1682">IFERROR(INDEX('03.Muestra'!$B$8:$B$42,SMALL(IF("Documento no web"='03.Muestra'!$D$8:$D$42,ROW('03.Muestra'!$B$8:$B$42)-MIN(ROW('03.Muestra'!$D$8:$D$42))+1,""),ROW()-1652)),"")</f>
        <v/>
      </c>
      <c r="B1682" s="114" t="str" cm="1">
        <f t="array" ref="B1682">IFERROR(INDEX('03.Muestra'!$C$8:$C$42,SMALL(IF("Documento no web"='03.Muestra'!$D$8:$D$42,ROW('03.Muestra'!$C$8:$C$42)-MIN(ROW('03.Muestra'!$D$8:$D$42))+1,""),ROW()-1652)),"")</f>
        <v/>
      </c>
      <c r="C1682" s="114" t="str" cm="1">
        <f t="array" ref="C1682">IFERROR(INDEX('03.Muestra'!$F$8:$F$42,SMALL(IF("Documento no web"='03.Muestra'!$D$8:$D$42,ROW('03.Muestra'!$F$8:$F$42)-MIN(ROW('03.Muestra'!$D$8:$D$42))+1,""),ROW()-1652)),"")</f>
        <v/>
      </c>
      <c r="D1682" s="130" t="str">
        <f t="shared" si="87"/>
        <v/>
      </c>
      <c r="E1682" s="107" t="str">
        <f t="shared" si="86"/>
        <v/>
      </c>
      <c r="G1682" s="19"/>
      <c r="H1682" s="19"/>
      <c r="I1682" s="19"/>
      <c r="J1682" s="19"/>
      <c r="K1682" s="233"/>
    </row>
    <row r="1683" spans="1:11" ht="15">
      <c r="A1683" s="219" t="str" cm="1">
        <f t="array" ref="A1683">IFERROR(INDEX('03.Muestra'!$B$8:$B$42,SMALL(IF("Documento no web"='03.Muestra'!$D$8:$D$42,ROW('03.Muestra'!$B$8:$B$42)-MIN(ROW('03.Muestra'!$D$8:$D$42))+1,""),ROW()-1652)),"")</f>
        <v/>
      </c>
      <c r="B1683" s="114" t="str" cm="1">
        <f t="array" ref="B1683">IFERROR(INDEX('03.Muestra'!$C$8:$C$42,SMALL(IF("Documento no web"='03.Muestra'!$D$8:$D$42,ROW('03.Muestra'!$C$8:$C$42)-MIN(ROW('03.Muestra'!$D$8:$D$42))+1,""),ROW()-1652)),"")</f>
        <v/>
      </c>
      <c r="C1683" s="114" t="str" cm="1">
        <f t="array" ref="C1683">IFERROR(INDEX('03.Muestra'!$F$8:$F$42,SMALL(IF("Documento no web"='03.Muestra'!$D$8:$D$42,ROW('03.Muestra'!$F$8:$F$42)-MIN(ROW('03.Muestra'!$D$8:$D$42))+1,""),ROW()-1652)),"")</f>
        <v/>
      </c>
      <c r="D1683" s="130" t="str">
        <f t="shared" si="87"/>
        <v/>
      </c>
      <c r="E1683" s="107" t="str">
        <f t="shared" si="86"/>
        <v/>
      </c>
      <c r="F1683" s="124"/>
      <c r="G1683" s="19"/>
      <c r="H1683" s="19"/>
      <c r="I1683" s="19"/>
      <c r="J1683" s="19"/>
      <c r="K1683" s="233"/>
    </row>
    <row r="1684" spans="1:11" ht="15">
      <c r="A1684" s="219" t="str" cm="1">
        <f t="array" ref="A1684">IFERROR(INDEX('03.Muestra'!$B$8:$B$42,SMALL(IF("Documento no web"='03.Muestra'!$D$8:$D$42,ROW('03.Muestra'!$B$8:$B$42)-MIN(ROW('03.Muestra'!$D$8:$D$42))+1,""),ROW()-1652)),"")</f>
        <v/>
      </c>
      <c r="B1684" s="114" t="str" cm="1">
        <f t="array" ref="B1684">IFERROR(INDEX('03.Muestra'!$C$8:$C$42,SMALL(IF("Documento no web"='03.Muestra'!$D$8:$D$42,ROW('03.Muestra'!$C$8:$C$42)-MIN(ROW('03.Muestra'!$D$8:$D$42))+1,""),ROW()-1652)),"")</f>
        <v/>
      </c>
      <c r="C1684" s="114" t="str" cm="1">
        <f t="array" ref="C1684">IFERROR(INDEX('03.Muestra'!$F$8:$F$42,SMALL(IF("Documento no web"='03.Muestra'!$D$8:$D$42,ROW('03.Muestra'!$F$8:$F$42)-MIN(ROW('03.Muestra'!$D$8:$D$42))+1,""),ROW()-1652)),"")</f>
        <v/>
      </c>
      <c r="D1684" s="130" t="str">
        <f t="shared" si="87"/>
        <v/>
      </c>
      <c r="E1684" s="107" t="str">
        <f t="shared" si="86"/>
        <v/>
      </c>
      <c r="F1684" s="124"/>
      <c r="G1684" s="19"/>
      <c r="H1684" s="19"/>
      <c r="I1684" s="19"/>
      <c r="J1684" s="19"/>
      <c r="K1684" s="233"/>
    </row>
    <row r="1685" spans="1:11" ht="15">
      <c r="A1685" s="219" t="str" cm="1">
        <f t="array" ref="A1685">IFERROR(INDEX('03.Muestra'!$B$8:$B$42,SMALL(IF("Documento no web"='03.Muestra'!$D$8:$D$42,ROW('03.Muestra'!$B$8:$B$42)-MIN(ROW('03.Muestra'!$D$8:$D$42))+1,""),ROW()-1652)),"")</f>
        <v/>
      </c>
      <c r="B1685" s="114" t="str" cm="1">
        <f t="array" ref="B1685">IFERROR(INDEX('03.Muestra'!$C$8:$C$42,SMALL(IF("Documento no web"='03.Muestra'!$D$8:$D$42,ROW('03.Muestra'!$C$8:$C$42)-MIN(ROW('03.Muestra'!$D$8:$D$42))+1,""),ROW()-1652)),"")</f>
        <v/>
      </c>
      <c r="C1685" s="114" t="str" cm="1">
        <f t="array" ref="C1685">IFERROR(INDEX('03.Muestra'!$F$8:$F$42,SMALL(IF("Documento no web"='03.Muestra'!$D$8:$D$42,ROW('03.Muestra'!$F$8:$F$42)-MIN(ROW('03.Muestra'!$D$8:$D$42))+1,""),ROW()-1652)),"")</f>
        <v/>
      </c>
      <c r="D1685" s="130" t="str">
        <f t="shared" si="87"/>
        <v/>
      </c>
      <c r="E1685" s="107" t="str">
        <f t="shared" si="86"/>
        <v/>
      </c>
      <c r="F1685" s="124"/>
      <c r="G1685" s="19"/>
      <c r="H1685" s="19"/>
      <c r="I1685" s="19"/>
      <c r="J1685" s="19"/>
      <c r="K1685" s="233"/>
    </row>
    <row r="1686" spans="1:11" ht="15">
      <c r="A1686" s="219" t="str" cm="1">
        <f t="array" ref="A1686">IFERROR(INDEX('03.Muestra'!$B$8:$B$42,SMALL(IF("Documento no web"='03.Muestra'!$D$8:$D$42,ROW('03.Muestra'!$B$8:$B$42)-MIN(ROW('03.Muestra'!$D$8:$D$42))+1,""),ROW()-1652)),"")</f>
        <v/>
      </c>
      <c r="B1686" s="114" t="str" cm="1">
        <f t="array" ref="B1686">IFERROR(INDEX('03.Muestra'!$C$8:$C$42,SMALL(IF("Documento no web"='03.Muestra'!$D$8:$D$42,ROW('03.Muestra'!$C$8:$C$42)-MIN(ROW('03.Muestra'!$D$8:$D$42))+1,""),ROW()-1652)),"")</f>
        <v/>
      </c>
      <c r="C1686" s="114" t="str" cm="1">
        <f t="array" ref="C1686">IFERROR(INDEX('03.Muestra'!$F$8:$F$42,SMALL(IF("Documento no web"='03.Muestra'!$D$8:$D$42,ROW('03.Muestra'!$F$8:$F$42)-MIN(ROW('03.Muestra'!$D$8:$D$42))+1,""),ROW()-1652)),"")</f>
        <v/>
      </c>
      <c r="D1686" s="130" t="str">
        <f t="shared" si="87"/>
        <v/>
      </c>
      <c r="E1686" s="107" t="str">
        <f t="shared" si="86"/>
        <v/>
      </c>
      <c r="F1686" s="124"/>
      <c r="G1686" s="19"/>
      <c r="H1686" s="19"/>
      <c r="I1686" s="19"/>
      <c r="J1686" s="19"/>
      <c r="K1686" s="233"/>
    </row>
    <row r="1687" spans="1:11" ht="15">
      <c r="A1687" s="219" t="str" cm="1">
        <f t="array" ref="A1687">IFERROR(INDEX('03.Muestra'!$B$8:$B$42,SMALL(IF("Documento no web"='03.Muestra'!$D$8:$D$42,ROW('03.Muestra'!$B$8:$B$42)-MIN(ROW('03.Muestra'!$D$8:$D$42))+1,""),ROW()-1652)),"")</f>
        <v/>
      </c>
      <c r="B1687" s="114" t="str" cm="1">
        <f t="array" ref="B1687">IFERROR(INDEX('03.Muestra'!$C$8:$C$42,SMALL(IF("Documento no web"='03.Muestra'!$D$8:$D$42,ROW('03.Muestra'!$C$8:$C$42)-MIN(ROW('03.Muestra'!$D$8:$D$42))+1,""),ROW()-1652)),"")</f>
        <v/>
      </c>
      <c r="C1687" s="114" t="str" cm="1">
        <f t="array" ref="C1687">IFERROR(INDEX('03.Muestra'!$F$8:$F$42,SMALL(IF("Documento no web"='03.Muestra'!$D$8:$D$42,ROW('03.Muestra'!$F$8:$F$42)-MIN(ROW('03.Muestra'!$D$8:$D$42))+1,""),ROW()-1652)),"")</f>
        <v/>
      </c>
      <c r="D1687" s="130" t="str">
        <f t="shared" si="87"/>
        <v/>
      </c>
      <c r="E1687" s="107" t="str">
        <f t="shared" si="86"/>
        <v/>
      </c>
      <c r="F1687" s="19"/>
      <c r="G1687" s="19"/>
      <c r="H1687" s="19"/>
      <c r="I1687" s="19"/>
      <c r="J1687" s="19"/>
      <c r="K1687" s="233"/>
    </row>
    <row r="1688" spans="1:11" ht="15">
      <c r="B1688" s="19"/>
      <c r="C1688" s="19"/>
      <c r="D1688" s="107"/>
      <c r="E1688" s="19"/>
      <c r="F1688" s="19"/>
      <c r="G1688" s="19"/>
      <c r="H1688" s="19"/>
      <c r="I1688" s="19"/>
      <c r="J1688" s="19"/>
      <c r="K1688" s="233"/>
    </row>
    <row r="1689" spans="1:11" ht="15">
      <c r="B1689" s="19"/>
      <c r="C1689" s="19"/>
      <c r="D1689" s="107"/>
      <c r="E1689" s="112"/>
      <c r="F1689" s="19"/>
      <c r="G1689" s="19"/>
      <c r="H1689" s="19"/>
      <c r="I1689" s="19"/>
      <c r="J1689" s="19"/>
      <c r="K1689" s="233"/>
    </row>
    <row r="1690" spans="1:11" ht="31.5">
      <c r="A1690" s="218" t="s">
        <v>268</v>
      </c>
      <c r="B1690" s="24" t="s">
        <v>90</v>
      </c>
      <c r="C1690" s="25" t="s">
        <v>466</v>
      </c>
      <c r="D1690" s="26" t="s">
        <v>32</v>
      </c>
      <c r="E1690" s="123"/>
      <c r="K1690" s="233"/>
    </row>
    <row r="1691" spans="1:11" ht="15">
      <c r="A1691" s="219" t="n" cm="1">
        <f t="array" ref="A1691">IFERROR(INDEX('03.Muestra'!$B$8:$B$42,SMALL(IF("Documento no web"='03.Muestra'!$D$8:$D$42,ROW('03.Muestra'!$B$8:$B$42)-MIN(ROW('03.Muestra'!$D$8:$D$42))+1,""),ROW()-1690)),"")</f>
        <v>1.0</v>
      </c>
      <c r="B1691" s="114" t="str" cm="1">
        <f t="array" ref="B1691">IFERROR(INDEX('03.Muestra'!$C$8:$C$42,SMALL(IF("Documento no web"='03.Muestra'!$D$8:$D$42,ROW('03.Muestra'!$C$8:$C$42)-MIN(ROW('03.Muestra'!$D$8:$D$42))+1,""),ROW()-1690)),"")</f>
        <v>Home - PortCastelló</v>
      </c>
      <c r="C1691" s="114" t="str" cm="1">
        <f t="array" ref="C1691">IFERROR(INDEX('03.Muestra'!$F$8:$F$42,SMALL(IF("Documento no web"='03.Muestra'!$D$8:$D$42,ROW('03.Muestra'!$F$8:$F$42)-MIN(ROW('03.Muestra'!$D$8:$D$42))+1,""),ROW()-1690)),"")</f>
        <v>https://www.portcastello.com/</v>
      </c>
      <c r="D1691" s="130" t="s">
        <v>33</v>
      </c>
      <c r="E1691" s="107" t="str">
        <f t="shared" ref="E1691:E1725" si="88">IF(D1691&lt;&gt;"",IF(AND(B1691&lt;&gt;"",C1691&lt;&gt;""),"","ERR"),"")</f>
        <v/>
      </c>
      <c r="F1691" s="115" t="s">
        <v>33</v>
      </c>
      <c r="G1691" s="116" t="s">
        <v>37</v>
      </c>
      <c r="H1691" s="117" t="s">
        <v>35</v>
      </c>
      <c r="I1691" s="118" t="s">
        <v>28</v>
      </c>
      <c r="J1691" s="119" t="s">
        <v>26</v>
      </c>
      <c r="K1691" s="226" t="s">
        <v>474</v>
      </c>
    </row>
    <row r="1692" spans="1:11" ht="15">
      <c r="A1692" s="219" t="n" cm="1">
        <f t="array" ref="A1692">IFERROR(INDEX('03.Muestra'!$B$8:$B$42,SMALL(IF("Documento no web"='03.Muestra'!$D$8:$D$42,ROW('03.Muestra'!$B$8:$B$42)-MIN(ROW('03.Muestra'!$D$8:$D$42))+1,""),ROW()-1690)),"")</f>
        <v>1.0</v>
      </c>
      <c r="B1692" s="114" t="str" cm="1">
        <f t="array" ref="B1692">IFERROR(INDEX('03.Muestra'!$C$8:$C$42,SMALL(IF("Documento no web"='03.Muestra'!$D$8:$D$42,ROW('03.Muestra'!$C$8:$C$42)-MIN(ROW('03.Muestra'!$D$8:$D$42))+1,""),ROW()-1690)),"")</f>
        <v>Home - PortCastelló</v>
      </c>
      <c r="C1692" s="114" t="str" cm="1">
        <f t="array" ref="C1692">IFERROR(INDEX('03.Muestra'!$F$8:$F$42,SMALL(IF("Documento no web"='03.Muestra'!$D$8:$D$42,ROW('03.Muestra'!$F$8:$F$42)-MIN(ROW('03.Muestra'!$D$8:$D$42))+1,""),ROW()-1690)),"")</f>
        <v>https://www.portcastello.com/</v>
      </c>
      <c r="D1692" s="130" t="s">
        <v>33</v>
      </c>
      <c r="E1692" s="107" t="str">
        <f t="shared" si="88"/>
        <v/>
      </c>
      <c r="F1692" s="120" t="n">
        <f ca="1">COUNTIF($D1691:INDIRECT("$D" &amp;  SUM(ROW()-1,'03.Muestra'!$D$45)-1),F1691)</f>
        <v>2.0</v>
      </c>
      <c r="G1692" s="120" t="n">
        <f ca="1">COUNTIF($D1691:INDIRECT("$D" &amp;  SUM(ROW()-1,'03.Muestra'!$D$45)-1),G1691)</f>
        <v>0.0</v>
      </c>
      <c r="H1692" s="120" t="n">
        <f ca="1">COUNTIF($D1691:INDIRECT("$D" &amp;  SUM(ROW()-1,'03.Muestra'!$D$45)-1),H1691)</f>
        <v>0.0</v>
      </c>
      <c r="I1692" s="120" t="n">
        <f ca="1">COUNTIF($D1691:INDIRECT("$D" &amp;  SUM(ROW()-1,'03.Muestra'!$D$45)-1),I1691)</f>
        <v>0.0</v>
      </c>
      <c r="J1692" s="120" t="n">
        <f ca="1">COUNTIF($D1691:INDIRECT("$D" &amp;  SUM(ROW()-1,'03.Muestra'!$D$45)-1),J1691)</f>
        <v>0.0</v>
      </c>
      <c r="K1692" s="227" t="n">
        <f ca="1">IF(COUNTIF('03.Muestra'!$D$8:$D$42,"Documento no web")=0,0,COUNTBLANK($D1691:INDIRECT("$D" &amp;  SUM(ROW()-1,COUNTIF('03.Muestra'!$D$8:$D$42,"Documento no web"))-1)))</f>
        <v>0.0</v>
      </c>
    </row>
    <row r="1693" spans="1:11" ht="15">
      <c r="A1693" s="219" t="str" cm="1">
        <f t="array" ref="A1693">IFERROR(INDEX('03.Muestra'!$B$8:$B$42,SMALL(IF("Documento no web"='03.Muestra'!$D$8:$D$42,ROW('03.Muestra'!$B$8:$B$42)-MIN(ROW('03.Muestra'!$D$8:$D$42))+1,""),ROW()-1690)),"")</f>
        <v/>
      </c>
      <c r="B1693" s="114" t="str" cm="1">
        <f t="array" ref="B1693">IFERROR(INDEX('03.Muestra'!$C$8:$C$42,SMALL(IF("Documento no web"='03.Muestra'!$D$8:$D$42,ROW('03.Muestra'!$C$8:$C$42)-MIN(ROW('03.Muestra'!$D$8:$D$42))+1,""),ROW()-1690)),"")</f>
        <v/>
      </c>
      <c r="C1693" s="114" t="str" cm="1">
        <f t="array" ref="C1693">IFERROR(INDEX('03.Muestra'!$F$8:$F$42,SMALL(IF("Documento no web"='03.Muestra'!$D$8:$D$42,ROW('03.Muestra'!$F$8:$F$42)-MIN(ROW('03.Muestra'!$D$8:$D$42))+1,""),ROW()-1690)),"")</f>
        <v/>
      </c>
      <c r="D1693" s="130" t="str">
        <f t="shared" si="89" ref="D1693:D1725">IF(AND(B1693&lt;&gt;"",C1693&lt;&gt;""),"N/T","")</f>
        <v/>
      </c>
      <c r="E1693" s="107" t="str">
        <f t="shared" si="88"/>
        <v/>
      </c>
      <c r="G1693" s="19"/>
      <c r="H1693" s="19"/>
      <c r="I1693" s="19"/>
      <c r="J1693" s="19"/>
      <c r="K1693" s="233"/>
    </row>
    <row r="1694" spans="1:11" ht="15">
      <c r="A1694" s="219" t="str" cm="1">
        <f t="array" ref="A1694">IFERROR(INDEX('03.Muestra'!$B$8:$B$42,SMALL(IF("Documento no web"='03.Muestra'!$D$8:$D$42,ROW('03.Muestra'!$B$8:$B$42)-MIN(ROW('03.Muestra'!$D$8:$D$42))+1,""),ROW()-1690)),"")</f>
        <v/>
      </c>
      <c r="B1694" s="114" t="str" cm="1">
        <f t="array" ref="B1694">IFERROR(INDEX('03.Muestra'!$C$8:$C$42,SMALL(IF("Documento no web"='03.Muestra'!$D$8:$D$42,ROW('03.Muestra'!$C$8:$C$42)-MIN(ROW('03.Muestra'!$D$8:$D$42))+1,""),ROW()-1690)),"")</f>
        <v/>
      </c>
      <c r="C1694" s="114" t="str" cm="1">
        <f t="array" ref="C1694">IFERROR(INDEX('03.Muestra'!$F$8:$F$42,SMALL(IF("Documento no web"='03.Muestra'!$D$8:$D$42,ROW('03.Muestra'!$F$8:$F$42)-MIN(ROW('03.Muestra'!$D$8:$D$42))+1,""),ROW()-1690)),"")</f>
        <v/>
      </c>
      <c r="D1694" s="130" t="str">
        <f t="shared" si="89"/>
        <v/>
      </c>
      <c r="E1694" s="107" t="str">
        <f t="shared" si="88"/>
        <v/>
      </c>
      <c r="G1694" s="19"/>
      <c r="H1694" s="19"/>
      <c r="I1694" s="19"/>
      <c r="J1694" s="19"/>
      <c r="K1694" s="233"/>
    </row>
    <row r="1695" spans="1:11" ht="15">
      <c r="A1695" s="219" t="str" cm="1">
        <f t="array" ref="A1695">IFERROR(INDEX('03.Muestra'!$B$8:$B$42,SMALL(IF("Documento no web"='03.Muestra'!$D$8:$D$42,ROW('03.Muestra'!$B$8:$B$42)-MIN(ROW('03.Muestra'!$D$8:$D$42))+1,""),ROW()-1690)),"")</f>
        <v/>
      </c>
      <c r="B1695" s="114" t="str" cm="1">
        <f t="array" ref="B1695">IFERROR(INDEX('03.Muestra'!$C$8:$C$42,SMALL(IF("Documento no web"='03.Muestra'!$D$8:$D$42,ROW('03.Muestra'!$C$8:$C$42)-MIN(ROW('03.Muestra'!$D$8:$D$42))+1,""),ROW()-1690)),"")</f>
        <v/>
      </c>
      <c r="C1695" s="114" t="str" cm="1">
        <f t="array" ref="C1695">IFERROR(INDEX('03.Muestra'!$F$8:$F$42,SMALL(IF("Documento no web"='03.Muestra'!$D$8:$D$42,ROW('03.Muestra'!$F$8:$F$42)-MIN(ROW('03.Muestra'!$D$8:$D$42))+1,""),ROW()-1690)),"")</f>
        <v/>
      </c>
      <c r="D1695" s="130" t="str">
        <f t="shared" si="89"/>
        <v/>
      </c>
      <c r="E1695" s="107" t="str">
        <f t="shared" si="88"/>
        <v/>
      </c>
      <c r="G1695" s="19"/>
      <c r="H1695" s="19"/>
      <c r="I1695" s="19"/>
      <c r="J1695" s="19"/>
      <c r="K1695" s="233"/>
    </row>
    <row r="1696" spans="1:11" ht="15">
      <c r="A1696" s="219" t="str" cm="1">
        <f t="array" ref="A1696">IFERROR(INDEX('03.Muestra'!$B$8:$B$42,SMALL(IF("Documento no web"='03.Muestra'!$D$8:$D$42,ROW('03.Muestra'!$B$8:$B$42)-MIN(ROW('03.Muestra'!$D$8:$D$42))+1,""),ROW()-1690)),"")</f>
        <v/>
      </c>
      <c r="B1696" s="114" t="str" cm="1">
        <f t="array" ref="B1696">IFERROR(INDEX('03.Muestra'!$C$8:$C$42,SMALL(IF("Documento no web"='03.Muestra'!$D$8:$D$42,ROW('03.Muestra'!$C$8:$C$42)-MIN(ROW('03.Muestra'!$D$8:$D$42))+1,""),ROW()-1690)),"")</f>
        <v/>
      </c>
      <c r="C1696" s="114" t="str" cm="1">
        <f t="array" ref="C1696">IFERROR(INDEX('03.Muestra'!$F$8:$F$42,SMALL(IF("Documento no web"='03.Muestra'!$D$8:$D$42,ROW('03.Muestra'!$F$8:$F$42)-MIN(ROW('03.Muestra'!$D$8:$D$42))+1,""),ROW()-1690)),"")</f>
        <v/>
      </c>
      <c r="D1696" s="130" t="str">
        <f t="shared" si="89"/>
        <v/>
      </c>
      <c r="E1696" s="107" t="str">
        <f t="shared" si="88"/>
        <v/>
      </c>
      <c r="G1696" s="19"/>
      <c r="H1696" s="19"/>
      <c r="I1696" s="19"/>
      <c r="J1696" s="19"/>
      <c r="K1696" s="233"/>
    </row>
    <row r="1697" spans="1:11" ht="15">
      <c r="A1697" s="219" t="str" cm="1">
        <f t="array" ref="A1697">IFERROR(INDEX('03.Muestra'!$B$8:$B$42,SMALL(IF("Documento no web"='03.Muestra'!$D$8:$D$42,ROW('03.Muestra'!$B$8:$B$42)-MIN(ROW('03.Muestra'!$D$8:$D$42))+1,""),ROW()-1690)),"")</f>
        <v/>
      </c>
      <c r="B1697" s="114" t="str" cm="1">
        <f t="array" ref="B1697">IFERROR(INDEX('03.Muestra'!$C$8:$C$42,SMALL(IF("Documento no web"='03.Muestra'!$D$8:$D$42,ROW('03.Muestra'!$C$8:$C$42)-MIN(ROW('03.Muestra'!$D$8:$D$42))+1,""),ROW()-1690)),"")</f>
        <v/>
      </c>
      <c r="C1697" s="114" t="str" cm="1">
        <f t="array" ref="C1697">IFERROR(INDEX('03.Muestra'!$F$8:$F$42,SMALL(IF("Documento no web"='03.Muestra'!$D$8:$D$42,ROW('03.Muestra'!$F$8:$F$42)-MIN(ROW('03.Muestra'!$D$8:$D$42))+1,""),ROW()-1690)),"")</f>
        <v/>
      </c>
      <c r="D1697" s="130" t="str">
        <f t="shared" si="89"/>
        <v/>
      </c>
      <c r="E1697" s="107" t="str">
        <f t="shared" si="88"/>
        <v/>
      </c>
      <c r="F1697" s="19"/>
      <c r="G1697" s="19"/>
      <c r="H1697" s="19"/>
      <c r="I1697" s="19"/>
      <c r="J1697" s="19"/>
      <c r="K1697" s="233"/>
    </row>
    <row r="1698" spans="1:11" ht="15">
      <c r="A1698" s="219" t="str" cm="1">
        <f t="array" ref="A1698">IFERROR(INDEX('03.Muestra'!$B$8:$B$42,SMALL(IF("Documento no web"='03.Muestra'!$D$8:$D$42,ROW('03.Muestra'!$B$8:$B$42)-MIN(ROW('03.Muestra'!$D$8:$D$42))+1,""),ROW()-1690)),"")</f>
        <v/>
      </c>
      <c r="B1698" s="114" t="str" cm="1">
        <f t="array" ref="B1698">IFERROR(INDEX('03.Muestra'!$C$8:$C$42,SMALL(IF("Documento no web"='03.Muestra'!$D$8:$D$42,ROW('03.Muestra'!$C$8:$C$42)-MIN(ROW('03.Muestra'!$D$8:$D$42))+1,""),ROW()-1690)),"")</f>
        <v/>
      </c>
      <c r="C1698" s="114" t="str" cm="1">
        <f t="array" ref="C1698">IFERROR(INDEX('03.Muestra'!$F$8:$F$42,SMALL(IF("Documento no web"='03.Muestra'!$D$8:$D$42,ROW('03.Muestra'!$F$8:$F$42)-MIN(ROW('03.Muestra'!$D$8:$D$42))+1,""),ROW()-1690)),"")</f>
        <v/>
      </c>
      <c r="D1698" s="130" t="str">
        <f t="shared" si="89"/>
        <v/>
      </c>
      <c r="E1698" s="107" t="str">
        <f t="shared" si="88"/>
        <v/>
      </c>
      <c r="F1698" s="19"/>
      <c r="G1698" s="19"/>
      <c r="H1698" s="19"/>
      <c r="I1698" s="19"/>
      <c r="J1698" s="19"/>
      <c r="K1698" s="233"/>
    </row>
    <row r="1699" spans="1:11" ht="15">
      <c r="A1699" s="219" t="str" cm="1">
        <f t="array" ref="A1699">IFERROR(INDEX('03.Muestra'!$B$8:$B$42,SMALL(IF("Documento no web"='03.Muestra'!$D$8:$D$42,ROW('03.Muestra'!$B$8:$B$42)-MIN(ROW('03.Muestra'!$D$8:$D$42))+1,""),ROW()-1690)),"")</f>
        <v/>
      </c>
      <c r="B1699" s="114" t="str" cm="1">
        <f t="array" ref="B1699">IFERROR(INDEX('03.Muestra'!$C$8:$C$42,SMALL(IF("Documento no web"='03.Muestra'!$D$8:$D$42,ROW('03.Muestra'!$C$8:$C$42)-MIN(ROW('03.Muestra'!$D$8:$D$42))+1,""),ROW()-1690)),"")</f>
        <v/>
      </c>
      <c r="C1699" s="114" t="str" cm="1">
        <f t="array" ref="C1699">IFERROR(INDEX('03.Muestra'!$F$8:$F$42,SMALL(IF("Documento no web"='03.Muestra'!$D$8:$D$42,ROW('03.Muestra'!$F$8:$F$42)-MIN(ROW('03.Muestra'!$D$8:$D$42))+1,""),ROW()-1690)),"")</f>
        <v/>
      </c>
      <c r="D1699" s="130" t="str">
        <f t="shared" si="89"/>
        <v/>
      </c>
      <c r="E1699" s="107" t="str">
        <f t="shared" si="88"/>
        <v/>
      </c>
      <c r="F1699" s="19"/>
      <c r="G1699" s="19"/>
      <c r="H1699" s="19"/>
      <c r="I1699" s="19"/>
      <c r="J1699" s="19"/>
      <c r="K1699" s="233"/>
    </row>
    <row r="1700" spans="1:11" ht="15">
      <c r="A1700" s="219" t="str" cm="1">
        <f t="array" ref="A1700">IFERROR(INDEX('03.Muestra'!$B$8:$B$42,SMALL(IF("Documento no web"='03.Muestra'!$D$8:$D$42,ROW('03.Muestra'!$B$8:$B$42)-MIN(ROW('03.Muestra'!$D$8:$D$42))+1,""),ROW()-1690)),"")</f>
        <v/>
      </c>
      <c r="B1700" s="114" t="str" cm="1">
        <f t="array" ref="B1700">IFERROR(INDEX('03.Muestra'!$C$8:$C$42,SMALL(IF("Documento no web"='03.Muestra'!$D$8:$D$42,ROW('03.Muestra'!$C$8:$C$42)-MIN(ROW('03.Muestra'!$D$8:$D$42))+1,""),ROW()-1690)),"")</f>
        <v/>
      </c>
      <c r="C1700" s="114" t="str" cm="1">
        <f t="array" ref="C1700">IFERROR(INDEX('03.Muestra'!$F$8:$F$42,SMALL(IF("Documento no web"='03.Muestra'!$D$8:$D$42,ROW('03.Muestra'!$F$8:$F$42)-MIN(ROW('03.Muestra'!$D$8:$D$42))+1,""),ROW()-1690)),"")</f>
        <v/>
      </c>
      <c r="D1700" s="130" t="str">
        <f t="shared" si="89"/>
        <v/>
      </c>
      <c r="E1700" s="107" t="str">
        <f t="shared" si="88"/>
        <v/>
      </c>
      <c r="F1700" s="19"/>
      <c r="G1700" s="19"/>
      <c r="H1700" s="19"/>
      <c r="I1700" s="19"/>
      <c r="J1700" s="19"/>
      <c r="K1700" s="233"/>
    </row>
    <row r="1701" spans="1:11" ht="15">
      <c r="A1701" s="219" t="str" cm="1">
        <f t="array" ref="A1701">IFERROR(INDEX('03.Muestra'!$B$8:$B$42,SMALL(IF("Documento no web"='03.Muestra'!$D$8:$D$42,ROW('03.Muestra'!$B$8:$B$42)-MIN(ROW('03.Muestra'!$D$8:$D$42))+1,""),ROW()-1690)),"")</f>
        <v/>
      </c>
      <c r="B1701" s="114" t="str" cm="1">
        <f t="array" ref="B1701">IFERROR(INDEX('03.Muestra'!$C$8:$C$42,SMALL(IF("Documento no web"='03.Muestra'!$D$8:$D$42,ROW('03.Muestra'!$C$8:$C$42)-MIN(ROW('03.Muestra'!$D$8:$D$42))+1,""),ROW()-1690)),"")</f>
        <v/>
      </c>
      <c r="C1701" s="114" t="str" cm="1">
        <f t="array" ref="C1701">IFERROR(INDEX('03.Muestra'!$F$8:$F$42,SMALL(IF("Documento no web"='03.Muestra'!$D$8:$D$42,ROW('03.Muestra'!$F$8:$F$42)-MIN(ROW('03.Muestra'!$D$8:$D$42))+1,""),ROW()-1690)),"")</f>
        <v/>
      </c>
      <c r="D1701" s="130" t="str">
        <f t="shared" si="89"/>
        <v/>
      </c>
      <c r="E1701" s="107" t="str">
        <f t="shared" si="88"/>
        <v/>
      </c>
      <c r="F1701" s="19"/>
      <c r="G1701" s="19"/>
      <c r="H1701" s="19"/>
      <c r="I1701" s="19"/>
      <c r="J1701" s="19"/>
      <c r="K1701" s="233"/>
    </row>
    <row r="1702" spans="1:11" ht="15">
      <c r="A1702" s="219" t="str" cm="1">
        <f t="array" ref="A1702">IFERROR(INDEX('03.Muestra'!$B$8:$B$42,SMALL(IF("Documento no web"='03.Muestra'!$D$8:$D$42,ROW('03.Muestra'!$B$8:$B$42)-MIN(ROW('03.Muestra'!$D$8:$D$42))+1,""),ROW()-1690)),"")</f>
        <v/>
      </c>
      <c r="B1702" s="114" t="str" cm="1">
        <f t="array" ref="B1702">IFERROR(INDEX('03.Muestra'!$C$8:$C$42,SMALL(IF("Documento no web"='03.Muestra'!$D$8:$D$42,ROW('03.Muestra'!$C$8:$C$42)-MIN(ROW('03.Muestra'!$D$8:$D$42))+1,""),ROW()-1690)),"")</f>
        <v/>
      </c>
      <c r="C1702" s="114" t="str" cm="1">
        <f t="array" ref="C1702">IFERROR(INDEX('03.Muestra'!$F$8:$F$42,SMALL(IF("Documento no web"='03.Muestra'!$D$8:$D$42,ROW('03.Muestra'!$F$8:$F$42)-MIN(ROW('03.Muestra'!$D$8:$D$42))+1,""),ROW()-1690)),"")</f>
        <v/>
      </c>
      <c r="D1702" s="130" t="str">
        <f t="shared" si="89"/>
        <v/>
      </c>
      <c r="E1702" s="107" t="str">
        <f t="shared" si="88"/>
        <v/>
      </c>
      <c r="F1702" s="19"/>
      <c r="G1702" s="19"/>
      <c r="H1702" s="19"/>
      <c r="I1702" s="19"/>
      <c r="J1702" s="19"/>
      <c r="K1702" s="233"/>
    </row>
    <row r="1703" spans="1:11" ht="15">
      <c r="A1703" s="219" t="str" cm="1">
        <f t="array" ref="A1703">IFERROR(INDEX('03.Muestra'!$B$8:$B$42,SMALL(IF("Documento no web"='03.Muestra'!$D$8:$D$42,ROW('03.Muestra'!$B$8:$B$42)-MIN(ROW('03.Muestra'!$D$8:$D$42))+1,""),ROW()-1690)),"")</f>
        <v/>
      </c>
      <c r="B1703" s="114" t="str" cm="1">
        <f t="array" ref="B1703">IFERROR(INDEX('03.Muestra'!$C$8:$C$42,SMALL(IF("Documento no web"='03.Muestra'!$D$8:$D$42,ROW('03.Muestra'!$C$8:$C$42)-MIN(ROW('03.Muestra'!$D$8:$D$42))+1,""),ROW()-1690)),"")</f>
        <v/>
      </c>
      <c r="C1703" s="114" t="str" cm="1">
        <f t="array" ref="C1703">IFERROR(INDEX('03.Muestra'!$F$8:$F$42,SMALL(IF("Documento no web"='03.Muestra'!$D$8:$D$42,ROW('03.Muestra'!$F$8:$F$42)-MIN(ROW('03.Muestra'!$D$8:$D$42))+1,""),ROW()-1690)),"")</f>
        <v/>
      </c>
      <c r="D1703" s="130" t="str">
        <f t="shared" si="89"/>
        <v/>
      </c>
      <c r="E1703" s="107" t="str">
        <f t="shared" si="88"/>
        <v/>
      </c>
      <c r="F1703" s="19"/>
      <c r="G1703" s="19"/>
      <c r="H1703" s="19"/>
      <c r="I1703" s="19"/>
      <c r="J1703" s="19"/>
      <c r="K1703" s="233"/>
    </row>
    <row r="1704" spans="1:11" ht="15">
      <c r="A1704" s="219" t="str" cm="1">
        <f t="array" ref="A1704">IFERROR(INDEX('03.Muestra'!$B$8:$B$42,SMALL(IF("Documento no web"='03.Muestra'!$D$8:$D$42,ROW('03.Muestra'!$B$8:$B$42)-MIN(ROW('03.Muestra'!$D$8:$D$42))+1,""),ROW()-1690)),"")</f>
        <v/>
      </c>
      <c r="B1704" s="114" t="str" cm="1">
        <f t="array" ref="B1704">IFERROR(INDEX('03.Muestra'!$C$8:$C$42,SMALL(IF("Documento no web"='03.Muestra'!$D$8:$D$42,ROW('03.Muestra'!$C$8:$C$42)-MIN(ROW('03.Muestra'!$D$8:$D$42))+1,""),ROW()-1690)),"")</f>
        <v/>
      </c>
      <c r="C1704" s="114" t="str" cm="1">
        <f t="array" ref="C1704">IFERROR(INDEX('03.Muestra'!$F$8:$F$42,SMALL(IF("Documento no web"='03.Muestra'!$D$8:$D$42,ROW('03.Muestra'!$F$8:$F$42)-MIN(ROW('03.Muestra'!$D$8:$D$42))+1,""),ROW()-1690)),"")</f>
        <v/>
      </c>
      <c r="D1704" s="130" t="str">
        <f t="shared" si="89"/>
        <v/>
      </c>
      <c r="E1704" s="107" t="str">
        <f t="shared" si="88"/>
        <v/>
      </c>
      <c r="F1704" s="19"/>
      <c r="G1704" s="19"/>
      <c r="H1704" s="19"/>
      <c r="I1704" s="19"/>
      <c r="J1704" s="19"/>
      <c r="K1704" s="233"/>
    </row>
    <row r="1705" spans="1:11" ht="15">
      <c r="A1705" s="219" t="str" cm="1">
        <f t="array" ref="A1705">IFERROR(INDEX('03.Muestra'!$B$8:$B$42,SMALL(IF("Documento no web"='03.Muestra'!$D$8:$D$42,ROW('03.Muestra'!$B$8:$B$42)-MIN(ROW('03.Muestra'!$D$8:$D$42))+1,""),ROW()-1690)),"")</f>
        <v/>
      </c>
      <c r="B1705" s="114" t="str" cm="1">
        <f t="array" ref="B1705">IFERROR(INDEX('03.Muestra'!$C$8:$C$42,SMALL(IF("Documento no web"='03.Muestra'!$D$8:$D$42,ROW('03.Muestra'!$C$8:$C$42)-MIN(ROW('03.Muestra'!$D$8:$D$42))+1,""),ROW()-1690)),"")</f>
        <v/>
      </c>
      <c r="C1705" s="114" t="str" cm="1">
        <f t="array" ref="C1705">IFERROR(INDEX('03.Muestra'!$F$8:$F$42,SMALL(IF("Documento no web"='03.Muestra'!$D$8:$D$42,ROW('03.Muestra'!$F$8:$F$42)-MIN(ROW('03.Muestra'!$D$8:$D$42))+1,""),ROW()-1690)),"")</f>
        <v/>
      </c>
      <c r="D1705" s="130" t="str">
        <f t="shared" si="89"/>
        <v/>
      </c>
      <c r="E1705" s="107" t="str">
        <f t="shared" si="88"/>
        <v/>
      </c>
      <c r="F1705" s="19"/>
      <c r="G1705" s="19"/>
      <c r="H1705" s="19"/>
      <c r="I1705" s="19"/>
      <c r="J1705" s="19"/>
      <c r="K1705" s="233"/>
    </row>
    <row r="1706" spans="1:11" ht="15">
      <c r="A1706" s="219" t="str" cm="1">
        <f t="array" ref="A1706">IFERROR(INDEX('03.Muestra'!$B$8:$B$42,SMALL(IF("Documento no web"='03.Muestra'!$D$8:$D$42,ROW('03.Muestra'!$B$8:$B$42)-MIN(ROW('03.Muestra'!$D$8:$D$42))+1,""),ROW()-1690)),"")</f>
        <v/>
      </c>
      <c r="B1706" s="114" t="str" cm="1">
        <f t="array" ref="B1706">IFERROR(INDEX('03.Muestra'!$C$8:$C$42,SMALL(IF("Documento no web"='03.Muestra'!$D$8:$D$42,ROW('03.Muestra'!$C$8:$C$42)-MIN(ROW('03.Muestra'!$D$8:$D$42))+1,""),ROW()-1690)),"")</f>
        <v/>
      </c>
      <c r="C1706" s="114" t="str" cm="1">
        <f t="array" ref="C1706">IFERROR(INDEX('03.Muestra'!$F$8:$F$42,SMALL(IF("Documento no web"='03.Muestra'!$D$8:$D$42,ROW('03.Muestra'!$F$8:$F$42)-MIN(ROW('03.Muestra'!$D$8:$D$42))+1,""),ROW()-1690)),"")</f>
        <v/>
      </c>
      <c r="D1706" s="130" t="str">
        <f t="shared" si="89"/>
        <v/>
      </c>
      <c r="E1706" s="107" t="str">
        <f t="shared" si="88"/>
        <v/>
      </c>
      <c r="F1706" s="19"/>
      <c r="G1706" s="19"/>
      <c r="H1706" s="19"/>
      <c r="I1706" s="19"/>
      <c r="J1706" s="19"/>
      <c r="K1706" s="233"/>
    </row>
    <row r="1707" spans="1:11" ht="15">
      <c r="A1707" s="219" t="str" cm="1">
        <f t="array" ref="A1707">IFERROR(INDEX('03.Muestra'!$B$8:$B$42,SMALL(IF("Documento no web"='03.Muestra'!$D$8:$D$42,ROW('03.Muestra'!$B$8:$B$42)-MIN(ROW('03.Muestra'!$D$8:$D$42))+1,""),ROW()-1690)),"")</f>
        <v/>
      </c>
      <c r="B1707" s="114" t="str" cm="1">
        <f t="array" ref="B1707">IFERROR(INDEX('03.Muestra'!$C$8:$C$42,SMALL(IF("Documento no web"='03.Muestra'!$D$8:$D$42,ROW('03.Muestra'!$C$8:$C$42)-MIN(ROW('03.Muestra'!$D$8:$D$42))+1,""),ROW()-1690)),"")</f>
        <v/>
      </c>
      <c r="C1707" s="114" t="str" cm="1">
        <f t="array" ref="C1707">IFERROR(INDEX('03.Muestra'!$F$8:$F$42,SMALL(IF("Documento no web"='03.Muestra'!$D$8:$D$42,ROW('03.Muestra'!$F$8:$F$42)-MIN(ROW('03.Muestra'!$D$8:$D$42))+1,""),ROW()-1690)),"")</f>
        <v/>
      </c>
      <c r="D1707" s="130" t="str">
        <f t="shared" si="89"/>
        <v/>
      </c>
      <c r="E1707" s="107" t="str">
        <f t="shared" si="88"/>
        <v/>
      </c>
      <c r="F1707" s="19"/>
      <c r="G1707" s="19"/>
      <c r="H1707" s="19"/>
      <c r="I1707" s="19"/>
      <c r="J1707" s="19"/>
      <c r="K1707" s="233"/>
    </row>
    <row r="1708" spans="1:11" ht="15">
      <c r="A1708" s="219" t="str" cm="1">
        <f t="array" ref="A1708">IFERROR(INDEX('03.Muestra'!$B$8:$B$42,SMALL(IF("Documento no web"='03.Muestra'!$D$8:$D$42,ROW('03.Muestra'!$B$8:$B$42)-MIN(ROW('03.Muestra'!$D$8:$D$42))+1,""),ROW()-1690)),"")</f>
        <v/>
      </c>
      <c r="B1708" s="114" t="str" cm="1">
        <f t="array" ref="B1708">IFERROR(INDEX('03.Muestra'!$C$8:$C$42,SMALL(IF("Documento no web"='03.Muestra'!$D$8:$D$42,ROW('03.Muestra'!$C$8:$C$42)-MIN(ROW('03.Muestra'!$D$8:$D$42))+1,""),ROW()-1690)),"")</f>
        <v/>
      </c>
      <c r="C1708" s="114" t="str" cm="1">
        <f t="array" ref="C1708">IFERROR(INDEX('03.Muestra'!$F$8:$F$42,SMALL(IF("Documento no web"='03.Muestra'!$D$8:$D$42,ROW('03.Muestra'!$F$8:$F$42)-MIN(ROW('03.Muestra'!$D$8:$D$42))+1,""),ROW()-1690)),"")</f>
        <v/>
      </c>
      <c r="D1708" s="130" t="str">
        <f t="shared" si="89"/>
        <v/>
      </c>
      <c r="E1708" s="107" t="str">
        <f t="shared" si="88"/>
        <v/>
      </c>
      <c r="F1708" s="19"/>
      <c r="G1708" s="19"/>
      <c r="H1708" s="19"/>
      <c r="I1708" s="19"/>
      <c r="J1708" s="19"/>
      <c r="K1708" s="233"/>
    </row>
    <row r="1709" spans="1:11" ht="15">
      <c r="A1709" s="219" t="str" cm="1">
        <f t="array" ref="A1709">IFERROR(INDEX('03.Muestra'!$B$8:$B$42,SMALL(IF("Documento no web"='03.Muestra'!$D$8:$D$42,ROW('03.Muestra'!$B$8:$B$42)-MIN(ROW('03.Muestra'!$D$8:$D$42))+1,""),ROW()-1690)),"")</f>
        <v/>
      </c>
      <c r="B1709" s="114" t="str" cm="1">
        <f t="array" ref="B1709">IFERROR(INDEX('03.Muestra'!$C$8:$C$42,SMALL(IF("Documento no web"='03.Muestra'!$D$8:$D$42,ROW('03.Muestra'!$C$8:$C$42)-MIN(ROW('03.Muestra'!$D$8:$D$42))+1,""),ROW()-1690)),"")</f>
        <v/>
      </c>
      <c r="C1709" s="114" t="str" cm="1">
        <f t="array" ref="C1709">IFERROR(INDEX('03.Muestra'!$F$8:$F$42,SMALL(IF("Documento no web"='03.Muestra'!$D$8:$D$42,ROW('03.Muestra'!$F$8:$F$42)-MIN(ROW('03.Muestra'!$D$8:$D$42))+1,""),ROW()-1690)),"")</f>
        <v/>
      </c>
      <c r="D1709" s="130" t="str">
        <f t="shared" si="89"/>
        <v/>
      </c>
      <c r="E1709" s="107" t="str">
        <f t="shared" si="88"/>
        <v/>
      </c>
      <c r="F1709" s="19"/>
      <c r="G1709" s="19"/>
      <c r="H1709" s="19"/>
      <c r="I1709" s="19"/>
      <c r="J1709" s="19"/>
      <c r="K1709" s="233"/>
    </row>
    <row r="1710" spans="1:11" ht="15">
      <c r="A1710" s="219" t="str" cm="1">
        <f t="array" ref="A1710">IFERROR(INDEX('03.Muestra'!$B$8:$B$42,SMALL(IF("Documento no web"='03.Muestra'!$D$8:$D$42,ROW('03.Muestra'!$B$8:$B$42)-MIN(ROW('03.Muestra'!$D$8:$D$42))+1,""),ROW()-1690)),"")</f>
        <v/>
      </c>
      <c r="B1710" s="114" t="str" cm="1">
        <f t="array" ref="B1710">IFERROR(INDEX('03.Muestra'!$C$8:$C$42,SMALL(IF("Documento no web"='03.Muestra'!$D$8:$D$42,ROW('03.Muestra'!$C$8:$C$42)-MIN(ROW('03.Muestra'!$D$8:$D$42))+1,""),ROW()-1690)),"")</f>
        <v/>
      </c>
      <c r="C1710" s="114" t="str" cm="1">
        <f t="array" ref="C1710">IFERROR(INDEX('03.Muestra'!$F$8:$F$42,SMALL(IF("Documento no web"='03.Muestra'!$D$8:$D$42,ROW('03.Muestra'!$F$8:$F$42)-MIN(ROW('03.Muestra'!$D$8:$D$42))+1,""),ROW()-1690)),"")</f>
        <v/>
      </c>
      <c r="D1710" s="130" t="str">
        <f t="shared" si="89"/>
        <v/>
      </c>
      <c r="E1710" s="107" t="str">
        <f t="shared" si="88"/>
        <v/>
      </c>
      <c r="F1710" s="19"/>
      <c r="G1710" s="19"/>
      <c r="H1710" s="19"/>
      <c r="I1710" s="19"/>
      <c r="J1710" s="19"/>
      <c r="K1710" s="233"/>
    </row>
    <row r="1711" spans="1:11" ht="15">
      <c r="A1711" s="219" t="str" cm="1">
        <f t="array" ref="A1711">IFERROR(INDEX('03.Muestra'!$B$8:$B$42,SMALL(IF("Documento no web"='03.Muestra'!$D$8:$D$42,ROW('03.Muestra'!$B$8:$B$42)-MIN(ROW('03.Muestra'!$D$8:$D$42))+1,""),ROW()-1690)),"")</f>
        <v/>
      </c>
      <c r="B1711" s="114" t="str" cm="1">
        <f t="array" ref="B1711">IFERROR(INDEX('03.Muestra'!$C$8:$C$42,SMALL(IF("Documento no web"='03.Muestra'!$D$8:$D$42,ROW('03.Muestra'!$C$8:$C$42)-MIN(ROW('03.Muestra'!$D$8:$D$42))+1,""),ROW()-1690)),"")</f>
        <v/>
      </c>
      <c r="C1711" s="114" t="str" cm="1">
        <f t="array" ref="C1711">IFERROR(INDEX('03.Muestra'!$F$8:$F$42,SMALL(IF("Documento no web"='03.Muestra'!$D$8:$D$42,ROW('03.Muestra'!$F$8:$F$42)-MIN(ROW('03.Muestra'!$D$8:$D$42))+1,""),ROW()-1690)),"")</f>
        <v/>
      </c>
      <c r="D1711" s="130" t="str">
        <f t="shared" si="89"/>
        <v/>
      </c>
      <c r="E1711" s="107" t="str">
        <f t="shared" si="88"/>
        <v/>
      </c>
      <c r="F1711" s="19"/>
      <c r="G1711" s="19"/>
      <c r="H1711" s="19"/>
      <c r="I1711" s="19"/>
      <c r="J1711" s="19"/>
      <c r="K1711" s="233"/>
    </row>
    <row r="1712" spans="1:11" ht="15">
      <c r="A1712" s="219" t="str" cm="1">
        <f t="array" ref="A1712">IFERROR(INDEX('03.Muestra'!$B$8:$B$42,SMALL(IF("Documento no web"='03.Muestra'!$D$8:$D$42,ROW('03.Muestra'!$B$8:$B$42)-MIN(ROW('03.Muestra'!$D$8:$D$42))+1,""),ROW()-1690)),"")</f>
        <v/>
      </c>
      <c r="B1712" s="114" t="str" cm="1">
        <f t="array" ref="B1712">IFERROR(INDEX('03.Muestra'!$C$8:$C$42,SMALL(IF("Documento no web"='03.Muestra'!$D$8:$D$42,ROW('03.Muestra'!$C$8:$C$42)-MIN(ROW('03.Muestra'!$D$8:$D$42))+1,""),ROW()-1690)),"")</f>
        <v/>
      </c>
      <c r="C1712" s="114" t="str" cm="1">
        <f t="array" ref="C1712">IFERROR(INDEX('03.Muestra'!$F$8:$F$42,SMALL(IF("Documento no web"='03.Muestra'!$D$8:$D$42,ROW('03.Muestra'!$F$8:$F$42)-MIN(ROW('03.Muestra'!$D$8:$D$42))+1,""),ROW()-1690)),"")</f>
        <v/>
      </c>
      <c r="D1712" s="130" t="str">
        <f t="shared" si="89"/>
        <v/>
      </c>
      <c r="E1712" s="107" t="str">
        <f t="shared" si="88"/>
        <v/>
      </c>
      <c r="F1712" s="19"/>
      <c r="G1712" s="19"/>
      <c r="H1712" s="19"/>
      <c r="I1712" s="19"/>
      <c r="J1712" s="19"/>
      <c r="K1712" s="233"/>
    </row>
    <row r="1713" spans="1:11" ht="15">
      <c r="A1713" s="219" t="str" cm="1">
        <f t="array" ref="A1713">IFERROR(INDEX('03.Muestra'!$B$8:$B$42,SMALL(IF("Documento no web"='03.Muestra'!$D$8:$D$42,ROW('03.Muestra'!$B$8:$B$42)-MIN(ROW('03.Muestra'!$D$8:$D$42))+1,""),ROW()-1690)),"")</f>
        <v/>
      </c>
      <c r="B1713" s="114" t="str" cm="1">
        <f t="array" ref="B1713">IFERROR(INDEX('03.Muestra'!$C$8:$C$42,SMALL(IF("Documento no web"='03.Muestra'!$D$8:$D$42,ROW('03.Muestra'!$C$8:$C$42)-MIN(ROW('03.Muestra'!$D$8:$D$42))+1,""),ROW()-1690)),"")</f>
        <v/>
      </c>
      <c r="C1713" s="114" t="str" cm="1">
        <f t="array" ref="C1713">IFERROR(INDEX('03.Muestra'!$F$8:$F$42,SMALL(IF("Documento no web"='03.Muestra'!$D$8:$D$42,ROW('03.Muestra'!$F$8:$F$42)-MIN(ROW('03.Muestra'!$D$8:$D$42))+1,""),ROW()-1690)),"")</f>
        <v/>
      </c>
      <c r="D1713" s="130" t="str">
        <f t="shared" si="89"/>
        <v/>
      </c>
      <c r="E1713" s="107" t="str">
        <f t="shared" si="88"/>
        <v/>
      </c>
      <c r="F1713" s="19"/>
      <c r="G1713" s="19"/>
      <c r="H1713" s="19"/>
      <c r="I1713" s="19"/>
      <c r="J1713" s="19"/>
      <c r="K1713" s="233"/>
    </row>
    <row r="1714" spans="1:11" ht="15">
      <c r="A1714" s="219" t="str" cm="1">
        <f t="array" ref="A1714">IFERROR(INDEX('03.Muestra'!$B$8:$B$42,SMALL(IF("Documento no web"='03.Muestra'!$D$8:$D$42,ROW('03.Muestra'!$B$8:$B$42)-MIN(ROW('03.Muestra'!$D$8:$D$42))+1,""),ROW()-1690)),"")</f>
        <v/>
      </c>
      <c r="B1714" s="114" t="str" cm="1">
        <f t="array" ref="B1714">IFERROR(INDEX('03.Muestra'!$C$8:$C$42,SMALL(IF("Documento no web"='03.Muestra'!$D$8:$D$42,ROW('03.Muestra'!$C$8:$C$42)-MIN(ROW('03.Muestra'!$D$8:$D$42))+1,""),ROW()-1690)),"")</f>
        <v/>
      </c>
      <c r="C1714" s="114" t="str" cm="1">
        <f t="array" ref="C1714">IFERROR(INDEX('03.Muestra'!$F$8:$F$42,SMALL(IF("Documento no web"='03.Muestra'!$D$8:$D$42,ROW('03.Muestra'!$F$8:$F$42)-MIN(ROW('03.Muestra'!$D$8:$D$42))+1,""),ROW()-1690)),"")</f>
        <v/>
      </c>
      <c r="D1714" s="130" t="str">
        <f t="shared" si="89"/>
        <v/>
      </c>
      <c r="E1714" s="107" t="str">
        <f t="shared" si="88"/>
        <v/>
      </c>
      <c r="F1714" s="19"/>
      <c r="G1714" s="19"/>
      <c r="H1714" s="19"/>
      <c r="I1714" s="19"/>
      <c r="J1714" s="19"/>
      <c r="K1714" s="233"/>
    </row>
    <row r="1715" spans="1:11" ht="15">
      <c r="A1715" s="219" t="str" cm="1">
        <f t="array" ref="A1715">IFERROR(INDEX('03.Muestra'!$B$8:$B$42,SMALL(IF("Documento no web"='03.Muestra'!$D$8:$D$42,ROW('03.Muestra'!$B$8:$B$42)-MIN(ROW('03.Muestra'!$D$8:$D$42))+1,""),ROW()-1690)),"")</f>
        <v/>
      </c>
      <c r="B1715" s="114" t="str" cm="1">
        <f t="array" ref="B1715">IFERROR(INDEX('03.Muestra'!$C$8:$C$42,SMALL(IF("Documento no web"='03.Muestra'!$D$8:$D$42,ROW('03.Muestra'!$C$8:$C$42)-MIN(ROW('03.Muestra'!$D$8:$D$42))+1,""),ROW()-1690)),"")</f>
        <v/>
      </c>
      <c r="C1715" s="114" t="str" cm="1">
        <f t="array" ref="C1715">IFERROR(INDEX('03.Muestra'!$F$8:$F$42,SMALL(IF("Documento no web"='03.Muestra'!$D$8:$D$42,ROW('03.Muestra'!$F$8:$F$42)-MIN(ROW('03.Muestra'!$D$8:$D$42))+1,""),ROW()-1690)),"")</f>
        <v/>
      </c>
      <c r="D1715" s="130" t="str">
        <f t="shared" si="89"/>
        <v/>
      </c>
      <c r="E1715" s="107" t="str">
        <f t="shared" si="88"/>
        <v/>
      </c>
      <c r="F1715" s="19"/>
      <c r="G1715" s="19"/>
      <c r="H1715" s="19"/>
      <c r="I1715" s="19"/>
      <c r="J1715" s="19"/>
      <c r="K1715" s="233"/>
    </row>
    <row r="1716" spans="1:11" ht="15">
      <c r="A1716" s="219" t="str" cm="1">
        <f t="array" ref="A1716">IFERROR(INDEX('03.Muestra'!$B$8:$B$42,SMALL(IF("Documento no web"='03.Muestra'!$D$8:$D$42,ROW('03.Muestra'!$B$8:$B$42)-MIN(ROW('03.Muestra'!$D$8:$D$42))+1,""),ROW()-1690)),"")</f>
        <v/>
      </c>
      <c r="B1716" s="114" t="str" cm="1">
        <f t="array" ref="B1716">IFERROR(INDEX('03.Muestra'!$C$8:$C$42,SMALL(IF("Documento no web"='03.Muestra'!$D$8:$D$42,ROW('03.Muestra'!$C$8:$C$42)-MIN(ROW('03.Muestra'!$D$8:$D$42))+1,""),ROW()-1690)),"")</f>
        <v/>
      </c>
      <c r="C1716" s="114" t="str" cm="1">
        <f t="array" ref="C1716">IFERROR(INDEX('03.Muestra'!$F$8:$F$42,SMALL(IF("Documento no web"='03.Muestra'!$D$8:$D$42,ROW('03.Muestra'!$F$8:$F$42)-MIN(ROW('03.Muestra'!$D$8:$D$42))+1,""),ROW()-1690)),"")</f>
        <v/>
      </c>
      <c r="D1716" s="130" t="str">
        <f t="shared" si="89"/>
        <v/>
      </c>
      <c r="E1716" s="107" t="str">
        <f t="shared" si="88"/>
        <v/>
      </c>
      <c r="F1716" s="19"/>
      <c r="G1716" s="19"/>
      <c r="H1716" s="19"/>
      <c r="I1716" s="19"/>
      <c r="J1716" s="19"/>
      <c r="K1716" s="233"/>
    </row>
    <row r="1717" spans="1:11" ht="15">
      <c r="A1717" s="219" t="str" cm="1">
        <f t="array" ref="A1717">IFERROR(INDEX('03.Muestra'!$B$8:$B$42,SMALL(IF("Documento no web"='03.Muestra'!$D$8:$D$42,ROW('03.Muestra'!$B$8:$B$42)-MIN(ROW('03.Muestra'!$D$8:$D$42))+1,""),ROW()-1690)),"")</f>
        <v/>
      </c>
      <c r="B1717" s="114" t="str" cm="1">
        <f t="array" ref="B1717">IFERROR(INDEX('03.Muestra'!$C$8:$C$42,SMALL(IF("Documento no web"='03.Muestra'!$D$8:$D$42,ROW('03.Muestra'!$C$8:$C$42)-MIN(ROW('03.Muestra'!$D$8:$D$42))+1,""),ROW()-1690)),"")</f>
        <v/>
      </c>
      <c r="C1717" s="114" t="str" cm="1">
        <f t="array" ref="C1717">IFERROR(INDEX('03.Muestra'!$F$8:$F$42,SMALL(IF("Documento no web"='03.Muestra'!$D$8:$D$42,ROW('03.Muestra'!$F$8:$F$42)-MIN(ROW('03.Muestra'!$D$8:$D$42))+1,""),ROW()-1690)),"")</f>
        <v/>
      </c>
      <c r="D1717" s="130" t="str">
        <f t="shared" si="89"/>
        <v/>
      </c>
      <c r="E1717" s="107" t="str">
        <f t="shared" si="88"/>
        <v/>
      </c>
      <c r="F1717" s="19"/>
      <c r="G1717" s="19"/>
      <c r="H1717" s="19"/>
      <c r="I1717" s="19"/>
      <c r="J1717" s="19"/>
      <c r="K1717" s="233"/>
    </row>
    <row r="1718" spans="1:11" ht="15">
      <c r="A1718" s="219" t="str" cm="1">
        <f t="array" ref="A1718">IFERROR(INDEX('03.Muestra'!$B$8:$B$42,SMALL(IF("Documento no web"='03.Muestra'!$D$8:$D$42,ROW('03.Muestra'!$B$8:$B$42)-MIN(ROW('03.Muestra'!$D$8:$D$42))+1,""),ROW()-1690)),"")</f>
        <v/>
      </c>
      <c r="B1718" s="114" t="str" cm="1">
        <f t="array" ref="B1718">IFERROR(INDEX('03.Muestra'!$C$8:$C$42,SMALL(IF("Documento no web"='03.Muestra'!$D$8:$D$42,ROW('03.Muestra'!$C$8:$C$42)-MIN(ROW('03.Muestra'!$D$8:$D$42))+1,""),ROW()-1690)),"")</f>
        <v/>
      </c>
      <c r="C1718" s="114" t="str" cm="1">
        <f t="array" ref="C1718">IFERROR(INDEX('03.Muestra'!$F$8:$F$42,SMALL(IF("Documento no web"='03.Muestra'!$D$8:$D$42,ROW('03.Muestra'!$F$8:$F$42)-MIN(ROW('03.Muestra'!$D$8:$D$42))+1,""),ROW()-1690)),"")</f>
        <v/>
      </c>
      <c r="D1718" s="130" t="str">
        <f t="shared" si="89"/>
        <v/>
      </c>
      <c r="E1718" s="107" t="str">
        <f t="shared" si="88"/>
        <v/>
      </c>
      <c r="G1718" s="19"/>
      <c r="H1718" s="19"/>
      <c r="I1718" s="19"/>
      <c r="J1718" s="19"/>
      <c r="K1718" s="233"/>
    </row>
    <row r="1719" spans="1:11" ht="15">
      <c r="A1719" s="219" t="str" cm="1">
        <f t="array" ref="A1719">IFERROR(INDEX('03.Muestra'!$B$8:$B$42,SMALL(IF("Documento no web"='03.Muestra'!$D$8:$D$42,ROW('03.Muestra'!$B$8:$B$42)-MIN(ROW('03.Muestra'!$D$8:$D$42))+1,""),ROW()-1690)),"")</f>
        <v/>
      </c>
      <c r="B1719" s="114" t="str" cm="1">
        <f t="array" ref="B1719">IFERROR(INDEX('03.Muestra'!$C$8:$C$42,SMALL(IF("Documento no web"='03.Muestra'!$D$8:$D$42,ROW('03.Muestra'!$C$8:$C$42)-MIN(ROW('03.Muestra'!$D$8:$D$42))+1,""),ROW()-1690)),"")</f>
        <v/>
      </c>
      <c r="C1719" s="114" t="str" cm="1">
        <f t="array" ref="C1719">IFERROR(INDEX('03.Muestra'!$F$8:$F$42,SMALL(IF("Documento no web"='03.Muestra'!$D$8:$D$42,ROW('03.Muestra'!$F$8:$F$42)-MIN(ROW('03.Muestra'!$D$8:$D$42))+1,""),ROW()-1690)),"")</f>
        <v/>
      </c>
      <c r="D1719" s="130" t="str">
        <f t="shared" si="89"/>
        <v/>
      </c>
      <c r="E1719" s="107" t="str">
        <f t="shared" si="88"/>
        <v/>
      </c>
      <c r="G1719" s="19"/>
      <c r="H1719" s="19"/>
      <c r="I1719" s="19"/>
      <c r="J1719" s="19"/>
      <c r="K1719" s="233"/>
    </row>
    <row r="1720" spans="1:11" ht="15">
      <c r="A1720" s="219" t="str" cm="1">
        <f t="array" ref="A1720">IFERROR(INDEX('03.Muestra'!$B$8:$B$42,SMALL(IF("Documento no web"='03.Muestra'!$D$8:$D$42,ROW('03.Muestra'!$B$8:$B$42)-MIN(ROW('03.Muestra'!$D$8:$D$42))+1,""),ROW()-1690)),"")</f>
        <v/>
      </c>
      <c r="B1720" s="114" t="str" cm="1">
        <f t="array" ref="B1720">IFERROR(INDEX('03.Muestra'!$C$8:$C$42,SMALL(IF("Documento no web"='03.Muestra'!$D$8:$D$42,ROW('03.Muestra'!$C$8:$C$42)-MIN(ROW('03.Muestra'!$D$8:$D$42))+1,""),ROW()-1690)),"")</f>
        <v/>
      </c>
      <c r="C1720" s="114" t="str" cm="1">
        <f t="array" ref="C1720">IFERROR(INDEX('03.Muestra'!$F$8:$F$42,SMALL(IF("Documento no web"='03.Muestra'!$D$8:$D$42,ROW('03.Muestra'!$F$8:$F$42)-MIN(ROW('03.Muestra'!$D$8:$D$42))+1,""),ROW()-1690)),"")</f>
        <v/>
      </c>
      <c r="D1720" s="130" t="str">
        <f t="shared" si="89"/>
        <v/>
      </c>
      <c r="E1720" s="107" t="str">
        <f t="shared" si="88"/>
        <v/>
      </c>
      <c r="G1720" s="19"/>
      <c r="H1720" s="19"/>
      <c r="I1720" s="19"/>
      <c r="J1720" s="19"/>
      <c r="K1720" s="233"/>
    </row>
    <row r="1721" spans="1:11" ht="15">
      <c r="A1721" s="219" t="str" cm="1">
        <f t="array" ref="A1721">IFERROR(INDEX('03.Muestra'!$B$8:$B$42,SMALL(IF("Documento no web"='03.Muestra'!$D$8:$D$42,ROW('03.Muestra'!$B$8:$B$42)-MIN(ROW('03.Muestra'!$D$8:$D$42))+1,""),ROW()-1690)),"")</f>
        <v/>
      </c>
      <c r="B1721" s="114" t="str" cm="1">
        <f t="array" ref="B1721">IFERROR(INDEX('03.Muestra'!$C$8:$C$42,SMALL(IF("Documento no web"='03.Muestra'!$D$8:$D$42,ROW('03.Muestra'!$C$8:$C$42)-MIN(ROW('03.Muestra'!$D$8:$D$42))+1,""),ROW()-1690)),"")</f>
        <v/>
      </c>
      <c r="C1721" s="114" t="str" cm="1">
        <f t="array" ref="C1721">IFERROR(INDEX('03.Muestra'!$F$8:$F$42,SMALL(IF("Documento no web"='03.Muestra'!$D$8:$D$42,ROW('03.Muestra'!$F$8:$F$42)-MIN(ROW('03.Muestra'!$D$8:$D$42))+1,""),ROW()-1690)),"")</f>
        <v/>
      </c>
      <c r="D1721" s="130" t="str">
        <f t="shared" si="89"/>
        <v/>
      </c>
      <c r="E1721" s="107" t="str">
        <f t="shared" si="88"/>
        <v/>
      </c>
      <c r="F1721" s="124"/>
      <c r="G1721" s="19"/>
      <c r="H1721" s="19"/>
      <c r="I1721" s="19"/>
      <c r="J1721" s="19"/>
      <c r="K1721" s="233"/>
    </row>
    <row r="1722" spans="1:11" ht="15">
      <c r="A1722" s="219" t="str" cm="1">
        <f t="array" ref="A1722">IFERROR(INDEX('03.Muestra'!$B$8:$B$42,SMALL(IF("Documento no web"='03.Muestra'!$D$8:$D$42,ROW('03.Muestra'!$B$8:$B$42)-MIN(ROW('03.Muestra'!$D$8:$D$42))+1,""),ROW()-1690)),"")</f>
        <v/>
      </c>
      <c r="B1722" s="114" t="str" cm="1">
        <f t="array" ref="B1722">IFERROR(INDEX('03.Muestra'!$C$8:$C$42,SMALL(IF("Documento no web"='03.Muestra'!$D$8:$D$42,ROW('03.Muestra'!$C$8:$C$42)-MIN(ROW('03.Muestra'!$D$8:$D$42))+1,""),ROW()-1690)),"")</f>
        <v/>
      </c>
      <c r="C1722" s="114" t="str" cm="1">
        <f t="array" ref="C1722">IFERROR(INDEX('03.Muestra'!$F$8:$F$42,SMALL(IF("Documento no web"='03.Muestra'!$D$8:$D$42,ROW('03.Muestra'!$F$8:$F$42)-MIN(ROW('03.Muestra'!$D$8:$D$42))+1,""),ROW()-1690)),"")</f>
        <v/>
      </c>
      <c r="D1722" s="130" t="str">
        <f t="shared" si="89"/>
        <v/>
      </c>
      <c r="E1722" s="107" t="str">
        <f t="shared" si="88"/>
        <v/>
      </c>
      <c r="F1722" s="124"/>
      <c r="G1722" s="19"/>
      <c r="H1722" s="19"/>
      <c r="I1722" s="19"/>
      <c r="J1722" s="19"/>
      <c r="K1722" s="233"/>
    </row>
    <row r="1723" spans="1:11" ht="15">
      <c r="A1723" s="219" t="str" cm="1">
        <f t="array" ref="A1723">IFERROR(INDEX('03.Muestra'!$B$8:$B$42,SMALL(IF("Documento no web"='03.Muestra'!$D$8:$D$42,ROW('03.Muestra'!$B$8:$B$42)-MIN(ROW('03.Muestra'!$D$8:$D$42))+1,""),ROW()-1690)),"")</f>
        <v/>
      </c>
      <c r="B1723" s="114" t="str" cm="1">
        <f t="array" ref="B1723">IFERROR(INDEX('03.Muestra'!$C$8:$C$42,SMALL(IF("Documento no web"='03.Muestra'!$D$8:$D$42,ROW('03.Muestra'!$C$8:$C$42)-MIN(ROW('03.Muestra'!$D$8:$D$42))+1,""),ROW()-1690)),"")</f>
        <v/>
      </c>
      <c r="C1723" s="114" t="str" cm="1">
        <f t="array" ref="C1723">IFERROR(INDEX('03.Muestra'!$F$8:$F$42,SMALL(IF("Documento no web"='03.Muestra'!$D$8:$D$42,ROW('03.Muestra'!$F$8:$F$42)-MIN(ROW('03.Muestra'!$D$8:$D$42))+1,""),ROW()-1690)),"")</f>
        <v/>
      </c>
      <c r="D1723" s="130" t="str">
        <f t="shared" si="89"/>
        <v/>
      </c>
      <c r="E1723" s="107" t="str">
        <f t="shared" si="88"/>
        <v/>
      </c>
      <c r="F1723" s="124"/>
      <c r="G1723" s="19"/>
      <c r="H1723" s="19"/>
      <c r="I1723" s="19"/>
      <c r="J1723" s="19"/>
      <c r="K1723" s="233"/>
    </row>
    <row r="1724" spans="1:11" ht="15">
      <c r="A1724" s="219" t="str" cm="1">
        <f t="array" ref="A1724">IFERROR(INDEX('03.Muestra'!$B$8:$B$42,SMALL(IF("Documento no web"='03.Muestra'!$D$8:$D$42,ROW('03.Muestra'!$B$8:$B$42)-MIN(ROW('03.Muestra'!$D$8:$D$42))+1,""),ROW()-1690)),"")</f>
        <v/>
      </c>
      <c r="B1724" s="114" t="str" cm="1">
        <f t="array" ref="B1724">IFERROR(INDEX('03.Muestra'!$C$8:$C$42,SMALL(IF("Documento no web"='03.Muestra'!$D$8:$D$42,ROW('03.Muestra'!$C$8:$C$42)-MIN(ROW('03.Muestra'!$D$8:$D$42))+1,""),ROW()-1690)),"")</f>
        <v/>
      </c>
      <c r="C1724" s="114" t="str" cm="1">
        <f t="array" ref="C1724">IFERROR(INDEX('03.Muestra'!$F$8:$F$42,SMALL(IF("Documento no web"='03.Muestra'!$D$8:$D$42,ROW('03.Muestra'!$F$8:$F$42)-MIN(ROW('03.Muestra'!$D$8:$D$42))+1,""),ROW()-1690)),"")</f>
        <v/>
      </c>
      <c r="D1724" s="130" t="str">
        <f t="shared" si="89"/>
        <v/>
      </c>
      <c r="E1724" s="107" t="str">
        <f t="shared" si="88"/>
        <v/>
      </c>
      <c r="F1724" s="124"/>
      <c r="G1724" s="19"/>
      <c r="H1724" s="19"/>
      <c r="I1724" s="19"/>
      <c r="J1724" s="19"/>
      <c r="K1724" s="233"/>
    </row>
    <row r="1725" spans="1:11" ht="15">
      <c r="A1725" s="219" t="str" cm="1">
        <f t="array" ref="A1725">IFERROR(INDEX('03.Muestra'!$B$8:$B$42,SMALL(IF("Documento no web"='03.Muestra'!$D$8:$D$42,ROW('03.Muestra'!$B$8:$B$42)-MIN(ROW('03.Muestra'!$D$8:$D$42))+1,""),ROW()-1690)),"")</f>
        <v/>
      </c>
      <c r="B1725" s="114" t="str" cm="1">
        <f t="array" ref="B1725">IFERROR(INDEX('03.Muestra'!$C$8:$C$42,SMALL(IF("Documento no web"='03.Muestra'!$D$8:$D$42,ROW('03.Muestra'!$C$8:$C$42)-MIN(ROW('03.Muestra'!$D$8:$D$42))+1,""),ROW()-1690)),"")</f>
        <v/>
      </c>
      <c r="C1725" s="114" t="str" cm="1">
        <f t="array" ref="C1725">IFERROR(INDEX('03.Muestra'!$F$8:$F$42,SMALL(IF("Documento no web"='03.Muestra'!$D$8:$D$42,ROW('03.Muestra'!$F$8:$F$42)-MIN(ROW('03.Muestra'!$D$8:$D$42))+1,""),ROW()-1690)),"")</f>
        <v/>
      </c>
      <c r="D1725" s="130" t="str">
        <f t="shared" si="89"/>
        <v/>
      </c>
      <c r="E1725" s="107" t="str">
        <f t="shared" si="88"/>
        <v/>
      </c>
      <c r="F1725" s="19"/>
      <c r="G1725" s="19"/>
      <c r="H1725" s="19"/>
      <c r="I1725" s="19"/>
      <c r="J1725" s="19"/>
      <c r="K1725" s="233"/>
    </row>
    <row r="1726" spans="1:11">
      <c r="K1726" s="234"/>
    </row>
    <row r="1727" spans="1:11">
      <c r="K1727" s="234"/>
    </row>
    <row r="1728" spans="1:11">
      <c r="K1728" s="234"/>
    </row>
    <row r="1729" spans="11:11">
      <c r="K1729" s="234"/>
    </row>
    <row r="1730" spans="11:11">
      <c r="K1730" s="234"/>
    </row>
    <row r="1731" spans="11:11">
      <c r="K1731" s="234"/>
    </row>
    <row r="1732" spans="11:11">
      <c r="K1732" s="234"/>
    </row>
    <row r="1733" spans="11:11">
      <c r="K1733" s="234"/>
    </row>
    <row r="1734" spans="11:11">
      <c r="K1734" s="234"/>
    </row>
    <row r="1735" spans="11:11">
      <c r="K1735" s="234"/>
    </row>
    <row r="1736" spans="11:11">
      <c r="K1736" s="234"/>
    </row>
    <row r="1737" spans="11:11">
      <c r="K1737" s="234"/>
    </row>
    <row r="1738" spans="11:11">
      <c r="K1738" s="234"/>
    </row>
    <row r="1739" spans="11:11">
      <c r="K1739" s="234"/>
    </row>
    <row r="1740" spans="11:11">
      <c r="K1740" s="234"/>
    </row>
    <row r="1741" spans="11:11">
      <c r="K1741" s="234"/>
    </row>
    <row r="1742" spans="11:11">
      <c r="K1742" s="234"/>
    </row>
    <row r="1743" spans="11:11">
      <c r="K1743" s="234"/>
    </row>
    <row r="1744" spans="11:11">
      <c r="K1744" s="234"/>
    </row>
    <row r="1745" spans="11:11">
      <c r="K1745" s="234"/>
    </row>
    <row r="1746" spans="11:11">
      <c r="K1746" s="234"/>
    </row>
    <row r="1747" spans="11:11">
      <c r="K1747" s="234"/>
    </row>
    <row r="1748" spans="11:11">
      <c r="K1748" s="234"/>
    </row>
    <row r="1749" spans="11:11">
      <c r="K1749" s="234"/>
    </row>
    <row r="1750" spans="11:11">
      <c r="K1750" s="234"/>
    </row>
    <row r="1751" spans="11:11">
      <c r="K1751" s="234"/>
    </row>
    <row r="1752" spans="11:11">
      <c r="K1752" s="234"/>
    </row>
    <row r="1753" spans="11:11">
      <c r="K1753" s="234"/>
    </row>
    <row r="1754" spans="11:11">
      <c r="K1754" s="234"/>
    </row>
    <row r="1755" spans="11:11">
      <c r="K1755" s="234"/>
    </row>
  </sheetData>
  <sheetCalcPr fullCalcOnLoad="true"/>
  <sheetProtection password="DC4E" sheet="true" scenarios="true" objects="true"/>
  <mergeCells count="3">
    <mergeCell ref="B11:C11"/>
    <mergeCell ref="B8:M8"/>
    <mergeCell ref="B9:M9"/>
  </mergeCells>
  <conditionalFormatting sqref="E665:E699 E57:E91 E95:E129 E133:E167 E171:E205 E209:E243 E247:E281 E285:E319 E323:E357 E361:E395 E399:E433 E437:E471 E475:E509 E513:E547 E551:E585 E589:E623 E627:E661 E703:E737 E19:E53">
    <cfRule type="cellIs" dxfId="569" priority="687" stopIfTrue="1" operator="equal">
      <formula>"ERR"</formula>
    </cfRule>
  </conditionalFormatting>
  <conditionalFormatting sqref="F19:J19 F57:J57 F95:J95 F133:J133 F171:J171 F209:J209 F247:J247 F285:J285 F323:J323 F361:J361 F399:J399 F437:J437 F475:J475 F513:J513 F551:J551 F589:J589 F627:J627 F665:J665 F703:J703 F1273:J1273 F741:J741 F779:J779 F817:J817 F855:J855 F893:J893 F931:J931 F1007:J1007 F1045:J1045 F1083:J1083 F1121:J1121 F1159:J1159 F1197:J1197 F1235:J1235 F1311:J1311 F1387:J1387 F1425:J1425 F1463:J1463 F1501:J1501 F1539:J1539 F1577:J1577 F1615:J1615 F1653:J1653 F969:J969 F1349:J1349 F1691:J1691">
    <cfRule type="expression" dxfId="568" priority="681" stopIfTrue="1">
      <formula>ISBLANK(F19)</formula>
    </cfRule>
    <cfRule type="cellIs" dxfId="567" priority="682" stopIfTrue="1" operator="equal">
      <formula>"Pasa"</formula>
    </cfRule>
    <cfRule type="cellIs" dxfId="566" priority="683" stopIfTrue="1" operator="equal">
      <formula>"Falla"</formula>
    </cfRule>
    <cfRule type="cellIs" dxfId="565" priority="684" stopIfTrue="1" operator="equal">
      <formula>"N/A"</formula>
    </cfRule>
    <cfRule type="cellIs" dxfId="564" priority="685" stopIfTrue="1" operator="equal">
      <formula>"N/T"</formula>
    </cfRule>
    <cfRule type="cellIs" dxfId="563" priority="686" stopIfTrue="1" operator="equal">
      <formula>"N/D"</formula>
    </cfRule>
  </conditionalFormatting>
  <conditionalFormatting sqref="E741:E775 E779:E813 E817:E851 E855:E889 E893:E927 E931:E965 E1007:E1041 E1045:E1079 E1083:E1117 E1121:E1155 E1159:E1193 E1197:E1231 E1235:E1269 E1273:E1307">
    <cfRule type="cellIs" dxfId="562" priority="566" stopIfTrue="1" operator="equal">
      <formula>"ERR"</formula>
    </cfRule>
  </conditionalFormatting>
  <conditionalFormatting sqref="E1311:E1345 E1387:E1421 E1425:E1459 E1463:E1497 E1501:E1535 E1539:E1573 E1577:E1611">
    <cfRule type="cellIs" dxfId="561" priority="475" operator="equal">
      <formula>"ERR"</formula>
    </cfRule>
  </conditionalFormatting>
  <conditionalFormatting sqref="E1615:E1649 E1653:E1687">
    <cfRule type="cellIs" dxfId="560" priority="426" stopIfTrue="1" operator="equal">
      <formula>"ERR"</formula>
    </cfRule>
  </conditionalFormatting>
  <conditionalFormatting sqref="E969:E1004">
    <cfRule type="cellIs" dxfId="559" priority="407" stopIfTrue="1" operator="equal">
      <formula>"ERR"</formula>
    </cfRule>
  </conditionalFormatting>
  <conditionalFormatting sqref="E1349:E1383">
    <cfRule type="cellIs" dxfId="558" priority="394" operator="equal">
      <formula>"ERR"</formula>
    </cfRule>
  </conditionalFormatting>
  <conditionalFormatting sqref="D19:D53">
    <cfRule type="expression" dxfId="557" priority="350" stopIfTrue="1">
      <formula>ISBLANK(D19)</formula>
    </cfRule>
    <cfRule type="cellIs" dxfId="556" priority="351" stopIfTrue="1" operator="equal">
      <formula>"Pasa"</formula>
    </cfRule>
    <cfRule type="cellIs" dxfId="555" priority="352" stopIfTrue="1" operator="equal">
      <formula>"Falla"</formula>
    </cfRule>
    <cfRule type="cellIs" dxfId="554" priority="353" stopIfTrue="1" operator="equal">
      <formula>"N/A"</formula>
    </cfRule>
    <cfRule type="cellIs" dxfId="553" priority="354" stopIfTrue="1" operator="equal">
      <formula>"N/T"</formula>
    </cfRule>
    <cfRule type="cellIs" dxfId="552" priority="355" stopIfTrue="1" operator="equal">
      <formula>"N/D"</formula>
    </cfRule>
  </conditionalFormatting>
  <conditionalFormatting sqref="D19:D53">
    <cfRule type="cellIs" dxfId="551" priority="349" stopIfTrue="1" operator="equal">
      <formula>"-"</formula>
    </cfRule>
  </conditionalFormatting>
  <conditionalFormatting sqref="D57:D91">
    <cfRule type="expression" dxfId="550" priority="343" stopIfTrue="1">
      <formula>ISBLANK(D57)</formula>
    </cfRule>
    <cfRule type="cellIs" dxfId="549" priority="344" stopIfTrue="1" operator="equal">
      <formula>"Pasa"</formula>
    </cfRule>
    <cfRule type="cellIs" dxfId="548" priority="345" stopIfTrue="1" operator="equal">
      <formula>"Falla"</formula>
    </cfRule>
    <cfRule type="cellIs" dxfId="547" priority="346" stopIfTrue="1" operator="equal">
      <formula>"N/A"</formula>
    </cfRule>
    <cfRule type="cellIs" dxfId="546" priority="347" stopIfTrue="1" operator="equal">
      <formula>"N/T"</formula>
    </cfRule>
    <cfRule type="cellIs" dxfId="545" priority="348" stopIfTrue="1" operator="equal">
      <formula>"N/D"</formula>
    </cfRule>
  </conditionalFormatting>
  <conditionalFormatting sqref="D57:D91">
    <cfRule type="cellIs" dxfId="544" priority="342" stopIfTrue="1" operator="equal">
      <formula>"-"</formula>
    </cfRule>
  </conditionalFormatting>
  <conditionalFormatting sqref="D95:D129">
    <cfRule type="expression" dxfId="543" priority="336" stopIfTrue="1">
      <formula>ISBLANK(D95)</formula>
    </cfRule>
    <cfRule type="cellIs" dxfId="542" priority="337" stopIfTrue="1" operator="equal">
      <formula>"Pasa"</formula>
    </cfRule>
    <cfRule type="cellIs" dxfId="541" priority="338" stopIfTrue="1" operator="equal">
      <formula>"Falla"</formula>
    </cfRule>
    <cfRule type="cellIs" dxfId="540" priority="339" stopIfTrue="1" operator="equal">
      <formula>"N/A"</formula>
    </cfRule>
    <cfRule type="cellIs" dxfId="539" priority="340" stopIfTrue="1" operator="equal">
      <formula>"N/T"</formula>
    </cfRule>
    <cfRule type="cellIs" dxfId="538" priority="341" stopIfTrue="1" operator="equal">
      <formula>"N/D"</formula>
    </cfRule>
  </conditionalFormatting>
  <conditionalFormatting sqref="D95:D129">
    <cfRule type="cellIs" dxfId="537" priority="335" stopIfTrue="1" operator="equal">
      <formula>"-"</formula>
    </cfRule>
  </conditionalFormatting>
  <conditionalFormatting sqref="D133:D167">
    <cfRule type="expression" dxfId="536" priority="329" stopIfTrue="1">
      <formula>ISBLANK(D133)</formula>
    </cfRule>
    <cfRule type="cellIs" dxfId="535" priority="330" stopIfTrue="1" operator="equal">
      <formula>"Pasa"</formula>
    </cfRule>
    <cfRule type="cellIs" dxfId="534" priority="331" stopIfTrue="1" operator="equal">
      <formula>"Falla"</formula>
    </cfRule>
    <cfRule type="cellIs" dxfId="533" priority="332" stopIfTrue="1" operator="equal">
      <formula>"N/A"</formula>
    </cfRule>
    <cfRule type="cellIs" dxfId="532" priority="333" stopIfTrue="1" operator="equal">
      <formula>"N/T"</formula>
    </cfRule>
    <cfRule type="cellIs" dxfId="531" priority="334" stopIfTrue="1" operator="equal">
      <formula>"N/D"</formula>
    </cfRule>
  </conditionalFormatting>
  <conditionalFormatting sqref="D133:D167">
    <cfRule type="cellIs" dxfId="530" priority="328" stopIfTrue="1" operator="equal">
      <formula>"-"</formula>
    </cfRule>
  </conditionalFormatting>
  <conditionalFormatting sqref="D171:D205">
    <cfRule type="expression" dxfId="529" priority="315" stopIfTrue="1">
      <formula>ISBLANK(D171)</formula>
    </cfRule>
    <cfRule type="cellIs" dxfId="528" priority="316" stopIfTrue="1" operator="equal">
      <formula>"Pasa"</formula>
    </cfRule>
    <cfRule type="cellIs" dxfId="527" priority="317" stopIfTrue="1" operator="equal">
      <formula>"Falla"</formula>
    </cfRule>
    <cfRule type="cellIs" dxfId="526" priority="318" stopIfTrue="1" operator="equal">
      <formula>"N/A"</formula>
    </cfRule>
    <cfRule type="cellIs" dxfId="525" priority="319" stopIfTrue="1" operator="equal">
      <formula>"N/T"</formula>
    </cfRule>
    <cfRule type="cellIs" dxfId="524" priority="320" stopIfTrue="1" operator="equal">
      <formula>"N/D"</formula>
    </cfRule>
  </conditionalFormatting>
  <conditionalFormatting sqref="D171:D205">
    <cfRule type="cellIs" dxfId="523" priority="314" stopIfTrue="1" operator="equal">
      <formula>"-"</formula>
    </cfRule>
  </conditionalFormatting>
  <conditionalFormatting sqref="D209:D243">
    <cfRule type="expression" dxfId="522" priority="308" stopIfTrue="1">
      <formula>ISBLANK(D209)</formula>
    </cfRule>
    <cfRule type="cellIs" dxfId="521" priority="309" stopIfTrue="1" operator="equal">
      <formula>"Pasa"</formula>
    </cfRule>
    <cfRule type="cellIs" dxfId="520" priority="310" stopIfTrue="1" operator="equal">
      <formula>"Falla"</formula>
    </cfRule>
    <cfRule type="cellIs" dxfId="519" priority="311" stopIfTrue="1" operator="equal">
      <formula>"N/A"</formula>
    </cfRule>
    <cfRule type="cellIs" dxfId="518" priority="312" stopIfTrue="1" operator="equal">
      <formula>"N/T"</formula>
    </cfRule>
    <cfRule type="cellIs" dxfId="517" priority="313" stopIfTrue="1" operator="equal">
      <formula>"N/D"</formula>
    </cfRule>
  </conditionalFormatting>
  <conditionalFormatting sqref="D209:D243">
    <cfRule type="cellIs" dxfId="516" priority="307" stopIfTrue="1" operator="equal">
      <formula>"-"</formula>
    </cfRule>
  </conditionalFormatting>
  <conditionalFormatting sqref="D247:D281">
    <cfRule type="expression" dxfId="515" priority="301" stopIfTrue="1">
      <formula>ISBLANK(D247)</formula>
    </cfRule>
    <cfRule type="cellIs" dxfId="514" priority="302" stopIfTrue="1" operator="equal">
      <formula>"Pasa"</formula>
    </cfRule>
    <cfRule type="cellIs" dxfId="513" priority="303" stopIfTrue="1" operator="equal">
      <formula>"Falla"</formula>
    </cfRule>
    <cfRule type="cellIs" dxfId="512" priority="304" stopIfTrue="1" operator="equal">
      <formula>"N/A"</formula>
    </cfRule>
    <cfRule type="cellIs" dxfId="511" priority="305" stopIfTrue="1" operator="equal">
      <formula>"N/T"</formula>
    </cfRule>
    <cfRule type="cellIs" dxfId="510" priority="306" stopIfTrue="1" operator="equal">
      <formula>"N/D"</formula>
    </cfRule>
  </conditionalFormatting>
  <conditionalFormatting sqref="D247:D281">
    <cfRule type="cellIs" dxfId="509" priority="300" stopIfTrue="1" operator="equal">
      <formula>"-"</formula>
    </cfRule>
  </conditionalFormatting>
  <conditionalFormatting sqref="D285:D319">
    <cfRule type="expression" dxfId="508" priority="294" stopIfTrue="1">
      <formula>ISBLANK(D285)</formula>
    </cfRule>
    <cfRule type="cellIs" dxfId="507" priority="295" stopIfTrue="1" operator="equal">
      <formula>"Pasa"</formula>
    </cfRule>
    <cfRule type="cellIs" dxfId="506" priority="296" stopIfTrue="1" operator="equal">
      <formula>"Falla"</formula>
    </cfRule>
    <cfRule type="cellIs" dxfId="505" priority="297" stopIfTrue="1" operator="equal">
      <formula>"N/A"</formula>
    </cfRule>
    <cfRule type="cellIs" dxfId="504" priority="298" stopIfTrue="1" operator="equal">
      <formula>"N/T"</formula>
    </cfRule>
    <cfRule type="cellIs" dxfId="503" priority="299" stopIfTrue="1" operator="equal">
      <formula>"N/D"</formula>
    </cfRule>
  </conditionalFormatting>
  <conditionalFormatting sqref="D285:D319">
    <cfRule type="cellIs" dxfId="502" priority="293" stopIfTrue="1" operator="equal">
      <formula>"-"</formula>
    </cfRule>
  </conditionalFormatting>
  <conditionalFormatting sqref="D323:D357">
    <cfRule type="expression" dxfId="501" priority="287" stopIfTrue="1">
      <formula>ISBLANK(D323)</formula>
    </cfRule>
    <cfRule type="cellIs" dxfId="500" priority="288" stopIfTrue="1" operator="equal">
      <formula>"Pasa"</formula>
    </cfRule>
    <cfRule type="cellIs" dxfId="499" priority="289" stopIfTrue="1" operator="equal">
      <formula>"Falla"</formula>
    </cfRule>
    <cfRule type="cellIs" dxfId="498" priority="290" stopIfTrue="1" operator="equal">
      <formula>"N/A"</formula>
    </cfRule>
    <cfRule type="cellIs" dxfId="497" priority="291" stopIfTrue="1" operator="equal">
      <formula>"N/T"</formula>
    </cfRule>
    <cfRule type="cellIs" dxfId="496" priority="292" stopIfTrue="1" operator="equal">
      <formula>"N/D"</formula>
    </cfRule>
  </conditionalFormatting>
  <conditionalFormatting sqref="D323:D357">
    <cfRule type="cellIs" dxfId="495" priority="286" stopIfTrue="1" operator="equal">
      <formula>"-"</formula>
    </cfRule>
  </conditionalFormatting>
  <conditionalFormatting sqref="D361:D395">
    <cfRule type="expression" dxfId="494" priority="280" stopIfTrue="1">
      <formula>ISBLANK(D361)</formula>
    </cfRule>
    <cfRule type="cellIs" dxfId="493" priority="281" stopIfTrue="1" operator="equal">
      <formula>"Pasa"</formula>
    </cfRule>
    <cfRule type="cellIs" dxfId="492" priority="282" stopIfTrue="1" operator="equal">
      <formula>"Falla"</formula>
    </cfRule>
    <cfRule type="cellIs" dxfId="491" priority="283" stopIfTrue="1" operator="equal">
      <formula>"N/A"</formula>
    </cfRule>
    <cfRule type="cellIs" dxfId="490" priority="284" stopIfTrue="1" operator="equal">
      <formula>"N/T"</formula>
    </cfRule>
    <cfRule type="cellIs" dxfId="489" priority="285" stopIfTrue="1" operator="equal">
      <formula>"N/D"</formula>
    </cfRule>
  </conditionalFormatting>
  <conditionalFormatting sqref="D361:D395">
    <cfRule type="cellIs" dxfId="488" priority="279" stopIfTrue="1" operator="equal">
      <formula>"-"</formula>
    </cfRule>
  </conditionalFormatting>
  <conditionalFormatting sqref="D399:D433">
    <cfRule type="expression" dxfId="487" priority="273" stopIfTrue="1">
      <formula>ISBLANK(D399)</formula>
    </cfRule>
    <cfRule type="cellIs" dxfId="486" priority="274" stopIfTrue="1" operator="equal">
      <formula>"Pasa"</formula>
    </cfRule>
    <cfRule type="cellIs" dxfId="485" priority="275" stopIfTrue="1" operator="equal">
      <formula>"Falla"</formula>
    </cfRule>
    <cfRule type="cellIs" dxfId="484" priority="276" stopIfTrue="1" operator="equal">
      <formula>"N/A"</formula>
    </cfRule>
    <cfRule type="cellIs" dxfId="483" priority="277" stopIfTrue="1" operator="equal">
      <formula>"N/T"</formula>
    </cfRule>
    <cfRule type="cellIs" dxfId="482" priority="278" stopIfTrue="1" operator="equal">
      <formula>"N/D"</formula>
    </cfRule>
  </conditionalFormatting>
  <conditionalFormatting sqref="D399:D433">
    <cfRule type="cellIs" dxfId="481" priority="272" stopIfTrue="1" operator="equal">
      <formula>"-"</formula>
    </cfRule>
  </conditionalFormatting>
  <conditionalFormatting sqref="D437:D471">
    <cfRule type="expression" dxfId="480" priority="266" stopIfTrue="1">
      <formula>ISBLANK(D437)</formula>
    </cfRule>
    <cfRule type="cellIs" dxfId="479" priority="267" stopIfTrue="1" operator="equal">
      <formula>"Pasa"</formula>
    </cfRule>
    <cfRule type="cellIs" dxfId="478" priority="268" stopIfTrue="1" operator="equal">
      <formula>"Falla"</formula>
    </cfRule>
    <cfRule type="cellIs" dxfId="477" priority="269" stopIfTrue="1" operator="equal">
      <formula>"N/A"</formula>
    </cfRule>
    <cfRule type="cellIs" dxfId="476" priority="270" stopIfTrue="1" operator="equal">
      <formula>"N/T"</formula>
    </cfRule>
    <cfRule type="cellIs" dxfId="475" priority="271" stopIfTrue="1" operator="equal">
      <formula>"N/D"</formula>
    </cfRule>
  </conditionalFormatting>
  <conditionalFormatting sqref="D437:D471">
    <cfRule type="cellIs" dxfId="474" priority="265" stopIfTrue="1" operator="equal">
      <formula>"-"</formula>
    </cfRule>
  </conditionalFormatting>
  <conditionalFormatting sqref="D475:D509">
    <cfRule type="expression" dxfId="473" priority="259" stopIfTrue="1">
      <formula>ISBLANK(D475)</formula>
    </cfRule>
    <cfRule type="cellIs" dxfId="472" priority="260" stopIfTrue="1" operator="equal">
      <formula>"Pasa"</formula>
    </cfRule>
    <cfRule type="cellIs" dxfId="471" priority="261" stopIfTrue="1" operator="equal">
      <formula>"Falla"</formula>
    </cfRule>
    <cfRule type="cellIs" dxfId="470" priority="262" stopIfTrue="1" operator="equal">
      <formula>"N/A"</formula>
    </cfRule>
    <cfRule type="cellIs" dxfId="469" priority="263" stopIfTrue="1" operator="equal">
      <formula>"N/T"</formula>
    </cfRule>
    <cfRule type="cellIs" dxfId="468" priority="264" stopIfTrue="1" operator="equal">
      <formula>"N/D"</formula>
    </cfRule>
  </conditionalFormatting>
  <conditionalFormatting sqref="D475:D509">
    <cfRule type="cellIs" dxfId="467" priority="258" stopIfTrue="1" operator="equal">
      <formula>"-"</formula>
    </cfRule>
  </conditionalFormatting>
  <conditionalFormatting sqref="D513:D547">
    <cfRule type="expression" dxfId="466" priority="252" stopIfTrue="1">
      <formula>ISBLANK(D513)</formula>
    </cfRule>
    <cfRule type="cellIs" dxfId="465" priority="253" stopIfTrue="1" operator="equal">
      <formula>"Pasa"</formula>
    </cfRule>
    <cfRule type="cellIs" dxfId="464" priority="254" stopIfTrue="1" operator="equal">
      <formula>"Falla"</formula>
    </cfRule>
    <cfRule type="cellIs" dxfId="463" priority="255" stopIfTrue="1" operator="equal">
      <formula>"N/A"</formula>
    </cfRule>
    <cfRule type="cellIs" dxfId="462" priority="256" stopIfTrue="1" operator="equal">
      <formula>"N/T"</formula>
    </cfRule>
    <cfRule type="cellIs" dxfId="461" priority="257" stopIfTrue="1" operator="equal">
      <formula>"N/D"</formula>
    </cfRule>
  </conditionalFormatting>
  <conditionalFormatting sqref="D513:D547">
    <cfRule type="cellIs" dxfId="460" priority="251" stopIfTrue="1" operator="equal">
      <formula>"-"</formula>
    </cfRule>
  </conditionalFormatting>
  <conditionalFormatting sqref="D551:D585">
    <cfRule type="expression" dxfId="459" priority="245" stopIfTrue="1">
      <formula>ISBLANK(D551)</formula>
    </cfRule>
    <cfRule type="cellIs" dxfId="458" priority="246" stopIfTrue="1" operator="equal">
      <formula>"Pasa"</formula>
    </cfRule>
    <cfRule type="cellIs" dxfId="457" priority="247" stopIfTrue="1" operator="equal">
      <formula>"Falla"</formula>
    </cfRule>
    <cfRule type="cellIs" dxfId="456" priority="248" stopIfTrue="1" operator="equal">
      <formula>"N/A"</formula>
    </cfRule>
    <cfRule type="cellIs" dxfId="455" priority="249" stopIfTrue="1" operator="equal">
      <formula>"N/T"</formula>
    </cfRule>
    <cfRule type="cellIs" dxfId="454" priority="250" stopIfTrue="1" operator="equal">
      <formula>"N/D"</formula>
    </cfRule>
  </conditionalFormatting>
  <conditionalFormatting sqref="D551:D585">
    <cfRule type="cellIs" dxfId="453" priority="244" stopIfTrue="1" operator="equal">
      <formula>"-"</formula>
    </cfRule>
  </conditionalFormatting>
  <conditionalFormatting sqref="D589:D623">
    <cfRule type="expression" dxfId="452" priority="238" stopIfTrue="1">
      <formula>ISBLANK(D589)</formula>
    </cfRule>
    <cfRule type="cellIs" dxfId="451" priority="239" stopIfTrue="1" operator="equal">
      <formula>"Pasa"</formula>
    </cfRule>
    <cfRule type="cellIs" dxfId="450" priority="240" stopIfTrue="1" operator="equal">
      <formula>"Falla"</formula>
    </cfRule>
    <cfRule type="cellIs" dxfId="449" priority="241" stopIfTrue="1" operator="equal">
      <formula>"N/A"</formula>
    </cfRule>
    <cfRule type="cellIs" dxfId="448" priority="242" stopIfTrue="1" operator="equal">
      <formula>"N/T"</formula>
    </cfRule>
    <cfRule type="cellIs" dxfId="447" priority="243" stopIfTrue="1" operator="equal">
      <formula>"N/D"</formula>
    </cfRule>
  </conditionalFormatting>
  <conditionalFormatting sqref="D589:D623">
    <cfRule type="cellIs" dxfId="446" priority="237" stopIfTrue="1" operator="equal">
      <formula>"-"</formula>
    </cfRule>
  </conditionalFormatting>
  <conditionalFormatting sqref="D627:D661">
    <cfRule type="expression" dxfId="445" priority="231" stopIfTrue="1">
      <formula>ISBLANK(D627)</formula>
    </cfRule>
    <cfRule type="cellIs" dxfId="444" priority="232" stopIfTrue="1" operator="equal">
      <formula>"Pasa"</formula>
    </cfRule>
    <cfRule type="cellIs" dxfId="443" priority="233" stopIfTrue="1" operator="equal">
      <formula>"Falla"</formula>
    </cfRule>
    <cfRule type="cellIs" dxfId="442" priority="234" stopIfTrue="1" operator="equal">
      <formula>"N/A"</formula>
    </cfRule>
    <cfRule type="cellIs" dxfId="441" priority="235" stopIfTrue="1" operator="equal">
      <formula>"N/T"</formula>
    </cfRule>
    <cfRule type="cellIs" dxfId="440" priority="236" stopIfTrue="1" operator="equal">
      <formula>"N/D"</formula>
    </cfRule>
  </conditionalFormatting>
  <conditionalFormatting sqref="D627:D661">
    <cfRule type="cellIs" dxfId="439" priority="230" stopIfTrue="1" operator="equal">
      <formula>"-"</formula>
    </cfRule>
  </conditionalFormatting>
  <conditionalFormatting sqref="D665:D699">
    <cfRule type="expression" dxfId="438" priority="224" stopIfTrue="1">
      <formula>ISBLANK(D665)</formula>
    </cfRule>
    <cfRule type="cellIs" dxfId="437" priority="225" stopIfTrue="1" operator="equal">
      <formula>"Pasa"</formula>
    </cfRule>
    <cfRule type="cellIs" dxfId="436" priority="226" stopIfTrue="1" operator="equal">
      <formula>"Falla"</formula>
    </cfRule>
    <cfRule type="cellIs" dxfId="435" priority="227" stopIfTrue="1" operator="equal">
      <formula>"N/A"</formula>
    </cfRule>
    <cfRule type="cellIs" dxfId="434" priority="228" stopIfTrue="1" operator="equal">
      <formula>"N/T"</formula>
    </cfRule>
    <cfRule type="cellIs" dxfId="433" priority="229" stopIfTrue="1" operator="equal">
      <formula>"N/D"</formula>
    </cfRule>
  </conditionalFormatting>
  <conditionalFormatting sqref="D665:D699">
    <cfRule type="cellIs" dxfId="432" priority="223" stopIfTrue="1" operator="equal">
      <formula>"-"</formula>
    </cfRule>
  </conditionalFormatting>
  <conditionalFormatting sqref="D703:D737">
    <cfRule type="expression" dxfId="431" priority="217" stopIfTrue="1">
      <formula>ISBLANK(D703)</formula>
    </cfRule>
    <cfRule type="cellIs" dxfId="430" priority="218" stopIfTrue="1" operator="equal">
      <formula>"Pasa"</formula>
    </cfRule>
    <cfRule type="cellIs" dxfId="429" priority="219" stopIfTrue="1" operator="equal">
      <formula>"Falla"</formula>
    </cfRule>
    <cfRule type="cellIs" dxfId="428" priority="220" stopIfTrue="1" operator="equal">
      <formula>"N/A"</formula>
    </cfRule>
    <cfRule type="cellIs" dxfId="427" priority="221" stopIfTrue="1" operator="equal">
      <formula>"N/T"</formula>
    </cfRule>
    <cfRule type="cellIs" dxfId="426" priority="222" stopIfTrue="1" operator="equal">
      <formula>"N/D"</formula>
    </cfRule>
  </conditionalFormatting>
  <conditionalFormatting sqref="D703:D737">
    <cfRule type="cellIs" dxfId="425" priority="216" stopIfTrue="1" operator="equal">
      <formula>"-"</formula>
    </cfRule>
  </conditionalFormatting>
  <conditionalFormatting sqref="D741:D775">
    <cfRule type="expression" dxfId="424" priority="210" stopIfTrue="1">
      <formula>ISBLANK(D741)</formula>
    </cfRule>
    <cfRule type="cellIs" dxfId="423" priority="211" stopIfTrue="1" operator="equal">
      <formula>"Pasa"</formula>
    </cfRule>
    <cfRule type="cellIs" dxfId="422" priority="212" stopIfTrue="1" operator="equal">
      <formula>"Falla"</formula>
    </cfRule>
    <cfRule type="cellIs" dxfId="421" priority="213" stopIfTrue="1" operator="equal">
      <formula>"N/A"</formula>
    </cfRule>
    <cfRule type="cellIs" dxfId="420" priority="214" stopIfTrue="1" operator="equal">
      <formula>"N/T"</formula>
    </cfRule>
    <cfRule type="cellIs" dxfId="419" priority="215" stopIfTrue="1" operator="equal">
      <formula>"N/D"</formula>
    </cfRule>
  </conditionalFormatting>
  <conditionalFormatting sqref="D741:D775">
    <cfRule type="cellIs" dxfId="418" priority="209" stopIfTrue="1" operator="equal">
      <formula>"-"</formula>
    </cfRule>
  </conditionalFormatting>
  <conditionalFormatting sqref="D779:D813">
    <cfRule type="expression" dxfId="417" priority="203" stopIfTrue="1">
      <formula>ISBLANK(D779)</formula>
    </cfRule>
    <cfRule type="cellIs" dxfId="416" priority="204" stopIfTrue="1" operator="equal">
      <formula>"Pasa"</formula>
    </cfRule>
    <cfRule type="cellIs" dxfId="415" priority="205" stopIfTrue="1" operator="equal">
      <formula>"Falla"</formula>
    </cfRule>
    <cfRule type="cellIs" dxfId="414" priority="206" stopIfTrue="1" operator="equal">
      <formula>"N/A"</formula>
    </cfRule>
    <cfRule type="cellIs" dxfId="413" priority="207" stopIfTrue="1" operator="equal">
      <formula>"N/T"</formula>
    </cfRule>
    <cfRule type="cellIs" dxfId="412" priority="208" stopIfTrue="1" operator="equal">
      <formula>"N/D"</formula>
    </cfRule>
  </conditionalFormatting>
  <conditionalFormatting sqref="D779:D813">
    <cfRule type="cellIs" dxfId="411" priority="202" stopIfTrue="1" operator="equal">
      <formula>"-"</formula>
    </cfRule>
  </conditionalFormatting>
  <conditionalFormatting sqref="D817:D851">
    <cfRule type="expression" dxfId="410" priority="196" stopIfTrue="1">
      <formula>ISBLANK(D817)</formula>
    </cfRule>
    <cfRule type="cellIs" dxfId="409" priority="197" stopIfTrue="1" operator="equal">
      <formula>"Pasa"</formula>
    </cfRule>
    <cfRule type="cellIs" dxfId="408" priority="198" stopIfTrue="1" operator="equal">
      <formula>"Falla"</formula>
    </cfRule>
    <cfRule type="cellIs" dxfId="407" priority="199" stopIfTrue="1" operator="equal">
      <formula>"N/A"</formula>
    </cfRule>
    <cfRule type="cellIs" dxfId="406" priority="200" stopIfTrue="1" operator="equal">
      <formula>"N/T"</formula>
    </cfRule>
    <cfRule type="cellIs" dxfId="405" priority="201" stopIfTrue="1" operator="equal">
      <formula>"N/D"</formula>
    </cfRule>
  </conditionalFormatting>
  <conditionalFormatting sqref="D817:D851">
    <cfRule type="cellIs" dxfId="404" priority="195" stopIfTrue="1" operator="equal">
      <formula>"-"</formula>
    </cfRule>
  </conditionalFormatting>
  <conditionalFormatting sqref="D855:D889">
    <cfRule type="expression" dxfId="403" priority="189" stopIfTrue="1">
      <formula>ISBLANK(D855)</formula>
    </cfRule>
    <cfRule type="cellIs" dxfId="402" priority="190" stopIfTrue="1" operator="equal">
      <formula>"Pasa"</formula>
    </cfRule>
    <cfRule type="cellIs" dxfId="401" priority="191" stopIfTrue="1" operator="equal">
      <formula>"Falla"</formula>
    </cfRule>
    <cfRule type="cellIs" dxfId="400" priority="192" stopIfTrue="1" operator="equal">
      <formula>"N/A"</formula>
    </cfRule>
    <cfRule type="cellIs" dxfId="399" priority="193" stopIfTrue="1" operator="equal">
      <formula>"N/T"</formula>
    </cfRule>
    <cfRule type="cellIs" dxfId="398" priority="194" stopIfTrue="1" operator="equal">
      <formula>"N/D"</formula>
    </cfRule>
  </conditionalFormatting>
  <conditionalFormatting sqref="D855:D889">
    <cfRule type="cellIs" dxfId="397" priority="188" stopIfTrue="1" operator="equal">
      <formula>"-"</formula>
    </cfRule>
  </conditionalFormatting>
  <conditionalFormatting sqref="D893:D927">
    <cfRule type="expression" dxfId="396" priority="182" stopIfTrue="1">
      <formula>ISBLANK(D893)</formula>
    </cfRule>
    <cfRule type="cellIs" dxfId="395" priority="183" stopIfTrue="1" operator="equal">
      <formula>"Pasa"</formula>
    </cfRule>
    <cfRule type="cellIs" dxfId="394" priority="184" stopIfTrue="1" operator="equal">
      <formula>"Falla"</formula>
    </cfRule>
    <cfRule type="cellIs" dxfId="393" priority="185" stopIfTrue="1" operator="equal">
      <formula>"N/A"</formula>
    </cfRule>
    <cfRule type="cellIs" dxfId="392" priority="186" stopIfTrue="1" operator="equal">
      <formula>"N/T"</formula>
    </cfRule>
    <cfRule type="cellIs" dxfId="391" priority="187" stopIfTrue="1" operator="equal">
      <formula>"N/D"</formula>
    </cfRule>
  </conditionalFormatting>
  <conditionalFormatting sqref="D893:D927">
    <cfRule type="cellIs" dxfId="390" priority="181" stopIfTrue="1" operator="equal">
      <formula>"-"</formula>
    </cfRule>
  </conditionalFormatting>
  <conditionalFormatting sqref="D931:D965">
    <cfRule type="expression" dxfId="389" priority="175" stopIfTrue="1">
      <formula>ISBLANK(D931)</formula>
    </cfRule>
    <cfRule type="cellIs" dxfId="388" priority="176" stopIfTrue="1" operator="equal">
      <formula>"Pasa"</formula>
    </cfRule>
    <cfRule type="cellIs" dxfId="387" priority="177" stopIfTrue="1" operator="equal">
      <formula>"Falla"</formula>
    </cfRule>
    <cfRule type="cellIs" dxfId="386" priority="178" stopIfTrue="1" operator="equal">
      <formula>"N/A"</formula>
    </cfRule>
    <cfRule type="cellIs" dxfId="385" priority="179" stopIfTrue="1" operator="equal">
      <formula>"N/T"</formula>
    </cfRule>
    <cfRule type="cellIs" dxfId="384" priority="180" stopIfTrue="1" operator="equal">
      <formula>"N/D"</formula>
    </cfRule>
  </conditionalFormatting>
  <conditionalFormatting sqref="D931:D965">
    <cfRule type="cellIs" dxfId="383" priority="174" stopIfTrue="1" operator="equal">
      <formula>"-"</formula>
    </cfRule>
  </conditionalFormatting>
  <conditionalFormatting sqref="D969:D1003">
    <cfRule type="expression" dxfId="382" priority="168" stopIfTrue="1">
      <formula>ISBLANK(D969)</formula>
    </cfRule>
    <cfRule type="cellIs" dxfId="381" priority="169" stopIfTrue="1" operator="equal">
      <formula>"Pasa"</formula>
    </cfRule>
    <cfRule type="cellIs" dxfId="380" priority="170" stopIfTrue="1" operator="equal">
      <formula>"Falla"</formula>
    </cfRule>
    <cfRule type="cellIs" dxfId="379" priority="171" stopIfTrue="1" operator="equal">
      <formula>"N/A"</formula>
    </cfRule>
    <cfRule type="cellIs" dxfId="378" priority="172" stopIfTrue="1" operator="equal">
      <formula>"N/T"</formula>
    </cfRule>
    <cfRule type="cellIs" dxfId="377" priority="173" stopIfTrue="1" operator="equal">
      <formula>"N/D"</formula>
    </cfRule>
  </conditionalFormatting>
  <conditionalFormatting sqref="D969:D1003">
    <cfRule type="cellIs" dxfId="376" priority="167" stopIfTrue="1" operator="equal">
      <formula>"-"</formula>
    </cfRule>
  </conditionalFormatting>
  <conditionalFormatting sqref="D1007:D1041">
    <cfRule type="expression" dxfId="375" priority="161" stopIfTrue="1">
      <formula>ISBLANK(D1007)</formula>
    </cfRule>
    <cfRule type="cellIs" dxfId="374" priority="162" stopIfTrue="1" operator="equal">
      <formula>"Pasa"</formula>
    </cfRule>
    <cfRule type="cellIs" dxfId="373" priority="163" stopIfTrue="1" operator="equal">
      <formula>"Falla"</formula>
    </cfRule>
    <cfRule type="cellIs" dxfId="372" priority="164" stopIfTrue="1" operator="equal">
      <formula>"N/A"</formula>
    </cfRule>
    <cfRule type="cellIs" dxfId="371" priority="165" stopIfTrue="1" operator="equal">
      <formula>"N/T"</formula>
    </cfRule>
    <cfRule type="cellIs" dxfId="370" priority="166" stopIfTrue="1" operator="equal">
      <formula>"N/D"</formula>
    </cfRule>
  </conditionalFormatting>
  <conditionalFormatting sqref="D1007:D1041">
    <cfRule type="cellIs" dxfId="369" priority="160" stopIfTrue="1" operator="equal">
      <formula>"-"</formula>
    </cfRule>
  </conditionalFormatting>
  <conditionalFormatting sqref="D1045:D1079">
    <cfRule type="expression" dxfId="368" priority="154" stopIfTrue="1">
      <formula>ISBLANK(D1045)</formula>
    </cfRule>
    <cfRule type="cellIs" dxfId="367" priority="155" stopIfTrue="1" operator="equal">
      <formula>"Pasa"</formula>
    </cfRule>
    <cfRule type="cellIs" dxfId="366" priority="156" stopIfTrue="1" operator="equal">
      <formula>"Falla"</formula>
    </cfRule>
    <cfRule type="cellIs" dxfId="365" priority="157" stopIfTrue="1" operator="equal">
      <formula>"N/A"</formula>
    </cfRule>
    <cfRule type="cellIs" dxfId="364" priority="158" stopIfTrue="1" operator="equal">
      <formula>"N/T"</formula>
    </cfRule>
    <cfRule type="cellIs" dxfId="363" priority="159" stopIfTrue="1" operator="equal">
      <formula>"N/D"</formula>
    </cfRule>
  </conditionalFormatting>
  <conditionalFormatting sqref="D1045:D1079">
    <cfRule type="cellIs" dxfId="362" priority="153" stopIfTrue="1" operator="equal">
      <formula>"-"</formula>
    </cfRule>
  </conditionalFormatting>
  <conditionalFormatting sqref="D1083:D1117">
    <cfRule type="expression" dxfId="361" priority="147" stopIfTrue="1">
      <formula>ISBLANK(D1083)</formula>
    </cfRule>
    <cfRule type="cellIs" dxfId="360" priority="148" stopIfTrue="1" operator="equal">
      <formula>"Pasa"</formula>
    </cfRule>
    <cfRule type="cellIs" dxfId="359" priority="149" stopIfTrue="1" operator="equal">
      <formula>"Falla"</formula>
    </cfRule>
    <cfRule type="cellIs" dxfId="358" priority="150" stopIfTrue="1" operator="equal">
      <formula>"N/A"</formula>
    </cfRule>
    <cfRule type="cellIs" dxfId="357" priority="151" stopIfTrue="1" operator="equal">
      <formula>"N/T"</formula>
    </cfRule>
    <cfRule type="cellIs" dxfId="356" priority="152" stopIfTrue="1" operator="equal">
      <formula>"N/D"</formula>
    </cfRule>
  </conditionalFormatting>
  <conditionalFormatting sqref="D1083:D1117">
    <cfRule type="cellIs" dxfId="355" priority="146" stopIfTrue="1" operator="equal">
      <formula>"-"</formula>
    </cfRule>
  </conditionalFormatting>
  <conditionalFormatting sqref="D1121:D1155">
    <cfRule type="expression" dxfId="354" priority="140" stopIfTrue="1">
      <formula>ISBLANK(D1121)</formula>
    </cfRule>
    <cfRule type="cellIs" dxfId="353" priority="141" stopIfTrue="1" operator="equal">
      <formula>"Pasa"</formula>
    </cfRule>
    <cfRule type="cellIs" dxfId="352" priority="142" stopIfTrue="1" operator="equal">
      <formula>"Falla"</formula>
    </cfRule>
    <cfRule type="cellIs" dxfId="351" priority="143" stopIfTrue="1" operator="equal">
      <formula>"N/A"</formula>
    </cfRule>
    <cfRule type="cellIs" dxfId="350" priority="144" stopIfTrue="1" operator="equal">
      <formula>"N/T"</formula>
    </cfRule>
    <cfRule type="cellIs" dxfId="349" priority="145" stopIfTrue="1" operator="equal">
      <formula>"N/D"</formula>
    </cfRule>
  </conditionalFormatting>
  <conditionalFormatting sqref="D1121:D1155">
    <cfRule type="cellIs" dxfId="348" priority="139" stopIfTrue="1" operator="equal">
      <formula>"-"</formula>
    </cfRule>
  </conditionalFormatting>
  <conditionalFormatting sqref="D1159:D1193">
    <cfRule type="expression" dxfId="347" priority="133" stopIfTrue="1">
      <formula>ISBLANK(D1159)</formula>
    </cfRule>
    <cfRule type="cellIs" dxfId="346" priority="134" stopIfTrue="1" operator="equal">
      <formula>"Pasa"</formula>
    </cfRule>
    <cfRule type="cellIs" dxfId="345" priority="135" stopIfTrue="1" operator="equal">
      <formula>"Falla"</formula>
    </cfRule>
    <cfRule type="cellIs" dxfId="344" priority="136" stopIfTrue="1" operator="equal">
      <formula>"N/A"</formula>
    </cfRule>
    <cfRule type="cellIs" dxfId="343" priority="137" stopIfTrue="1" operator="equal">
      <formula>"N/T"</formula>
    </cfRule>
    <cfRule type="cellIs" dxfId="342" priority="138" stopIfTrue="1" operator="equal">
      <formula>"N/D"</formula>
    </cfRule>
  </conditionalFormatting>
  <conditionalFormatting sqref="D1159:D1193">
    <cfRule type="cellIs" dxfId="341" priority="132" stopIfTrue="1" operator="equal">
      <formula>"-"</formula>
    </cfRule>
  </conditionalFormatting>
  <conditionalFormatting sqref="D1197:D1231">
    <cfRule type="expression" dxfId="340" priority="126" stopIfTrue="1">
      <formula>ISBLANK(D1197)</formula>
    </cfRule>
    <cfRule type="cellIs" dxfId="339" priority="127" stopIfTrue="1" operator="equal">
      <formula>"Pasa"</formula>
    </cfRule>
    <cfRule type="cellIs" dxfId="338" priority="128" stopIfTrue="1" operator="equal">
      <formula>"Falla"</formula>
    </cfRule>
    <cfRule type="cellIs" dxfId="337" priority="129" stopIfTrue="1" operator="equal">
      <formula>"N/A"</formula>
    </cfRule>
    <cfRule type="cellIs" dxfId="336" priority="130" stopIfTrue="1" operator="equal">
      <formula>"N/T"</formula>
    </cfRule>
    <cfRule type="cellIs" dxfId="335" priority="131" stopIfTrue="1" operator="equal">
      <formula>"N/D"</formula>
    </cfRule>
  </conditionalFormatting>
  <conditionalFormatting sqref="D1197:D1231">
    <cfRule type="cellIs" dxfId="334" priority="125" stopIfTrue="1" operator="equal">
      <formula>"-"</formula>
    </cfRule>
  </conditionalFormatting>
  <conditionalFormatting sqref="D1235:D1269">
    <cfRule type="expression" dxfId="333" priority="119" stopIfTrue="1">
      <formula>ISBLANK(D1235)</formula>
    </cfRule>
    <cfRule type="cellIs" dxfId="332" priority="120" stopIfTrue="1" operator="equal">
      <formula>"Pasa"</formula>
    </cfRule>
    <cfRule type="cellIs" dxfId="331" priority="121" stopIfTrue="1" operator="equal">
      <formula>"Falla"</formula>
    </cfRule>
    <cfRule type="cellIs" dxfId="330" priority="122" stopIfTrue="1" operator="equal">
      <formula>"N/A"</formula>
    </cfRule>
    <cfRule type="cellIs" dxfId="329" priority="123" stopIfTrue="1" operator="equal">
      <formula>"N/T"</formula>
    </cfRule>
    <cfRule type="cellIs" dxfId="328" priority="124" stopIfTrue="1" operator="equal">
      <formula>"N/D"</formula>
    </cfRule>
  </conditionalFormatting>
  <conditionalFormatting sqref="D1235:D1269">
    <cfRule type="cellIs" dxfId="327" priority="118" stopIfTrue="1" operator="equal">
      <formula>"-"</formula>
    </cfRule>
  </conditionalFormatting>
  <conditionalFormatting sqref="D1273:D1307">
    <cfRule type="expression" dxfId="326" priority="112" stopIfTrue="1">
      <formula>ISBLANK(D1273)</formula>
    </cfRule>
    <cfRule type="cellIs" dxfId="325" priority="113" stopIfTrue="1" operator="equal">
      <formula>"Pasa"</formula>
    </cfRule>
    <cfRule type="cellIs" dxfId="324" priority="114" stopIfTrue="1" operator="equal">
      <formula>"Falla"</formula>
    </cfRule>
    <cfRule type="cellIs" dxfId="323" priority="115" stopIfTrue="1" operator="equal">
      <formula>"N/A"</formula>
    </cfRule>
    <cfRule type="cellIs" dxfId="322" priority="116" stopIfTrue="1" operator="equal">
      <formula>"N/T"</formula>
    </cfRule>
    <cfRule type="cellIs" dxfId="321" priority="117" stopIfTrue="1" operator="equal">
      <formula>"N/D"</formula>
    </cfRule>
  </conditionalFormatting>
  <conditionalFormatting sqref="D1273:D1307">
    <cfRule type="cellIs" dxfId="320" priority="111" stopIfTrue="1" operator="equal">
      <formula>"-"</formula>
    </cfRule>
  </conditionalFormatting>
  <conditionalFormatting sqref="D1311:D1345">
    <cfRule type="expression" dxfId="319" priority="105" stopIfTrue="1">
      <formula>ISBLANK(D1311)</formula>
    </cfRule>
    <cfRule type="cellIs" dxfId="318" priority="106" stopIfTrue="1" operator="equal">
      <formula>"Pasa"</formula>
    </cfRule>
    <cfRule type="cellIs" dxfId="317" priority="107" stopIfTrue="1" operator="equal">
      <formula>"Falla"</formula>
    </cfRule>
    <cfRule type="cellIs" dxfId="316" priority="108" stopIfTrue="1" operator="equal">
      <formula>"N/A"</formula>
    </cfRule>
    <cfRule type="cellIs" dxfId="315" priority="109" stopIfTrue="1" operator="equal">
      <formula>"N/T"</formula>
    </cfRule>
    <cfRule type="cellIs" dxfId="314" priority="110" stopIfTrue="1" operator="equal">
      <formula>"N/D"</formula>
    </cfRule>
  </conditionalFormatting>
  <conditionalFormatting sqref="D1311:D1345">
    <cfRule type="cellIs" dxfId="313" priority="104" stopIfTrue="1" operator="equal">
      <formula>"-"</formula>
    </cfRule>
  </conditionalFormatting>
  <conditionalFormatting sqref="D1349:D1383">
    <cfRule type="expression" dxfId="312" priority="98" stopIfTrue="1">
      <formula>ISBLANK(D1349)</formula>
    </cfRule>
    <cfRule type="cellIs" dxfId="311" priority="99" stopIfTrue="1" operator="equal">
      <formula>"Pasa"</formula>
    </cfRule>
    <cfRule type="cellIs" dxfId="310" priority="100" stopIfTrue="1" operator="equal">
      <formula>"Falla"</formula>
    </cfRule>
    <cfRule type="cellIs" dxfId="309" priority="101" stopIfTrue="1" operator="equal">
      <formula>"N/A"</formula>
    </cfRule>
    <cfRule type="cellIs" dxfId="308" priority="102" stopIfTrue="1" operator="equal">
      <formula>"N/T"</formula>
    </cfRule>
    <cfRule type="cellIs" dxfId="307" priority="103" stopIfTrue="1" operator="equal">
      <formula>"N/D"</formula>
    </cfRule>
  </conditionalFormatting>
  <conditionalFormatting sqref="D1349:D1383">
    <cfRule type="cellIs" dxfId="306" priority="97" stopIfTrue="1" operator="equal">
      <formula>"-"</formula>
    </cfRule>
  </conditionalFormatting>
  <conditionalFormatting sqref="D1387:D1421">
    <cfRule type="expression" dxfId="305" priority="91" stopIfTrue="1">
      <formula>ISBLANK(D1387)</formula>
    </cfRule>
    <cfRule type="cellIs" dxfId="304" priority="92" stopIfTrue="1" operator="equal">
      <formula>"Pasa"</formula>
    </cfRule>
    <cfRule type="cellIs" dxfId="303" priority="93" stopIfTrue="1" operator="equal">
      <formula>"Falla"</formula>
    </cfRule>
    <cfRule type="cellIs" dxfId="302" priority="94" stopIfTrue="1" operator="equal">
      <formula>"N/A"</formula>
    </cfRule>
    <cfRule type="cellIs" dxfId="301" priority="95" stopIfTrue="1" operator="equal">
      <formula>"N/T"</formula>
    </cfRule>
    <cfRule type="cellIs" dxfId="300" priority="96" stopIfTrue="1" operator="equal">
      <formula>"N/D"</formula>
    </cfRule>
  </conditionalFormatting>
  <conditionalFormatting sqref="D1387:D1421">
    <cfRule type="cellIs" dxfId="299" priority="90" stopIfTrue="1" operator="equal">
      <formula>"-"</formula>
    </cfRule>
  </conditionalFormatting>
  <conditionalFormatting sqref="D1425:D1459">
    <cfRule type="expression" dxfId="298" priority="84" stopIfTrue="1">
      <formula>ISBLANK(D1425)</formula>
    </cfRule>
    <cfRule type="cellIs" dxfId="297" priority="85" stopIfTrue="1" operator="equal">
      <formula>"Pasa"</formula>
    </cfRule>
    <cfRule type="cellIs" dxfId="296" priority="86" stopIfTrue="1" operator="equal">
      <formula>"Falla"</formula>
    </cfRule>
    <cfRule type="cellIs" dxfId="295" priority="87" stopIfTrue="1" operator="equal">
      <formula>"N/A"</formula>
    </cfRule>
    <cfRule type="cellIs" dxfId="294" priority="88" stopIfTrue="1" operator="equal">
      <formula>"N/T"</formula>
    </cfRule>
    <cfRule type="cellIs" dxfId="293" priority="89" stopIfTrue="1" operator="equal">
      <formula>"N/D"</formula>
    </cfRule>
  </conditionalFormatting>
  <conditionalFormatting sqref="D1425:D1459">
    <cfRule type="cellIs" dxfId="292" priority="83" stopIfTrue="1" operator="equal">
      <formula>"-"</formula>
    </cfRule>
  </conditionalFormatting>
  <conditionalFormatting sqref="D1463:D1497">
    <cfRule type="expression" dxfId="291" priority="77" stopIfTrue="1">
      <formula>ISBLANK(D1463)</formula>
    </cfRule>
    <cfRule type="cellIs" dxfId="290" priority="78" stopIfTrue="1" operator="equal">
      <formula>"Pasa"</formula>
    </cfRule>
    <cfRule type="cellIs" dxfId="289" priority="79" stopIfTrue="1" operator="equal">
      <formula>"Falla"</formula>
    </cfRule>
    <cfRule type="cellIs" dxfId="288" priority="80" stopIfTrue="1" operator="equal">
      <formula>"N/A"</formula>
    </cfRule>
    <cfRule type="cellIs" dxfId="287" priority="81" stopIfTrue="1" operator="equal">
      <formula>"N/T"</formula>
    </cfRule>
    <cfRule type="cellIs" dxfId="286" priority="82" stopIfTrue="1" operator="equal">
      <formula>"N/D"</formula>
    </cfRule>
  </conditionalFormatting>
  <conditionalFormatting sqref="D1463:D1497">
    <cfRule type="cellIs" dxfId="285" priority="76" stopIfTrue="1" operator="equal">
      <formula>"-"</formula>
    </cfRule>
  </conditionalFormatting>
  <conditionalFormatting sqref="D1501:D1535">
    <cfRule type="expression" dxfId="284" priority="70" stopIfTrue="1">
      <formula>ISBLANK(D1501)</formula>
    </cfRule>
    <cfRule type="cellIs" dxfId="283" priority="71" stopIfTrue="1" operator="equal">
      <formula>"Pasa"</formula>
    </cfRule>
    <cfRule type="cellIs" dxfId="282" priority="72" stopIfTrue="1" operator="equal">
      <formula>"Falla"</formula>
    </cfRule>
    <cfRule type="cellIs" dxfId="281" priority="73" stopIfTrue="1" operator="equal">
      <formula>"N/A"</formula>
    </cfRule>
    <cfRule type="cellIs" dxfId="280" priority="74" stopIfTrue="1" operator="equal">
      <formula>"N/T"</formula>
    </cfRule>
    <cfRule type="cellIs" dxfId="279" priority="75" stopIfTrue="1" operator="equal">
      <formula>"N/D"</formula>
    </cfRule>
  </conditionalFormatting>
  <conditionalFormatting sqref="D1501:D1535">
    <cfRule type="cellIs" dxfId="278" priority="69" stopIfTrue="1" operator="equal">
      <formula>"-"</formula>
    </cfRule>
  </conditionalFormatting>
  <conditionalFormatting sqref="D1539:D1573">
    <cfRule type="expression" dxfId="277" priority="63" stopIfTrue="1">
      <formula>ISBLANK(D1539)</formula>
    </cfRule>
    <cfRule type="cellIs" dxfId="276" priority="64" stopIfTrue="1" operator="equal">
      <formula>"Pasa"</formula>
    </cfRule>
    <cfRule type="cellIs" dxfId="275" priority="65" stopIfTrue="1" operator="equal">
      <formula>"Falla"</formula>
    </cfRule>
    <cfRule type="cellIs" dxfId="274" priority="66" stopIfTrue="1" operator="equal">
      <formula>"N/A"</formula>
    </cfRule>
    <cfRule type="cellIs" dxfId="273" priority="67" stopIfTrue="1" operator="equal">
      <formula>"N/T"</formula>
    </cfRule>
    <cfRule type="cellIs" dxfId="272" priority="68" stopIfTrue="1" operator="equal">
      <formula>"N/D"</formula>
    </cfRule>
  </conditionalFormatting>
  <conditionalFormatting sqref="D1539:D1573">
    <cfRule type="cellIs" dxfId="271" priority="62" stopIfTrue="1" operator="equal">
      <formula>"-"</formula>
    </cfRule>
  </conditionalFormatting>
  <conditionalFormatting sqref="D1577:D1611">
    <cfRule type="expression" dxfId="270" priority="56" stopIfTrue="1">
      <formula>ISBLANK(D1577)</formula>
    </cfRule>
    <cfRule type="cellIs" dxfId="269" priority="57" stopIfTrue="1" operator="equal">
      <formula>"Pasa"</formula>
    </cfRule>
    <cfRule type="cellIs" dxfId="268" priority="58" stopIfTrue="1" operator="equal">
      <formula>"Falla"</formula>
    </cfRule>
    <cfRule type="cellIs" dxfId="267" priority="59" stopIfTrue="1" operator="equal">
      <formula>"N/A"</formula>
    </cfRule>
    <cfRule type="cellIs" dxfId="266" priority="60" stopIfTrue="1" operator="equal">
      <formula>"N/T"</formula>
    </cfRule>
    <cfRule type="cellIs" dxfId="265" priority="61" stopIfTrue="1" operator="equal">
      <formula>"N/D"</formula>
    </cfRule>
  </conditionalFormatting>
  <conditionalFormatting sqref="D1577:D1611">
    <cfRule type="cellIs" dxfId="264" priority="55" stopIfTrue="1" operator="equal">
      <formula>"-"</formula>
    </cfRule>
  </conditionalFormatting>
  <conditionalFormatting sqref="D1615:D1649">
    <cfRule type="expression" dxfId="263" priority="49" stopIfTrue="1">
      <formula>ISBLANK(D1615)</formula>
    </cfRule>
    <cfRule type="cellIs" dxfId="262" priority="50" stopIfTrue="1" operator="equal">
      <formula>"Pasa"</formula>
    </cfRule>
    <cfRule type="cellIs" dxfId="261" priority="51" stopIfTrue="1" operator="equal">
      <formula>"Falla"</formula>
    </cfRule>
    <cfRule type="cellIs" dxfId="260" priority="52" stopIfTrue="1" operator="equal">
      <formula>"N/A"</formula>
    </cfRule>
    <cfRule type="cellIs" dxfId="259" priority="53" stopIfTrue="1" operator="equal">
      <formula>"N/T"</formula>
    </cfRule>
    <cfRule type="cellIs" dxfId="258" priority="54" stopIfTrue="1" operator="equal">
      <formula>"N/D"</formula>
    </cfRule>
  </conditionalFormatting>
  <conditionalFormatting sqref="D1615:D1649">
    <cfRule type="cellIs" dxfId="257" priority="48" stopIfTrue="1" operator="equal">
      <formula>"-"</formula>
    </cfRule>
  </conditionalFormatting>
  <conditionalFormatting sqref="D1653:D1687">
    <cfRule type="expression" dxfId="256" priority="42" stopIfTrue="1">
      <formula>ISBLANK(D1653)</formula>
    </cfRule>
    <cfRule type="cellIs" dxfId="255" priority="43" stopIfTrue="1" operator="equal">
      <formula>"Pasa"</formula>
    </cfRule>
    <cfRule type="cellIs" dxfId="254" priority="44" stopIfTrue="1" operator="equal">
      <formula>"Falla"</formula>
    </cfRule>
    <cfRule type="cellIs" dxfId="253" priority="45" stopIfTrue="1" operator="equal">
      <formula>"N/A"</formula>
    </cfRule>
    <cfRule type="cellIs" dxfId="252" priority="46" stopIfTrue="1" operator="equal">
      <formula>"N/T"</formula>
    </cfRule>
    <cfRule type="cellIs" dxfId="251" priority="47" stopIfTrue="1" operator="equal">
      <formula>"N/D"</formula>
    </cfRule>
  </conditionalFormatting>
  <conditionalFormatting sqref="D1653:D1687">
    <cfRule type="cellIs" dxfId="250" priority="41" stopIfTrue="1" operator="equal">
      <formula>"-"</formula>
    </cfRule>
  </conditionalFormatting>
  <conditionalFormatting sqref="E1691:E1725">
    <cfRule type="cellIs" dxfId="249" priority="26" stopIfTrue="1" operator="equal">
      <formula>"ERR"</formula>
    </cfRule>
  </conditionalFormatting>
  <conditionalFormatting sqref="D1691:D1725">
    <cfRule type="expression" dxfId="248" priority="14" stopIfTrue="1">
      <formula>ISBLANK(D1691)</formula>
    </cfRule>
    <cfRule type="cellIs" dxfId="247" priority="15" stopIfTrue="1" operator="equal">
      <formula>"Pasa"</formula>
    </cfRule>
    <cfRule type="cellIs" dxfId="246" priority="16" stopIfTrue="1" operator="equal">
      <formula>"Falla"</formula>
    </cfRule>
    <cfRule type="cellIs" dxfId="245" priority="17" stopIfTrue="1" operator="equal">
      <formula>"N/A"</formula>
    </cfRule>
    <cfRule type="cellIs" dxfId="244" priority="18" stopIfTrue="1" operator="equal">
      <formula>"N/T"</formula>
    </cfRule>
    <cfRule type="cellIs" dxfId="243" priority="19" stopIfTrue="1" operator="equal">
      <formula>"N/D"</formula>
    </cfRule>
  </conditionalFormatting>
  <conditionalFormatting sqref="D1691:D1725">
    <cfRule type="cellIs" dxfId="242" priority="13" stopIfTrue="1" operator="equal">
      <formula>"-"</formula>
    </cfRule>
  </conditionalFormatting>
  <conditionalFormatting sqref="K23">
    <cfRule type="expression" dxfId="241" priority="7" stopIfTrue="1">
      <formula>ISBLANK(K23)</formula>
    </cfRule>
    <cfRule type="cellIs" dxfId="240" priority="8" stopIfTrue="1" operator="equal">
      <formula>"Pasa"</formula>
    </cfRule>
    <cfRule type="cellIs" dxfId="239" priority="9" stopIfTrue="1" operator="equal">
      <formula>"Falla"</formula>
    </cfRule>
    <cfRule type="cellIs" dxfId="238" priority="10" stopIfTrue="1" operator="equal">
      <formula>"N/A"</formula>
    </cfRule>
    <cfRule type="cellIs" dxfId="237" priority="11" stopIfTrue="1" operator="equal">
      <formula>"N/T"</formula>
    </cfRule>
    <cfRule type="cellIs" dxfId="236" priority="12" stopIfTrue="1" operator="equal">
      <formula>"N/D"</formula>
    </cfRule>
  </conditionalFormatting>
  <conditionalFormatting sqref="K24">
    <cfRule type="expression" dxfId="235" priority="1" stopIfTrue="1">
      <formula>ISBLANK(K24)</formula>
    </cfRule>
    <cfRule type="cellIs" dxfId="234" priority="2" stopIfTrue="1" operator="equal">
      <formula>"Pasa"</formula>
    </cfRule>
    <cfRule type="cellIs" dxfId="233" priority="3" stopIfTrue="1" operator="equal">
      <formula>"Falla"</formula>
    </cfRule>
    <cfRule type="cellIs" dxfId="232" priority="4" stopIfTrue="1" operator="equal">
      <formula>"N/A"</formula>
    </cfRule>
    <cfRule type="cellIs" dxfId="231" priority="5" stopIfTrue="1" operator="equal">
      <formula>"N/T"</formula>
    </cfRule>
    <cfRule type="cellIs" dxfId="230" priority="6" stopIfTrue="1" operator="equal">
      <formula>"N/D"</formula>
    </cfRule>
  </conditionalFormatting>
  <pageMargins left="0.7" right="0.7" top="0.75" bottom="0.75" header="0.51180555555555496" footer="0.51180555555555496"/>
  <pageSetup firstPageNumber="0" orientation="portrait" horizontalDpi="300" verticalDpi="300" r:id="rId1"/>
  <drawing r:id="rId2"/>
  <legacyDrawing r:id="rId3"/>
  <extLst>
    <ext uri="{CCE6A557-97BC-4b89-ADB6-D9C93CAAB3DF}">
      <x14:dataValidations xmlns:xm="http://schemas.microsoft.com/office/excel/2006/main" count="1">
        <x14:dataValidation type="list" operator="equal" showErrorMessage="1">
          <x14:formula1>
            <xm:f>'DATA - Oculta'!$U$9:$U$13</xm:f>
          </x14:formula1>
          <xm:sqref>D551:D585 D627:D661 D1615:D1649 D19:D53 D57:D91 D95:D129 D133:D167 D171:D205 D209:D243 D247:D281 D285:D319 D323:D357 D361:D395 D399:D433 D437:D471 D475:D509 D513:D547 D589:D623 D665:D699 D703:D737 D741:D775 D779:D813 D817:D851 D855:D889 D893:D927 D931:D965 D969:D1003 D1007:D1041 D1045:D1079 D1083:D1117 D1121:D1155 D1159:D1193 D1197:D1231 D1235:D1269 D1273:D1307 D1311:D1345 D1349:D1383 D1387:D1421 D1425:D1459 D1463:D1497 D1501:D1535 D1539:D1573 D1577:D1611 D1653:D1687 D1691:D1725</xm:sqref>
        </x14:dataValidation>
      </x14:dataValidations>
    </ext>
  </extLst>
</worksheet>
</file>

<file path=docProps/app.xml><?xml version="1.0" encoding="utf-8"?>
<Properties xmlns="http://schemas.openxmlformats.org/officeDocument/2006/extended-properties" xmlns:vt="http://schemas.openxmlformats.org/officeDocument/2006/docPropsVTypes">
  <Template/>
  <TotalTime>1657</TotalTime>
  <Application>Microsoft Excel</Application>
  <DocSecurity>0</DocSecurity>
  <ScaleCrop>false</ScaleCrop>
  <HeadingPairs>
    <vt:vector size="2" baseType="variant">
      <vt:variant>
        <vt:lpstr>Hojas de cálculo</vt:lpstr>
      </vt:variant>
      <vt:variant>
        <vt:i4>15</vt:i4>
      </vt:variant>
    </vt:vector>
  </HeadingPairs>
  <TitlesOfParts>
    <vt:vector size="15" baseType="lpstr">
      <vt:lpstr>00.Info</vt:lpstr>
      <vt:lpstr>01.Definición de ámbito</vt:lpstr>
      <vt:lpstr>02.Tecnologías</vt:lpstr>
      <vt:lpstr>03.Muestra</vt:lpstr>
      <vt:lpstr>R5.Genéricos</vt:lpstr>
      <vt:lpstr>R6.Voz</vt:lpstr>
      <vt:lpstr>R7.Video</vt:lpstr>
      <vt:lpstr>R9.Web</vt:lpstr>
      <vt:lpstr>R10.Documentos no web</vt:lpstr>
      <vt:lpstr>R11.Software</vt:lpstr>
      <vt:lpstr>R12.ServiciosApoyo</vt:lpstr>
      <vt:lpstr>RESULTADOS</vt:lpstr>
      <vt:lpstr>Change Log</vt:lpstr>
      <vt:lpstr>DATA - Oculta</vt:lpstr>
      <vt:lpstr>DatosBD - Oculta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2020-03-26T13:14:48Z</dcterms:created>
  <dc:creator>DAVID LUBIAN ESPINOSA</dc:creator>
  <dc:language>es-ES</dc:language>
  <cp:lastModifiedBy>SANDRA SABROSO TORRES</cp:lastModifiedBy>
  <cp:lastPrinted>2020-09-14T10:56:43Z</cp:lastPrinted>
  <dcterms:modified xsi:type="dcterms:W3CDTF">2022-08-31T11:43:13Z</dcterms:modified>
  <cp:revision>109</cp:revision>
</cp:coreProperties>
</file>